
<file path=[Content_Types].xml><?xml version="1.0" encoding="utf-8"?>
<Types xmlns="http://schemas.openxmlformats.org/package/2006/content-types">
  <Default Extension="jpeg" ContentType="image/jpeg"/>
  <Default Extension="JPG" ContentType="image/.jp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drawings/drawing2.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560" windowHeight="11370"/>
  </bookViews>
  <sheets>
    <sheet name="202303-非带宽" sheetId="1" r:id="rId1"/>
    <sheet name="合同综合查询数据（3月返）" sheetId="2" r:id="rId2"/>
    <sheet name="备注" sheetId="3" r:id="rId3"/>
    <sheet name="非带宽金额核对" sheetId="4" r:id="rId4"/>
  </sheets>
  <definedNames>
    <definedName name="_xlnm._FilterDatabase" localSheetId="0" hidden="1">'202303-非带宽'!$A$1:$AE$7066</definedName>
    <definedName name="_xlnm._FilterDatabase" localSheetId="1" hidden="1">'合同综合查询数据（3月返）'!$A$1:$AK$50</definedName>
  </definedNames>
  <calcPr calcId="144525"/>
</workbook>
</file>

<file path=xl/sharedStrings.xml><?xml version="1.0" encoding="utf-8"?>
<sst xmlns="http://schemas.openxmlformats.org/spreadsheetml/2006/main" count="94782" uniqueCount="9743">
  <si>
    <t>体系</t>
  </si>
  <si>
    <t>地区</t>
  </si>
  <si>
    <t>省份</t>
  </si>
  <si>
    <t>BD</t>
  </si>
  <si>
    <t>供应商</t>
  </si>
  <si>
    <t>合作单位</t>
  </si>
  <si>
    <t>机架/带宽/裸光纤/电路/工位&amp;库房/其他</t>
  </si>
  <si>
    <t>当前计提合同</t>
  </si>
  <si>
    <t>是否本月新返回合同</t>
  </si>
  <si>
    <t>费用类型（机架、带宽、光纤/电路、其他）</t>
  </si>
  <si>
    <t>地点</t>
  </si>
  <si>
    <t>TCO机房名称（带宽）</t>
  </si>
  <si>
    <t>机房（机架）</t>
  </si>
  <si>
    <t>起始日期</t>
  </si>
  <si>
    <t>规格</t>
  </si>
  <si>
    <t>计费单位</t>
  </si>
  <si>
    <t>数量/长度</t>
  </si>
  <si>
    <t>金额</t>
  </si>
  <si>
    <t>费用期间</t>
  </si>
  <si>
    <t>业务备注</t>
  </si>
  <si>
    <t>财务备注</t>
  </si>
  <si>
    <t>SYS统计</t>
  </si>
  <si>
    <t>运营商统计</t>
  </si>
  <si>
    <t>合同开始日期</t>
  </si>
  <si>
    <t>合同结束时间</t>
  </si>
  <si>
    <t>代理商-电信</t>
  </si>
  <si>
    <t>代理商-吴蕊</t>
  </si>
  <si>
    <t>广西</t>
  </si>
  <si>
    <t>陈媛媛</t>
  </si>
  <si>
    <t>阿里云计算有限公司</t>
  </si>
  <si>
    <t>阿里云</t>
  </si>
  <si>
    <t>带宽</t>
  </si>
  <si>
    <t>182215IDC00608</t>
  </si>
  <si>
    <t>CDN IP</t>
  </si>
  <si>
    <t>南宁</t>
  </si>
  <si>
    <t>V南宁2电信</t>
  </si>
  <si>
    <t>CACDNVNNCT2</t>
  </si>
  <si>
    <t>个</t>
  </si>
  <si>
    <t>裸金属。202210SYS更新IP数量，实际分配64个：222.218.84.192/26，已分配已使用20个（222.218.84.193-211，233），已分配未使用44个，均免费。
20220501开始计费，使用64个，免费25个，收费39个，222.218.84.192/26</t>
  </si>
  <si>
    <t>湖北</t>
  </si>
  <si>
    <t>武汉</t>
  </si>
  <si>
    <t>V武汉电信</t>
  </si>
  <si>
    <t>CACDNVWHCT</t>
  </si>
  <si>
    <t>裸金属。202210SYS更新IP数量，实际分配64个：119.96.54.0/26，已分配已使用19个（119.96.54.1-19），已分配未使用45个，均免费。
20220501开始计费，使用128个，免费25个，收费103个，119.96.54.0/25</t>
  </si>
  <si>
    <t>浙江</t>
  </si>
  <si>
    <t>182215IDC00707</t>
  </si>
  <si>
    <t>台州</t>
  </si>
  <si>
    <t>V台州电信</t>
  </si>
  <si>
    <t>CACDNVTZCT</t>
  </si>
  <si>
    <t>裸金属。202210SYS更新IP数量，实际分配64个：220.185.181.0/26，已分配已使用19个（220.185.181.1-19），已分配未使用45个，均免费。
20220501开始计费，使用128个，免费25个，收费103个，220.185.181.0/25</t>
  </si>
  <si>
    <t>云南</t>
  </si>
  <si>
    <t>昆明</t>
  </si>
  <si>
    <t>V昆明2电信</t>
  </si>
  <si>
    <t>CACDNVKMCT2</t>
  </si>
  <si>
    <t>裸金属。202210SYS更新IP数量，实际分配64个：182.242.45.0/26，已分配已使用23个（182.242.45.1-19，40-43），已分配未使用41个，均免费。
20220501开始计费，使用128个，免费25个，收费103个，182.242.45.0/25</t>
  </si>
  <si>
    <t>182215IDC00706</t>
  </si>
  <si>
    <t>V台州2电信</t>
  </si>
  <si>
    <t>CACDNVTZCT2</t>
  </si>
  <si>
    <t>裸金属，分配64个，使用47个：220.185.167.128/25</t>
  </si>
  <si>
    <t>V昆明3电信</t>
  </si>
  <si>
    <t>裸金属，分配64个，使用47个：182.242.213.128/25</t>
  </si>
  <si>
    <t>第三方</t>
  </si>
  <si>
    <t>华东-吴蕊</t>
  </si>
  <si>
    <t>北京</t>
  </si>
  <si>
    <t>陈思旭</t>
  </si>
  <si>
    <t>北京博升拓网络技术有限责任公司</t>
  </si>
  <si>
    <t>博升拓</t>
  </si>
  <si>
    <t>裸光纤</t>
  </si>
  <si>
    <t>182115IDC00323</t>
  </si>
  <si>
    <t>光纤</t>
  </si>
  <si>
    <t>华京路6号87号楼403模块港交所隔笼B02机柜 RJ45-上海外高桥保税区华京路6号90号楼404房间 LC</t>
  </si>
  <si>
    <t>2芯</t>
  </si>
  <si>
    <t>2条华京路6号87号楼403模块港交所隔笼B02机柜 RJ45-上海外高桥保税区华京路6号90号楼404房间 LC光纤</t>
  </si>
  <si>
    <t>杨浦区隆昌路619号9号楼3楼港交所机柜SH5:3:00200:0101RJ45-杨浦区隆昌路619号运营商MMR机柜</t>
  </si>
  <si>
    <t>杨浦区隆昌路619号9号楼3楼港交所机柜SH5:3:00200:0101RJ45-杨浦区隆昌路619号运营商MMR机柜光纤</t>
  </si>
  <si>
    <t>崔益泽</t>
  </si>
  <si>
    <t>北京光环新网科技股份有限公司</t>
  </si>
  <si>
    <t>光环新网</t>
  </si>
  <si>
    <t>其他</t>
  </si>
  <si>
    <t>182215IDC00077</t>
  </si>
  <si>
    <t>技术服务费</t>
  </si>
  <si>
    <t>凉水河-窦店管机房线路接入管理服务费</t>
  </si>
  <si>
    <t>凉水河-窦店，管孔占用费</t>
  </si>
  <si>
    <t>华北-吴蕊</t>
  </si>
  <si>
    <t>全国</t>
  </si>
  <si>
    <t>纪博宇</t>
  </si>
  <si>
    <t>北京皓宽网络科技有限公司</t>
  </si>
  <si>
    <t>皓宽</t>
  </si>
  <si>
    <t>机架</t>
  </si>
  <si>
    <t>182015IDC00230</t>
  </si>
  <si>
    <t>IDC机架</t>
  </si>
  <si>
    <t>BJDHMPOP</t>
  </si>
  <si>
    <t>13A</t>
  </si>
  <si>
    <t>BJDHMPOP1F-B-13、BJDHMPOP1F-B-14</t>
  </si>
  <si>
    <t>皓宽-金山云</t>
  </si>
  <si>
    <t>知乎项目其中楼内线部分</t>
  </si>
  <si>
    <t>跳纤，爱奇艺互联使用：1楼机房 B14机柜5126-BJDHMPOP-0-12-DCP-TI1-RO1至2楼机房M03-B11机柜5126-BJDHMPOP-2-9-LSC-OUT-IN</t>
  </si>
  <si>
    <t>跳纤，爱奇艺互联使用：1楼机房 B14机柜5126-BJDHMPOP-0-12-DCP-TI2-RO2至2楼机房M03-B11机柜5126-BJDHMPOP-2-10-LSC-OUT-IN</t>
  </si>
  <si>
    <t>跳纤，爱奇艺互联使用：1楼机房 B14机柜5126-BJDHMPOP-1-12-DCP-TI1-RO1跳2楼机房M03-B11机柜5126-BJDHMPOP-2-3-LSC-OUT-IN</t>
  </si>
  <si>
    <t>跳纤，爱奇艺互联使用：新增1对芯，1楼机房 B14机柜5126-BJDHMPOP-1-12-DCP-TI2-RO2跳2楼机房M03-B11机柜5126-BJDHMPOP-2-4-LSC-OUT-IN</t>
  </si>
  <si>
    <t>跳纤，爱奇艺互联使用：1楼机房 B14机柜5126-BJDHMPOP-1-11-QCP-TI2-RO2跳2楼机房M03-B11机柜5126-BJDHMPOP-2-5-LTX-OUT-IN</t>
  </si>
  <si>
    <t>跳纤，爱奇艺互联使用：1楼机房 B14机柜5126-BJDHMPOP-2-11-QCP-TI3--RO3至2楼机房M03-B11机柜5126-BJDHMPOP-2-7-LTX-OUT-IN</t>
  </si>
  <si>
    <t>引接缆，外线光缆成端费用：南苑路3-1-10(太和桥百度东进楼井)</t>
  </si>
  <si>
    <t>引接缆，外线光缆成端费用：南苑路3-1-9（百度6号门）</t>
  </si>
  <si>
    <t>跳纤，接入间-设备机柜跳纤费：光环新网1-13（太和桥西交接箱）跳至M03-B12机柜</t>
  </si>
  <si>
    <t>跳纤，接入间-设备机柜跳纤费：南苑路3-1-10(太和桥百度东进楼井)至M03-B12机柜</t>
  </si>
  <si>
    <t>跳纤，接入间-设备机柜跳纤费：南苑路3-1-9（百度6号门）至M03-B11机柜</t>
  </si>
  <si>
    <t>跳纤，接入间-设备机柜跳纤费：光环新网1-14（百度科技园1号门）至M03-B11机柜</t>
  </si>
  <si>
    <t>B2网络均分改造，传输BJDHMPOP-BJKJY系统进行板卡扩容，需要在皓宽机房内增加互联光缆2条。
爱奇艺跳纤，业务编号20230208021：百度M01-B14机柜-百度华为DC908-5567-BJDHMPOP-子架0-1-MD02A至爱奇艺M03-B11机柜-百度华为DC908-5497-BJDHMPOP-子架0-1-EMD60-M12/D12；业务编号20230208022：百度M01-B14机柜-百度华为DC908-5567-BJDHMPOP-子架0-1-MD02A至爱奇艺M03-B11机柜-百度华为DC908-5497-BJDHMPOP-子架0-1-EMD60-M13/D13</t>
  </si>
  <si>
    <t>代理商-移动</t>
  </si>
  <si>
    <t>河北</t>
  </si>
  <si>
    <t>北京新流万联网络技术有限公司</t>
  </si>
  <si>
    <t>新流万联</t>
  </si>
  <si>
    <t>L20220907002</t>
  </si>
  <si>
    <t>石家庄</t>
  </si>
  <si>
    <t xml:space="preserve">V石家庄移动  </t>
  </si>
  <si>
    <t>CACDNVSJZCM</t>
  </si>
  <si>
    <t>裸金属，20220901开始计费，使用64个，111.62.181.0/26</t>
  </si>
  <si>
    <t>内蒙古</t>
  </si>
  <si>
    <t>北京云端智度科技有限公司</t>
  </si>
  <si>
    <t>云端智度</t>
  </si>
  <si>
    <t>L20230204009</t>
  </si>
  <si>
    <t>呼和浩特</t>
  </si>
  <si>
    <t>V呼和浩特2移动</t>
  </si>
  <si>
    <t xml:space="preserve">CACDNVHHHTCM </t>
  </si>
  <si>
    <t>裸金属，20220302开始计费，免费40个，使用32个，117.161.128.96/27</t>
  </si>
  <si>
    <t>CDN机架</t>
  </si>
  <si>
    <t>16A</t>
  </si>
  <si>
    <t>裸金属，20220302开始计费，免费2个，使用2个</t>
  </si>
  <si>
    <t>代理商-联通</t>
  </si>
  <si>
    <t>山东</t>
  </si>
  <si>
    <t>182215IDC00288</t>
  </si>
  <si>
    <t>济南</t>
  </si>
  <si>
    <t>V济南联通</t>
  </si>
  <si>
    <t>CACDNVJNUN</t>
  </si>
  <si>
    <t>裸金属，20220409开始计费，20220531退租，免费80个，使用64个，61.156.246.192/26</t>
  </si>
  <si>
    <t>裸金属，20220531退租，免费80个，使用64个，61.156.246.192/26</t>
  </si>
  <si>
    <t>裸金属，20220409开始计费，裸金属，免费4个，使用3个，CACDNVJNUN-5F15-03,CACDNVJNUN-5F15-04,CACDNVJNUN-5F15-05</t>
  </si>
  <si>
    <t>裸金属，20220531退租</t>
  </si>
  <si>
    <t>182215IDC00319</t>
  </si>
  <si>
    <t>V济南3电信</t>
  </si>
  <si>
    <t>CACDNVJNCT2</t>
  </si>
  <si>
    <t>裸金属，20220407开始计费，免费160个，使用128个，182.40.29.0/25</t>
  </si>
  <si>
    <t>裸金属，20220407开始计费，赠送8个，使用6个，CACDNVJNCT2-4F05-02,CACDNVJNCT2-4F05-03,CACDNVJNCT2-4F05-04,CACDNVJNCT2-4F05-05,CACDNVJNCT2-4F04-11,CACDNVJNCT2-4F04-12</t>
  </si>
  <si>
    <t>182215IDC00373</t>
  </si>
  <si>
    <t>V济南电信</t>
  </si>
  <si>
    <t>CACDNVJNCT</t>
  </si>
  <si>
    <t>裸金属，20220304开始计费，赠送80个IP,使用64个，150.138.238.64/26</t>
  </si>
  <si>
    <t>裸金属，20220304开始计费，免费4个，使用3个，4f01-15,4f01-16,4f01-17</t>
  </si>
  <si>
    <t>182215IDC00459</t>
  </si>
  <si>
    <t>V济南2电信</t>
  </si>
  <si>
    <t>裸金属，20220401开始计费，按实际使用需求赠送，使用1个IP，150.138.216.69/32</t>
  </si>
  <si>
    <t>段</t>
  </si>
  <si>
    <t>裸金属，IPV6：按实际使用需求赠送</t>
  </si>
  <si>
    <t>裸金属，按实际使用需求赠送机柜</t>
  </si>
  <si>
    <t>182215IDC00460</t>
  </si>
  <si>
    <t>滨州</t>
  </si>
  <si>
    <t>V滨州联通</t>
  </si>
  <si>
    <t>CACDNVBZUN</t>
  </si>
  <si>
    <t>裸金属，20220501开始计费，222.134.1.39/32，按实际使用需求赠送</t>
  </si>
  <si>
    <t>裸金属，20220909退租。</t>
  </si>
  <si>
    <t>辽宁</t>
  </si>
  <si>
    <t>182215IDC00461</t>
  </si>
  <si>
    <t>抚顺</t>
  </si>
  <si>
    <t>V抚顺电信</t>
  </si>
  <si>
    <t>CACDNVFUSCT</t>
  </si>
  <si>
    <t>裸金属，20220501开始计费，123.246.198.200/32，按实际使用需求赠送</t>
  </si>
  <si>
    <t>V抚顺2电信</t>
  </si>
  <si>
    <t>裸金属，20220501开始计费，123.246.198.195/32，按实际使用需求赠送</t>
  </si>
  <si>
    <t>甘肃</t>
  </si>
  <si>
    <t>182215IDC00462</t>
  </si>
  <si>
    <t>兰州</t>
  </si>
  <si>
    <t>V兰州电信</t>
  </si>
  <si>
    <t>CACDNVLZCT</t>
  </si>
  <si>
    <t>裸金属，20220501开始计费，118.182.248.55/32，按需赠送</t>
  </si>
  <si>
    <t>182215IDC00463</t>
  </si>
  <si>
    <t>宁波</t>
  </si>
  <si>
    <t>V宁波移动</t>
  </si>
  <si>
    <t>CACDNVNBCM</t>
  </si>
  <si>
    <t>裸金属，2022.12.31退租。20220401开始计费，使用1个IP，183.249.66.45/32，按实际使用赠送</t>
  </si>
  <si>
    <t>裸金属，2022.12.31退租。IPV6：按实际使用需求赠送</t>
  </si>
  <si>
    <t>裸金属，2022.12.31退租。按实际使用需求赠送机柜</t>
  </si>
  <si>
    <t>182215IDC00465</t>
  </si>
  <si>
    <t>V宁波2移动</t>
  </si>
  <si>
    <t>裸金属，20220401开始计费，使用1个IP，183.249.66.109/32，按实际使用需求赠送</t>
  </si>
  <si>
    <t>裸金属，20220914退租。</t>
  </si>
  <si>
    <t>V宁波7移动</t>
  </si>
  <si>
    <t>裸金属，20220914开始计费，使用183.249.66.55/32</t>
  </si>
  <si>
    <t>裸金属，2022.12.31节点下线。20220914开始计费，使用183.249.66.55/32</t>
  </si>
  <si>
    <t>182215IDC00654</t>
  </si>
  <si>
    <t>荆州</t>
  </si>
  <si>
    <t>V荆州联通</t>
  </si>
  <si>
    <t>CAVJINGZUN</t>
  </si>
  <si>
    <t>裸金属，20220801开始计费，使用183.94.165.53/32</t>
  </si>
  <si>
    <t>182215IDC00656</t>
  </si>
  <si>
    <t>V宁波3移动</t>
  </si>
  <si>
    <t>CAVNBCM</t>
  </si>
  <si>
    <t>裸金属，2022.12.31退租。20220801开始计费，使用183.249.66.43/32</t>
  </si>
  <si>
    <t>182215IDC00658</t>
  </si>
  <si>
    <t>泰安</t>
  </si>
  <si>
    <t>V泰安联通</t>
  </si>
  <si>
    <t>CAVTAUN</t>
  </si>
  <si>
    <t>裸金属，20220801开始计费，使用61.156.50.164/32</t>
  </si>
  <si>
    <t>裸金属，2023/1/3退租。20220801开始计费，使用61.156.50.164/32</t>
  </si>
  <si>
    <t>安徽</t>
  </si>
  <si>
    <t>182215IDC00653</t>
  </si>
  <si>
    <t>淮南</t>
  </si>
  <si>
    <t>V淮南移动</t>
  </si>
  <si>
    <t>CAVHNCM</t>
  </si>
  <si>
    <t>裸金属，20220801开始计费，使用112.29.197.76/32</t>
  </si>
  <si>
    <t>吉林</t>
  </si>
  <si>
    <t>182215IDC00655</t>
  </si>
  <si>
    <t>辽源</t>
  </si>
  <si>
    <t>V辽源移动</t>
  </si>
  <si>
    <t>CAVLIAOYCM</t>
  </si>
  <si>
    <t>裸金属，20220801开始计费，使用36.135.86.39/32</t>
  </si>
  <si>
    <t>裸金属，20220831退租。</t>
  </si>
  <si>
    <t>江苏</t>
  </si>
  <si>
    <t>182215IDC00657</t>
  </si>
  <si>
    <t>苏州</t>
  </si>
  <si>
    <t>V苏州2移动</t>
  </si>
  <si>
    <t>CACDNVSUZCM</t>
  </si>
  <si>
    <t>裸金属，20220801开始计费，使用36.152.221.205/32</t>
  </si>
  <si>
    <t>V苏州移动</t>
  </si>
  <si>
    <t>裸金属，20220801开始计费，使用36.152.221.204/32</t>
  </si>
  <si>
    <t>182215IDC00659</t>
  </si>
  <si>
    <t>V泰安3联通</t>
  </si>
  <si>
    <t>CACDNVTAUN</t>
  </si>
  <si>
    <t>裸金属，20220802开始计费，使用61.156.50.166/32</t>
  </si>
  <si>
    <t>裸金属，2023/1/3退租。20220802开始计费，使用61.156.50.166/32</t>
  </si>
  <si>
    <t>182215IDC00672</t>
  </si>
  <si>
    <t>V宁波6移动</t>
  </si>
  <si>
    <t>裸金属，2022.12.31退租。20220901开始计费，使用183.249.66.46/32</t>
  </si>
  <si>
    <t>V宁波5移动</t>
  </si>
  <si>
    <t>裸金属，20220901开始计费，使用183.249.66.44/32</t>
  </si>
  <si>
    <t>裸金属，2022/9/9退租：183.249.66.44/32</t>
  </si>
  <si>
    <t>V宁波4移动</t>
  </si>
  <si>
    <t>裸金属，2022.12.31退租。20220901开始计费，使用183.249.66.42/32</t>
  </si>
  <si>
    <t>182215IDC00673</t>
  </si>
  <si>
    <t>V济南3联通</t>
  </si>
  <si>
    <t>CACDNVJNUN2</t>
  </si>
  <si>
    <t>裸金属，20220901开始计费，使用123.134.95.4/32</t>
  </si>
  <si>
    <t>裸金属，2023/2/28节点退租：123.134.95.4/32</t>
  </si>
  <si>
    <t>V济南2联通</t>
  </si>
  <si>
    <t>裸金属，2023/2/28节点退租。20220901开始计费，使用123.134.95.3/32</t>
  </si>
  <si>
    <t>裸金属，2023/2/28节点退租：123.134.95.3/32</t>
  </si>
  <si>
    <t>182215IDC00666</t>
  </si>
  <si>
    <t>V荆州2联通</t>
  </si>
  <si>
    <t>CACDNVJINGZUN</t>
  </si>
  <si>
    <t>裸金属，20220901开始计费，使用183.94.165.54/32</t>
  </si>
  <si>
    <t>182215IDC00669</t>
  </si>
  <si>
    <t>V苏州3移动</t>
  </si>
  <si>
    <t>裸金属，20220901开始计费，使用36.152.221.141/32</t>
  </si>
  <si>
    <t>黑龙江</t>
  </si>
  <si>
    <t>182215IDC00665</t>
  </si>
  <si>
    <t>鹤岗</t>
  </si>
  <si>
    <t>V鹤岗移动</t>
  </si>
  <si>
    <t>CACDNVHGCM</t>
  </si>
  <si>
    <t>裸金属，20220901开始计费，使用111.42.137.18/32</t>
  </si>
  <si>
    <t>182215IDC00661</t>
  </si>
  <si>
    <t>V淮南2移动</t>
  </si>
  <si>
    <t>CACDNVHNCM</t>
  </si>
  <si>
    <t>裸金属，20220901开始计费，使用112.29.197.75/32</t>
  </si>
  <si>
    <t>182215IDC00670</t>
  </si>
  <si>
    <t>金华</t>
  </si>
  <si>
    <t>V金华移动</t>
  </si>
  <si>
    <t>CACDNVJHCM</t>
  </si>
  <si>
    <t>裸金属，20220901开始计费，使用111.2.88.135/32</t>
  </si>
  <si>
    <t>裸金属，2022/9/30退租。20220901开始计费，使用111.2.88.135/32</t>
  </si>
  <si>
    <t>182215IDC00664</t>
  </si>
  <si>
    <t>天水</t>
  </si>
  <si>
    <t>V天水电信</t>
  </si>
  <si>
    <t>CACDNVTIANSCT</t>
  </si>
  <si>
    <t>裸金属，20220901开始计费，使用125.75.230.168/32</t>
  </si>
  <si>
    <t>182215IDC00662</t>
  </si>
  <si>
    <t>V兰州3电信</t>
  </si>
  <si>
    <t>CACDNVLZCT2</t>
  </si>
  <si>
    <t>裸金属，20220901开始计费，使用118.182.248.70/32</t>
  </si>
  <si>
    <t>V兰州2电信</t>
  </si>
  <si>
    <t>裸金属，20220901开始计费，使用118.182.248.57/32</t>
  </si>
  <si>
    <t>182215IDC00663</t>
  </si>
  <si>
    <t>V兰州4电信</t>
  </si>
  <si>
    <t>裸金属，20220903开始计费，使用118.182.249.32/27</t>
  </si>
  <si>
    <t>河南</t>
  </si>
  <si>
    <t>L20220902004</t>
  </si>
  <si>
    <t>鹤壁</t>
  </si>
  <si>
    <t>V鹤壁联通</t>
  </si>
  <si>
    <t>CACDNVHBUN</t>
  </si>
  <si>
    <t>裸金属，20220903开始计费，使用123.12.243.0/27</t>
  </si>
  <si>
    <t>裸金属，20220913退租，202209不计费。</t>
  </si>
  <si>
    <t>182215IDC00668</t>
  </si>
  <si>
    <t>延边</t>
  </si>
  <si>
    <t>V延边移动</t>
  </si>
  <si>
    <t>CACDNVYANBCM</t>
  </si>
  <si>
    <t>裸金属，20220903开始计费，使用211.141.35.32/27</t>
  </si>
  <si>
    <t>裸金属，2023/3/17退租；20220903开始计费，使用211.141.35.32/27</t>
  </si>
  <si>
    <t>182315IDC00021</t>
  </si>
  <si>
    <t>V济南4联通</t>
  </si>
  <si>
    <t>裸金属，20220922开始计费，替换V滨州联通。使用123.134.95.12/32</t>
  </si>
  <si>
    <t>裸金属，2023/2/28节点退租：使用123.134.95.12/32。替换V滨州联通。</t>
  </si>
  <si>
    <t>北京中金云网科技有限公司</t>
  </si>
  <si>
    <t>中金云网</t>
  </si>
  <si>
    <t>电路</t>
  </si>
  <si>
    <t>182015IDC00216
L20230311025</t>
  </si>
  <si>
    <t>400M三线BGP服务
(电信、联通、移动）专线1</t>
  </si>
  <si>
    <t>生产区</t>
  </si>
  <si>
    <t>费用每月固定，传输资源编号：TS-OT20170325002</t>
  </si>
  <si>
    <t>移动2M本地点对点专线</t>
  </si>
  <si>
    <t>2M</t>
  </si>
  <si>
    <t>2020.9.1转签至北京移动
2020.5.1转签至北京移动
业务编号：26001947965 ， 百度科技</t>
  </si>
  <si>
    <t>移动10M本地点对点专线</t>
  </si>
  <si>
    <t>10M</t>
  </si>
  <si>
    <t>超电流费用结算(IDC机架)</t>
  </si>
  <si>
    <t>BJBX</t>
  </si>
  <si>
    <t>度</t>
  </si>
  <si>
    <t>202303 中金云网BJBX超跑电流，暂按240000度预估。每月正预提
http://www.bj.sgcc.com.cn/html/main/col40274/column_40274_1.html</t>
  </si>
  <si>
    <t>业务编号：L1709004 ， 同辉永联 
备注：联通，专线号：28731758；100M-&gt;①70M；中金--北京市朝阳区安定路5号院3号楼8层</t>
  </si>
  <si>
    <t>业务编号：L1709022 ， 万国数据（2019年1月9日提出撤销申请，3个工作日后，1月15日停止计费。）L1905011汇天机房移动10M</t>
  </si>
  <si>
    <t>业务编号：L1712001 ， 万国数据
备注：移动，专线号：26001949827；100M-&gt;①70M；中金--北京市朝阳区安定路5号院3号楼8层</t>
  </si>
  <si>
    <t>业务编号：L1711016 ， 同辉永联（2019年1月9日提出撤销申请，3个工作日后，1月15日停止计费。）L1905009汇天机房电信10M（B17558954）</t>
  </si>
  <si>
    <t>业务编号：L1801001 ， 深圳通</t>
  </si>
  <si>
    <t>业务编号：L1709013 ，深证通业务专线。长途专线号：ANE0046NP
28734084(L1709013)</t>
  </si>
  <si>
    <t>业务编号：L1805010</t>
  </si>
  <si>
    <t>业务编号：L1805004</t>
  </si>
  <si>
    <t>业务编号：L1805003</t>
  </si>
  <si>
    <t>业务编号：L1808013</t>
  </si>
  <si>
    <t>业务编号：L1808014</t>
  </si>
  <si>
    <t>业务编号：L1808015</t>
  </si>
  <si>
    <t>业务编号：L1808016</t>
  </si>
  <si>
    <t>业务编号：L1809011。中航信托：119机房电信A3-1 7-8口  ---743机房B03隔笼机柜E-01机柜</t>
  </si>
  <si>
    <t>2022/11/3退租。业务编号：L1809011。中航信托：119机房电信A3-1 7-8口  ---743机房B03隔笼机柜E-01机柜</t>
  </si>
  <si>
    <t>华胜天成 L1905028 新开通</t>
  </si>
  <si>
    <t>L1908017 B17559886</t>
  </si>
  <si>
    <t>2019/8/29开通
2021/8/31退租</t>
  </si>
  <si>
    <t xml:space="preserve">L1908009 </t>
  </si>
  <si>
    <t>L1908010</t>
  </si>
  <si>
    <t>L1908011</t>
  </si>
  <si>
    <t>L1908012</t>
  </si>
  <si>
    <t>L1908014（26009954397）</t>
  </si>
  <si>
    <t>L1911002，（B46680431 58703700） 11月新增7118-2机房 电信大猫框1 12/13槽至743机房 E12-1 电信大光猫</t>
  </si>
  <si>
    <t>L1911003，（B46680430 58703700 ）11月新增7118-2机房 电信大猫框1 12/13槽至743机房 E12-1 电信大光猫</t>
  </si>
  <si>
    <t>L1912006，西侧光交箱-腾讯747机房</t>
  </si>
  <si>
    <t>L1912005，北侧光交箱-腾讯746机房</t>
  </si>
  <si>
    <t>2020/1/7开通
2021/8/31退租</t>
  </si>
  <si>
    <t>L1912036，北辰世纪中心 A座16层机房-743 H03机柜</t>
  </si>
  <si>
    <t>L1912037，北辰世纪中心 A座16层机房-743 J04机柜</t>
  </si>
  <si>
    <t>原L1912037，更新为L2003002</t>
  </si>
  <si>
    <t>2021/6/21退租，冲销9天费用。L2003002 7118-2机房  ODF4-3  63/64芯至743机房  E02-1机柜</t>
  </si>
  <si>
    <t>原：联通10M本地点对点专线</t>
  </si>
  <si>
    <t xml:space="preserve">2020.4.14转签至北京联通
2020年2月3日降速为6M:业务编号：28726821 ， 本端：743机房B03隔笼E02机柜
对端：朝阳门北大街21号电信大厦二层机房 中信银行 </t>
  </si>
  <si>
    <t>原：电信10M本地点对点专线</t>
  </si>
  <si>
    <t>2020.5.1转签至北京电信
电信10M本地点对点专线
2020年1月21日降速为6M:业务编号：B17553231 ， 本端：743机房B03隔笼E01机柜
对端：朝阳门北大街21号电信大厦二层机房中信银行</t>
  </si>
  <si>
    <t>原：电信2M长途点对点专线</t>
  </si>
  <si>
    <t>2020.5.1转签至北京电信
业务编号：B18637943 ， 本端：743机房B03隔笼E01机柜
对端：南京市下关区张王庙88号M2-A南京凤凰机房百度李皓琦18516551024</t>
  </si>
  <si>
    <t xml:space="preserve">2020.4.14转签至北京联通
业务编号：28727771 ， 本端：743机房B03隔笼E02机柜
对端：北京南六环太和桥南瑞合西二路和瑞和东一街交口百度亦庄数据中心百度 李皓琦18516551024 </t>
  </si>
  <si>
    <t>2020.4.14转签至北京联通
业务编号：28727767 ， 本端：743机房B03隔笼E02机柜
对端：北京市西城区月坛南街79号三层东侧科技处机房 人行孙昊68559622/13466521412</t>
  </si>
  <si>
    <t>2020.5.1转签至北京电信
业务编号：B17553353 ， 本端：743机房B03隔笼E01机柜
对端：北京海淀区巨山东路99号人民银行办公区办公楼二层网络机房人行孙昊68559622/13466521412</t>
  </si>
  <si>
    <t>线路2020.10.23退租，11月整月不计费。 2020.5.1转签至北京电信
业务编号：B17553353</t>
  </si>
  <si>
    <t>2020.5.1转签至北京电信
业务编号：B17553605 ， 本端：743机房B03隔笼E01机柜   对端：北京市西城区右安门内大街新安南里甲一号人行周密15901017884</t>
  </si>
  <si>
    <t>2020.4.14转签至北京联通
业务编号：28730815 ， 本端：743机房B03隔笼E02机柜。3月21日降速至10M，
对端：北京市西城区德胜门外大街79号德胜国际C座三层机房人行周密15901017884</t>
  </si>
  <si>
    <t>原：联通2M长途点对点专线</t>
  </si>
  <si>
    <t>2020.4.14转签至北京联通
业务编号：28733395 ， 上海宝付</t>
  </si>
  <si>
    <t>线路退租，2020/9/28停止收取光纤费用。
2020.4.14转签至北京联通
业务编号：28733395 ， 上海宝付</t>
  </si>
  <si>
    <t>原：联通2M本地点对点专线</t>
  </si>
  <si>
    <t xml:space="preserve">2020.4.14转签至北京联通
业务编号：28733572（L2006010） ， 百悟科技 </t>
  </si>
  <si>
    <t>百信银行到北京百悟科技有限公司专线号：28733572，同步撤销中金机房局内布线一条 线路号为：L2006010</t>
  </si>
  <si>
    <t>2020.4.15转签至北京联通
业务编号：28734505 ， 银监会</t>
  </si>
  <si>
    <t>2022/8/25退租：银监会，联通业务编号：28734505，局内裸光纤编号：L2006011</t>
  </si>
  <si>
    <t>2020.5.1转签至北京电信
业务编号：B18638940 ， 上海宝付</t>
  </si>
  <si>
    <t>线路2020.10.12退租.2020.5.1转签至北京电信
业务编号：B18638940 ， 上海宝付</t>
  </si>
  <si>
    <t>原：联通8M本地点对点专线</t>
  </si>
  <si>
    <t>2020.4.14转签至北京联通
业务编号：28742883 ， 银联</t>
  </si>
  <si>
    <t>原：电信2M本地点对点专线</t>
  </si>
  <si>
    <t>2020.5.1转签至北京电信
业务编号：B17554529 ， 信诚人寿</t>
  </si>
  <si>
    <t>线路2020.10.23退租，11月整月不收费。2020.5.1转签至北京电信
业务编号：B17554529 ， 信诚人寿</t>
  </si>
  <si>
    <t>原：移动2M本地点对点专线</t>
  </si>
  <si>
    <t>运营商反馈2020.5.1转签至北京移动的流程未完成，线路费用仍然支付中金，不用支付局内裸光纤费用
2020.5.1转签至北京移动
业务编号：26001947965 ， 百度科技
TS-ADD20200620001</t>
  </si>
  <si>
    <t>原：电信8M长途点对点专线</t>
  </si>
  <si>
    <t>2020.5.1转签至北京电信
业务编号：B18639302,  5月8日升级至8M，按8M收费24天</t>
  </si>
  <si>
    <t>2020.5.7转签至北京联通
业务编号：28759395 ， 中债登</t>
  </si>
  <si>
    <t>2022.3.24退租。2020.5.7转签至北京联通
业务编号：28759395 ， 中债登</t>
  </si>
  <si>
    <t>2020.5.1转签至北京电信
业务编号：B17555135 ， 中债登</t>
  </si>
  <si>
    <t>原：移动10M本地点对点专线</t>
  </si>
  <si>
    <t>运营商反馈2020.5.1转签至北京移动的流程未完成，线路费用仍然支付中金，不用支付局内裸光纤费用
2020.5.1转签至北京移动
业务编号：26001962470 ， 人行-人行
TS-ADD20200620001</t>
  </si>
  <si>
    <t>2020.5.7转签至北京联通
业务编号：28762319 ， 人行</t>
  </si>
  <si>
    <t>线路2020.10.23退租，11月整月不收费。2020.5.7转签至北京联通
业务编号：28762319 ， 人行</t>
  </si>
  <si>
    <t>2020.5.1转签至北京电信
业务编号：B17555277 ， 银监会</t>
  </si>
  <si>
    <t>2020.5.7转签至北京联通
业务编号：28776179 ， 中国外汇交易中心</t>
  </si>
  <si>
    <t>2020.5.7转签至北京联通
业务编号：28776500 ， 上清所</t>
  </si>
  <si>
    <t>2020.5.7转签至北京联通
业务编号：32437191 ， 中债登</t>
  </si>
  <si>
    <t>原：联通4M长途点对点专线</t>
  </si>
  <si>
    <t>2020.5.7转签至北京联通
业务编号：32436855 ， 天津</t>
  </si>
  <si>
    <t>2020.5.7转签至北京联通
业务编号：37967171，百度汇天机房</t>
  </si>
  <si>
    <t>2020.5.7转签至北京联通
5月8日新开通，业务编号：37976297
4M长途线路</t>
  </si>
  <si>
    <t>原：电信4M长途点对点专线</t>
  </si>
  <si>
    <t>2020.5.1转签至北京电信
5月23日新开通，业务编号：B18644350，上海票交所：L2006030</t>
  </si>
  <si>
    <t>2022/11/3退租。
2020.5.1转签至北京电信
5月23日新开通，业务编号：B18644350，上海票交所：L2006030：7119机房 A5机柜 电信大猫框 0槽  ---743机房 B03隔笼 E01机柜 电信小光猫</t>
  </si>
  <si>
    <t>2020.5.1转签至北京电信
B131003140</t>
  </si>
  <si>
    <t>2022/8/25退租：银监会，电信业务编号：B131003140，局内裸光纤编号：L2006028</t>
  </si>
  <si>
    <t>移动</t>
  </si>
  <si>
    <t>1、百信银行主动发起，移动专线号L2006048：7119机房 A1机柜 移动CTN6150 2-3至743机房 HB-BJBX-B-R4431-14
2、百信银行主动发起，移动专线号L2006049：7119机房 A1机柜 移动CTN6150 2-4至743机房 HB-BJBX-B-R4431-15</t>
  </si>
  <si>
    <t>联通</t>
  </si>
  <si>
    <t>中金到美团联通专线局内裸光纤费用
L2004027（45704715）
7118-2机房 联通ODF4-3 69/70芯至743机房 E02-1机柜 联通小光猫</t>
  </si>
  <si>
    <t>电信</t>
  </si>
  <si>
    <t>中金到中信银行仲裁机房电信专线局内裸光纤费用
L2005004（B17572848)
7118-2机房 电信OSN2500 5-1口至743机房 G4-1 用户设备</t>
  </si>
  <si>
    <t>联通20M专线</t>
  </si>
  <si>
    <t>中金到中信银行仲裁机房联通专线局内裸光纤费用，2020/6/9开通，6月计费22天
L2006034（45708009）
7118-2机房 联通ODF4-4 19/20芯至743机房 H03-01机柜 用户设备</t>
  </si>
  <si>
    <t>2020.9.1转签至北京移动
业务编号：26001962470</t>
  </si>
  <si>
    <t xml:space="preserve">2020.9.1转签至北京移动
业务编号：26001947965 </t>
  </si>
  <si>
    <t xml:space="preserve">线路2020.10.23退租，11月整月不收费。2020.9.1转签至北京移动
业务编号：26001947965 </t>
  </si>
  <si>
    <t>第三方公司智博天下主动发起，联通专线号L2010001（45733354）：7118-2机房 联通MSAP 11-1口至743机房 D04机柜 ODF3 35/36芯E-12-1 联通小光猫</t>
  </si>
  <si>
    <t>百信至北京亿美软通的点对点专线对应的中金园区内的局内裸光纤已于2月26日开通，专线号：L2102007（B17560224)：4107机房 电信A1机柜 ATN950B 1-1口至743机房 H03-1 电信小光猫</t>
  </si>
  <si>
    <t>L2108020（110YTW004328)：7118-2机房 联通ODF4-3 11/12芯至743机房E-02-01机柜 用户设备</t>
  </si>
  <si>
    <t>7118-2机房 ODF4-4 39/40芯至 743机房 E02-01 用户设备
L2110003（110YTW005212)
百信银行与第三方公司（中央国债登记结算有限公司）新增1条联通专线（该专线由中央国债登记结算有限公司主动发起）接入百信中金机房</t>
  </si>
  <si>
    <t>7118-2机房 ODF4-4 47/48芯至 743机房 E02-01 用户设备
L2110001（110YTW005211)
百信银行与第三方公司（中央国债登记结算有限公司）新增1条联通专线（该专线由中央国债登记结算有限公司主动发起）接入百信中金机房</t>
  </si>
  <si>
    <t>7118-2机房 MSTP 10-2口 至 743机房 I04-01 用户设备：L2203004</t>
  </si>
  <si>
    <t>7118-2机房 ODF4-6 49/50芯 至743机房 E02-01 联通小光猫
L2204001（110YTW10850924)
百信银行与第三方公司（中国农业银行）新增1条联通（运营商）专线（该专线由中国农业银行主动发起）接入百信中金机房</t>
  </si>
  <si>
    <t>7118-2 ODF4-6 51/52至 743 I04-01机柜。L2204015</t>
  </si>
  <si>
    <t>联通10M。L2204012，
110BLZ10785856。中金-惠通职场，朝阳区姚家园南路1号。7118-2 1800 7-10至 743 J04-01。</t>
  </si>
  <si>
    <t>惠通职场。L2207003（MSTPBJ1001662535）AZ端：7F403-A-09-05-联通7118机房</t>
  </si>
  <si>
    <t>联通。增加95短号。L2208003。联通7118机房 联通传输 至7F403-A09-05</t>
  </si>
  <si>
    <t>场地租金</t>
  </si>
  <si>
    <t>机房</t>
  </si>
  <si>
    <t>新合同约定：二、 自2020年3月25日起，机房场地资源服务费的价格调整至¥23,100.00元/平米/年。办公场地费用：每月固定</t>
  </si>
  <si>
    <t>办公</t>
  </si>
  <si>
    <t>办公场地费用：每月固定</t>
  </si>
  <si>
    <t>L20200325001</t>
  </si>
  <si>
    <t>400M三线BGP服务
(电信、联通、移动）专线2</t>
  </si>
  <si>
    <t xml:space="preserve"> </t>
  </si>
  <si>
    <t>8月1日补充协议生效，按所有互联网带宽整合计算统一费用</t>
  </si>
  <si>
    <t>联通10M本地点对点专线</t>
  </si>
  <si>
    <t>2020-2-3降速</t>
  </si>
  <si>
    <t>10M-6M</t>
  </si>
  <si>
    <t>电信10M本地点对点专线</t>
  </si>
  <si>
    <t>2020-1-21降速</t>
  </si>
  <si>
    <t>电信2M长途点对点专线</t>
  </si>
  <si>
    <t>联通2M长途点对点专线</t>
  </si>
  <si>
    <t>联通2M本地点对点专线</t>
  </si>
  <si>
    <t xml:space="preserve">2020.4.14转签至北京联通
业务编号：28733572 ， 百悟科技 </t>
  </si>
  <si>
    <t>联通8M本地点对点专线</t>
  </si>
  <si>
    <t>8M</t>
  </si>
  <si>
    <t>电信2M本地点对点专线</t>
  </si>
  <si>
    <t>电信8M长途点对点专线</t>
  </si>
  <si>
    <t>2019-11-1撤销线路，停止计费：业务编号：B18639334 ， 信城基金</t>
  </si>
  <si>
    <t>2020.5.7转签至北京联通，并于5.19撤租.5月多计提在付款时冲销
业务编号：32437284 ， 中航信南昌</t>
  </si>
  <si>
    <t>联通4M长途点对点专线</t>
  </si>
  <si>
    <t>4M</t>
  </si>
  <si>
    <t>电信4M长途点对点专线</t>
  </si>
  <si>
    <t>2020.5.1转签至北京电信
5月23日新开通，业务编号：B18644350</t>
  </si>
  <si>
    <t>2020.5.1转签至北京电信
B17554529</t>
  </si>
  <si>
    <t>L20200325002</t>
  </si>
  <si>
    <t>IDC IP</t>
  </si>
  <si>
    <t>测试区100M互联网专线</t>
  </si>
  <si>
    <t>测试区</t>
  </si>
  <si>
    <t>测试区100M互联网专线
8月1日补充协议生效，按所有互联网带宽整合计算统一费用</t>
  </si>
  <si>
    <t>L20220820001</t>
  </si>
  <si>
    <t>IDC 机架</t>
  </si>
  <si>
    <t>20A</t>
  </si>
  <si>
    <t>2022.11更新计提单价。BJBX7F404-A-02、BJBX7F404-A-03、BJBX7F404-A-05、BJBX7F404-A-06、BJBX7F404-B-02、BJBX7F404-B-03、BJBX7F404-B-05、BJBX7F404-B-06、BJBX7F404-C-02、BJBX7F404-C-03、BJBX7F404-E-01、BJBX7F404-I-05、BJBX7F404-I-06、BJBX7F404-J-05、BJBX7F404-J-06</t>
  </si>
  <si>
    <t>BJBX-云托管</t>
  </si>
  <si>
    <t>2022.11更新计提单价。BJBX7F404-A-01、BJBX7F404-A-04、BJBX7F404-B-01、BJBX7F404-B-04</t>
  </si>
  <si>
    <t>40A</t>
  </si>
  <si>
    <t>2022.11更新计提单价。BJBX7F404-G-08、BJBX7F404-H-08、BJBX7F404-I-07、BJBX7F404-I-08、BJBX7F404-J-07、BJBX7F404-J-08</t>
  </si>
  <si>
    <t>2022.11更新计提单价。BJBX7F404-A-07、BJBX7F404-B-07</t>
  </si>
  <si>
    <t>2022.11更新计提单价。BJBX7F404-C-02、BJBX7F404-C-03</t>
  </si>
  <si>
    <t>汇天网络科技有限公司</t>
  </si>
  <si>
    <t>百信汇天</t>
  </si>
  <si>
    <t>181815IDC00243</t>
  </si>
  <si>
    <t>BXHT</t>
  </si>
  <si>
    <t>14A</t>
  </si>
  <si>
    <t>30A</t>
  </si>
  <si>
    <t>BXHT4D101-E-01、BXHT4D101-E-02、BXHT4D101-E-03</t>
  </si>
  <si>
    <t>2021/10/25开通，10月计费7天：BXHT4D101-E-04、BXHT4D101-E-05、BXHT4D101-E-06</t>
  </si>
  <si>
    <t>BXHT4D101-E-07，BXHT4D101-E-08，BXHT4D101-E-09</t>
  </si>
  <si>
    <t>BXHT4D101-E-10、BXHT4D101-E-11、BXHT4D101-E-12</t>
  </si>
  <si>
    <t>机架占用费</t>
  </si>
  <si>
    <t>汇天机架占用费，合同约定：第7个月起未起租机柜收取机架预占费1984元/月/架，总量72-已使用66=占用6架
月末根据实际机架开通数量重新计算占用数量</t>
  </si>
  <si>
    <t>181915IDC00131</t>
  </si>
  <si>
    <t>端口占用费</t>
  </si>
  <si>
    <t>更新：由汇天4号楼5层A路电信间布设一条24芯光缆至百信客户4号楼101机房A06机柜，并进行熔接，ODF配线架类型采用LC接口
甲方开通22条线路，则其中12条按照416元/月/端口，剩余10条按照500元/月/端口计费。
甲方开通25条线路，则其中24条按照416元/月/端口，剩余1条按照500元/月/端口计费。
每月正预提</t>
  </si>
  <si>
    <t>恩牛 电信10M，专线号18644616
每月正预提</t>
  </si>
  <si>
    <t>百信汇天机房人行互联26009943422
本端：北京市通州区宋庄镇汇天云端产业园4号楼机房
对端：北京市经济技术开发区博兴8路1号中金云网公司7号楼4层743单元
每月正预提</t>
  </si>
  <si>
    <t>8月新增4个端口:
    1、B17553353 BXHT-4D101-A-07-09 HB-BXHT-C-NE40-164.Ext G3/0/0人行营业管理部
    2、B17554529 BXHT-4D101-A-07-01 HB-BXHT-C-NE40-160.Ext G3/0/5信诚人寿（中信保诚）
    3、B17555135 BXHT-4D101-A-07-01 HB-BXHT-C-NE40-160.Ext G3/0/3（中央国债登记结算中心）
    4、B17559886 BXHT-4D101-B-07-09 HB-BXHT-C-NE40-165.Ext G3/0/7（百信汇天人行互联）
每月正预提</t>
  </si>
  <si>
    <t>退租：B17555135 BXHT-4D101-A-07-01 HB-BXHT-C-NE40-160.Ext G3/0/3（中央国债登记结算中心）。合同约定端口占用费每满12个，前12个按416计费，其他按500，故本次退租减少月租500元
每月正预提</t>
  </si>
  <si>
    <t>8月新增1个端口:1、B18638940 BXHT-4D101-A-07-01 HB-BXHT-C-NE40-160.Ext G3/0/4宝付
每月正预提</t>
  </si>
  <si>
    <t xml:space="preserve">2020.10.31退租。
业务编号：B18638940 </t>
  </si>
  <si>
    <t>8月新增1个端口：45679941
本端：北京市通州区宋庄镇汇天云端产业园4号楼机房
对端：武汉市江汉经济开发区江旺路6号火凤凰云基地1层
每月正预提</t>
  </si>
  <si>
    <t>9月新增农信银 电信2M专线B18646486
本端：北京市通州区宋庄镇汇天云端产业园4号楼机房
对端：湖南省长沙市开福区湘春路260号星沙农村商业银行2楼长沙数据中心机房
每月正预提</t>
  </si>
  <si>
    <t>10月新增：百信移动浦发银行2M专线，FE0296KA/NP/P
本端：北京市通州区宋庄镇汇天云端产业园4号楼机房
对端：上海市莲花路1688号一楼机房
甲方开通端口数量每达到12个端口即可享受优惠，优惠后端口专线价格按416元/月/端口执行
每月正预提</t>
  </si>
  <si>
    <t>10月新增：百信联通人行营业管理部2 10M专线28762319
本端：北京市通州区宋庄镇汇天云端产业园4号楼机房
对端：北京市海淀区巨山东路99号中国人民银行营业管理部204室
甲方开通端口数量每达到12个端口即可享受优惠，优惠后端口专线价格按416元/月/端口执行
每月正预提</t>
  </si>
  <si>
    <t>11月1日新增：本端均为：汇天云端产业园4号楼机房
对端均为：酒仙桥百度云
每月正预提</t>
  </si>
  <si>
    <t>2020/6/19新增电信专线1条，专线号为：B46680635
本端：北京市通州区宋庄镇汇天云端产业园4号楼1-1机房
对端：15号楼B1电信机房
每月正预提</t>
  </si>
  <si>
    <t>本端：15号楼B1核心机房1、15#B1核心机房ODF 02柜第57盘9/10芯；2、15#B1核心机房ODF 03柜第33盘1/2芯。
对端：汇天网络云端产业园4号楼101机房的A07柜
每月正预提</t>
  </si>
  <si>
    <t>2021/8/2新增移动专线，专线号为：26010163191
本端：15号楼B1核心机房15#B1接入间R3-ZXCTN6150-2板4口
对端：汇天网络云端产业园4号楼101机房A04柜-3U-4板-42口</t>
  </si>
  <si>
    <t>联通50M。汇天-惠通职场。本端设备名称：HB-BXHT-C-CE12804-38.Int，本端设备接口：10GE4/0/45</t>
  </si>
  <si>
    <t>移动。百信银行从汇天园区18#楼移动机房至4号楼101机房的2对跳纤运营商于2022年6月22日布放完成
跳纤的端口占用信息如下：
跳纤1：18#B1移动机房ODF—18#B1传输ODF06柜-2盒-2盘-3/4芯—18#B1传输ODF04柜-5盒-2盘-5/6芯—4#b1接入间-2-10盒-2盘-5/6芯—4#b1接入间2-6盒-2盘-8/9芯—4#101百信机房
跳纤2：18#B1移动机房ODF—18#B1传输ODF06柜-2盒-2盘-5/6芯—18#B1传输ODF04柜-5盒-2盘-7/8芯—4#b1接入间-2-10盒-2盘-7/8芯—4#b1接入间2-6盒-2盘-10/12芯—4#101百信机房</t>
  </si>
  <si>
    <t>电信，50M，专线号：MSTPBJ1001663285。惠通职场</t>
  </si>
  <si>
    <t>百信95短号电信使用:15#B1核心ODF02柜-21盘-7/8芯—15#B1核心ODF05柜-9盘-11/12芯—4号楼B1接入间1-1-ODF09-3盘-11/12芯—4号楼B1接入间1-1-ODF6-2盘-5/6芯—4#百信1-1机房-A01柜-2盘-5/6芯—4#百信1-1机房-D7柜HB-BXHT-B-R4431-15.Int-G3/0/2——标签：BX-0022</t>
  </si>
  <si>
    <t>江苏凤凰数据有限公司</t>
  </si>
  <si>
    <t>凤凰数据</t>
  </si>
  <si>
    <t>182015IDC00004</t>
  </si>
  <si>
    <t>南京</t>
  </si>
  <si>
    <t>M2NJ</t>
  </si>
  <si>
    <t>历史开通累计</t>
  </si>
  <si>
    <t>73A</t>
  </si>
  <si>
    <t>M2-D-01</t>
  </si>
  <si>
    <t>27A</t>
  </si>
  <si>
    <t>M2-B-02、M2-B-03</t>
  </si>
  <si>
    <t>2017.5.25</t>
  </si>
  <si>
    <t>36A</t>
  </si>
  <si>
    <t>M2-C-02、M2-C-03</t>
  </si>
  <si>
    <t>40.9A</t>
  </si>
  <si>
    <t>M2-B-06、M2-C-06、M2-A-09</t>
  </si>
  <si>
    <t>95A</t>
  </si>
  <si>
    <t>M2-B-05、M2-C-05</t>
  </si>
  <si>
    <t>M2-B-04、M2-C-04、M2-D-02、M2-D-03、M2-D-04、M2-D-05、M2-D-06、M2-D-07</t>
  </si>
  <si>
    <t>IDC机架 网核机架</t>
  </si>
  <si>
    <t>M2-A-09</t>
  </si>
  <si>
    <t>M2-A-06 M2-A-07 
机柜单位价格为1700/kw/月，单价：8.8KW*1700=14960</t>
  </si>
  <si>
    <t>62.5A</t>
  </si>
  <si>
    <t>2020/7/10开通，M2-A-10
机柜单位价格为1700/kw/月，单价：13.75KW*1700=23375</t>
  </si>
  <si>
    <t>M2-A-01、M2-A-02、M2-A-03、M2-A-04</t>
  </si>
  <si>
    <t>2020/12/15开通，计费17天。M2-D-10</t>
  </si>
  <si>
    <t>M2-A-05。运营商从4.1开始计费</t>
  </si>
  <si>
    <t>M2-D-04、M2-D-05</t>
  </si>
  <si>
    <t>M2-D-01、M2-D-04、M2-D-05</t>
  </si>
  <si>
    <t>182215IDC00224</t>
  </si>
  <si>
    <t>NJ02</t>
  </si>
  <si>
    <t>2022/1/21 NJ02凤凰直签机房退租</t>
  </si>
  <si>
    <t>A</t>
  </si>
  <si>
    <t>2022/1/21 凤凰数据NJ02退租</t>
  </si>
  <si>
    <t>L20220727001</t>
  </si>
  <si>
    <t>NJ021B-A-11、NJ021B-A-12、NJ021B-A-13、NJ021B-A-14</t>
  </si>
  <si>
    <t>NJ021B-D-15</t>
  </si>
  <si>
    <t>M2NJ1B-B-11、M2NJ1B-B-12（与商务确认，M2NJ与NJ021B为同一机房）</t>
  </si>
  <si>
    <t>江苏凤凰新云网络科技有限公司</t>
  </si>
  <si>
    <t>凤凰新云</t>
  </si>
  <si>
    <t>182215IDC00675</t>
  </si>
  <si>
    <t>南京新港二期（108超核）</t>
  </si>
  <si>
    <t>NJXG</t>
  </si>
  <si>
    <t>136A</t>
  </si>
  <si>
    <t>2021/10/15开通，10月计费17天：NJXG108-A-10、NJXG108-B-10</t>
  </si>
  <si>
    <t>2021/10/15开通，10月计费17天：NJXG108-E-01、NJXG108-E-02</t>
  </si>
  <si>
    <t>202111SYS反馈6个机架电流实际为40.9A，调整计提行：NJXG108-F-02、NJXG108-F-06、NJXG108-F-07、NJXG108-G-02、NJXG108-H-02、NJXG108-H-03</t>
  </si>
  <si>
    <t>202111SYS反馈6个机架电流实际为40.9A，调整计提行：NJXG108-G-09、NJXG108-G-10、NJXG108-G-12、NJXG108-G-13、NJXG108-H-12、NJXG108-H-13</t>
  </si>
  <si>
    <t>0A</t>
  </si>
  <si>
    <t>2021/10/15开通2个布线柜，10月计费17天：NJXG108-F-01、NJXG108-G-01</t>
  </si>
  <si>
    <t>NJXG108-G-08</t>
  </si>
  <si>
    <t>NJXG108-H-09
NJXG108-H-10</t>
  </si>
  <si>
    <t>NJXG108-H-04、NJXG108-H-05、NJXG108-H-06、NJXG108-H-07</t>
  </si>
  <si>
    <t>NJXG108-A-07</t>
  </si>
  <si>
    <t>京东云计算有限公司</t>
  </si>
  <si>
    <t>京东云</t>
  </si>
  <si>
    <t>L20221228007</t>
  </si>
  <si>
    <t>呼和浩特6移动</t>
  </si>
  <si>
    <t>CACDNHHHTCM2</t>
  </si>
  <si>
    <t>裸金属，2022.12.31退租。20220501开始计费，117.161.205.0/25，117.161.205.128/27</t>
  </si>
  <si>
    <t>裸金属，2022.12.31退租。20220501开始计费，117.161.205.0/25 117.161.205.128/27</t>
  </si>
  <si>
    <t>182215IDC00636</t>
  </si>
  <si>
    <t>25A</t>
  </si>
  <si>
    <t>裸金属，2022.12.31退租。20220501开始计费，HHHTCM2-E-13,HHHTCM2-E-14</t>
  </si>
  <si>
    <t>北海</t>
  </si>
  <si>
    <t>北海移动</t>
  </si>
  <si>
    <t>CACDNBHCM</t>
  </si>
  <si>
    <t>裸金属，2022.12.31退租。20220501开始计费，36.136.112.0/25，36.136.94.128/25，36.136.112.160/27</t>
  </si>
  <si>
    <t>裸金属，2022.12.31退租。20220501开始计费,BHCM-A-01,BHCM-A-02</t>
  </si>
  <si>
    <t>王阳</t>
  </si>
  <si>
    <t>联通（江苏）产业互联网有限公司</t>
  </si>
  <si>
    <t>江苏联通</t>
  </si>
  <si>
    <t>182015IDC00341</t>
  </si>
  <si>
    <t>南京新港（1.1期）101、103-106</t>
  </si>
  <si>
    <t>NJXG106-C-12、NJXG103-C-05、NJXG103-C-06、NJXG103-E-05、NJXG103-E-06、NJXG103-E-07、NJXG103-E-08、NJXG103-E-09、NJXG103-E-10、NJXG103-E-11、NJXG103-E-12、NJXG103-E-13、NJXG103-F-05、NJXG103-F-06、NJXG103-F-07、NJXG103-F-08、NJXG103-F-09、NJXG103-F-10、NJXG103-F-11、NJXG103-F-12、NJXG103-F-13、NJXG104-E-01、NJXG104-E-02、NJXG104-H-14、NJXG103-B-05、NJXG103-B-06、NJXG103-B-07、NJXG103-B-08、NJXG104-B-01、NJXG104-B-02、NJXG101-B-01、NJXG101-B-02、NJXG101-D-01、NJXG101-D-02、NJXG105-D-11、NJXG105-D-12、NJXG106-C-11、NJXG106-E-15、NJXG106-E-16、NJXG101-H-14、NJXG105-F-01、NJXG106-H-01</t>
  </si>
  <si>
    <t>NJXG104-A-09、NJXG104-A-10、NJXG104-A-11、NJXG104-A-12、NJXG104-A-13、NJXG104-A-14、NJXG104-D-08、NJXG104-D-09、NJXG104-D-10、NJXG104-D-11、NJXG104-D-12、NJXG104-D-13、NJXG104-D-14、NJXG104-D-15、NJXG104-D-16、NJXG104-E-03、NJXG104-E-04、NJXG104-E-05、NJXG104-E-06、NJXG104-E-07、NJXG104-E-08、NJXG104-E-09、NJXG104-E-10、NJXG104-E-11、NJXG104-E-12、NJXG104-E-13、NJXG104-E-14、NJXG104-E-15、NJXG104-E-16、NJXG104-F-01、NJXG104-F-02、NJXG104-F-03、NJXG104-F-05、NJXG104-F-12、NJXG104-F-08、NJXG104-F-09、NJXG104-F-10、NJXG104-G-01、NJXG104-G-02、NJXG104-G-03、NJXG104-G-04、NJXG104-G-05、NJXG104-G-06、NJXG104-G-07、NJXG104-G-08、NJXG104-G-09、NJXG104-G-10、NJXG104-D-07、NJXG104-H-01、NJXG104-H-02、NJXG104-C-01、NJXG104-C-02、NJXG104-C-04、NJXG104-C-05、NJXG104-C-06、NJXG104-C-12、NJXG104-C-08、NJXG104-C-09、NJXG104-C-11、NJXG104-D-01、NJXG104-D-02、NJXG104-D-03、NJXG104-D-04、NJXG104-D-05、NJXG104-D-06、NJXG104-G-11、NJXG104-G-12、NJXG104-G-13、NJXG104-G-14、NJXG104-G-15、NJXG104-G-16、NJXG104-H-03、NJXG104-H-05、NJXG104-H-06、NJXG104-H-07、NJXG104-H-08、NJXG104-H-09、NJXG104-H-10、NJXG104-H-11、NJXG104-H-13、NJXG104-B-03</t>
  </si>
  <si>
    <t>NJXG103-A-02、NJXG103-A-03、NJXG103-B-02、NJXG103-B-03、NJXG103-B-04</t>
  </si>
  <si>
    <t>109A</t>
  </si>
  <si>
    <t>NJXG103-A-10、NJXG103-B-13、NJXG103-C-02、NJXG103-C-04、NJXG103-C-07、NJXG103-D-01、NJXG103-D-04、NJXG103-D-06、NJXG103-E-02、NJXG103-E-04、NJXG103-F-01、NJXG103-F-03</t>
  </si>
  <si>
    <t>NJXG103-A-01、NJXG103-A-09、NJXG103-B-01、NJXG103-B-14、NJXG103-C-01、NJXG103-C-03、NJXG103-C-08、NJXG103-C-10、NJXG103-D-02、NJXG103-D-03、NJXG103-D-05、NJXG103-D-08、NJXG103-E-01、NJXG103-E-03、NJXG103-F-02、NJXG103-F-04</t>
  </si>
  <si>
    <t>NJXG101-A-01、NJXG101-A-02、NJXG101-A-03、NJXG101-A-04、NJXG101-A-05、NJXG101-A-06、NJXG101-A-07、NJXG101-A-08、NJXG101-A-09、NJXG101-A-10、NJXG101-A-11、NJXG101-B-03、NJXG101-B-04、NJXG101-B-05、NJXG101-B-06、NJXG101-B-07、NJXG101-B-08、NJXG101-B-09、NJXG101-B-10、NJXG101-B-11、NJXG101-B-12、NJXG101-B-13、NJXG101-B-14</t>
  </si>
  <si>
    <t>NJXG101-C-05、NJXG101-C-06、NJXG101-C-07、NJXG101-C-08、NJXG101-C-09、NJXG101-C-10、NJXG101-C-11、NJXG101-C-12、NJXG101-C-13、NJXG101-C-14、NJXG101-D-03、NJXG101-D-04、NJXG101-D-05、NJXG101-D-06、NJXG101-D-07、NJXG101-D-08、NJXG101-D-09、NJXG101-D-10、NJXG101-D-11</t>
  </si>
  <si>
    <t>NJXG101-E-01、NJXG101-E-02、NJXG101-E-03、NJXG101-E-04、NJXG101-E-05、NJXG101-E-06、NJXG101-E-07、NJXG101-E-08、NJXG101-E-09、NJXG101-E-10、NJXG101-E-11、NJXG101-E-12、NJXG101-E-13、NJXG101-E-14、NJXG101-F-01、NJXG101-F-02、NJXG101-F-03、NJXG101-F-04、NJXG101-F-05、NJXG101-F-06、NJXG101-F-07、NJXG101-F-08、NJXG101-F-09、NJXG101-F-10、NJXG101-F-11、NJXG101-F-12、NJXG101-F-13、NJXG101-F-14、NJXG101-G-02、NJXG101-G-03、NJXG101-G-04、NJXG101-G-05、NJXG101-G-06、NJXG101-G-07、NJXG101-G-08、NJXG101-G-09、NJXG101-G-10、NJXG101-G-11</t>
  </si>
  <si>
    <t>NJXG101-H-01、NJXG101-H-02、NJXG101-H-03、NJXG101-H-04、NJXG101-H-05、NJXG101-H-06、NJXG101-H-07、NJXG101-H-08、NJXG101-H-09、NJXG101-H-10、NJXG101-H-11、NJXG101-H-12、NJXG101-H-13</t>
  </si>
  <si>
    <t>NJXG105-C-09、NJXG105-C-10、NJXG105-C-11、NJXG105-C-12、NJXG105-C-13、NJXG105-C-14、NJXG105-D-08、NJXG105-D-09、NJXG105-E-01、NJXG105-E-02、NJXG105-E-03、NJXG105-E-04、NJXG105-E-05、NJXG105-E-06、NJXG105-E-07、NJXG105-E-08、NJXG105-E-09、NJXG105-E-10、NJXG105-E-11、NJXG105-E-12、NJXG105-D-07、NJXG101-C-01、NJXG101-C-02、NJXG101-C-03、NJXG101-C-04</t>
  </si>
  <si>
    <t>NJXG105-A-01、NJXG105-A-02、NJXG105-A-03、NJXG105-A-04、NJXG105-A-06、NJXG105-A-07、NJXG105-A-08、NJXG105-A-09、NJXG105-A-10、NJXG105-A-11、NJXG105-A-12、NJXG105-B-01、NJXG105-B-02</t>
  </si>
  <si>
    <t>NJXG105-B-03、NJXG105-B-04、NJXG105-B-05、NJXG105-B-06、NJXG105-B-07、NJXG105-B-08、NJXG105-B-09、NJXG105-B-10、NJXG105-B-11、NJXG105-B-12、NJXG105-B-13、NJXG105-B-14、NJXG105-B-15、NJXG105-B-16、NJXG105-C-04、NJXG105-C-05、NJXG105-C-06、NJXG105-C-07、NJXG105-C-08</t>
  </si>
  <si>
    <t>NJXG106-F-03、NJXG106-F-05、NJXG106-F-08、NJXG106-F-10、NJXG106-F-12、NJXG106-G-02、NJXG106-G-04、NJXG106-G-06、NJXG106-G-08、NJXG106-G-10、NJXG106-G-12、NJXG106-G-14、NJXG106-G-16、NJXG106-H-02、NJXG106-H-04、NJXG106-H-06、NJXG106-H-08、NJXG106-H-10、NJXG106-H-12、NJXG106-H-14</t>
  </si>
  <si>
    <t>NJXG106-E-09、NJXG106-E-10、NJXG106-E-11、NJXG106-E-12、NJXG106-E-13、NJXG106-E-14、NJXG106-F-09、NJXG106-F-11</t>
  </si>
  <si>
    <t>NJXG106-C-10、NJXG106-F-04</t>
  </si>
  <si>
    <t>NJXG104-A-01、NJXG104-A-02、NJXG104-A-03、NJXG104-A-04、NJXG104-A-05、NJXG104-A-06、NJXG104-B-04、NJXG104-B-05、NJXG104-B-06、NJXG105-C-01、NJXG105-C-02、NJXG105-C-03、NJXG105-D-01、NJXG105-D-02、NJXG105-D-03、NJXG105-D-04、NJXG105-D-05、NJXG105-D-06、NJXG104-B-07、NJXG104-B-08、NJXG104-B-09、NJXG104-B-10、NJXG104-B-11、NJXG104-B-12、NJXG104-B-13</t>
  </si>
  <si>
    <t>NJXG105-E-13、NJXG105-E-14、NJXG105-E-15、NJXG105-E-16、NJXG105-F-02、NJXG105-F-03、NJXG105-F-04、NJXG105-F-05、NJXG101-G-01、NJXG104-B-14、NJXG104-B-15、NJXG104-B-16</t>
  </si>
  <si>
    <t>2021/2/24开通，计费5天：NJXG104-A-15、NJXG104-A-16</t>
  </si>
  <si>
    <t>NJXG106-G-01
NJXG106-G-03
NJXG106-G-05
NJXG106-G-07
NJXG106-H-03
NJXG106-H-05</t>
  </si>
  <si>
    <t>2021/3/4开通机架，3月计费28天
NJXG106-D-01、NJXG106-D-02、NJXG106-D-03、NJXG106-D-04、NJXG106-D-05、NJXG106-D-06、NJXG106-D-07、NJXG106-D-08、NJXG106-D-09、NJXG106-D-10、NJXG106-D-11、NJXG106-D-12、NJXG106-D-13、NJXG106-D-14、NJXG106-D-15、NJXG106-D-16</t>
  </si>
  <si>
    <t>2021/3/30开通机架，3月计费2天
NJXG105-F-06、NJXG105-F-07、NJXG105-F-08、NJXG105-F-09、NJXG105-F-10、NJXG105-F-11、NJXG105-F-12、NJXG105-F-13、NJXG106-C-01、NJXG106-C-02、NJXG106-C-03、NJXG106-C-04、NJXG106-C-07、NJXG106-C-08、NJXG106-C-09</t>
  </si>
  <si>
    <t>2021/4/14关闭，4月冲销16天费用：NJXG106-G-10、NJXG106-G-12、NJXG106-G-14、NJXG106-G-16、NJXG106-H-08、NJXG106-H-10、NJXG106-H-12</t>
  </si>
  <si>
    <t>2021/4/26开通，4月计费5天：NJXG106-E-02</t>
  </si>
  <si>
    <t>2021/4/29开通，4月计费2天：NJXG106-H-08、NJXG106-H-09、NJXG106-H-10、NJXG106-H-11</t>
  </si>
  <si>
    <t>NJXG106-G-09、NJXG106-G-10</t>
  </si>
  <si>
    <t>NJXG106-B-01、NJXG106-B-02、NJXG106-B-03、NJXG106-B-04</t>
  </si>
  <si>
    <t>2021/6/8开通机架，6月计费23天：NJXG106-G-11、NJXG106-G-12、NJXG106-B-05</t>
  </si>
  <si>
    <t>2021/7/3开通，7月计费29天：NJXG104-F-11、NJXG104-H-12、NJXG106-A-15、NJXG106-A-16</t>
  </si>
  <si>
    <t>2021/7/30开通机架，7月计费2天：NJXG106-B-09、NJXG106-B-10、NJXG106-B-11、NJXG106-B-12</t>
  </si>
  <si>
    <t>2021/8/12开通，8月计费20天：NJXG106-G-16、NJXG106-H-12、NJXG106-H-13</t>
  </si>
  <si>
    <t>2021/8/23开通机架，8月计费9天：NJXG106-B-13、NJXG106-B-14、NJXG106-B-15、NJXG106-B-16</t>
  </si>
  <si>
    <t>2021/8/30开通机架，8月计费2天：NJXG106-G-14</t>
  </si>
  <si>
    <t>2021/9/17开通，9月计费14天：NJXG106-G-13、NJXG106-G-15</t>
  </si>
  <si>
    <t>2021/10/3开通，计费29天：NJXG106-B-06、NJXG106-B-07、NJXG106-B-08、NJXG106-E-01、NJXG106-E-03、NJXG106-E-04、NJXG106-E-05、NJXG106-E-06、NJXG106-E-07、NJXG106-E-08、NJXG106-F-01、NJXG106-F-02、NJXG106-H-07</t>
  </si>
  <si>
    <t>2021/11/19开通机架，11月计费12天：NJXG104-C-03、NJXG104-C-10、NJXG104-H-04、NJXG105-A-05、NJXG105-D-10、NJXG106-C-05、NJXG106-F-07</t>
  </si>
  <si>
    <t>NJXG103-F-08</t>
  </si>
  <si>
    <t>NJXG103-B-05、NJXG103-B-06、NJXG103-B-07、NJXG103-B-08</t>
  </si>
  <si>
    <t>182115IDC00120</t>
  </si>
  <si>
    <t>南京新港（1.1期）102模块</t>
  </si>
  <si>
    <t>NJXG102-D-01、NJXG102-D-02、NJXG102-F-14</t>
  </si>
  <si>
    <t>NJXG102-A-01、NJXG102-A-03、NJXG102-A-05、NJXG102-A-07、NJXG102-A-09、NJXG102-A-11、NJXG102-B-03、NJXG102-B-05、NJXG102-B-07、NJXG102-B-09、NJXG102-B-11、NJXG102-B-13、NJXG102-C-02、NJXG102-C-04、NJXG102-C-06、NJXG102-C-08、NJXG102-C-10、NJXG102-C-12、NJXG102-C-14、NJXG102-D-03、NJXG102-D-05、NJXG102-D-07、NJXG102-D-09、NJXG102-D-11、NJXG102-E-02、NJXG102-E-04、NJXG102-E-06、NJXG102-E-08、NJXG102-E-10、NJXG102-E-12、NJXG102-E-14、NJXG102-F-01、NJXG102-F-03、NJXG102-F-05、NJXG102-F-07、NJXG102-F-09、NJXG102-F-11、NJXG102-F-13</t>
  </si>
  <si>
    <t>2021/4/14关闭，4月冲销16天费用：、NJXG102-A-01、NJXG102-A-03、NJXG102-A-05、NJXG102-A-07、NJXG102-A-09、NJXG102-A-11、NJXG102-B-03、NJXG102-B-05、NJXG102-B-07、NJXG102-B-09、NJXG102-B-11、NJXG102-B-13、NJXG102-C-02、NJXG102-C-04、NJXG102-C-06、NJXG102-C-08、NJXG102-C-10、NJXG102-C-12、NJXG102-C-14、NJXG102-D-03、NJXG102-D-05、NJXG102-D-07、NJXG102-D-09、NJXG102-D-11、NJXG102-E-02、NJXG102-E-04、NJXG102-E-06、NJXG102-E-08、NJXG102-E-10、NJXG102-E-12、NJXG102-E-14、NJXG102-F-01、NJXG102-F-03、NJXG102-F-05、NJXG102-F-07、NJXG102-F-09、NJXG102-F-11、NJXG102-F-13</t>
  </si>
  <si>
    <t>2021/7/2开通机架，7月计费30天：NJXG102-B-04、NJXG102-B-05、NJXG102-B-06、NJXG102-B-07、NJXG102-B-08、NJXG102-B-09、NJXG102-B-10、NJXG102-B-11、NJXG102-B-12、NJXG102-B-13、NJXG102-B-14、NJXG102-C-01、NJXG102-C-02</t>
  </si>
  <si>
    <t>2021/7/3开通机架，7月计费29天：NJXG102-A-01、NJXG102-A-02、NJXG102-A-03、NJXG102-A-04、NJXG102-A-05、NJXG102-A-06、NJXG102-A-07、NJXG102-A-08、NJXG102-A-09、NJXG102-A-10、NJXG102-A-11、NJXG102-B-03</t>
  </si>
  <si>
    <t>2021/7/10开通机架，7月计费22天：NJXG102-F-01、NJXG102-F-02、NJXG102-F-03、NJXG102-F-04、NJXG102-F-05、NJXG102-F-06、NJXG102-F-07、NJXG102-F-08、NJXG102-F-09、NJXG102-F-10、NJXG102-F-11、NJXG102-F-12</t>
  </si>
  <si>
    <t>2021/8/17开通，8月计费15天：NJXG102-D-03、NJXG102-D-04、NJXG102-D-05、NJXG102-D-06、NJXG102-D-07、NJXG102-D-08、NJXG102-D-09、NJXG102-D-10、NJXG102-D-11、NJXG102-E-01、NJXG102-E-02、NJXG102-E-03、NJXG102-E-04</t>
  </si>
  <si>
    <t>2021/10/3开通，10月计费29天：NJXG102-C-03、NJXG102-C-04、NJXG102-C-05、NJXG102-C-06、NJXG102-C-07、NJXG102-C-08、NJXG102-C-09、NJXG102-C-10、NJXG102-C-11、NJXG102-C-12、NJXG102-C-13、NJXG102-C-14、NJXG102-E-05、NJXG102-E-06、NJXG102-E-07、NJXG102-E-08、NJXG102-E-09、NJXG102-E-10、NJXG102-E-11、NJXG102-E-12、NJXG102-E-13、NJXG102-E-14、NJXG102-F-13</t>
  </si>
  <si>
    <t>182115IDC00265</t>
  </si>
  <si>
    <t>徐州机房</t>
  </si>
  <si>
    <t>徐州联通二级</t>
  </si>
  <si>
    <t>CDNXZUN</t>
  </si>
  <si>
    <t>历史累计开通</t>
  </si>
  <si>
    <t>10A</t>
  </si>
  <si>
    <t>从2022.9.1开始收费。
XZUN5F-2A-01、XZUN5F-2A-02、XZUN5F-2A-03、XZUN5F-2A-04、XZUN5F-2A-05、XZUN5F-2A-06、XZUN5F-2A-07、XZUN5F-2A-08、XZUN5F-2A-09、XZUN5F-2A-10、XZUN5F-2A-11</t>
  </si>
  <si>
    <t>从2022.9.1开始收费。XZUN5F-2A-08、XZUN5F-2A-09、XZUN5F-2A-10、XZUN5F-2A-11、XZUN5F-2A-06</t>
  </si>
  <si>
    <t>2022.8根据退租邮件与运营商核对存量资源，前期使用256个IP，均免费，补录计提表112.84.34.0/24</t>
  </si>
  <si>
    <t>免费256个，实际使用288，超过部分按20元/个/月：112.85.243.0/24</t>
  </si>
  <si>
    <t>免费256个，实际使用288，超过部分按20元/个/月：218.98.32.160/27</t>
  </si>
  <si>
    <t>112.85.243.0/24</t>
  </si>
  <si>
    <t>182115IDC00633</t>
  </si>
  <si>
    <t>南京新港二期（1.2期）（109-111）</t>
  </si>
  <si>
    <t>2021/9/26开通，计费5天：NJXG109-B-13、NJXG109-B-14、NJXG109-G-14、NJXG109-G-15、NJXG109-H-01、NJXG110-A-01、NJXG110-B-15、NJXG110-B-16、NJXG111-D-01、NJXG111-D-02、NJXG111-G-01、NJXG111-G-02、NJXG111-H-16</t>
  </si>
  <si>
    <t>2021/9/26开通，计费5天：NJXG111-C-10、NJXG111-C-11、NJXG111-C-12、NJXG111-C-13、NJXG111-C-14、NJXG111-C-15、NJXG111-C-16、NJXG111-C-17、NJXG111-C-18、NJXG111-D-03、NJXG111-D-04、NJXG111-D-05、NJXG111-D-06、NJXG111-D-07、NJXG111-D-08、NJXG111-D-09、NJXG111-D-10、NJXG111-D-11、NJXG111-D-12、NJXG111-D-13、NJXG111-D-14、NJXG111-E-01、NJXG111-E-02、NJXG111-E-03、NJXG111-E-04、NJXG111-E-05、NJXG111-E-06、NJXG111-E-07、NJXG111-E-08、NJXG111-E-09、NJXG111-E-10、NJXG111-E-11、NJXG111-E-12、NJXG111-E-13、NJXG111-E-14、NJXG111-E-15、NJXG111-E-16、NJXG111-F-01、NJXG111-F-02、NJXG111-F-03、NJXG111-F-04、NJXG111-F-05、NJXG111-F-06、NJXG110-B-01、NJXG110-B-02、NJXG110-B-03、NJXG110-B-04、NJXG110-B-05、NJXG110-B-06、NJXG110-C-02、NJXG110-C-03、NJXG110-C-04、NJXG110-C-05、NJXG110-C-06、NJXG110-D-02、NJXG110-D-03、NJXG110-D-04、NJXG110-D-05、NJXG110-D-06、NJXG110-D-07、NJXG110-D-08、NJXG110-D-09、NJXG110-D-10、NJXG110-D-11、NJXG110-D-12、NJXG110-D-13、NJXG111-B-09、NJXG111-B-10、NJXG110-C-01、NJXG109-A-01、NJXG109-A-02、NJXG109-A-03、NJXG109-A-04、NJXG109-A-05、NJXG109-A-06、NJXG109-A-09、NJXG109-A-10、NJXG109-A-11、NJXG109-A-12、NJXG109-A-13、NJXG109-A-14、NJXG109-A-15、NJXG109-A-16、NJXG109-A-17、NJXG109-A-18、NJXG109-B-01、NJXG109-B-02、NJXG109-B-03、NJXG109-B-04、NJXG109-B-05、NJXG109-B-06、NJXG109-B-07、NJXG109-B-08、NJXG109-E-01、NJXG109-E-02、NJXG109-E-03、NJXG109-E-04、NJXG109-E-05、NJXG109-E-06、NJXG109-E-07、NJXG109-E-08、NJXG109-E-09、NJXG109-E-10、NJXG109-E-11、NJXG109-E-12、NJXG109-E-13、NJXG109-E-14、NJXG109-E-15、NJXG109-E-16、NJXG109-F-01、NJXG109-F-02、NJXG109-F-03、NJXG109-F-04、NJXG109-F-05、NJXG109-F-06、NJXG109-F-07、NJXG109-F-08、NJXG109-F-09、NJXG109-F-10、NJXG109-F-11、NJXG109-F-12、NJXG109-F-13、NJXG109-F-14、NJXG109-F-15、NJXG109-F-16、NJXG109-F-17、NJXG109-F-18、NJXG109-G-01、NJXG109-G-02、NJXG109-G-03、NJXG109-G-04、NJXG109-A-07、NJXG109-A-08、NJXG109-B-09、NJXG109-B-10、NJXG109-B-11</t>
  </si>
  <si>
    <t>2021/9/26开通，9月计费5天：NJXG109-G-05、NJXG109-G-06、NJXG109-G-07、NJXG109-G-08、NJXG109-G-09、NJXG109-G-10、NJXG109-G-11、NJXG109-G-12、NJXG109-G-13、NJXG109-H-02、NJXG109-H-03、NJXG109-H-04、NJXG109-H-05、NJXG109-H-06、NJXG109-H-07、NJXG109-H-08、NJXG109-H-10、NJXG109-H-11、NJXG109-H-12、NJXG109-H-13、NJXG109-H-14、NJXG109-H-15、NJXG109-H-16、NJXG110-A-02、NJXG110-A-03、NJXG110-A-04、NJXG110-A-05、NJXG110-A-06、NJXG110-A-07、NJXG110-A-08、NJXG110-A-09、NJXG110-A-10、NJXG110-A-11、NJXG110-A-12、NJXG110-A-13、NJXG110-A-14、NJXG110-A-15、NJXG110-B-07、NJXG110-B-08、NJXG110-B-09、NJXG110-B-10、NJXG111-B-11、NJXG111-B-12、NJXG111-B-13、NJXG111-B-14、NJXG111-C-01、NJXG111-C-02、NJXG111-C-03、NJXG111-C-04、NJXG111-C-05、NJXG111-C-06、NJXG111-C-07、NJXG111-C-08、NJXG111-C-09</t>
  </si>
  <si>
    <t>2021/9/28开通，9月计费3天：NJXG109-H-09、NJXG110-B-11、NJXG110-B-12、NJXG110-B-13、NJXG110-B-14、NJXG111-A-01、NJXG111-A-02、NJXG111-A-03、NJXG111-A-04、NJXG111-A-05、NJXG111-A-06、NJXG111-A-07、NJXG111-A-08、NJXG111-A-09、NJXG111-A-10、NJXG111-A-11、NJXG111-A-12、NJXG111-A-13、NJXG111-A-14、NJXG111-A-15、NJXG111-A-16、NJXG111-A-17、NJXG111-A-18、NJXG111-B-03、NJXG111-B-05、NJXG111-B-06、NJXG111-B-07、NJXG111-B-08、NJXG111-F-16、NJXG111-F-17、NJXG111-F-18、NJXG111-G-03、NJXG111-G-04、NJXG111-G-05、NJXG111-G-06、NJXG111-G-07、NJXG111-G-08、NJXG111-G-09、NJXG111-G-10、NJXG111-G-11、NJXG111-G-12、NJXG111-G-13、NJXG111-G-14、NJXG111-G-15、NJXG111-H-01、NJXG111-H-02、NJXG111-H-03、NJXG111-H-04、NJXG111-H-05、NJXG111-H-06、NJXG111-H-07、NJXG111-H-08、NJXG111-H-09</t>
  </si>
  <si>
    <t>2021/9/26开通：NJXG111-F-07、
NJXG111-F-08、
NJXG111-F-09、
NJXG111-F-10、
NJXG111-F-11、
NJXG111-F-12、
NJXG111-F-13、
NJXG111-F-14、
NJXG111-F-15</t>
  </si>
  <si>
    <t>2021/10/2开通，计费30天：NJXG111-H-10</t>
  </si>
  <si>
    <t>2021/10/30开通，计费2天：NJXG111-H-11、NJXG111-H-12</t>
  </si>
  <si>
    <t>2021/11/19开通机架，11月计费12天：NJXG109-D-13、NJXG109-D-14、NJXG111-B-01、NJXG111-B-02</t>
  </si>
  <si>
    <t>2021/11/19开通机架，11月计费12天：NJXG111-B-04、NJXG111-H-13、NJXG111-H-14、NJXG111-H-15</t>
  </si>
  <si>
    <t>NJXG109-C-11
NJXG109-C-12
NJXG109-C-13
NJXG109-C-14
NJXG109-C-15
NJXG109-C-16
NJXG109-C-17
NJXG109-C-18
NJXG109-D-09
NJXG109-D-10
NJXG109-D-11
NJXG109-C-01
NJXG109-C-02
NJXG109-C-03
NJXG109-C-04
NJXG109-C-05
NJXG109-C-06
NJXG109-C-07
NJXG109-C-08
NJXG109-C-09
NJXG109-C-10</t>
  </si>
  <si>
    <t>NJXG109-D-01
NJXG109-D-02
NJXG109-D-03
NJXG109-D-04
NJXG109-D-05
NJXG109-D-06
NJXG109-D-07
NJXG109-D-08</t>
  </si>
  <si>
    <t>NJXG109-C-01、NJXG109-C-02、NJXG109-C-03、NJXG109-C-04、NJXG109-C-05、NJXG109-C-06、NJXG109-C-07、NJXG109-C-08、NJXG109-C-09、NJXG109-C-10、NJXG109-C-11、NJXG109-C-12、NJXG109-C-13、NJXG109-C-14、NJXG109-C-15、NJXG109-C-16、NJXG109-C-17、NJXG109-C-18、NJXG109-D-01、NJXG109-D-02、NJXG109-D-03、NJXG109-D-04、NJXG109-D-05、NJXG109-D-06、NJXG109-D-07、NJXG109-D-08、NJXG109-D-09、NJXG109-D-10、NJXG109-D-11</t>
  </si>
  <si>
    <t>南京新港二期（1.2期）机房112-114房间</t>
  </si>
  <si>
    <t>NJXG112-A-15
NJXG113-G-01
NJXG114-H-01
NJXG112-D-01
NJXG112-D-02
NJXG113-C-13
NJXG113-C-14
NJXG114-A-13
NJXG114-A-14
NJXG114-D-13
NJXG114-D-14
NJXG113-E-13
NJXG113-E-14</t>
  </si>
  <si>
    <t>NJXG113-C-10
NJXG113-C-11
NJXG113-C-12
NJXG113-D-01
NJXG113-D-02
NJXG113-D-03
NJXG113-D-04
NJXG113-D-05
NJXG113-D-06
NJXG113-D-07
NJXG113-D-08
NJXG113-D-09
NJXG113-D-10
NJXG113-D-11
NJXG113-E-07
NJXG113-E-08
NJXG113-E-09
NJXG113-E-10
NJXG113-E-11
NJXG113-E-12
NJXG113-F-01
NJXG113-F-02
NJXG113-F-03
NJXG113-F-04
NJXG113-F-05
NJXG113-F-06
NJXG113-F-07
NJXG113-F-08
NJXG113-F-09
NJXG113-F-10
NJXG113-F-11
NJXG113-F-12
NJXG113-G-02
NJXG113-G-03
NJXG113-G-04
NJXG113-G-05
NJXG113-G-06
NJXG113-G-07
NJXG113-G-08
NJXG113-G-09
NJXG113-G-10
NJXG113-G-11
NJXG112-B-01
NJXG112-B-02
NJXG112-B-03
NJXG112-B-07
NJXG112-B-08
NJXG112-B-09
NJXG112-C-13
NJXG112-C-14
NJXG112-C-15
NJXG112-C-16
NJXG112-A-03
NJXG112-A-04
NJXG112-A-05
NJXG112-A-06
NJXG112-A-07
NJXG112-A-08
NJXG112-A-09
NJXG112-A-10
NJXG112-A-11
NJXG112-A-12
NJXG112-A-13
NJXG112-A-14
NJXG114-F-09
NJXG114-F-10
NJXG114-F-11
NJXG114-F-12
NJXG114-F-13
NJXG114-F-14
NJXG112-B-04
NJXG112-B-05
NJXG112-B-06
NJXG112-C-01
NJXG112-C-02
NJXG112-C-03
NJXG112-C-04
NJXG112-C-05
NJXG112-C-06
NJXG112-C-07
NJXG112-C-08
NJXG112-C-09
NJXG112-C-10
NJXG112-C-11
NJXG112-C-12
NJXG112-C-17
NJXG112-C-18
NJXG112-B-13
NJXG112-B-14
NJXG112-B-15
NJXG112-B-16
NJXG112-D-03
NJXG112-D-04
NJXG112-D-05
NJXG112-D-06
NJXG112-D-07
NJXG112-F-11
NJXG112-F-12
NJXG112-F-13
NJXG112-F-14
NJXG112-F-15
NJXG112-F-16
NJXG112-F-17
NJXG112-F-18</t>
  </si>
  <si>
    <t>NJXG112-B-10
NJXG112-B-11
NJXG112-B-12</t>
  </si>
  <si>
    <t>NJXG112-D-08、NJXG112-D-09</t>
  </si>
  <si>
    <t>NJXG114-F-07、NJXG114-F-08</t>
  </si>
  <si>
    <t>NJXG112-D-10、NJXG112-D-11、NJXG112-D-12、NJXG112-D-13、NJXG112-D-14</t>
  </si>
  <si>
    <t>NJXG112-E-15、NJXG112-E-16</t>
  </si>
  <si>
    <t>NJXG112-E-01、NJXG112-E-02、NJXG112-E-03、NJXG112-E-04、NJXG112-E-05、NJXG112-E-06、NJXG112-E-07、NJXG112-E-08、NJXG112-E-09、NJXG112-E-10、NJXG112-E-11、NJXG112-E-12</t>
  </si>
  <si>
    <t>NJXG112-F-01、NJXG112-F-02、NJXG112-F-03、NJXG112-F-04、NJXG112-F-05、NJXG112-F-06、NJXG112-F-07、NJXG112-F-08、NJXG112-F-09、NJXG112-F-10、NJXG114-A-01、NJXG114-A-02、NJXG114-A-03、NJXG114-A-04、NJXG114-A-05、NJXG114-A-06、NJXG114-A-07、NJXG114-A-08、NJXG114-A-09、NJXG114-A-10、NJXG114-A-11、NJXG114-A-12、NJXG114-B-01、NJXG114-B-02、NJXG114-B-03、NJXG114-B-04、NJXG114-B-05、NJXG114-B-06、NJXG114-B-07、NJXG114-B-08</t>
  </si>
  <si>
    <t>NJXG114-B-09、NJXG114-B-10</t>
  </si>
  <si>
    <t>NJXG114-G-01、NJXG114-G-02、NJXG114-G-03、NJXG114-G-04、NJXG114-G-05、NJXG114-G-06、NJXG114-G-07、NJXG114-G-08、NJXG114-G-09、NJXG114-G-10、NJXG114-G-11、NJXG114-G-12、NJXG114-H-02、NJXG114-H-03、NJXG114-H-04</t>
  </si>
  <si>
    <t>NJXG113-E-06</t>
  </si>
  <si>
    <t>NJXG111-B-01、NJXG111-B-02</t>
  </si>
  <si>
    <t>NJXG111-B-01、NJXG111-B-02、NJXG114-G-13、NJXG114-G-14</t>
  </si>
  <si>
    <t>南京新港二期</t>
  </si>
  <si>
    <t>自2021年8月26日起计算起租计划，2022年8月25日前起租达交付机柜数量的30%，2023年8月25日前起租达交付机柜数量的60%，2024年8月25日前起租达交付机柜数量的90%。预留机柜总数的10%不做起租要求。如果上述时间上架数量达不到承诺数量，则对未上电机架部分，按照5280元/月/机柜标准收取空置费。</t>
  </si>
  <si>
    <t>L20230107007</t>
  </si>
  <si>
    <t>免费提供IP地址南京12个C，共计3072个IP；超出部分按50元/个/月</t>
  </si>
  <si>
    <t>苏州 SZWG</t>
  </si>
  <si>
    <t>2022.2单价调整为35元。免费提供IP地址苏州2个C，共计512个IP；超出部分按50元/个/月。实际使用6个C，收费4个C，从2021.1开始计费
实际使用6个C：153.37.235.0/24、153.37.236.0/24、157.0.145.0/24、157.0.146.0/24、157.0.147.0/24、157.0.148.0/24</t>
  </si>
  <si>
    <t>免费提供IP地址苏州2个C，共计512个IP；超出部分按50元/个/月。实际使用6个C，收费4个C，从2021.1开始计费
实际使用6个C：153.37.235.0/24、153.37.236.0/24、157.0.145.0/24、157.0.146.0/24、157.0.147.0/24、157.0.148.0/24</t>
  </si>
  <si>
    <t>IP代播</t>
  </si>
  <si>
    <t>南京凤凰机房</t>
  </si>
  <si>
    <t xml:space="preserve">2个C </t>
  </si>
  <si>
    <t>2个C IP代播：106.13.250.0/23</t>
  </si>
  <si>
    <t>2个C IP代播：106.12.250.0/23</t>
  </si>
  <si>
    <t xml:space="preserve">4个C </t>
  </si>
  <si>
    <t>4个C IP代播：114.110.96.0/22</t>
  </si>
  <si>
    <t xml:space="preserve">36个C </t>
  </si>
  <si>
    <t>2022.2开始36个C IP代播免费：
•	122.248.48.0/22
•	122.248.52.0/22
•	122.248.56.0/22
•	114.110.100.0/22
•	114.110.104.0/22
•	114.110.108.0/22
•	122.248.60.0/22
•	202.181.112.0/22
•	202.181.116.0/22</t>
  </si>
  <si>
    <t>182015IDC00387</t>
  </si>
  <si>
    <t>常州软件园机房</t>
  </si>
  <si>
    <t>常州三级</t>
  </si>
  <si>
    <t>CDNCZIX</t>
  </si>
  <si>
    <t>【BEC扩容】常州三线扩容机柜：BECCZIX4F-F-201、BECCZIX4F-F-202、BECCZIX4F-F-203、BECCZIX4F-F-204、BECCZIX4F-F-205、BECCZIX4F-F-206、BECCZIX4F-F-207、BECCZIX4F-F-208、BECCZIX4F-F-209、BECCZIX4F-F-210、BECCZIX4F-F-211、BECCZIX4F-F-212、BECCZIX4F-F-213</t>
  </si>
  <si>
    <t>【BEC退租】BEC常州三线退租：BECCZIX4F-F-207、BECCZIX4F-F-208、BECCZIX4F-F-209</t>
  </si>
  <si>
    <t>【BEC扩容】常州三线扩容：BECCZIX4F-F-101、BECCZIX4F-F-102、BECCZIX4F-F-103、BECCZIX4F-F-104、BECCZIX4F-F-105、BECCZIX4F-F-106、BECCZIX4F-F-107、BECCZIX4F-F-108、BECCZIX4F-F-111、BECCZIX4F-F-112、BECCZIX4F-F-113、BECCZIX4F-F-114、BECCZIX4F-F-301、BECCZIX4F-F-302、BECCZIX4F-F-303</t>
  </si>
  <si>
    <t>CDNCZIX2</t>
  </si>
  <si>
    <t>【BEC扩容】常州三线扩容：BECCZIX2-B-01、BECCZIX2-B-02、BECCZIX2-B-03、BECCZIX2-B-04、BECCZIX2-B-05、BECCZIX2-B-06、BECCZIX2-B-07</t>
  </si>
  <si>
    <t>常州三级联通</t>
  </si>
  <si>
    <t>【BEC扩容】常州三线扩容新增IP：112.82.242.128/25</t>
  </si>
  <si>
    <t>常州三级电信</t>
  </si>
  <si>
    <t>【BEC扩容】常州三线扩容新增IP：61.160.243.128/25</t>
  </si>
  <si>
    <t>【BEC扩容】常州三线扩容：58.216.9.0/25</t>
  </si>
  <si>
    <t>常州三级移动</t>
  </si>
  <si>
    <t>【BEC扩容】常州三线扩容新增IP：223.109.66.0/24</t>
  </si>
  <si>
    <t>【BEC扩容】常州三线扩容：36.154.11.0/26</t>
  </si>
  <si>
    <t>苏州太湖三线-江苏联通</t>
  </si>
  <si>
    <t>182115IDC00520</t>
  </si>
  <si>
    <t>苏州太湖三线-联通</t>
  </si>
  <si>
    <t>SZTH-CU-ST-1</t>
  </si>
  <si>
    <t>2021/9/14开通苏州太湖三线，免费512个，收费1792个
103.45.72.0/24
103.45.73.0/24
103.45.74.0/24
103.45.75.0/24
103.211.221.0/24
103.211.222.0/24
120.72.52.0/24</t>
  </si>
  <si>
    <t>2022/7/6 SZTH-联通CDN 新增512个IP：112.81.85.0/24、
153.37.233.0/24</t>
  </si>
  <si>
    <t>苏州三级联通</t>
  </si>
  <si>
    <t>2021/9/14开通苏州太湖三线，免费512个，收费1792个
IPV4已使用：43.226.164.0/24；预留段：43.226.167.0/24（预留段运营商也要收费）
IPV6：2408:873D:1200::/48</t>
  </si>
  <si>
    <t>CDN退租预留IP：43.226.167.0/24</t>
  </si>
  <si>
    <t>边缘计算，114.112.200.0/24</t>
  </si>
  <si>
    <t>边缘计算退租IP：114.112.200.0/24</t>
  </si>
  <si>
    <t>CZIX4F-C-41、CZIX4F-C-44、CZIX4F-C-45、CZIX4F-C-46、CZIX4F-C-47、CZIX4F-C-48、CZIX4F-C-52、CZIX4F-C-53、CZIX4F-C-54、CZIX4F-C-57、CZIX4F-C-58、CZIX4F-C-59、CZIX4F-C-61、CZIX4F-C-62、CZIX4F-C-63、CZIX4F-C-64、CZIX4F-C-65</t>
  </si>
  <si>
    <t>江苏常州三线边缘计算节点新增1个机柜 
BECCZIX4F-C-66</t>
  </si>
  <si>
    <t>4个机架免费机架：CZIX4F-C-56、CZIX4F-C-42、CZIX4F-C-43、CZIX4F-C-51</t>
  </si>
  <si>
    <t>边缘计算
BECCZIX4F-C-13、
BECCZIX4F-C-16、
BECCZIX4F-C-17</t>
  </si>
  <si>
    <t>共使用544个IP，免费256，收费288。后期新增每个35元：153.101.66.0/27、218.98.45.0/24</t>
  </si>
  <si>
    <t>共使用544个IP，免费256，收费288。后期新增每个35元：218.98.44.0/24</t>
  </si>
  <si>
    <t>江苏常州三线边缘计算节点新增32个IP，153.101.66.0/27</t>
  </si>
  <si>
    <t xml:space="preserve">2020/8/6江苏常州三线边缘计算节点新增256个IP
联通IPv4：112.82.205.0/24
联通IPv6：2408:873C:3010:0008::/64
</t>
  </si>
  <si>
    <t>【BEC扩容】常州三线扩容32个联通IP：153.101.66.96/27</t>
  </si>
  <si>
    <t>2023.3与SYS核对后调整IP段。自9月21日正式起租：58.216.2.0/24、61.160.239.192/27</t>
  </si>
  <si>
    <t>江苏常州三线边缘计算节点新增32个IP，61.160.198.0/27</t>
  </si>
  <si>
    <t xml:space="preserve">2020/8/5江苏常州三线边缘计算节点新增256个IP
电信IPv4：58.216.11.0/24 
电信IPv6：240e:978:301:5::/64
</t>
  </si>
  <si>
    <t>自9月21日正式起租：223.112.198.0/24、218.98.26.64/27</t>
  </si>
  <si>
    <t>江苏常州三线边缘计算节点新增32个IP，36.153.95.0/27</t>
  </si>
  <si>
    <t>2020/8/5江苏常州三线边缘计算节点新增256个IP
移动IPv4：36.150.40.0/24
移动IPv6：2409:8720:4001:5::/64</t>
  </si>
  <si>
    <t>L20220910007</t>
  </si>
  <si>
    <t>南京凤凰(郭家山)NJ02</t>
  </si>
  <si>
    <t>2022.11调整单价。201910由南京电信转签至江苏联通：NJ022F-A-01、NJ022F-A-02、NJ022F-A-03、NJ022F-A-04、NJ022F-A-05、NJ022F-A-06、NJ022F-A-07、NJ022F-A-08、NJ022F-A-09、NJ022F-A-10、NJ022F-A-11、NJ022F-A-12、NJ022F-A-13、NJ022F-A-14、NJ022F-A-15、NJ022F-A-16、NJ022F-A-17、NJ022F-A-18、NJ022F-A-19、NJ022F-A-20、NJ022F-A-21、NJ022F-A-22、NJ022F-A-23、NJ022F-A-24、NJ022F-A-25、NJ022F-A-26、NJ022F-A-27、NJ022F-A-28、NJ022F-A-29、NJ022F-A-30、NJ022F-A-31、NJ022F-A-32、NJ022F-A-33、NJ022F-B-01、NJ022F-B-02、NJ022F-B-03、NJ022F-B-04、NJ022F-B-05、NJ022F-B-06、NJ022F-B-07、NJ022F-B-08、NJ022F-B-09、NJ022F-B-10、NJ022F-B-11、NJ022F-B-12、NJ022F-B-13、NJ022F-B-14、NJ022F-B-15、NJ022F-B-16、NJ022F-B-17、NJ022F-B-18、NJ022F-B-19、NJ022F-B-20、NJ022F-B-21、NJ022F-B-22、NJ022F-B-23、NJ022F-B-24、NJ022F-B-25、NJ022F-B-26、NJ022F-C-01、NJ022F-C-02、NJ022F-C-03、NJ022F-C-04、NJ022F-C-05、NJ022F-C-06、NJ022F-C-07、NJ022F-C-08、NJ022F-C-09、NJ022F-C-10、NJ022F-C-11、NJ022F-C-12、NJ022F-C-13、NJ022F-C-14、NJ022F-C-15、NJ022F-C-16、NJ022F-C-17、NJ022F-C-18、NJ022F-C-19、NJ022F-C-20、NJ022F-C-21、NJ022F-C-22、NJ022F-C-23、NJ022F-C-24、NJ022F-C-25、NJ022F-C-26、NJ022F-D-01、NJ022F-D-02、NJ022F-D-03、NJ022F-D-04、NJ022F-D-05、NJ022F-D-06、NJ022F-D-07、NJ022F-D-08、NJ022F-D-09、NJ022F-D-10、NJ022F-D-11、NJ022F-D-12、NJ022F-D-13、NJ022F-D-14、NJ022F-D-15、NJ022F-D-16、NJ022F-D-17、NJ022F-D-18、NJ022F-D-19、NJ022F-D-20、NJ022F-D-21、NJ022F-D-22、NJ022F-D-23、NJ022F-D-24、NJ022F-D-25、NJ022F-D-26、NJ022F-D-27、NJ022F-D-28、NJ022F-D-29、NJ022F-D-30、NJ022F-D-31、NJ022F-D-32、NJ022F-D-33、NJ022F-E-01、NJ022F-E-02、NJ022F-E-03、NJ022F-E-04、NJ022F-E-05、NJ022F-E-06、NJ022F-E-07、NJ022F-E-08、NJ022F-E-09、NJ022F-E-10、NJ022F-E-11、NJ022F-E-12、NJ022F-E-13、NJ022F-E-14、NJ022F-E-15、NJ022F-E-16、NJ022F-E-17、NJ022F-E-18、NJ022F-E-19、NJ022F-E-20、NJ022F-E-21、NJ022F-E-22、NJ022F-E-23、NJ022F-E-24、NJ022F-E-25、NJ022F-E-26、NJ022F-E-27、NJ022F-F-01、NJ022F-F-02、NJ022F-F-03、NJ022F-F-04、NJ022F-F-05、NJ022F-F-06、NJ022F-F-07、NJ022F-F-08、NJ022F-F-09、NJ022F-F-10、NJ022F-F-11、NJ022F-F-12、NJ022F-F-13、NJ022F-F-14、NJ022F-F-15、NJ022F-F-16、NJ022F-F-17、NJ022F-F-18、NJ022F-F-19、NJ022F-F-20、NJ022F-F-21、NJ022F-F-22、NJ022F-F-23、NJ022F-F-24、NJ022F-F-25、NJ022F-F-26、NJ022F-F-27、NJ022F-F-28、NJ022F-F-29、NJ022F-F-30、NJ022F-F-31、NJ022F-F-32、NJ022F-F-33、NJ022F-I-01、NJ022F-I-02、NJ022F-I-03、NJ022F-I-04、NJ022F-I-05、NJ022F-I-06、NJ022F-I-07、NJ022F-I-08、NJ022F-I-09、NJ022F-I-10、NJ022F-I-11、NJ022F-I-12、NJ022F-I-13、NJ022F-I-14、NJ022F-I-15、NJ022F-I-16、NJ022F-I-17、NJ022F-I-18、NJ022F-I-19、NJ022F-I-20、NJ022F-I-21、NJ022F-I-22、NJ022F-I-23、NJ022F-I-24、NJ022F-I-25、NJ022F-I-26、NJ022F-I-27、NJ022F-I-28、NJ022F-I-29、NJ022F-I-30、NJ022F-I-31、NJ022F-I-32、NJ022F-I-33</t>
  </si>
  <si>
    <t>2022.11调整单价。NJ022F-B-11、NJ022F-C-01、NJ022F-D-24、NJ022F-D-28、NJ022F-D-30、NJ022F-D-33</t>
  </si>
  <si>
    <t>徐州2联通</t>
  </si>
  <si>
    <t>CDNXZUN2</t>
  </si>
  <si>
    <t>【BEC新建】徐州联通新增100G 节点正式上线  (XZ2UN)，开通18个机柜，13个收费，5个免费：BECXZ2UN2F-2C-F10、BECXZ2UN2F-2C-F11、BECXZ2UN2F-2C-F12、BECXZ2UN2F-2C-F13、BECXZ2UN2F-2C-F14、BECXZ2UN2F-2C-F15、BECXZ2UN2F-2C-F16、BECXZ2UN2F-2C-F17、BECXZ2UN2F-2C-F18、BECXZ2UN2F-2C-F19、BECXZ2UN2F-2C-E17、BECXZ2UN2F-2C-E18、BECXZ2UN2F-2C-E19</t>
  </si>
  <si>
    <t>【BEC新建】徐州联通新增100G 节点正式上线  (XZ2UN)，开通18个机柜，13个收费，5个免费：BECXZ2UN2F-2C-F5、BECXZ2UN2F-2C-F6、BECXZ2UN2F-2C-F7、BECXZ2UN2F-2C-F8、BECXZ2UN2F-2C-F9</t>
  </si>
  <si>
    <t>【BEC新建】徐州联通新增100G 节点正式上线  (XZ2UN)：IPV4使用288个，免费256个，收费32个：122.192.154.0/25；218.98.33.128/25；221.6.211.160/27</t>
  </si>
  <si>
    <t>L20230311004</t>
  </si>
  <si>
    <t>【BEC扩容】徐州2联通 (XZ2UN)新增64个IP：112.84.125.192/26</t>
  </si>
  <si>
    <t>补提202302徐州2联通IP费用：【BEC扩容】徐州2联通 (XZ2UN)新增64个IP：112.84.125.192/26</t>
  </si>
  <si>
    <t>中国联合网络通信有限公司常州市分公司</t>
  </si>
  <si>
    <t>常州联通</t>
  </si>
  <si>
    <t>L20230107002</t>
  </si>
  <si>
    <t>南京凤凰机房-昆山万国机房（一期）</t>
  </si>
  <si>
    <t>2023.2调整单价。南京凤凰机房-昆山万国机房（一期）存量裸光纤，长度由900.36，调整为913.36</t>
  </si>
  <si>
    <t>南京凤凰机房-昆山万国机房（二期）</t>
  </si>
  <si>
    <t>2023.2调整单价。南京凤凰机房-昆山万国机房（二期）扩容，新增2条2芯裸光纤.19.9.1开始计费</t>
  </si>
  <si>
    <t>南京凤凰机房-昆山万国机房（三期）</t>
  </si>
  <si>
    <t>2023.2调整单价。南京凤凰机房-昆山万国机房（三期）光纤，2021/2/1开始计费（ 江苏联通昆山-南京裸光纤，因剥离中信与联通城域部分，增加扬州汊河机房-南京新港机房-南京凤凰机房122.27KM，退租扬州-六合58.1KM，变更时间2021年2月1日。
      本次变更主要针对昆山-南京线路第一期进行线路变更
）</t>
  </si>
  <si>
    <t>南京凤凰机房-昆山万国机房（四期）扩容</t>
  </si>
  <si>
    <t>2023.2调整单价。扩容30.9KM:  原路由：无锡——苏州：75.1km
调整后：无锡——太湖：61.7km；太湖——苏州：44.3km
光纤长度增加：30.9km</t>
  </si>
  <si>
    <t>2023.2调整单价。南京凤凰机房-昆山万国机房（一期）存量机房占用费</t>
  </si>
  <si>
    <t>2023.2调整单价。南京凤凰机房-昆山万国机房（二期）扩容，新增6个机房</t>
  </si>
  <si>
    <t>上海</t>
  </si>
  <si>
    <t>鹏博士大数据有限公司上海分公司</t>
  </si>
  <si>
    <t>上海鹏博士</t>
  </si>
  <si>
    <t>182215IDC00486</t>
  </si>
  <si>
    <t>SHPBS</t>
  </si>
  <si>
    <t>2022.7调整单价。上海鹏博士第二POP机房3个机架：MD01-E03、MD01-E04、MD01-E05</t>
  </si>
  <si>
    <t>2022.7调整单价。上海鹏博士第二POP机房2个机架：MD01-E-06、MD01-E-07</t>
  </si>
  <si>
    <t>MD01-E04机柜至JRJ02-A07机柜 （汇枫）跳纤</t>
  </si>
  <si>
    <t>上海鹏博士pop计费，2021/4/27：1对跳纤，从MD01-E04机柜至JRJ02-A07机柜 （汇枫） 即：鹏博士-苏州太湖</t>
  </si>
  <si>
    <t>MD01-E04机柜至鹏博士光交箱宽度网络R盘</t>
  </si>
  <si>
    <t>上海鹏博士pop计费，2021/4/27：1对跳纤，从MD01-E04机柜至鹏博士光交箱宽度网络R盘 即：鹏博士-苏州太湖</t>
  </si>
  <si>
    <t>MD01-E06至接入间A07</t>
  </si>
  <si>
    <t>上海鹏博士pop计费，2021/5/14：10对跳纤，从MD01-E06至接入间A07 即：鹏博士-拼多多互联。5月计费18天</t>
  </si>
  <si>
    <t>2022/12/22退租4条，鹏博士光纤编号：QX002262、QX002263、QX002268、QX002269</t>
  </si>
  <si>
    <t>联通-MD01-E06</t>
  </si>
  <si>
    <t>新增双芯LC，从联通到MD01-E06，暂按运营商开通时间计提</t>
  </si>
  <si>
    <t>2022/12/22退租，鹏博士光纤编号QX002299。新增双芯LC，从联通到MD01-E06，暂按运营商开通时间计提</t>
  </si>
  <si>
    <t>二楼接入间/A07 汇枫网络至MD01-E06机柜</t>
  </si>
  <si>
    <t>新增1对芯，从二楼接入间/A07 汇枫网络至MD01-E06机柜</t>
  </si>
  <si>
    <t>从JRJ01-A01联通至MD01-E05</t>
  </si>
  <si>
    <t>集度专线楼内跳纤费用：从JRJ01-A01联通至MD01-E05</t>
  </si>
  <si>
    <t>上海普鼎数据科技有限公司</t>
  </si>
  <si>
    <t>普鼎数据</t>
  </si>
  <si>
    <t>182115IDC00537</t>
  </si>
  <si>
    <t>普洛斯苏州常熟东南数据中心</t>
  </si>
  <si>
    <t>CSJSCSPLS</t>
  </si>
  <si>
    <t>普罗斯至苏州太湖无锡太科园传输机柜，从2021/8/1开始计费
2021年7月22日开通：CSJSCSPLSA1-1-1、
CSJSCSPLSA1-1-2、
2021年8月1日开通：CSJSCSPLSA55-1-1、
CSJSCSPLSA55-1-2</t>
  </si>
  <si>
    <t>万国数据服务有限公司</t>
  </si>
  <si>
    <t>万国2017合约</t>
  </si>
  <si>
    <t>181915IDC00287</t>
  </si>
  <si>
    <t>IDC机架 普通机柜</t>
  </si>
  <si>
    <t>苏州昆山</t>
  </si>
  <si>
    <t>SZWG</t>
  </si>
  <si>
    <t>IDC机架 核心机柜</t>
  </si>
  <si>
    <t>双方同意自2019年7月1日起截至服务合同期满或提前终止日，于每半年对于因市场电力单价变动导致的电力费用变动进行结算并于结算后3个月内通过增减机架服务费形式进行调整</t>
  </si>
  <si>
    <t>IDC机架 外网核心</t>
  </si>
  <si>
    <t>41A</t>
  </si>
  <si>
    <t>IDC机架 标准机柜</t>
  </si>
  <si>
    <t>6月新增：SZWG301-B-01~10,SZWG303-C-11</t>
  </si>
  <si>
    <t>7月新增：SZWG301-C-01~07</t>
  </si>
  <si>
    <t>19.7.21新增1个，SZWG403-E-04</t>
  </si>
  <si>
    <t>19.8.16月新增4个：SZWG202-A-03~06</t>
  </si>
  <si>
    <t>19.8.21月新增2个：SZWG301-C-09、SZWG301-C-10</t>
  </si>
  <si>
    <t>19.8.21月新增1个：SZWG403-E-05</t>
  </si>
  <si>
    <t>19.8.31新增4个：SZWG202-A-07 SZWG202-A-08 SZWG202-A-09 SZWG202-A-10</t>
  </si>
  <si>
    <t>SZWG204-G-11</t>
  </si>
  <si>
    <t>SZWG403-F-01~SZWG403-F-22；SZWG403-G-01~SZWG403-G-07</t>
  </si>
  <si>
    <t>SZWG202-A-11、SZWG202-A-12</t>
  </si>
  <si>
    <t>SZWG202-A-13、SZWG202-A-14、SZWG202-A-15、SZWG202-A-16、SZWG202-A-17、SZWG202-A-18、SZWG202-A-19、SZWG202-A-20、SZWG202-A-21、SZWG202-A-22</t>
  </si>
  <si>
    <t>SZWG202-B-01、SZWG202-B-02</t>
  </si>
  <si>
    <t>SZWG301-C-13、SZWG301-C-14、SZWG301-C-15、SZWG301-C-16</t>
  </si>
  <si>
    <t>SZWG403-E-06、SZWG403-E-07、SZWG403-E-08、SZWG403-E-09、SZWG403-E-10、SZWG403-E-11、SZWG403-E-12、SZWG403-E-13、SZWG403-E-14</t>
  </si>
  <si>
    <t>SZWG202-B-03、SZWG202-B-04、SZWG202-B-05、SZWG202-B-06</t>
  </si>
  <si>
    <t>SZWG403-D-10、SZWG403-D-11、SZWG403-D-12</t>
  </si>
  <si>
    <t>2020/6/1开通，6月整月计费
SZWG403-D-08</t>
  </si>
  <si>
    <t>2020/7/21开通，7月计费11天：SZWG301-C-17、SZWG301-C-18</t>
  </si>
  <si>
    <t>2020/11/2开通，计费29天：SZWG301-B-11</t>
  </si>
  <si>
    <t>2020/11/5开通，计费26天：SZWG301-D-01、SZWG301-D-02</t>
  </si>
  <si>
    <t>2020/11/17开通，计费14天：SZWG303-C-19</t>
  </si>
  <si>
    <t>2020/11/19开通，计费12天：SZWG303-C-20</t>
  </si>
  <si>
    <t>2020/12/1开通，整月计费
SZWG403-E-15、SZWG403-E-16、SZWG403-E-17、SZWG403-E-18、SZWG403-E-19、SZWG403-E-20、SZWG403-E-21、SZWG403-E-22</t>
  </si>
  <si>
    <t>2020/12/28开通，计费4天：SZWG303-C-21、SZWG303-C-22</t>
  </si>
  <si>
    <t>2021/1/13开通，计费19天：
SZWG301-D-05、SZWG301-D-08、SZWG301-D-09、SZWG301-D-03、SZWG301-D-04、SZWG301-D-07、SZWG301-D-06</t>
  </si>
  <si>
    <t>2021/1/27开通，计费5天：SZWG301-E-01、SZWG301-E-02、SZWG301-E-03、SZWG301-E-04</t>
  </si>
  <si>
    <t>2021/1/29开通，计费3天：SZWG301-D-10、SZWG301-D-13、SZWG301-D-18、SZWG301-D-21、SZWG301-D-14、SZWG301-D-17、SZWG301-D-22、SZWG301-D-19、SZWG301-D-20</t>
  </si>
  <si>
    <t>2021/2/1转签至上海联通
SZWG201-G-05、SZWG201-H-06、SZWG201-E-05、SZWG201-F-07、SZWG201-G-03、SZWG201-D-22、SZWG201-D-21、SZWG201-E-06、SZWG201-E-07、SZWG201-E-08、SZWG201-G-06、SZWG201-G-07、SZWG201-F-05、SZWG201-G-01、SZWG201-G-02、SZWG201-H-05、SZWG201-H-07、SZWG201-H-08、SZWG201-H-10、SZWG201-E-10、SZWG201-E-11、SZWG201-E-01、SZWG201-G-04、SZWG201-H-04、SZWG201-H-01、SZWG201-H-02、SZWG201-H-03、SZWG201-F-02、SZWG201-F-04、SZWG201-F-03、SZWG201-E-09、SZWG201-E-02、SZWG201-E-03、SZWG201-E-04、SZWG201-E-12、SZWG201-F-01、SZWG201-C-22、SZWG201-G-11、SZWG102-F-02、SZWG102-B-01、SZWG102-C-04、SZWG102-D-18、SZWG102-C-21、SZWG102-C-01、SZWG102-C-06、SZWG102-C-03、SZWG102-C-05、SZWG102-B-07、SZWG102-G-12、SZWG102-C-10、SZWG102-C-09、SZWG102-C-15、SZWG102-C-16、SZWG102-C-14、SZWG102-C-13、SZWG102-C-19、SZWG102-C-22、SZWG102-B-05、SZWG102-B-03、SZWG102-C-12、SZWG102-B-10、SZWG102-B-09、SZWG102-D-04、SZWG102-D-01、SZWG102-D-03、SZWG102-D-02、SZWG102-D-14、SZWG102-D-13、SZWG102-D-07、SZWG102-D-10、SZWG102-D-16、SZWG102-D-12、SZWG102-D-08、SZWG102-D-15、SZWG102-G-01、SZWG102-G-02、SZWG102-G-03、SZWG102-G-04、SZWG102-G-05、SZWG102-G-06、SZWG102-G-07、SZWG102-G-08、SZWG102-G-09、SZWG102-C-18、SZWG102-C-20、SZWG102-C-07、SZWG102-C-08、SZWG102-C-02、SZWG102-E-08、SZWG102-E-01、SZWG102-E-04、SZWG102-E-05、SZWG102-E-06、SZWG102-E-07、SZWG102-D-21、SZWG102-E-03、SZWG102-E-02、SZWG102-D-22、SZWG102-E-09、SZWG102-E-10、SZWG102-E-17、SZWG102-B-06、SZWG102-B-08、SZWG102-B-02、SZWG102-B-04、SZWG102-C-17、SZWG102-G-10、SZWG102-D-09、SZWG102-D-20、SZWG102-D-17、SZWG102-D-19、SZWG102-D-05、SZWG102-C-11、SZWG102-D-11、SZWG102-D-06、SZWG102-E-15、SZWG102-E-14、SZWG102-E-13、SZWG102-E-12、SZWG102-E-18、SZWG102-E-16、SZWG102-E-11、SZWG204-C-14、SZWG204-C-13、SZWG204-C-15、SZWG204-C-17、SZWG204-C-16、SZWG204-C-12、SZWG204-D-08、SZWG204-D-07、SZWG204-D-05、SZWG204-D-06、SZWG204-C-09、SZWG204-C-10、SZWG204-C-11、SZWG204-B-08、SZWG204-B-07、SZWG204-C-01、SZWG204-C-06、SZWG204-C-08、SZWG204-C-05、SZWG204-C-07、SZWG204-C-02、SZWG204-D-01、SZWG204-D-03、SZWG204-D-02、SZWG204-D-04、SZWG204-C-18、SZWG204-B-09、SZWG204-B-10、SZWG204-C-04、SZWG204-C-03、SZWG201-G-09、SZWG102-E-20、SZWG102-E-22、SZWG102-E-21、SZWG201-F-06、SZWG201-F-08、SZWG204-B-18、SZWG204-B-19、SZWG204-B-17、SZWG204-B-20、SZWG204-B-15、SZWG204-B-16、SZWG204-B-22、SZWG204-B-21、SZWG102-G-13、SZWG102-G-14、SZWG204-B-14、SZWG101-C-02、SZWG101-C-11、SZWG101-C-04、SZWG101-C-12、SZWG101-C-15、SZWG101-C-06、SZWG101-C-05、SZWG102-G-15、SZWG102-G-16、SZWG101-C-01、SZWG101-C-03、SZWG101-C-08、SZWG101-C-07、SZWG101-C-09、SZWG101-C-10、SZWG101-C-20、SZWG101-C-19、SZWG101-C-18、SZWG101-B-11、SZWG101-C-14、SZWG101-C-16、SZWG101-C-13、SZWG101-C-17、SZWG102-G-17、SZWG102-G-18、SZWG102-G-19、SZWG102-G-20、SZWG204-B-13、SZWG204-B-11、SZWG204-B-12、SZWG102-G-21、SZWG102-G-22、SZWG102-F-01、SZWG201-D-17、SZWG201-D-19、SZWG201-D-18、SZWG201-D-20、SZWG201-D-09、SZWG201-D-10、SZWG201-D-07、SZWG201-D-13、SZWG201-D-14、SZWG201-D-16、SZWG201-D-15、SZWG201-D-06、SZWG201-D-08、SZWG201-C-12、SZWG201-C-13、SZWG201-C-21、SZWG201-D-02、SZWG201-C-17、SZWG201-C-04、SZWG201-D-04、SZWG201-C-07、SZWG201-C-19、SZWG201-D-03、SZWG201-C-01、SZWG201-C-05、SZWG201-C-14、SZWG201-D-01、SZWG201-C-06、SZWG201-C-03、SZWG201-D-05、SZWG201-C-16、SZWG201-C-02、SZWG201-C-08、SZWG201-C-18、SZWG201-C-20、SZWG201-C-15、SZWG103-G-09、SZWG102-B-11、SZWG204-B-01、SZWG204-B-02、SZWG204-B-03、SZWG103-G-05、SZWG102-E-19、SZWG101-C-22、SZWG103-G-12、SZWG103-G-10、SZWG103-G-08、SZWG103-G-04、SZWG103-G-06、SZWG103-G-11、SZWG103-G-07、SZWG103-G-03、SZWG101-C-21、SZWG103-G-01、SZWG103-G-02、SZWG101-G-22、SZWG101-G-21、SZWG101-G-20、SZWG204-B-05、SZWG101-D-11、SZWG101-D-10、SZWG101-D-09、SZWG101-D-12、SZWG101-D-13、SZWG101-D-14、SZWG101-D-03、SZWG101-D-16、SZWG101-D-15、SZWG101-D-19、SZWG101-D-22、SZWG101-D-20、SZWG101-D-21、SZWG101-D-18、SZWG101-D-17、SZWG101-D-07、SZWG101-D-05、SZWG101-D-08、SZWG101-D-06、SZWG204-B-06、SZWG103-B-11、SZWG101-D-01、SZWG101-D-02、SZWG101-D-04、SZWG204-B-04、SZWG101-F-14、SZWG204-D-15、SZWG204-D-17、SZWG204-D-18、SZWG103-F-20、SZWG103-F-21、SZWG103-F-22、SZWG103-G-13、SZWG103-G-16、SZWG103-G-15、SZWG103-G-18、SZWG103-D-06、SZWG103-D-08、SZWG103-D-04、SZWG103-F-02、SZWG103-F-01、SZWG103-F-03、SZWG103-F-04、SZWG103-F-05、SZWG103-F-06、SZWG103-F-08、SZWG103-F-09、SZWG103-F-07、SZWG103-F-18、SZWG103-E-14、SZWG103-E-20、SZWG103-D-22、SZWG103-E-16、SZWG103-D-20、SZWG103-F-14、SZWG103-E-22、SZWG103-D-18、SZWG103-F-16、SZWG103-D-16、SZWG103-C-14、SZWG103-C-16、SZWG103-C-18、SZWG103-C-20、SZWG103-C-22、SZWG103-E-10、SZWG103-E-04、SZWG103-E-08、SZWG103-D-10、SZWG101-B-10、SZWG101-B-08、SZWG101-B-06、SZWG103-D-14、SZWG103-E-18、SZWG103-E-06、SZWG103-E-02、SZWG101-E-10、SZWG103-E-05、SZWG103-G-19、SZWG103-F-19、SZWG103-G-14、SZWG103-G-17、SZWG101-G-01、SZWG101-F-01、SZWG101-F-05、SZWG101-F-04、SZWG101-F-06、SZWG101-F-07、SZWG101-F-03、SZWG101-F-08、SZWG101-F-02、SZWG101-G-03、SZWG101-G-09、SZWG101-G-05、SZWG101-G-07、SZWG101-G-02、SZWG101-G-10、SZWG204-D-12、SZWG204-D-09、SZWG204-D-11、SZWG204-D-10、SZWG204-D-13、SZWG204-D-14、SZWG204-D-16、SZWG103-B-03、SZWG103-B-06、SZWG103-B-04、SZWG103-F-10、SZWG103-E-07、SZWG103-E-09、SZWG103-E-13、SZWG103-E-15、SZWG103-E-21、SZWG103-E-17、SZWG103-E-19、SZWG103-F-13、SZWG103-F-15、SZWG103-F-17、SZWG101-G-17、SZWG101-E-01、SZWG101-E-02、SZWG101-E-03、SZWG101-E-04、SZWG101-G-06、SZWG101-G-04、SZWG101-G-08、SZWG101-E-13、SZWG101-E-15、SZWG101-E-17、SZWG101-E-19、SZWG101-E-21、SZWG101-F-21、SZWG101-F-17、SZWG103-B-10、SZWG103-B-08、SZWG103-C-02、SZWG103-D-01、SZWG103-C-07、SZWG103-C-06、SZWG103-B-09、SZWG103-C-04、SZWG101-E-06、SZWG101-E-05、SZWG103-D-07、SZWG103-D-05、SZWG103-D-03、SZWG103-B-05、SZWG103-B-02、SZWG103-B-01、SZWG103-C-05、SZWG103-C-03、SZWG103-C-10、SZWG103-B-07、SZWG103-D-02、SZWG103-C-08、SZWG103-C-01、SZWG103-C-09、SZWG101-F-15、SZWG101-F-19、SZWG101-F-09、SZWG101-F-13、SZWG101-E-07、SZWG101-E-09、SZWG101-B-03、SZWG101-B-05、SZWG101-B-07、SZWG101-B-09、SZWG101-B-01、SZWG101-G-13、SZWG101-G-15、SZWG101-F-10、SZWG101-F-18、SZWG103-C-15、SZWG101-E-16、SZWG101-B-04、SZWG103-D-19、SZWG101-F-20、SZWG103-D-12、SZWG101-E-14、SZWG101-E-22、SZWG103-C-13、SZWG103-C-12、SZWG103-D-13、SZWG103-C-17、SZWG101-B-02、SZWG103-D-17、SZWG103-C-19、SZWG103-E-01、SZWG103-E-03、SZWG103-D-15、SZWG103-D-09、SZWG101-E-18、SZWG103-E-12、SZWG101-F-16、SZWG101-E-08、SZWG101-E-20、SZWG103-D-11、SZWG103-D-21、SZWG103-C-21、SZWG101-F-22、SZWG103-E-11、SZWG103-C-11、SZWG102-F-07、SZWG102-F-04、SZWG103-G-20、SZWG102-F-12、SZWG102-F-11、SZWG102-F-03、SZWG102-F-05、SZWG102-F-08、SZWG102-F-14、SZWG102-F-10、SZWG102-F-13、SZWG102-F-06、SZWG102-F-09、SZWG103-G-22、SZWG102-F-15、SZWG102-F-19、SZWG102-F-17、SZWG102-F-18、SZWG102-F-21、SZWG102-F-20、SZWG102-F-22、SZWG103-G-21、SZWG102-F-16、SZWG101-G-18、SZWG101-G-14、SZWG101-G-16、SZWG201-H-11、SZWG201-H-12、SZWG204-C-22、SZWG204-C-21、SZWG204-C-20、SZWG204-C-19、SZWG204-D-20、SZWG204-D-19、SZWG204-D-21、SZWG201-G-12、SZWG201-G-08、SZWG201-G-10</t>
  </si>
  <si>
    <t>2021/2/9退租2个机架，冲19天费用：SZWG301-D-21、SZWG301-D-22</t>
  </si>
  <si>
    <t>2021/2/4开通，计费25天：SZWG301-E-05、SZWG301-E-06、SZWG301-E-07、SZWG301-E-08、SZWG301-E-09、SZWG301-E-10、SZWG301-D-15、SZWG301-D-16</t>
  </si>
  <si>
    <t>2021/2/24开通，计费5天：SZWG301-E-19、SZWG301-E-20</t>
  </si>
  <si>
    <t>2021/3/16开通，3月计费16天
SZWG301-F-09、SZWG301-F-10</t>
  </si>
  <si>
    <t>2021/3/19开通，3月计费13天
SZWG301-E-15、SZWG301-E-16、SZWG301-E-17、SZWG301-E-18</t>
  </si>
  <si>
    <t>2021/3/22开通，3月计SZWG301-F-07、SZWG301-F-08、SZWG301-E-13、SZWG301-E-14</t>
  </si>
  <si>
    <t>2021/3/26开通，3月计费6天
SZWG204-E-15、SZWG204-E-16、SZWG204-E-17、SZWG204-E-18</t>
  </si>
  <si>
    <t>2021/4/2开通，4月计费29天：SZWG301-F-01、SZWG301-F-02、SZWG301-F-03、SZWG301-F-04、SZWG301-F-05、SZWG301-F-06、SZWG301-G-09、SZWG301-G-10</t>
  </si>
  <si>
    <t>2021/4/6开通，4月计费25天：SZWG403-C-10、SZWG403-C-13、SZWG403-C-03、SZWG403-C-04、SZWG403-C-05、SZWG403-C-06、SZWG403-C-07、SZWG403-C-08、SZWG403-C-09、SZWG403-C-01、SZWG403-C-02、SZWG403-C-14</t>
  </si>
  <si>
    <t>2021/4/15开通，4月计费16天：SZWG403-G-08、SZWG403-G-09、SZWG403-G-10、SZWG403-G-11、SZWG403-G-12</t>
  </si>
  <si>
    <t>2021/4/20开通，4月计费11天：SZWG403-G-13、SZWG403-G-14、SZWG403-G-15、SZWG403-G-16、SZWG403-G-17、SZWG403-G-18、SZWG403-G-19、SZWG403-G-20、SZWG403-G-21、SZWG403-G-22</t>
  </si>
  <si>
    <t>2021/4/27开通，4月计费4天：SZWG403-B-07、SZWG403-B-08、SZWG403-B-09、SZWG403-B-10、SZWG403-B-11、SZWG403-D-01、SZWG403-D-02、SZWG403-D-03、SZWG403-D-04、SZWG403-D-05、SZWG403-D-06、SZWG403-D-07、SZWG403-D-09</t>
  </si>
  <si>
    <t>2021/5/2开通，5月计费30天：SZWG301-E-11、SZWG301-E-12、SZWG301-F-11、SZWG301-F-12、SZWG301-F-13、SZWG301-F-14</t>
  </si>
  <si>
    <t>2021/5/9开通，5月计费23天：SZWG101-F-12、SZWG101-G-12、SZWG101-E-12</t>
  </si>
  <si>
    <t>2021/5/15开通，5月计费17天：SZWG401-B-11、SZWG402-B-11、SZWG101-G-19</t>
  </si>
  <si>
    <t>2021/5/17开通，5月计费15天：SZWG403-C-15、SZWG403-C-16</t>
  </si>
  <si>
    <t>2021/5/25开通，5月计费7天：SZWG303-D-07、SZWG303-D-08、SZWG303-D-09、SZWG303-D-10、SZWG303-D-15、SZWG303-D-16、SZWG303-D-17、SZWG303-D-18、SZWG303-D-19、SZWG303-D-20、SZWG303-D-21、SZWG303-D-22</t>
  </si>
  <si>
    <t>2021/5/31开通，5月计费1天：SZWG403-C-17、SZWG403-C-18、SZWG403-C-19、SZWG403-C-20、SZWG403-C-21、SZWG403-C-22</t>
  </si>
  <si>
    <t>2021/6/15开通，6月计费16天：SZWG301-C-11、SZWG301-C-12、SZWG301-C-19、SZWG301-C-20、SZWG301-F-17、SZWG301-F-18、SZWG301-C-21、SZWG301-C-22、SZWG301-F-15、SZWG301-F-16</t>
  </si>
  <si>
    <t>2021/7/4开通，7月计费28天：SZWG204-E-19、SZWG204-E-20、SZWG204-E-21、SZWG204-E-22</t>
  </si>
  <si>
    <t>2021/7/5开通机架，7月计费27天：SZWG303-C-17、SZWG303-C-18、SZWG204-E-11、SZWG204-E-12、SZWG204-F-22、SZWG204-F-11、SZWG204-F-12、SZWG204-F-13、SZWG204-F-14、SZWG204-F-15、SZWG204-F-16、SZWG204-F-17、SZWG204-F-18、SZWG204-F-19、SZWG204-F-20、SZWG204-F-21</t>
  </si>
  <si>
    <t>2021/7/26开通机架，7月计费6天：SZWG303-C-15、SZWG303-C-16、SZWG402-F-11、SZWG101-E-11、SZWG101-F-11、SZWG101-G-11、SZWG102-G-11、SZWG103-F-11</t>
  </si>
  <si>
    <t>2021/7/28开通，7月计费4天：SZWG301-G-01、SZWG301-G-02、SZWG301-G-03、SZWG301-G-04、SZWG301-G-05、SZWG301-G-06</t>
  </si>
  <si>
    <t>2021/8/2开通机架，8月计费30天：SZWG103-F-12、SZWG402-F-12</t>
  </si>
  <si>
    <t>2021/11/19开通机架，11月计费12天：SZWG303-D-01、SZWG303-D-02、SZWG303-D-03、SZWG303-D-04、SZWG303-D-05、SZWG303-D-06、SZWG303-D-13、SZWG303-D-14</t>
  </si>
  <si>
    <t>2021/11/22开通机架，11月计费9天：SZWG301-F-19、SZWG301-F-20、SZWG301-F-21、SZWG301-F-22</t>
  </si>
  <si>
    <t>SZWG301-G-07
SZWG301-G-08
SZWG301-G-11
SZWG301-G-12
SZWG301-G-13</t>
  </si>
  <si>
    <t>SZWG301-G-15、SZWG301-G-16、SZWG301-G-17、SZWG301-G-18、SZWG301-G-19、SZWG301-G-20</t>
  </si>
  <si>
    <t>SZWG301-D-11、SZWG301-D-12、SZWG301-G-14、SZWG301-G-21、SZWG301-G-22</t>
  </si>
  <si>
    <t>SZWG403-C-21、SZWG403-C-22</t>
  </si>
  <si>
    <t>IDC机架空置费</t>
  </si>
  <si>
    <t>202105万国2017合约累计开通机架1062个，超过起租要求的1054个，无空置费IDC机架空置费（1054-N）*3000
机房验收6个月甲方承诺开通440个，验收12个月，甲方承诺开通614个，剩余186个不做起租要求，合计共1240个机架</t>
  </si>
  <si>
    <t>SZWG301-D-21</t>
  </si>
  <si>
    <t>SZWG201-F-09、SZWG201-G-13、SZWG201-H-09、SZWG204-E-15、SZWG204-E-16</t>
  </si>
  <si>
    <t>SZWG403-C-11、SZWG403-C-12</t>
  </si>
  <si>
    <t>SZWG204-E-15、SZWG204-E-16</t>
  </si>
  <si>
    <t>SZWG402-B-01、SZWG402-B-02、SZWG402-B-03、SZWG402-B-05、SZWG402-B-08、SZWG402-B-06、SZWG401-G-21、SZWG401-G-22</t>
  </si>
  <si>
    <t>SZWG401-G-15、SZWG401-G-17、SZWG401-G-19、SZWG401-G-20、SZWG401-G-18、SZWG401-G-16、SZWG402-B-07</t>
  </si>
  <si>
    <t>万国</t>
  </si>
  <si>
    <t>L20221106007</t>
  </si>
  <si>
    <t>唐镇-外高桥</t>
  </si>
  <si>
    <t>CSSHTZPOP</t>
  </si>
  <si>
    <t>2020/11/28开通，11月计费3天：CSSHTZPOP104-B-08。光纤费用计提在中信L20201219002</t>
  </si>
  <si>
    <t>外高桥-日阪路</t>
  </si>
  <si>
    <t>CSSHRBL</t>
  </si>
  <si>
    <t>按照预审合同计提。2020/12/17开通，计费15天：SH7-B-1。 万国日阪路91号，拼多多自建机房。光纤费用计提在中信L20201219002</t>
  </si>
  <si>
    <t>4对芯</t>
  </si>
  <si>
    <t>2020/11/28开通，11月计费3天。跳纤费用。光纤费用计提在中信L20201219002</t>
  </si>
  <si>
    <t>按照预审合同计提。2020/12/17开通，计费15天。.跳纤费用。光纤费用计提在中信L20201219002</t>
  </si>
  <si>
    <t>L20201026003</t>
  </si>
  <si>
    <t>2020/7/29开通华京路6号90号1楼的北信息间-该楼的404房间光纤</t>
  </si>
  <si>
    <t>L20220126004</t>
  </si>
  <si>
    <t>跳线</t>
  </si>
  <si>
    <t>跳线一：百度万国-C-04 ODF—304-G2-27U M2---直连缆---302房间SZVWGA-3B-01-23/2U/CE12804；跳线二：百度万国-D-04 ODF—304-G1-27U M2---直连缆---302房间SZVWGA-3B-01-24/2U/CE12804</t>
  </si>
  <si>
    <t>武汉凌盈网络科技有限公司</t>
  </si>
  <si>
    <t>武汉凌盈</t>
  </si>
  <si>
    <t>L20221106001</t>
  </si>
  <si>
    <t>管理费</t>
  </si>
  <si>
    <t>花椒项目酒仙桥侧光纤接入管理费</t>
  </si>
  <si>
    <t>花椒项目酒仙桥侧光纤接入，北京朝阳区酒仙桥路6号院2号楼接入管理服务费</t>
  </si>
  <si>
    <t>L20230327008</t>
  </si>
  <si>
    <t>花椒项目万达广场入楼费</t>
  </si>
  <si>
    <t>花椒项目万达广场接入费，原合同182215IDC00128中的“北京市朝阳区万达广场12号楼2309室一次性接入费”23年继续收取，降价为2万/年，改为按月付费</t>
  </si>
  <si>
    <t>补提202302花椒项目万达广场接入费，原合同182215IDC00128中的“北京市朝阳区万达广场12号楼2309室一次性接入费”23年继续收取，降价为2万/年，改为按月付费</t>
  </si>
  <si>
    <t>补提202301花椒项目万达广场接入费，原合同182215IDC00128中的“北京市朝阳区万达广场12号楼2309室一次性接入费”23年继续收取，降价为2万/年，改为按月付费</t>
  </si>
  <si>
    <t>中国电信股份有限公司</t>
  </si>
  <si>
    <t>云堤SSL</t>
  </si>
  <si>
    <t>182215IDC00644</t>
  </si>
  <si>
    <t>防攻击费</t>
  </si>
  <si>
    <t>固定费用</t>
  </si>
  <si>
    <t>DDOS防攻击</t>
  </si>
  <si>
    <t>付瑶</t>
  </si>
  <si>
    <t>中国电信股份有限公司济南分公司</t>
  </si>
  <si>
    <t>济南电信</t>
  </si>
  <si>
    <t>182115IDC00559</t>
  </si>
  <si>
    <t>高防机架</t>
  </si>
  <si>
    <t>JNLXCT</t>
  </si>
  <si>
    <t>按照决策邮件，运营商赠送6个机柜。运营商减免5个机柜。
JNLXCT5F-A-09（高防预占用，加电，无设备）
JNLXCT5F-A-10（高防预占用，加电，无设备）
JNLXCT5F-A-11（高防预占用，加电，无设备）
JNLXCT5F-A-12（于2021.10.15上设备）
JNLXCT5F-A-13（于2021.10.15上设备）
JNLXCT5F-A-08</t>
  </si>
  <si>
    <t>JNLXCT5F-A-08（2022.1.13核对：高防未加电，运营商也未开通，免费机柜系统已关闭）</t>
  </si>
  <si>
    <t>高防IP</t>
  </si>
  <si>
    <t>免费8个C的IP，超出30元/个；CDN使用256个；高防使用1792个（150.138.243.0/24、150.138.244.0/24、150.138.245.0/24、150.138.246.0/24、150.138.247.0/24、150.138.249.0/24、150.138.250.0/24）</t>
  </si>
  <si>
    <t>济南电信二级</t>
  </si>
  <si>
    <t>免费8个C的IP，超出30元/个；CDN使用256个；150.138.248.0/24</t>
  </si>
  <si>
    <t>8个C IP代播，单价10元：182.61.192.0/23、182.61.194.0/23、182.61.196.0/23、182.61.198.0/23</t>
  </si>
  <si>
    <t>JNLXCT5F-A-01
JNLXCT5F-A-02
JNLXCT5F-A-03
JNLXCT5F-A-04
JNLXCT5F-A-05
JNLXCT5F-A-06
JNLXCT5F-A-07
JNLXCT5F-A-14
JNLXCT5F-A-15
JNLXCT5F-A-16
JNLXCT5F-A-17
JNLXCT5F-B-01
JNLXCT5F-B-02
JNLXCT5F-B-03
JNLXCT5F-B-05
JNLXCT5F-B-06
JNLXCT5F-B-07
JNLXCT5F-B-08
JNLXCT5F-B-09
JNLXCT5F-B-10
JNLXCT5F-B-11
JNLXCT5F-B-12
JNLXCT5F-B-13
JNLXCT5F-B-14
JNLXCT5F-B-15
JNLXCT5F-B-16</t>
  </si>
  <si>
    <t>JNLXCT5F-C-01、JNLXCT5F-C-05</t>
  </si>
  <si>
    <t>2021.12.31退租2个机柜
JNLXCT5F-C-01、JNLXCT5F-C-05</t>
  </si>
  <si>
    <t>其他机架</t>
  </si>
  <si>
    <t>JNLXCT5F-C-08（网络组使用）
JNLXCT5F-C-09（网络组使用）
JNLXCT5F-C-10（网络组使用）</t>
  </si>
  <si>
    <t>JNLXCT5F-C-11、 
JNLXCT5F-C-12、 
JNLXCT5F-C-13、 
JNLXCT5F-C-14、JNLXCT5F-D-01、JNLXCT5F-D-02</t>
  </si>
  <si>
    <t>JNLXCT5F-C-02、JNLXCT5F-C-03、JNLXCT5F-C-04
2022.1.19补交付邮件</t>
  </si>
  <si>
    <t>2021.5.8开通，于2021.6.1开始计费9KW机柜。JNLXCT5F-C-06</t>
  </si>
  <si>
    <t>济南电信蓝翔路IDC机房-济南经七纬五75号全景恒基308室百度机房</t>
  </si>
  <si>
    <t>2 芯</t>
  </si>
  <si>
    <t>济南电信机房-济南联通机房</t>
  </si>
  <si>
    <t>中国电信股份有限公司江苏分公司</t>
  </si>
  <si>
    <t>苏州电信</t>
  </si>
  <si>
    <t>182115IDC00022</t>
  </si>
  <si>
    <t>太湖机房三期一批（SZTH3D3）</t>
  </si>
  <si>
    <t>SZTH</t>
  </si>
  <si>
    <t>SZTH3D3A-01-16、SZTH3D3A-01-17、SZTH3D3A-01-01、SZTH3D3B-12-18、SZTH3D3C-12-18</t>
  </si>
  <si>
    <t>SZTH3D3A-01-06、SZTH3D3A-01-09、SZTH3D3A-01-10、SZTH3D3A-01-11、SZTH3D3A-01-12、SZTH3D3A-01-13、SZTH3D3A-01-14、SZTH3D3A-01-15、SZTH3D3A-01-07、SZTH3D3A-01-08</t>
  </si>
  <si>
    <t>SZTH3D3A-01-02、SZTH3D3A-01-03、SZTH3D3A-01-04、SZTH3D3A-01-05</t>
  </si>
  <si>
    <t>SZTH3D3A-04-02、SZTH3D3A-04-03、SZTH3D3B-03-01、SZTH3D3B-03-02、SZTH3D3B-06-01、SZTH3D3B-06-02、SZTH3D3B-07-01、SZTH3D3B-07-02、SZTH3D3C-03-01、SZTH3D3C-03-02、SZTH3D3C-06-01、SZTH3D3C-06-02、SZTH3D3C-07-01、SZTH3D3C-07-02、SZTH3D3C-10-01、SZTH3D3C-10-02</t>
  </si>
  <si>
    <t>SZTH3D3A-02-09、SZTH3D3A-02-11、SZTH3D3A-03-10、SZTH3D3A-03-12、SZTH3D3A-04-09、SZTH3D3A-04-11、SZTH3D3A-05-07、SZTH3D3A-05-09</t>
  </si>
  <si>
    <t>SZTH3D3B-01-18</t>
  </si>
  <si>
    <t>SZTH3D3B-01-01、SZTH3D3B-01-02、SZTH3D3B-01-03、SZTH3D3B-01-04、SZTH3D3B-01-05、SZTH3D3B-01-06、SZTH3D3B-01-07、SZTH3D3B-01-08、SZTH3D3B-01-09、SZTH3D3B-01-10、SZTH3D3B-01-11、SZTH3D3B-01-12、SZTH3D3B-01-13、SZTH3D3B-01-14、SZTH3D3B-01-15、SZTH3D3B-01-16、SZTH3D3B-01-17、SZTH3D3B-02-01、SZTH3D3B-02-02、SZTH3D3B-02-03、SZTH3D3B-02-04、SZTH3D3B-02-05、SZTH3D3B-02-06、SZTH3D3B-02-07、SZTH3D3B-02-08、SZTH3D3B-02-09、SZTH3D3B-02-10、SZTH3D3B-02-11、SZTH3D3B-02-12、SZTH3D3B-02-13、SZTH3D3B-02-14、SZTH3D3B-02-15、SZTH3D3B-02-16、SZTH3D3B-02-17、SZTH3D3B-02-18、SZTH3D3B-03-03、SZTH3D3B-03-04、SZTH3D3B-03-05、SZTH3D3B-03-06、SZTH3D3B-03-07、SZTH3D3B-03-08、SZTH3D3B-03-09、SZTH3D3B-03-10、SZTH3D3B-03-11、SZTH3D3B-03-12、SZTH3D3B-03-13、SZTH3D3B-03-14、SZTH3D3B-03-15、SZTH3D3B-03-16、SZTH3D3B-04-01、SZTH3D3B-04-02、SZTH3D3B-04-03</t>
  </si>
  <si>
    <t>SZTH3D3C-01-01、SZTH3D3C-01-02、SZTH3D3C-01-03、SZTH3D3C-01-04、SZTH3D3C-01-05、SZTH3D3C-01-06、SZTH3D3C-01-07、SZTH3D3C-01-08、SZTH3D3C-01-09、SZTH3D3C-01-10、SZTH3D3B-11-01、SZTH3D3B-11-02、SZTH3D3B-11-03、SZTH3D3B-11-04、SZTH3D3B-11-05、SZTH3D3B-11-06、SZTH3D3B-11-07、SZTH3D3B-11-08、SZTH3D3B-11-09、SZTH3D3B-11-10、SZTH3D3B-11-11、SZTH3D3B-11-12、SZTH3D3B-11-13、SZTH3D3B-11-14、SZTH3D3B-11-15、SZTH3D3B-11-16、SZTH3D3B-11-17、SZTH3D3B-11-18、SZTH3D3B-12-01、SZTH3D3B-12-02、SZTH3D3B-12-03、SZTH3D3B-12-04、SZTH3D3B-12-05、SZTH3D3B-12-06、SZTH3D3B-12-07、SZTH3D3B-12-08、SZTH3D3B-12-09、SZTH3D3B-12-10、SZTH3D3B-12-11、SZTH3D3B-12-12、SZTH3D3B-12-13、SZTH3D3B-12-14、SZTH3D3B-12-15、SZTH3D3B-12-16、SZTH3D3B-12-17、SZTH3D3B-09-01、SZTH3D3B-09-02、SZTH3D3B-09-03、SZTH3D3B-09-04、SZTH3D3B-09-05、SZTH3D3B-09-06、SZTH3D3B-09-07、SZTH3D3B-09-08、SZTH3D3B-09-09、SZTH3D3B-09-10、SZTH3D3B-09-11、SZTH3D3B-09-12、SZTH3D3B-09-13、SZTH3D3B-09-14、SZTH3D3B-09-15、SZTH3D3B-09-16、SZTH3D3B-09-17、SZTH3D3B-09-18、SZTH3D3B-10-03、SZTH3D3B-10-04、SZTH3D3B-10-05、SZTH3D3B-10-06、SZTH3D3B-10-07、SZTH3D3B-10-08、SZTH3D3B-10-09、SZTH3D3B-10-10、SZTH3D3B-10-11、SZTH3D3B-10-12、SZTH3D3B-10-13、SZTH3D3B-10-14、SZTH3D3B-10-15、SZTH3D3B-10-16、SZTH3D3B-07-03、SZTH3D3B-07-04、SZTH3D3B-07-05、SZTH3D3B-07-06、SZTH3D3B-07-07、SZTH3D3B-07-08、SZTH3D3B-07-09、SZTH3D3B-07-10、SZTH3D3B-07-11、SZTH3D3B-07-12、SZTH3D3B-07-13、SZTH3D3B-07-14、SZTH3D3B-07-15、SZTH3D3B-07-16、SZTH3D3B-08-01、SZTH3D3B-08-02、SZTH3D3B-08-03、SZTH3D3B-08-04、SZTH3D3B-08-05、SZTH3D3B-08-06、SZTH3D3B-08-07、SZTH3D3B-08-08、SZTH3D3B-08-09、SZTH3D3B-08-10、SZTH3D3B-08-11、SZTH3D3B-08-12、SZTH3D3B-08-13、SZTH3D3B-08-14、SZTH3D3B-08-15、SZTH3D3B-08-16、SZTH3D3B-08-17、SZTH3D3B-08-18、SZTH3D3B-04-04、SZTH3D3B-04-05、SZTH3D3B-04-06、SZTH3D3B-04-07、SZTH3D3B-04-08、SZTH3D3B-04-09、SZTH3D3B-04-10、SZTH3D3B-04-11、SZTH3D3B-04-12、SZTH3D3B-04-13、SZTH3D3B-04-14、SZTH3D3B-04-15、SZTH3D3B-04-16、SZTH3D3B-04-17、SZTH3D3B-04-18、SZTH3D3B-05-01、SZTH3D3B-05-02、SZTH3D3B-05-03、SZTH3D3B-05-04、SZTH3D3B-05-05、SZTH3D3B-05-06、SZTH3D3B-05-07、SZTH3D3B-05-08、SZTH3D3B-05-09、SZTH3D3B-05-10、SZTH3D3B-05-11、SZTH3D3B-05-12、SZTH3D3B-05-13、SZTH3D3B-05-14、SZTH3D3B-05-15、SZTH3D3B-05-16、SZTH3D3B-05-17、SZTH3D3B-05-18、SZTH3D3B-06-03、SZTH3D3B-06-04、SZTH3D3B-06-05、SZTH3D3B-06-06、SZTH3D3B-06-07、SZTH3D3B-06-08、SZTH3D3B-06-09、SZTH3D3B-06-10、SZTH3D3B-06-11、SZTH3D3B-06-12、SZTH3D3B-06-13、SZTH3D3B-06-14、SZTH3D3B-06-15、SZTH3D3B-06-16</t>
  </si>
  <si>
    <t>SZTH3D3C-01-11、SZTH3D3C-01-12、SZTH3D3C-01-13、SZTH3D3C-01-14、SZTH3D3C-01-15、SZTH3D3C-01-16、SZTH3D3C-01-17、SZTH3D3C-02-01、SZTH3D3C-02-02、SZTH3D3C-02-03</t>
  </si>
  <si>
    <t>SZTH3D3C-06-08、SZTH3D3C-06-09、SZTH3D3C-06-10、SZTH3D3C-06-11、SZTH3D3C-05-14、SZTH3D3C-05-15、SZTH3D3C-05-16、SZTH3D3C-05-17、SZTH3D3C-05-18、SZTH3D3C-06-03、SZTH3D3C-06-04、SZTH3D3C-06-05、SZTH3D3C-06-06、SZTH3D3C-06-07、SZTH3D3C-05-04、SZTH3D3C-05-05、SZTH3D3C-05-06、SZTH3D3C-05-07、SZTH3D3C-05-08、SZTH3D3C-05-09、SZTH3D3C-05-10、SZTH3D3C-05-11、SZTH3D3C-05-12、SZTH3D3C-05-13、SZTH3D3C-04-12、SZTH3D3C-04-13、SZTH3D3C-04-14、SZTH3D3C-04-15、SZTH3D3C-04-16、SZTH3D3C-04-17、SZTH3D3C-04-18、SZTH3D3C-05-01、SZTH3D3C-05-02、SZTH3D3C-05-03、SZTH3D3C-04-02、SZTH3D3C-04-03、SZTH3D3C-04-04、SZTH3D3C-04-05、SZTH3D3C-04-06、SZTH3D3C-04-07、SZTH3D3C-04-08、SZTH3D3C-04-09、SZTH3D3C-04-10、SZTH3D3C-04-11、SZTH3D3C-03-08、SZTH3D3C-03-09、SZTH3D3C-03-10、SZTH3D3C-03-11、SZTH3D3C-03-12、SZTH3D3C-03-13、SZTH3D3C-03-14、SZTH3D3C-03-15、SZTH3D3C-03-16、SZTH3D3C-04-01、SZTH3D3C-02-14、SZTH3D3C-02-15、SZTH3D3C-02-16、SZTH3D3C-02-17、SZTH3D3C-02-18、SZTH3D3C-03-03、SZTH3D3C-03-04、SZTH3D3C-03-05、SZTH3D3C-03-06、SZTH3D3C-03-07、SZTH3D3C-02-04、SZTH3D3C-02-05、SZTH3D3C-02-06、SZTH3D3C-02-07、SZTH3D3C-02-08、SZTH3D3C-02-09、SZTH3D3C-02-10、SZTH3D3C-02-11、SZTH3D3C-02-12、SZTH3D3C-02-13</t>
  </si>
  <si>
    <t>SZTH3D3C-10-14、SZTH3D3C-10-15、SZTH3D3C-10-16、SZTH3D3C-10-04、SZTH3D3C-10-05、SZTH3D3C-10-06、SZTH3D3C-10-07、SZTH3D3C-10-08、SZTH3D3C-10-09、SZTH3D3C-10-10、SZTH3D3C-10-11、SZTH3D3C-10-12、SZTH3D3C-10-13、SZTH3D3C-09-10、SZTH3D3C-09-11、SZTH3D3C-09-12、SZTH3D3C-09-13、SZTH3D3C-09-14、SZTH3D3C-09-15、SZTH3D3C-09-16、SZTH3D3C-09-17、SZTH3D3C-09-18、SZTH3D3C-10-03、SZTH3D3C-08-18、SZTH3D3C-09-01、SZTH3D3C-09-02、SZTH3D3C-09-03、SZTH3D3C-09-04、SZTH3D3C-09-05、SZTH3D3C-09-06、SZTH3D3C-09-07、SZTH3D3C-09-08、SZTH3D3C-09-09、SZTH3D3C-08-08、SZTH3D3C-08-09、SZTH3D3C-08-10、SZTH3D3C-08-11、SZTH3D3C-08-12、SZTH3D3C-08-13、SZTH3D3C-08-14、SZTH3D3C-08-15、SZTH3D3C-08-16、SZTH3D3C-08-17、SZTH3D3C-07-14、SZTH3D3C-07-15、SZTH3D3C-07-16、SZTH3D3C-08-01、SZTH3D3C-08-02、SZTH3D3C-08-03、SZTH3D3C-08-04、SZTH3D3C-08-05、SZTH3D3C-08-06、SZTH3D3C-08-07、SZTH3D3C-07-04、SZTH3D3C-07-05、SZTH3D3C-07-06、SZTH3D3C-07-07、SZTH3D3C-07-08、SZTH3D3C-07-09、SZTH3D3C-07-10、SZTH3D3C-07-11、SZTH3D3C-07-12、SZTH3D3C-07-13、SZTH3D3C-06-12、SZTH3D3C-06-13、SZTH3D3C-06-14、SZTH3D3C-06-15、SZTH3D3C-06-16、SZTH3D3C-07-03、</t>
  </si>
  <si>
    <t>SZTH3D3C-11-07、SZTH3D3C-12-10、SZTH3D3C-12-11、SZTH3D3C-12-12、SZTH3D3C-12-13、SZTH3D3C-12-14、SZTH3D3C-12-15、SZTH3D3C-12-16、SZTH3D3C-12-17、SZTH3D3C-11-18、SZTH3D3C-12-01、SZTH3D3C-12-02、SZTH3D3C-12-03、SZTH3D3C-12-04、SZTH3D3C-12-05、SZTH3D3C-12-06、SZTH3D3C-12-07、SZTH3D3C-12-08、SZTH3D3C-12-09、SZTH3D3C-11-08、SZTH3D3C-11-09、SZTH3D3C-11-10、SZTH3D3C-11-11、SZTH3D3C-11-12、SZTH3D3C-11-13、SZTH3D3C-11-14、SZTH3D3C-11-15、SZTH3D3C-11-16、SZTH3D3C-11-17、SZTH3D3C-11-01、SZTH3D3C-11-02、SZTH3D3C-11-03、SZTH3D3C-11-04、SZTH3D3C-11-05、SZTH3D3C-11-06</t>
  </si>
  <si>
    <t>2020/11/27开通，计费4天：SZTH3D3B-10-01、SZTH3D3B-10-02</t>
  </si>
  <si>
    <t>2020/12/3开通，计费29天
SZTH3D3A-02-08、SZTH3D3A-02-07、SZTH3D3A-02-05、SZTH3D3A-02-06、SZTH3D3C-01-18</t>
  </si>
  <si>
    <t>2020/12/10开通，计费22天
SZTH3D3A-02-03、SZTH3D3A-02-04、SZTH3D3A-03-04、SZTH3D3A-03-05、SZTH3D3A-03-06、SZTH3D3A-03-07、SZTH3D3A-03-08、SZTH3D3A-03-09、SZTH3D3A-04-04、SZTH3D3A-05-05、SZTH3D3A-05-06、SZTH3D3A-06-05、SZTH3D3A-07-04、SZTH3D3A-08-04、SZTH3D3A-08-05、SZTH3D3A-08-06、SZTH3D3A-08-07、SZTH3D3A-08-08、SZTH3D3A-08-09</t>
  </si>
  <si>
    <t>SZTH3D3A-10-01</t>
  </si>
  <si>
    <t>SZTH3D3A-07-02、SZTH3D3A-07-03</t>
  </si>
  <si>
    <t>SZTH3D3A-09-02、SZTH3D3A-09-01、SZTH3D3A-08-03、SZTH3D3A-08-02</t>
  </si>
  <si>
    <t>SZTH3D3A-09-11、SZTH3D3A-09-09、SZTH3D3A-08-12、SZTH3D3A-08-10、SZTH3D3A-07-11、SZTH3D3A-07-09、SZTH3D3A-06-09、SZTH3D3A-06-07、SZTH3D3A-07-05、SZTH3D3A-04-05</t>
  </si>
  <si>
    <t>SZTH3D3A-05-01、SZTH3D3A-05-03、SZTH3D3A-06-01、SZTH3D3A-06-03</t>
  </si>
  <si>
    <t>SZTH3D3A-02-01、SZTH3D3A-02-02、SZTH3D3A-03-02、SZTH3D3A-03-03</t>
  </si>
  <si>
    <t>SZTH3D3A-10-02、SZTH3D3A-10-03、SZTH3D3A-10-04、SZTH3D3A-10-05、SZTH3D3A-10-06、SZTH3D3A-10-07、SZTH3D3A-10-08、SZTH3D3A-10-09、SZTH3D3A-10-12、SZTH3D3A-10-13、SZTH3D3A-10-14、SZTH3D3A-10-15</t>
  </si>
  <si>
    <t>SZTH3D3A-10-10、SZTH3D3A-10-11</t>
  </si>
  <si>
    <t>SZTH3D3A-04-07、SZTH3D3A-07-07</t>
  </si>
  <si>
    <t>SZTH3D3A-09-03</t>
  </si>
  <si>
    <t>SZTH3D3A-09-05、SZTH3D3A-09-06</t>
  </si>
  <si>
    <t>SZTH3D3A-09-07</t>
  </si>
  <si>
    <t>SZTH3D3A-09-04、SZTH3D3A-09-08</t>
  </si>
  <si>
    <t>L20211202005</t>
  </si>
  <si>
    <t>40A-20A</t>
  </si>
  <si>
    <t>2021.11机柜改造，由20A更新为40A，调整计提单价。SZTH3D3A-10-16、SZTH3D3A-10-17</t>
  </si>
  <si>
    <t>SZTH3D3A-02-10、SZTH3D3A-02-12、SZTH3D3A-03-01、SZTH3D3A-03-11、SZTH3D3A-03-13、SZTH3D3A-04-01、SZTH3D3A-04-06、SZTH3D3A-04-10、SZTH3D3A-04-12、SZTH3D3A-05-02、SZTH3D3A-05-04、SZTH3D3A-05-08、SZTH3D3A-05-10、SZTH3D3A-06-02、SZTH3D3A-06-04、SZTH3D3A-06-08、SZTH3D3A-06-10、SZTH3D3A-07-01、SZTH3D3A-07-06、SZTH3D3A-07-10、SZTH3D3A-07-12、SZTH3D3A-08-01、SZTH3D3A-08-11、SZTH3D3A-08-13、SZTH3D3A-09-10、SZTH3D3A-09-12</t>
  </si>
  <si>
    <t>南京电信</t>
  </si>
  <si>
    <t>182115IDC00124</t>
  </si>
  <si>
    <t>吉山机房三期(NJJS 5D2 5D3 5D4)</t>
  </si>
  <si>
    <t>NJJS</t>
  </si>
  <si>
    <t>NJJS5D201-J-13、NJJS5D202-A-17、NJJS5D301-J-13、NJJS5D402-A-18、NJJS5D302-A-01、NJJS5D302-A-02、NJJS5D302-D-16、NJJS5D303-A-07、NJJS5D303-A-08、NJJS5D303-A-11、NJJS5D303-D-09、NJJS5D303-E-15、NJJS5D302-C-01、NJJS5D302-C-02、NJJS5D301-A-01、NJJS5D301-A-02、NJJS5D301-C-01、NJJS5D301-C-02、NJJS5D301-E-01、NJJS5D301-E-02、NJJS5D301-G-01、NJJS5D301-G-02、NJJS5D301-I-01、NJJS5D301-I-02</t>
  </si>
  <si>
    <t>NJJS5D302-D-02、NJJS5D302-D-04、NJJS5D302-D-06、NJJS5D302-D-08、NJJS5D302-D-10、NJJS5D302-C-03、NJJS5D302-C-04、NJJS5D302-C-05、NJJS5D302-C-06、NJJS5D302-C-07、NJJS5D302-C-08、NJJS5D302-C-09、NJJS5D302-C-10、NJJS5D302-C-11、NJJS5D302-C-12、NJJS5D302-C-13、NJJS5D302-C-14、NJJS5D302-D-11、NJJS5D302-D-12、NJJS5D302-D-13、NJJS5D302-D-14、NJJS5D302-C-15、NJJS5D302-D-01、NJJS5D302-D-03、NJJS5D302-D-05、NJJS5D302-D-07、NJJS5D302-D-09</t>
  </si>
  <si>
    <t>NJJS5D303-B-10、NJJS5D303-B-11、NJJS5D303-C-10、NJJS5D303-C-11</t>
  </si>
  <si>
    <t>NJJS5D303-A-02、NJJS5D303-A-04、NJJS5D303-B-02、NJJS5D303-B-04、NJJS5D303-B-06、NJJS5D303-C-02、NJJS5D303-C-04、NJJS5D303-C-06、NJJS5D303-D-02、NJJS5D303-D-04</t>
  </si>
  <si>
    <t>NJJS5D302-A-04
NJJS5D302-B-01
NJJS5D302-B-03
NJJS5D302-B-05
NJJS5D302-B-02
NJJS5D302-B-04
NJJS5D302-B-06</t>
  </si>
  <si>
    <t>NJJS5D301-A-10、NJJS5D301-A-11、NJJS5D301-A-12</t>
  </si>
  <si>
    <t>NJJS5D202-A-01、NJJS5D202-A-02、NJJS5D202-C-01、NJJS5D202-C-02、NJJS5D202-E-01、NJJS5D202-E-02</t>
  </si>
  <si>
    <t>NJJS5D301-B-01、NJJS5D301-B-02、NJJS5D301-B-03、NJJS5D301-B-04、NJJS5D301-B-05、NJJS5D301-B-06、NJJS5D301-B-07、NJJS5D301-B-08</t>
  </si>
  <si>
    <t>NJJS5D301-B-09、NJJS5D301-B-10、NJJS5D301-C-03、NJJS5D301-C-04、NJJS5D301-C-05、NJJS5D301-C-06、NJJS5D301-C-07、NJJS5D301-C-08、NJJS5D301-C-09、NJJS5D301-C-10、NJJS5D301-C-11、NJJS5D301-C-12、NJJS5D301-C-13、NJJS5D301-C-14、NJJS5D301-C-15、NJJS5D301-C-16、NJJS5D301-C-17、NJJS5D301-C-18、NJJS5D301-D-02、NJJS5D301-D-03、NJJS5D301-D-04、NJJS5D301-D-05、NJJS5D301-D-06、NJJS5D301-D-07、NJJS5D301-D-08、NJJS5D301-D-09</t>
  </si>
  <si>
    <t>202201与SYS核实4个机架于3.17重新上线使用NJJS5D303-B-10、NJJS5D303-B-11、NJJS5D303-C-10、NJJS5D303-C-11</t>
  </si>
  <si>
    <t>NJJS5D301-D-12、NJJS5D301-D-13、NJJS5D301-D-14、NJJS5D301-D-15、NJJS5D301-E-14、NJJS5D301-E-15、NJJS5D301-E-16、NJJS5D301-E-17</t>
  </si>
  <si>
    <t>NJJS5D301-E-03、NJJS5D301-E-04、NJJS5D301-E-05、NJJS5D301-E-06、NJJS5D301-E-07、NJJS5D301-E-08</t>
  </si>
  <si>
    <t>NJJS5D201-C-01、NJJS5D201-C-02</t>
  </si>
  <si>
    <t>NJJS5D301-A-13、NJJS5D301-A-14</t>
  </si>
  <si>
    <t>NJJS5D301-A-15、NJJS5D301-A-16、NJJS5D301-A-17、NJJS5D201-B-17</t>
  </si>
  <si>
    <t>NJJS5D301-A-18、NJJS5D301-A-03、NJJS5D301-A-04、NJJS5D301-A-05、NJJS5D301-A-06、NJJS5D301-A-07、NJJS5D301-A-08、NJJS5D301-A-09、NJJS5D301-B-11、NJJS5D301-E-09、NJJS5D301-E-10</t>
  </si>
  <si>
    <t>NJJS5D301-B-12、NJJS5D301-B-13</t>
  </si>
  <si>
    <t>NJJS5D301-F-01、NJJS5D301-F-02、NJJS5D301-F-03、NJJS5D301-F-04、NJJS5D301-F-05、NJJS5D301-H-01、NJJS5D301-H-02、NJJS5D301-H-03、NJJS5D301-H-04</t>
  </si>
  <si>
    <t>NJJS5D301-F-06、NJJS5D301-F-07</t>
  </si>
  <si>
    <t>NJJS5D301-G-03、NJJS5D301-G-04、NJJS5D301-G-05、NJJS5D301-G-06、NJJS5D301-G-07、NJJS5D301-G-08</t>
  </si>
  <si>
    <t>NJJS5D201-A-09、NJJS5D201-A-10、NJJS5D201-A-11、NJJS5D201-A-12、NJJS5D201-A-13、NJJS5D201-A-14、NJJS5D202-A-13、NJJS5D202-A-14、NJJS5D202-A-15、NJJS5D202-A-16、NJJS5D202-B-03、NJJS5D202-B-04、NJJS5D202-B-05、NJJS5D202-B-06、NJJS5D202-B-07、NJJS5D202-B-08、NJJS5D202-B-09、NJJS5D202-B-10、NJJS5D202-B-11、NJJS5D202-B-12、NJJS5D202-B-13、NJJS5D202-B-14、NJJS5D202-B-15、NJJS5D202-B-16、NJJS5D202-B-17、NJJS5D202-C-03、NJJS5D202-C-04、NJJS5D202-C-05、NJJS5D202-C-06、NJJS5D202-C-07、NJJS5D202-C-08、NJJS5D202-C-09、NJJS5D202-C-10、NJJS5D202-C-11、NJJS5D202-C-12、NJJS5D202-C-13、NJJS5D202-C-14、NJJS5D202-D-01、NJJS5D202-D-02、NJJS5D202-D-03、NJJS5D202-D-04、NJJS5D202-D-05、NJJS5D202-D-06、NJJS5D202-D-07、NJJS5D202-D-08、NJJS5D202-D-09、NJJS5D202-D-10、NJJS5D202-D-11、NJJS5D202-D-12、NJJS5D202-D-13、NJJS5D202-D-14、NJJS5D202-D-15、NJJS5D202-D-16、NJJS5D202-D-17、NJJS5D202-E-03、NJJS5D202-E-04、NJJS5D202-E-05、NJJS5D202-E-06、NJJS5D202-E-07、NJJS5D202-E-08、NJJS5D202-E-09、NJJS5D202-E-10、NJJS5D202-E-11、NJJS5D202-E-12、NJJS5D202-E-13、NJJS5D202-E-14、NJJS5D202-E-15、NJJS5D202-E-16、NJJS5D202-F-01、NJJS5D202-F-02、NJJS5D202-F-03、NJJS5D202-F-04、NJJS5D202-F-05、NJJS5D202-F-06、NJJS5D202-F-07、NJJS5D202-F-08、NJJS5D202-F-09、NJJS5D202-F-10、NJJS5D202-F-11、NJJS5D202-F-12、NJJS5D202-F-13、NJJS5D202-F-14、NJJS5D202-F-15、NJJS5D202-F-16、NJJS5D302-A-05、NJJS5D302-A-06、NJJS5D302-A-07、NJJS5D302-A-08、NJJS5D302-A-09、NJJS5D302-A-10、NJJS5D302-A-11、NJJS5D302-A-12、NJJS5D302-B-08</t>
  </si>
  <si>
    <t>NJJS5D201-E-01、NJJS5D201-E-02、NJJS5D201-G-01、NJJS5D201-G-02、NJJS5D201-I-01、NJJS5D201-I-02</t>
  </si>
  <si>
    <t>NJJS5D202-B-01、NJJS5D202-B-02、NJJS5D301-H-05</t>
  </si>
  <si>
    <t>NJJS5D201-I-05、NJJS5D201-I-06、NJJS5D201-I-07、NJJS5D201-I-08、NJJS5D201-I-09、NJJS5D201-I-10、NJJS5D202-A-03、NJJS5D202-A-04、NJJS5D202-A-05、NJJS5D202-A-06、NJJS5D202-A-07、NJJS5D202-A-08、NJJS5D202-A-09、NJJS5D202-A-10、NJJS5D202-A-11、NJJS5D202-A-12、NJJS5D301-F-12、NJJS5D301-F-13、NJJS5D301-F-14、NJJS5D301-F-15、NJJS5D302-A-13、NJJS5D302-A-14</t>
  </si>
  <si>
    <t>NJJS5D201-A-03、NJJS5D201-A-04、NJJS5D201-A-05、NJJS5D201-A-06、NJJS5D201-A-07、NJJS5D201-A-08</t>
  </si>
  <si>
    <t>NJJS5D201-E-03、NJJS5D201-E-04、NJJS5D201-E-05、NJJS5D201-E-06、NJJS5D201-E-07、NJJS5D201-E-08、NJJS5D201-E-09、NJJS5D201-E-10、NJJS5D201-E-11、NJJS5D201-E-12、NJJS5D201-E-13、NJJS5D201-E-14、NJJS5D201-E-15、NJJS5D201-E-16、NJJS5D201-E-17、NJJS5D201-F-01、NJJS5D201-F-02、NJJS5D201-F-03、NJJS5D201-F-04、NJJS5D201-F-05、NJJS5D201-F-06、NJJS5D201-F-07、NJJS5D201-F-08、NJJS5D201-F-09、NJJS5D201-F-10、NJJS5D201-F-11、NJJS5D201-F-12、NJJS5D201-F-13、NJJS5D201-F-14、NJJS5D201-F-15、NJJS5D201-F-16、NJJS5D201-F-17、NJJS5D201-G-03、NJJS5D201-G-04</t>
  </si>
  <si>
    <t>NJJS5D201-I-11、NJJS5D201-I-12、NJJS5D201-J-01、NJJS5D201-J-02、NJJS5D201-J-03、NJJS5D201-J-04、NJJS5D201-J-05、NJJS5D201-J-06、NJJS5D201-J-07、NJJS5D201-J-08</t>
  </si>
  <si>
    <t>NJJS5D201-G-05、NJJS5D201-G-06、NJJS5D201-G-07、NJJS5D201-G-08、NJJS5D201-G-10</t>
  </si>
  <si>
    <t>运营商账单中无此机架。NJJS5D302-A-03</t>
  </si>
  <si>
    <t>NJJS5D201-G-09、NJJS5D201-G-11、NJJS5D201-H-01</t>
  </si>
  <si>
    <t>NJJS5D201-H-02、NJJS5D201-H-03</t>
  </si>
  <si>
    <t>NJJS5D402-I-01、NJJS5D402-I-02、NJJS5D402-G-01、NJJS5D402-G-02、NJJS5D402-C-01、NJJS5D402-C-02、NJJS5D402-A-01、NJJS5D402-A-02</t>
  </si>
  <si>
    <t>NJJS5D301-B-14、NJJS5D301-B-15、NJJS5D301-B-16、NJJS5D301-B-17、NJJS5D301-B-18、NJJS5D301-D-01、NJJS5D301-D-10、NJJS5D301-D-11、NJJS5D301-G-10、NJJS5D302-B-07、NJJS5D302-B-09、NJJS5D302-B-10、NJJS5D201-A-18</t>
  </si>
  <si>
    <t>NJJS5D201-D-12、NJJS5D201-D-13、NJJS5D201-D-14、NJJS5D201-D-15、NJJS5D201-H-04、NJJS5D201-H-05、NJJS5D201-H-06、NJJS5D201-H-07、NJJS5D201-H-08、NJJS5D201-H-09、NJJS5D201-H-10、NJJS5D201-H-11、NJJS5D201-H-12、NJJS5D201-H-13、NJJS5D201-I-03、NJJS5D201-I-04、NJJS5D201-J-09、NJJS5D201-J-10、NJJS5D201-J-11、NJJS5D201-J-12、NJJS5D301-E-11、NJJS5D301-E-12、NJJS5D301-E-13、NJJS5D302-B-11、NJJS5D302-B-12、NJJS5D302-B-13、NJJS5D302-B-14、NJJS5D302-B-15、NJJS5D302-B-16、NJJS5D302-C-16、NJJS5D302-D-15、NJJS5D402-H-17、NJJS5D402-I-03、NJJS5D402-I-04、NJJS5D402-I-05、NJJS5D402-I-06、NJJS5D402-I-07、NJJS5D402-I-08、NJJS5D402-I-09、NJJS5D402-I-10、NJJS5D402-I-11、NJJS5D402-I-12、NJJS5D402-I-13、NJJS5D402-I-14、NJJS5D402-I-15、NJJS5D402-I-16、NJJS5D402-J-01、NJJS5D402-J-02、NJJS5D402-J-03、NJJS5D402-J-04、NJJS5D402-J-05、NJJS5D402-J-06、NJJS5D402-J-07、NJJS5D402-J-08、NJJS5D402-J-09、NJJS5D402-J-10、NJJS5D402-J-11、NJJS5D402-J-12、NJJS5D402-J-13、NJJS5D402-J-14、NJJS5D402-J-15、NJJS5D402-J-16、NJJS5D402-H-10、NJJS5D402-H-11、NJJS5D402-H-12、NJJS5D402-H-13、NJJS5D402-H-14、NJJS5D402-H-15、NJJS5D402-H-16</t>
  </si>
  <si>
    <t>NJJS5D402-D-02、NJJS5D402-D-03、NJJS5D402-F-17、NJJS5D402-F-18</t>
  </si>
  <si>
    <t>NJJS5D402-A-16、NJJS5D402-A-17</t>
  </si>
  <si>
    <t>NJJS5D301-G-11
NJJS5D402-A-03
NJJS5D402-A-06
NJJS5D402-A-07
NJJS5D402-A-08
NJJS5D402-A-09
NJJS5D402-A-10
NJJS5D402-A-11
NJJS5D402-A-12
NJJS5D402-A-13
NJJS5D402-A-14
NJJS5D402-A-15
NJJS5D402-C-03
NJJS5D402-C-04
NJJS5D402-D-09
NJJS5D402-D-10
NJJS5D402-D-11
NJJS5D402-D-12
NJJS5D402-D-13
NJJS5D402-G-03
NJJS5D402-G-04
NJJS5D402-G-06
NJJS5D402-G-08
NJJS5D402-G-10
NJJS5D402-G-11
NJJS5D402-G-13
NJJS5D402-H-01
NJJS5D402-H-03
NJJS5D402-H-05
NJJS5D402-H-07
NJJS5D402-H-09</t>
  </si>
  <si>
    <t>NJJS5D201-I-13
NJJS5D402-D-01
NJJS5D402-D-07</t>
  </si>
  <si>
    <t>NJJS5D201-D-01
NJJS5D201-D-02
NJJS5D201-D-03
NJJS5D402-H-02
NJJS5D402-H-04</t>
  </si>
  <si>
    <t>NJJS5D301-H-06
NJJS5D301-H-07
NJJS5D301-H-08
NJJS5D402-A-04
NJJS5D402-A-05
NJJS5D402-B-01
NJJS5D402-B-02
NJJS5D402-B-03
NJJS5D402-B-04
NJJS5D402-B-05
NJJS5D402-B-06
NJJS5D402-B-07
NJJS5D402-B-08
NJJS5D402-B-09
NJJS5D402-B-10
NJJS5D402-B-11
NJJS5D402-B-12
NJJS5D402-B-13
NJJS5D402-B-14
NJJS5D402-B-15
NJJS5D402-B-16
NJJS5D402-B-17
NJJS5D402-B-18
NJJS5D402-C-05
NJJS5D402-C-07
NJJS5D402-C-08
NJJS5D402-C-09
NJJS5D402-C-10
NJJS5D402-C-11
NJJS5D402-C-12
NJJS5D402-C-13
NJJS5D402-C-14
NJJS5D402-C-15
NJJS5D402-C-16
NJJS5D402-C-17
NJJS5D402-C-18</t>
  </si>
  <si>
    <t>NJJS5D402-G-05
NJJS5D402-G-07
NJJS5D402-G-09
NJJS5D402-G-12</t>
  </si>
  <si>
    <t>NJJS5D301-F-08 NJJS5D301-F-09</t>
  </si>
  <si>
    <t>NJJS5D303-A-06、NJJS5D303-D-06</t>
  </si>
  <si>
    <t>2022.11更新开通数量，实际开通3个。NJJS5D301-F-10、NJJS5D301-F-16、NJJS5D301-F-17</t>
  </si>
  <si>
    <t>NJJS5D301-F-17</t>
  </si>
  <si>
    <t>NJJS5D301-H-10、NJJS5D301-H-11、NJJS5D301-H-12、NJJS5D301-H-13</t>
  </si>
  <si>
    <t>NJJS5D201-A-07、NJJS5D201-A-08、NJJS5D201-A-09、NJJS5D201-A-10、NJJS5D201-A-11、NJJS5D201-A-12、NJJS5D201-A-18、NJJS5D201-D-01、NJJS5D201-D-02、NJJS5D201-D-03</t>
  </si>
  <si>
    <t>NJJS5D201-A-04</t>
  </si>
  <si>
    <t>NJJS5D301-I-10、NJJS5D301-I-11、NJJS5D301-I-12</t>
  </si>
  <si>
    <t>182115IDC00379</t>
  </si>
  <si>
    <t>太湖机房三期二批（SZTH3D2）</t>
  </si>
  <si>
    <t>2021/5/15开始计费，5月计费17天：SZTH3D2A-12-01、SZTH3D2A-04-01、SZTH3D2B-02-18、SZTH3D2B-11-18、SZTH3D2C-02-18、SZTH3D2C-11-18</t>
  </si>
  <si>
    <t>2021/5/15开始计费，5月计费17天：SZTH3D2A-11-18、SZTH3D2A-09-18、SZTH3D2A-09-17、SZTH3D2A-05-18、SZTH3D2A-05-17、SZTH3D2A-03-16、SZTH3D2A-03-15、SZTH3D2A-12-18、SZTH3D2A-12-17、SZTH3D2A-12-16、SZTH3D2A-12-15、SZTH3D2A-12-14、SZTH3D2A-11-15、SZTH3D2A-11-17、SZTH3D2B-04-01、SZTH3D2B-04-02、SZTH3D2B-09-01、SZTH3D2B-09-02、SZTH3D2C-02-01、SZTH3D2C-02-02、SZTH3D2C-04-01、SZTH3D2C-04-02、SZTH3D2C-06-02、SZTH3D2C-07-02、SZTH3D2C-09-01、SZTH3D2C-09-02、SZTH3D2A-08-01、SZTH3D2A-08-02、SZTH3D2A-08-03、SZTH3D2A-08-04、SZTH3D2A-08-05、SZTH3D2A-08-06、SZTH3D2A-08-07、SZTH3D2A-08-08、SZTH3D2A-08-09、SZTH3D2A-08-10、SZTH3D2A-08-11、SZTH3D2A-08-12、SZTH3D2A-08-13、SZTH3D2A-08-14、SZTH3D2A-08-15、SZTH3D2A-08-16、SZTH3D2A-08-17、SZTH3D2A-08-18、SZTH3D2B-01-02、SZTH3D2B-01-04、SZTH3D2B-01-06、SZTH3D2B-01-08、SZTH3D2B-01-10、SZTH3D2B-01-12、SZTH3D2B-01-14、SZTH3D2B-01-16、SZTH3D2B-01-18、SZTH3D2B-02-01、SZTH3D2B-02-03、SZTH3D2B-02-05、SZTH3D2B-02-07、SZTH3D2B-02-09、SZTH3D2B-02-11、SZTH3D2B-02-13、SZTH3D2B-02-15、SZTH3D2B-02-17、SZTH3D2B-03-10、SZTH3D2B-03-12、SZTH3D2B-03-14、SZTH3D2B-03-16、SZTH3D2B-03-02、SZTH3D2B-03-04、SZTH3D2B-03-06、SZTH3D2B-03-08、SZTH3D2B-04-03、SZTH3D2B-04-05、SZTH3D2B-04-07、SZTH3D2B-04-09、SZTH3D2B-04-11、SZTH3D2B-04-13、SZTH3D2B-04-15、SZTH3D2B-04-17、SZTH3D2B-05-12、SZTH3D2B-05-14、SZTH3D2B-05-16、SZTH3D2B-05-18、SZTH3D2B-05-02、SZTH3D2B-05-04、SZTH3D2B-05-06、SZTH3D2B-05-08、SZTH3D2B-05-10、SZTH3D2B-06-02、SZTH3D2B-06-04、SZTH3D2B-06-06、SZTH3D2B-06-08、SZTH3D2B-06-10、SZTH3D2B-06-12、SZTH3D2B-06-14、SZTH3D2B-06-16、SZTH3D2B-07-13、SZTH3D2B-07-15、SZTH3D2B-07-16、SZTH3D2B-07-03、SZTH3D2B-07-05、SZTH3D2B-07-07、SZTH3D2B-07-09、SZTH3D2B-07-11、SZTH3D2B-08-01、SZTH3D2B-08-03、SZTH3D2B-08-05、SZTH3D2B-08-07、SZTH3D2B-08-09、SZTH3D2B-08-11、SZTH3D2B-08-13、SZTH3D2B-08-15、SZTH3D2B-08-17、SZTH3D2B-09-16、SZTH3D2B-09-18、SZTH3D2B-09-04、SZTH3D2B-09-06、SZTH3D2B-09-08、SZTH3D2B-09-10、SZTH3D2B-09-12、SZTH3D2B-09-14、SZTH3D2B-10-01、SZTH3D2B-10-03、SZTH3D2B-10-05、SZTH3D2B-10-07、SZTH3D2B-10-09、SZTH3D2B-10-11、SZTH3D2B-10-13、SZTH3D2B-10-15、SZTH3D2B-11-16、SZTH3D2B-11-17、SZTH3D2B-11-02、SZTH3D2B-11-04、SZTH3D2B-11-06、SZTH3D2B-11-08、SZTH3D2B-11-10、SZTH3D2B-11-12、SZTH3D2B-11-14、SZTH3D2B-12-01、SZTH3D2B-12-03、SZTH3D2B-12-05、SZTH3D2B-12-07、SZTH3D2B-12-09、SZTH3D2B-12-11、SZTH3D2B-12-13、SZTH3D2B-12-15、SZTH3D2B-12-17、SZTH3D2A-09-13、SZTH3D2A-09-14、SZTH3D2A-09-15、SZTH3D2A-09-16、SZTH3D2A-10-13、SZTH3D2A-10-14、SZTH3D2A-10-15、SZTH3D2A-10-16、SZTH3D2A-11-11、SZTH3D2A-11-12、SZTH3D2A-11-13、SZTH3D2A-11-14、SZTH3D2A-03-01、SZTH3D2A-03-02、SZTH3D2A-03-03、SZTH3D2A-03-04、SZTH3D2A-03-05、SZTH3D2A-03-06、SZTH3D2A-03-07、SZTH3D2A-03-08、SZTH3D2A-03-09、SZTH3D2A-03-10、SZTH3D2A-03-11、SZTH3D2A-03-12、SZTH3D2A-03-13、SZTH3D2A-03-14、SZTH3D2A-04-02、SZTH3D2A-04-03、SZTH3D2A-04-04、SZTH3D2A-04-05、SZTH3D2A-04-06、SZTH3D2A-04-07、SZTH3D2A-04-08、SZTH3D2A-04-09、SZTH3D2A-04-10、SZTH3D2A-04-11、SZTH3D2A-04-12、SZTH3D2A-04-13、SZTH3D2A-04-14、SZTH3D2A-04-15、SZTH3D2A-04-16、SZTH3D2A-04-17、SZTH3D2A-04-18、SZTH3D2A-05-01、SZTH3D2A-05-02、SZTH3D2A-05-03、SZTH3D2A-05-04、SZTH3D2A-05-05、SZTH3D2A-05-06、SZTH3D2A-05-07、SZTH3D2A-05-08、SZTH3D2A-05-09、SZTH3D2A-05-10、SZTH3D2A-05-11、SZTH3D2A-05-12、SZTH3D2A-05-13、SZTH3D2A-05-14、SZTH3D2A-05-15、SZTH3D2A-05-16、SZTH3D2A-06-01、SZTH3D2A-06-02、SZTH3D2A-06-03、SZTH3D2A-06-04、SZTH3D2A-06-05、SZTH3D2A-06-06、SZTH3D2A-06-07、SZTH3D2A-06-08、SZTH3D2A-06-09、SZTH3D2A-06-10、SZTH3D2A-06-11、SZTH3D2A-06-12、SZTH3D2A-06-13、SZTH3D2A-06-14、SZTH3D2A-06-15、SZTH3D2A-07-01、SZTH3D2A-07-02、SZTH3D2A-07-03、SZTH3D2A-07-04、SZTH3D2A-07-05、SZTH3D2A-07-06、SZTH3D2A-07-07、SZTH3D2A-07-08、SZTH3D2A-07-09、SZTH3D2A-07-10、SZTH3D2A-07-11、SZTH3D2A-07-12、SZTH3D2A-07-13、SZTH3D2A-07-14、SZTH3D2A-07-15、SZTH3D2A-09-01、SZTH3D2A-09-02、SZTH3D2A-09-03、SZTH3D2A-09-04、SZTH3D2A-09-05、SZTH3D2A-09-06、SZTH3D2A-09-07、SZTH3D2A-09-08、SZTH3D2A-09-09、SZTH3D2A-09-10、SZTH3D2A-09-11、SZTH3D2A-09-12、SZTH3D2A-10-01、SZTH3D2A-10-02、SZTH3D2A-10-03、SZTH3D2A-10-04、SZTH3D2A-10-05、SZTH3D2A-10-06、SZTH3D2A-10-07、SZTH3D2A-10-08、SZTH3D2A-10-09、SZTH3D2A-10-10、SZTH3D2A-10-11、SZTH3D2A-10-12、SZTH3D2A-11-01、SZTH3D2A-11-02、SZTH3D2A-11-03、SZTH3D2A-11-04、SZTH3D2A-11-05、SZTH3D2A-11-06、SZTH3D2A-11-07、SZTH3D2A-11-08、SZTH3D2A-11-09、SZTH3D2A-11-10、SZTH3D2B-01-01、SZTH3D2B-01-03、SZTH3D2B-01-05、SZTH3D2B-01-07、SZTH3D2B-01-09、SZTH3D2B-01-11、SZTH3D2B-01-13、SZTH3D2B-01-15、SZTH3D2B-01-17、SZTH3D2B-02-02、SZTH3D2B-02-04、SZTH3D2B-02-06、SZTH3D2B-02-08、SZTH3D2B-03-01、SZTH3D2B-03-03、SZTH3D2B-03-05、SZTH3D2B-03-07、SZTH3D2B-03-09、SZTH3D2B-04-04、SZTH3D2B-04-06、SZTH3D2B-04-08、SZTH3D2B-04-10、SZTH3D2B-04-12、SZTH3D2B-04-14、SZTH3D2B-04-16、SZTH3D2B-04-18、SZTH3D2B-05-01、SZTH3D2B-05-03、SZTH3D2B-05-05、SZTH3D2B-05-07、SZTH3D2B-05-09、SZTH3D2B-05-11、SZTH3D2B-05-13、SZTH3D2B-05-15、SZTH3D2B-05-17、SZTH3D2B-06-03、SZTH3D2B-06-05、SZTH3D2B-06-07、SZTH3D2B-06-09、SZTH3D2B-06-11、SZTH3D2B-06-13、SZTH3D2B-06-15、SZTH3D2B-07-02、SZTH3D2B-07-04、SZTH3D2B-07-06、SZTH3D2B-07-08、SZTH3D2B-07-10、SZTH3D2B-07-12、SZTH3D2B-07-14、SZTH3D2B-08-02、SZTH3D2B-08-04、SZTH3D2B-08-06、SZTH3D2B-08-08、SZTH3D2B-08-10、SZTH3D2B-08-12、SZTH3D2B-08-14、SZTH3D2B-08-16、SZTH3D2B-08-18、SZTH3D2B-09-03、SZTH3D2B-09-05、SZTH3D2B-02-10、SZTH3D2B-02-12、SZTH3D2B-02-14、SZTH3D2B-02-16、SZTH3D2B-03-11、SZTH3D2B-03-13、SZTH3D2B-03-15、SZTH3D2B-09-07、SZTH3D2B-09-09、SZTH3D2B-09-11、SZTH3D2B-09-13、SZTH3D2B-09-15、SZTH3D2B-09-17、SZTH3D2B-10-02、SZTH3D2B-10-04、SZTH3D2B-10-06、SZTH3D2B-10-08、SZTH3D2B-10-10、SZTH3D2B-10-12、SZTH3D2B-10-14、SZTH3D2B-10-16、SZTH3D2B-11-01、SZTH3D2B-11-03、SZTH3D2B-11-05、SZTH3D2B-11-07、SZTH3D2B-11-09、SZTH3D2B-11-11、SZTH3D2B-11-13、SZTH3D2B-11-15、SZTH3D2B-12-02、SZTH3D2B-12-04、SZTH3D2B-12-06、SZTH3D2B-12-08、SZTH3D2B-12-10、SZTH3D2B-12-12、SZTH3D2B-12-14、SZTH3D2B-12-16、SZTH3D2B-12-18</t>
  </si>
  <si>
    <t>2021/5/15开始计费，5月计费17天：SZTH3D2C-01-04、SZTH3D2C-01-06、SZTH3D2C-01-08、SZTH3D2C-01-10、SZTH3D2C-01-12、SZTH3D2C-01-14、SZTH3D2C-01-16、SZTH3D2C-01-18、SZTH3D2C-01-01、SZTH3D2C-01-02、SZTH3D2C-02-03、SZTH3D2C-02-05、SZTH3D2C-02-07、SZTH3D2C-02-09、SZTH3D2C-02-11、SZTH3D2C-02-13、SZTH3D2C-02-16、SZTH3D2C-03-01、SZTH3D2C-03-03、SZTH3D2C-03-05、SZTH3D2C-03-07、SZTH3D2C-03-09、SZTH3D2C-03-11、SZTH3D2C-03-13、SZTH3D2C-03-15、SZTH3D2C-04-04、SZTH3D2C-04-06、SZTH3D2C-04-08、SZTH3D2C-04-10、SZTH3D2C-04-12、SZTH3D2C-04-14、SZTH3D2C-04-16、SZTH3D2C-04-18、SZTH3D2C-05-01、SZTH3D2C-05-03、SZTH3D2C-05-05、SZTH3D2C-05-07、SZTH3D2C-05-09、SZTH3D2C-05-11、SZTH3D2C-05-13、SZTH3D2C-05-15、SZTH3D2C-05-17、SZTH3D2C-06-04、SZTH3D2C-06-06、SZTH3D2C-06-08、SZTH3D2C-06-10、SZTH3D2C-06-12、SZTH3D2C-06-14、SZTH3D2C-06-16、SZTH3D2C-07-03、SZTH3D2C-07-05、SZTH3D2C-07-07、SZTH3D2C-07-09、SZTH3D2C-07-11、SZTH3D2C-07-13、SZTH3D2C-07-15、SZTH3D2C-08-02、SZTH3D2C-08-04、SZTH3D2C-08-06、SZTH3D2C-08-08、SZTH3D2C-08-10、SZTH3D2C-08-12、SZTH3D2C-08-14、SZTH3D2C-08-16、SZTH3D2C-08-18、SZTH3D2C-09-03、SZTH3D2C-09-05、SZTH3D2C-09-07、SZTH3D2C-09-09、SZTH3D2C-09-11、SZTH3D2C-09-13、SZTH3D2C-09-15、SZTH3D2C-09-17、SZTH3D2C-10-02、SZTH3D2C-10-04、SZTH3D2C-10-06、SZTH3D2C-10-08、SZTH3D2C-10-10、SZTH3D2C-10-12、SZTH3D2C-10-14、SZTH3D2C-10-16、SZTH3D2C-11-07、SZTH3D2C-11-09、SZTH3D2C-11-11、SZTH3D2C-11-13、SZTH3D2C-11-15、SZTH3D2C-12-08、SZTH3D2C-12-10、SZTH3D2C-12-12、SZTH3D2C-12-14、SZTH3D2C-12-16、SZTH3D2C-12-18、SZTH3D2C-02-15、SZTH3D2C-02-17、SZTH3D2C-03-02、SZTH3D2C-03-04、SZTH3D2C-03-06、SZTH3D2C-03-08、SZTH3D2C-03-10、SZTH3D2C-03-12、SZTH3D2C-03-14、SZTH3D2C-03-16、SZTH3D2C-04-03、SZTH3D2C-04-05、SZTH3D2C-04-07、SZTH3D2C-04-09、SZTH3D2C-04-11、SZTH3D2C-04-13、SZTH3D2C-04-15、SZTH3D2C-04-17、SZTH3D2C-05-02、SZTH3D2C-05-04、SZTH3D2C-05-06、SZTH3D2C-05-08、SZTH3D2C-05-10、SZTH3D2C-05-12、SZTH3D2C-05-14、SZTH3D2C-05-16、SZTH3D2C-05-18、SZTH3D2C-06-03、SZTH3D2C-06-05、SZTH3D2C-06-07、SZTH3D2C-06-09、SZTH3D2C-06-11、SZTH3D2C-06-13、SZTH3D2C-06-15、SZTH3D2C-07-04、SZTH3D2C-07-06、SZTH3D2C-07-08、SZTH3D2C-07-10、SZTH3D2C-07-12、SZTH3D2C-07-14、SZTH3D2C-07-16、SZTH3D2C-08-01、SZTH3D2C-08-03、SZTH3D2C-08-05、SZTH3D2C-08-07、SZTH3D2C-08-09、SZTH3D2C-08-11、SZTH3D2C-08-13、SZTH3D2C-08-15、SZTH3D2C-08-17、SZTH3D2C-09-04、SZTH3D2C-09-06、SZTH3D2C-09-08、SZTH3D2C-09-10、SZTH3D2C-09-12、SZTH3D2C-09-14、SZTH3D2C-09-16、SZTH3D2C-09-18、SZTH3D2C-10-01、SZTH3D2C-10-03、SZTH3D2C-10-05、SZTH3D2C-10-07、SZTH3D2C-10-09、SZTH3D2C-10-11、SZTH3D2C-10-13、SZTH3D2C-10-15、SZTH3D2C-11-08、SZTH3D2C-11-10、SZTH3D2C-11-12、SZTH3D2C-11-14、SZTH3D2C-11-16、SZTH3D2C-11-17、SZTH3D2C-12-07、SZTH3D2C-12-09、SZTH3D2C-12-11、SZTH3D2C-12-13、SZTH3D2C-12-15、SZTH3D2C-12-17</t>
  </si>
  <si>
    <t>2021/5/19开通，5月计费13天：SZTH3D2C-02-04、SZTH3D2C-02-06、SZTH3D2C-02-08、SZTH3D2C-02-10</t>
  </si>
  <si>
    <t>2021/5/20开通，5月计费12天：SZTH3D2C-11-02、SZTH3D2C-11-04、SZTH3D2C-12-01、SZTH3D2C-12-03、SZTH3D2C-11-05、SZTH3D2C-12-06</t>
  </si>
  <si>
    <t>2021/5/24开通，5月计费8天：SZTH3D2C-11-06、SZTH3D2C-12-05</t>
  </si>
  <si>
    <t>2021/5/25开通，5月计费7天：SZTH3D2C-02-12、SZTH3D2C-02-14、SZTH3D2C-11-01、SZTH3D2C-11-03、SZTH3D2C-12-02、SZTH3D2C-12-04</t>
  </si>
  <si>
    <t>2021/5/27开通，5月计费5天：SZTH3D2A-01-01、SZTH3D2A-01-02、SZTH3D2A-01-03、SZTH3D2A-01-04、SZTH3D2A-01-05、SZTH3D2A-01-06、SZTH3D2A-01-07、SZTH3D2A-01-08、SZTH3D2A-01-09、SZTH3D2A-01-10、SZTH3D2A-01-11、SZTH3D2A-01-12、SZTH3D2A-01-13、SZTH3D2A-01-14、SZTH3D2A-01-15、SZTH3D2A-01-16</t>
  </si>
  <si>
    <t>2021/5/28开通计费，5月计费4天：SZTH3D2A-12-02、SZTH3D2A-12-03、SZTH3D2A-12-04、SZTH3D2A-12-05、SZTH3D2A-12-06、SZTH3D2A-12-07、SZTH3D2A-12-08、SZTH3D2A-12-09、SZTH3D2A-12-10</t>
  </si>
  <si>
    <t>2021/5/31开通，5月计费1天：SZTH3D2A-01-18、SZTH3D2A-02-01</t>
  </si>
  <si>
    <t>SZTH3D2A-12-11、SZTH3D2A-12-12、SZTH3D2A-12-13</t>
  </si>
  <si>
    <t>SZTH3D2A-11-16</t>
  </si>
  <si>
    <t>2021/6/2开通机架，6月计费29天：SZTH3D2A-02-02</t>
  </si>
  <si>
    <t>2021/6/7开通，6月计费24天：SZTH3D2A-02-03、SZTH3D2A-02-04、SZTH3D2A-02-05、SZTH3D2A-02-06、SZTH3D2A-02-07、SZTH3D2A-02-08、SZTH3D2A-02-09、SZTH3D2A-02-10、SZTH3D2A-02-11、SZTH3D2A-02-12、SZTH3D2A-02-13、SZTH3D2A-02-14、SZTH3D2A-02-15</t>
  </si>
  <si>
    <t>2021/6/16开通，6月计费15天：SZTH3D2A-01-17、SZTH3D2A-02-16</t>
  </si>
  <si>
    <t>2021/6/18开通，6月计费13天：SZTH3D2A-02-17、SZTH3D2A-02-18</t>
  </si>
  <si>
    <t>2021/6/30开通，6月计费1天：SZTH3D2C-01-03、SZTH3D2C-01-05、SZTH3D2C-01-07</t>
  </si>
  <si>
    <t>2021/7/15开通，7月计费17天：SZTH3D2C-01-09、SZTH3D2C-01-11、SZTH3D2C-01-13</t>
  </si>
  <si>
    <t>2021/7/22开通机架，7月计费10天：SZTH3D2C-01-15、SZTH3D2C-01-17</t>
  </si>
  <si>
    <t>SZTH3D2A-06-16、SZTH3D2A-07-16、SZTH3D2B-06-01、SZTH3D2B-07-01、SZTH3D2C-06-01、SZTH3D2C-07-01</t>
  </si>
  <si>
    <t>202303 苏州太湖三期二批超电流，暂按300A计提；40A机柜价格如果实际机柜用电量小于等于30A，按照￥8595元/月收取费用；如果实际机柜用电量大于30A，小于35A，则机柜用电量每增加1A，在￥8595元/月的价格基础上另加收￥300元/月的使用费用；如果实际机柜用电量大于等于35A，则机柜用电量每增加1A，在￥8595元/月的价格基础上，超过30A部分电流为260.5元/A/月</t>
  </si>
  <si>
    <t>L20221215009</t>
  </si>
  <si>
    <t>SSL IP</t>
  </si>
  <si>
    <t>苏州-南施街</t>
  </si>
  <si>
    <t>苏州电信SSL</t>
  </si>
  <si>
    <t>CDNSZ</t>
  </si>
  <si>
    <t>SSL使用768个IP，均免费（58.211.2.0/24,58.211.137.0/24,61.155.149.0/24）</t>
  </si>
  <si>
    <t>2021/9/15机房搬迁，退租768个IP，冲销15天费用。
SSL使用768个IP，均免费（58.211.2.0/24,58.211.137.0/24,61.155.149.0/24）</t>
  </si>
  <si>
    <t>SSLKSCT</t>
  </si>
  <si>
    <t>2021/9/23机房搬迁，开通768个IP，9月计费8天
SSL使用768个IP，均免费（58.211.2.0/24,58.211.137.0/24,61.155.149.0/24）</t>
  </si>
  <si>
    <t>昆山 
SUZCT 160G</t>
  </si>
  <si>
    <t>CDN使用：180.97.64.0/24;180.97.65.0/24</t>
  </si>
  <si>
    <t>BEC使用：121.227.196.0/24;121.227.168.0/24</t>
  </si>
  <si>
    <t>昆山 
SUZ2CT 160G</t>
  </si>
  <si>
    <t>苏州2电信</t>
  </si>
  <si>
    <t>使用512个IP，均免费。180.97.67.0/24;180.97.66.0/24</t>
  </si>
  <si>
    <t>SSL机架</t>
  </si>
  <si>
    <t>SSL机架2个收费。SUZ-09-17、SUZ-09-18、</t>
  </si>
  <si>
    <t>SSL机架4个收费。SUZ-10-27、SUZ-10-28、SUZ-10-29、SUZ-10-30</t>
  </si>
  <si>
    <t>2021/9/15机房搬迁，下电，冲销15天费用。SSL机架2个收费。SUZ-09-17、SUZ-09-18</t>
  </si>
  <si>
    <t>2021/9/15机房搬迁，下电，冲销15天费用。SSL机架4个收费。SUZ-10-27、SUZ-10-28、SUZ-10-29、SUZ-10-30</t>
  </si>
  <si>
    <t>苏州昆山SSL</t>
  </si>
  <si>
    <t>带宽退租后SSL2个机柜运营商未收费，每月负预提冲销。2021/9/23机房搬迁，开通，9月计费8天。SSL机架2个收费。SSLKSCT3F-I-03、SSLKSCT3F-I-04</t>
  </si>
  <si>
    <t>2021/9/23机房搬迁，开通，9月计费8天。SSL机架4个免费。SSLKSCT3F-I-05、SSLKSCT3F-I-06、SSLKSCT3F-I-07、SSLKSCT3F-I-08</t>
  </si>
  <si>
    <t>CDNSUZCT</t>
  </si>
  <si>
    <t>SUZCT3F-O-10、SUZCT3F-O-07、SUZCT3F-O-06、SUZCT3F-O-05、SUZCT3F-O-04、SUZCT3F-O-03、SUZCT3F-O-08、SUZCT3F-O-09、SUZCT3F-O-11</t>
  </si>
  <si>
    <t>中国电信股份有限公司苏州分公司</t>
  </si>
  <si>
    <t>苏州4电信</t>
  </si>
  <si>
    <t>SUZ4CT-N-09、SUZ4CT-N-10、SUZ4CT-N-11</t>
  </si>
  <si>
    <t>SUZCT3F-N-08、SUZCT3F-N-07、SUZCT3F-N-06、SUZCT3F-N-05、SUZCT3F-N-04、SUZCT3F-N-03</t>
  </si>
  <si>
    <t>2023.3根据与SYS核对结果，调整机架编号，本单操作开通
调整前：SUZ3CT3F-O-03、SUZ3CT3F-O-04、SUZ3CT3F-O-05
调整后：SUZ3CT3F-O-12、SUZ3CT3F-O-13、SUZ3CT3F-O-14</t>
  </si>
  <si>
    <t>苏州电信扩容边缘计算，SUZ3CT3F-O-15</t>
  </si>
  <si>
    <t>宿迁电信</t>
  </si>
  <si>
    <t>L20221215008</t>
  </si>
  <si>
    <t>宿迁电信
SQCT 200G</t>
  </si>
  <si>
    <t>宿迁电信二级</t>
  </si>
  <si>
    <t>使用544个IP，均免费。222.187.255.0/24;218.93.204.0/24;222.187.242.160/27</t>
  </si>
  <si>
    <t>宿迁</t>
  </si>
  <si>
    <t>2022/6/18 由CDN转BEC使用：180.101.38.0/24（该段 IP于2022/6/18由CDN转BEC使用）;222.187.242.128/27;180.101.161.0/24（CDN继续使用）。
宿迁电信每万兆送32IP，共送1280个，超过单价50</t>
  </si>
  <si>
    <t>宿迁2电信
SQ2CT 200G</t>
  </si>
  <si>
    <t>2023.3经与SYS核对：222.187.242.128/27，为CDN已分配，未使用</t>
  </si>
  <si>
    <t>2023.3经与SYS核对：180.101.161.0/24</t>
  </si>
  <si>
    <t>【BEC新建】宿迁电信新建0G  2022-06-18 节点正式上线  (SQCTCACHE)，新增IP:180.101.78.0/24</t>
  </si>
  <si>
    <t>宿迁电信+宿迁2
SQCT+SQ2CT</t>
  </si>
  <si>
    <t>宿迁2电信</t>
  </si>
  <si>
    <t>CDNSQCT</t>
  </si>
  <si>
    <t>SQCT SQ2CT免费提供40个机架：SQCT2F-11-05、SQCT2F-11-04、SQCT2F-11-03、SQCT2F-11-02、SQCT2F-10-14、SQCT2F-10-13、SQCT2F-10-12、SQCT2F-11-01</t>
  </si>
  <si>
    <t>2021/7/14退租，免费机柜 SQCT2F-11-05、SQCT2F-11-04、SQCT2F-11-03</t>
  </si>
  <si>
    <t>SQCT2F-11-03</t>
  </si>
  <si>
    <t>SQCT SQ2CT免费提供40个机架：SQCT2F-10-10、SQCT2F-10-09、SQCT2F-10-08</t>
  </si>
  <si>
    <t>SQCT2F-10-10、SQCT2F-10-09、SQCT2F-10-08</t>
  </si>
  <si>
    <t>【BEC新建】宿迁电信新建0G  2022-06-18 节点正式上线  (SQCTCACHE)：BECSQCTCACHE-2F1-05、BECSQCTCACHE-2F1-06、BECSQCTCACHE-2F1-07、BECSQCTCACHE-2F1-08、BECSQCTCACHE-2F1-09、BECSQCTCACHE-2F1-10、BECSQCTCACHE-2F1-11、BECSQCTCACHE-2F1-12、BECSQCTCACHE-2F1-13、BECSQCTCACHE-2F2-01、BECSQCTCACHE-2F2-02、BECSQCTCACHE-2F2-03、BECSQCTCACHE-2F2-04、BECSQCTCACHE-2F2-05、BECSQCTCACHE-2F2-06、BECSQCTCACHE-2F2-07、BECSQCTCACHE-2F2-08、BECSQCTCACHE-2F2-09、BECSQCTCACHE-2F2-10、BECSQCTCACHE-2F2-11、BECSQCTCACHE-2F2-12、BECSQCTCACHE-2F2-13、BECSQCTCACHE-2F2-14、BECSQCTCACHE-2F1-01（申请未使用）、BECSQCTCACHE-2F1-02（申请未使用）、BECSQCTCACHE-2F1-03（申请未使用）、BECSQCTCACHE-2F1-04（申请未使用）</t>
  </si>
  <si>
    <t>【BEC扩容】宿迁电信扩容0G，新增1个机柜：BECSQCTCACHE-2F1-14</t>
  </si>
  <si>
    <t>182115IDC00631</t>
  </si>
  <si>
    <t>太湖机房四期（SZTH4D2、4D3C 3D）</t>
  </si>
  <si>
    <t>SZTH4D2C-04-19、SZTH4D2D-04-01、SZTH4D2D-04-21、SZTH4D2B-04-01、SZTH4D2B-04-21、SZTH4D2A-04-01、SZTH4D2A-04-21</t>
  </si>
  <si>
    <t>SZTH4D2C-01-11、SZTH4D2C-01-13、SZTH4D2C-01-15、SZTH4D2C-01-17、SZTH4D2C-01-19、SZTH4D2C-02-11、SZTH4D2C-02-13、SZTH4D2C-02-15、SZTH4D2C-02-17、SZTH4D2C-02-19、SZTH4D2C-02-21、SZTH4D2C-03-08、SZTH4D2C-03-09、SZTH4D2C-03-11、SZTH4D2C-03-13、SZTH4D2C-03-15、SZTH4D2C-03-17、SZTH4D2C-03-19、SZTH4D2C-04-13、SZTH4D2C-04-15、SZTH4D2C-04-17、SZTH4D2C-04-18、SZTH4D2C-05-08、SZTH4D2C-05-09、SZTH4D2C-05-11、SZTH4D2C-05-13、SZTH4D2C-05-15、SZTH4D2C-05-17、SZTH4D2C-05-19、SZTH4D2C-06-11、SZTH4D2C-06-13、SZTH4D2C-06-15、SZTH4D2C-06-17、SZTH4D2C-06-19、SZTH4D2C-06-21、SZTH4D2C-07-11、SZTH4D2C-07-13、SZTH4D2C-07-15、SZTH4D2C-07-17、SZTH4D2C-07-19、SZTH4D2D-01-03、SZTH4D2D-01-05、SZTH4D2D-01-07、SZTH4D2D-01-09、SZTH4D2D-01-11、SZTH4D2D-01-13、SZTH4D2D-01-15、SZTH4D2D-01-17、SZTH4D2D-01-19、SZTH4D2D-01-21、SZTH4D2D-01-23、SZTH4D2D-02-02、SZTH4D2D-02-04、SZTH4D2D-02-06、SZTH4D2D-02-08、SZTH4D2D-02-10、SZTH4D2D-02-12、SZTH4D2D-02-14、SZTH4D2D-02-15、SZTH4D2D-02-17、SZTH4D2D-02-19、SZTH4D2D-02-21、SZTH4D2D-02-23、SZTH4D2D-02-25、SZTH4D2D-03-01、SZTH4D2D-03-03、SZTH4D2D-03-05、SZTH4D2D-03-07、SZTH4D2D-03-09、SZTH4D2D-03-11、SZTH4D2D-03-13、SZTH4D2D-03-15、SZTH4D2D-03-17、SZTH4D2D-03-19、SZTH4D2D-03-21、SZTH4D2D-03-23、SZTH4D2D-04-03、SZTH4D2D-04-05、SZTH4D2D-04-07、SZTH4D2D-04-09、SZTH4D2D-04-11、SZTH4D2D-04-15、SZTH4D2D-04-17、SZTH4D2D-04-19、SZTH4D2D-04-20、SZTH4D2D-05-01、SZTH4D2D-05-03、SZTH4D2D-05-05、SZTH4D2D-05-07、SZTH4D2D-05-09、SZTH4D2D-05-11、SZTH4D2D-05-13、SZTH4D2D-05-15、SZTH4D2D-05-17、SZTH4D2D-05-19、SZTH4D2D-05-21、SZTH4D2D-05-23、SZTH4D2D-06-02、SZTH4D2D-06-04、SZTH4D2D-06-06、SZTH4D2D-06-08、SZTH4D2D-06-10、SZTH4D2D-06-12、SZTH4D2D-06-14、SZTH4D2D-06-15、SZTH4D2D-06-17、SZTH4D2D-06-19、SZTH4D2D-06-21、SZTH4D2D-06-23、SZTH4D2D-06-25、SZTH4D2D-07-01、SZTH4D2D-07-03、SZTH4D2D-07-05、SZTH4D2D-07-07、SZTH4D2D-07-09、SZTH4D2D-07-11、SZTH4D2D-07-13、SZTH4D2D-07-15、SZTH4D2D-07-17、SZTH4D2D-07-19、SZTH4D2D-07-21、SZTH4D2D-07-23、SZTH4D2B-01-03、SZTH4D2B-01-05、SZTH4D2B-01-07、SZTH4D2B-01-09、SZTH4D2B-01-11、SZTH4D2B-01-13、SZTH4D2B-01-15、SZTH4D2B-01-17、SZTH4D2B-01-19、SZTH4D2B-01-21、SZTH4D2B-01-23、SZTH4D2B-02-02、SZTH4D2B-02-04、SZTH4D2B-02-06、SZTH4D2B-02-08、SZTH4D2B-02-10、SZTH4D2B-02-12、SZTH4D2B-02-14、SZTH4D2B-02-15、SZTH4D2B-02-17、SZTH4D2B-02-19、SZTH4D2B-02-21、SZTH4D2B-02-23、SZTH4D2B-02-25、SZTH4D2B-03-01、SZTH4D2B-03-03、SZTH4D2B-03-05、SZTH4D2B-03-07、SZTH4D2B-03-09、SZTH4D2B-03-11、SZTH4D2B-03-13、SZTH4D2B-03-15、SZTH4D2B-03-17、SZTH4D2B-03-19、SZTH4D2B-03-21、SZTH4D2B-03-23、SZTH4D2B-04-03、SZTH4D2B-04-05、SZTH4D2B-04-07、SZTH4D2B-04-09、SZTH4D2B-04-11、SZTH4D2B-04-15、SZTH4D2B-04-17、SZTH4D2B-04-19、SZTH4D2B-04-20、SZTH4D2B-05-01、SZTH4D2B-05-03、SZTH4D2B-05-05、SZTH4D2B-05-07、SZTH4D2B-05-09、SZTH4D2B-05-11、SZTH4D2B-05-13、SZTH4D2B-05-15、SZTH4D2B-05-17、SZTH4D2B-05-19、SZTH4D2B-05-21、SZTH4D2B-05-23、SZTH4D2B-06-02、SZTH4D2B-06-04、SZTH4D2B-06-06、SZTH4D2B-06-08、SZTH4D2B-06-10、SZTH4D2B-06-12、SZTH4D2B-06-14、SZTH4D2B-06-15、SZTH4D2B-06-17、SZTH4D2B-06-19、SZTH4D2B-06-21、SZTH4D2B-06-23、SZTH4D2B-06-25、SZTH4D2B-07-01、SZTH4D2B-07-03、SZTH4D2B-07-05、SZTH4D2B-07-07、SZTH4D2B-07-09、SZTH4D2B-07-11、SZTH4D2B-07-13、SZTH4D2B-07-15、SZTH4D2B-07-17、SZTH4D2B-07-19、SZTH4D2B-07-21、SZTH4D2B-07-23、SZTH4D2A-01-01、SZTH4D2A-01-03、SZTH4D2A-01-05、SZTH4D2A-01-07、SZTH4D2A-01-09、SZTH4D2A-01-11、SZTH4D2A-01-13、SZTH4D2A-01-15、SZTH4D2A-01-17、SZTH4D2A-01-19、SZTH4D2A-01-21、SZTH4D2A-01-23、SZTH4D2A-02-02、SZTH4D2A-02-04、SZTH4D2A-02-06、SZTH4D2A-02-08、SZTH4D2A-02-10、SZTH4D2A-02-12、SZTH4D2A-02-14、SZTH4D2A-02-15、SZTH4D2A-02-17、SZTH4D2A-02-19、SZTH4D2A-02-21、SZTH4D2A-02-23、SZTH4D2A-02-25、SZTH4D2A-03-01、SZTH4D2A-03-03、SZTH4D2A-03-05、SZTH4D2A-03-07、SZTH4D2A-03-09、SZTH4D2A-03-11、SZTH4D2A-03-13、SZTH4D2A-03-15、SZTH4D2A-03-17、SZTH4D2A-03-19、SZTH4D2A-03-21、SZTH4D2A-03-23、SZTH4D2A-04-03、SZTH4D2A-04-05、SZTH4D2A-04-07、SZTH4D2A-04-09、SZTH4D2A-04-11、SZTH4D2A-04-15、SZTH4D2A-04-17、SZTH4D2A-04-19、SZTH4D2A-04-20、SZTH4D2A-05-02、SZTH4D2A-05-03、SZTH4D2A-05-05、SZTH4D2A-05-06、SZTH4D2A-05-08、SZTH4D2A-05-09、SZTH4D2A-05-11、SZTH4D2A-05-12、SZTH4D2A-05-13、SZTH4D2A-05-14、SZTH4D2A-05-15、SZTH4D2A-05-17、SZTH4D2A-05-19、SZTH4D2A-05-21、SZTH4D2A-05-23、SZTH4D2A-06-02、SZTH4D2A-06-03、SZTH4D2A-06-05、SZTH4D2A-06-06、SZTH4D2A-06-08、SZTH4D2A-06-09、SZTH4D2A-06-11、SZTH4D2A-06-12、SZTH4D2A-06-13、SZTH4D2A-06-14、SZTH4D2A-06-15、SZTH4D2A-06-17、SZTH4D2A-06-19、SZTH4D2A-06-21、SZTH4D2A-06-23、SZTH4D2A-06-25、SZTH4D2A-07-02、SZTH4D2A-07-03、SZTH4D2A-07-05、SZTH4D2A-07-06、SZTH4D2A-07-08、SZTH4D2A-07-09、SZTH4D2A-07-11、SZTH4D2A-07-12、SZTH4D2A-07-13、SZTH4D2A-07-14、SZTH4D2A-07-15、SZTH4D2A-07-17、SZTH4D2A-07-19、SZTH4D2A-07-21、SZTH4D2A-07-23、SZTH4D2C-01-12、SZTH4D2C-01-14、SZTH4D2C-01-16、SZTH4D2C-01-18、SZTH4D2C-01-20、SZTH4D2C-02-12、SZTH4D2C-02-14、SZTH4D2C-02-16、SZTH4D2C-02-18、SZTH4D2C-02-20、SZTH4D2C-03-12、SZTH4D2C-03-14、SZTH4D2C-03-16、SZTH4D2C-03-18、SZTH4D2C-03-20、SZTH4D2C-04-12、SZTH4D2C-04-14、SZTH4D2C-04-16、SZTH4D2C-05-12、SZTH4D2C-05-14、SZTH4D2C-05-16、SZTH4D2C-05-18、SZTH4D2C-05-20、SZTH4D2D-01-01、SZTH4D2D-01-02、SZTH4D2D-01-04、SZTH4D2D-01-06、SZTH4D2D-01-08、SZTH4D2D-01-10、SZTH4D2D-01-12、SZTH4D2D-01-14、SZTH4D2D-01-16、SZTH4D2D-01-18、SZTH4D2D-01-20、SZTH4D2D-01-22、SZTH4D2D-01-24、SZTH4D2D-02-01、SZTH4D2D-02-03、SZTH4D2D-02-05、SZTH4D2D-02-07、SZTH4D2D-02-09、SZTH4D2D-02-11、SZTH4D2D-02-13、SZTH4D2D-02-16、SZTH4D2D-02-18、SZTH4D2D-02-20、SZTH4D2D-02-22、SZTH4D2D-02-24、SZTH4D2D-03-12</t>
  </si>
  <si>
    <t>SZTH4D2C-01-09、SZTH4D2C-02-09、SZTH4D2C-03-05、SZTH4D2C-04-03、SZTH4D2C-04-05、SZTH4D2C-05-05、SZTH4D2C-06-09、SZTH4D2C-07-09</t>
  </si>
  <si>
    <t>SZTH4D2D-03-14、SZTH4D2D-03-16、SZTH4D2D-03-18、SZTH4D2D-03-20、SZTH4D2D-03-22、SZTH4D2D-03-24、SZTH4D2D-04-02、SZTH4D2D-04-04、SZTH4D2D-04-06、SZTH4D2D-04-08、SZTH4D2D-04-10、SZTH4D2D-04-14、SZTH4D2D-04-16、SZTH4D2D-04-18</t>
  </si>
  <si>
    <t>SZTH4D2D-05-02、SZTH4D2D-05-04、SZTH4D2D-05-06、SZTH4D2D-05-08、SZTH4D2D-05-10、SZTH4D2D-05-12、SZTH4D2D-05-14、SZTH4D2D-05-16</t>
  </si>
  <si>
    <t>SZTH4D2D-05-18、SZTH4D2D-05-20、SZTH4D2D-05-22、SZTH4D2D-05-24、SZTH4D2D-06-01、SZTH4D2D-06-03、SZTH4D2D-06-05</t>
  </si>
  <si>
    <t>SZTH4D2C-06-12、SZTH4D2C-06-14、SZTH4D2C-07-12、SZTH4D2C-07-14、SZTH4D2C-07-16、SZTH4D2C-07-18、SZTH4D2C-07-20</t>
  </si>
  <si>
    <t>SZTH4D2D-06-07、SZTH4D2D-06-09、SZTH4D2D-06-11、SZTH4D2D-06-13、SZTH4D2D-06-16、SZTH4D2D-06-18、SZTH4D2D-06-20、SZTH4D2D-06-22、SZTH4D2D-06-24、SZTH4D2D-07-02、SZTH4D2D-07-04、SZTH4D2D-07-06、SZTH4D2D-07-08、SZTH4D2D-07-10、SZTH4D2D-07-12、SZTH4D2D-07-14、SZTH4D2D-07-16</t>
  </si>
  <si>
    <t>SZTH4D2A-01-02、SZTH4D2A-01-04、SZTH4D2A-01-06、SZTH4D2A-01-08、SZTH4D2A-01-10、SZTH4D2A-01-12、SZTH4D2A-01-14、SZTH4D2D-03-02、SZTH4D2D-03-04、SZTH4D2D-03-06、SZTH4D2D-03-08、SZTH4D2D-03-10、SZTH4D2D-07-18、SZTH4D2D-07-20、SZTH4D2D-07-22、SZTH4D2D-07-24</t>
  </si>
  <si>
    <t>SZTH4D2A-01-16、SZTH4D2A-01-18、SZTH4D2A-01-20、SZTH4D2A-01-22、SZTH4D2A-01-24、SZTH4D2A-02-16、SZTH4D2A-02-18、SZTH4D2A-02-20、SZTH4D2A-02-22、SZTH4D2A-02-24、SZTH4D2A-03-16</t>
  </si>
  <si>
    <t>SZTH4D2A-03-18、SZTH4D2A-03-20、SZTH4D2A-03-22、SZTH4D2A-03-24</t>
  </si>
  <si>
    <t>SZTH4D2A-04-18、SZTH4D2A-05-16、SZTH4D2A-05-18、SZTH4D2A-05-20、SZTH4D2A-05-22、SZTH4D2A-05-24、SZTH4D2A-06-16</t>
  </si>
  <si>
    <t>SZTH4D3C-04-01、SZTH4D3C-04-21、SZTH4D3D-04-01、SZTH4D3D-04-21</t>
  </si>
  <si>
    <t>SZTH4D3C-01-03、SZTH4D3C-01-05、SZTH4D3C-01-07、SZTH4D3C-01-09、SZTH4D3C-01-11、SZTH4D3C-01-13、SZTH4D3C-01-15、SZTH4D3C-01-17、SZTH4D3C-01-19、SZTH4D3C-01-21、SZTH4D3C-01-23、SZTH4D3C-02-02、SZTH4D3C-02-04、SZTH4D3C-02-06、SZTH4D3C-02-08、SZTH4D3C-02-10、SZTH4D3C-02-12、SZTH4D3C-02-14、SZTH4D3C-02-15、SZTH4D3C-02-17、SZTH4D3C-02-19、SZTH4D3C-02-21、SZTH4D3C-02-23、SZTH4D3C-02-25、SZTH4D3C-03-01、SZTH4D3C-03-03、SZTH4D3C-03-05、SZTH4D3C-03-07、SZTH4D3C-03-09、SZTH4D3C-03-11、SZTH4D3C-03-13、SZTH4D3C-03-15、SZTH4D3C-03-17、SZTH4D3C-03-19、SZTH4D3C-03-21、SZTH4D3C-03-23、SZTH4D3C-04-03、SZTH4D3C-04-05、SZTH4D3C-04-07、SZTH4D3C-04-09、SZTH4D3C-04-11、SZTH4D3C-04-15、SZTH4D3C-04-17、SZTH4D3C-04-19、SZTH4D3C-04-20、SZTH4D3C-05-01、SZTH4D3C-05-03、SZTH4D3C-05-05、SZTH4D3C-05-07、SZTH4D3C-05-09、SZTH4D3C-05-11、SZTH4D3C-05-13、SZTH4D3C-05-15、SZTH4D3C-05-17、SZTH4D3C-05-19、SZTH4D3C-05-21、SZTH4D3C-05-23、SZTH4D3C-06-02、SZTH4D3C-06-04、SZTH4D3C-06-06、SZTH4D3C-06-08、SZTH4D3C-06-10、SZTH4D3C-06-12、SZTH4D3C-06-14、SZTH4D3C-06-15、SZTH4D3C-06-17、SZTH4D3C-06-19、SZTH4D3C-06-21、SZTH4D3C-06-23、SZTH4D3C-06-25、SZTH4D3C-07-01、SZTH4D3C-07-03、SZTH4D3C-07-05、SZTH4D3C-07-07、SZTH4D3C-07-09、SZTH4D3C-07-11、SZTH4D3C-07-13、SZTH4D3C-07-15、SZTH4D3C-07-17、SZTH4D3C-07-19、SZTH4D3C-07-21、SZTH4D3C-07-23、SZTH4D3D-01-01、SZTH4D3D-01-03、SZTH4D3D-01-05、SZTH4D3D-01-07、SZTH4D3D-01-09、SZTH4D3D-01-11、SZTH4D3D-01-13、SZTH4D3D-01-15、SZTH4D3D-01-17、SZTH4D3D-01-19、SZTH4D3D-01-21、SZTH4D3D-01-23、SZTH4D3D-02-02、SZTH4D3D-02-04、SZTH4D3D-02-06、SZTH4D3D-02-08、SZTH4D3D-02-10、SZTH4D3D-02-12、SZTH4D3D-02-14、SZTH4D3D-02-15、SZTH4D3D-02-17、SZTH4D3D-02-19、SZTH4D3D-02-21、SZTH4D3D-02-23、SZTH4D3D-02-25、SZTH4D3D-03-01、SZTH4D3D-03-03、SZTH4D3D-03-05、SZTH4D3D-03-07、SZTH4D3D-03-09、SZTH4D3D-03-11、SZTH4D3D-03-13、SZTH4D3D-03-15、SZTH4D3D-03-17、SZTH4D3D-03-19、SZTH4D3D-03-21、SZTH4D3D-03-23、SZTH4D3D-04-03、SZTH4D3D-04-05、SZTH4D3D-04-07、SZTH4D3D-04-09、SZTH4D3D-04-11、SZTH4D3D-04-15、SZTH4D3D-04-17、SZTH4D3D-04-19、SZTH4D3D-04-20、SZTH4D3D-05-01、SZTH4D3D-05-03、SZTH4D3D-05-05、SZTH4D3D-05-07、SZTH4D3D-05-09、SZTH4D3D-05-11、SZTH4D3D-05-13、SZTH4D3D-05-15、SZTH4D3D-05-17、SZTH4D3D-05-19、SZTH4D3D-05-21、SZTH4D3D-05-23、SZTH4D3D-06-02、SZTH4D3D-06-04、SZTH4D3D-06-06、SZTH4D3D-06-08、SZTH4D3D-06-10、SZTH4D3D-06-12、SZTH4D3D-06-13、SZTH4D3D-06-14、SZTH4D3D-06-15、SZTH4D3D-06-17、SZTH4D3D-06-19、SZTH4D3D-06-21、SZTH4D3D-06-23、SZTH4D3D-06-25、SZTH4D3D-07-01、SZTH4D3D-07-03、SZTH4D3D-07-05、SZTH4D3D-07-07、SZTH4D3D-07-09、SZTH4D3D-07-11、SZTH4D3D-07-13、SZTH4D3D-07-14、SZTH4D3D-07-15、SZTH4D3D-07-17、SZTH4D3D-07-19、SZTH4D3D-07-21、SZTH4D3D-07-23</t>
  </si>
  <si>
    <t>SZTH4D3D-05-12、SZTH4D3D-05-14、SZTH4D3D-06-01、SZTH4D3D-06-03、SZTH4D3D-06-05、SZTH4D3D-06-07、SZTH4D3D-06-09、SZTH4D3D-06-11、SZTH4D3D-07-02、SZTH4D3D-07-04、SZTH4D3D-07-06、SZTH4D3D-07-10、SZTH4D3D-07-12</t>
  </si>
  <si>
    <t>SZTH4D2A-04-02、SZTH4D2A-04-04、SZTH4D2A-04-06、SZTH4D2A-04-08、SZTH4D2A-04-10、SZTH4D2A-04-14、SZTH4D2A-04-16、SZTH4D2A-07-18、SZTH4D2A-07-20、SZTH4D2A-07-22、SZTH4D2A-07-24</t>
  </si>
  <si>
    <t>SZTH4D2A-02-01、SZTH4D2A-02-03、SZTH4D2A-02-05、SZTH4D2A-02-07、SZTH4D2A-02-09、SZTH4D2A-02-11、SZTH4D2A-02-13、SZTH4D2A-03-02、SZTH4D2A-03-04、SZTH4D2A-03-06、SZTH4D2A-03-08、SZTH4D2A-03-10、SZTH4D2A-03-12、SZTH4D2A-03-14、SZTH4D2A-06-18、SZTH4D2A-06-20、SZTH4D2A-06-22、SZTH4D2A-06-24、SZTH4D2A-07-16</t>
  </si>
  <si>
    <t>SZTH4D3C-01-01、SZTH4D3C-01-04、SZTH4D3C-01-10、SZTH4D3C-01-18、SZTH4D3C-02-05、SZTH4D3C-02-11、SZTH4D3C-02-13、SZTH4D3C-02-16、SZTH4D3C-02-18、SZTH4D3C-02-24、SZTH4D3C-03-04、SZTH4D3C-03-10、SZTH4D3C-03-18、SZTH4D3C-04-06、SZTH4D3C-04-18、SZTH4D3C-05-04、SZTH4D3C-05-10、SZTH4D3C-05-18、SZTH4D3C-06-11、SZTH4D3C-06-13、SZTH4D3C-06-16、SZTH4D3C-06-18、SZTH4D3C-06-24、SZTH4D3C-07-18、SZTH4D3D-01-04、SZTH4D3D-01-10、SZTH4D3D-01-18、SZTH4D3D-02-05、SZTH4D3D-02-11、SZTH4D3D-02-20、SZTH4D3D-03-04、SZTH4D3D-03-10、SZTH4D3D-03-18、SZTH4D3D-04-06、SZTH4D3D-04-18、SZTH4D3D-05-04、SZTH4D3D-05-10、SZTH4D3D-05-18、SZTH4D3D-06-22、SZTH4D3D-07-08、SZTH4D3D-07-18</t>
  </si>
  <si>
    <t>SZTH4D2B-01-04、SZTH4D2B-01-06、SZTH4D2B-01-08、SZTH4D2B-01-10、SZTH4D2B-01-12、SZTH4D2B-01-14、SZTH4D2B-01-16、SZTH4D2B-01-18、SZTH4D2B-01-20、SZTH4D2B-01-22、SZTH4D2B-01-24、SZTH4D2B-02-01、SZTH4D2B-02-03、SZTH4D2B-02-05、SZTH4D2B-02-07、SZTH4D2B-02-09、SZTH4D2B-02-11、SZTH4D2B-02-13、SZTH4D2B-02-16、SZTH4D2B-02-18、SZTH4D2B-02-20、SZTH4D2B-02-22、SZTH4D2B-02-24、SZTH4D2B-03-02、SZTH4D2B-03-04、SZTH4D2B-03-16、SZTH4D2B-03-18、SZTH4D2B-03-20、SZTH4D2B-03-22、SZTH4D2B-03-24、SZTH4D2B-04-14、SZTH4D2B-04-16、SZTH4D2B-04-18、SZTH4D2B-05-02、SZTH4D2B-05-04、SZTH4D2B-05-06、SZTH4D2B-05-08、SZTH4D2B-05-10、SZTH4D2B-05-12、SZTH4D2B-05-14、SZTH4D2B-05-16、SZTH4D2B-05-18、SZTH4D2B-05-20、SZTH4D2B-05-22、SZTH4D2B-05-24、SZTH4D2B-06-01、SZTH4D2B-06-03、SZTH4D2B-06-05、SZTH4D2B-06-07、SZTH4D2B-06-09、SZTH4D2B-06-11、SZTH4D2B-06-13、SZTH4D2B-06-16、SZTH4D2B-06-18、SZTH4D2B-06-20、SZTH4D2B-06-22、SZTH4D2B-06-24、SZTH4D2B-07-02、SZTH4D2B-07-04、SZTH4D2B-07-06、SZTH4D2B-07-08、SZTH4D2B-07-10、SZTH4D2B-07-12、SZTH4D2B-07-14、SZTH4D2B-07-16、SZTH4D2B-07-18、SZTH4D2B-07-20、SZTH4D2B-07-22、SZTH4D2B-07-24</t>
  </si>
  <si>
    <t>SZTH4D3D-05-06、SZTH4D3D-05-08、SZTH4D3D-06-16、SZTH4D3D-06-18、SZTH4D3D-06-20、SZTH4D3D-06-24、SZTH4D3D-07-16、SZTH4D3D-07-20、SZTH4D3D-07-22、SZTH4D3D-07-24</t>
  </si>
  <si>
    <t>SZTH4D2B-03-06、SZTH4D2B-03-08、SZTH4D2B-03-10、SZTH4D2B-03-12、SZTH4D2B-03-14、SZTH4D2B-04-02、SZTH4D2B-04-04、SZTH4D2B-04-06、SZTH4D2B-04-08、SZTH4D2B-04-10</t>
  </si>
  <si>
    <t>SZTH4D3C-01-02、SZTH4D3C-01-06、SZTH4D3C-01-08、SZTH4D3C-01-12、SZTH4D3C-01-14、SZTH4D3C-01-16、SZTH4D3C-01-20、SZTH4D3C-01-22、SZTH4D3C-01-24、SZTH4D3C-02-01SZTH4D3C-02-03SZTH4D3C-02-07SZTH4D3C-02-09SZTH4D3D-01-02SZTH4D3D-01-06、SZTH4D3D-01-08、SZTH4D3D-01-12、SZTH4D3D-01-14、SZTH4D3D-01-16、SZTH4D3D-01-20、SZTH4D3D-01-22、SZTH4D3D-01-24、SZTH4D3D-02-22SZTH4D3D-02-24、SZTH4D3D-02-01、SZTH4D3D-02-03、SZTH4D3D-02-07、SZTH4D3D-02-09、SZTH4D3D-02-13、SZTH4D3D-02-16、SZTH4D3D-02-18、SZTH4D3D-03-02、SZTH4D3D-03-06、SZTH4D3D-03-08、SZTH4D3D-03-12、SZTH4D3D-03-14、SZTH4D3D-03-16、SZTH4D3D-03-20、SZTH4D3D-03-22、SZTH4D3D-03-24、SZTH4D3D-04-02、SZTH4D3D-04-04、SZTH4D3D-04-08、SZTH4D3D-04-10、SZTH4D3D-04-14、SZTH4D3D-04-16、SZTH4D3D-05-02、SZTH4D3D-05-16、SZTH4D3D-05-20、SZTH4D3D-05-22、SZTH4D3D-05-24</t>
  </si>
  <si>
    <t>SZTH4D3C-02-20、SZTH4D3C-02-22、SZTH4D3C-03-02、SZTH4D3C-03-06、SZTH4D3C-03-08、SZTH4D3C-03-12、SZTH4D3C-03-14、SZTH4D3C-03-16、SZTH4D3C-03-20、SZTH4D3C-03-22SZTH4D3C-03-24SZTH4D3C-04-02SZTH4D3C-04-04SZTH4D3C-04-08SZTH4D3C-04-10、SZTH4D3C-04-14、SZTH4D3C-04-16、SZTH4D3C-05-02、SZTH4D3C-05-06、SZTH4D3C-05-08、SZTH4D3C-05-12、SZTH4D3C-05-14、SZTH4D3C-05-16SZTH4D3C-05-20、SZTH4D3C-05-22、SZTH4D3C-05-24、SZTH4D3C-06-09、SZTH4D3C-06-20、SZTH4D3C-06-22、SZTH4D3C-07-16、SZTH4D3C-07-20</t>
  </si>
  <si>
    <t>SZTH4D2A-05-01、SZTH4D2A-06-10</t>
  </si>
  <si>
    <t>SZTH4D2A-06-01、SZTH4D2A-06-04、SZTH4D2A-06-07、SZTH4D2A-07-10</t>
  </si>
  <si>
    <t>SZTH4D2A-07-07</t>
  </si>
  <si>
    <t>SZTH4D2A-05-05
SZTH4D2A-05-06
SZTH4D2A-05-08
SZTH4D2A-05-09
SZTH4D2A-05-11
SZTH4D2A-05-12
SZTH4D2A-07-02
SZTH4D2A-07-03
SZTH4D2A-07-05
SZTH4D2A-07-06</t>
  </si>
  <si>
    <t>SZTH4D3C-06-01
SZTH4D3C-06-03
SZTH4D3C-06-05
SZTH4D3C-07-02
SZTH4D3C-07-04
SZTH4D3C-07-06
SZTH4D3C-07-08
SZTH4D3C-07-10
SZTH4D3C-07-12
SZTH4D3C-07-14</t>
  </si>
  <si>
    <t>SZTH4D2A-07-05、SZTH4D2A-07-06</t>
  </si>
  <si>
    <t>SZTH4D2A-05-05、SZTH4D2A-05-06、SZTH4D2A-05-07、SZTH4D2A-05-08、SZTH4D2A-05-09、SZTH4D2A-05-10、SZTH4D2A-05-11、SZTH4D2A-05-12</t>
  </si>
  <si>
    <t>SZTH4D2A-05-04</t>
  </si>
  <si>
    <t>SZTH4D2A-05-07、SZTH4D2A-05-08、SZTH4D2A-05-09、SZTH4D2A-05-10、SZTH4D2A-05-11、SZTH4D2A-05-12</t>
  </si>
  <si>
    <t>SZTH4D3C-06-07、SZTH4D3C-07-22、SZTH4D3C-07-24</t>
  </si>
  <si>
    <t>SZTH4D2C-04-09、SZTH4D2C-04-10</t>
  </si>
  <si>
    <t>SZTH4D2C-01-05、SZTH4D2C-01-07、SZTH4D2C-02-03、SZTH4D2C-02-05</t>
  </si>
  <si>
    <t>SZTH4D2A-07-05、SZTH4D2A-07-06、SZTH4D2C-06-17、SZTH4D2C-06-19、SZTH4D2C-06-21、SZTH4D2C-07-11、SZTH4D2C-07-12、SZTH4D2C-07-17、SZTH4D2C-07-18、SZTH4D2C-07-19、SZTH4D2C-07-20、SZTH4D2D-01-01、SZTH4D2D-01-02</t>
  </si>
  <si>
    <t>SZTH4D2A-04-12、SZTH4D2A-04-13、SZTH4D2B-04-12、SZTH4D2B-04-13、SZTH4D2C-01-10、SZTH4D2C-02-10、SZTH4D2C-03-01、SZTH4D2C-03-10、SZTH4D2C-04-02、SZTH4D2C-04-11、SZTH4D2C-05-01、SZTH4D2C-05-10、SZTH4D2C-06-10、SZTH4D2C-07-10、SZTH4D2D-04-12、SZTH4D2D-04-13、SZTH4D3C-04-12、SZTH4D3C-04-13、SZTH4D3D-04-12、SZTH4D3D-04-13</t>
  </si>
  <si>
    <t>202303 太湖机房四期（SZTH4D2、4D3C 3D）超电流，暂按1200A计提</t>
  </si>
  <si>
    <t>182215IDC00467</t>
  </si>
  <si>
    <t>太湖机房四期三层（SZTH4D3A）4.1期</t>
  </si>
  <si>
    <t>SZTH4D3A-01-01、SZTH4D3A-01-02、SZTH4D3A-01-03、SZTH4D3A-01-04、SZTH4D3A-01-05、SZTH4D3A-01-06、SZTH4D3A-01-07、SZTH4D3A-01-08、SZTH4D3A-01-09、SZTH4D3A-01-10、SZTH4D3A-01-11、SZTH4D3A-01-12、SZTH4D3A-01-13、SZTH4D3A-01-14、SZTH4D3A-01-15、SZTH4D3A-01-16、SZTH4D3A-01-17、SZTH4D3A-01-18、SZTH4D3A-01-19、SZTH4D3A-01-20、SZTH4D3A-01-21、SZTH4D3A-01-22、SZTH4D3A-01-23、SZTH4D3A-01-24、SZTH4D3A-01-25、SZTH4D3A-01-26、SZTH4D3A-01-27、SZTH4D3A-01-28、SZTH4D3A-01-29、SZTH4D3A-01-30、SZTH4D3A-01-31、SZTH4D3A-02-01、SZTH4D3A-02-02、SZTH4D3A-02-03、SZTH4D3A-02-04、SZTH4D3A-02-05、SZTH4D3A-02-06、SZTH4D3A-02-07、SZTH4D3A-02-08、SZTH4D3A-02-09、SZTH4D3A-02-10、SZTH4D3A-02-11、SZTH4D3A-02-12、SZTH4D3A-02-13、SZTH4D3A-02-14、SZTH4D3A-02-15、SZTH4D3A-02-18、SZTH4D3A-02-19、SZTH4D3A-02-20、SZTH4D3A-02-21、SZTH4D3A-02-22、SZTH4D3A-02-23、SZTH4D3A-02-24、SZTH4D3A-02-25、SZTH4D3A-02-26、SZTH4D3A-02-27、SZTH4D3A-02-28、SZTH4D3A-02-29、SZTH4D3A-02-30、SZTH4D3A-02-31、SZTH4D3A-06-02、SZTH4D3A-06-04、SZTH4D3A-06-06、SZTH4D3A-06-08、SZTH4D3A-06-10、SZTH4D3A-06-12、SZTH4D3A-06-14、SZTH4D3A-06-16、SZTH4D3A-06-18、SZTH4D3A-06-20、SZTH4D3A-06-22、SZTH4D3A-06-24、SZTH4D3A-06-26、SZTH4D3A-06-28、SZTH4D3A-06-30、SZTH4D3A-02-16、SZTH4D3A-02-17、SZTH4D3A-05-16、SZTH4D3A-05-17、SZTH4D3A-05-18、SZTH4D3A-05-19、SZTH4D3A-03-02、SZTH4D3A-03-03、SZTH4D3A-03-04、SZTH4D3A-03-05、SZTH4D3A-03-06、SZTH4D3A-03-07、SZTH4D3A-03-08、SZTH4D3A-03-09、SZTH4D3A-03-10、SZTH4D3A-03-11、SZTH4D3A-03-12、SZTH4D3A-03-13、SZTH4D3A-03-14、SZTH4D3A-03-15、SZTH4D3A-03-16、SZTH4D3A-03-17、SZTH4D3A-03-18、SZTH4D3A-03-19、SZTH4D3A-03-20、SZTH4D3A-03-21、SZTH4D3A-03-22、SZTH4D3A-03-23、SZTH4D3A-03-24、SZTH4D3A-03-25、SZTH4D3A-03-26、SZTH4D3A-03-27、SZTH4D3A-03-28、SZTH4D3A-03-29、SZTH4D3A-03-30、SZTH4D3A-04-01、SZTH4D3A-04-02、SZTH4D3A-04-03、SZTH4D3A-04-04、SZTH4D3A-04-05、SZTH4D3A-04-06、SZTH4D3A-04-07、SZTH4D3A-04-08、SZTH4D3A-04-09、SZTH4D3A-04-10、SZTH4D3A-04-11、SZTH4D3A-04-12、SZTH4D3A-04-13、SZTH4D3A-04-14、SZTH4D3A-04-17、SZTH4D3A-04-18、SZTH4D3A-04-19、SZTH4D3A-04-20、SZTH4D3A-04-21、SZTH4D3A-04-22、SZTH4D3A-04-23、SZTH4D3A-04-24、SZTH4D3A-04-25、SZTH4D3A-04-26、SZTH4D3A-04-27、SZTH4D3A-05-01、SZTH4D3A-05-02、SZTH4D3A-05-03、SZTH4D3A-05-04、SZTH4D3A-05-05、SZTH4D3A-05-06、SZTH4D3A-05-07、SZTH4D3A-05-08、SZTH4D3A-05-09、SZTH4D3A-05-10、SZTH4D3A-05-11、SZTH4D3A-05-12、SZTH4D3A-05-13、SZTH4D3A-05-14、SZTH4D3A-05-15、SZTH4D3A-05-20、SZTH4D3A-05-21、SZTH4D3A-05-22、SZTH4D3A-05-23、SZTH4D3A-05-24、SZTH4D3A-05-25、SZTH4D3A-05-26、SZTH4D3A-05-27、SZTH4D3A-05-28、SZTH4D3A-05-29、SZTH4D3A-05-30、SZTH4D3A-05-31、SZTH4D3A-06-01、SZTH4D3A-06-03、SZTH4D3A-06-05、SZTH4D3A-06-07、SZTH4D3A-06-09、SZTH4D3A-06-11、SZTH4D3A-06-13、SZTH4D3A-06-15、SZTH4D3A-06-17、SZTH4D3A-06-19、SZTH4D3A-06-21、SZTH4D3A-06-23、SZTH4D3A-06-25、SZTH4D3A-06-27、SZTH4D3A-06-29、SZTH4D3A-06-31</t>
  </si>
  <si>
    <t>SZTH4D3A-03-01、SZTH4D3A-03-31</t>
  </si>
  <si>
    <t>SZTH4D3A-04-15、SZTH4D3A-04-16</t>
  </si>
  <si>
    <t>202303 太湖机房四期三层（SZTH4D3A）超电流，暂按50A计提</t>
  </si>
  <si>
    <t>182215IDC00523</t>
  </si>
  <si>
    <t>太湖机房四期四层（SZTH4D4D）4.2期</t>
  </si>
  <si>
    <t>SZTH4D4D-05-15</t>
  </si>
  <si>
    <t>SZTH4D4D-02-15、SZTH4D4D-02-16、SZTH4D4D-02-17、SZTH4D4D-02-18、SZTH4D4D-01-01、SZTH4D4D-01-02、SZTH4D4D-01-03、SZTH4D4D-01-04、SZTH4D4D-01-05、SZTH4D4D-01-06、SZTH4D4D-01-07、SZTH4D4D-01-08、SZTH4D4D-01-09、SZTH4D4D-01-10、SZTH4D4D-01-11、SZTH4D4D-01-12、SZTH4D4D-01-13、SZTH4D4D-01-14、SZTH4D4D-01-15、SZTH4D4D-01-18、SZTH4D4D-01-19、SZTH4D4D-01-20、SZTH4D4D-01-21、SZTH4D4D-01-22、SZTH4D4D-01-23、SZTH4D4D-01-24、SZTH4D4D-01-25、SZTH4D4D-01-26、SZTH4D4D-01-27、SZTH4D4D-01-28、SZTH4D4D-01-29、SZTH4D4D-01-30、SZTH4D4D-01-31、SZTH4D4D-02-01、SZTH4D4D-02-02、SZTH4D4D-02-03、SZTH4D4D-02-04、SZTH4D4D-02-05、SZTH4D4D-02-06、SZTH4D4D-02-07、SZTH4D4D-02-08、SZTH4D4D-02-09、SZTH4D4D-02-10、SZTH4D4D-02-11、SZTH4D4D-02-12、SZTH4D4D-02-13、SZTH4D4D-02-14、SZTH4D4D-02-19、SZTH4D4D-02-20、SZTH4D4D-02-21、SZTH4D4D-02-22、SZTH4D4D-02-23、SZTH4D4D-02-24、SZTH4D4D-02-25、SZTH4D4D-02-26、SZTH4D4D-02-27、SZTH4D4D-02-28、SZTH4D4D-02-29、SZTH4D4D-02-30、SZTH4D4D-02-31、SZTH4D4D-03-01、SZTH4D4D-03-02、SZTH4D4D-03-03、SZTH4D4D-03-04、SZTH4D4D-03-05、SZTH4D4D-03-06、SZTH4D4D-03-07、SZTH4D4D-03-08、SZTH4D4D-03-09、SZTH4D4D-03-10、SZTH4D4D-03-11、SZTH4D4D-03-12、SZTH4D4D-03-13、SZTH4D4D-03-14、SZTH4D4D-03-15、SZTH4D4D-03-16、SZTH4D4D-03-17、SZTH4D4D-03-18、SZTH4D4D-03-19、SZTH4D4D-03-20、SZTH4D4D-03-21、SZTH4D4D-03-22、SZTH4D4D-03-23、SZTH4D4D-03-24、SZTH4D4D-03-25、SZTH4D4D-03-26、SZTH4D4D-03-27、SZTH4D4D-03-28、SZTH4D4D-03-29、SZTH4D4D-03-30、SZTH4D4D-03-31、SZTH4D4D-04-01、SZTH4D4D-04-02、SZTH4D4D-04-03、SZTH4D4D-04-04、SZTH4D4D-04-05、SZTH4D4D-04-06、SZTH4D4D-04-07、SZTH4D4D-04-08、SZTH4D4D-04-09、SZTH4D4D-04-10、SZTH4D4D-04-11、SZTH4D4D-04-12、SZTH4D4D-04-13、SZTH4D4D-04-14、SZTH4D4D-04-15、SZTH4D4D-04-16、SZTH4D4D-04-17、SZTH4D4D-04-18、SZTH4D4D-04-19、SZTH4D4D-04-20、SZTH4D4D-04-21、SZTH4D4D-04-22、SZTH4D4D-04-23、SZTH4D4D-04-24、SZTH4D4D-04-25、SZTH4D4D-04-26、SZTH4D4D-04-27、SZTH4D4D-05-01、SZTH4D4D-05-02、SZTH4D4D-05-03、SZTH4D4D-05-04、SZTH4D4D-05-05</t>
  </si>
  <si>
    <t>SZTH4D4D-01-16、SZTH4D4D-01-17</t>
  </si>
  <si>
    <t>202303 太湖机房四期四层（SZTH4D4D）超电流，暂按150A计提</t>
  </si>
  <si>
    <t>182215IDC00524</t>
  </si>
  <si>
    <t>太湖机房五期（SZTH5D2A、3A、3B、3C、3D）</t>
  </si>
  <si>
    <t>SZTH5D2A-04-01、SZTH5D3A-01-01、SZTH5D3A-01-02、SZTH5D3B-04-16、SZTH5D3C-05-17、SZTH5D3D-04-16</t>
  </si>
  <si>
    <t>SZTH5D3A-02-06、SZTH5D3A-02-07、SZTH5D3A-02-08、SZTH5D3A-02-09、SZTH5D3A-02-10、SZTH5D3A-02-11、SZTH5D3A-03-05、SZTH5D3A-03-06、SZTH5D3A-03-07、SZTH5D3A-03-08、SZTH5D3A-03-09、SZTH5D3A-03-10、SZTH5D3A-04-06、SZTH5D3A-04-07、SZTH5D3A-04-08、SZTH5D3A-04-09、SZTH5D3A-04-10、SZTH5D3A-04-11、SZTH5D3A-05-06、SZTH5D3A-05-07、SZTH5D3A-05-08、SZTH5D3A-05-09、SZTH5D3A-05-10、SZTH5D3A-05-11、SZTH5D3A-06-05、SZTH5D3A-06-06、SZTH5D3A-06-07、SZTH5D3A-06-08、SZTH5D3A-06-09、SZTH5D3A-06-10、SZTH5D3A-07-06、SZTH5D3A-07-07、SZTH5D3A-07-08、SZTH5D3A-07-09、SZTH5D3A-07-10、SZTH5D3A-07-11、SZTH5D3A-08-06、SZTH5D3A-08-07、SZTH5D3A-08-08、SZTH5D3A-08-09、SZTH5D3A-08-10、SZTH5D3A-08-11、SZTH5D3A-09-06、SZTH5D3A-09-07、SZTH5D3A-09-08、SZTH5D3A-09-09、SZTH5D3A-09-10、SZTH5D3A-09-11、SZTH5D3B-03-01、SZTH5D3B-03-02、SZTH5D3B-05-01、SZTH5D3B-05-02、SZTH5D3B-08-01、SZTH5D3B-08-02、SZTH5D2A-02-16、SZTH5D2A-02-17、SZTH5D2A-04-16、SZTH5D2A-04-17、SZTH5D2A-06-14、SZTH5D2A-06-15、SZTH5D3B-02-03、SZTH5D3B-02-04、SZTH5D3B-02-05、SZTH5D3B-02-06、SZTH5D3B-02-07、SZTH5D3B-02-08、SZTH5D3B-02-09、SZTH5D3B-02-10、SZTH5D3B-02-11、SZTH5D3B-02-12、SZTH5D3B-02-13、SZTH5D3B-02-14、SZTH5D3B-02-15、SZTH5D3B-02-16、SZTH5D3B-03-03、SZTH5D3B-03-04、SZTH5D3B-03-05、SZTH5D3B-03-06、SZTH5D3B-03-07、SZTH5D3B-03-08、SZTH5D3B-03-09、SZTH5D3B-03-10、SZTH5D3B-03-11、SZTH5D3B-03-12、SZTH5D3B-03-13、SZTH5D3B-03-14、SZTH5D3B-04-02、SZTH5D3B-04-03、SZTH5D3B-04-04、SZTH5D3B-04-05、SZTH5D3B-04-06、SZTH5D3B-04-07、SZTH5D3B-04-08、SZTH5D3B-04-09、SZTH5D3B-04-10、SZTH5D3B-04-11、SZTH5D3B-04-12、SZTH5D3B-04-13、SZTH5D3B-04-14、SZTH5D3B-04-15、SZTH5D3B-05-03、SZTH5D3B-05-04、SZTH5D3B-05-05、SZTH5D3B-05-06、SZTH5D3B-05-07、SZTH5D3B-05-08、SZTH5D3B-05-09、SZTH5D3B-05-10、SZTH5D3B-05-11、SZTH5D3B-05-12、SZTH5D3B-05-13、SZTH5D3B-05-14、SZTH5D3B-05-15、SZTH5D3B-05-16、SZTH5D3B-06-02、SZTH5D3B-06-03、SZTH5D3B-06-04、SZTH5D3B-06-05、SZTH5D3B-06-06、SZTH5D3B-06-07、SZTH5D3B-06-08、SZTH5D3B-06-09、SZTH5D3B-06-10、SZTH5D3B-06-11、SZTH5D3B-06-12、SZTH5D3B-06-13、SZTH5D3B-06-14、SZTH5D3B-07-01、SZTH5D3B-07-02、SZTH5D3B-07-03、SZTH5D3B-07-04、SZTH5D3B-07-05、SZTH5D3B-07-06、SZTH5D3B-07-07、SZTH5D3B-07-08、SZTH5D3B-07-09、SZTH5D3B-07-10、SZTH5D3B-07-11、SZTH5D3B-07-12、SZTH5D3B-07-13、SZTH5D3B-07-14、SZTH5D3B-07-15、SZTH5D3B-07-16、SZTH5D3B-08-03、SZTH5D3B-08-04、SZTH5D3B-08-05、SZTH5D3B-08-06、SZTH5D3B-08-07、SZTH5D3B-08-08、SZTH5D3B-08-09、SZTH5D3B-08-10、SZTH5D3B-08-11、SZTH5D3B-08-12、SZTH5D3B-08-13、SZTH5D3B-08-14、SZTH5D3B-08-15、SZTH5D3B-08-16、SZTH5D3B-09-01、SZTH5D3B-09-02、SZTH5D3B-09-03、SZTH5D3B-09-04、SZTH5D3B-09-05、SZTH5D3B-09-06、SZTH5D3B-09-07、SZTH5D3B-09-08、SZTH5D3B-09-09、SZTH5D3B-09-10、SZTH5D3B-09-11、SZTH5D3B-09-12、SZTH5D3B-09-13、SZTH5D3B-09-14、SZTH5D3B-09-15、SZTH5D3B-09-16、SZTH5D3C-01-01、SZTH5D3C-01-02、SZTH5D3C-01-03、SZTH5D3C-01-04、SZTH5D3C-01-05、SZTH5D3C-01-06、SZTH5D3C-01-07、SZTH5D3C-01-08、SZTH5D3C-01-09、SZTH5D3C-01-10、SZTH5D3C-01-11、SZTH5D3C-01-12、SZTH5D3C-01-13、SZTH5D3C-01-14、SZTH5D3C-01-15、SZTH5D3C-01-16、SZTH5D3C-01-17、SZTH5D3C-02-03、SZTH5D3C-02-04、SZTH5D3C-02-05、SZTH5D3C-02-06、SZTH5D3C-02-07、SZTH5D3C-02-08、SZTH5D3C-02-09、SZTH5D3C-02-10、SZTH5D3C-02-11、SZTH5D3C-02-12、SZTH5D3C-02-13、SZTH5D3C-02-14、SZTH5D3C-02-15、SZTH5D3C-02-16、SZTH5D3C-02-17、SZTH5D3C-03-03、SZTH5D3C-03-04、SZTH5D3C-03-05、SZTH5D3C-03-06、SZTH5D3C-03-07、SZTH5D3C-03-08、SZTH5D3C-03-09、SZTH5D3C-03-10、SZTH5D3C-03-11、SZTH5D3C-03-12、SZTH5D3C-03-13、SZTH5D3C-03-14、SZTH5D3C-03-15、SZTH5D3C-04-02、SZTH5D3C-04-03、SZTH5D3C-04-04、SZTH5D3C-04-05、SZTH5D3C-04-06、SZTH5D3C-04-07、SZTH5D3C-04-08、SZTH5D3C-04-09、SZTH5D3C-04-10、SZTH5D3C-04-11、SZTH5D3C-04-12、SZTH5D3C-04-13、SZTH5D3C-04-14、SZTH5D3C-04-15、SZTH5D3C-04-16、SZTH5D3C-04-17、SZTH5D3C-05-03、SZTH5D3C-05-04、SZTH5D3C-05-05、SZTH5D3C-05-06、SZTH5D3C-05-07、SZTH5D3C-05-08、SZTH5D3C-05-09、SZTH5D3C-05-10、SZTH5D3C-05-11、SZTH5D3C-05-12、SZTH5D3C-05-13、SZTH5D3C-05-14、SZTH5D3C-05-15、SZTH5D3C-05-16、SZTH5D3C-06-02、SZTH5D3C-06-03、SZTH5D3C-06-04、SZTH5D3C-06-05、SZTH5D3C-06-06、SZTH5D3C-06-07、SZTH5D3C-06-08、SZTH5D3C-06-09、SZTH5D3C-06-10、SZTH5D3C-06-11、SZTH5D3C-06-12、SZTH5D3C-06-13、SZTH5D3C-06-14、SZTH5D3C-06-15、SZTH5D3C-07-01、SZTH5D3C-07-02、SZTH5D3C-07-03、SZTH5D3C-07-04、SZTH5D3C-07-05、SZTH5D3C-07-06、SZTH5D3C-07-07、SZTH5D3C-07-08、SZTH5D3C-07-09、SZTH5D3C-07-10、SZTH5D3C-07-11、SZTH5D3C-07-12、SZTH5D3C-07-13、SZTH5D3C-07-14、SZTH5D3C-07-15、SZTH5D3C-07-16、SZTH5D3C-07-17、SZTH5D3C-08-03、SZTH5D3C-08-04、SZTH5D3C-08-05、SZTH5D3C-08-06、SZTH5D3C-08-07、SZTH5D3C-08-09、SZTH5D3C-02-01、SZTH5D3C-02-02、SZTH5D3C-03-01、SZTH5D3C-03-02、SZTH5D3C-05-01、SZTH5D3C-05-02、SZTH5D3C-08-01、SZTH5D3C-08-02、SZTH5D3D-02-01、SZTH5D3D-02-02、SZTH5D3D-03-01、SZTH5D3D-03-02、SZTH5D3D-05-01、SZTH5D3D-05-02、SZTH5D3D-08-01、SZTH5D3D-08-02</t>
  </si>
  <si>
    <t>SZTH5D2A-01-11、SZTH5D2A-01-12、SZTH5D2A-01-13、SZTH5D2A-01-14、SZTH5D2A-01-16、SZTH5D2A-01-17、SZTH5D2A-01-01、SZTH5D2A-01-02、SZTH5D2A-01-03、SZTH5D2A-01-04、SZTH5D2A-01-05、SZTH5D2A-01-06、SZTH5D2A-01-07、SZTH5D2A-01-08、SZTH5D2A-01-09、SZTH5D2A-01-10、SZTH5D2A-03-02</t>
  </si>
  <si>
    <t>SZTH5D3C-08-10、SZTH5D3C-08-11、SZTH5D3C-08-12、SZTH5D3C-08-13、SZTH5D3C-08-14、SZTH5D3C-08-15、SZTH5D3C-08-16、SZTH5D3C-08-17、SZTH5D3C-09-01、SZTH5D3C-09-02、SZTH5D3C-09-03、SZTH5D3C-09-04、SZTH5D3C-09-05、SZTH5D3C-09-06、SZTH5D3C-09-07、SZTH5D3C-09-08、SZTH5D3C-09-09、SZTH5D3C-09-10、SZTH5D3C-09-11、SZTH5D3C-09-12、SZTH5D3C-09-13、SZTH5D3C-09-14、SZTH5D3C-09-15、SZTH5D3C-09-16、SZTH5D3C-09-17、SZTH5D3D-01-01、SZTH5D3D-01-02、SZTH5D3D-01-03、SZTH5D3D-01-04、SZTH5D3D-01-05、SZTH5D3D-01-06、SZTH5D3D-01-07、SZTH5D3D-01-08、SZTH5D3D-01-09、SZTH5D3D-01-10、SZTH5D3D-01-11、SZTH5D3D-01-12、SZTH5D3D-01-13、SZTH5D3D-01-14、SZTH5D3D-01-15、SZTH5D3D-01-16、SZTH5D3D-02-03、SZTH5D3D-02-04、SZTH5D3D-02-05、SZTH5D3D-02-06、SZTH5D3D-02-07、SZTH5D3D-02-08、SZTH5D3D-02-09、SZTH5D3D-02-10、SZTH5D3D-02-11、SZTH5D3D-02-12、SZTH5D3D-02-13、SZTH5D3D-02-14、SZTH5D3D-02-15、SZTH5D3D-02-16、SZTH5D3D-03-03、SZTH5D3D-03-04、SZTH5D3D-03-05、SZTH5D3D-03-06、SZTH5D3D-03-07、SZTH5D3D-03-08、SZTH5D3D-03-09、SZTH5D3D-03-10、SZTH5D3D-03-11、SZTH5D3D-03-12、SZTH5D3D-03-13、SZTH5D3D-03-14、SZTH5D3D-04-02、SZTH5D3D-04-03、SZTH5D3D-04-04、SZTH5D3D-04-05、SZTH5D3D-04-06、SZTH5D3D-04-07、SZTH5D3D-04-08、SZTH5D3D-04-09、SZTH5D3D-04-10、SZTH5D3D-04-11、SZTH5D3D-04-12、SZTH5D3D-04-13、SZTH5D3D-04-14、SZTH5D3D-04-15、SZTH5D3D-05-03、SZTH5D3D-05-04、SZTH5D3D-05-05、SZTH5D3D-05-06、SZTH5D3D-05-07、SZTH5D3D-05-08、SZTH5D3D-05-09、SZTH5D3D-05-10、SZTH5D3D-05-11、SZTH5D3D-05-12、SZTH5D3D-05-13、SZTH5D3D-05-14、SZTH5D3D-05-15、SZTH5D3C-08-08</t>
  </si>
  <si>
    <t>SZTH5D2A-03-03、SZTH5D2A-03-04、SZTH5D2A-03-05、SZTH5D2A-03-06、SZTH5D2A-03-07、SZTH5D2A-03-08、SZTH5D2A-03-09、SZTH5D2A-03-10、SZTH5D2A-03-11、SZTH5D2A-03-12、SZTH5D2A-03-13、SZTH5D2A-03-14、SZTH5D2A-04-02、SZTH5D2A-04-03、SZTH5D2A-04-04、SZTH5D2A-04-05、SZTH5D2A-04-06、SZTH5D2A-04-07、SZTH5D2A-04-08、SZTH5D2A-04-09、SZTH5D2A-04-10、SZTH5D2A-04-11、SZTH5D2A-04-12、SZTH5D2A-04-13、SZTH5D2A-04-14、SZTH5D2A-04-15</t>
  </si>
  <si>
    <t>SZTH5D2A-02-14、SZTH5D2A-03-01、SZTH5D2A-05-09、SZTH5D2A-05-10、SZTH5D2A-05-11、SZTH5D2A-05-12、SZTH5D2A-05-13、SZTH5D2A-05-14、SZTH5D2A-05-15、SZTH5D2A-05-16</t>
  </si>
  <si>
    <t>SZTH5D2A-05-08</t>
  </si>
  <si>
    <t>SZTH5D3A-04-02、SZTH5D3A-04-03、SZTH5D3A-04-04、SZTH5D3A-04-05、SZTH5D3A-05-02、SZTH5D3A-05-03、SZTH5D3A-05-04、SZTH5D3A-05-05</t>
  </si>
  <si>
    <t>SZTH5D2A-05-02</t>
  </si>
  <si>
    <t>SZTH5D2A-05-07、SZTH5D3D-05-16、SZTH5D3D-06-03、SZTH5D3D-08-03、SZTH5D3D-08-04、SZTH5D3D-08-05、SZTH5D3D-08-06、SZTH5D3D-08-07、SZTH5D3D-08-08、SZTH5D3D-08-09、SZTH5D3D-08-10、SZTH5D3D-08-11、SZTH5D3D-08-12、SZTH5D3D-08-14</t>
  </si>
  <si>
    <t>SZTH5D2A-01-15、SZTH5D2A-02-01、SZTH5D2A-02-02、SZTH5D2A-02-03、SZTH5D2A-02-04、SZTH5D2A-02-05、SZTH5D2A-02-06、SZTH5D2A-02-07、SZTH5D2A-02-08、SZTH5D2A-02-09、SZTH5D2A-02-10、SZTH5D2A-02-11、SZTH5D2A-02-12、SZTH5D2A-02-13、SZTH5D2A-02-15、SZTH5D2A-05-01、SZTH5D2A-05-03、SZTH5D2A-05-04、SZTH5D2A-05-05、SZTH5D2A-05-06、SZTH5D2A-06-01、SZTH5D2A-06-02、SZTH5D2A-06-03、SZTH5D2A-06-04、SZTH5D2A-06-05、SZTH5D2A-06-06、SZTH5D2A-06-07、SZTH5D2A-06-08、SZTH5D2A-06-09、SZTH5D2A-06-10、SZTH5D2A-06-11、SZTH5D2A-06-12、SZTH5D2A-06-13、SZTH5D2A-07-01、SZTH5D2A-07-02、SZTH5D2A-07-03、SZTH5D2A-07-04、SZTH5D2A-07-05、SZTH5D2A-07-06、SZTH5D2A-07-07、SZTH5D2A-07-08、SZTH5D2A-07-09、SZTH5D2A-07-10、SZTH5D2A-07-11、SZTH5D2A-07-12、SZTH5D2A-07-13、SZTH5D2A-07-14、SZTH5D2A-07-15、SZTH5D2A-07-16、SZTH5D2A-07-17、SZTH5D3D-06-02、SZTH5D3D-06-04、SZTH5D3D-06-05、SZTH5D3D-06-06、SZTH5D3D-06-07、SZTH5D3D-06-08、SZTH5D3D-06-09、SZTH5D3D-06-10、SZTH5D3D-06-11、SZTH5D3D-06-12、SZTH5D3D-06-13、SZTH5D3D-06-14、SZTH5D3D-07-01、SZTH5D3D-07-02、SZTH5D3D-07-03、SZTH5D3D-07-04、SZTH5D3D-07-05、SZTH5D3D-07-06、SZTH5D3D-07-07、SZTH5D3D-07-08、SZTH5D3D-07-09、SZTH5D3D-07-10、SZTH5D3D-07-11、SZTH5D3D-07-12、SZTH5D3D-07-13、SZTH5D3D-07-14、SZTH5D3D-07-15、SZTH5D3D-07-16</t>
  </si>
  <si>
    <t>SZTH5D3D-08-15、SZTH5D3D-08-16、SZTH5D3D-09-01、SZTH5D3D-09-02、SZTH5D3D-09-03</t>
  </si>
  <si>
    <t>SZTH5D3D-08-13</t>
  </si>
  <si>
    <t>SZTH5D2A-03-15、SZTH5D2A-05-17、SZTH5D3A-03-01、SZTH5D3A-03-11、SZTH5D3A-05-01、SZTH5D3A-05-12、SZTH5D3A-07-01、SZTH5D3A-07-12、SZTH5D3B-04-01、SZTH5D3B-06-01、SZTH5D3C-04-01、SZTH5D3C-06-01、SZTH5D3D-04-01、SZTH5D3D-06-01</t>
  </si>
  <si>
    <t>SZTH5D3D-09-04、SZTH5D3D-09-05、SZTH5D3D-09-06、SZTH5D3D-09-07、SZTH5D3D-09-08、SZTH5D3D-09-09、SZTH5D3D-09-10、SZTH5D3D-09-11、SZTH5D3D-09-12、SZTH5D3D-09-13、SZTH5D3D-09-14、SZTH5D3D-09-15、SZTH5D3D-09-16</t>
  </si>
  <si>
    <t>202303 太湖机房五期（SZTH5D）超电流，暂按800A计提</t>
  </si>
  <si>
    <t>182215IDC00689</t>
  </si>
  <si>
    <t>吉山机房四期(NJJS 5D 503 504)</t>
  </si>
  <si>
    <t>NJJS5D504-D-15、NJJS5D503-A-07、NJJS5D503-A-08、NJJS5D503-A-09、NJJS5D503-A-10、NJJS5D503-A-11、NJJS5D503-B-07、NJJS5D503-B-08、NJJS5D503-B-09、NJJS5D503-C-09、NJJS5D503-D-07、NJJS5D503-D-08、NJJS5D503-D-09、NJJS5D503-E-01、NJJS5D503-E-02、NJJS5D503-E-03、NJJS5D503-E-06、NJJS5D503-E-09</t>
  </si>
  <si>
    <t>NJJS5D504-A-01、NJJS5D504-A-04、NJJS5D504-A-07、NJJS5D504-A-10、NJJS5D504-A-13、NJJS5D504-B-03、NJJS5D504-B-06、NJJS5D504-B-09、NJJS5D504-B-12、NJJS5D504-C-02、NJJS5D504-C-05、NJJS5D504-C-08、NJJS5D504-C-11、NJJS5D504-C-14、NJJS5D504-D-03、NJJS5D504-D-06、NJJS5D504-D-09、NJJS5D504-D-12、NJJS5D504-E-03、NJJS5D504-E-06、NJJS5D504-E-09、NJJS5D504-E-12、NJJS5D504-E-15、NJJS5D504-E-18、NJJS5D504-F-01、NJJS5D504-F-02、NJJS5D504-F-04、NJJS5D504-F-07、NJJS5D504-F-10、NJJS5D504-F-13、NJJS5D504-F-16、NJJS5D504-G-03、NJJS5D504-G-06、NJJS5D504-G-09、NJJS5D504-G-12、NJJS5D504-G-15、NJJS5D504-G-18、NJJS5D504-H-01、NJJS5D504-H-04、NJJS5D504-H-07、NJJS5D504-H-10、NJJS5D504-H-13</t>
  </si>
  <si>
    <t>54.5A</t>
  </si>
  <si>
    <t>NJJS5D503-C-01、NJJS5D503-C-02、NJJS5D503-C-03、NJJS5D503-C-04、NJJS5D503-C-05、NJJS5D503-C-06、NJJS5D503-D-01、NJJS5D503-D-02、NJJS5D503-D-03、NJJS5D503-D-04、NJJS5D503-D-05、NJJS5D503-D-06</t>
  </si>
  <si>
    <t>NJJS5D503-A-02、NJJS5D503-A-04、NJJS5D503-A-06、NJJS5D503-B-01、NJJS5D503-B-03、NJJS5D503-B-05</t>
  </si>
  <si>
    <t>NJJS5D503-C-07、NJJS5D503-C-08、NJJS5D503-C-10、NJJS5D503-E-04、NJJS5D503-E-05、NJJS5D503-E-07</t>
  </si>
  <si>
    <t>NJJS5D504-H-02、NJJS5D504-H-03</t>
  </si>
  <si>
    <t>NJJS5D504-A-02、NJJS5D504-A-03、NJJS5D504-A-05、NJJS5D504-A-06、NJJS5D504-A-08、NJJS5D504-A-09</t>
  </si>
  <si>
    <t>NJJS5D504-A-11、NJJS5D504-A-12、NJJS5D504-A-14、NJJS5D504-B-01</t>
  </si>
  <si>
    <t>NJJS5D504-B-02、NJJS5D504-B-04、NJJS5D504-B-05</t>
  </si>
  <si>
    <t>NJJS5D504-C-01、NJJS5D504-C-03、NJJS5D504-C-04、NJJS5D504-C-06、NJJS5D504-C-07、NJJS5D504-C-09、NJJS5D504-C-10、NJJS5D504-C-12</t>
  </si>
  <si>
    <t>NJJS5D504-D-02、NJJS5D504-D-04、NJJS5D504-D-05、NJJS5D504-D-07、NJJS5D504-D-08、NJJS5D504-D-10、NJJS5D504-D-11、NJJS5D504-D-13、NJJS5D504-D-14</t>
  </si>
  <si>
    <t>NJJS5D504-B-10、NJJS5D504-B-11、NJJS5D504-B-13、NJJS5D504-B-14</t>
  </si>
  <si>
    <t>NJJS5D504-B-07、NJJS5D504-B-08、NJJS5D504-C-13、NJJS5D504-E-02、NJJS5D504-E-04、NJJS5D504-E-05、NJJS5D504-E-07、NJJS5D504-E-08、NJJS5D504-E-10、NJJS5D504-E-11、NJJS5D504-E-13、NJJS5D504-E-14、NJJS5D504-E-16、NJJS5D504-E-17、NJJS5D504-F-03</t>
  </si>
  <si>
    <t>NJJS5D504-F-05、NJJS5D504-F-06、NJJS5D504-F-08、NJJS5D504-F-09、NJJS5D504-F-11、NJJS5D504-F-12、NJJS5D504-F-14、NJJS5D504-F-15、NJJS5D504-F-17、NJJS5D504-F-18、NJJS5D504-G-01、NJJS5D504-G-02、NJJS5D504-G-04、NJJS5D504-G-05、NJJS5D504-G-07、NJJS5D504-G-08、NJJS5D504-G-10、NJJS5D504-G-11</t>
  </si>
  <si>
    <t>NJJS5D504-G-13、NJJS5D504-G-14、NJJS5D504-G-16、NJJS5D504-G-17、NJJS5D504-H-05、NJJS5D504-H-06、NJJS5D504-H-08、NJJS5D504-H-09、NJJS5D504-H-11、NJJS5D504-H-12、NJJS5D504-H-14</t>
  </si>
  <si>
    <t>NJJS5D503-A-11、NJJS5D503-B-07、NJJS5D503-C-07、NJJS5D503-C-08、NJJS5D503-C-09、NJJS5D503-D-08、NJJS5D503-E-04、NJJS5D503-E-05、NJJS5D503-E-06</t>
  </si>
  <si>
    <t>NJJS5D503-D-01、NJJS5D503-D-03、NJJS5D503-D-06</t>
  </si>
  <si>
    <t>NJJS5D503-C-11、NJJS5D503-E-08</t>
  </si>
  <si>
    <t>吉山机房四期(NJJS 5D 501 502)</t>
  </si>
  <si>
    <t>NJJS5D502-E-18</t>
  </si>
  <si>
    <t>NJJS5D502-B-01、NJJS5D502-B-02、NJJS5D501-A-01、NJJS5D501-A-02</t>
  </si>
  <si>
    <t>NJJS5D502-A-01、NJJS5D502-A-02、NJJS5D502-A-03、NJJS5D502-A-04、NJJS5D502-A-05、NJJS5D502-A-06、NJJS5D502-A-07、NJJS5D502-A-08、NJJS5D502-A-09、NJJS5D502-A-10、NJJS5D502-A-11、NJJS5D502-A-12、NJJS5D502-A-13、NJJS5D502-A-14、NJJS5D502-A-15、NJJS5D502-A-16、NJJS5D502-A-17</t>
  </si>
  <si>
    <t>吉山机房四期(NJJS 5D 503 504 501 502)</t>
  </si>
  <si>
    <t>202303 吉山机房四期(NJJS 5D 503 504) 超电流，暂按150A计提</t>
  </si>
  <si>
    <t>L20220910002</t>
  </si>
  <si>
    <t>南京
NJJS 200G</t>
  </si>
  <si>
    <t>南京吉山电信</t>
  </si>
  <si>
    <t>免费4640，使用8192，收费3552，从2020.9.25开始计费</t>
  </si>
  <si>
    <t>2个C</t>
  </si>
  <si>
    <t>南京电信NJ02  IPv4代播静态全球代播2个C</t>
  </si>
  <si>
    <t>2020/11/5开通2个CIP 代播，计费26天：106.12.250.0/23</t>
  </si>
  <si>
    <t>4个C</t>
  </si>
  <si>
    <t>2020/12/18开通4个C IP代播，114.110.96.0/22</t>
  </si>
  <si>
    <t>12个C</t>
  </si>
  <si>
    <t>122.248.48.0/22
122.248.52.0/22
122.248.56.0/22</t>
  </si>
  <si>
    <t>L20220910003</t>
  </si>
  <si>
    <t>太湖机房
苏州万国电信 40G
太湖电信 80G</t>
  </si>
  <si>
    <t>太湖电信</t>
  </si>
  <si>
    <t>免费960，使用6144，收费5184，从2020.9.25开始计费</t>
  </si>
  <si>
    <t>苏州太湖三线-苏州电信</t>
  </si>
  <si>
    <t>L20220910005</t>
  </si>
  <si>
    <t>苏州太湖三线-电信</t>
  </si>
  <si>
    <t>苏州三级电信</t>
  </si>
  <si>
    <t>2021/10/1开通苏州太湖三线，CDN免费768个
IPV4使用：121.228.171.0/24、121.228.173.0/24，预留：121.228.179.0/24（预留段运营商也要收费）
IPV6使用：240E:0979:0E03::/48</t>
  </si>
  <si>
    <t>退租前期预留的256个CDN IP：121.228.179.0/24</t>
  </si>
  <si>
    <t>SZTH-CT-ST-2</t>
  </si>
  <si>
    <t>2021/10/1开通苏州太湖三线，IDC免费1536个，收费768个，其中1024为IDC使用，512为CDN在苏州BGP二级使用。收费IP段为：
121.228.176.0/24
121.228.177.0/24
121.228.180.0/24
121.228.181.0/24</t>
  </si>
  <si>
    <t>苏州太湖三线-电信（苏州BGP二级）</t>
  </si>
  <si>
    <t>SZTH-CT-ST-2（苏州BGP二级）</t>
  </si>
  <si>
    <t>2021/10/1开通苏州太湖三线，IDC免费1536个，收费768个，其中1024为IDC使用，512为CDN在苏州BGP二级使用。
收费IP段为：121.228.178.0/24
121.228.174.0/24</t>
  </si>
  <si>
    <t>2021/10/1开通苏州太湖三线，IDC免费1536个，收费768个，免费IP段为：121.228.182.0/24
121.228.183.0/24
121.228.184.0/24</t>
  </si>
  <si>
    <t>2022/7/6 SZTH-电信CDN 新增512个IP：117.81.94.0/24、
114.219.141.0/24</t>
  </si>
  <si>
    <t>边缘计算，180.101.85.0/24</t>
  </si>
  <si>
    <t>边缘计算退租IP：180.101.85.0/24</t>
  </si>
  <si>
    <t>CDNSUZIX</t>
  </si>
  <si>
    <t>2021/10/1开通苏州太湖三线，实际使用19个机柜。SUZIX303-B07-23、SUZIX303-B07-22、SUZIX303-B07-21、SUZIX303-B07-20、SUZIX303-B07-19、SUZIX303-B06-19、SUZIX303-B06-20、SUZIX303-B06-21、SUZIX303-B06-22、SUZIX303-B06-23、SUZIX303-B06-24、SUZIX303-B06-25、SUZIX303-B06-26、SUZIX303-B06-27、SUZIX303-B06-28、SUZIX303-B06-29、SUZIX303-B06-30、SUZIX303-B06-31、SUZIX303-B06-32</t>
  </si>
  <si>
    <t>苏州三级电信（苏州BGP二级）</t>
  </si>
  <si>
    <t>SUZBGPCACHE303-B07-24、SUZBGPCACHE303-B07-25、SUZBGPCACHE303-B07-26、SUZBGPCACHE303-B07-27、SUZBGPCACHE303-B07-28、SUZBGPCACHE303-B07-29、SUZBGPCACHE303-B07-30、SUZBGPCACHE303-B07-31</t>
  </si>
  <si>
    <t>182215IDC00688</t>
  </si>
  <si>
    <t>太湖机房六期6.1（SZTH5D4A、4B）</t>
  </si>
  <si>
    <t>SZTH5D4A-08-01、SZTH5D4B-08-20</t>
  </si>
  <si>
    <t>SZTH5D4A-06-08、SZTH5D4A-06-09、SZTH5D4A-06-10、SZTH5D4A-06-11、SZTH5D4A-06-12、SZTH5D4A-06-13、SZTH5D4A-06-14、SZTH5D4A-06-15、SZTH5D4A-06-16、SZTH5D4A-07-01、SZTH5D4A-07-02、SZTH5D4A-07-03、SZTH5D4A-07-04、SZTH5D4A-07-05、SZTH5D4A-07-06、SZTH5D4A-07-07、SZTH5D4A-07-08、SZTH5D4A-07-09、SZTH5D4A-07-10、SZTH5D4A-07-11、SZTH5D4A-07-12、SZTH5D4A-07-13、SZTH5D4A-07-14、SZTH5D4A-07-15、SZTH5D4A-07-16、SZTH5D4A-07-17、SZTH5D4A-07-18、SZTH5D4A-07-19、SZTH5D4A-08-05、SZTH5D4A-08-06、SZTH5D4A-08-07、SZTH5D4A-08-08、SZTH5D4A-08-09、SZTH5D4A-08-10、SZTH5D4A-08-11、SZTH5D4A-08-12、SZTH5D4A-08-13、SZTH5D4A-08-14、SZTH5D4A-08-15、SZTH5D4A-08-16、SZTH5D4A-08-17、SZTH5D4A-08-18、SZTH5D4A-08-19、SZTH5D4A-08-20、SZTH5D4B-07-13、SZTH5D4B-07-14、SZTH5D4B-07-15、SZTH5D4B-07-16、SZTH5D4B-07-17、SZTH5D4B-07-18、SZTH5D4B-07-19、SZTH5D4B-07-20、SZTH5D4B-08-03、SZTH5D4B-08-04、SZTH5D4B-08-05、SZTH5D4B-08-06、SZTH5D4B-08-07、SZTH5D4B-08-08、SZTH5D4B-08-09、SZTH5D4B-08-10、SZTH5D4B-08-11、SZTH5D4B-08-12、SZTH5D4B-08-13、SZTH5D4B-08-14、SZTH5D4B-08-15、SZTH5D4B-08-16、SZTH5D4B-08-17、SZTH5D4B-08-18、SZTH5D4B-08-19、SZTH5D4A-01-01、SZTH5D4A-01-02、SZTH5D4A-01-03、SZTH5D4A-01-04、SZTH5D4A-01-05、SZTH5D4A-01-06、SZTH5D4A-01-07、SZTH5D4A-01-08、SZTH5D4A-01-09、SZTH5D4A-01-10、SZTH5D4A-01-11、SZTH5D4A-01-12、SZTH5D4A-01-13、SZTH5D4A-01-14、SZTH5D4A-01-15、SZTH5D4A-01-16、SZTH5D4A-01-17、SZTH5D4A-01-18、SZTH5D4A-01-19、SZTH5D4A-01-20、SZTH5D4A-02-01、SZTH5D4A-02-02、SZTH5D4A-02-03、SZTH5D4A-02-04、SZTH5D4A-02-05、SZTH5D4A-02-06、SZTH5D4A-02-07、SZTH5D4A-02-08、SZTH5D4A-02-09、SZTH5D4A-02-10、SZTH5D4A-02-11、SZTH5D4A-02-12、SZTH5D4A-02-13、SZTH5D4A-02-14、SZTH5D4A-02-15、SZTH5D4A-02-16、SZTH5D4A-02-17、SZTH5D4A-02-18、SZTH5D4A-03-01、SZTH5D4A-03-02、SZTH5D4A-03-03、SZTH5D4A-03-04、SZTH5D4A-03-05、SZTH5D4A-03-06、SZTH5D4A-03-07、SZTH5D4A-03-08、SZTH5D4A-03-09、SZTH5D4A-03-10、SZTH5D4A-03-11、SZTH5D4A-03-12、SZTH5D4A-03-13、SZTH5D4A-03-14、SZTH5D4A-03-15、SZTH5D4A-03-16、SZTH5D4A-03-17、SZTH5D4A-04-01、SZTH5D4A-04-02、SZTH5D4A-04-03、SZTH5D4A-04-04、SZTH5D4A-04-05、SZTH5D4A-04-06、SZTH5D4A-04-07、SZTH5D4A-04-08、SZTH5D4A-04-09、SZTH5D4A-04-10、SZTH5D4A-04-11、SZTH5D4A-04-12、SZTH5D4A-04-13、SZTH5D4A-04-14、SZTH5D4A-04-15、SZTH5D4A-04-16、SZTH5D4A-04-17、SZTH5D4A-04-18、SZTH5D4A-04-19、SZTH5D4A-04-20、SZTH5D4A-05-01、SZTH5D4A-05-02、SZTH5D4A-05-03、SZTH5D4A-05-04、SZTH5D4A-05-05、SZTH5D4A-05-06、SZTH5D4A-05-07、SZTH5D4A-05-08、SZTH5D4A-05-09、SZTH5D4A-05-10、SZTH5D4A-05-11、SZTH5D4A-05-12、SZTH5D4A-05-13、SZTH5D4A-05-14、SZTH5D4A-05-15、SZTH5D4A-05-16、SZTH5D4A-05-17、SZTH5D4A-05-18、SZTH5D4A-05-19、SZTH5D4A-05-20、SZTH5D4A-06-01、SZTH5D4A-06-02、SZTH5D4A-06-03、SZTH5D4A-06-04、SZTH5D4A-06-05、SZTH5D4A-06-06、SZTH5D4A-06-07、SZTH5D4A-06-17、SZTH5D4A-06-18、SZTH5D4B-01-01、SZTH5D4B-01-02、SZTH5D4B-01-03、SZTH5D4B-01-04、SZTH5D4B-01-05、SZTH5D4B-01-06、SZTH5D4B-01-07、SZTH5D4B-01-08、SZTH5D4B-01-09、SZTH5D4B-01-10、SZTH5D4B-01-11、SZTH5D4B-01-12、SZTH5D4B-01-13、SZTH5D4B-01-14、SZTH5D4B-01-15、SZTH5D4B-01-16、SZTH5D4B-01-17、SZTH5D4B-01-18、SZTH5D4B-01-19、SZTH5D4B-01-20、SZTH5D4B-02-01、SZTH5D4B-02-02、SZTH5D4B-02-03、SZTH5D4B-02-04、SZTH5D4B-02-05、SZTH5D4B-02-06、SZTH5D4B-02-07、SZTH5D4B-02-08、SZTH5D4B-02-09、SZTH5D4B-02-10、SZTH5D4B-02-11、SZTH5D4B-02-12、SZTH5D4B-02-13、SZTH5D4B-02-14、SZTH5D4B-02-15、SZTH5D4B-02-16、SZTH5D4B-02-17、SZTH5D4B-02-18、SZTH5D4B-03-02、SZTH5D4B-03-03、SZTH5D4B-03-04、SZTH5D4B-03-05、SZTH5D4B-03-06、SZTH5D4B-03-07、SZTH5D4B-03-08、SZTH5D4B-03-09、SZTH5D4B-03-10、SZTH5D4B-03-11、SZTH5D4B-03-12、SZTH5D4B-03-13、SZTH5D4B-03-14、SZTH5D4B-03-15、SZTH5D4B-03-16、SZTH5D4B-03-17、SZTH5D4B-03-18、SZTH5D4B-04-01、SZTH5D4B-04-02、SZTH5D4B-04-03、SZTH5D4B-04-04、SZTH5D4B-04-05、SZTH5D4B-04-06、SZTH5D4B-04-07、SZTH5D4B-04-08、SZTH5D4B-04-09、SZTH5D4B-04-10、SZTH5D4B-04-11、SZTH5D4B-04-12、SZTH5D4B-04-13、SZTH5D4B-04-14、SZTH5D4B-04-15、SZTH5D4B-04-16、SZTH5D4B-04-17、SZTH5D4B-04-18、SZTH5D4B-04-19、SZTH5D4B-04-20、SZTH5D4B-05-01、SZTH5D4B-05-02、SZTH5D4B-05-03、SZTH5D4B-05-04、SZTH5D4B-05-05、SZTH5D4B-05-06、SZTH5D4B-05-07、SZTH5D4B-05-08、SZTH5D4B-05-09、SZTH5D4B-05-10、SZTH5D4B-05-11、SZTH5D4B-05-12、SZTH5D4B-05-13、SZTH5D4B-05-14、SZTH5D4B-05-15、SZTH5D4B-05-16、SZTH5D4B-05-17、SZTH5D4B-05-18、SZTH5D4B-05-19、SZTH5D4B-06-01、SZTH5D4B-06-02、SZTH5D4B-08-01、SZTH5D4B-08-02、SZTH5D4B-05-20、SZTH5D4B-06-03、SZTH5D4B-06-04、SZTH5D4B-06-05、SZTH5D4B-06-06、SZTH5D4B-06-07、SZTH5D4B-06-08、SZTH5D4B-06-09、SZTH5D4B-06-10、SZTH5D4B-06-11、SZTH5D4B-06-12、SZTH5D4B-06-13、SZTH5D4B-06-14、SZTH5D4B-06-15、SZTH5D4B-06-16、SZTH5D4B-06-17、SZTH5D4B-06-18、SZTH5D4B-07-02、SZTH5D4B-07-03、SZTH5D4B-07-04、SZTH5D4B-07-05、SZTH5D4B-07-06、SZTH5D4B-07-07、SZTH5D4B-07-08、SZTH5D4B-07-09、SZTH5D4B-07-10、SZTH5D4B-07-11、SZTH5D4B-07-12</t>
  </si>
  <si>
    <t>中国电信股份有限公司南京分公司</t>
  </si>
  <si>
    <t>181515IDC0066</t>
  </si>
  <si>
    <t>南京03-南京吉山</t>
  </si>
  <si>
    <t>025G00129769A拆机 ，025G00129772A单价6800，025G00129775A单价6400
线路一： 编号025G00129772【NJ02南京凤凰机房 】到【南京市下关区清江花苑明月园1栋1单元102室传输机房】的2芯光纤通道，长度17公里
线路二：编号025G00129775 从[【NJ03南京河西机房】到【南京市下关区清江花苑明月园1栋1单元102室传输机房】的2芯光纤通道，长度16公里
（原合同中南京泰山新村至南京下关清江花苑明月园的光纤已经退租）</t>
  </si>
  <si>
    <t>181715IDC00008</t>
  </si>
  <si>
    <t>吉山机房NJJS一期</t>
  </si>
  <si>
    <t xml:space="preserve">吉山机房，2017年12月22日验收，12月25日开始计费，NJJS401-E-03
NJJS401-E-04
NJJS401-E-05
NJJS401-E-06
NJJS401-E-07
NJJS401-E-08
NJJS401-E-09
NJJS401-E-10
NJJS401-E-11
NJJS401-E-12
NJJS401-E-13
NJJS401-E-14
NJJS401-E-15
NJJS401-E-16
NJJS401-E-17
NJJS401-E-18
NJJS401-F-01
NJJS401-F-02
NJJS401-F-03
NJJS401-F-04
NJJS401-F-05
NJJS401-F-06
NJJS401-F-07
NJJS401-F-08
NJJS401-F-09
NJJS401-F-10
NJJS401-F-11
NJJS401-F-12
NJJS401-F-13
NJJS401-F-14
NJJS401-F-15
NJJS401-F-16
NJJS401-F-17
NJJS401-F-18
NJJS401-G-03
NJJS401-G-04
NJJS401-G-05
NJJS401-G-06
NJJS401-G-07
NJJS401-G-08
NJJS401-G-09
NJJS401-G-10
NJJS401-G-11
NJJS401-G-12
NJJS401-G-13
NJJS401-H-01
NJJS401-H-02
NJJS401-H-03
NJJS401-H-04
NJJS401-H-05
NJJS401-H-06
NJJS401-H-07
NJJS401-H-08
NJJS401-H-09
NJJS401-H-10
NJJS401-H-11
NJJS401-H-12
NJJS401-H-13
NJJS401-I-01
NJJS401-I-02
NJJS401-I-03
NJJS401-I-04
NJJS401-I-05
NJJS401-I-06
NJJS401-I-07
NJJS401-I-08
NJJS401-I-09
NJJS401-I-10
NJJS401-I-11
NJJS401-I-12
NJJS401-I-13
NJJS401-I-14
NJJS401-J-01
NJJS401-J-02
NJJS401-J-03
NJJS401-J-04
NJJS401-J-05
NJJS401-J-06
NJJS401-J-07
NJJS401-J-08
NJJS401-J-09
NJJS401-J-10
NJJS401-J-11
NJJS401-J-12
NJJS401-J-13
NJJS401-J-14
NJJS401-H-14
NJJS401-H-15
</t>
  </si>
  <si>
    <t>吉山机房，2018年1月7日上架，NJJS302-D-15
NJJS302-F-01
NJJS302-F-02</t>
  </si>
  <si>
    <t>吉山机房，2018年1月17日上架，NJJS302-G-06
NJJS302-G-07
NJJS302-G-08
NJJS302-G-09
NJJS302-G-10</t>
  </si>
  <si>
    <t>2018年8月15日关闭8个机架
NJJS402-A-07，NJJS402-A-10，NJJS402-A-12，NJJS402-B-01，NJJS402-B-04，NJJS402-B-07，NJJS402-B-10，NJJS402-B-13</t>
  </si>
  <si>
    <t>NJJS402-A-11，13，14</t>
  </si>
  <si>
    <t>NJJS402-A-12</t>
  </si>
  <si>
    <t>NJJS401-A-14
NJJS401-A-15</t>
  </si>
  <si>
    <t>NJJS401-B-07
NJJS401-B-08</t>
  </si>
  <si>
    <t>NJJS401-B-09，9月新增</t>
  </si>
  <si>
    <t>NJJS402-D-07~13,NJJS401-B-13</t>
  </si>
  <si>
    <t>NJJS401-B-10~12</t>
  </si>
  <si>
    <t>NJJS401-B-14~15,NJJS402-D-14</t>
  </si>
  <si>
    <t>NJJS401-A-05~12，NJJS402-C-04</t>
  </si>
  <si>
    <t>NNJS401-A-04</t>
  </si>
  <si>
    <t>历史开通</t>
  </si>
  <si>
    <t>201909月末与运营商核对吉山机架情况，之前少计提4个6000的机架，从9月开始补计提</t>
  </si>
  <si>
    <t>NJJS402-A-06、NJJS402-B-01、NJJS402-B-02、NJJS402-B-03、NJJS402-B-04、NJJS402-B-05、NJJS402-B-06、NJJS402-B-07、NJJS402-B-08、NJJS402-B-09、NJJS402-B-10、NJJS402-B-11、NJJS402-B-12、NJJS402-B-13、NJJS402-B-14</t>
  </si>
  <si>
    <t>NJJS402-D-15</t>
  </si>
  <si>
    <t>2022/10/27 关闭4个机柜，运营商账单中按单价6000元扣减费用，但此部分机柜在IDC侧未开通，未计费，故增加一行0金额的预提行。每月拆分出4*6000=24000不支付不冲销。NJJS402-A-07、NJJS402-A-08、NJJS402-A-09、NJJS402-A-10</t>
  </si>
  <si>
    <t>吉山机房NJJS</t>
  </si>
  <si>
    <t>1A</t>
  </si>
  <si>
    <t>202303  NJJS 3 4层超电流，暂按3000A数据计提</t>
  </si>
  <si>
    <t>1817202IDC00191</t>
  </si>
  <si>
    <t>南京凤凰M2NJ-南京市建宁路30号金桥办公管理办公楼5楼</t>
  </si>
  <si>
    <t>线路编号：025G00136292A。南京M2核心数据中心凤凰机房到百度传输节点的备用光纤线路，从[南京凤凰机房]到[南京市建宁路30号金桥办公管理办公楼5楼]的[ 两 ]芯光纤通道，长度为：[ 4 ]公里</t>
  </si>
  <si>
    <t>181815IDC00198</t>
  </si>
  <si>
    <t>吉山机房NJJS二期</t>
  </si>
  <si>
    <t>202112  NJJS 3 4层超电流，暂按3500A数据计提</t>
  </si>
  <si>
    <t xml:space="preserve">NJJS603-D-10
20190524关闭
</t>
  </si>
  <si>
    <t>NJJS603-A-07</t>
  </si>
  <si>
    <t>NJJS601-A-01、NJJS601-A-02、NJJS601-A-03</t>
  </si>
  <si>
    <t>NJJS601-I-02~13，NJJS601-J-02~13，NJJS602-B-03~08</t>
  </si>
  <si>
    <t>NJJS602-B-09~14，NJJS602-C-02~10,NJJS602-A-03~16,NJJS602-C-01</t>
  </si>
  <si>
    <t>NJJS602-C-11~13，NJJS602-D-01~14，NJJS602-E-01~14</t>
  </si>
  <si>
    <t xml:space="preserve">NJJS601-A-04 NJJS601-A-05 NJJS601-A-06 NJJS601-A-07 NJJS601-A-08 NJJS601-A-09 NJJS601-A-10 NJJS601-A-11
</t>
  </si>
  <si>
    <t>NJJS601-E-01,03~18,NJJS601-F-01~19,NJJS601-G-03~13,NJJS601-H-01~14,NJJS601-A-17,NJJS601-B-01,NJJS601-B-02~19,NJJS601-C-03~06,NJJS601-C-07~18,NJJS701-A-04,NJJS601-D-13~16,NJJS601-E-02,NJJS601-D-01~04,NJJS701-A-01,03;NJJS701-A-14~17,NJJS701-B-01~19,NJJS701-C-01~18,NJJS701-D-01~16,NJJS701-E-01~03,NJJS601-I-02~13,NJJS601-J-02~13,NJJS602-A-03~16,NJJS602-B-03~14,NJJS602-C-01~13,NJJS602-D-01~14,NJJS602-E-01~14</t>
  </si>
  <si>
    <t>NJJS601-D-10~12</t>
  </si>
  <si>
    <t>NJJS701-A-05~09，NJJS601-J-14</t>
  </si>
  <si>
    <t>NJJS701-A-10</t>
  </si>
  <si>
    <t>NJJS701-A-17~18，NJJS701-F-01~02，NJJS701-G-01~02，NJJS702-B-01~02，NJJS702-F-01~02，NJJS702-G-01~02</t>
  </si>
  <si>
    <t/>
  </si>
  <si>
    <t>NJJS601-D-05~D-08</t>
  </si>
  <si>
    <t>NJJS601-D-09</t>
  </si>
  <si>
    <t>NJJS701-A-11~13，NJJS601-J-01</t>
  </si>
  <si>
    <t>NJJS701-F-03~15，NJJS701-E-08~18,NJJS601-I-01，NJJS601-I-14</t>
  </si>
  <si>
    <t>NJJS701-J-10~14</t>
  </si>
  <si>
    <t>NJJS701-F-16~19，NJJS701-G-03~05，NJJS701-I-08~09</t>
  </si>
  <si>
    <t>19.9与运营商核实后，单价由5950调整为5900.
NJJS201-A-21，NJJS501-A-18，NJJS502-A-17，NJJS501-G-01~02，NJJS501-F-01~02，NJJS502-B-01~02，NJJS502-F-01~02，NJJS502-G-01~02，NJJS201-C-01~04，NJJS201-H-01~04</t>
  </si>
  <si>
    <t>NJJS701-H-11~14，NJJS701-I-04~07，NJJS701-J-01~03</t>
  </si>
  <si>
    <t>NJJS701-G-06~12，NJJS701-H-01~10，NJJS701-I-10，NJJS701-I-14，NJJS702-A-01~12</t>
  </si>
  <si>
    <t>NJJS701-I-11~12</t>
  </si>
  <si>
    <t>NJJS702-A-13~15，NJJS701-E-07</t>
  </si>
  <si>
    <t>NJJS701-I-13，NJJS702-B-03~07</t>
  </si>
  <si>
    <t>NJJS702-B-08~09，NJJS702-J-01，NJJS701-J-07~09</t>
  </si>
  <si>
    <t>原计提数量为187，单价均为5950，19.9与运营商核对后，将计提拆分为129个5950和58个5900</t>
  </si>
  <si>
    <t>19.9与运营商核实后，单价由5950调整为5900.</t>
  </si>
  <si>
    <t>19.9与运营商核实后，单价由5950调整为5900.
NJJS502-D-01
NJJS502-D-02
NJJS502-D-03</t>
  </si>
  <si>
    <t>19.9与运营商核实后，单价由5950调整为5900.
NJJS502-C-17</t>
  </si>
  <si>
    <t xml:space="preserve">19.9与运营商核实后，单价由5950调整为5900.
NJJS502-D-05
NJJS502-D-06
NJJS502-D-07
NJJS502-D-08
NJJS502-D-09
</t>
  </si>
  <si>
    <t xml:space="preserve">19.9与运营商核实后，单价由5950调整为5900.
NJJS502-D-10
NJJS502-D-11
</t>
  </si>
  <si>
    <t xml:space="preserve">19.9与运营商核实后，单价由5950调整为5900.
NJJS502-H-04
NJJS502-H-05
NJJS502-H-06
NJJS502-H-07
NJJS502-H-08
NJJS502-H-09
NJJS502-H-10
NJJS502-H-11
NJJS502-H-12
NJJS502-H-13
NJJS502-I-12
NJJS502-I-13
NJJS502-I-14
NJJS502-G-03
</t>
  </si>
  <si>
    <t xml:space="preserve">19.9与运营商核实后，单价由5950调整为5900.
NJJS502-G-04
NJJS502-G-05
NJJS502-H-01
NJJS502-H-02
NJJS502-H-03
</t>
  </si>
  <si>
    <t xml:space="preserve">19.9与运营商核实后，单价由5950调整为5900.
二期，单价调整为5900,9月多计提在付款时冲销。NJJS501-A-01~NJJS501-A-17；
NJJS501-B-01~NJJS501-B-19；
NJJS501-C-01~NJJS501-C-18；
NJJS501-D-01~NJJS501-D-16；
NJJS501-E-03~NJJS501-E-17
</t>
  </si>
  <si>
    <t>19.9与运营商核实后，单价由5950调整为5900.
NJJS502-E-01~NJJS502-E-07；
NJJS502-F-08~NJJS502-F-15</t>
  </si>
  <si>
    <t>19.9与运营商核实后，单价由5950调整为5900.
NJJS502-G-06、NJJS502-G-07、NJJS502-G-08、NJJS502-G-09、NJJS502-G-10</t>
  </si>
  <si>
    <t>201909月末与运营商核对吉山机架情况，之前少计提37个5900的机架，从9月开始补计提</t>
  </si>
  <si>
    <t>NJJS501-F-06</t>
  </si>
  <si>
    <t>NJJS501-F-03、NJJS501-F-04、NJJS501-F-05、NJJS501-F-07、NJJS501-F-10</t>
  </si>
  <si>
    <t>NJJS501-F-08、NJJS501-F-09、NJJS501-F-11、NJJS501-F-12</t>
  </si>
  <si>
    <t>NJJS501-F-13</t>
  </si>
  <si>
    <t>NJJS501-F-17</t>
  </si>
  <si>
    <t>NJJS501-F-15</t>
  </si>
  <si>
    <t>NJJS501-H-01、NJJS501-H-02、NJJS501-H-03、NJJS501-H-04、NJJS501-H-05、NJJS501-H-06、NJJS501-H-07、NJJS501-H-08、NJJS501-H-09、NJJS501-H-10、NJJS501-H-11、NJJS501-H-12</t>
  </si>
  <si>
    <t>NJJS501-G-03、NJJS501-G-04</t>
  </si>
  <si>
    <t>NJJS502-D-12、NJJS502-D-13、NJJS502-D-14、NJJS502-F-16、NJJS502-F-17、NJJS502-F-18、NJJS502-G-11</t>
  </si>
  <si>
    <t>NJJS502-G-12、NJJS501-E-01、NJJS501-E-02、NJJS501-F-16、NJJS502-D-15</t>
  </si>
  <si>
    <t>202104根据运营商同外包现场盘点结果，更新计提价格，由5900更新为5950
2020.8更新计提价格，运营商按5900结算。NJJS601-A-01、NJJS601-A-02、NJJS601-A-03、NJJS601-C-11、NJJS602-B-15、NJJS701-H-15、NJJS701-I-01、NJJS701-I-02、NJJS701-I-03、NJJS701-J-06</t>
  </si>
  <si>
    <t>NJJS501-E-18、NJJS501-F-18、NJJS501-H-13、NJJS501-H-14、NJJS501-H-15、NJJS501-I-13、NJJS501-I-14、NJJS501-F-19、NJJS501-G-06、NJJS501-G-07、NJJS501-G-08、NJJS501-G-09、NJJS501-G-10、NJJS501-G-11、NJJS501-G-12、NJJS501-I-02、NJJS501-I-03</t>
  </si>
  <si>
    <t>NJJS501-J-01、NJJS501-J-02、NJJS501-J-03、NJJS501-J-04、NJJS501-J-05、NJJS501-J-06、NJJS501-J-07、NJJS501-J-08、NJJS501-J-09、NJJS501-J-10、NJJS501-J-11、NJJS501-J-12、NJJS501-J-13</t>
  </si>
  <si>
    <t>NJJS501-I-01、NJJS501-F-14、NJJS501-I-04、NJJS501-I-05、NJJS501-I-06、NJJS501-I-07、NJJS501-I-08、NJJS501-I-09、NJJS501-I-10、NJJS501-I-11、NJJS501-I-12、NJJS501-G-05</t>
  </si>
  <si>
    <t>NJJS501-J-14</t>
  </si>
  <si>
    <t>NJJS603-A-14、NJJS603-A-15</t>
  </si>
  <si>
    <t>NJJS502-A-16
202104根据运营商同外包现场盘点结果，增加计提行.运营商要求从202011开始追溯，故开始计费日期写为2020/11/1</t>
  </si>
  <si>
    <t>NJJS603-B-08、NJJS603-C-08
202104根据运营商同外包现场盘点结果，增加计提行.运营商要求从202011开始追溯，故开始计费日期写为2020/11/1</t>
  </si>
  <si>
    <t>NJJS603-D-12
202104根据运营商同外包现场盘点结果，增加计提行.运营商要求从202011开始追溯，故开始计费日期写为2020/11/1</t>
  </si>
  <si>
    <t>2021/5/19开通，5月计费13天：NJJS603-B-15、NJJS603-B-16</t>
  </si>
  <si>
    <t>NJJS502-G-09、NJJS502-G-10</t>
  </si>
  <si>
    <t>NJJS603-D-07、NJJS603-D-08</t>
  </si>
  <si>
    <t>202303 NJJS 5 6 7层超电流，暂按6200A数据计提（除20A之外的其他电流规格机柜的费用收取是在20A机柜的价格基础上，机柜用电量每增加1A，则另加收￥300元/月的使用费用）</t>
  </si>
  <si>
    <t>L20221215018</t>
  </si>
  <si>
    <t>南京吉山机房核心区域-百度南京凤凰NJM2机房核心</t>
  </si>
  <si>
    <t>线路编号：025G00136352A。[南京吉山机房核心区域 ]到[百度南京凤凰NJM2机房核心区域]路由一，72.3km？72.4km？</t>
  </si>
  <si>
    <t>[南京吉山机房核心区域 ]到[南京市建宁路30号金桥管理办公楼5楼百度中转机房]，49.1km</t>
  </si>
  <si>
    <t>线路编号：025G00136355A。[南京吉山机房核心区域 ]到[百度南京凤凰NJM2机房核心区域]路由二，47.8km</t>
  </si>
  <si>
    <t>182115IDC00317</t>
  </si>
  <si>
    <t>[南京市建邺区江东中路49号二长机房8层 ]-[南京市鼓楼区张王庙88号凤凰机房]
NJ03-M2NJ</t>
  </si>
  <si>
    <t>线路编号：025G00156780。乙方为甲方建设从[南京市建邺区江东中路49号二长机房8层 ]到[南京市鼓楼区张王庙88号凤凰机房]的[ 两 ]芯光纤通道，用于[ 数据传输 ]。连接费：[2]端*[2]芯* 2000元/芯/端=[ 8000，优惠为0]元。月服务费：线路=[27]公里*1000元/月/芯/公里*[ 2 ]芯=[54000，优惠为10800]元/月。</t>
  </si>
  <si>
    <t>[南京市建邺区江东中路49号二长机房8层  ]-[南京市鼓楼区张王庙88号凤凰机房]
NJ03-M2NJ</t>
  </si>
  <si>
    <t>线路编号：025G00156779。乙方为甲方建设从[南京市建邺区江东中路49号二长机房8层  ]到[南京市鼓楼区张王庙88号凤凰机房]的[ 两 ]芯光纤通道，用于[ 数据传输 ]。连接费：[2]端*[2]芯* 2000元/芯/端=[ 8000，优惠为0]元。月服务费：线路=[16]公里*1000元/月/芯/公里*[ 2 ]芯=[32000，优惠为6400]元/月</t>
  </si>
  <si>
    <t>[南京市江宁区谷里街道东吉大道1号江苏软件园电信吉山机房1层101室]-[南京市鼓楼区张王庙88号凤凰机房]
NJJS-M2NJ</t>
  </si>
  <si>
    <t>线路编号：025G00156778。乙方为甲方建设从[南京市江宁区谷里街道东吉大道1号江苏软件园电信吉山机房1层101室]到[南京市鼓楼区张王庙88号凤凰机房]的[ 两 ]芯光纤通道， 用于[ 数据传输 ]。连接费：[2]端*[2]芯* 2000元/芯/端=[ 8000，优惠为0]元。月服务费：线路=[50]公里*1000元/月/芯/公里*[ 2 ]芯=[100000，优惠为20000]元/月</t>
  </si>
  <si>
    <t>线路编号：025G00156777。乙方为甲方建设从[南京市江宁区谷里街道东吉大道1号江苏软件园电信吉山机房1层101室]到[南京市鼓楼区张王庙88号凤凰机房]的[ 两 ]芯光纤通道，用于[ 数据传输 ]。连接费：[2]端*[2]芯* 2000元/芯/端=[ 8000，优惠为0]元。月服务费：线路=[47]公里*1000元/月/芯/公里*[ 2 ]芯=[94000，优惠为18800]元/月</t>
  </si>
  <si>
    <t>182215IDC00485</t>
  </si>
  <si>
    <t>河西二长NJ03</t>
  </si>
  <si>
    <t>NJ03</t>
  </si>
  <si>
    <t>NJ038B-G-10-13</t>
  </si>
  <si>
    <t>NJ038B-H-03</t>
  </si>
  <si>
    <t>202104根据运营商同外包现场盘点结果，更新计提数量。1个机架前期已开通，未计费。运营商从202011开始计费，故开始计费日期为2020/11/1</t>
  </si>
  <si>
    <t>202104根据运营商同外包现场盘点结果，更新计提数量。6个机架前期已开通，未计费。运营商从202011开始计费，故开始计费日期为2020/11/1</t>
  </si>
  <si>
    <t>63A</t>
  </si>
  <si>
    <t>202104根据运营商同外包现场盘点结果，更新计提数量。2个机架前期已开通，未计费。运营商从202011开始计费，故开始计费日期为2020/11/1</t>
  </si>
  <si>
    <t>NJ0311A-C-08、NJ0311A-C-11、NJ0310B-J-01～03</t>
  </si>
  <si>
    <t>NJ0310B-G-03
NJ0310B-G-04</t>
  </si>
  <si>
    <t>202104根据运营商同外包现场盘点结果，更新计提数量。原1189个，其中8个布线柜，1个未开通，（数量减少1）拆分计提行
6月26日开通7个机架
 NJ0311D-I-09~~ NJ0311D-I-15</t>
  </si>
  <si>
    <t>2021/5/18开通，5月计费14天：NJ038B-G-02</t>
  </si>
  <si>
    <t>2021/5/18开通，5月计费14天：NJ038B-H-02</t>
  </si>
  <si>
    <t>81.8A</t>
  </si>
  <si>
    <t>机柜电流改造为81.8A，按照20A标准计费。NJ038B-G-05</t>
  </si>
  <si>
    <t>NJ038B-H-08、NJ038B-H-09</t>
  </si>
  <si>
    <t>NJ038B-H-08：由27A改造为81.8A，参考原合同20A单价4450，折算单安成本222.5元，暂按此价格折算81.8A的单价</t>
  </si>
  <si>
    <t>NJ038B-G-01。未在运营商账单中体现</t>
  </si>
  <si>
    <t>NJ038B-H-01。未在运营商账单中体现</t>
  </si>
  <si>
    <t>L20200317008</t>
  </si>
  <si>
    <t>A端地址：南京凤凰机房，南京市下关区张王庙88号M2-A，Z端地址：北京市东城区建国门内大街28号民生金融中心c座8层机房</t>
  </si>
  <si>
    <t>从20204.1开始转由度小满核算。已冲销前期计提
接入号码：025M21526385A 
长途电路编号：北京南京ETN2423NP
框架协议：181515IDC0067
委托南京电信收款</t>
  </si>
  <si>
    <t>182215IDC00529</t>
  </si>
  <si>
    <t>南京吉山-昆山万国 NJJS-SZWG</t>
  </si>
  <si>
    <t>NJJS-WGM2B；8M。线路编号：025M20626385A</t>
  </si>
  <si>
    <t>L20220108004</t>
  </si>
  <si>
    <t>南京泰山-昆山万国机房</t>
  </si>
  <si>
    <t>Nj01-WGM2B,8M 1908该条电路撤租，8月停止计费</t>
  </si>
  <si>
    <t>苏州二长局-昆山万国机房 NJ03-SZWG</t>
  </si>
  <si>
    <t>Nj03-WGM2B；8M。线路编号：025M20626382A</t>
  </si>
  <si>
    <t>苏州万国-南京凤凰 SZWG-NJ02</t>
  </si>
  <si>
    <t>SZWG-M2NJ；8M。线路编号：025M20626383A</t>
  </si>
  <si>
    <t>太湖机房-南京凤凰 SZTH-NJ02</t>
  </si>
  <si>
    <t>SZTH-NJM2A ；8M。线路编号：025M20626381A</t>
  </si>
  <si>
    <t>凤凰-华东金融云外高桥</t>
  </si>
  <si>
    <t>线路编号：025M20651397A（ETN0521NP）</t>
  </si>
  <si>
    <t>182315IDC00068</t>
  </si>
  <si>
    <t>南京新港-南京二长</t>
  </si>
  <si>
    <t>G00160983：南京市栖霞区仙新东路20号百度光交箱紫泉物流园北面南京市建邺区江东中路49号二长机房8层北京百度网络科技有限公司</t>
  </si>
  <si>
    <t>G00160997：南京市栖霞区仙新东路20号百度光交箱紫泉物流园外恒业路南京市建邺区江东中路49号二长机房8层北京百度网络科技有限公司</t>
  </si>
  <si>
    <t>南京新港-南京吉山</t>
  </si>
  <si>
    <t>L20220910006</t>
  </si>
  <si>
    <t>南京凤凰NJ02</t>
  </si>
  <si>
    <t>NJ022E-F-10、NJ022E-F-11</t>
  </si>
  <si>
    <t>NJ023B-A-05、NJ023B-C-13、NJ023B-D-10、NJ023B-E-04、NJ023B-E-07、NJ023B-F-03、NJ023B-F-05、NJ023B-F-11、NJ023B-H-01、NJ023B-H-06</t>
  </si>
  <si>
    <t>NJ022D-C-10、NJ022E-B-06、NJ022E-B-10、NJ022E-B-15、NJ022E-C-01、NJ022E-C-02、NJ022E-C-10、NJ022E-C-12、NJ022E-I-07、NJ022E-I-11、NJ023B-A-02、NJ023B-A-04、NJ023B-A-14、NJ023B-A-17、NJ023B-B-04、NJ023B-B-13、NJ023B-C-04、NJ023B-D-16、NJ023B-D-18、NJ023B-E-11、NJ023B-F-01、NJ023B-G-09、NJ023B-H-03、NJ023B-H-05、NJ023F-C-06、NJ023F-C-11、NJ023F-D-04、NJ023F-D-06、NJ023F-D-16、NJ022C-F-06、NJ022C-F-09、NJ022C-F-13、NJ022C-F-14、NJ022C-F-28、NJ022C-G-02、NJ022C-G-07、NJ022C-G-12、NJ022C-G-13、NJ022C-G-23、NJ022C-G-25、NJ022C-G-27、NJ022C-H-04、NJ022C-H-05、NJ022C-H-07、NJ022C-H-09、NJ022C-H-10、NJ022C-H-12、NJ022C-H-14、NJ022C-H-15、NJ023E-A-06、NJ023E-A-09、NJ023E-B-05、NJ023E-B-13、NJ023E-D-01、NJ023E-D-03、NJ023E-D-05、NJ023E-D-07、NJ023E-D-08、NJ023E-D-13</t>
  </si>
  <si>
    <t>NJ023C-A-01、NJ023C-A-07、NJ023C-A-10、NJ023C-A-23、NJ023C-A-25、NJ023C-A-32、NJ023C-B-12、NJ023C-C-22、NJ023C-C-25、NJ023C-F-09、NJ023C-G-03、NJ023C-G-04、NJ023C-G-06、NJ023C-G-09、NJ023C-G-12、NJ023C-G-16、NJ023C-H-02、NJ023C-H-03、NJ023C-H-05、NJ023C-H-06、NJ023C-H-10、NJ023C-H-13、NJ023C-H-15、NJ023C-H-22</t>
  </si>
  <si>
    <t>202303 NJ02暂按500A计提。单机柜用电若超出标准电流120%，超出部分按300元/A结算。</t>
  </si>
  <si>
    <t>中国电信股份有限公司青岛分公司</t>
  </si>
  <si>
    <t>青岛电信</t>
  </si>
  <si>
    <t>182115IDC00088</t>
  </si>
  <si>
    <t>济南市天桥区蓝翔路15号 时代总部基地 三期18号楼1单元电信机房-青岛市高新区蓝湾创业产业园 E2栋一楼 B05-08机柜</t>
  </si>
  <si>
    <t>200G</t>
  </si>
  <si>
    <t>用于CDN数据传输：济南市天桥区蓝翔路15号 时代总部基地 三期18号楼1单元电信机房-青岛市高新区蓝湾创业产业园 E2栋一楼 B05-08机柜，2条，各100G，共200G</t>
  </si>
  <si>
    <t>182215IDC00530</t>
  </si>
  <si>
    <t>存量8条，1月24日新增8条：山东省青岛市高新区 蓝湾创业产业园 E2栋一楼-山东省青岛市李沧区移动万年泉路IDC机房 15条；青岛电信-青岛联通 1条</t>
  </si>
  <si>
    <t>山东省青岛市高新区 蓝湾创业产业园 E2栋一楼-山东省青岛市崂山区 株洲路168号 株洲路核心机房 3-6房间 4条；
山东省青岛市高新区 蓝湾创业产业园 E2栋一楼-山东省青岛市李沧区移动万年泉路IDC机房 8条</t>
  </si>
  <si>
    <t>联通6条：山东省青岛市高新区 蓝湾创业产业园 E2栋一楼-山东省青岛市高新区 蓝湾创业产业园 E2栋一楼
移动4条：山东省青岛市高新区 蓝湾创业产业园 E2栋一楼-山东省青岛市李沧区移动万年泉路IDC机房</t>
  </si>
  <si>
    <t>电信至移动6条光纤，青岛电信高新区百度三线-万年泉路移动云工厂</t>
  </si>
  <si>
    <t>青岛电信SSL</t>
  </si>
  <si>
    <t>SSLQDCT</t>
  </si>
  <si>
    <t>历史开通
2021/1/1</t>
  </si>
  <si>
    <t>SSLQDCT3F-A-03、SSLQDCT3F-A-02</t>
  </si>
  <si>
    <t>2021.1.1开通SSLQDCT3F-A-05
L20210329004
182015IDC00127</t>
  </si>
  <si>
    <t>免费1个机柜，SSLQDCT3F-A-04(运营商记录02免费，04收费)</t>
  </si>
  <si>
    <t>SSL节点共使用768个IP，赠送32个，收费736个（150.138.149.0/24,150.138.150.0/24,150.138.151.0/24）</t>
  </si>
  <si>
    <t>青岛4电信</t>
  </si>
  <si>
    <t>CDNQDCT3</t>
  </si>
  <si>
    <t>双方核对一致，青岛4电信使用8个免费机柜：QD4CT2F-204-11、QD4CT2F-204-10、QD4CT2F-204-09、QD4CT2F-204-08、QD4CT2F-204-05、QD4CT2F-204-04、QD4CT2F-204-03、QD4CT2F-204-02</t>
  </si>
  <si>
    <t>青岛三级电信</t>
  </si>
  <si>
    <t>青岛三级</t>
  </si>
  <si>
    <t>CDNQDCT</t>
  </si>
  <si>
    <t>2023.3经与SYS核对，调整机架编号，由QD3CT1F-A05-09、QD3CT1F-A05-10、QD3CT1F-A05-11调整为BECQDCT-A05-09、BECQDCT-A05-10、BECQDCT-A05-11；
双方核对一致，青岛2电信使用10个免费机柜：QD2CT1F-A05-05、QD2CT1F-A05-08、QD2CT1F-A05-07、QD2CT1F-A05-06、QD2CT1F-A05-04、QD2CT1F-A05-03、QD2CT1F-A05-02、QD3CT1F-A05-09、QD3CT1F-A05-10、QD3CT1F-A05-11</t>
  </si>
  <si>
    <t>2023.3经与SYS核对，调整机架编号，由QD3CT1F-A05-09、QD3CT1F-A05-10、QD3CT1F-A05-11调整为BECQDCT-A05-09、BECQDCT-A05-10、BECQDCT-A05-11；
青岛2电信于2021.6.30退租7个机柜，退租后剩余3个机柜目前为青岛三线BEC使用
QD2CT1F-A05-05、QD2CT1F-A05-08、QD2CT1F-A05-07、QD2CT1F-A05-06、QD2CT1F-A05-04、QD2CT1F-A05-03、QD2CT1F-A05-02</t>
  </si>
  <si>
    <t>青岛2电信</t>
  </si>
  <si>
    <t>青岛电信2</t>
  </si>
  <si>
    <t>青岛2电信实际使用576个IP</t>
  </si>
  <si>
    <t>青岛2电信于2021.6.30退租288个IP
140.249.32.0/24 140.249.35.0/27</t>
  </si>
  <si>
    <t>双方核对一致，青岛三级电信使用17个免费机柜：E2-B06-16、E2-B05-16、E2-B05-15、E2-B05-14、E2-B05-13、E2-B05-12、E2-B05-11、E2-B05-10、E2-B05-09、E2-B05-07、E2-B05-06、E2-B05-05、E2-B05-04、E2-B05-03、E2-B05-02、E2-B06-15、E2-B05-08</t>
  </si>
  <si>
    <t xml:space="preserve">CDN使用150.138.138.0/24,150.138.139.0/24 </t>
  </si>
  <si>
    <t>边缘计算使用：140.249.33.0/24</t>
  </si>
  <si>
    <t>中国移动通信集团山东有限公司青岛分公司</t>
  </si>
  <si>
    <t>青岛移动</t>
  </si>
  <si>
    <t>L20230318001</t>
  </si>
  <si>
    <t>青岛三级移动</t>
  </si>
  <si>
    <t>2023.3与SYS核对后，补录青岛移动三线IP资源： 120.220.219.0/24
2409:8C3C:0A00:0125::/64</t>
  </si>
  <si>
    <t>CDNQDCT3机房，于2020-11-23退租3个机柜QD4CT2F-204-09、QD4CT2F-204-10、QD4CT2F-204-11</t>
  </si>
  <si>
    <t>2021.4.9边缘计算新增2个机柜，免费
BECQD4CT2F-02-09、BECQD4CT2F-02-10</t>
  </si>
  <si>
    <t>青岛4电信实际使用544个IP：140.249.244.0/24;140.249.246.0/24;140.249.245.0/27</t>
  </si>
  <si>
    <t>2021.4.9边缘计算新增128个IP，免费140.249.225.128/25</t>
  </si>
  <si>
    <t>2021.8.13边缘计算新增128个IP，免费140.249.250.0/25</t>
  </si>
  <si>
    <t>青岛滨海电信</t>
  </si>
  <si>
    <t>QDBH</t>
  </si>
  <si>
    <t>合同预审，IDC使用768个IP</t>
  </si>
  <si>
    <t>182215IDC00645
L20230311035</t>
  </si>
  <si>
    <t>青岛-济南200G</t>
  </si>
  <si>
    <t>2022.11根据预审合同调整单价。青岛市高新区蓝湾创业产业园 E2栋一楼 B05-08机柜-济南经七纬五机房 2条，各100G，共200G</t>
  </si>
  <si>
    <t>中国电信股份有限公司上海分公司</t>
  </si>
  <si>
    <t>上海电信SSL</t>
  </si>
  <si>
    <t>182115IDC00264</t>
  </si>
  <si>
    <t>SSLSHCT</t>
  </si>
  <si>
    <t>SHCT6F-I-06、SHCT6F-I-05、SHCT6F-I-08、SHCT6F-I-07、SHCT6F-I-09、SHCT6F-I-04、SHCT6F-E-09、SHCT6F-I-16、SHCT6F-I-17、SHCT6F-I-18</t>
  </si>
  <si>
    <t>SHCT6F-H-22、SHCT6F-H-23、SHCT6F-H-24、SHCT6F-H-25、SHCT6F-H-17、SHCT6F-H-26</t>
  </si>
  <si>
    <t>退3个SSL机柜，11月多计提已在付款时冲销：SHCT6F-I-16    SHCT6F-I-17    SHCT6F-I-18</t>
  </si>
  <si>
    <t>SHCT6F-I-04、SHCT6F-I-05、SHCT6F-I-06、SHCT6F-I-07、SHCT6F-I-08、SHCT6F-I-09、SHCT6F-H-17、SHCT6F-H-22、SHCT6F-H-23、SHCT6F-H-24、SHCT6F-H-25、SHCT6F-H-26、SHCT6F-E-09</t>
  </si>
  <si>
    <t>上海CDN</t>
  </si>
  <si>
    <t>182215IDC00692</t>
  </si>
  <si>
    <t>上海电信-华信</t>
  </si>
  <si>
    <t>上海电信</t>
  </si>
  <si>
    <t>CDNSHCT</t>
  </si>
  <si>
    <t>12A</t>
  </si>
  <si>
    <t>SHCT8F-C-01、SHCT8F-C-07、SHCT8F-C-08、SHCT8F-C-09</t>
  </si>
  <si>
    <t>2022.8机柜转为SSL使用。SHCT8F-C-02、SHCT8F-C-03、SHCT8F-C-04、SHCT8F-C-05、SHCT8F-C-06</t>
  </si>
  <si>
    <t>19.7.8扩容160G,开通4个机柜。SHCT8F-C-12,SHCT8F-C-13,SHCT8F-C-14,SHCT8F-C-15</t>
  </si>
  <si>
    <t>上海4电信</t>
  </si>
  <si>
    <t>新建240G，增加6个机柜，2019/7/14计费。SH4CT8FIDC-D-02、SH4CT8FIDC-D-03、SH4CT8FIDC-D-04、SH4CT8FIDC-D-05、SH4CT8FIDC-D-06、SH4CT8FIDC-D-07</t>
  </si>
  <si>
    <t>【CDN退租】CDN上海上海电信退租信息 (SH4CT)：SH4CT8FIDC-D-05、SH4CT8FIDC-D-06、SH4CT8FIDC-D-07、SH4CT8FIDC-D-02</t>
  </si>
  <si>
    <t>边缘计算
BECSH4CT8FIDC-D-08、
BECSH4CT8FIDC-C-16</t>
  </si>
  <si>
    <t>上海电信边缘计算节点扩容（SH4CT）,新增一个机柜BECSH4CT8FIDC-B-14</t>
  </si>
  <si>
    <t>上海电信退租机柜：SHCT8F-C-09、SHCT8F-C-08、SHCT8F-C-01、SHCT8F-C-12</t>
  </si>
  <si>
    <t>SHCT8F-C-13、SHCT8F-C-14,、SHCT8F-C-15</t>
  </si>
  <si>
    <t>SHCT8F-C-07</t>
  </si>
  <si>
    <t>上海电信-电路</t>
  </si>
  <si>
    <t>182115IDC00546</t>
  </si>
  <si>
    <t>上海外高桥保税区华京路6号90号楼404房间机架位SHWGQ404-E-06-24-上海市浦东新区浦东南路528号3楼机房</t>
  </si>
  <si>
    <t>30M</t>
  </si>
  <si>
    <t>上海外高桥保税区华京路6号90号楼404房间机架位SHWGQ404-E-06-24-上海市浦东新区浦东南路528号3楼机房30M电路</t>
  </si>
  <si>
    <t>SHWGQ-隆昌路</t>
  </si>
  <si>
    <t>20M</t>
  </si>
  <si>
    <t>上海外高桥保税区华京路6号90号楼404房间机架位SHWGQ404-E-06-24-上海市杨浦区隆昌路619号9号楼3楼</t>
  </si>
  <si>
    <t>182215IDC00422</t>
  </si>
  <si>
    <t>浦东新区华京路6号90号楼404房间E06 机柜-南汇电信机房</t>
  </si>
  <si>
    <t>10G</t>
  </si>
  <si>
    <t>喜马拉雅云专线：浦东新区华京路6号90号楼404房间E06 机柜-南汇电信机房</t>
  </si>
  <si>
    <t>2022.8开始使用1440个，免费192个，收费1248个。
SSL实际使用IP 1024个：180.163.113.0/24、180.163.188.0/24、101.227.206.0/24、101.227.207.0/24。
从2020.1开始使用768个IP，免费768个</t>
  </si>
  <si>
    <t>2022.8开始使用1440个，免费192个，收费1248个。
SSL实际使用IP 1024个：180.163.113.0/24、180.163.188.0/24、101.227.206.0/24、101.227.207.0/24。</t>
  </si>
  <si>
    <t>2022.8开始使用1440个，免费192个，收费1248个。
SSL实际使用IP 1024个：180.163.113.0/24、180.163.188.0/24、101.227.206.0/24、101.227.207.0/24。2020/8/31退租3个C IP：180.163.153.0/24；180.163.154.0/24；180.163.189.0/24</t>
  </si>
  <si>
    <t>2022.8开始使用1440个，免费192个，收费1248个。
新合同约定送832个，实际使用832个，其中SH4CT使用：114.80.31.0/27;114.80.30.0/24</t>
  </si>
  <si>
    <t>2022.8开始使用1440个，免费192个，收费1248个。</t>
  </si>
  <si>
    <t>2022.8开始使用1440个，免费192个，收费1248个。
新合同约定送832个，实际使用832个，其中SHCT使用:180.163.199.0/24;180.163.198.0/24；114.80.31.192/27</t>
  </si>
  <si>
    <t>2022.8开始使用1440个，免费192个，收费1248个。
180.163.198.0/24 180.163.199.0/24 114.80.31.192/27</t>
  </si>
  <si>
    <t xml:space="preserve">2022.8开始使用1440个，免费192个，收费1248个。
边缘计算新增128个IP
180.153.129.128/25 </t>
  </si>
  <si>
    <t>【CDN退租】CDN上海上海电信退租信息 (SH4CT)：114.80.30.128/25</t>
  </si>
  <si>
    <t>L20221005004</t>
  </si>
  <si>
    <t>太湖机房一期</t>
  </si>
  <si>
    <t>32A</t>
  </si>
  <si>
    <t>202001计提数量由137调整为135，减少2个，调整后线上合计计提机架615个，与2019.9.18财务盘点结果一致
20A机柜6000，其他机柜单价计算公式为6000+（电流-20A）*300</t>
  </si>
  <si>
    <t>28A</t>
  </si>
  <si>
    <t>37A</t>
  </si>
  <si>
    <t>SZTH2D-D4-17</t>
  </si>
  <si>
    <t xml:space="preserve">SZTH2C-C8-01、SZTH2C-C8-02 、SZTH2C-C9-17 、SZTH2C-C9-18 、SZTH2C-C9-19 、SZTH2C-C9-20、SZTH2C-C9-21 、SZTH2C-C9-22、SZTH2C-C9-23、SZTH2C-C9-24 </t>
  </si>
  <si>
    <t>SZTH2B-B1-01、SZTH2B-B2-11、SZTH2B-B2-12、SZTH2B-B2-13、SZTH2B-B2-14、SZTH2B-B2-15</t>
  </si>
  <si>
    <t xml:space="preserve">SZTH2D-D5-06、SZTH2D-D5-07、SZTH2D-D5-08、SZTH2D-D5-09、SZTH2D-D5-10 </t>
  </si>
  <si>
    <t>SZTH2D-D5-12、SZTH2D-D6-13、SZTH2D-D6-15、SZTH2D-D6-16、SZTH2D-D6-18、SZTH2D-D6-19、SZTH2D-D6-21</t>
  </si>
  <si>
    <t>SZTH2B-B2-16 
SZTH2A-A1-07</t>
  </si>
  <si>
    <t>SZTH2D-D8-01、SZTH2D-D8-02、 SZTH2D-D8-03</t>
  </si>
  <si>
    <t xml:space="preserve">SZTH2C-C5-10 </t>
  </si>
  <si>
    <t xml:space="preserve">SZTH2C-C5-07、SZTH2C-C5-08 SZTH2C-C5-09 </t>
  </si>
  <si>
    <t>SZTH2B-B9-05、SZTH2B-B9-06、SZTH2B-B9-07</t>
  </si>
  <si>
    <t>SZTH2B-B9-02、SZTH2B-B9-03、SZTH2B-B9-04</t>
  </si>
  <si>
    <t xml:space="preserve">SZTH2D-D4-18、SZTH2D-D4-19、SZTH2D-D7-01、SZTH2D-D7-02 、SZTH2D-D7-03、 SZTH2D-D7-04 </t>
  </si>
  <si>
    <t>SZTH2A-A1-08</t>
  </si>
  <si>
    <t xml:space="preserve">SZTH2D-D7-17 、SZTH2D-D7-18 、SZTH2D-D7-19 </t>
  </si>
  <si>
    <t>SZTH2D-D7-08</t>
  </si>
  <si>
    <t xml:space="preserve">SZTH2C-C5-11、SZTH2C-C5-12、SZTH2C-C6-07、SZTH2C-C6-08 、SZTH2C-C6-09 、SZTH2C-C6-10 </t>
  </si>
  <si>
    <t xml:space="preserve">SZTH2D-D5-11、SZTH2D-D6-14、SZTH2D-D6-17、SZTH2D-D6-20 </t>
  </si>
  <si>
    <t>SZTH2D-D5-13、SZTH2D-D5-14、SZTH2D-D5-15、SZTH2D-D5-16</t>
  </si>
  <si>
    <t>SZTH2D-D5-17、SZTH2D-D5-18、SZTH2D-D5-19、SZTH2D-D5-20、SZTH2D-D5-21、SZTH2D-D5-22、SZTH2D-D5-23、SZTH2D-D5-24</t>
  </si>
  <si>
    <t>SZTH2B-B2-17、SZTH2B-B2-18、SZTH2B-B2-19、SZTH2B-B2-20</t>
  </si>
  <si>
    <t>SZTH2B-B2-10、SZTH2B-B3-01、SZTH2B-B3-02、SZTH2B-B3-03、SZTH2B-B3-04</t>
  </si>
  <si>
    <t xml:space="preserve">D6-22 D6-23 D6-24 D7-11 D7-12 D7-13 D7-14  </t>
  </si>
  <si>
    <t>SZTH2D-D8-04</t>
  </si>
  <si>
    <t>SZTH2B-B5-01、SZTH2B-B5-02 、SZTH2B-B5-03 、SZTH2B-B5-04 、SZTH2B-B5-05 、SZTH2B-B5-06 、SZTH2B-B5-07 、SZTH2B-B5-08 、SZTH2B-B5-09 、SZTH2B-B5-10。</t>
  </si>
  <si>
    <t xml:space="preserve">SZTH2C-C8-04、SZTH2C-C8-05 、SZTH2C-C8-06 、SZTH2C-C8-07、SZTH2C-C8-08 、SZTH2C-C8-09 、SZTH2C-C8-10 、SZTH2C-C8-11 、SZTH2C-C8-12 、SZTH2C-C8-13 、SZTH2C-C8-14 、SZTH2C-C8-15 </t>
  </si>
  <si>
    <t>SZTH2C-C6-03、SZTH2C-C6-04、SZTH2C-C6-05、SZTH2C-C6-06</t>
  </si>
  <si>
    <t>SZTH2C-C6-02</t>
  </si>
  <si>
    <t>SZTH2D-D4-20、SZTH2D-D7-10、SZTH2D-D7-15、SZTH2D-D7-16、SZTH2D-D7-20、SZTH2B-B3-17</t>
  </si>
  <si>
    <t>SZTH2B-B5-11~SZTH2B-B5-17，SZTH2B-B6-14~SZTH2B-B6-16</t>
  </si>
  <si>
    <t>SZTH2B-B3-05、SZTH2B-B3-06、SZTH2B-B3-07、SZTH2B-B4-10、SZTH2B-B4-11、SZTH2B-B4-12、SZTH2B-B4-13 、SZTH2B-B4-14、SZTH2B-B4-15、SZTH2B-B4-16 、SZTH2B-B4-17、SZTH2B-B4-18、SZTH2B-B4-19、SZTH2B-B4-20</t>
  </si>
  <si>
    <t>SZTH2D-D9-05、SZTH2D-D9-06、SZTH2D-D9-07、SZTH2D-D9-08、SZTH2D-D9-09、SZTH2D-D9-10、SZTH2D-D9-13、SZTH2D-D9-14、SZTH2D-D9-15、SZTH2D-D9-16、SZTH2D-D9-17、
SZTH2D-D9-18、SZTH2D-D9-19、SZTH2D-D9-20 、SZTH2D-D9-21 、SZTH2D-D9-22、SZTH2D-D9-23、SZTH2D-D9-24</t>
  </si>
  <si>
    <t xml:space="preserve">SZTH2B-B5-18 </t>
  </si>
  <si>
    <t>SZTH2B-B4-01、SZTH2B-B4-02 、SZTH2B-B4-03、SZTH2B-B4-04、SZTH2B-B4-05、SZTH2B-B4-06、SZTH2B-B4-07、SZTH2B-B4-08、SZTH2B-B4-09</t>
  </si>
  <si>
    <t>SZTH2B-B3-08、SZTH2B-B3-09、SZTH2B-B3-10 、SZTH2B-B3-11 、SZTH2B-B3-12、SZTH2B-B3-13 、SZTH2B-B3-14、SZTH2B-B3-15、SZTH2B-B3-16</t>
  </si>
  <si>
    <t>SZTH2D-D7-05、SZTH2D-D7-06</t>
  </si>
  <si>
    <t>SZTH2C-C6-11</t>
  </si>
  <si>
    <t>SZTH2A-A1-09 、SZTH2A-A1-10</t>
  </si>
  <si>
    <t>SZTH2B-B2-01
SZTH2B-B2-02
SZTH2B-B2-03
SZTH2B-B2-04
SZTH2B-B2-05
SZTH2B-B2-06</t>
  </si>
  <si>
    <t>SZTH2C-C6-12~SZTH2C-C6-16</t>
  </si>
  <si>
    <t>SZTH2B-B6-09、SZTH2B-B6-10</t>
  </si>
  <si>
    <t>SZTH2B-B7-13、SZTH2B-B7-14</t>
  </si>
  <si>
    <t>SZTH2D-D8-15、SZTH2B-B6-12</t>
  </si>
  <si>
    <t>SZTH2D-D8-22
SZTH2D-D8-23
SZTH2D-D8-24
SZTH2D-D9-11
经核实，开通日期从10月31日，修改为11月3日</t>
  </si>
  <si>
    <t>SZTH2B-B7-10
SZTH2B-B7-11
SZTH2B-B7-12</t>
  </si>
  <si>
    <t>SZTH2A-A1-11、SZTH2A-A1-12、SZTH2A-A1-13
经核实，开通日期从11月1日，修改为11月2日</t>
  </si>
  <si>
    <t>SZTH2D-D8-13、SZTH2D-D8-14</t>
  </si>
  <si>
    <t>SZTH2D-D8-16
SZTH2D-D8-17
SZTH2D-D8-18
SZTH2D-D8-19</t>
  </si>
  <si>
    <t>SZTH2B-B3-18</t>
  </si>
  <si>
    <t>SZTH2D-D8-05
SZTH2D-D8-06
SZTH2D-D8-07
SZTH2D-D8-08
SZTH2D-D8-09
SZTH2D-D8-10
经核实，开通日期从11月15日，修改为11月16日</t>
  </si>
  <si>
    <t>SZTH2B-B7-15</t>
  </si>
  <si>
    <t xml:space="preserve">SZTH2B-B6-01 
SZTH2B-B6-02 
SZTH2B-B7-20 </t>
  </si>
  <si>
    <t>SZTH2B-B7-16
SZTH2B-B7-17
SZTH2B-B7-18
SZTH2B-B7-19</t>
  </si>
  <si>
    <t>SZTH2D-D8-20
SZTH2D-D8-21</t>
  </si>
  <si>
    <t>SZTH2B-B6-03
SZTH2B-B6-04
SZTH2B-B6-05
SZTH2B-B6-06
SZTH2B-B6-07</t>
  </si>
  <si>
    <t>SZTH2B-B7-02</t>
  </si>
  <si>
    <t xml:space="preserve">SZTH2B-B7-08 
SZTH2B-B7-09 </t>
  </si>
  <si>
    <t>SZTH2B-B8-19
SZTH2B-B8-20</t>
  </si>
  <si>
    <t>SZTH2C-C7-01
SZTH2C-C7-02
SZTH2C-C7-03
SZTH2C-C7-04
SZTH2C-C7-05</t>
  </si>
  <si>
    <t>SZTH2A-A1-14</t>
  </si>
  <si>
    <t>SZTH2A-A2-01
SZTH2A-A2-02
SZTH2A-A2-03
SZTH2A-A2-04
SZTH2A-A2-05
SZTH2A-A2-06</t>
  </si>
  <si>
    <t>SZTH2A-A3-07至SZTH2A-A3-13</t>
  </si>
  <si>
    <t xml:space="preserve">SZTH2A-A3-15至SZTH2A-A3-20
</t>
  </si>
  <si>
    <t>SZTH2B-B8-11至SZTH2B-B8-18</t>
  </si>
  <si>
    <t>SZTH2A-A2-11至SZTH2A-A2-13</t>
  </si>
  <si>
    <t>SZTH2A-A2-10</t>
  </si>
  <si>
    <t>SZTH2B-B7-06</t>
  </si>
  <si>
    <t>SZTH2B-B7-04
SZTH2B-B7-05</t>
  </si>
  <si>
    <t>SZTH2A-A4-01至SZTH2A-A4-13</t>
  </si>
  <si>
    <t>SZTH2A-A2-07
SZTH2A-A2-08
SZTH2A-A2-09
SZTH2A-A3-04
SZTH2A-A3-05 
SZTH2A-A3-06</t>
  </si>
  <si>
    <t>SZTH2A-A3-14
SZTH2A-A3-21
SZTH2A-A3-22</t>
  </si>
  <si>
    <t>SZTH2B-B7-07</t>
  </si>
  <si>
    <t>SZTH2B-B8-01至SZTH2B-B8-08
SZTH2A-A4-14至SZTH2A-A4-17</t>
  </si>
  <si>
    <t>SZTH2A-A3-03</t>
  </si>
  <si>
    <t>SZTH2A-A4-20</t>
  </si>
  <si>
    <t>SZTH2A-A3-01</t>
  </si>
  <si>
    <t>SZTH2C-C7-14
SZTH2C-C7-15</t>
  </si>
  <si>
    <t>SZTH2C-C7-11
SZTH2C-C7-12
SZTH2C-C7-13</t>
  </si>
  <si>
    <t>SZTH2C-C7-20</t>
  </si>
  <si>
    <t>SZTH2A-A4-18</t>
  </si>
  <si>
    <t>SZTH2C-C7-09</t>
  </si>
  <si>
    <t>SZTH2C-C7-08</t>
  </si>
  <si>
    <t>SZTH2A-A4-19</t>
  </si>
  <si>
    <t>SZTH2B-B8-09
SZTH2B-B8-10</t>
  </si>
  <si>
    <t>SZTH2B-B6-11</t>
  </si>
  <si>
    <t>SZTH2B-B6-08</t>
  </si>
  <si>
    <t>SZTH2B-B6-13</t>
  </si>
  <si>
    <t>SZTH2B-B2-07</t>
  </si>
  <si>
    <t>SZTH2D-D1-01</t>
  </si>
  <si>
    <t>SZTH2A-A2-14</t>
  </si>
  <si>
    <t>SZTH2B-B9-08
SZTH2B-B9-09
SZTH2B-B9-10
SZTH2A-A2-16 
SZTH2A-A2-17
SZTH2A-A2-18
SZTH2A-A2-19
SZTH2A-A2-20</t>
  </si>
  <si>
    <t>SZTH2C-C7-19</t>
  </si>
  <si>
    <t xml:space="preserve">SZTH2B-B2-08 
SZTH2B-B2-09 </t>
  </si>
  <si>
    <t>SZTH2A-A3-02</t>
  </si>
  <si>
    <t>SZTH2D-D9-12</t>
  </si>
  <si>
    <t>SZTH2B-B9-11
SZTH2B-B9-12
SZTH2B-B9-13</t>
  </si>
  <si>
    <t>SZTH2c-c7-17
SZTH2c-c7-18</t>
  </si>
  <si>
    <t>SZTH2B-B9-14</t>
  </si>
  <si>
    <t>SZTH2D-D8-11
SZTH2B-D8-12</t>
  </si>
  <si>
    <t xml:space="preserve">SZTH2B-B7-01 </t>
  </si>
  <si>
    <t>SZTH2B-B7-03</t>
  </si>
  <si>
    <t>SZTH2D-D1-02～04</t>
  </si>
  <si>
    <t>SZTH2C-C8-20~22</t>
  </si>
  <si>
    <t>SZTH2C-C8-16~18</t>
  </si>
  <si>
    <t>SZTH2C-C7-07~08</t>
  </si>
  <si>
    <t xml:space="preserve">SZTH2C-C7-06 
SZTH2C-C7-07 </t>
  </si>
  <si>
    <t xml:space="preserve">SZTH2C-C8-20 
SZTH2C-C8-21 
SZTH2C-C8-22 </t>
  </si>
  <si>
    <t>SZTH2C-C3-11</t>
  </si>
  <si>
    <t xml:space="preserve">SZTH2C-C3-10 
SZTH2C-C3-17 </t>
  </si>
  <si>
    <t>SZTH2C-C6-17</t>
  </si>
  <si>
    <t xml:space="preserve">SZTH2C-C3-18 
SZTH2C-C3-19 
SZTH2C-C6-18 
SZTH2C-C6-19 
SZTH2C-C6-20 
SZTH2C-C8-23 
SZTH2C-C8-24 </t>
  </si>
  <si>
    <t>SZTH2C-C3-12 
SZTH2C-C3-13 
SZTH2C-C3-14 
SZTH2C-C3-15
SZTH2C-C3-16 
SZTH2C-C4-12  
SZTH2C-C4-13  
SZTH2C-C4-14 
SZTH2C-C4-15 
SZTH2C-C4-16 
SZTH2C-C4-17 
SZTH2C-C4-18 
SZTH2C-C4-19</t>
  </si>
  <si>
    <t>SZTH2D-D1-23,SZTH2D-D1-24</t>
  </si>
  <si>
    <t>SZTH2C-C2-09,SZTH2C-C1-09</t>
  </si>
  <si>
    <t>SZTH2D-D1-09，SZTH2D-D1-10</t>
  </si>
  <si>
    <t>SZTH2D-D1-12，SZTH2D-D1-11</t>
  </si>
  <si>
    <t>SZTH2A-A1-18,SZTH2A-A1-17</t>
  </si>
  <si>
    <t>2018/5/4关闭8个。SZTH2C-C1-07~18,SZTH2C-C1-10,SZTH2C-C2-07~08,SZTH2C-C2-10，SZTH2C-C2-09,SZTH2C-C1-09</t>
  </si>
  <si>
    <t>SZTH2D-D1-23,SZTH2D-D1-24关闭2个。</t>
  </si>
  <si>
    <t>SZTH2C-C2-01 SZTH2C-C2-02</t>
  </si>
  <si>
    <t>2021/4/29开通，4月计费2天：SZTH2D-D1-19、SZTH2D-D1-20、SZTH2D-D1-21</t>
  </si>
  <si>
    <t>2021/4/30开通，4月计费1天：SZTH2D-D1-22</t>
  </si>
  <si>
    <t>2021/5/31开通，计费1天：SZTH2C-C4-21、SZTH2C-C8-19、SZTH2D-D1-23、SZTH2D-D1-24</t>
  </si>
  <si>
    <t>SZTH2D-D1-20</t>
  </si>
  <si>
    <t>布线机柜，免费</t>
  </si>
  <si>
    <t>SZTH2D-D1-01、SZTH2D-D1-02、SZTH2D-D1-03、SZTH2D-D1-04</t>
  </si>
  <si>
    <t>SZTH2B-B2-01、SZTH2B-B2-02、SZTH2B-B2-03、SZTH2B-B2-04、SZTH2B-B2-05、SZTH2B-B2-07、SZTH2B-B2-08、SZTH2B-B2-11、SZTH2B-B2-12、SZTH2B-B2-17、SZTH2B-B2-19、SZTH2B-B2-20、SZTH2B-B3-01、SZTH2B-B3-02、SZTH2B-B3-03、SZTH2B-B3-04、SZTH2B-B3-05、SZTH2B-B3-06、SZTH2B-B3-07、SZTH2B-B3-08、SZTH2B-B3-09、SZTH2B-B3-10、SZTH2B-B3-11、SZTH2B-B3-12、SZTH2B-B3-13、SZTH2B-B3-14、SZTH2B-B3-15、SZTH2B-B3-16、SZTH2B-B3-17、SZTH2B-B4-04、SZTH2B-B4-05、SZTH2B-B4-06、SZTH2B-B4-09、SZTH2B-B4-12、SZTH2B-B4-14、SZTH2B-B4-15、SZTH2B-B4-16、SZTH2B-B4-17、SZTH2B-B4-18、SZTH2B-B4-20、SZTH2B-B5-01、SZTH2B-B5-02、SZTH2B-B5-03、SZTH2B-B5-04、SZTH2B-B5-06、SZTH2B-B5-07、SZTH2B-B5-08、SZTH2B-B5-09、SZTH2B-B5-10、SZTH2B-B5-12、SZTH2B-B5-13、SZTH2B-B5-15、SZTH2B-B5-16、SZTH2B-B5-17、SZTH2B-B6-02、SZTH2B-B6-04、SZTH2B-B6-08、SZTH2B-B6-11、SZTH2B-B6-15、SZTH2B-B6-16、SZTH2B-B7-01、SZTH2B-B7-03、SZTH2B-B7-06、SZTH2B-B7-08、SZTH2B-B7-09、SZTH2B-B7-10、SZTH2B-B7-12、SZTH2B-B7-13、SZTH2B-B7-14、SZTH2B-B7-16、SZTH2B-B7-18、SZTH2B-B7-19、SZTH2B-B7-20、SZTH2B-B8-02、SZTH2B-B8-03、SZTH2B-B8-04、SZTH2B-B8-05、SZTH2B-B8-06、SZTH2B-B8-08、SZTH2B-B8-09、SZTH2B-B8-14、SZTH2B-B8-15、SZTH2B-B8-16、SZTH2B-B8-18、SZTH2B-B8-19、SZTH2B-B9-02、SZTH2B-B9-05、SZTH2B-B9-06、SZTH2B-B9-07、SZTH2B-B9-08、SZTH2B-B9-11、SZTH2B-B9-12、SZTH2B-B9-13、SZTH2B-B9-14、SZTH2B-B9-15、SZTH2B-B9-16</t>
  </si>
  <si>
    <t>SZTH2A-A4-20、SZTH2A-A4-18、SZTH2A-A4-17、SZTH2A-A4-16、SZTH2A-A4-15、SZTH2A-A4-14、SZTH2A-A4-13、SZTH2A-A4-12、SZTH2A-A4-11、SZTH2A-A4-10、SZTH2A-A4-09、SZTH2A-A4-08、SZTH2A-A4-05、SZTH2A-A4-04、SZTH2A-A4-03、SZTH2A-A3-20、SZTH2A-A3-19、SZTH2A-A3-18、SZTH2A-A3-17、SZTH2A-A3-16、SZTH2A-A3-15、SZTH2A-A3-14、SZTH2A-A3-13、SZTH2A-A3-12、SZTH2A-A3-11、SZTH2A-A3-10、SZTH2A-A3-09、SZTH2A-A3-08、SZTH2A-A3-07、SZTH2A-A3-06、SZTH2A-A3-05、SZTH2A-A3-04、SZTH2A-A3-03、SZTH2A-A2-20、SZTH2A-A2-19、SZTH2A-A2-18、SZTH2A-A2-17、SZTH2A-A2-16、SZTH2A-A2-11、SZTH2A-A2-09、SZTH2A-A2-08、SZTH2A-A2-07、SZTH2A-A2-05、SZTH2A-A2-04、SZTH2A-A2-03、SZTH2A-A2-01、SZTH2A-A1-20、SZTH2A-A1-17、SZTH2A-A1-13、SZTH2A-A1-12、SZTH2A-A1-11、SZTH2A-A1-09、SZTH2A-A1-07、SZTH2A-A1-06、SZTH2A-A1-04、SZTH2A-A1-03、SZTH2A-A1-02、SZTH2A-A1-01</t>
  </si>
  <si>
    <t>SZTH2D-D8-02、SZTH2D-D8-05、SZTH2D-D8-08、SZTH2D-D8-11、SZTH2D-D9-06、SZTH2D-D9-09、SZTH2D-D9-14、SZTH2D-D9-17、SZTH2D-D9-20、SZTH2D-D9-23、SZTH2B-B1-01、SZTH2B-B1-02、SZTH2B-B1-03、SZTH2B-B1-05、SZTH2B-B1-07、SZTH2B-B1-08、SZTH2B-B1-09、SZTH2B-B1-10、SZTH2B-B1-12、SZTH2B-B1-13、SZTH2B-B1-14、SZTH2B-B1-15、SZTH2B-B1-18、SZTH2B-B2-06、SZTH2B-B2-09、SZTH2B-B2-13、SZTH2B-B2-14、SZTH2B-B2-15、SZTH2B-B2-16、SZTH2B-B2-18、SZTH2B-B3-18、SZTH2B-B4-01、SZTH2B-B4-03、SZTH2B-B4-07、SZTH2B-B4-08、SZTH2B-B4-10、SZTH2B-B4-11、SZTH2B-B4-13、SZTH2B-B4-19、SZTH2B-B5-05、SZTH2B-B5-11、SZTH2B-B5-18、SZTH2B-B6-01、SZTH2B-B6-05、SZTH2B-B6-07、SZTH2B-B6-09、SZTH2B-B6-10、SZTH2B-B6-12、SZTH2B-B7-02、SZTH2B-B7-04、SZTH2B-B7-05、SZTH2B-B7-17、SZTH2B-B8-07、SZTH2B-B8-10、SZTH2B-B8-11、SZTH2B-B8-12、SZTH2B-B8-13、SZTH2B-B8-17、SZTH2B-B9-03、SZTH2B-B9-04、SZTH2B-B9-09、SZTH2B-B9-10、SZTH2B-B9-17、SZTH2B-B9-18</t>
  </si>
  <si>
    <t>SZTH2A-A1-08、SZTH2A-A1-10、SZTH2A-A1-14、SZTH2A-A1-18、SZTH2A-A1-21、SZTH2A-A2-02、SZTH2A-A2-06、SZTH2A-A2-10、SZTH2A-A2-12、SZTH2A-A2-13、SZTH2A-A2-14、SZTH2A-A3-01、SZTH2A-A3-02、SZTH2A-A3-21、SZTH2A-A3-22、SZTH2A-A4-01、SZTH2A-A4-02、SZTH2A-A4-06、SZTH2A-A4-07、SZTH2A-A4-19</t>
  </si>
  <si>
    <t>SZTH2B-B1-04、SZTH2B-B1-06、SZTH2B-B1-11、SZTH2B-B1-16、SZTH2B-B1-17、SZTH2B-B2-10、SZTH2B-B4-02、SZTH2B-B5-14、SZTH2B-B6-03、SZTH2B-B6-06、SZTH2B-B6-13、SZTH2B-B6-14、SZTH2B-B7-07、SZTH2B-B7-11、SZTH2B-B7-15、SZTH2B-B8-01、SZTH2B-B8-20、SZTH2A-A1-22</t>
  </si>
  <si>
    <t>SZTH2D-D8-01、SZTH2D-D8-03、SZTH2D-D8-04、SZTH2D-D8-06、SZTH2D-D8-07、SZTH2D-D8-09、SZTH2D-D8-10、SZTH2D-D8-12、SZTH2D-D8-13、SZTH2D-D8-14、SZTH2D-D8-15、SZTH2D-D8-16、SZTH2D-D8-17、SZTH2D-D8-18、SZTH2D-D8-19、SZTH2D-D8-20、SZTH2D-D8-21、SZTH2D-D8-22、SZTH2D-D8-23、SZTH2D-D8-24、SZTH2D-D9-03、SZTH2D-D9-04、SZTH2D-D9-05、SZTH2D-D9-07、SZTH2D-D9-08、SZTH2D-D9-10、SZTH2D-D9-11、SZTH2D-D9-12、SZTH2D-D9-13、SZTH2D-D9-15、SZTH2D-D9-16、SZTH2D-D9-18、SZTH2D-D9-19、SZTH2D-D9-21、SZTH2D-D9-22、SZTH2D-D9-24</t>
  </si>
  <si>
    <t>L20230311006</t>
  </si>
  <si>
    <t>太湖机房一期（改造后）</t>
  </si>
  <si>
    <t>SZTH1D3C-08-01、SZTH1D3D-08-01、SZTH1D4B-01-18</t>
  </si>
  <si>
    <t>SZTH1D3C-06-08、SZTH1D3C-06-09、SZTH1D3C-05-02、SZTH1D3C-05-03、SZTH1D3C-05-04、SZTH1D3C-05-05、SZTH1D3C-05-06、SZTH1D3C-06-02、SZTH1D3C-06-03、SZTH1D3C-06-04、SZTH1D3C-07-02、SZTH1D3C-07-03、SZTH1D3C-07-04、SZTH1D3C-07-05、SZTH1D3C-07-06、SZTH1D3C-08-02、SZTH1D3C-08-03、SZTH1D3C-08-04、SZTH1D3D-01-10、SZTH1D3D-01-11、SZTH1D3D-04-10、SZTH1D3D-04-11、SZTH1D3D-06-09、SZTH1D3D-06-10、SZTH1D4B-02-10、SZTH1D4B-02-11、SZTH1D4B-05-07、SZTH1D4B-05-08</t>
  </si>
  <si>
    <t>202303 太湖机房一期（改造后）SZTH1D超电费用，暂按100A计提</t>
  </si>
  <si>
    <t>181915IDC00146</t>
  </si>
  <si>
    <t>太湖机房二期</t>
  </si>
  <si>
    <t>SZTH3D-D8-02</t>
  </si>
  <si>
    <t>SZTH3C-C1-06，SZTH3C-C1-08,SZTH3C-C1-11,SZTH3C-C1-13,SZTH3C-C2-06,SZTH3C-C2-08,SZTH3C-C2-11,SZTH3C-C2-13</t>
  </si>
  <si>
    <t>SZTH3A-A2-16,SZTH3B-B1-18,SZTH3C-C8-01,SZTH3D-D8-01,SZTH3C-C3-17~20</t>
  </si>
  <si>
    <t>SZTH3D-D1-01~11</t>
  </si>
  <si>
    <t>SZTH3D-D1-12</t>
  </si>
  <si>
    <t>SZTH3C-C3-13~23</t>
  </si>
  <si>
    <t>SZTH3D-D1-13~22,SZTH3D-D2-01~19,SZTH3D-D5-03~22,SZTH3D-D6-01~05,SZTH3D-D4-03~05</t>
  </si>
  <si>
    <t>SZTH3D-D4-18~19,SZTH3D-D6-10~12,SZTH3D-D2-20 ,SZTH3D-D3-01~04</t>
  </si>
  <si>
    <t>SZTH3D-D8-03~11,SZTH3B-B8-07~09</t>
  </si>
  <si>
    <t>SZTH3B-B1-08~14,SZTH3B-B8-01~03</t>
  </si>
  <si>
    <t>SZTH3D-D3-11~18,SZTH3D-D6-06~09,SZTH3D-D5-01~02,SZTH3D-D3-09~10,SZTH3D-D3-19,SZTH3D-D4-01,SZTH3D-D4-06~11</t>
  </si>
  <si>
    <t>SZTH3D-D4-12~17,SZTH3D-D4-20~22,SZTH3B-B1-01~03</t>
  </si>
  <si>
    <t>SZTH3D-D2-21,SZTH3D-D3-05~07</t>
  </si>
  <si>
    <t>SZTH3B-B1-04~07  SZTH3D-D4-02</t>
  </si>
  <si>
    <t>SZTH3D-D3-08，SZTH3B-B2-14~15</t>
  </si>
  <si>
    <t>SZTH3B-B1-15~17，SZTH3B-B2-01~05,07，08</t>
  </si>
  <si>
    <t>SZTH3B-B2-06，SZTH3D-D6-13~15，SZTH3B-B2-16，SZTH3B-B2-17</t>
  </si>
  <si>
    <t>SZTH3B-B8-04~05</t>
  </si>
  <si>
    <t>SZTH3B-B7-01，02；SZTH3B-B8-10~13,17,18；SZTH3B-B8-06</t>
  </si>
  <si>
    <t>SZTH3B-B8-12~13</t>
  </si>
  <si>
    <t>SZTH3B-B7-03~15</t>
  </si>
  <si>
    <t>SZTH3B-B2-13,SZTH3B-B2-09~12，SZTH3B-B3-01</t>
  </si>
  <si>
    <t>SZTH3C-C5-01~05</t>
  </si>
  <si>
    <t>SZTH3C-C5-19~21,SZTH3C-C6-01</t>
  </si>
  <si>
    <t>SZTH3C-C5-06~18,SZTH3B-B7-16,SZTH3B-D7-17,SZTH3D-D8-12~19,SZTH3D-D7-05</t>
  </si>
  <si>
    <t>SZTH3B-B3-13~17</t>
  </si>
  <si>
    <t>SZTH3B-B3-18，SZTH3B-B4-01</t>
  </si>
  <si>
    <t>SZTH3D-D7-6~19</t>
  </si>
  <si>
    <t>SZTH3B-B3-,3~4，SZTH3B-B3-6~12，SZTH3C-C6-14~17</t>
  </si>
  <si>
    <t>SZTH3B-B3-2,SZTH3C-C6-02~12</t>
  </si>
  <si>
    <t>SZTH3B-C6-13</t>
  </si>
  <si>
    <t>SZTH4C-C1-7,SZTH4C-C1-9,SZTH4C-C1-10,SZTH4C-C1-12,SZTH4C-C2-6,SZTH4C-C2-8,SZTH4C-C2-11,SZTH4C-C2-13。</t>
  </si>
  <si>
    <t>SZTH4C-C8-01,SZTH4A-A2-16,SZTH4B-B1-18,SZTH4D-D8-01。</t>
  </si>
  <si>
    <t>SZTH3C-C7-01~15,SZTH3C-D7-20</t>
  </si>
  <si>
    <t>SZTH3C-C7-16,SZTH3C-B4-04</t>
  </si>
  <si>
    <t>SZTH3B-B6-03~09,SZTH3B-B4-06,SZTH3B-D7-21</t>
  </si>
  <si>
    <t xml:space="preserve">SZTH3C-C7-19
SZTH3C-C7-20
SZTH3C-C7-21
SZTH3C-C8-07
SZTH3C-C8-08
SZTH3C-C8-09
SZTH3C-C8-10
</t>
  </si>
  <si>
    <t xml:space="preserve">SZTH3B-B4-3
SZTH3B-B4-8
</t>
  </si>
  <si>
    <t>SZTH3C-C8-11</t>
  </si>
  <si>
    <t xml:space="preserve">SZTH3C-C8-12
SZTH3C-C8-13
SZTH3D-D2-22
</t>
  </si>
  <si>
    <t xml:space="preserve">SZTH3B-B6-2
SZTH3B-B8-14
SZTH3B-B8-15
SZTH3B-B8-16
</t>
  </si>
  <si>
    <t>SZTH3B-B4-09</t>
  </si>
  <si>
    <t>SZTH3B-B6-16</t>
  </si>
  <si>
    <t>SZTH3B-B4-07、SZTH3C-C6-18、SZTH3C-C8-02、SZTH3C-C8-03</t>
  </si>
  <si>
    <t>SZTH4C-C1-7~12、SZTH4C-C2-6\8\11\13、SZTH4C-C8-1、SZTH4A-A2-16、SZTH4B-B1-18</t>
  </si>
  <si>
    <t>SZTH3B-B6-10~14</t>
  </si>
  <si>
    <t>SZTH3C-C7-17~18、SZTH3C-C8-4</t>
  </si>
  <si>
    <t>SZTH4C-C1-14~17</t>
  </si>
  <si>
    <t>跟运营商核对后，按核对后的清单更新计提表。清单中20A 单价5950共32个</t>
  </si>
  <si>
    <t xml:space="preserve">20190520开通:
SZTH3B-B5-06
SZTH3C-C8-14
SZTH3C-C8-15
</t>
  </si>
  <si>
    <t xml:space="preserve">20190521开通:
SZTH3A-A1-01
SZTH3A-A1-02
SZTH3A-A1-03
SZTH3A-A1-04
SZTH3A-A1-05
SZTH3A-A1-06
SZTH3A-A1-07
</t>
  </si>
  <si>
    <t>SZTH3B-B5-09·14</t>
  </si>
  <si>
    <t>跟运营商核对后，按核对后的清单更新计提表。清单中40A 单价11700共577个</t>
  </si>
  <si>
    <t>SZTH3A-A1-10 SZTH3B-B4-11</t>
  </si>
  <si>
    <t>SZTH3B-B5-08 SZTH3B-B6-17</t>
  </si>
  <si>
    <t>SZTH3A-A1-08 SZTH3A-A1-09 SZTH3B-B5-07 SZTH4C-C3-02</t>
  </si>
  <si>
    <t>SZTH3B-B4-10</t>
  </si>
  <si>
    <t>19.7.26开通1个SZTH3B-B5-05</t>
  </si>
  <si>
    <t>SZTH3A-A1-11</t>
  </si>
  <si>
    <t>与运营商协商从2022.6.1开始计费。按SYS提供的数据：19.8.9开通2个，SZTH3B-B6-18 SZTH3B-B4-16</t>
  </si>
  <si>
    <t>19.8.19开通15个：SZTH4C-C6-02~10；SZTH3C-C8-16~18；SZTH4C-C6-01、SZTH4C-C6-11、SZTH4C-C6-12</t>
  </si>
  <si>
    <t>与运营商协商从2022.6.1开始计费。按SYS提供的数据：19.8.28开通1个：SZTH3B-B5-04。</t>
  </si>
  <si>
    <t>SZTH3B-B4-14</t>
  </si>
  <si>
    <t>SZTH4C-C1-14、SZTH4C-C2-14</t>
  </si>
  <si>
    <t>SZTH3C-C3-14、SZTH4C-C1-15~SZTH4C-C1-17、SZTH4C-C2-15~SZTH4C-C2-17</t>
  </si>
  <si>
    <t>19.8.29关闭5个机柜。SZTH3B-B7-02 SZTH3B-B7-03 SZTH3B-B7-08 SZTH3B-B7-12 SZTH3B-B7-13</t>
  </si>
  <si>
    <t>SZTH4C-C1-15 SZTH4C-C1-16 SZTH4C-C2-15 SZTH4C-C2-16</t>
  </si>
  <si>
    <t>SZTH4C-C3-05  SZTH4C-C3-06</t>
  </si>
  <si>
    <t>SZTH4C-C3-03  SZTH4C-C3-04</t>
  </si>
  <si>
    <t>与运营商协商从2022.6.1开始计费。19.10添加在计提表中，SZTH3D-D7-04,RMS状态为开通，盘点结果为开通，线上也关联了这个资源</t>
  </si>
  <si>
    <t>SZTH3B-B7-12</t>
  </si>
  <si>
    <t>SZTH3D-D7-22、SZTH4C-C3-08、SZTH4C-C3-10</t>
  </si>
  <si>
    <t>SZTH3A-A2-04</t>
  </si>
  <si>
    <t>SZTH3B-B5-01、SZTH3B-B5-02、SZTH3B-B5-03</t>
  </si>
  <si>
    <t>SZTH3B-B7-08</t>
  </si>
  <si>
    <t>SZTH3A-A2-05、SZTH4C-C5-01、SZTH4C-C5-02、SZTH4C-C5-03、SZTH4C-C5-04</t>
  </si>
  <si>
    <t>SZTH4C-C4-02、SZTH4C-C4-03</t>
  </si>
  <si>
    <t>SZTH3B-B4-12、SZTH3B-B4-13、SZTH3B-B4-15</t>
  </si>
  <si>
    <t>SZTH4C-C3-09</t>
  </si>
  <si>
    <t>SZTH3B-B7-13、SZTH3B-B7-02、SZTH3B-B7-03</t>
  </si>
  <si>
    <t>SZTH4C-C4-07</t>
  </si>
  <si>
    <t>SZTH4C-C4-08</t>
  </si>
  <si>
    <t>SZTH4C-C6-13、SZTH4C-C6-14、SZTH4C-C6-15</t>
  </si>
  <si>
    <t>SZTH4C-C5-09、SZTH4C-C5-10、SZTH4C-C5-11、SZTH4C-C5-12、SZTH4C-C5-13、SZTH4C-C5-14</t>
  </si>
  <si>
    <t>与运营商协商从2022.6.1开始计费。SZTH4C-C5-08。</t>
  </si>
  <si>
    <t>SZTH-云托管</t>
  </si>
  <si>
    <t>SZTH3C-C3-01</t>
  </si>
  <si>
    <t>SZTH3C-C1-01</t>
  </si>
  <si>
    <t>SZTH4C-C1-04、SZTH4C-C1-05、SZTH4C-C2-02</t>
  </si>
  <si>
    <t>SZTH3C-C3-02</t>
  </si>
  <si>
    <t>SZTH3A-A2-12、SZTH3A-A2-13</t>
  </si>
  <si>
    <t>SZTH3A-A2-14</t>
  </si>
  <si>
    <t>SZTH3B-B4-07</t>
  </si>
  <si>
    <t>SZTH4C-C1-02、SZTH4C-C1-03</t>
  </si>
  <si>
    <t>SZTH4C-C5-15</t>
  </si>
  <si>
    <t>SZTH3C-C4-01、SZTH3C-C4-02、SZTH3C-C4-03、SZTH3C-C4-04、SZTH3C-C4-05</t>
  </si>
  <si>
    <t>SZTH3B-B4-17、SZTH3B-B4-18、SZTH4C-C4-10、SZTH4C-C4-11</t>
  </si>
  <si>
    <t>SZTH3C-C3-03</t>
  </si>
  <si>
    <t>SZTH4C-C6-16、SZTH4C-C6-17</t>
  </si>
  <si>
    <t>SZTH4C-C6-18</t>
  </si>
  <si>
    <t>SZTH4C-C5-16、SZTH4C-C5-18</t>
  </si>
  <si>
    <t>SZTH4C-C5-05</t>
  </si>
  <si>
    <t>SZTH4C-C7-12</t>
  </si>
  <si>
    <t>SZTH4C-C2-04、SZTH4C-C2-05</t>
  </si>
  <si>
    <t>SZTH4B-B1-01、SZTH4B-B1-02</t>
  </si>
  <si>
    <t>SZTH4C-C5-17、SZTH4C-C5-19、SZTH4C-C5-20、SZTH4C-C5-21</t>
  </si>
  <si>
    <t>202010SYS更新开通时间，拆分计提行。9月反馈20209/9/14开通27个，实际为2020/9/4开通17个，20209/9/14开通10个，SZTH4B-B2-01、SZTH4B-B2-02、SZTH4B-B2-03、SZTH4B-B2-04、SZTH4B-B2-05、SZTH4B-B2-06、SZTH4B-B2-07、SZTH4B-B2-08、SZTH4B-B2-09、SZTH4B-B2-10、SZTH4B-B2-11、SZTH4B-B2-12、SZTH4B-B2-13、SZTH4B-B2-14、SZTH4B-B2-15、SZTH4B-B2-16、SZTH4B-B2-17</t>
  </si>
  <si>
    <t>202010SYS更新开通时间，拆分计提行。9月反馈20209/9/14开通27个，实际为2020/9/4开通17个，20209/9/14开通10个
SZTH4B-B3-09、SZTH4B-B3-10、SZTH4B-B3-11、SZTH4B-B3-12、SZTH4B-B3-13、SZTH4B-B3-14、SZTH4B-B3-15、SZTH4B-B3-16、SZTH4B-B3-17、SZTH4B-B3-18</t>
  </si>
  <si>
    <t>SZTH4B-B4-17、SZTH4B-B4-10、SZTH4B-B4-09、SZTH4B-B4-11、SZTH4B-B4-12、SZTH4B-B4-13、SZTH4B-B4-14、SZTH4B-B4-15、SZTH4B-B4-16、SZTH4B-B4-18</t>
  </si>
  <si>
    <t>SZTH4B-B2-18、SZTH4B-B5-01、SZTH4B-B5-02、SZTH4B-B5-03、SZTH4B-B5-04、SZTH4B-B5-05、SZTH4B-B5-06、SZTH4B-B5-07、SZTH4B-B5-08、SZTH4B-B5-09、SZTH4B-B5-10、SZTH4B-B5-11、SZTH4B-B5-12、SZTH4B-B5-13、SZTH4B-B5-14、SZTH4B-B6-01、SZTH4B-B6-02、SZTH4B-B6-03、SZTH4B-B6-04、SZTH4B-B6-05、SZTH4B-B6-06、SZTH4B-B6-07、SZTH4B-B6-08、SZTH4B-B6-09、SZTH4B-B6-10、SZTH4B-B6-11、SZTH4B-B6-12、SZTH4B-B6-13、SZTH4B-B6-14、SZTH4B-B6-15、SZTH4B-B6-16、SZTH4B-B6-17、SZTH4B-B6-18</t>
  </si>
  <si>
    <t>SZTH4B-B1-07、SZTH4B-B1-08、SZTH4B-B1-09</t>
  </si>
  <si>
    <t>SZTH4B-B1-10、SZTH4B-B1-11、SZTH4B-B1-12、SZTH4B-B1-13、SZTH4B-B1-14、SZTH4B-B1-15、SZTH4B-B1-16、SZTH4B-B1-17、SZTH4B-B1-05、SZTH4B-B1-06</t>
  </si>
  <si>
    <t>SZTH4C-C7-16</t>
  </si>
  <si>
    <t>2020/10/14开通，计费18天。SZTH4B-B4-01、SZTH4B-B4-02、SZTH4B-B4-03、SZTH4B-B4-04、SZTH4B-B4-05</t>
  </si>
  <si>
    <t>2020/10/15开通，计费17天。SZTH4B-B3-01、SZTH4B-B3-02、SZTH4B-B3-03、SZTH4B-B3-04、SZTH4B-B3-05、SZTH4B-B3-06、SZTH4B-B3-07</t>
  </si>
  <si>
    <t>2020/11/10开通，计费21天：SZTH4A-A1-06</t>
  </si>
  <si>
    <t>2020/11/12开通，计费19天
SZTH3C-C3-04、SZTH3C-C3-05、SZTH3C-C3-06、SZTH3C-C3-07、SZTH3C-C3-08、SZTH3C-C3-09、SZTH3C-C3-10、SZTH3C-C4-08、SZTH3C-C4-09、SZTH3C-C4-10、SZTH3C-C4-11、SZTH4A-A1-01、SZTH4A-A1-02、SZTH4A-A1-03、SZTH4A-A1-04、SZTH4A-A1-05、SZTH4A-A1-07、SZTH4A-A1-08、SZTH4A-A1-09、SZTH4A-A1-10、SZTH4A-A1-11、SZTH4A-A1-12、SZTH4A-A1-13、</t>
  </si>
  <si>
    <t>SZTH4A-A2-05、SZTH4A-A2-04、SZTH4A-A2-03、SZTH4A-A2-02、SZTH4A-A2-01、SZTH4A-A1-16、SZTH4A-A1-15</t>
  </si>
  <si>
    <t>2020/12/8开通，计费24天
SZTH4A-A2-06、SZTH4A-A2-07、SZTH4A-A2-08、SZTH4A-A2-09、SZTH4A-A2-10、SZTH4A-A2-11、SZTH4A-A2-12、SZTH4A-A2-13、SZTH4A-A2-14</t>
  </si>
  <si>
    <t>2020/12/8开通，计费17天。SZTH4A-A2-15</t>
  </si>
  <si>
    <t>2020/12/14开通，计费18天：SZTH4B-B3-08、SZTH4B-B4-06、SZTH4B-B4-07、SZTH4B-B4-08</t>
  </si>
  <si>
    <t>SYS20210222更新SZTH18个机架开通时间，由原2021/1/30开通，更新为2020/12/30
SZTH4C-C3-11、SZTH4C-C3-12、SZTH4C-C3-13、SZTH4C-C3-14、SZTH4C-C3-15、SZTH4C-C3-16、SZTH4C-C3-17、SZTH4C-C3-18、SZTH4C-C4-12、SZTH4C-C4-13、SZTH4C-C4-14、SZTH4C-C4-15、SZTH4C-C4-16、SZTH4C-C4-17、SZTH4C-C4-18、SZTH4C-C4-19、SZTH4C-C4-20、SZTH4C-C4-21</t>
  </si>
  <si>
    <t>2021/2/3开通，计费26天：SZTH4B-B1-03</t>
  </si>
  <si>
    <t>2021/2/24开通，计费5天：SZTH4B-B1-04</t>
  </si>
  <si>
    <t>2021/3/15开通，3月计费17天：
SZTH4C-C7-14、SZTH4C-C7-15</t>
  </si>
  <si>
    <t>2021/3/26开通，3月计费6天
SZTH4B-B7-12、SZTH4B-B7-13、SZTH4B-B7-14、SZTH4B-B7-15、SZTH4B-B7-16、SZTH4B-B7-17、SZTH4B-B7-18</t>
  </si>
  <si>
    <t>2021/4/15开通，4月计费16天：SZTH4B-B8-01、SZTH4B-B8-02、SZTH4B-B8-03、SZTH4B-B8-04、SZTH4B-B8-05</t>
  </si>
  <si>
    <t>2021/4/2开通，4月计费29天：SZTH4C-C1-17、SZTH4C-C2-17</t>
  </si>
  <si>
    <t>2021/5/11关闭，5月冲销20天费用：SZTH3A-A2-14</t>
  </si>
  <si>
    <t>2021/5/17关闭，5月冲销14天费用：SZTH3A-A1-08、SZTH3A-A1-09、SZTH3A-A1-10</t>
  </si>
  <si>
    <t>2021/5/27关闭，5月冲销4天费用：SZTH4B-B1-03</t>
  </si>
  <si>
    <t>202106调整计提行，5月计提表为开19个，拆分成15+4个：SZTH3A-A1-08、SZTH3A-A1-09、SZTH3A-A1-10、SZTH3A-A2-14（当月关闭当月开通的还在正式合同上）</t>
  </si>
  <si>
    <t>太湖机房二期4楼</t>
  </si>
  <si>
    <t>2021/7/13开通，7月计费19天：SZTH4C-C1-18、SZTH4C-C2-18</t>
  </si>
  <si>
    <t>太湖机房二期3楼</t>
  </si>
  <si>
    <t>2021/7/28关闭机架，冲销3天费用：SZTH3C-C3-03</t>
  </si>
  <si>
    <t>2021/10/13开通机架，10月计费19天：SZTH4C-C1-01</t>
  </si>
  <si>
    <t>与运营商协商从2022.6.1开始计费。SZTH3C-C8-19、SZTH3C-C8-20、SZTH3C-C8-21
2021.11运营商盘点发现该机架未计费，经核对开通时间与电流与SYS记录一致，追诉期3个，从2021.8开始计费
运营商账单中无此机架。</t>
  </si>
  <si>
    <t>SZTH4C-C2-03</t>
  </si>
  <si>
    <t>SZTH3C-C4-02、SZTH3C-C4-03、SZTH3C-C4-04、SZTH3C-C4-05</t>
  </si>
  <si>
    <t>SZTH4C-C3-13、SZTH4C-C3-14、SZTH4C-C3-16、SZTH4C-C4-12、SZTH4C-C4-13、SZTH4C-C4-14、SZTH4C-C4-15、SZTH4C-C4-16</t>
  </si>
  <si>
    <t>SZTH4C-C2-05</t>
  </si>
  <si>
    <t>SZTH3C-C4-01</t>
  </si>
  <si>
    <t>SZTH3C-C5-01、SZTH3C-C5-02、SZTH3C-C5-03、SZTH3C-C5-04、SZTH3C-C5-07、SZTH3C-C5-08、SZTH3C-C5-09、SZTH3C-C5-10、SZTH3C-C5-12、SZTH3C-C5-13、SZTH3C-C5-14、SZTH3C-C5-15、SZTH3C-C5-16、SZTH3C-C5-17、SZTH3C-C5-18、SZTH3C-C5-20、SZTH3C-C5-21、SZTH3C-C6-01、SZTH3C-C6-03、SZTH3C-C6-04、SZTH3C-C6-05、SZTH3C-C6-06、SZTH3C-C6-07、SZTH3C-C6-08、SZTH3C-C6-09、SZTH3C-C6-10、SZTH3C-C6-11、SZTH3C-C6-13、SZTH3C-C6-14、SZTH3C-C6-15、SZTH3C-C6-16、SZTH3C-C6-18、SZTH3C-C7-01、SZTH3C-C7-04、SZTH3C-C7-05、SZTH3C-C7-06、SZTH3C-C7-08、SZTH3C-C7-09、SZTH3C-C7-10、SZTH3C-C7-12、SZTH3C-C7-13、SZTH3C-C7-16、SZTH3C-C7-17、SZTH3C-C7-19、SZTH3C-C8-02、SZTH3C-C8-03、SZTH3C-C8-04、SZTH3C-C8-05、SZTH3C-C8-07、SZTH3C-C8-09、SZTH3C-C8-11、SZTH3C-C8-12、SZTH3C-C8-13、SZTH3C-C8-14、SZTH3C-C8-15</t>
  </si>
  <si>
    <t>SZTH3C-C5-05、SZTH3C-C5-06、SZTH3C-C5-11、SZTH3C-C5-19、SZTH3C-C6-02、SZTH3C-C6-12、SZTH3C-C6-17、SZTH3C-C7-02、SZTH3C-C7-03、SZTH3C-C7-07、SZTH3C-C7-11、SZTH3C-C7-14、SZTH3C-C7-15、SZTH3C-C7-18、SZTH3C-C7-20、SZTH3C-C7-21、SZTH3C-C8-06、SZTH3C-C8-08、SZTH3C-C8-10、SZTH3C-C8-16、SZTH3C-C8-17、SZTH3C-C8-18、SZTH3C-C8-19、SZTH3C-C8-20、SZTH3C-C8-21</t>
  </si>
  <si>
    <t>SZTH3D-D1-01、SZTH3D-D1-02、SZTH3D-D1-03、SZTH3D-D1-04、SZTH3D-D1-05、SZTH3D-D1-06、SZTH3D-D1-07、SZTH3D-D1-08、SZTH3D-D1-09、SZTH3D-D1-10、SZTH3D-D1-11、SZTH3D-D1-12、SZTH3D-D1-13、SZTH3D-D1-14、SZTH3D-D1-15、SZTH3D-D1-16、SZTH3D-D1-17、SZTH3D-D1-18、SZTH3D-D1-19、SZTH3D-D1-20、SZTH3D-D1-21、SZTH3D-D1-22、SZTH3D-D2-01、SZTH3D-D2-02、SZTH3D-D2-03、SZTH3D-D2-04、SZTH3D-D2-05、SZTH3D-D2-06、SZTH3D-D2-07、SZTH3D-D2-08、SZTH3D-D2-09、SZTH3D-D2-10、SZTH3D-D2-11、SZTH3D-D2-12、SZTH3D-D2-13、SZTH3D-D2-14、SZTH3D-D2-15、SZTH3D-D2-16、SZTH3D-D2-17、SZTH3D-D2-18、SZTH3D-D2-19、SZTH3D-D2-20、SZTH3D-D2-21、SZTH3D-D2-22、SZTH3D-D3-01、SZTH3D-D3-02、SZTH3D-D3-03、SZTH3D-D3-04、SZTH3D-D3-05、SZTH3D-D3-06、SZTH3D-D3-07、SZTH3D-D3-08、SZTH3D-D3-09、SZTH3D-D3-10、SZTH3D-D3-11、SZTH3D-D3-12、SZTH3D-D3-13、SZTH3D-D3-14、SZTH3D-D3-15、SZTH3D-D3-16、SZTH3D-D3-17、SZTH3D-D3-18、SZTH3D-D3-19、SZTH3D-D4-01、SZTH3D-D4-02、SZTH3D-D4-03、SZTH3D-D4-04、SZTH3D-D4-05、SZTH3D-D4-06、SZTH3D-D4-07、SZTH3D-D4-08、SZTH3D-D4-09、SZTH3D-D4-10、SZTH3D-D4-11、SZTH3D-D4-12、SZTH3D-D4-13、SZTH3D-D4-14、SZTH3D-D4-15、SZTH3D-D4-16、SZTH3D-D4-17、SZTH3D-D4-18、SZTH3D-D4-19、SZTH3D-D4-20、SZTH3D-D4-21、SZTH3D-D4-22、SZTH3D-D5-01、SZTH3D-D5-02、SZTH3D-D5-03、SZTH3D-D5-04、SZTH3D-D5-05、SZTH3D-D5-06、SZTH3D-D5-07、SZTH3D-D5-08、SZTH3D-D5-09、SZTH3D-D5-10、SZTH3D-D5-11、SZTH3D-D5-12、SZTH3D-D5-13、SZTH3D-D5-14、SZTH3D-D5-15、SZTH3D-D5-16、SZTH3D-D5-17、SZTH3D-D5-18、SZTH3D-D5-19、SZTH3D-D5-20、SZTH3D-D5-21、SZTH3D-D5-22、SZTH3D-D6-01、SZTH3D-D6-02、SZTH3D-D6-03、SZTH3D-D6-04、SZTH3D-D6-05、SZTH3D-D6-06、SZTH3D-D6-07、SZTH3D-D6-08、SZTH3D-D6-09、SZTH3D-D6-10、SZTH3D-D6-11、SZTH3D-D6-12、SZTH3D-D6-13、SZTH3D-D6-14、SZTH3D-D6-15、SZTH3D-D6-16、SZTH3D-D6-17、SZTH3D-D6-18、SZTH3D-D6-19、SZTH3D-D7-01、SZTH3D-D7-02、SZTH3D-D7-03、SZTH3D-D7-04、SZTH3D-D7-05、SZTH3D-D7-06、SZTH3D-D7-07、SZTH3D-D7-08、SZTH3D-D7-09、SZTH3D-D7-10、SZTH3D-D7-11、SZTH3D-D7-12、SZTH3D-D7-13、SZTH3D-D7-14、SZTH3D-D7-15、SZTH3D-D7-16、SZTH3D-D7-17、SZTH3D-D7-18、SZTH3D-D7-19、SZTH3D-D7-20、SZTH3D-D7-21、SZTH3D-D7-22、SZTH3D-D8-02、SZTH3D-D8-03、SZTH3D-D8-04、SZTH3D-D8-05、SZTH3D-D8-06、SZTH3D-D8-07、SZTH3D-D8-08、SZTH3D-D8-09、SZTH3D-D8-10、SZTH3D-D8-11、SZTH3D-D8-12、SZTH3D-D8-13、SZTH3D-D8-14、SZTH3D-D8-15、SZTH3D-D8-16、SZTH3D-D8-17、SZTH3D-D8-18、SZTH3D-D8-19、SZTH3D-D8-20、SZTH3D-D8-21、SZTH3D-D8-22</t>
  </si>
  <si>
    <t>SZTH3C-C4-16、SZTH3C-C4-17、SZTH3C-C4-18、SZTH3C-C4-19、SZTH3C-C4-20、SZTH3C-C4-21、SZTH3C-C4-22、SZTH3C-C4-23</t>
  </si>
  <si>
    <t>SZTH4B-B1-01、SZTH4B-B1-02、SZTH4B-B1-04、SZTH4B-B1-05、SZTH4B-B1-06、SZTH4B-B1-12、SZTH4B-B1-13、SZTH4B-B1-14、SZTH4B-B1-16、SZTH4B-B1-17、SZTH4B-B2-01、SZTH4B-B2-02、SZTH4B-B2-03、SZTH4B-B2-05、SZTH4B-B2-06、SZTH4B-B2-07、SZTH4B-B2-08、SZTH4B-B2-09、SZTH4B-B2-10、SZTH4B-B2-11、SZTH4B-B2-12、SZTH4B-B2-13、SZTH4B-B2-15、SZTH4B-B2-18、SZTH4B-B3-09、SZTH4B-B3-10、SZTH4B-B3-11、SZTH4B-B3-12、SZTH4B-B3-13、SZTH4B-B3-14、SZTH4B-B3-15、SZTH4B-B3-16、SZTH4B-B3-17、SZTH4B-B3-18、SZTH4B-B4-09、SZTH4B-B4-10、SZTH4B-B4-11、SZTH4B-B4-12、SZTH4B-B4-13、SZTH4B-B4-14、SZTH4B-B4-15、SZTH4B-B4-16、SZTH4B-B4-18、SZTH4B-B5-01、SZTH4B-B5-02、SZTH4B-B5-03、SZTH4B-B5-04、SZTH4B-B5-05、SZTH4B-B5-06、SZTH4B-B5-07、SZTH4B-B5-08、SZTH4B-B5-09、SZTH4B-B5-10、SZTH4B-B5-11、SZTH4B-B5-12、SZTH4B-B5-13、SZTH4B-B5-14、SZTH4B-B6-02、SZTH4B-B6-03、SZTH4B-B6-04、SZTH4B-B6-05、SZTH4B-B6-07、SZTH4B-B6-08、SZTH4B-B6-09、SZTH4B-B6-10、SZTH4B-B6-11、SZTH4B-B6-12、SZTH4B-B6-13、SZTH4B-B6-14、SZTH4B-B6-15、SZTH4B-B6-16</t>
  </si>
  <si>
    <t>SZTH4B-B6-01、SZTH4B-B6-17、SZTH4B-B4-17、SZTH4B-B2-17、SZTH4B-B2-16、SZTH4B-B2-14、SZTH4B-B1-15、SZTH4B-B1-10、SZTH4B-B1-11、SZTH4B-B6-18、SZTH4B-B1-07、SZTH4B-B1-08、SZTH4B-B1-09、SZTH4B-B6-06</t>
  </si>
  <si>
    <t>SZTH4C-C5-01、SZTH4C-C5-02、SZTH4C-C5-03、SZTH4C-C5-04、SZTH4C-C5-05、SZTH4C-C5-08、SZTH4C-C5-09、SZTH4C-C5-10、SZTH4C-C5-11、SZTH4C-C5-12、SZTH4C-C5-13、SZTH4C-C5-14、SZTH4C-C5-15、SZTH4C-C5-16、SZTH4C-C5-17、SZTH4C-C5-18、SZTH4C-C5-19、SZTH4C-C5-20、SZTH4C-C5-21、SZTH4C-C6-01、SZTH4C-C6-02、SZTH4C-C6-03、SZTH4C-C6-04、SZTH4C-C6-05、SZTH4C-C6-06、SZTH4C-C6-07、SZTH4C-C6-08、SZTH4C-C6-09、SZTH4C-C6-10、SZTH4C-C6-11、SZTH4C-C6-12、SZTH4C-C6-16、SZTH4C-C6-17、SZTH4C-C6-18、SZTH4C-C7-01、SZTH4C-C7-02、SZTH4C-C7-03、SZTH4C-C7-04、SZTH4C-C7-05、SZTH4C-C7-06、SZTH4C-C7-07、SZTH4C-C7-08、SZTH4C-C7-09、SZTH4C-C7-10、SZTH4C-C7-12、SZTH4C-C7-14、SZTH4C-C7-15、SZTH4C-C7-16、SZTH4C-C8-02、SZTH4C-C8-03、SZTH4C-C8-04、SZTH4C-C8-06、SZTH4C-C8-07、SZTH4C-C8-08、SZTH4C-C8-09、SZTH4C-C8-10、SZTH4C-C8-11、SZTH4C-C8-13、SZTH4C-C8-14、SZTH4C-C8-15、SZTH4C-C8-16、SZTH4C-C8-17、SZTH4C-C8-18、SZTH4C-C8-19、SZTH4C-C8-20、SZTH4C-C8-21、SZTH4D-D1-01、SZTH4D-D1-03、SZTH4D-D1-04、SZTH4D-D1-05、SZTH4D-D1-06、SZTH4D-D1-08、SZTH4D-D1-09、SZTH4D-D1-10、SZTH4D-D1-11、SZTH4D-D1-12、SZTH4D-D1-15、SZTH4D-D1-16、SZTH4D-D1-17、SZTH4D-D1-18、SZTH4D-D1-19、SZTH4D-D1-20、SZTH4D-D1-21、SZTH4D-D1-22、SZTH4D-D2-01、SZTH4D-D2-02、SZTH4D-D2-03、SZTH4D-D2-04、SZTH4D-D2-05、SZTH4D-D2-06、SZTH4D-D2-07、SZTH4D-D2-08、SZTH4D-D2-09、SZTH4D-D2-10、SZTH4D-D2-11、SZTH4D-D2-12、SZTH4D-D2-13、SZTH4D-D2-14、SZTH4D-D2-15、SZTH4D-D2-16、SZTH4D-D2-17、SZTH4D-D2-18、SZTH4D-D2-19、SZTH4D-D2-20、SZTH4D-D2-21、SZTH4D-D2-22、SZTH4D-D3-01、SZTH4D-D3-02、SZTH4D-D3-03、SZTH4D-D3-04、SZTH4D-D3-05、SZTH4D-D3-06、SZTH4D-D3-07、SZTH4D-D3-08、SZTH4D-D3-09、SZTH4D-D3-10、SZTH4D-D3-11、SZTH4D-D3-12、SZTH4D-D3-13、SZTH4D-D3-14、SZTH4D-D3-15、SZTH4D-D3-16、SZTH4D-D3-17、SZTH4D-D3-18、SZTH4D-D3-19、SZTH4D-D4-01、SZTH4D-D4-02、SZTH4D-D4-03、SZTH4D-D4-04、SZTH4D-D4-05、SZTH4D-D4-06、SZTH4D-D4-07、SZTH4D-D4-08、SZTH4D-D4-09、SZTH4D-D4-10、SZTH4D-D4-11、SZTH4D-D4-12、SZTH4D-D4-13、SZTH4D-D4-14、SZTH4D-D4-15、SZTH4D-D4-16、SZTH4D-D4-17、SZTH4D-D4-18、SZTH4D-D4-19、SZTH4D-D4-20、SZTH4D-D4-21、SZTH4D-D4-22、SZTH4D-D5-01、SZTH4D-D5-02、SZTH4D-D5-03、SZTH4D-D5-04、SZTH4D-D5-05、SZTH4D-D5-06、SZTH4D-D5-07、SZTH4D-D5-08、SZTH4D-D5-09、SZTH4D-D5-10、SZTH4D-D5-11、SZTH4D-D5-12、SZTH4D-D5-13、SZTH4D-D5-14、SZTH4D-D5-15、SZTH4D-D5-16、SZTH4D-D5-17、SZTH4D-D5-18、SZTH4D-D5-19、SZTH4D-D5-20、SZTH4D-D5-21、SZTH4D-D5-22、SZTH4D-D6-01、SZTH4D-D6-02、SZTH4D-D6-03、SZTH4D-D6-04、SZTH4D-D6-05、SZTH4D-D6-06、SZTH4D-D6-07、SZTH4D-D6-08、SZTH4D-D6-09、SZTH4D-D6-10、SZTH4D-D6-11、SZTH4D-D6-12、SZTH4D-D6-13、SZTH4D-D6-14、SZTH4D-D6-15、SZTH4D-D6-16、SZTH4D-D6-17、SZTH4D-D6-18、SZTH4D-D6-19、SZTH4D-D7-01、SZTH4D-D7-02、SZTH4D-D7-03、SZTH4D-D7-04、SZTH4D-D7-05、SZTH4D-D7-07、SZTH4D-D7-08、SZTH4D-D7-11、SZTH4D-D7-12、SZTH4D-D7-13、SZTH4D-D7-14、SZTH4D-D7-15、SZTH4D-D7-16、SZTH4D-D7-17、SZTH4D-D7-18、SZTH4D-D7-19、SZTH4D-D7-20、SZTH4D-D7-21、SZTH4D-D7-22、SZTH4D-D8-02、SZTH4D-D8-03、SZTH4D-D8-04、SZTH4D-D8-05、SZTH4D-D8-06、SZTH4D-D8-07、SZTH4D-D8-08、SZTH4D-D8-09、SZTH4D-D8-10、SZTH4D-D8-11、SZTH4D-D8-12、SZTH4D-D8-13、SZTH4D-D8-14、SZTH4D-D8-15、SZTH4D-D8-16、SZTH4D-D8-17、SZTH4D-D8-18、SZTH4D-D8-19、SZTH4D-D8-20、SZTH4D-D8-21、SZTH4D-D8-22</t>
  </si>
  <si>
    <t>182215IDC00073</t>
  </si>
  <si>
    <t>SZTH4C-C5-06、SZTH4C-C5-07、SZTH4C-C7-11、SZTH4C-C7-13、SZTH4C-C7-17、SZTH4C-C7-18、SZTH4C-C7-19、SZTH4C-C7-20、SZTH4C-C7-21</t>
  </si>
  <si>
    <t>SZTH4C-C6-13、SZTH4C-C6-14、SZTH4C-C6-15、SZTH4C-C8-05、SZTH4C-C8-12、SZTH4D-D1-02、SZTH4D-D1-07、SZTH4D-D1-13、SZTH4D-D1-14、SZTH4D-D7-06、SZTH4D-D7-09、SZTH4D-D7-10</t>
  </si>
  <si>
    <t>SZTH4B-B2-04</t>
  </si>
  <si>
    <t>181915IDC00358</t>
  </si>
  <si>
    <t>使用288个IP，均免费。180.97.198.0/24;58.211.8.96/27</t>
  </si>
  <si>
    <t>182115IDC00526</t>
  </si>
  <si>
    <t>苏州太湖数据中心SZTH-常熟普洛斯物流园</t>
  </si>
  <si>
    <t>8芯</t>
  </si>
  <si>
    <t>2021/8/10开通太湖数据中心到常熟普洛斯物流园4条裸光纤，每条100KM，共400KM，每公里200元。8月计费22天
租纤业务编号：G00246202A、G00246207A、G00246210A、G00246213A</t>
  </si>
  <si>
    <t>布线柜不收费。SZTH3C-C1-05、SZTH3C-C1-07、SZTH3C-C1-09、SZTH3C-C1-10、SZTH3C-C1-12、SZTH3C-C1-14、SZTH3C-C2-05、SZTH3C-C2-07、SZTH3C-C2-09、SZTH3C-C2-10、SZTH3C-C2-12、SZTH3C-C2-14、SZTH4C-C1-06、SZTH4C-C1-08、SZTH4C-C1-11、SZTH4C-C1-13、SZTH4C-C2-07、SZTH4C-C2-09、SZTH4C-C2-10、SZTH4C-C2-12</t>
  </si>
  <si>
    <t>SZTH4B-B8-06、SZTH4B-B8-07、SZTH4B-B8-08、SZTH4B-B8-09、SZTH4B-B8-10、SZTH4B-B8-11、SZTH4B-B8-12、SZTH4B-B8-13、SZTH4B-B8-14、SZTH4B-B8-15、SZTH4B-B8-16、SZTH4B-B8-17、SZTH4B-B8-18</t>
  </si>
  <si>
    <t>SZTH4C-C7-13、SZTH4C-C7-17、SZTH4C-C7-18、SZTH4C-C7-19、SZTH4B-B7-02、SZTH4B-B7-03、SZTH4B-B7-04、SZTH4B-B7-05、SZTH4B-B7-06、SZTH4B-B7-07、SZTH4B-B7-08、SZTH4B-B7-09、SZTH4B-B7-10、SZTH4B-B7-11、SZTH4B-B7-01</t>
  </si>
  <si>
    <t>SZTH4C-C7-20、SZTH4C-C7-21</t>
  </si>
  <si>
    <t>SZTH4C-C7-11、SZTH4C-C5-06</t>
  </si>
  <si>
    <t>SZTH3C-C4-06</t>
  </si>
  <si>
    <t>SZTH4C-C5-07</t>
  </si>
  <si>
    <t>202106调整计提行，5月计提表为开19个，拆分成15+4个：SZTH3A-A1-12、SZTH3A-A1-13、SZTH3A-A1-14、SZTH3A-A1-15、SZTH3A-A1-16、SZTH3A-A2-01、SZTH3A-A2-02、SZTH3A-A2-03、SZTH3A-A2-06、SZTH3A-A2-07、SZTH3A-A2-08、SZTH3A-A2-09、SZTH3A-A2-10、SZTH3A-A2-11、SZTH3A-A2-15</t>
  </si>
  <si>
    <t>182215IDC00376</t>
  </si>
  <si>
    <t>苏州太湖SZTH-昆山M2B</t>
  </si>
  <si>
    <t>2022.5调整单价。从  苏州市吕梁山路和金沙江路口太湖国际数据中心  到 苏州市昆山市花桥镇花桥经济技术开发区东城大道数据机房
2对芯，总长度201KM，每对芯每公里400元。400元*201KM=  80400</t>
  </si>
  <si>
    <t>2022.5调整单价。从  苏州市吕梁山路和金沙江路口太湖国际数据中心  到 苏州市昆山市花桥镇花桥经济技术开发区东城大道数据机房
200 元/纤/KM*  2  纤数*  100  KM= 40000</t>
  </si>
  <si>
    <t>2022.5调整单价。从  苏州市吕梁山路和金沙江路口太湖国际数据中心  到 苏州市昆山市花桥镇花桥经济技术开发区东城大道数据机房
200 元/纤/KM*  2  纤数*  140KM= 56000</t>
  </si>
  <si>
    <t>L20191117001</t>
  </si>
  <si>
    <t>昆山-冠元花园</t>
  </si>
  <si>
    <t>退租</t>
  </si>
  <si>
    <t>L20201114002</t>
  </si>
  <si>
    <t xml:space="preserve"> 金沙江路太湖信息中心SZTH--唐庄路2号</t>
  </si>
  <si>
    <t>G00176940A：1 对光纤（共 2 纤），使用长度： 36  KM；使用地点：从  苏州市吕梁山路和金沙江路口太湖国际数据中心  到  苏州工业园区唐庄路180号2楼
250  元/纤/KM*  2  纤数*  36  KM=  18000  元/月</t>
  </si>
  <si>
    <t xml:space="preserve">G00176938A： 1 对光纤（共 2 纤），使用长度： 29  KM；使用地点：从  苏州市吕梁山路和金沙江路口太湖国际数据中心  到  苏州工业园区唐庄路180号2楼
250  元/纤/KM*  2  纤数*  29  KM=  14500 
</t>
  </si>
  <si>
    <t>2021/5/31退租。G00176940A：1 对光纤（共 2 纤），使用长度： 36  KM；使用地点：从  苏州市吕梁山路和金沙江路口太湖国际数据中心  到  苏州工业园区唐庄路180号2楼
250  元/纤/KM*  2  纤数*  36  KM=  18000  元/月</t>
  </si>
  <si>
    <t xml:space="preserve">2021/5/31退租。G00176938A： 1 对光纤（共 2 纤），使用长度： 29  KM；使用地点：从  苏州市吕梁山路和金沙江路口太湖国际数据中心  到  苏州工业园区唐庄路180号2楼
250  元/纤/KM*  2  纤数*  29  KM=  14500 
</t>
  </si>
  <si>
    <t>中国联合网络通信有限公司济南市分公司</t>
  </si>
  <si>
    <t>云-济南联通</t>
  </si>
  <si>
    <t>182215IDC00348</t>
  </si>
  <si>
    <t>济南三枢纽楼内线</t>
  </si>
  <si>
    <t>济南联通</t>
  </si>
  <si>
    <t>济南2联通</t>
  </si>
  <si>
    <t>CDNJNUN</t>
  </si>
  <si>
    <t>历史开通
2019/1/26</t>
  </si>
  <si>
    <t xml:space="preserve">2023.3与SYS核对，JN2UN共13个免费机柜
JNUN2F-E-B7,JNUN2F-E-B6,JNUN2F-E-B12,JNUN2F-E-B13,JNUN2F-E-B11,JNUN2F-E-B10,JNUN2F-E-B9,JNUN2F-E-B8,JNUN2F-E-B5,JNUN2F-E-B4,JNUN2F-E-B3,JNUN2F-E-B2,JNUN2F-E-B1B8,目前使用了4个：JNUN2F-E-B6，JNUN2F-E-B7，JNUN2F-E-B8，JNUN2F-E-B9；
根据合同规定，CDN和SSL业务每2个万兆赠送1个机柜，一共64个万兆，合计赠送32个机柜。30个CDN机柜，2个SSL机柜。2021.6.25退租1个CDN免费机柜（JNUN2F-E-B14），运营商从SSL收费机柜中找一个替代免费JN4F-VC-09。更新为29个CDN机柜，3个SSL机柜。
</t>
  </si>
  <si>
    <t>根据合同规定，CDN和SSL业务每2个万兆赠送1个机柜，一共64个万兆，合计赠送32个机柜。30个CDN机柜，2个SSL机柜。2021.6.25退租1个CDN免费机柜（JNUN2F-E-B14），运营商从SSL收费机柜中找一个替代免费JN4F-VC-09。更新为29个CDN机柜，3个SSL机柜。
JNUN2F-C-01、JNUN2F-C-02、JNUN2F-C-03、JNUN2F-C-04</t>
  </si>
  <si>
    <t>2023.经与SYS核对，济南2联通CDN免费13个机柜，实际使用4个，计提表中关闭暂时不用的9个，线上未操作关闭。(JN2UN共13个免费机柜
JNUN2F-E-B7,JNUN2F-E-B6,JNUN2F-E-B12,JNUN2F-E-B13,JNUN2F-E-B11,JNUN2F-E-B10,JNUN2F-E-B9,JNUN2F-E-B8,JNUN2F-E-B5,JNUN2F-E-B4,JNUN2F-E-B3,JNUN2F-E-B2,JNUN2F-E-B1B8,目前使用了4个：JNUN2F-E-B6，JNUN2F-E-B7，JNUN2F-E-B8，JNUN2F-E-B9)
根据合同规定，CDN和SSL业务每2个万兆赠送1个机柜，一共64个万兆，合计赠送32个机柜。30个CDN机柜，2个SSL机柜。2021.6.25退租1个CDN免费机柜（JNUN2F-E-B14），运营商从SSL收费机柜中找一个替代免费JN4F-VC-09。更新为29个CDN机柜，3个SSL机柜。
JNUN2F-E-B1、JNUN2F-E-B2、JNUN2F-E-B3、JNUN2F-E-B4、JNUN2F-E-B5、JNUN2F-E-B10、JNUN2F-E-B11、JNUN2F-E-B12、JNUN2F-E-B13</t>
  </si>
  <si>
    <t>济南4联通</t>
  </si>
  <si>
    <t>JNGXUN</t>
  </si>
  <si>
    <t>2023.3经与SYS核对，JN4UN使用4个机柜：JNGXUN3F-B-12、JNGXUN3F-B-13、JNGXUN3F-B-14、JNGXUN3F-B-15；
根据合同规定，CDN和SSL业务每2个万兆赠送1个机柜，一共64个万兆，合计赠送32个机柜。30个CDN机柜，2个SSL机柜。2021.6.25退租1个CDN免费机柜（JNUN2F-E-B14），运营商从SSL收费机柜中找一个替代免费JN4F-VC-09。更新为29个CDN机柜，3个SSL机柜。
JNUN2F-E-B1、JNUN2F-E-B2、JNUN2F-E-B3、JNUN2F-E-B4、JNUN2F-E-B5、JNUN2F-E-B6、JNUN2F-E-B7、JNUN2F-E-B8、JNUN2F-E-B9、JNUN2F-E-B10、JNUN2F-E-B11、JNUN2F-E-B12、JNUN2F-E-B13、JNGXUN3F-B-12、JNGXUN3F-B-13、JNGXUN3F-B-14、JNGXUN3F-B-15、JNUN2F-A-03、JNUN2F-A-04、JNUN2F-A-05、JNUN2F-A-06、JNUN2F-A-07、JNUN2F-A-08、JNUN2F-A-09、JNUN2F-A-10、JNUN2F-C-01、JNUN2F-C-02、JNUN2F-C-03、JNUN2F-C-04</t>
  </si>
  <si>
    <t>济南联通二级</t>
  </si>
  <si>
    <t>根据合同规定，CDN和SSL业务每2个万兆赠送1个机柜，一共64个万兆，合计赠送32个机柜。30个CDN机柜，2个SSL机柜。2021.6.25退租1个CDN免费机柜（JNUN2F-E-B14），运营商从SSL收费机柜中找一个替代免费JN4F-VC-09。更新为29个CDN机柜，3个SSL机柜。
JNUN2F-E-B1、JNUN2F-E-B2、JNUN2F-E-B3、JNUN2F-E-B4、JNUN2F-E-B5、JNUN2F-E-B6、JNUN2F-E-B7、JNUN2F-E-B8、JNUN2F-E-B9、JNUN2F-E-B10、JNUN2F-E-B11、JNUN2F-E-B12、JNUN2F-E-B13、JNGXUN3F-B-12、JNGXUN3F-B-13、JNGXUN3F-B-14、JNGXUN3F-B-15、JNUN2F-A-03、JNUN2F-A-04、JNUN2F-A-05、JNUN2F-A-06、JNUN2F-A-07、JNUN2F-A-08、JNUN2F-A-09、JNUN2F-A-10、JNUN2F-C-01、JNUN2F-C-02、JNUN2F-C-03、JNUN2F-C-04</t>
  </si>
  <si>
    <t>2022.1.1扩容3个边缘计算机柜
JNUN2F-A-11、JNUN2F-A-12、JNUN2F-B-14</t>
  </si>
  <si>
    <t>JNUN2F-A-11、JNUN2F-A-12、JNUN2F-B-14</t>
  </si>
  <si>
    <t>济南联通SSL</t>
  </si>
  <si>
    <t>CDNJN</t>
  </si>
  <si>
    <t>根据合同规定，CDN和SSL业务每2个万兆赠送1个机柜，一共64个万兆，合计赠送32个机柜。30个CDN机柜，2个SSL机柜。2021.6.25退租1个CDN免费机柜（JNUN2F-E-B14），运营商从SSL收费机柜中找一个替代免费JN4F-VC-09。更新为29个CDN机柜，3个SSL机柜。JN4F-VC-09、JN4F-VC-10、JN4F-VC-11；2021.10.1扩容60G，共700G带宽，依据合同免费35个机柜，SSL收费机柜中选3个作为免费机柜（JN4F-VG-09
JN4F-VG-10
JN4F-VC-08），更新为免费29个CDN机柜、6个SSL机柜。</t>
  </si>
  <si>
    <t>2021.10.1扩容60G，共700G带宽，依据合同免费35个机柜，SSL收费机柜中选3个作为免费机柜（JN4F-VG-09
JN4F-VG-10
JN4F-VC-08），更新为免费29个CDN机柜、6个SSL机柜。</t>
  </si>
  <si>
    <t>CDNJN、CDNJNUN</t>
  </si>
  <si>
    <t>1907已核对。共使用16个机柜，赠送2个，收费14个。2021.6.30退租1个CDN免费机柜，从SSL收费机柜中减去1个机柜费用;2021.10.1扩容60G，共700G带宽，依据合同再免费3个机柜，从SSL收费机柜中减去3个机柜。
JN4F-VA-12
JN4F-VA-13
JN4F-VA-14
JN4F-VA-15
JN4F-VA-16
JN4F-VA-17
JN4F-VG-05
JN4F-VG-06
JN4F-VG-07
JN4F-VG-08
JN4F-VC-09</t>
  </si>
  <si>
    <t>2021.6.25退租1个CDN免费机柜（JNUN2F-E-B14），运营商从SSL收费机柜中找一个替代免费JN4F-VC-09。</t>
  </si>
  <si>
    <t>JN4F-VA-12、JN4F-VA-13、JN4F-VA-14、JN4F-VA-15、JN4F-VA-16、JN4F-VA-17、JN4F-VG-05、JN4F-VG-06、JN4F-VG-07、JN4F-VG-08、JN4F-VG-09、JN4F-VG-10、JN4F-VC-08、JN4F-VC-09、JN4F-VC-10、JN4F-VC-11</t>
  </si>
  <si>
    <t>JNGXUN3F-A-06、JNGXUN3F-A-07、JNGXUN3F-A-08、JNGXUN3F-A-09、JNGXUN3F-A-10、JNGXUN3F-A-15、JNGXUN3F-B-01、JNGXUN3F-B-02</t>
  </si>
  <si>
    <t>历史开通
2017/1/20
2017/11/28</t>
  </si>
  <si>
    <t>共赠送18个C的IP：已使用：119.188.212.0/27;27.221.124.0/24</t>
  </si>
  <si>
    <t>共赠送18个C的IP：已使用：123.129.234.0/24</t>
  </si>
  <si>
    <t>共赠送18个C的IP：CDN已使用544个：123.129.248.0/27;119.188.176.0/24;119.188.177.0/24</t>
  </si>
  <si>
    <t>共赠送18个C的IP：BEC已使用：27.221.109.0/24;119.188.72.128/25</t>
  </si>
  <si>
    <t>赠送18个C的IP；SSL使用1088个（119.188.9.0/24,119.188.97.0/24,119.188.14.0/24,119.188.70.64/26,119.188.132.0/24）；</t>
  </si>
  <si>
    <t>119.188.97.0/24 
119.188.9.0/24   
119.188.14.0/24
119.188.132.0/24
60.217.232.0/24</t>
  </si>
  <si>
    <t>119.188.97.0/24 
119.188.9.0/24   
119.188.14.0/24
119.188.132.0/24
60.217.232.0/24
2408:8719:0064:0017::/64</t>
  </si>
  <si>
    <t>赠送18个C的IP；高防使用768个（119.188.178.0/24、119.188.179.0/24、119.188.131.128/25、60.217.242.128/25）；</t>
  </si>
  <si>
    <t>JNGXUN3F-A-01
JNGXUN3F-A-02
JNGXUN3F-A-03
JNGXUN3F-A-04
JNGXUN3F-A-05
JNGXUN3F-A-11
JNGXUN3F-A-12</t>
  </si>
  <si>
    <t>JNGXUN3F-A-13
JNGXUN3F-A-14</t>
  </si>
  <si>
    <t>高防IP代播</t>
  </si>
  <si>
    <t>济南三枢纽—恒基大厦</t>
  </si>
  <si>
    <t>济南市三枢纽三层西机房A4机柜-济南市经七纬五路75号全景恒基大厦308室</t>
  </si>
  <si>
    <t>CDNJNUN2</t>
  </si>
  <si>
    <t>免费，2020-12-11边缘计算新增128个IPV4；60.217.236.0/25</t>
  </si>
  <si>
    <t>2022.1.1边缘计算开通128个IP：
123.129.251.0/25</t>
  </si>
  <si>
    <t>JN2UN</t>
  </si>
  <si>
    <t>2022/3/31BEC退租128个IP
123.129.251.0/25</t>
  </si>
  <si>
    <t>济南三枢纽</t>
  </si>
  <si>
    <t>2021.4.25扩容1个9KW机柜，于2021.5.1开始计费JNGXUN3F-A-16</t>
  </si>
  <si>
    <t>济南6联通</t>
  </si>
  <si>
    <t>2021.10.1开通500G带宽、22个机柜、544个IP。临时免费节点（2021.10.1~2021.11.30）
JNUN4F-G-7、
JNUN4F-G-8、
JNUN4F-G-9、
JNUN4F-G-10、JNUN4F-G-11、JNUN4F-G-12、JNUN4F-G-13、JNUN4F-G-18、JNUN4F-G-19、JNUN4F-G-20、JNUN4F-G-21、JNUN4F-G-22、JNUN4F-G-23、JNUN4F-H-1、
JNUN4F-H-2、
JNUN4F-H-3、
JNUN4F-H-4、
JNUN4F-H-5、
JNUN4F-H-6、
JNUN4F-H-7、
JNUN4F-H-8、
JNUN4F-H-9</t>
  </si>
  <si>
    <t>2021.11.30退租</t>
  </si>
  <si>
    <t>百度机房—爱奇艺机房</t>
  </si>
  <si>
    <t>济南联通新增2条裸光纤，用于百度机房与爱奇艺机房互联，单价2000元/対芯/月，使用4芯共计4000元/月，开通日期为2022年2月23日，实际计费时间为2022年3月1日</t>
  </si>
  <si>
    <t>L20211025001</t>
  </si>
  <si>
    <t>2021.10.1开通500G带宽、22个机柜、544个IP。临时免费节点（2021.10.1~2021.11.30）
119.188.195.0/24 27.221.107.0/24 27.221.102.160/27</t>
  </si>
  <si>
    <t>2021.11.30退租：119.188.195.0/24 27.221.107.0/24 27.221.102.160/27</t>
  </si>
  <si>
    <t>L20220710006</t>
  </si>
  <si>
    <t>济南8联通</t>
  </si>
  <si>
    <t>免费节点。【CDN新建】山东济南联通  新建100G  2022-07-01 节点正式上线  (JN8UN)：JN8UNN3FXN-E-01、JN8UNN3FXN-E-02、JN8UNN3FXN-E-03</t>
  </si>
  <si>
    <t>免费节点。【CDN新建】山东济南联通  新建100G  2022-07-01 节点正式上线  (JN8UN)：39.91.182.0/24、119.188.96.0/27</t>
  </si>
  <si>
    <t>济南9联通</t>
  </si>
  <si>
    <t>CDNJNUN3</t>
  </si>
  <si>
    <t>【BEC新建】济南联通新建500G ，使用1个机柜：BECJN9UN-C-02、BECJN9UN-D-02</t>
  </si>
  <si>
    <t>L20230131001</t>
  </si>
  <si>
    <t>2023.1更新IP，【BEC新建】济南联通新建500G ，使用2560个IP：218.57.21.0/24、123.129.201.0/24、123.129.202.0/24、123.129.199.0/24、119.188.114.0/24、119.188.195.0/24、119.188.135.0/24、119.188.137.0/24、119.188.64.0/24、119.188.65.0/24；IPV6:2408:8719:409:: /48</t>
  </si>
  <si>
    <t>中国联合网络通信有限公司江苏省分公司</t>
  </si>
  <si>
    <t>江苏联通-电路</t>
  </si>
  <si>
    <t>182015IDC00283</t>
  </si>
  <si>
    <t>北京M1-南京新港</t>
  </si>
  <si>
    <t>400G</t>
  </si>
  <si>
    <t>2020/12/1开通北京M1-南京新港400G电路</t>
  </si>
  <si>
    <t>江西</t>
  </si>
  <si>
    <t>中国联合网络通信有限公司南京市分公司</t>
  </si>
  <si>
    <t>南京联通</t>
  </si>
  <si>
    <t>182115IDC00244</t>
  </si>
  <si>
    <t>上海移动金桥机房-南京凤凰机房</t>
  </si>
  <si>
    <t>宜春联通转签南京联通。上海移动金桥机房-南京凤凰机房400G电路</t>
  </si>
  <si>
    <t>本业务于2021年12月31日退租</t>
  </si>
  <si>
    <t>182115IDC00435</t>
  </si>
  <si>
    <t>南京新港-南京凤凰（张王庙一路由）</t>
  </si>
  <si>
    <t>依据新的商务谈判结果，2021.5调整开始计费时间，单价和长度。南京新港-南京凤凰（南京栖霞区仙新东路紫泉物流园南门-南京是下关区张王庙88号）</t>
  </si>
  <si>
    <t>南京新港-南京凤凰（张王庙二路由1）</t>
  </si>
  <si>
    <t>南京新港-南京凤凰（张王庙2）</t>
  </si>
  <si>
    <t>南京新港-南京凤凰（张王庙三路由）</t>
  </si>
  <si>
    <t>南京新港-江东二长一路由</t>
  </si>
  <si>
    <t>南京新港-江东二长二路由</t>
  </si>
  <si>
    <t>南京新港-吉山一路由</t>
  </si>
  <si>
    <t>南京新港-吉山二路由</t>
  </si>
  <si>
    <t>中国联合网络通信有限公司青岛市分公司</t>
  </si>
  <si>
    <t>青岛联通</t>
  </si>
  <si>
    <t>L20230204003</t>
  </si>
  <si>
    <t>滨海机房</t>
  </si>
  <si>
    <t>自2月7日起计费</t>
  </si>
  <si>
    <t>QDBH3E1-G-03、QDBH3E1-G-05、QDBH3E1-G-07、QDBH3E1-H-03、QDBH3E1-H-05、QDBH3E1-H-07。13.75W。自2月7日起计费</t>
  </si>
  <si>
    <t>QDBH3E1-G-11、QDBH3E1-H-11。6KW。自2月7日起计费</t>
  </si>
  <si>
    <t>8KW。自2月7日起计费</t>
  </si>
  <si>
    <t>3月1日开通2个机架</t>
  </si>
  <si>
    <t>5月11日开通2个机架</t>
  </si>
  <si>
    <t>5月31日开通2个机架</t>
  </si>
  <si>
    <t>6月1日开通1个机架</t>
  </si>
  <si>
    <t>6月22日开通19个机架</t>
  </si>
  <si>
    <t>6月25日开通1个机架</t>
  </si>
  <si>
    <t>6月27日开通1个机架</t>
  </si>
  <si>
    <t>7月20日开通9个机架</t>
  </si>
  <si>
    <t>7月25日开通4个机架</t>
  </si>
  <si>
    <t>8月23日开通13个机架</t>
  </si>
  <si>
    <t>8月24日开通1个机架</t>
  </si>
  <si>
    <t>8月27日开通7个机架</t>
  </si>
  <si>
    <t>9月3日开通11个机架</t>
  </si>
  <si>
    <t>9月12日开通10个机架</t>
  </si>
  <si>
    <t>9月17日开通1个机架</t>
  </si>
  <si>
    <t>10月31日开通12个4.4KW机架（编号：QDBH2E1-A-01~QDBH2E1-A-12）</t>
  </si>
  <si>
    <t>11月8日开通25个4.4KW机架（编号：QDBH2E1-B-05~QDBH2E1-B-17、QDBH2E1-C-05~QDBH2E1-C-15、QDBH2E1-A-17）</t>
  </si>
  <si>
    <t>11月12日开通2个4.4KW机架（编号：QDBH2E1-I-07、QDBH2E1-I-08）</t>
  </si>
  <si>
    <t>11月13日开通9个4.4KW机架（编号：QDBH2E1-C-01、QDBH2E1-A-13~QDBH2E1-A-16、QDBH2E1-B-01~QDBH2E1-B-04）</t>
  </si>
  <si>
    <t>11月20日开通2个4.4KW机架（编号：QDBH2E1-C-03、QDBH2E1-C-04）</t>
  </si>
  <si>
    <t>11月30日关闭2个机架自12月1日起不计费（编号：QDBH2E1-C-15、QDBH2E1-B-17）</t>
  </si>
  <si>
    <t>11月30日开通11个4.4KW机架（编号：QDBH2E1-D-01~QDBH2E1-D-10、QDBH2E1-D-12）</t>
  </si>
  <si>
    <t>12月2日开通1个4.4KW机架（编号：QDBH2E1-D-11）</t>
  </si>
  <si>
    <t>12月28日开通4个4.4KW机架（编号：QDBH2E1-N-03~QDBH2E1-N-06）</t>
  </si>
  <si>
    <t>2019年1月19日开通20个4.4KW机架（编号：QDBH2E1-D-13~16、QDBH2E1-E-01~16）</t>
  </si>
  <si>
    <t>2019年1月19日开通20个4.4KW机架（编号：QDBH2E1-F-01~14、QDBH2E1-G-01~06）</t>
  </si>
  <si>
    <t>2019年1月21日开通26个4.4KW机架（编号：QDBH2E1-D-17、QDBH2E1-E-17、QDBH2E1-F-15、QDBH2E1-G-07~17、QDBH2E1-H-01~12）</t>
  </si>
  <si>
    <t>2019年1月25日开通1个4.4KW机架（编号：QDBH2E1-N-02）</t>
  </si>
  <si>
    <t>2019年3月18日开通2个4.4KW机架（编号：QDBH2E1-I-09、QDBH2E1-I-10）</t>
  </si>
  <si>
    <t>2019年5月9日开通16个4.4KW机架（编号：QDBH2E1-L-01~QDBH2E1-L-14、QDBH2E1-M-01、QDBH2E1-M-03）</t>
  </si>
  <si>
    <t>2019年5月10日开通10个4.4KW机架（编号：QDBH2E1-M-05~QDBH2E1-M-12、QDBH2E1-M-02、QDBH2E1-M-04）</t>
  </si>
  <si>
    <t>2019年5月15日开通20个4.4KW机架（编号：QDBH2E1-K-13~QDBH2E1-K-16、QDBH2E1-M-13~QDBH2E1-M-16、QDBH2E1-N-07~QDBH2E1-N-16、QDBH2E1-K-03、QDBH2E1-K-04）</t>
  </si>
  <si>
    <t>2019年5月20日开通5个4.4KW机架（编号：QDBH2E1-B-17、QDBH2E1-C-15、QDBH2E1-L-15、QDBH2E1-M-17、QDBH2E1-N-17）</t>
  </si>
  <si>
    <t>7月费用。2019年5月31日开通12个4.4KW机架（编号：QDBH2E1-H-15、QDBH2E1-H-16、QDBH2E1-I-11、QDBH2E1-I-12、QDBH2E1-I-13、QDBH2E1-I-14、QDBH2E1-K-5至QDBH2E1-K-10）</t>
  </si>
  <si>
    <t>7月费用。2019年6月28日开通5个4.4KW机架（编号：QDBH2E1-H-17、QDBH2E1-I-15、QDBH2E1-J-17、QDBH2E1-K-11、QDBH2E1-K-12）</t>
  </si>
  <si>
    <t>8KW。2019年5月27日关闭1个8KW机架（编号：QDBH3E1-G-13）</t>
  </si>
  <si>
    <t>190710开通10个机架，7月22天的费用</t>
  </si>
  <si>
    <t>190716开通8个机架，7月16天的费用</t>
  </si>
  <si>
    <t>8月新增</t>
  </si>
  <si>
    <t>QDBH3E1-G-13。8KW</t>
  </si>
  <si>
    <t>2020-7月新增</t>
  </si>
  <si>
    <t>于2020.11.15日关闭，2020.11.16开始计费在度友科技下QDBH3E1-H-09</t>
  </si>
  <si>
    <t>L20230225001</t>
  </si>
  <si>
    <t>QDBH3E1-G-08、QDBH3E1-H-08</t>
  </si>
  <si>
    <t>L20230204005</t>
  </si>
  <si>
    <t>滨海机房QDBH-百度济南中继POP点</t>
  </si>
  <si>
    <t>自2月13日起计费。滨海机房QDBH-百度济南中继POP点双路由</t>
  </si>
  <si>
    <t>182215IDC00349</t>
  </si>
  <si>
    <t>二枢纽IDC机房</t>
  </si>
  <si>
    <t>青岛5联通</t>
  </si>
  <si>
    <t>CDNQD</t>
  </si>
  <si>
    <t>2019年1月17日开通7个3.5KW机架:CDNQD202-I-01、CDNQD202-I-02、CDNQD202-I-03、CDNQD202-I-04、CDNQD202-I-05、CDNQD202-I-06、CDNQD202-H-10
2019年1月25日开通28个万兆后，新合同共97个万兆，赠送29个16A机柜+13个20A机柜，故自2月账期开始7个机柜免费。</t>
  </si>
  <si>
    <t>二枢纽机房</t>
  </si>
  <si>
    <t>青岛3联通</t>
  </si>
  <si>
    <t>每2个万兆赠送一个
CDNQD202-H-07、CDNQD202-H-06、CDNQD202-H-04、CDNQD202-H-05、
CDNQD202-H-03、CDNQD202-H-02、CDNQD202-H-01</t>
  </si>
  <si>
    <t>2021.8.13退租7个机柜；CDNQD202-H-07、CDNQD202-H-06、CDNQD202-H-04、CDNQD202-H-05、
CDNQD202-H-03、CDNQD202-H-02、CDNQD202-H-01</t>
  </si>
  <si>
    <t>青岛6联通</t>
  </si>
  <si>
    <t>2020.6.15新增2个机柜
QD6UN2F-H-08、QD6UN2F-H-09
于2022.1.20转为边缘计算使用</t>
  </si>
  <si>
    <t>2022.2.25新增2个机柜
QD6UN2F-I-11、QD6UN2F-H-11
实际核实可能为2020.6开通，于2022.2.25补交付邮件；2022.1.20转为边缘计算使用</t>
  </si>
  <si>
    <t>2022/5/31 节点全部退租：QD6UN2F-H-09、QD6UN2F-H-08、QD6UN2F-I-11、QD6UN2F-H-11</t>
  </si>
  <si>
    <t>2020.6.15新增288个IP
119.167.158.0/24；27.221.56.32/27。182015IDC00252约定IP地址免费 3680 个，收费 256 个，租用费： 20 元/月/个</t>
  </si>
  <si>
    <t>2022/5/31节点退租：119.167.158.0/24；27.221.56.32/27</t>
  </si>
  <si>
    <t xml:space="preserve">SSL机架 </t>
  </si>
  <si>
    <t>青岛联通SSL</t>
  </si>
  <si>
    <t>每2个万兆赠送一个；CDNQD202-E-02、CDNQD202-E-03、CDNQD202-E-04</t>
  </si>
  <si>
    <t>开通1个C（119.167.246.0/24）。182015IDC00252约定IP地址免费 3680 个，收费 256 个，租用费： 20 元/月/个</t>
  </si>
  <si>
    <t>2022/8/31节点下线，退租3个机柜：CDNQD202-E-02、CDNQD202-E-03、CDNQD202-E-04</t>
  </si>
  <si>
    <t>2022/8/31节点下线，退租IP:IPv4:
119.167.246.0/24；IPv6:2408:8719:2100:0005::/64</t>
  </si>
  <si>
    <t>青岛2联通</t>
  </si>
  <si>
    <t>QD01</t>
  </si>
  <si>
    <t>每2个万兆赠送一个；QD01204-A-02、QD01204-A-03、QD01204-A-04、QD01204-A-05、QD01204-A-06</t>
  </si>
  <si>
    <t xml:space="preserve">开通1个C
27.221.38.0/24 </t>
  </si>
  <si>
    <t>青岛三级联通</t>
  </si>
  <si>
    <t>BEC使用：119.167.192.0/24。182015IDC00252约定IP地址免费 3680 个，收费 256 个，租用费： 20 元/月/个</t>
  </si>
  <si>
    <t>CDN使用：123.235.30.0/24,123.235.31.0/24,119.167.138.224/27 。182015IDC00252约定IP地址免费 3680 个，收费 256 个，租用费： 20 元/月/个</t>
  </si>
  <si>
    <t>青岛8联通</t>
  </si>
  <si>
    <t>2022.12.31节点退租。2022.9.1转移2个机柜至QD9UN：QD8UN2F-H-01、QD8UN2F-H-02</t>
  </si>
  <si>
    <t>青岛9联通</t>
  </si>
  <si>
    <t>2022.12.31节点退租。2022.9.1转移2个机柜至QD9UN：QD8UN2F-H-03、QD8UN2F-H-04</t>
  </si>
  <si>
    <t>2022.12.31节点退租。119.167.254.0/24 27.221.56.64/27。</t>
  </si>
  <si>
    <t>2022.12.31节点退租。2022.9.1从青岛8联通迁移160个IP至新建节点青岛9联通。119.167.224.0/25 119.167.138.192/27</t>
  </si>
  <si>
    <t>182215IDC00586</t>
  </si>
  <si>
    <t>青岛联通滨海数据中心百度-科技园机房</t>
  </si>
  <si>
    <t>100G</t>
  </si>
  <si>
    <t>青岛联通滨海数据中心百度QDBH-科技园机房BJKJY</t>
  </si>
  <si>
    <t>青岛联通滨海数据中心百度-M1</t>
  </si>
  <si>
    <t>青岛联通滨海数据中心百度QDBH-M1</t>
  </si>
  <si>
    <t>L20210323002</t>
  </si>
  <si>
    <t>青岛7联通</t>
  </si>
  <si>
    <t>此节点免费，增量100G、开通4个机柜、288个IP，于2021-02-01开始正式切流量上线（QD7UN2F202-E-07、QD7UN2F202-E-06、QD7UN2F202-E-05、QD7UN2F202-E-08）</t>
  </si>
  <si>
    <t>此节点免费，于2022.1.12退租1个机柜（QD7UN2F202-E-08），免费机柜，运营商侧不退租</t>
  </si>
  <si>
    <t>此节点免费，于2022/11/18关停：QD7UN2F202-E-07、QD7UN2F202-E-06、QD7UN2F202-E-05</t>
  </si>
  <si>
    <t>QD7UN2F202-E-07、QD7UN2F202-E-06、QD7UN2F202-E-05</t>
  </si>
  <si>
    <t>此节点免费，IP段为2022.4核对后更新。增量100G、开通4个机柜、288个IP，于2021-02-01开始正式切流量上线（119.167.139.0/24
119.167.138.96/27
）</t>
  </si>
  <si>
    <t>此节点免费，于2022/11/18关停，119.167.139.0/24 119.167.138.96/27</t>
  </si>
  <si>
    <t>此节点免费：119.167.139.0/24 119.167.138.96/27</t>
  </si>
  <si>
    <t>L20220330004</t>
  </si>
  <si>
    <t>青岛滨海联通</t>
  </si>
  <si>
    <t>119.167.143.0/24
119.167.145.0/24
119.167.152.0/24
119.167.161.0/24
119.167.193.0/24
119.167.212.0/24
27.221.9.0/24接口地址，不包含进开通IP，正式合同182015IDC00246无IP合同行，故关联临时合同</t>
  </si>
  <si>
    <t>中国联合网络通信有限公司上海市分公司</t>
  </si>
  <si>
    <t>万国2017合约转签上海联通</t>
  </si>
  <si>
    <t>182115IDC00128</t>
  </si>
  <si>
    <t>2021/2/1由万国2017新合约转签至上海联通
SZWG201-G-05、SZWG201-H-06、SZWG201-E-05、SZWG201-F-07、SZWG201-G-03、SZWG201-D-22、SZWG201-D-21、SZWG201-E-06、SZWG201-E-07、SZWG201-E-08、SZWG201-G-06、SZWG201-G-07、SZWG201-F-05、SZWG201-G-01、SZWG201-G-02、SZWG201-H-05、SZWG201-H-07、SZWG201-H-08、SZWG201-H-10、SZWG201-E-10、SZWG201-E-11、SZWG201-E-01、SZWG201-G-04、SZWG201-H-04、SZWG201-H-01、SZWG201-H-02、SZWG201-H-03、SZWG201-F-02、SZWG201-F-04、SZWG201-F-03、SZWG201-E-09、SZWG201-E-02、SZWG201-E-03、SZWG201-E-04、SZWG201-E-12、SZWG201-F-01、SZWG201-C-22、SZWG201-G-11、SZWG102-F-02、SZWG102-B-01、SZWG102-C-04、SZWG102-D-18、SZWG102-C-21、SZWG102-C-01、SZWG102-C-06、SZWG102-C-03、SZWG102-C-05、SZWG102-B-07、SZWG102-G-12、SZWG102-C-10、SZWG102-C-09、SZWG102-C-15、SZWG102-C-16、SZWG102-C-14、SZWG102-C-13、SZWG102-C-19、SZWG102-C-22、SZWG102-B-05、SZWG102-B-03、SZWG102-C-12、SZWG102-B-10、SZWG102-B-09、SZWG102-D-04、SZWG102-D-01、SZWG102-D-03、SZWG102-D-02、SZWG102-D-14、SZWG102-D-13、SZWG102-D-07、SZWG102-D-10、SZWG102-D-16、SZWG102-D-12、SZWG102-D-08、SZWG102-D-15、SZWG102-G-01、SZWG102-G-02、SZWG102-G-03、SZWG102-G-04、SZWG102-G-05、SZWG102-G-06、SZWG102-G-07、SZWG102-G-08、SZWG102-G-09、SZWG102-C-18、SZWG102-C-20、SZWG102-C-07、SZWG102-C-08、SZWG102-C-02、SZWG102-E-08、SZWG102-E-01、SZWG102-E-04、SZWG102-E-05、SZWG102-E-06、SZWG102-E-07、SZWG102-D-21、SZWG102-E-03、SZWG102-E-02、SZWG102-D-22、SZWG102-E-09、SZWG102-E-10、SZWG102-E-17、SZWG102-B-06、SZWG102-B-08、SZWG102-B-02、SZWG102-B-04、SZWG102-C-17、SZWG102-G-10、SZWG102-D-09、SZWG102-D-20、SZWG102-D-17、SZWG102-D-19、SZWG102-D-05、SZWG102-C-11、SZWG102-D-11、SZWG102-D-06、SZWG102-E-15、SZWG102-E-14、SZWG102-E-13、SZWG102-E-12、SZWG102-E-18、SZWG102-E-16、SZWG102-E-11、SZWG204-C-14、SZWG204-C-13、SZWG204-C-15、SZWG204-C-17、SZWG204-C-16、SZWG204-C-12、SZWG204-D-08、SZWG204-D-07、SZWG204-D-05、SZWG204-D-06、SZWG204-C-09、SZWG204-C-10、SZWG204-C-11、SZWG204-B-08、SZWG204-B-07、SZWG204-C-01、SZWG204-C-06、SZWG204-C-08、SZWG204-C-05、SZWG204-C-07、SZWG204-C-02、SZWG204-D-01、SZWG204-D-03、SZWG204-D-02、SZWG204-D-04、SZWG204-C-18、SZWG204-B-09、SZWG204-B-10、SZWG204-C-04、SZWG204-C-03、SZWG201-G-09、SZWG102-E-20、SZWG102-E-22、SZWG102-E-21、SZWG201-F-06、SZWG201-F-08、SZWG204-B-18、SZWG204-B-19、SZWG204-B-17、SZWG204-B-20、SZWG204-B-15、SZWG204-B-16、SZWG204-B-22、SZWG204-B-21、SZWG102-G-13、SZWG102-G-14、SZWG204-B-14、SZWG101-C-02、SZWG101-C-11、SZWG101-C-04、SZWG101-C-12、SZWG101-C-15、SZWG101-C-06、SZWG101-C-05、SZWG102-G-15、SZWG102-G-16、SZWG101-C-01、SZWG101-C-03、SZWG101-C-08、SZWG101-C-07、SZWG101-C-09、SZWG101-C-10、SZWG101-C-20、SZWG101-C-19、SZWG101-C-18、SZWG101-B-11、SZWG101-C-14、SZWG101-C-16、SZWG101-C-13、SZWG101-C-17、SZWG102-G-17、SZWG102-G-18、SZWG102-G-19、SZWG102-G-20、SZWG204-B-13、SZWG204-B-11、SZWG204-B-12、SZWG102-G-21、SZWG102-G-22、SZWG102-F-01、SZWG201-D-17、SZWG201-D-19、SZWG201-D-18、SZWG201-D-20、SZWG201-D-09、SZWG201-D-10、SZWG201-D-07、SZWG201-D-13、SZWG201-D-14、SZWG201-D-16、SZWG201-D-15、SZWG201-D-06、SZWG201-D-08、SZWG201-C-12、SZWG201-C-13、SZWG201-C-21、SZWG201-D-02、SZWG201-C-17、SZWG201-C-04、SZWG201-D-04、SZWG201-C-07、SZWG201-C-19、SZWG201-D-03、SZWG201-C-01、SZWG201-C-05、SZWG201-C-14、SZWG201-D-01、SZWG201-C-06、SZWG201-C-03、SZWG201-D-05、SZWG201-C-16、SZWG201-C-02、SZWG201-C-08、SZWG201-C-18、SZWG201-C-20、SZWG201-C-15、SZWG103-G-09、SZWG102-B-11、SZWG204-B-01、SZWG204-B-02、SZWG204-B-03、SZWG103-G-05、SZWG102-E-19、SZWG101-C-22、SZWG103-G-12、SZWG103-G-10、SZWG103-G-08、SZWG103-G-04、SZWG103-G-06、SZWG103-G-11、SZWG103-G-07、SZWG103-G-03、SZWG101-C-21、SZWG103-G-01、SZWG103-G-02、SZWG101-G-22、SZWG101-G-21、SZWG101-G-20、SZWG204-B-05、SZWG101-D-11、SZWG101-D-10、SZWG101-D-09、SZWG101-D-12、SZWG101-D-13、SZWG101-D-14、SZWG101-D-03、SZWG101-D-16、SZWG101-D-15、SZWG101-D-19、SZWG101-D-22、SZWG101-D-20、SZWG101-D-21、SZWG101-D-18、SZWG101-D-17、SZWG101-D-07、SZWG101-D-05、SZWG101-D-08、SZWG101-D-06、SZWG204-B-06、SZWG103-B-11、SZWG101-D-01、SZWG101-D-02、SZWG101-D-04、SZWG204-B-04、SZWG101-F-14、SZWG204-D-15、SZWG204-D-17、SZWG204-D-18、SZWG103-F-20、SZWG103-F-21、SZWG103-F-22、SZWG103-G-13、SZWG103-G-16、SZWG103-G-15、SZWG103-G-18、SZWG103-D-06、SZWG103-D-08、SZWG103-D-04、SZWG103-F-02、SZWG103-F-01、SZWG103-F-03、SZWG103-F-04、SZWG103-F-05、SZWG103-F-06、SZWG103-F-08、SZWG103-F-09、SZWG103-F-07、SZWG103-F-18、SZWG103-E-14、SZWG103-E-20、SZWG103-D-22、SZWG103-E-16、SZWG103-D-20、SZWG103-F-14、SZWG103-E-22、SZWG103-D-18、SZWG103-F-16、SZWG103-D-16、SZWG103-C-14、SZWG103-C-16、SZWG103-C-18、SZWG103-C-20、SZWG103-C-22、SZWG103-E-10、SZWG103-E-04、SZWG103-E-08、SZWG103-D-10、SZWG101-B-10、SZWG101-B-08、SZWG101-B-06、SZWG103-D-14、SZWG103-E-18、SZWG103-E-06、SZWG103-E-02、SZWG101-E-10、SZWG103-E-05、SZWG103-G-19、SZWG103-F-19、SZWG103-G-14、SZWG103-G-17、SZWG101-G-01、SZWG101-F-01、SZWG101-F-05、SZWG101-F-04、SZWG101-F-06、SZWG101-F-07、SZWG101-F-03、SZWG101-F-08、SZWG101-F-02、SZWG101-G-03、SZWG101-G-09、SZWG101-G-05、SZWG101-G-07、SZWG101-G-02、SZWG101-G-10、SZWG204-D-12、SZWG204-D-09、SZWG204-D-11、SZWG204-D-10、SZWG204-D-13、SZWG204-D-14、SZWG204-D-16、SZWG103-B-03、SZWG103-B-06、SZWG103-B-04、SZWG103-F-10、SZWG103-E-07、SZWG103-E-09、SZWG103-E-13、SZWG103-E-15、SZWG103-E-21、SZWG103-E-17、SZWG103-E-19、SZWG103-F-13、SZWG103-F-15、SZWG103-F-17、SZWG101-G-17、SZWG101-E-01、SZWG101-E-02、SZWG101-E-03、SZWG101-E-04、SZWG101-G-06、SZWG101-G-04、SZWG101-G-08、SZWG101-E-13、SZWG101-E-15、SZWG101-E-17、SZWG101-E-19、SZWG101-E-21、SZWG101-F-21、SZWG101-F-17、SZWG103-B-10、SZWG103-B-08、SZWG103-C-02、SZWG103-D-01、SZWG103-C-07、SZWG103-C-06、SZWG103-B-09、SZWG103-C-04、SZWG101-E-06、SZWG101-E-05、SZWG103-D-07、SZWG103-D-05、SZWG103-D-03、SZWG103-B-05、SZWG103-B-02、SZWG103-B-01、SZWG103-C-05、SZWG103-C-03、SZWG103-C-10、SZWG103-B-07、SZWG103-D-02、SZWG103-C-08、SZWG103-C-01、SZWG103-C-09、SZWG101-F-15、SZWG101-F-19、SZWG101-F-09、SZWG101-F-13、SZWG101-E-07、SZWG101-E-09、SZWG101-B-03、SZWG101-B-05、SZWG101-B-07、SZWG101-B-09、SZWG101-B-01、SZWG101-G-13、SZWG101-G-15、SZWG101-F-10、SZWG101-F-18、SZWG103-C-15、SZWG101-E-16、SZWG101-B-04、SZWG103-D-19、SZWG101-F-20、SZWG103-D-12、SZWG101-E-14、SZWG101-E-22、SZWG103-C-13、SZWG103-C-12、SZWG103-D-13、SZWG103-C-17、SZWG101-B-02、SZWG103-D-17、SZWG103-C-19、SZWG103-E-01、SZWG103-E-03、SZWG103-D-15、SZWG103-D-09、SZWG101-E-18、SZWG103-E-12、SZWG101-F-16、SZWG101-E-08、SZWG101-E-20、SZWG103-D-11、SZWG103-D-21、SZWG103-C-21、SZWG101-F-22、SZWG103-E-11、SZWG103-C-11、SZWG102-F-07、SZWG102-F-04、SZWG103-G-20、SZWG102-F-12、SZWG102-F-11、SZWG102-F-03、SZWG102-F-05、SZWG102-F-08、SZWG102-F-14、SZWG102-F-10、SZWG102-F-13、SZWG102-F-06、SZWG102-F-09、SZWG103-G-22、SZWG102-F-15、SZWG102-F-19、SZWG102-F-17、SZWG102-F-18、SZWG102-F-21、SZWG102-F-20、SZWG102-F-22、SZWG103-G-21、SZWG102-F-16、SZWG101-G-18、SZWG101-G-14、SZWG101-G-16、SZWG201-H-11、SZWG201-H-12、SZWG204-C-22、SZWG204-C-21、SZWG204-C-20、SZWG204-C-19、SZWG204-D-20、SZWG204-D-19、SZWG204-D-21、SZWG201-G-12、SZWG201-G-08、SZWG201-G-10</t>
  </si>
  <si>
    <t>SZWG103-F-03、SZWG103-F-04、SZWG103-F-05、SZWG103-F-06、SZWG103-F-09、SZWG103-F-07、SZWG101-F-04、SZWG101-F-03、SZWG103-F-10</t>
  </si>
  <si>
    <t>上海联通</t>
  </si>
  <si>
    <t>L20221215017</t>
  </si>
  <si>
    <t>CDNSHUN</t>
  </si>
  <si>
    <t>SHUN2F-G-01~SHUN2F-G-08</t>
  </si>
  <si>
    <t>SHUN2F-H-02、SHUN2F-H-03、SHUN2F-H-04</t>
  </si>
  <si>
    <t>2021/8/31上海联通搬迁，退租机柜：SHUN2F-H-03、SHUN2F-G-07、SHUN2F-G-08、SHUN2F-G-01、SHUN2F-G-02、SHUN2F-G-03、SHUN2F-G-04、SHUN2F-G-05、SHUN2F-G-06</t>
  </si>
  <si>
    <t>BEC退租：BECSHUN2F-G-10、BECSHUN2F-G-09</t>
  </si>
  <si>
    <t>上海联通搬迁后使用15个机架，从2021/9/1开始计费：SHUN2F-D4-05、SHUN2F-D4-06、SHUN2F-D4-07、SHUN2F-D4-08、SHUN2F-D4-09、SHUN2F-D4-10、SHUN2F-D4-11、SHUN2F-D4-12、SHUN2F-D4-13、SHUN2F-D4-14</t>
  </si>
  <si>
    <t>BEC退租：BECSHUN2F-D4-15</t>
  </si>
  <si>
    <t>2021/9/14退租4个机架：D4-31、D4-32、D4-33、D4-34（这4个机柜由于只用了9.1-9.14共14天即退租，RMS系统中未建立这4个机架编号，未对机架做开通，费用以正预提做进系统）</t>
  </si>
  <si>
    <t>SHUN2F-H-02 SHUN2F-H-04</t>
  </si>
  <si>
    <t>BEC退租：BECSHUN2F-G-09、BECSHUN2F-G-10</t>
  </si>
  <si>
    <t>SHUN2F-D4-14、SHUN2F-D4-13、SHUN2F-D4-12、SHUN2F-D4-11、SHUN2F-D4-10、SHUN2F-D4-09、SHUN2F-D4-08</t>
  </si>
  <si>
    <t>2014/1/14
2015/1/10</t>
  </si>
  <si>
    <t>CDN使用544个IP 均免费：112.65.203.0/24，112.65.204.0/24 ，140.206.233.32/27。合同约定免费提供832个IPv4地址,/64位IPv6地址</t>
  </si>
  <si>
    <t>BEC使用128个IP均免费:112.65.33.128/25</t>
  </si>
  <si>
    <t>CDN退租：112.65.204.0/24</t>
  </si>
  <si>
    <t>上海联通-电路</t>
  </si>
  <si>
    <t>182315IDC00086</t>
  </si>
  <si>
    <t>SHWGQ-上证（上海市浦东新区外高桥台中北路 8 号 148 机房）</t>
  </si>
  <si>
    <t>中国联合网络通信有限公司无锡市分公司</t>
  </si>
  <si>
    <t>无锡联通</t>
  </si>
  <si>
    <t>182115IDC00628</t>
  </si>
  <si>
    <t>SZZJ-WGM2B</t>
  </si>
  <si>
    <t>2021/8/15开通，8月计费17天：SZZJ昆山市花桥镇金中路192号-WGM2B昆山市花桥经济技术开发区东城大道万国数据中心</t>
  </si>
  <si>
    <t>SZZJ-SZTH</t>
  </si>
  <si>
    <t>SZZJ-SZTH路由一</t>
  </si>
  <si>
    <t>SZZJ-SZTH中继站</t>
  </si>
  <si>
    <t>SZZJ-SZTH路由一1个中继站</t>
  </si>
  <si>
    <t>SZZJ-SZTH路由二</t>
  </si>
  <si>
    <t>SZZJ-SZTH路由二1个中继站</t>
  </si>
  <si>
    <t>SZZJ-SZTH路由三</t>
  </si>
  <si>
    <t>SZZJ-SZTH路由三1个中继站</t>
  </si>
  <si>
    <t>SZZJ-SZTH路由四</t>
  </si>
  <si>
    <t>SZZJ-WXTKY</t>
  </si>
  <si>
    <t>SZZJ-WXTKY路由一</t>
  </si>
  <si>
    <t>SZZJ-WXTKY中继站</t>
  </si>
  <si>
    <t>SZZJ-WXTKY路由一1个中继站</t>
  </si>
  <si>
    <t>SZZJ-WXTKY路由二</t>
  </si>
  <si>
    <t>SZZJ-WXTKY路由二1个中继站</t>
  </si>
  <si>
    <t>SZZJ-WXTKY路由三</t>
  </si>
  <si>
    <t>SZZJ-WXTKY路由三1个中继站</t>
  </si>
  <si>
    <t>SZZJ-WXTKY路由四</t>
  </si>
  <si>
    <t>SZZJ-WXTKY路由四1个中继站</t>
  </si>
  <si>
    <t>中国联合网络通信有限公司烟台市分公司</t>
  </si>
  <si>
    <t>烟台联通</t>
  </si>
  <si>
    <t>L20221106003</t>
  </si>
  <si>
    <t>烟台联通IDC机房</t>
  </si>
  <si>
    <t>XACDNYTUN</t>
  </si>
  <si>
    <t>YTUN4F-B-02、YTUN4F-B-03、YTUN4F-B-04、YTUN4F-B-01、YTUN4F-B-05、YTUN4F-B-06</t>
  </si>
  <si>
    <t>2021.10.31退租2个机柜，YTUN4F-B-05、YTUN4F-B-06</t>
  </si>
  <si>
    <t>免费使用288个，超出部分20元：123.130.123.0/24;123.130.119.128/27</t>
  </si>
  <si>
    <t>山西</t>
  </si>
  <si>
    <t>中国联合网络通信有限公司阳泉市分公司</t>
  </si>
  <si>
    <t>阳泉联通</t>
  </si>
  <si>
    <t>182015IDC00285</t>
  </si>
  <si>
    <t>阳泉-M1</t>
  </si>
  <si>
    <t>600G</t>
  </si>
  <si>
    <t>A端：北京百度酒仙桥M1机房，B端：山西阳泉百度云计算中心</t>
  </si>
  <si>
    <t>中国移动通信集团江苏有限公司南京分公司</t>
  </si>
  <si>
    <t>南京移动</t>
  </si>
  <si>
    <t>182215IDC00320</t>
  </si>
  <si>
    <t>随200G带宽免费赠送1024个
与集团签署200G，提出限速。省内实际开通400G不限速，2021/1/6扩容的200G，无法体现，故2021.6已将端口恢复为200G</t>
  </si>
  <si>
    <t>2022.5 IP代播免费： 106.12.250.0/23</t>
  </si>
  <si>
    <t>2022.5 IP代播免费。2020/11/18开通2个C IP代播，计费13天：106.12.250.0/23</t>
  </si>
  <si>
    <t>2022.5 IP代播免费。4个C IP代播：114.110.96.0/22</t>
  </si>
  <si>
    <t>2022.5 IP代播免费。2021/6/3开通，6月计费28天
12个C IP代播：
a)  122.248.48.0/22
b)  122.248.52.0/22
c)  122.248.56.0/22</t>
  </si>
  <si>
    <t>中国移动通信集团江苏有限公司苏州分公司</t>
  </si>
  <si>
    <t>苏州太湖三线-苏州移动</t>
  </si>
  <si>
    <t>L20221215007</t>
  </si>
  <si>
    <t>苏州太湖三线-移动</t>
  </si>
  <si>
    <t>苏州三级移动</t>
  </si>
  <si>
    <t>2021/9/11开通苏州太湖三线，免费512个，收费1792个
IPV4已使用：36.150.138.0/24；预留段：36.150.139.0/24（预留段运营商也要收费）
IPV6：2409:8C20:5022::/48；2409:8C20:5021:0108::/64</t>
  </si>
  <si>
    <t>2022/12/20退租预留IP段：36.150.139.0/24</t>
  </si>
  <si>
    <t>SZTH-CM-ST-1</t>
  </si>
  <si>
    <t>2021/9/11开通苏州太湖三线，免费512个，收费1792个
36.150.140.0/24
36.150.141.0/24
36.150.142.0/24
36.150.143.0/24
223.109.80.0/24
223.109.81.0/24
223.109.82.0/24</t>
  </si>
  <si>
    <t>2022/7/6 SZTH-移动CDN 新增512个IP：223.109.85.0/24、
223.109.86.0/24</t>
  </si>
  <si>
    <t>边缘计算，223.109.83.0/24、223.109.84.0/24</t>
  </si>
  <si>
    <t>边缘计算退租IP：223.109.83.0/24、223.109.84.0/24</t>
  </si>
  <si>
    <t>SZFH</t>
  </si>
  <si>
    <t>2021/9/11开通苏州太湖三线外拉机柜：
SZFH201-C-10</t>
  </si>
  <si>
    <t>苏州移动</t>
  </si>
  <si>
    <t>182215IDC00510</t>
  </si>
  <si>
    <t>昆山万国-苏州新海宜机房</t>
  </si>
  <si>
    <t>2022.6调整单价。2020/5/15由40G降为10G
已冲销5 6月多计提</t>
  </si>
  <si>
    <t>中国移动通信集团江苏有限公司宿迁分公司</t>
  </si>
  <si>
    <t>宿迁移动</t>
  </si>
  <si>
    <t>182215IDC00424</t>
  </si>
  <si>
    <t>宿迁3移动</t>
  </si>
  <si>
    <t>CDNSQCM</t>
  </si>
  <si>
    <t>2022/5/1【CDN新建】江苏宿迁移动新建，使用4个机柜：SQ3CM3D6FIDCE-C-13、SQ3CM3D6FIDCE-C-14、SQ3CM3D6FIDCE-C-15、SQ3CM3D6FIDCE-C-16</t>
  </si>
  <si>
    <t>2022/6/30【CDN退租】CDN江苏宿迁移动退租信息 (SQ3CM)：SQ3CM3D6FIDCE-C-13、SQ3CM3D6FIDCE-C-14、SQ3CM3D6FIDCE-C-15、SQ3CM3D6FIDCE-C-16</t>
  </si>
  <si>
    <t>2022.7.1【BEC新建】宿迁移动CDN转让带宽200G (SQ3CM)：BECSQ3CM-6F-C08、BECSQ3CM-6F-C09、BECSQ3CM-6F-C10、BECSQ3CM-6F-C11</t>
  </si>
  <si>
    <t>2022/5/1【CDN新建】江苏宿迁移动新建200G，每万兆赠送32个IPv4地址，超出50元。共送640个，实际使用288个：223.109.49.0/24、223.109.50.0/27</t>
  </si>
  <si>
    <t>2022/6/30【CDN退租】CDN江苏宿迁移动退租信息 (SQ3CM)，每万兆赠送32个IPv4地址，超出50元。共送640个，实际使用288个：223.109.49.0/24、223.109.50.0/27</t>
  </si>
  <si>
    <t>2022.7.1【BEC新建】宿迁移动CDN转让带宽200G (SQ3CM)，使用128个IP，为CDN转让。223.109.49.128/25</t>
  </si>
  <si>
    <t>中国移动通信集团江苏有限公司无锡分公司</t>
  </si>
  <si>
    <t>无锡移动</t>
  </si>
  <si>
    <t>181915IDC00153</t>
  </si>
  <si>
    <t>无锡太科园</t>
  </si>
  <si>
    <t>WXTKY</t>
  </si>
  <si>
    <t>2020.1与运营商对账后更新电流和计提单价</t>
  </si>
  <si>
    <t>WXTKY4D203-H-01、WXTKY4D203-H-02、WXTKY4D203-H-11、WXTKY4D203-H-12、WXTKY4D203-I-01、WXTKY4D203-I-02</t>
  </si>
  <si>
    <t>WXTKY4D203-A-07、WXTKY4D203-A-08、WXTKY4D203-A-09、WXTKY4D203-A-10</t>
  </si>
  <si>
    <t>2020/4/15开通，计费16天
WXTKY4D203-A-11、WXTKY4D203-A-12</t>
  </si>
  <si>
    <t>4月多计提已在付款时冲销
WXTKY4D301-A-07、WXTKY4D301-A-08、WXTKY4D301-C-06、WXTKY4D301-I-09、WXTKY4D301-I-10、WXTKY4D303-A-18、WXTKY4D303-A-19、WXTKY4D303-A-22</t>
  </si>
  <si>
    <t>WXTKY4D203-A-19</t>
  </si>
  <si>
    <t>WXTKY4D203-B-01、WXTKY4D203-B-02</t>
  </si>
  <si>
    <t xml:space="preserve">2020/6/5开通，6月计费26天
WXTKY4D203-B-04
</t>
  </si>
  <si>
    <t>2020/6/22开通，6月计费9天
WXTKY4D301-C-06</t>
  </si>
  <si>
    <t>2020/6/24开通，6月计费7天
WXTKY4D301-I-09</t>
  </si>
  <si>
    <t>2020/6/5关闭，冲减25天费用
WXTKY4D203-A-19</t>
  </si>
  <si>
    <t>2020/6/10开通，计费21天费用
WXTKY4D203-A-19</t>
  </si>
  <si>
    <t>WXTKY4D301-I-10</t>
  </si>
  <si>
    <t>WXTKY4D203-B-03、WXTKY4D203-A-13、WXTKY4D203-A-14、WXTKY4D203-A-15、WXTKY4D203-A-16</t>
  </si>
  <si>
    <t>WXTKY4D203-B-05、WXTKY4D203-B-06、WXTKY4D203-B-07</t>
  </si>
  <si>
    <t>WXTKY4D203-B-11、WXTKY4D203-B-12、WXTKY4D203-B-13、WXTKY4D203-B-14、WXTKY4D203-B-08、WXTKY4D203-B-09、WXTKY4D203-B-10</t>
  </si>
  <si>
    <t>WXTKY4D203-B-15、WXTKY4D203-B-16、WXTKY4D203-B-17、WXTKY4D203-B-18、WXTKY4D203-B-19、WXTKY4D203-B-20、WXTKY4D203-B-21、WXTKY4D203-B-22、WXTKY4D203-C-01、WXTKY4D203-C-02、WXTKY4D203-C-03、WXTKY4D203-C-04、WXTKY4D203-C-05、WXTKY4D203-C-06、WXTKY4D203-C-07、WXTKY4D203-C-08、WXTKY4D203-C-09、WXTKY4D203-C-10、WXTKY4D203-C-11、WXTKY4D203-C-12、WXTKY4D203-C-13、WXTKY4D203-C-14、WXTKY4D203-C-15、WXTKY4D203-C-16、WXTKY4D203-D-01、WXTKY4D203-D-02、WXTKY4D203-D-03、WXTKY4D203-D-04、WXTKY4D203-D-05、WXTKY4D203-D-06、WXTKY4D203-D-07、WXTKY4D203-D-08、WXTKY4D203-D-09、WXTKY4D203-D-10、WXTKY4D203-D-11、WXTKY4D203-D-12、WXTKY4D203-D-13、WXTKY4D203-D-14、WXTKY4D203-D-15、WXTKY4D203-D-16、WXTKY4D203-D-17、WXTKY4D203-D-18、WXTKY4D203-D-19、WXTKY4D203-D-20、WXTKY4D203-D-21、WXTKY4D203-D-22、WXTKY4D203-E-01、WXTKY4D203-E-02、WXTKY4D203-E-03、WXTKY4D203-E-04、WXTKY4D203-E-05、WXTKY4D203-E-06、WXTKY4D203-E-07、WXTKY4D203-E-08、WXTKY4D203-E-09、WXTKY4D203-E-10、WXTKY4D203-E-11、WXTKY4D203-E-12、WXTKY4D203-E-13、WXTKY4D203-E-14、WXTKY4D203-E-15、WXTKY4D203-E-16、WXTKY4D203-E-17</t>
  </si>
  <si>
    <t>WXTKY4D203-E-18、WXTKY4D203-E-19、WXTKY4D203-E-20、WXTKY4D203-E-21、WXTKY4D203-E-22、WXTKY4D203-F-01、WXTKY4D203-F-02、WXTKY4D203-F-03、WXTKY4D203-F-04、WXTKY4D203-F-05、WXTKY4D203-F-06、WXTKY4D203-F-07、WXTKY4D203-F-08、WXTKY4D203-F-09、WXTKY4D203-F-10、WXTKY4D203-F-11、WXTKY4D203-F-12、WXTKY4D203-F-13、WXTKY4D203-F-14、WXTKY4D203-F-15、WXTKY4D203-F-16、WXTKY4D203-G-01、WXTKY4D203-G-02、WXTKY4D203-G-03、WXTKY4D203-G-04、WXTKY4D203-G-05、WXTKY4D203-G-06、WXTKY4D203-G-07、WXTKY4D203-G-08、WXTKY4D203-G-09、WXTKY4D203-G-10、WXTKY4D303-A-01、WXTKY4D303-A-02、WXTKY4D303-A-03、WXTKY4D303-A-04、WXTKY4D303-A-05、WXTKY4D303-A-06、WXTKY4D303-A-07、WXTKY4D303-A-08、WXTKY4D303-A-09、WXTKY4D303-A-10、WXTKY4D303-B-01、WXTKY4D303-B-02、WXTKY4D303-B-03、WXTKY4D303-B-04、WXTKY4D303-B-05、WXTKY4D303-B-06、WXTKY4D303-B-07、WXTKY4D303-B-08、WXTKY4D303-B-09、WXTKY4D303-B-10、WXTKY4D303-B-11、WXTKY4D303-B-12、WXTKY4D303-B-13、WXTKY4D303-B-14、WXTKY4D303-B-15、WXTKY4D303-B-16、WXTKY4D303-B-17、WXTKY4D303-B-18、WXTKY4D303-B-19、WXTKY4D303-B-20、WXTKY4D303-B-21、WXTKY4D303-B-22、WXTKY4D303-C-01、WXTKY4D303-C-02、WXTKY4D303-C-03、WXTKY4D303-C-04、WXTKY4D303-C-05、WXTKY4D303-C-06、WXTKY4D303-C-07、WXTKY4D303-C-08、WXTKY4D303-C-09、WXTKY4D303-C-10、WXTKY4D303-C-11、WXTKY4D303-C-12、WXTKY4D303-C-13、WXTKY4D303-C-14、WXTKY4D303-C-15、WXTKY4D303-C-16、WXTKY4D303-D-01、WXTKY4D303-D-02、WXTKY4D303-D-03、WXTKY4D303-D-04、WXTKY4D303-D-05、WXTKY4D303-D-06、WXTKY4D303-D-07、WXTKY4D303-D-08、WXTKY4D303-D-09、WXTKY4D303-D-10、WXTKY4D303-D-11、WXTKY4D303-D-12、WXTKY4D303-D-13、WXTKY4D303-D-14、WXTKY4D303-D-15、WXTKY4D303-D-16、WXTKY4D303-D-17、WXTKY4D303-D-18、WXTKY4D303-D-19、WXTKY4D303-D-20、WXTKY4D303-D-21、WXTKY4D303-D-22、WXTKY4D303-E-01、WXTKY4D303-E-02、WXTKY4D303-E-03、WXTKY4D303-E-04、WXTKY4D303-E-05、WXTKY4D303-E-06、WXTKY4D303-E-07、WXTKY4D303-E-08、WXTKY4D303-E-09、WXTKY4D303-E-10、WXTKY4D303-E-11、WXTKY4D303-E-12、WXTKY4D303-E-13、WXTKY4D303-E-14、WXTKY4D303-E-15、WXTKY4D303-E-16、WXTKY4D303-E-17、WXTKY4D303-E-18、WXTKY4D303-E-19、WXTKY4D303-E-20、WXTKY4D303-E-21、WXTKY4D303-E-22、WXTKY4D303-F-01、WXTKY4D303-F-02、WXTKY4D303-F-03、WXTKY4D303-F-04、WXTKY4D303-F-05、WXTKY4D303-F-06、WXTKY4D303-F-07、WXTKY4D303-F-08、WXTKY4D303-F-09、WXTKY4D303-F-10、WXTKY4D303-F-11、WXTKY4D303-F-12、WXTKY4D303-F-13、WXTKY4D303-F-14、WXTKY4D303-F-15、WXTKY4D303-F-16、WXTKY4D303-G-01、WXTKY4D303-G-02、WXTKY4D303-G-03、WXTKY4D303-G-04、WXTKY4D303-G-05、WXTKY4D303-G-06、WXTKY4D303-G-07、WXTKY4D303-G-08、WXTKY4D303-G-09、WXTKY4D303-G-10</t>
  </si>
  <si>
    <t>WXTKY4D303-G-11、WXTKY4D303-G-12、WXTKY4D303-G-13、WXTKY4D303-G-14、WXTKY4D303-G-15、WXTKY4D303-G-16、WXTKY4D303-G-17、WXTKY4D303-G-18、WXTKY4D303-G-19、WXTKY4D303-G-20、WXTKY4D303-G-21</t>
  </si>
  <si>
    <t>WXTKY4D303-G-22、WXTKY4D303-H-02、WXTKY4D303-H-03、WXTKY4D303-H-04</t>
  </si>
  <si>
    <t>2021.11机柜改造，由40.9A更新为109A，因运营商11月仍按低功率结算，暂时计提在正式合同上，未调整单价。WXTKY4D301-C-08、 WXTKY4D301-D-06</t>
  </si>
  <si>
    <t>WXTKY4D203-G-01、WXTKY4D203-G-02、WXTKY4D203-G-03、WXTKY4D203-G-04、WXTKY4D203-G-05、WXTKY4D203-G-06、WXTKY4D203-G-07、WXTKY4D203-G-08、WXTKY4D203-G-09、WXTKY4D203-G-10</t>
  </si>
  <si>
    <t>WXTKY-云托管</t>
  </si>
  <si>
    <t>WXTKY4D203-A-17</t>
  </si>
  <si>
    <t>WXTKY4D303-H-05、WXTKY4D303-H-06、WXTKY4D303-H-07、WXTKY4D303-H-08、WXTKY4D303-H-09、WXTKY4D303-H-10、WXTKY4D303-H-11、WXTKY4D303-H-12、WXTKY4D303-H-13、WXTKY4D303-H-14、WXTKY4D303-H-15、WXTKY4D303-H-16、WXTKY4D303-H-17、WXTKY4D303-H-18、WXTKY4D303-H-19、WXTKY4D303-H-20、WXTKY4D303-H-21、WXTKY4D303-H-22、WXTKY4D303-I-01、WXTKY4D303-I-02、WXTKY4D303-I-03、WXTKY4D303-I-04、WXTKY4D303-I-05、WXTKY4D303-I-06、WXTKY4D303-I-07、WXTKY4D303-I-08、WXTKY4D303-I-09、WXTKY4D303-I-10、WXTKY4D303-J-01、WXTKY4D303-J-02、WXTKY4D303-J-03</t>
  </si>
  <si>
    <t>WXTKY4D203-G-01、WXTKY4D203-G-02、WXTKY4D203-G-03、WXTKY4D203-G-04、WXTKY4D203-G-05、WXTKY4D203-G-06、WXTKY4D203-G-07、WXTKY4D203-G-08、WXTKY4D203-G-09、WXTKY4D203-G-10、WXTKY4D203-G-16、WXTKY4D203-G-17、WXTKY4D203-G-18、WXTKY4D203-G-19、WXTKY4D203-G-20、WXTKY4D203-G-21、WXTKY4D203-G-22、WXTKY4D203-H-03、WXTKY4D203-H-04、WXTKY4D203-H-05、WXTKY4D303-J-04、WXTKY4D303-J-05、WXTKY4D303-J-06、WXTKY4D303-J-07、WXTKY4D303-J-08、WXTKY4D303-J-09、WXTKY4D303-J-10、WXTKY4D303-J-11、WXTKY4D303-J-12、WXTKY4D203-H-06、WXTKY4D203-H-07、WXTKY4D203-H-08、WXTKY4D203-H-09、WXTKY4D203-H-10、WXTKY4D203-H-13、WXTKY4D203-H-14、WXTKY4D203-H-15、WXTKY4D203-H-16、WXTKY4D203-H-17、WXTKY4D203-H-18、WXTKY4D203-H-19、WXTKY4D203-H-20、WXTKY4D203-H-21、WXTKY4D203-H-22、WXTKY4D203-I-03、WXTKY4D203-I-04、WXTKY4D203-I-05、WXTKY4D203-I-06、WXTKY4D203-I-07、WXTKY4D203-I-08、WXTKY4D203-I-09、WXTKY4D203-I-10、WXTKY4D203-I-11、WXTKY4D203-I-12、WXTKY4D203-I-13、WXTKY4D203-I-14、WXTKY4D203-I-15、WXTKY4D203-I-16</t>
  </si>
  <si>
    <t>布线柜WXTKY4D301-A-01、WXTKY4D301-A-03、WXTKY4D301-B-01、WXTKY4D301-B-03、WXTKY4D301-C-01、WXTKY4D301-C-03、WXTKY4D301-D-01、WXTKY4D301-D-03、WXTKY4D301-E-08、WXTKY4D301-F-07、WXTKY4D301-G-01、WXTKY4D301-G-08、WXTKY4D301-H-01、WXTKY4D301-H-07</t>
  </si>
  <si>
    <t>WXTKY4D203-A-18</t>
  </si>
  <si>
    <t>WXTKY4D201-L-01、WXTKY4D401-N-01、WXTKY4D403-H-01、WXTKY4D201-C-14、WXTKY4D201-C-15、WXTKY4D201-H-17、WXTKY4D201-H-18、WXTKY4D401-F-15、WXTKY4D401-F-16、WXTKY4D401-I-15、WXTKY4D401-I-16、WXTKY4D403-A-21、WXTKY4D403-A-22、WXTKY4D403-F-17、WXTKY4D403-F-18</t>
  </si>
  <si>
    <t>WXTKY4D401-A-01、WXTKY4D401-A-02、WXTKY4D401-A-05、WXTKY4D401-A-06、WXTKY4D403-A-01、WXTKY4D403-A-02、WXTKY4D403-A-05、WXTKY4D403-A-06、WXTKY4D403-A-09、WXTKY4D403-A-10、WXTKY4D403-A-11、WXTKY4D403-A-12、WXTKY4D403-A-14、WXTKY4D403-A-15、WXTKY4D403-A-18</t>
  </si>
  <si>
    <t>WXTKY4D201-A-01、WXTKY4D201-A-02、WXTKY4D201-A-05、WXTKY4D201-A-06、WXTKY4D201-A-09、WXTKY4D201-A-10、WXTKY4D201-A-12、WXTKY4D201-A-13、WXTKY4D201-A-16、WXTKY4D201-A-17、WXTKY4D201-B-01、WXTKY4D201-B-02、WXTKY4D201-B-04、WXTKY4D201-B-05、WXTKY4D201-B-07、WXTKY4D201-B-08、WXTKY4D201-B-11、WXTKY4D201-B-12、WXTKY4D201-B-15、WXTKY4D201-B-16、WXTKY4D201-C-01、WXTKY4D201-C-02、WXTKY4D201-C-05、WXTKY4D201-C-06、WXTKY4D201-C-09、WXTKY4D201-C-10、WXTKY4D201-C-11、WXTKY4D201-C-12、WXTKY4D201-D-01、WXTKY4D201-D-02、WXTKY4D201-D-04、WXTKY4D201-D-05、WXTKY4D201-D-07、WXTKY4D201-D-08、WXTKY4D201-D-11、WXTKY4D201-D-12、WXTKY4D201-D-15、WXTKY4D201-D-16、WXTKY4D201-E-01、WXTKY4D201-E-02、WXTKY4D201-E-05、WXTKY4D201-E-06、WXTKY4D201-E-08、WXTKY4D201-E-09、WXTKY4D201-E-12、WXTKY4D201-E-13、WXTKY4D201-E-16、WXTKY4D201-E-17、WXTKY4D201-F-01、WXTKY4D201-F-02、WXTKY4D201-F-04、WXTKY4D201-F-05、WXTKY4D201-F-08、WXTKY4D201-F-09、WXTKY4D201-F-12、WXTKY4D201-F-13、WXTKY4D201-G-01、WXTKY4D201-G-02、WXTKY4D201-G-05、WXTKY4D201-G-06、WXTKY4D201-G-08、WXTKY4D201-G-09、WXTKY4D201-G-12、WXTKY4D201-G-13、WXTKY4D201-G-16、WXTKY4D201-G-17、WXTKY4D201-H-01、WXTKY4D201-H-02、WXTKY4D201-H-05、WXTKY4D201-H-06、WXTKY4D201-H-09、WXTKY4D201-H-10、WXTKY4D201-H-13、WXTKY4D201-H-14、WXTKY4D201-I-01、WXTKY4D201-I-02、WXTKY4D201-I-05、WXTKY4D201-I-06、WXTKY4D201-I-09、WXTKY4D201-I-10、WXTKY4D201-I-13、WXTKY4D201-I-14、WXTKY4D201-J-01、WXTKY4D201-J-02、WXTKY4D201-J-04、WXTKY4D201-J-05、WXTKY4D201-J-07、WXTKY4D201-J-08、WXTKY4D201-J-11、WXTKY4D201-J-12、WXTKY4D201-J-15、WXTKY4D201-J-16、WXTKY4D201-K-01、WXTKY4D201-K-02、WXTKY4D201-K-05、WXTKY4D201-K-06、WXTKY4D201-K-08、WXTKY4D201-K-09、WXTKY4D201-K-11、WXTKY4D201-K-12、WXTKY4D201-K-15、WXTKY4D201-K-16、WXTKY4D201-L-02、WXTKY4D201-L-03、WXTKY4D201-L-04、WXTKY4D201-L-05、WXTKY4D201-L-08、WXTKY4D201-L-09、WXTKY4D201-L-11、WXTKY4D201-L-12、WXTKY4D401-A-09、WXTKY4D401-A-10、WXTKY4D401-A-13、WXTKY4D401-A-14、WXTKY4D401-A-16、WXTKY4D401-A-17、WXTKY4D401-B-01、WXTKY4D401-B-02、WXTKY4D401-B-04、WXTKY4D401-B-05、WXTKY4D401-B-08、WXTKY4D401-B-09、WXTKY4D401-B-12、WXTKY4D401-B-13、WXTKY4D401-B-15、WXTKY4D401-B-16、WXTKY4D401-C-01、WXTKY4D401-C-02、WXTKY4D401-C-05、WXTKY4D401-C-06、WXTKY4D401-C-09、WXTKY4D401-C-10、WXTKY4D401-C-14、WXTKY4D401-C-15、WXTKY4D401-D-01、WXTKY4D401-D-02、WXTKY4D401-D-04、WXTKY4D401-D-05、WXTKY4D401-D-08、WXTKY4D401-D-09、WXTKY4D401-D-12、WXTKY4D401-D-13、WXTKY4D401-D-15、WXTKY4D401-D-16、WXTKY4D401-E-01、WXTKY4D401-E-02、WXTKY4D401-E-05、WXTKY4D401-E-06、WXTKY4D401-E-09、WXTKY4D401-E-10、WXTKY4D401-E-13、WXTKY4D401-E-14、WXTKY4D401-E-16、WXTKY4D401-E-17、WXTKY4D401-F-01、WXTKY4D401-F-02、WXTKY4D401-F-05、WXTKY4D401-F-06、WXTKY4D401-F-10、WXTKY4D401-F-11、WXTKY4D401-F-13、WXTKY4D401-F-14、WXTKY4D401-G-01、WXTKY4D401-G-02、WXTKY4D401-G-05、WXTKY4D401-G-06、WXTKY4D401-G-09、WXTKY4D401-G-10、WXTKY4D401-G-13、WXTKY4D401-G-14、WXTKY4D401-G-16、WXTKY4D401-G-17、WXTKY4D401-H-01、WXTKY4D401-H-02、WXTKY4D401-H-04、WXTKY4D401-H-05、WXTKY4D401-H-08、WXTKY4D401-H-09、WXTKY4D401-H-12、WXTKY4D401-H-13、WXTKY4D401-H-15、WXTKY4D401-H-16、WXTKY4D401-I-01、WXTKY4D401-I-02、WXTKY4D401-I-05、WXTKY4D401-I-06、WXTKY4D401-I-09、WXTKY4D401-I-10、WXTKY4D401-I-12、WXTKY4D401-I-13、WXTKY4D401-J-01、WXTKY4D401-J-02、WXTKY4D401-J-04、WXTKY4D401-J-05、WXTKY4D401-J-08、WXTKY4D401-J-09、WXTKY4D401-J-12、WXTKY4D401-J-13、WXTKY4D401-J-15、WXTKY4D401-J-16、WXTKY4D401-K-01、WXTKY4D401-K-02、WXTKY4D401-K-05、WXTKY4D401-K-06、WXTKY4D401-K-09、WXTKY4D401-K-10、WXTKY4D401-K-13、WXTKY4D401-K-14、WXTKY4D401-K-16、WXTKY4D401-K-17、WXTKY4D401-L-01、WXTKY4D401-L-02、WXTKY4D401-L-05、WXTKY4D401-L-06、WXTKY4D401-L-10、WXTKY4D401-L-11、WXTKY4D401-L-13、WXTKY4D401-L-14、WXTKY4D401-M-01、WXTKY4D401-M-02、WXTKY4D401-M-05、WXTKY4D401-M-06、WXTKY4D401-M-09、WXTKY4D401-M-10、WXTKY4D401-M-13、WXTKY4D401-M-14、WXTKY4D401-M-16、WXTKY4D401-M-17、WXTKY4D401-N-02、WXTKY4D401-N-03、WXTKY4D401-N-04、WXTKY4D401-N-05、WXTKY4D401-N-08、WXTKY4D401-N-09、WXTKY4D401-N-12、WXTKY4D401-N-13、WXTKY4D401-N-15、WXTKY4D401-N-16、WXTKY4D403-C-09、WXTKY4D403-C-10、WXTKY4D403-C-11、WXTKY4D403-C-12、WXTKY4D403-C-16、WXTKY4D403-C-17、WXTKY4D403-D-01、WXTKY4D403-D-02、WXTKY4D403-D-05、WXTKY4D403-D-06、WXTKY4D403-D-09、WXTKY4D403-D-10、WXTKY4D403-D-11、WXTKY4D403-D-12、WXTKY4D403-D-15、WXTKY4D403-D-16、WXTKY4D403-D-19、WXTKY4D403-D-20、WXTKY4D403-E-01、WXTKY4D403-E-02、WXTKY4D403-E-05、WXTKY4D403-E-06、WXTKY4D403-E-09、WXTKY4D403-E-10、WXTKY4D403-E-11、WXTKY4D403-E-12、WXTKY4D403-E-15、WXTKY4D403-E-16、WXTKY4D403-E-19、WXTKY4D403-E-20、WXTKY4D403-F-01、WXTKY4D403-F-02、WXTKY4D403-F-06、WXTKY4D403-F-07、WXTKY4D403-F-09、WXTKY4D403-F-10、WXTKY4D403-F-11、WXTKY4D403-F-12、WXTKY4D403-F-15、WXTKY4D403-F-16、WXTKY4D403-G-01、WXTKY4D403-G-02、WXTKY4D403-G-05、WXTKY4D403-G-06、WXTKY4D403-G-09、WXTKY4D403-G-10、WXTKY4D403-G-11、WXTKY4D403-G-12、WXTKY4D403-G-15、WXTKY4D403-G-16、WXTKY4D403-G-19、WXTKY4D403-G-20、WXTKY4D403-H-03、WXTKY4D403-H-04、WXTKY4D403-H-06、WXTKY4D403-H-07、WXTKY4D403-H-08、WXTKY4D403-H-09、WXTKY4D403-H-11、WXTKY4D403-H-12、WXTKY4D403-H-15、WXTKY4D403-H-16、WXTKY4D403-H-20、WXTKY4D403-H-21、WXTKY4D403-I-01、WXTKY4D403-I-02、WXTKY4D403-I-04、WXTKY4D403-I-05、WXTKY4D403-I-08、WXTKY4D403-I-09、WXTKY4D403-J-01、WXTKY4D403-J-02、WXTKY4D403-J-05、WXTKY4D403-J-06、WXTKY4D403-J-09、WXTKY4D403-J-10</t>
  </si>
  <si>
    <t>WXTKY4D203-A-22、WXTKY4D203-G-13、WXTKY4D203-J-02、WXTKY4D203-J-03、WXTKY4D203-J-04、WXTKY4D203-J-05、WXTKY4D203-J-06、WXTKY4D203-J-07、WXTKY4D203-J-08、WXTKY4D203-J-09、WXTKY4D203-J-10、WXTKY4D203-J-11、WXTKY4D203-J-12、WXTKY4D203-J-13、WXTKY4D203-J-14、</t>
  </si>
  <si>
    <t>WXTKY4D403-A-03、WXTKY4D403-A-04、WXTKY4D403-A-07、WXTKY4D403-A-08、WXTKY4D403-A-13、WXTKY4D403-A-16、WXTKY4D403-A-17、WXTKY4D403-A-20、WXTKY4D403-B-03、WXTKY4D403-B-04、WXTKY4D403-B-05、WXTKY4D403-B-10、WXTKY4D403-B-13、WXTKY4D403-B-14、WXTKY4D403-B-17、WXTKY4D403-B-18、WXTKY4D403-B-19、WXTKY4D403-B-22、WXTKY4D403-C-03、WXTKY4D403-C-04、WXTKY4D403-C-05</t>
  </si>
  <si>
    <t>WXTKY4D403-C-08、WXTKY4D403-C-13、WXTKY4D403-C-14、WXTKY4D403-C-15、WXTKY4D403-C-18、WXTKY4D403-D-03、WXTKY4D403-D-04、WXTKY4D403-D-07、WXTKY4D403-D-08、WXTKY4D403-D-13、WXTKY4D403-D-14、WXTKY4D403-D-17、WXTKY4D403-D-18、WXTKY4D403-D-21、WXTKY4D403-D-22、WXTKY4D403-E-03、WXTKY4D403-E-04、WXTKY4D403-E-07、WXTKY4D403-E-08、WXTKY4D403-E-13、WXTKY4D403-E-14、WXTKY4D403-E-17、WXTKY4D403-E-18、WXTKY4D403-E-21、WXTKY4D403-E-22、WXTKY4D403-F-03、WXTKY4D403-F-04、WXTKY4D403-F-05、WXTKY4D403-F-08、WXTKY4D403-F-13、WXTKY4D403-F-14、WXTKY4D403-G-03、WXTKY4D403-G-04、WXTKY4D403-G-07、WXTKY4D403-G-08、WXTKY4D403-G-13、WXTKY4D403-G-14、WXTKY4D403-G-17、WXTKY4D403-G-18、WXTKY4D403-G-21、WXTKY4D403-G-22、WXTKY4D403-H-02、WXTKY4D403-H-05、WXTKY4D403-H-10、WXTKY4D403-H-13、WXTKY4D403-H-14、WXTKY4D403-H-17、WXTKY4D403-H-18、WXTKY4D403-H-19、WXTKY4D403-H-22、WXTKY4D403-I-03、WXTKY4D403-I-06、WXTKY4D403-I-07、WXTKY4D403-I-10、WXTKY4D403-J-03、WXTKY4D403-J-04、WXTKY4D403-J-07、WXTKY4D403-J-08、WXTKY4D403-J-11、WXTKY4D403-J-12</t>
  </si>
  <si>
    <t>WXTKY4D401-A-03、WXTKY4D401-A-04、WXTKY4D401-A-07、WXTKY4D401-A-08、WXTKY4D401-A-11、WXTKY4D401-A-12、WXTKY4D401-A-15、WXTKY4D401-A-18、WXTKY4D401-B-03、WXTKY4D401-B-06、WXTKY4D401-B-07、WXTKY4D401-B-10、WXTKY4D401-B-11、WXTKY4D401-B-14、WXTKY4D401-B-17、WXTKY4D401-B-18、WXTKY4D401-C-03、WXTKY4D401-C-04、WXTKY4D401-C-07、WXTKY4D401-C-08、WXTKY4D401-C-11、WXTKY4D401-C-12、WXTKY4D401-C-13、WXTKY4D401-C-16、WXTKY4D401-D-03、WXTKY4D401-D-06、WXTKY4D401-D-07、WXTKY4D401-D-10、WXTKY4D401-D-11、WXTKY4D401-D-14、WXTKY4D401-D-17、WXTKY4D401-D-18、WXTKY4D401-E-03、WXTKY4D401-E-04、WXTKY4D401-E-07、WXTKY4D401-E-08、WXTKY4D401-E-11、WXTKY4D401-E-12、WXTKY4D401-E-15、WXTKY4D401-E-18、WXTKY4D401-F-03、WXTKY4D401-F-04、WXTKY4D401-F-07、WXTKY4D401-F-08、WXTKY4D401-F-09、WXTKY4D401-F-12、WXTKY4D401-G-03、WXTKY4D401-G-04、WXTKY4D401-G-07、WXTKY4D401-G-08、WXTKY4D401-G-11、WXTKY4D401-G-12、WXTKY4D401-G-15、WXTKY4D401-G-18、WXTKY4D401-H-03、WXTKY4D401-H-06、WXTKY4D401-H-07、WXTKY4D401-H-10、WXTKY4D401-H-11、WXTKY4D401-H-14、WXTKY4D401-H-17、WXTKY4D401-H-18、WXTKY4D401-I-03、WXTKY4D401-I-04、WXTKY4D401-I-07、WXTKY4D401-I-08、WXTKY4D401-I-11、WXTKY4D401-I-14、WXTKY4D401-J-03、WXTKY4D401-J-06、WXTKY4D401-J-07、WXTKY4D401-J-10、WXTKY4D401-J-11、WXTKY4D401-J-14、WXTKY4D401-J-17、WXTKY4D401-J-18、WXTKY4D401-K-03、WXTKY4D401-K-04、WXTKY4D401-K-07、WXTKY4D401-K-08、WXTKY4D401-K-11、WXTKY4D401-K-12、WXTKY4D401-K-15、WXTKY4D401-K-18、WXTKY4D401-L-03、WXTKY4D401-L-04、WXTKY4D401-L-07、WXTKY4D401-L-08、WXTKY4D401-L-09、WXTKY4D401-L-12、WXTKY4D401-L-15、WXTKY4D401-L-16、WXTKY4D401-M-03、WXTKY4D401-M-04、WXTKY4D401-M-07、WXTKY4D401-M-08、WXTKY4D401-M-11、WXTKY4D401-M-12、WXTKY4D401-M-15、WXTKY4D401-M-18、WXTKY4D401-N-06、WXTKY4D401-N-07、WXTKY4D401-N-10、WXTKY4D401-N-11、WXTKY4D401-N-14、WXTKY4D401-N-17、WXTKY4D401-N-18、WXTKY4D201-A-03、WXTKY4D201-A-04、WXTKY4D201-A-07、WXTKY4D201-A-08、WXTKY4D201-A-11、WXTKY4D201-A-14、WXTKY4D201-A-15、WXTKY4D201-B-03、WXTKY4D201-B-06、WXTKY4D201-B-09、WXTKY4D201-B-10、WXTKY4D201-B-13、WXTKY4D201-B-14、WXTKY4D201-B-17、WXTKY4D201-C-03、WXTKY4D201-C-04、WXTKY4D201-C-07、WXTKY4D201-C-08、WXTKY4D201-C-13、WXTKY4D201-D-03、WXTKY4D201-D-06、WXTKY4D201-D-09、WXTKY4D201-D-10、WXTKY4D201-D-13、WXTKY4D201-D-14、WXTKY4D201-D-17、WXTKY4D201-D-18、WXTKY4D201-E-03、WXTKY4D201-E-04、WXTKY4D201-E-07、WXTKY4D201-E-10、WXTKY4D201-E-11、WXTKY4D201-E-14、WXTKY4D201-E-15、WXTKY4D201-E-18、WXTKY4D201-F-03、WXTKY4D201-F-06、WXTKY4D201-F-07、WXTKY4D201-F-10、WXTKY4D201-F-11、WXTKY4D201-F-14、WXTKY4D201-F-15、WXTKY4D201-G-03、WXTKY4D201-G-04、WXTKY4D201-G-07、WXTKY4D201-G-10、WXTKY4D201-G-11、WXTKY4D201-G-14、WXTKY4D201-G-15、WXTKY4D201-G-18、WXTKY4D201-H-03、WXTKY4D201-H-04、WXTKY4D201-H-07、WXTKY4D201-H-08、WXTKY4D201-H-11、WXTKY4D201-H-12、WXTKY4D201-H-15、WXTKY4D201-H-16、WXTKY4D201-I-03、WXTKY4D201-I-04、WXTKY4D201-I-07、WXTKY4D201-I-08、WXTKY4D201-I-11、WXTKY4D201-I-12、WXTKY4D201-I-15、WXTKY4D201-J-03、WXTKY4D201-J-06、WXTKY4D201-J-09、WXTKY4D201-J-10、WXTKY4D201-J-13、WXTKY4D201-J-14、WXTKY4D201-J-17、WXTKY4D201-J-18、WXTKY4D201-K-03、WXTKY4D201-K-04、WXTKY4D201-K-07、WXTKY4D201-K-10、WXTKY4D201-K-13、WXTKY4D201-K-14、WXTKY4D201-K-17、WXTKY4D201-K-18、WXTKY4D201-L-06、WXTKY4D201-L-07、WXTKY4D201-L-10、WXTKY4D201-L-13</t>
  </si>
  <si>
    <t>WXTKY4D203-A-22</t>
  </si>
  <si>
    <t>WXTKY4D203-A-20、WXTKY4D203-A-21</t>
  </si>
  <si>
    <t>WXTKY4D403-A-19、WXTKY4D403-B-01、WXTKY4D403-B-02、WXTKY4D403-B-06、WXTKY4D403-B-07、WXTKY4D403-B-08、WXTKY4D403-B-09、WXTKY4D403-B-11、WXTKY4D403-B-12、WXTKY4D403-B-15、WXTKY4D403-B-16、WXTKY4D403-B-20、WXTKY4D403-B-21、WXTKY4D403-C-01、WXTKY4D403-C-02、WXTKY4D403-C-06、WXTKY4D403-C-07</t>
  </si>
  <si>
    <t>2020/11/16开通，计费15天：WXTKY4D301-A-07、WXTKY4D301-A-08、WXTKY4D303-A-18、WXTKY4D303-A-19</t>
  </si>
  <si>
    <t>2020/12/3开通，计费29天：WXTKY4D301-A-09、WXTKY4D301-B-07、WXTKY4D301-E-05、WXTKY4D301-F-04</t>
  </si>
  <si>
    <t>2020/12/3开通，计费29天：WXTKY4D301-E-02、WXTKY4D301-F-02</t>
  </si>
  <si>
    <t>无锡太科园-二期</t>
  </si>
  <si>
    <t>2021/1/4开通，计费28天：WXTKY4D601-C-17、WXTKY4D601-C-18、WXTKY4D601-E-01、WXTKY4D601-A-01、WXTKY4D601-A-02、WXTKY4D601-A-05、WXTKY4D601-A-06、WXTKY4D601-A-09、WXTKY4D601-A-10、WXTKY4D601-A-13、WXTKY4D601-A-14、WXTKY4D601-A-16、WXTKY4D601-A-17、WXTKY4D601-B-01、WXTKY4D601-B-02、WXTKY4D601-B-05、WXTKY4D601-B-06、WXTKY4D601-B-08、WXTKY4D601-B-09、WXTKY4D601-B-12、WXTKY4D601-B-13、WXTKY4D601-C-01、WXTKY4D601-C-02、WXTKY4D601-C-05、WXTKY4D601-C-06、WXTKY4D601-C-09、WXTKY4D601-C-10、WXTKY4D601-C-13、WXTKY4D601-C-14、WXTKY4D601-D-01、WXTKY4D601-D-02、WXTKY4D601-D-05、WXTKY4D601-D-06、WXTKY4D601-D-08、WXTKY4D601-D-09、WXTKY4D601-D-11、WXTKY4D601-D-12、WXTKY4D601-D-15、WXTKY4D601-D-16、WXTKY4D601-E-02、WXTKY4D601-E-03、WXTKY4D601-E-04、WXTKY4D601-E-05、WXTKY4D601-E-07、WXTKY4D601-E-08、WXTKY4D601-E-11、WXTKY4D601-E-12、WXTKY4D601-B-03、WXTKY4D601-B-04、WXTKY4D601-B-07、WXTKY4D601-B-10、WXTKY4D601-B-11、WXTKY4D601-B-14、WXTKY4D601-B-15、WXTKY4D601-C-03、WXTKY4D601-C-04、WXTKY4D601-D-04、WXTKY4D601-D-07、WXTKY4D601-D-10、WXTKY4D601-D-13、WXTKY4D601-D-14、WXTKY4D601-D-17、WXTKY4D601-D-18、WXTKY4D601-E-06、WXTKY4D601-E-09、WXTKY4D601-E-10、WXTKY4D601-E-13、WXTKY4D601-A-11、WXTKY4D601-A-12、WXTKY4D601-A-15、WXTKY4D601-A-18、WXTKY4D601-A-03、WXTKY4D601-A-04、WXTKY4D601-A-07、WXTKY4D601-A-08、WXTKY4D601-C-15、WXTKY4D601-C-16、WXTKY4D601-D-03、WXTKY4D601-C-07、WXTKY4D601-C-08、WXTKY4D601-C-11、WXTKY4D601-C-12、WXTKY4D602-F-01、WXTKY4D602-A-05、WXTKY4D602-A-06、WXTKY4D602-C-05、WXTKY4D602-C-06、WXTKY4D602-E-01、WXTKY4D602-E-02、WXTKY4D602-E-03、WXTKY4D602-E-04、WXTKY4D602-E-05、WXTKY4D602-E-06、WXTKY4D602-E-07、WXTKY4D602-E-08、WXTKY4D602-E-09、WXTKY4D602-E-10、WXTKY4D602-F-02、WXTKY4D602-F-03、WXTKY4D602-F-04、WXTKY4D602-F-05、WXTKY4D602-F-06、WXTKY4D602-F-07、WXTKY4D602-F-08、WXTKY4D602-F-09、WXTKY4D602-F-10、WXTKY4D604-C-17、WXTKY4D604-C-18、WXTKY4D604-I-01、WXTKY4D604-J-21、WXTKY4D604-J-22、WXTKY4D604-I-09、WXTKY4D604-I-10、WXTKY4D604-J-02、WXTKY4D604-J-03、WXTKY4D604-J-15、WXTKY4D604-J-16、WXTKY4D604-A-01、WXTKY4D604-A-02、WXTKY4D604-A-05、WXTKY4D604-A-06、WXTKY4D604-A-09、WXTKY4D604-A-10、WXTKY4D604-A-11、WXTKY4D604-A-12、WXTKY4D604-A-15、WXTKY4D604-A-16、WXTKY4D604-A-19、WXTKY4D604-A-20、WXTKY4D604-B-01、WXTKY4D604-B-02、WXTKY4D604-B-05、WXTKY4D604-B-06、WXTKY4D604-B-08、WXTKY4D604-B-09、WXTKY4D604-B-11、WXTKY4D604-B-12、WXTKY4D604-B-15、WXTKY4D604-B-16、WXTKY4D604-B-20、WXTKY4D604-B-21、WXTKY4D604-C-01、WXTKY4D604-C-02、WXTKY4D604-C-05、WXTKY4D604-C-06、WXTKY4D604-C-09、WXTKY4D604-C-10、WXTKY4D604-C-11、WXTKY4D604-C-12、WXTKY4D604-C-15、WXTKY4D604-C-16、WXTKY4D604-D-01、WXTKY4D604-D-02、WXTKY4D604-D-05、WXTKY4D604-D-06、WXTKY4D604-D-09、WXTKY4D604-D-10、WXTKY4D604-D-11、WXTKY4D604-D-12、WXTKY4D604-D-15、WXTKY4D604-D-16、WXTKY4D604-D-19、WXTKY4D604-D-20、WXTKY4D604-E-01、WXTKY4D604-E-02、WXTKY4D604-E-05、WXTKY4D604-E-06、WXTKY4D604-E-09、WXTKY4D604-E-10、WXTKY4D604-E-11、WXTKY4D604-E-12、WXTKY4D604-E-15、WXTKY4D604-E-16、WXTKY4D604-E-19、WXTKY4D604-E-20、WXTKY4D604-F-01、WXTKY4D604-F-02、WXTKY4D604-F-05、WXTKY4D604-F-06、WXTKY4D604-F-09、WXTKY4D604-F-10、WXTKY4D604-F-11、WXTKY4D604-F-12、WXTKY4D604-F-15、WXTKY4D604-F-16、WXTKY4D604-G-05、WXTKY4D604-G-06、WXTKY4D604-G-09、WXTKY4D604-G-10、WXTKY4D604-G-11、WXTKY4D604-G-12、WXTKY4D604-H-01、WXTKY4D604-H-02、WXTKY4D604-H-08、WXTKY4D604-H-09、WXTKY4D604-H-15、WXTKY4D604-H-16、WXTKY4D604-H-19、WXTKY4D604-H-20、WXTKY4D604-I-02、WXTKY4D604-I-05、WXTKY4D604-I-06、WXTKY4D604-J-01、WXTKY4D604-A-03、WXTKY4D604-A-04、WXTKY4D604-A-07、WXTKY4D604-A-08、WXTKY4D604-A-13、WXTKY4D604-A-14、WXTKY4D604-A-17、WXTKY4D604-A-18、WXTKY4D604-A-21、WXTKY4D604-A-22、WXTKY4D604-B-03、WXTKY4D604-B-04、WXTKY4D604-B-07、WXTKY4D604-B-10、WXTKY4D604-B-13、WXTKY4D604-B-14、WXTKY4D604-B-17、WXTKY4D604-B-18、WXTKY4D604-B-19</t>
  </si>
  <si>
    <t>2021/1/9开通，计费23天：WXTKY4D604-J-18、WXTKY4D604-J-19、WXTKY4D604-J-20</t>
  </si>
  <si>
    <t>2021/1/11开通，计费21天：WXTKY4D604-E-03、WXTKY4D604-E-04、WXTKY4D604-E-07、WXTKY4D604-E-08、WXTKY4D604-E-13、WXTKY4D604-E-14、WXTKY4D604-E-17、WXTKY4D604-E-18、WXTKY4D604-F-03、WXTKY4D604-F-04、WXTKY4D604-F-07、WXTKY4D604-F-08、WXTKY4D604-F-13、WXTKY4D604-F-14、WXTKY4D604-F-17、WXTKY4D604-F-18、WXTKY4D604-G-01、WXTKY4D604-G-02、WXTKY4D604-G-03、WXTKY4D604-G-04、WXTKY4D604-G-07、WXTKY4D604-G-08、WXTKY4D604-G-13、WXTKY4D604-G-14、WXTKY4D604-G-15、WXTKY4D604-G-16、WXTKY4D604-G-17、WXTKY4D604-G-18、WXTKY4D604-G-19、WXTKY4D604-G-20、WXTKY4D604-G-21、WXTKY4D604-G-22、WXTKY4D604-H-03、WXTKY4D604-H-04、WXTKY4D604-H-05、WXTKY4D604-H-06、WXTKY4D604-H-07、WXTKY4D604-H-10、WXTKY4D604-H-11、WXTKY4D604-H-12、WXTKY4D604-H-13、WXTKY4D604-H-14、WXTKY4D604-H-17、WXTKY4D604-H-18、WXTKY4D604-H-21、WXTKY4D604-H-22、WXTKY4D604-I-03、WXTKY4D604-I-04、WXTKY4D604-I-07、WXTKY4D604-I-08、WXTKY4D604-I-11、WXTKY4D604-I-12、WXTKY4D604-I-13、WXTKY4D604-I-14、WXTKY4D604-I-15、WXTKY4D604-I-16、WXTKY4D604-I-17、WXTKY4D604-I-18、WXTKY4D604-J-04、WXTKY4D604-J-05、WXTKY4D604-J-06、WXTKY4D604-J-07、WXTKY4D604-J-08、WXTKY4D604-J-09、WXTKY4D604-J-10、WXTKY4D604-J-11、WXTKY4D604-J-12、WXTKY4D604-J-13、WXTKY4D604-J-14、WXTKY4D604-J-17、WXTKY4D701-A-03、WXTKY4D701-A-04、WXTKY4D701-A-07、WXTKY4D701-A-08、WXTKY4D701-A-11、WXTKY4D701-A-12、WXTKY4D701-A-15、WXTKY4D701-A-18、WXTKY4D701-B-03、WXTKY4D701-B-06、WXTKY4D701-B-07、WXTKY4D701-B-10、WXTKY4D701-B-11、WXTKY4D701-B-14、WXTKY4D701-B-17、WXTKY4D701-B-18、WXTKY4D701-C-03、WXTKY4D701-C-04、WXTKY4D701-C-07、WXTKY4D701-C-08、WXTKY4D701-C-11、WXTKY4D701-C-12、WXTKY4D701-C-15、WXTKY4D701-C-16、WXTKY4D701-D-03、WXTKY4D701-D-04、WXTKY4D701-D-07、WXTKY4D701-D-08、WXTKY4D701-D-11、WXTKY4D701-D-12、WXTKY4D701-D-15、WXTKY4D701-D-16、WXTKY4D701-E-03、WXTKY4D701-E-04、WXTKY4D701-E-07、WXTKY4D701-E-08、WXTKY4D701-E-11、WXTKY4D701-E-12、WXTKY4D701-E-15、WXTKY4D701-E-18、WXTKY4D701-F-03、WXTKY4D701-F-04、WXTKY4D701-F-07、WXTKY4D701-F-08、WXTKY4D701-F-11、WXTKY4D701-F-12、WXTKY4D701-F-15、WXTKY4D701-F-16、WXTKY4D701-G-03、WXTKY4D701-G-04、WXTKY4D701-G-07、WXTKY4D701-G-08、WXTKY4D701-G-11、WXTKY4D701-G-12、WXTKY4D701-G-15、WXTKY4D701-G-18、WXTKY4D701-H-03、WXTKY4D701-H-06、WXTKY4D701-H-07、WXTKY4D701-H-10、WXTKY4D701-H-11、WXTKY4D701-H-14、WXTKY4D701-H-17、WXTKY4D701-H-18、WXTKY4D701-I-03、WXTKY4D701-I-04、WXTKY4D701-I-07、WXTKY4D701-I-08、WXTKY4D701-I-11、WXTKY4D701-I-12、WXTKY4D701-I-15、WXTKY4D701-I-16、WXTKY4D701-J-03、WXTKY4D701-J-04、WXTKY4D701-J-07、WXTKY4D701-J-08、WXTKY4D701-J-11、WXTKY4D701-J-12、WXTKY4D701-J-15、WXTKY4D701-J-16、WXTKY4D701-K-03、WXTKY4D701-K-04、WXTKY4D701-K-07、WXTKY4D701-K-08、WXTKY4D701-K-11、WXTKY4D701-K-12、WXTKY4D701-K-15、WXTKY4D701-K-18、WXTKY4D701-L-04、WXTKY4D701-L-07、WXTKY4D701-L-08、WXTKY4D701-L-11、WXTKY4D701-L-12、WXTKY4D701-L-15、WXTKY4D701-L-16、WXTKY4D701-A-01、WXTKY4D701-A-02、WXTKY4D701-A-05、WXTKY4D701-A-06、WXTKY4D701-A-09、WXTKY4D701-A-10、WXTKY4D701-A-13、WXTKY4D701-A-14、WXTKY4D701-A-16、WXTKY4D701-A-17、WXTKY4D701-B-01、WXTKY4D701-B-02、WXTKY4D701-B-04、WXTKY4D701-B-05、WXTKY4D701-B-08、WXTKY4D701-B-09、WXTKY4D701-B-12、WXTKY4D701-B-13、WXTKY4D701-B-15、WXTKY4D701-B-16、WXTKY4D701-C-01、WXTKY4D701-C-02、WXTKY4D701-C-05、WXTKY4D701-C-06、WXTKY4D701-C-09、WXTKY4D701-C-10、WXTKY4D701-C-13、WXTKY4D701-C-14、WXTKY4D701-D-01、WXTKY4D701-D-02、WXTKY4D701-D-05、WXTKY4D701-D-06、WXTKY4D701-D-09、WXTKY4D701-D-10、WXTKY4D701-D-13、WXTKY4D701-D-14、WXTKY4D701-E-01、WXTKY4D701-E-02、WXTKY4D701-E-05、WXTKY4D701-E-06、WXTKY4D701-E-09、WXTKY4D701-E-10、WXTKY4D701-E-13、WXTKY4D701-E-14、WXTKY4D701-E-16、WXTKY4D701-E-17、WXTKY4D701-F-01、WXTKY4D701-F-02、WXTKY4D701-F-05、WXTKY4D701-F-06、WXTKY4D701-F-09、WXTKY4D701-F-10、WXTKY4D701-F-13、WXTKY4D701-F-14、WXTKY4D701-G-01、WXTKY4D701-G-02、WXTKY4D701-G-05、WXTKY4D701-G-06、WXTKY4D701-G-09、WXTKY4D701-G-10、WXTKY4D701-G-13、WXTKY4D701-G-14、WXTKY4D701-G-16、WXTKY4D701-G-17、WXTKY4D701-H-01、WXTKY4D701-H-02、WXTKY4D701-H-04、WXTKY4D701-H-05、WXTKY4D701-H-08、WXTKY4D701-H-09、WXTKY4D701-H-12、WXTKY4D701-H-13、WXTKY4D701-H-15、WXTKY4D701-H-16、WXTKY4D701-I-01、WXTKY4D701-I-02、WXTKY4D701-I-05、WXTKY4D701-I-06、WXTKY4D701-I-09、WXTKY4D701-I-10、WXTKY4D701-I-13、WXTKY4D701-I-14、WXTKY4D701-J-01、WXTKY4D701-J-02、WXTKY4D701-J-05、WXTKY4D701-J-06、WXTKY4D701-J-09、WXTKY4D701-J-10、WXTKY4D701-J-13、WXTKY4D701-J-14、WXTKY4D701-K-01、WXTKY4D701-K-02、WXTKY4D701-K-05、WXTKY4D701-K-06、WXTKY4D701-K-09、WXTKY4D701-K-10、WXTKY4D701-K-13、WXTKY4D701-K-14、WXTKY4D701-K-16、WXTKY4D701-K-17、WXTKY4D701-L-02、WXTKY4D701-L-03、WXTKY4D701-L-05、WXTKY4D701-L-06、WXTKY4D701-L-09、WXTKY4D701-L-10、WXTKY4D701-L-13、WXTKY4D701-L-14、WXTKY4D701-D-17、WXTKY4D701-D-18、WXTKY4D701-J-17、WXTKY4D701-J-18、WXTKY4D701-L-01、WXTKY4D703-C-17、WXTKY4D703-C-18、WXTKY4D703-F-17、WXTKY4D703-F-18、WXTKY4D703-H-01、WXTKY4D703-D-08、WXTKY4D703-D-07、WXTKY4D703-D-06、WXTKY4D703-D-05、WXTKY4D703-D-04、WXTKY4D703-D-03、WXTKY4D703-D-02、WXTKY4D703-D-01、WXTKY4D703-C-16、WXTKY4D703-C-15、WXTKY4D703-C-14、WXTKY4D703-C-13、WXTKY4D703-C-12、WXTKY4D703-C-11、WXTKY4D703-C-10、WXTKY4D703-C-09、WXTKY4D703-C-08、WXTKY4D703-C-07、WXTKY4D703-C-06、WXTKY4D703-C-05、WXTKY4D703-C-04、WXTKY4D703-C-03、WXTKY4D703-C-02、WXTKY4D703-C-01、WXTKY4D703-B-22、WXTKY4D703-B-21、WXTKY4D703-B-20、WXTKY4D703-B-19、WXTKY4D703-B-18、WXTKY4D703-B-17、WXTKY4D703-B-16、WXTKY4D703-B-15、WXTKY4D703-B-14、WXTKY4D703-B-13、WXTKY4D703-B-12、WXTKY4D703-B-11、WXTKY4D703-B-10、WXTKY4D703-B-09、WXTKY4D703-B-08、WXTKY4D703-B-07、WXTKY4D703-B-06、WXTKY4D703-B-05、WXTKY4D703-B-04、WXTKY4D703-B-03、WXTKY4D703-B-02、WXTKY4D703-B-01、WXTKY4D703-A-22、WXTKY4D703-A-21、WXTKY4D703-A-20、WXTKY4D703-A-19、WXTKY4D703-A-18、WXTKY4D703-A-17、WXTKY4D703-A-16、WXTKY4D703-A-15、WXTKY4D703-A-14、WXTKY4D703-A-13、WXTKY4D703-A-12、WXTKY4D703-A-11、WXTKY4D703-A-10、WXTKY4D703-A-09、WXTKY4D703-A-08、WXTKY4D703-A-07、WXTKY4D703-A-06、WXTKY4D703-A-05、WXTKY4D703-A-04、WXTKY4D703-A-03、WXTKY4D703-A-02、WXTKY4D703-A-01、WXTKY4D703-D-09、WXTKY4D703-D-10、WXTKY4D703-D-11、WXTKY4D703-D-12、WXTKY4D703-D-13、WXTKY4D703-D-14、WXTKY4D703-D-15、WXTKY4D703-D-16、WXTKY4D703-D-17、WXTKY4D703-D-18、WXTKY4D703-D-19、WXTKY4D703-D-20、WXTKY4D703-D-21、WXTKY4D703-D-22、WXTKY4D703-E-01、WXTKY4D703-E-02、WXTKY4D703-E-03、WXTKY4D703-E-04、WXTKY4D703-E-05、WXTKY4D703-E-06、WXTKY4D703-E-07、WXTKY4D703-E-08、WXTKY4D703-E-09、WXTKY4D703-E-10、WXTKY4D703-E-11、WXTKY4D703-E-12、WXTKY4D703-E-13、WXTKY4D703-E-14、WXTKY4D703-E-15、WXTKY4D703-E-16、WXTKY4D703-E-17、WXTKY4D703-E-18、WXTKY4D703-E-19、WXTKY4D703-E-20、WXTKY4D703-E-21、WXTKY4D703-E-22、WXTKY4D703-F-01、WXTKY4D703-F-02、WXTKY4D703-F-03、WXTKY4D703-F-04、WXTKY4D703-F-05、WXTKY4D703-F-06、WXTKY4D703-F-07、WXTKY4D703-F-08、WXTKY4D703-F-09、WXTKY4D703-F-10、WXTKY4D703-F-11、WXTKY4D703-F-12、WXTKY4D703-F-13、WXTKY4D703-F-14、WXTKY4D703-F-15、WXTKY4D703-F-16、WXTKY4D703-G-09、WXTKY4D703-G-10、WXTKY4D703-G-11、WXTKY4D703-G-12、WXTKY4D703-G-13、WXTKY4D703-G-14、WXTKY4D703-G-15、WXTKY4D703-G-16、WXTKY4D703-G-17、WXTKY4D703-G-18、WXTKY4D703-G-19、WXTKY4D703-G-20、WXTKY4D703-G-21、WXTKY4D703-G-22</t>
  </si>
  <si>
    <t>2021/1/13开通，计费19天：WXTKY4D604-B-22、WXTKY4D604-C-03、WXTKY4D604-C-04、WXTKY4D604-C-07、WXTKY4D604-C-08、WXTKY4D604-C-13、WXTKY4D604-C-14、WXTKY4D604-D-03、WXTKY4D604-D-04、WXTKY4D604-D-07、WXTKY4D604-D-08、WXTKY4D604-D-13、WXTKY4D604-D-14、WXTKY4D604-D-17、WXTKY4D604-D-18、WXTKY4D604-D-21、WXTKY4D604-D-22、WXTKY4D604-E-21、WXTKY4D604-E-22</t>
  </si>
  <si>
    <t>2021/1/15开通，计费17天：WXTKY4D501-D-17、WXTKY4D501-D-18、WXTKY4D501-J-17、WXTKY4D501-J-18、WXTKY4D501-N-01、WXTKY4D503-A-01、WXTKY4D503-A-02、WXTKY4D503-A-05、WXTKY4D503-A-06、WXTKY4D503-A-09、WXTKY4D503-A-10、WXTKY4D503-A-11、WXTKY4D503-A-12、WXTKY4D503-A-15、WXTKY4D503-A-16、WXTKY4D503-A-19、WXTKY4D503-A-20、WXTKY4D503-C-17、WXTKY4D503-C-18、WXTKY4D503-F-17、WXTKY4D503-F-18、WXTKY4D503-H-01</t>
  </si>
  <si>
    <t>2021/1/18开通，计费14天：WXTKY4D503-B-01、WXTKY4D503-B-02、WXTKY4D503-B-03、WXTKY4D503-B-04、WXTKY4D503-B-05、WXTKY4D503-B-06、WXTKY4D503-B-07、WXTKY4D503-B-08、WXTKY4D503-B-09、WXTKY4D503-B-10、WXTKY4D503-B-11、WXTKY4D503-B-12、WXTKY4D503-B-13、WXTKY4D503-B-14、WXTKY4D503-B-15、WXTKY4D503-B-16、WXTKY4D503-B-17、WXTKY4D503-B-18、WXTKY4D503-B-19、WXTKY4D503-B-20、WXTKY4D503-B-21、WXTKY4D503-B-22、WXTKY4D503-C-01、WXTKY4D503-C-02、WXTKY4D503-C-03、WXTKY4D503-C-04</t>
  </si>
  <si>
    <t>2021/1/4开通，计费28天：WXTKY4D602-C-07、WXTKY4D602-D-05</t>
  </si>
  <si>
    <t>2021/1/4开通，计费28天：
WXTKY4D602-A-07、WXTKY4D602-A-08、WXTKY4D602-B-05、WXTKY4D602-B-06</t>
  </si>
  <si>
    <t>2021/1/4开通，计费28天：
WXTKY4D602-A-02、WXTKY4D602-A-04、WXTKY4D602-B-02、WXTKY4D602-B-04、WXTKY4D602-C-02、WXTKY4D602-C-04、WXTKY4D602-D-02、WXTKY4D602-D-04</t>
  </si>
  <si>
    <t>2021/1/28关闭，冲销3天费用：WXTKY4D503-A-01、WXTKY4D503-A-02、WXTKY4D503-A-05、（WXTKY4D503-A-03、WXTKY4D503-A-04系统部反馈关闭，但前期并未开通，本次仅按关闭3个更新计提表）</t>
  </si>
  <si>
    <t>2021/1/4开通布线柜，计费28天：WXTKY4D602-A-01、WXTKY4D602-A-03、WXTKY4D602-B-01、WXTKY4D602-B-03、WXTKY4D602-C-01、WXTKY4D602-C-03、WXTKY4D602-C-08、WXTKY4D602-D-01、WXTKY4D602-D-03、WXTKY4D602-D-06</t>
  </si>
  <si>
    <t>WXTKY4D301-E-01、WXTKY4D301-F-01</t>
  </si>
  <si>
    <t>2021/3/31开通，3月计费1天
WXTKY4D501-B-01、WXTKY4D501-B-02</t>
  </si>
  <si>
    <t>2021/4/16开通机架，4月计费15天：WXTKY4D703-G-01、WXTKY4D703-G-02、WXTKY4D703-G-03、WXTKY4D703-G-04、WXTKY4D703-G-05、WXTKY4D703-G-06、WXTKY4D703-G-07、WXTKY4D703-G-08、WXTKY4D703-H-02、WXTKY4D703-H-03、WXTKY4D703-H-04、WXTKY4D703-H-05、WXTKY4D703-H-06、WXTKY4D703-H-07、WXTKY4D703-H-08、WXTKY4D703-H-09、WXTKY4D703-H-10、WXTKY4D703-H-11、WXTKY4D703-H-12、WXTKY4D703-H-13、WXTKY4D703-H-14、WXTKY4D703-H-15、WXTKY4D703-H-16、WXTKY4D703-H-17、WXTKY4D703-H-18、WXTKY4D703-H-19、WXTKY4D703-H-20、WXTKY4D703-H-21、WXTKY4D703-H-22、WXTKY4D703-I-01、WXTKY4D703-I-02、WXTKY4D703-I-03、WXTKY4D703-I-04、WXTKY4D703-I-05、WXTKY4D703-I-06、WXTKY4D703-I-07、WXTKY4D703-I-08、WXTKY4D703-I-09、WXTKY4D703-I-10</t>
  </si>
  <si>
    <t>2021/4/17开通，4月计费14天：WXTKY4D503-C-09</t>
  </si>
  <si>
    <t>2021/4/20开通，4月计费11天：WXTKY4D503-C-05、WXTKY4D503-C-06、WXTKY4D503-C-07、WXTKY4D503-C-08、WXTKY4D503-D-01、WXTKY4D503-D-02、WXTKY4D503-D-03、WXTKY4D503-D-04、WXTKY4D503-D-05、WXTKY4D503-D-06、WXTKY4D703-J-01、WXTKY4D703-J-02、WXTKY4D703-J-03、WXTKY4D703-J-04、WXTKY4D703-J-05、WXTKY4D703-J-06</t>
  </si>
  <si>
    <t>2021/4/21开通，4月计费10天：WXTKY4D501-A-01、WXTKY4D501-A-02、WXTKY4D501-A-03、WXTKY4D501-A-04、WXTKY4D501-A-05、WXTKY4D501-A-06、WXTKY4D501-A-07、WXTKY4D501-A-08、WXTKY4D501-A-09、WXTKY4D501-A-10、WXTKY4D501-A-11、WXTKY4D501-A-12、WXTKY4D501-A-13、WXTKY4D501-A-14、WXTKY4D501-A-15、WXTKY4D501-A-16、WXTKY4D501-A-17、WXTKY4D501-A-18、WXTKY4D501-B-03、WXTKY4D501-B-04、WXTKY4D501-B-05、WXTKY4D501-B-06、WXTKY4D501-B-07、WXTKY4D501-B-08、WXTKY4D501-B-09、WXTKY4D501-B-10、WXTKY4D501-B-11、WXTKY4D501-B-12、WXTKY4D501-B-13、WXTKY4D501-B-14、WXTKY4D501-B-15、WXTKY4D501-B-16、WXTKY4D501-B-17、WXTKY4D501-B-18、WXTKY4D501-C-01、WXTKY4D501-C-02、WXTKY4D501-C-03、WXTKY4D501-C-04、WXTKY4D501-C-05、WXTKY4D501-C-06、WXTKY4D501-C-07、WXTKY4D501-C-08、WXTKY4D501-C-09、WXTKY4D501-C-10、WXTKY4D501-C-11、WXTKY4D501-C-12、WXTKY4D501-C-13、WXTKY4D501-C-14、WXTKY4D501-C-15、WXTKY4D501-C-16、WXTKY4D501-D-01、WXTKY4D501-D-02、WXTKY4D501-D-03、WXTKY4D501-D-04、WXTKY4D501-D-05、WXTKY4D501-D-06、WXTKY4D501-D-07、WXTKY4D501-D-08、WXTKY4D501-D-09、WXTKY4D501-D-10、WXTKY4D501-D-11、WXTKY4D501-D-12、WXTKY4D501-D-13、WXTKY4D501-D-14、WXTKY4D501-D-15、WXTKY4D501-E-01、WXTKY4D501-E-02、WXTKY4D501-E-03、WXTKY4D501-E-04、WXTKY4D501-E-05、WXTKY4D501-E-06、WXTKY4D501-E-07、WXTKY4D501-E-08、WXTKY4D501-E-09、WXTKY4D501-E-10、WXTKY4D501-E-11、WXTKY4D501-E-12、WXTKY4D501-E-13、WXTKY4D501-E-14、WXTKY4D501-E-15、WXTKY4D501-E-16、WXTKY4D501-E-17、WXTKY4D501-E-18、WXTKY4D501-F-01、WXTKY4D501-F-02、WXTKY4D501-F-03、WXTKY4D501-F-04、WXTKY4D501-F-05、WXTKY4D501-F-06、WXTKY4D501-F-07、WXTKY4D501-F-08、WXTKY4D501-F-09、WXTKY4D501-F-10、WXTKY4D501-F-11、WXTKY4D501-F-12、WXTKY4D501-F-13、WXTKY4D501-F-14、WXTKY4D501-F-15、WXTKY4D501-F-16</t>
  </si>
  <si>
    <t>2021/4/24开通，4月计费7天：WXTKY4D501-G-01、WXTKY4D501-G-02、WXTKY4D501-G-03、WXTKY4D501-G-04、WXTKY4D501-G-05、WXTKY4D501-G-06、WXTKY4D501-G-07、WXTKY4D501-G-08、WXTKY4D501-G-09、WXTKY4D501-G-10、WXTKY4D501-G-11、WXTKY4D501-G-12、WXTKY4D501-G-13、WXTKY4D501-G-14、WXTKY4D501-G-15、WXTKY4D503-C-10</t>
  </si>
  <si>
    <t>2021/4/28开通，4月计费3天：WXTKY4D501-G-16、WXTKY4D501-G-17、WXTKY4D501-G-18、WXTKY4D501-H-01、WXTKY4D501-H-02、WXTKY4D501-H-03、WXTKY4D501-H-04、WXTKY4D501-H-05、WXTKY4D501-H-06</t>
  </si>
  <si>
    <t>2021/5/18开通，5月计费14天：WXTKY4D203-A-22</t>
  </si>
  <si>
    <t>2021/5/18开通，5月计费14天：WXTKY4D503-A-01、WXTKY4D503-A-02</t>
  </si>
  <si>
    <t>2021/5/15开通，5月计费17天：WXTKY4D501-I-16、WXTKY4D501-I-15</t>
  </si>
  <si>
    <t>2021/5/16开通，5月计费16天：WXTKY4D501-I-14</t>
  </si>
  <si>
    <t>2021/5/17开通，5月计费15天：WXTKY4D501-K-07、WXTKY4D501-H-14、WXTKY4D503-I-08、WXTKY4D503-I-07、WXTKY4D503-I-05、WXTKY4D503-H-20、WXTKY4D503-H-19、WXTKY4D503-H-16、WXTKY4D503-H-15、WXTKY4D503-H-12、WXTKY4D503-H-11、WXTKY4D503-H-09、WXTKY4D503-H-08、WXTKY4D503-H-06、WXTKY4D503-H-05、WXTKY4D503-H-03、WXTKY4D503-H-02、WXTKY4D503-G-05、WXTKY4D503-G-02、WXTKY4D503-G-01</t>
  </si>
  <si>
    <t>2021/5/18开通，5月计费14天：WXTKY4D501-M-17、WXTKY4D501-M-15、WXTKY4D501-M-14、WXTKY4D501-M-12、WXTKY4D501-M-11、WXTKY4D501-M-10、WXTKY4D501-M-08、WXTKY4D501-M-07、WXTKY4D501-M-06、WXTKY4D501-M-04、WXTKY4D501-M-03、WXTKY4D501-M-02、WXTKY4D501-L-16、WXTKY4D501-L-15、WXTKY4D501-L-14、WXTKY4D501-L-12、WXTKY4D501-L-11、WXTKY4D501-L-10、WXTKY4D501-L-08、WXTKY4D501-L-07、WXTKY4D501-L-06、WXTKY4D501-L-04、WXTKY4D501-L-03、WXTKY4D501-L-02、WXTKY4D501-K-18、WXTKY4D501-K-17、WXTKY4D501-K-15、WXTKY4D501-K-14、WXTKY4D501-K-12、WXTKY4D501-K-11、WXTKY4D501-K-10、WXTKY4D501-K-08、WXTKY4D501-K-06、WXTKY4D501-K-04、WXTKY4D501-K-03、WXTKY4D501-K-02、WXTKY4D501-J-16、WXTKY4D501-J-15、WXTKY4D501-J-14、WXTKY4D501-J-12、WXTKY4D501-J-11、WXTKY4D501-J-10、WXTKY4D501-J-08、WXTKY4D501-J-07、WXTKY4D501-J-06、WXTKY4D501-J-04、WXTKY4D501-J-03、WXTKY4D501-J-02、WXTKY4D501-I-12、WXTKY4D501-I-11、WXTKY4D501-I-10、WXTKY4D501-I-08、WXTKY4D501-I-07、WXTKY4D501-I-06、WXTKY4D501-I-04、WXTKY4D501-I-03、WXTKY4D501-I-02、WXTKY4D501-H-18、WXTKY4D501-H-17、WXTKY4D501-H-16、WXTKY4D501-H-13、WXTKY4D501-H-11、WXTKY4D501-H-10、WXTKY4D501-H-09、WXTKY4D501-H-07</t>
  </si>
  <si>
    <t>2021/5/19开通，5月计费13天：WXTKY4D501-N-16、WXTKY4D501-N-15、WXTKY4D501-N-13、WXTKY4D501-N-12、WXTKY4D501-N-09、WXTKY4D501-N-08、WXTKY4D501-N-05、WXTKY4D501-N-04、WXTKY4D501-N-03、WXTKY4D501-N-02、WXTKY4D501-M-16、WXTKY4D501-M-13、WXTKY4D501-M-09、WXTKY4D501-M-05、WXTKY4D501-M-01、WXTKY4D501-L-13、WXTKY4D501-L-09、WXTKY4D501-L-05、WXTKY4D501-L-01、WXTKY4D501-K-16、WXTKY4D501-K-13、WXTKY4D501-K-09、WXTKY4D501-K-05、WXTKY4D501-K-01、WXTKY4D501-J-13、WXTKY4D501-J-09、WXTKY4D501-J-05、WXTKY4D501-J-01、WXTKY4D501-I-13、WXTKY4D501-I-09、WXTKY4D501-I-05、WXTKY4D501-I-01、WXTKY4D501-H-15、WXTKY4D501-H-12、WXTKY4D501-H-08、WXTKY4D503-J-10、WXTKY4D503-J-09、WXTKY4D503-J-07、WXTKY4D503-J-06、WXTKY4D503-J-05、WXTKY4D503-J-04、WXTKY4D503-J-03、WXTKY4D503-J-02、WXTKY4D503-J-01、WXTKY4D503-I-04、WXTKY4D503-I-02、WXTKY4D503-I-01、WXTKY4D503-G-20、WXTKY4D503-G-19、WXTKY4D503-G-16、WXTKY4D503-G-15、WXTKY4D503-G-12、WXTKY4D503-G-11、WXTKY4D503-G-10、WXTKY4D503-G-09、WXTKY4D503-G-06、WXTKY4D503-F-06、WXTKY4D503-F-05、WXTKY4D503-F-02、WXTKY4D503-F-01</t>
  </si>
  <si>
    <t>2021/5/21开通，5月计费11天：WXTKY4D503-D-20、WXTKY4D503-F-16、WXTKY4D503-F-15、WXTKY4D503-F-12、WXTKY4D503-F-11、WXTKY4D503-F-10、WXTKY4D503-F-09、WXTKY4D503-E-20、WXTKY4D503-E-19、WXTKY4D503-E-16、WXTKY4D503-E-15、WXTKY4D503-E-12、WXTKY4D503-E-11、WXTKY4D503-E-10、WXTKY4D503-E-09、WXTKY4D503-E-06、WXTKY4D503-E-05、WXTKY4D503-E-02、WXTKY4D503-E-01</t>
  </si>
  <si>
    <t>WXTKY4D503-A-06、WXTKY4D503-A-09、WXTKY4D503-A-10、WXTKY4D503-A-19、WXTKY4D503-A-20、WXTKY4D503-E-11、WXTKY4D503-E-12、WXTKY4D503-E-15、WXTKY4D503-E-16</t>
  </si>
  <si>
    <t>2023/1/6完成机柜改造，由0A改造为62.5A：WXTKY4D301-E-08、WXTKY4D301-G-08，2023/2/16重新开通上线</t>
  </si>
  <si>
    <t>L20230227005</t>
  </si>
  <si>
    <t>WXTKY4D602-E-01、WXTKY4D602-E-02、WXTKY4D602-E-03、WXTKY4D602-E-08、WXTKY4D602-E-09、WXTKY4D602-F-04、WXTKY4D602-F-05、WXTKY4D602-F-06、WXTKY4D602-F-07</t>
  </si>
  <si>
    <t>181915IDC00156</t>
  </si>
  <si>
    <t>无锡太科院-南京凤凰机房</t>
  </si>
  <si>
    <t>181915IDC00156约定400G单价900000，目前只开通100G，单价225000</t>
  </si>
  <si>
    <t>2023/2/28退租无锡太科院-南京凤凰机房100G电路</t>
  </si>
  <si>
    <t>无锡数据中心-苏州太湖</t>
  </si>
  <si>
    <t xml:space="preserve">共4条，每条2芯，共8芯:
无锡至太湖35.25KM,老312方向
无锡至太湖64.82KM,新312方向
无锡至太湖64.82KM,新312方向
无锡至太湖66.45KM,高速方向
</t>
  </si>
  <si>
    <t>无锡数据中心-苏州昆山万国</t>
  </si>
  <si>
    <t xml:space="preserve">共4条，每条2芯，共8芯:
无锡至昆山106.51KM,G312方向
无锡至昆山117.63KM,高速方向
无锡至昆山117.63KM,高速方向
无锡至昆山106.63KM,G343方向
</t>
  </si>
  <si>
    <t>L20221215013</t>
  </si>
  <si>
    <t>无锡</t>
  </si>
  <si>
    <t>CDNWXCM</t>
  </si>
  <si>
    <t>WXCM5F-C-01、WXCM5F-C-02、WXCM5F-C-03、WXCM5F-C-04、WXCM5F-C-05、WXCM5F-C-06、WXCM5F-C-07、WXCM5F-C-08。</t>
  </si>
  <si>
    <t>2022/5/31节点退租：WXCM5F-C-01、WXCM5F-C-02、WXCM5F-C-03、WXCM5F-C-04、WXCM5F-C-05、WXCM5F-C-06、WXCM5F-C-07、WXCM5F-C-08。</t>
  </si>
  <si>
    <t>无锡移动SSL</t>
  </si>
  <si>
    <t>SSLWXCM</t>
  </si>
  <si>
    <t>WX2CM5F-E-07、WX2CM5F-E-08、WX2CM5F-E-09、WX2CM5F-C-09</t>
  </si>
  <si>
    <t>WX2CM5F-C-09</t>
  </si>
  <si>
    <t>无锡 WX3CM</t>
  </si>
  <si>
    <t>无锡3移动</t>
  </si>
  <si>
    <t>2023.3根据与SYS核对结果，调整机架编号，由WXCM5F-A-01调整为WX3CM5F-A-01；江苏无锡移动 增量100G完成业务测试，已于2020-05-15开始正式切流量上线。2020/7/1开始计费
WXCM5F-A-01、WXCM5F-A-02、WXCM5F-A-03</t>
  </si>
  <si>
    <t>CDN江苏无锡移动退租信息 (WX3CM)，退租一个机柜WXCM5F-A-03</t>
  </si>
  <si>
    <t>WX3CM5F-A-02</t>
  </si>
  <si>
    <t>CDN使用832，SSL使用768(122.25.89.0/24,122.25.90.0/24,112.25.91.0/24)，共1600，免费1256，收费344。IPv6  1个/64：2409:8C20:1831:0203::/64</t>
  </si>
  <si>
    <t>2022.7.31开始带宽量为40G，同比可免费132个，使用928，收费796个，运营商账单按344个，对百度有利。
CDN使用832，SSL使用768(122.25.89.0/24,122.25.90.0/24,112.25.91.0/24)，共1600，免费1256，收费344。IPv6  1个/64：2409:8C20:1831:0203::/64</t>
  </si>
  <si>
    <t>112.25.92.0/24 
江苏无锡移动 增量100G完成业务测试，已于2020-05-15开始正式切流量上线。2020/7/1开始计费
CDN使用832，SSL使用768，共1600，免费1256，收费344
2021年合同约定，免费提供2×64位的IPv6地址，超出部分的IPv6地址按照0元/个/月收取</t>
  </si>
  <si>
    <t>112.25.92.128/25</t>
  </si>
  <si>
    <t>无锡 WXCM</t>
  </si>
  <si>
    <t>112.25.85.0/27;112.25.86.0/24;112.25.87.0/24
CDN使用832，SSL使用768，共1600，免费1256，收费344
2021年合同约定，免费提供2×64位的IPv6地址，超出部分的IPv6地址按照0元/个/月收取</t>
  </si>
  <si>
    <t>2022/5/31节点退租：112.25.85.0/27;112.25.86.0/24;112.25.87.0/24</t>
  </si>
  <si>
    <t>182115IDC00552</t>
  </si>
  <si>
    <t>2021/5/21开通，5月计费11天：WXTKY4D503-C-11、WXTKY4D503-C-12、WXTKY4D503-C-15、WXTKY4D503-C-16、WXTKY4D503-D-12、WXTKY4D503-D-11、WXTKY4D503-D-10、WXTKY4D503-D-09、WXTKY4D503-D-15、WXTKY4D503-D-16、WXTKY4D503-D-19</t>
  </si>
  <si>
    <t>2021/6/18开通，6月计费13天：WXTKY4D503-A-03、WXTKY4D503-A-05</t>
  </si>
  <si>
    <t>2021/7/2开通机架，7月计费30天：WXTKY4D503-A-07、WXTKY4D503-A-08、WXTKY4D503-A-13、WXTKY4D503-A-14、WXTKY4D503-A-17、WXTKY4D503-A-18、WXTKY4D503-A-21、WXTKY4D503-A-22</t>
  </si>
  <si>
    <t>2021/7/14开通机架，7月计费18天：WXTKY4D503-D-14、WXTKY4D503-D-17、WXTKY4D503-D-21、WXTKY4D503-E-14、WXTKY4D503-E-17、WXTKY4D503-E-18、WXTKY4D503-E-21、WXTKY4D503-E-22</t>
  </si>
  <si>
    <t>2021/7/15开通，7月计费17天：WXTKY4D503-D-18、WXTKY4D503-D-22</t>
  </si>
  <si>
    <t>2021/10/8开通，10月计费24天：WXTKY4D501-D-16、WXTKY4D501-M-18、WXTKY4D501-N-06、WXTKY4D501-N-07、WXTKY4D501-N-10、WXTKY4D501-N-11、WXTKY4D501-N-14、WXTKY4D501-N-17、WXTKY4D501-N-18、WXTKY4D503-C-13、WXTKY4D503-C-14、WXTKY4D503-D-07、WXTKY4D503-D-08、WXTKY4D503-E-03、WXTKY4D503-E-04、WXTKY4D503-E-07、WXTKY4D503-E-08、WXTKY4D503-F-03、WXTKY4D503-F-04、WXTKY4D503-F-07、WXTKY4D503-F-08、WXTKY4D503-F-13、WXTKY4D503-F-14、WXTKY4D503-G-03、WXTKY4D503-G-04、WXTKY4D503-G-07、WXTKY4D503-G-08、WXTKY4D503-G-13、WXTKY4D503-G-14、WXTKY4D503-G-17、WXTKY4D503-G-18、WXTKY4D503-G-21、WXTKY4D503-G-22、WXTKY4D503-H-04、WXTKY4D503-H-07、WXTKY4D503-H-10、WXTKY4D503-H-13、WXTKY4D503-H-14、WXTKY4D503-H-17、WXTKY4D503-H-18、WXTKY4D503-H-21、WXTKY4D503-H-22、WXTKY4D503-I-03、WXTKY4D503-I-06、WXTKY4D503-I-09、WXTKY4D503-I-10、WXTKY4D503-J-08、WXTKY4D503-J-11、WXTKY4D503-J-12</t>
  </si>
  <si>
    <t>2021/10/10开通，10月计费22天：WXTKY4D703-J-07、WXTKY4D703-J-08、WXTKY4D703-J-09、WXTKY4D703-J-10、WXTKY4D703-J-11、WXTKY4D703-J-12</t>
  </si>
  <si>
    <t>2021.11机柜改造，由20A更新为40A，，因运营商11月仍按低功率结算，暂时计提在正式合同上，未调整单价。WXTKY4D503-D-13、WXTKY4D503-E-13</t>
  </si>
  <si>
    <t>WXTKY4D503-A-04</t>
  </si>
  <si>
    <t>WXTKY4D503-D-14、WXTKY4D503-D-17、WXTKY4D503-E-14、WXTKY4D503-E-17</t>
  </si>
  <si>
    <t>WXTKY4D503-A-18、WXTKY4D503-D-11、WXTKY4D503-D-12、WXTKY4D503-D-15、WXTKY4D503-D-16</t>
  </si>
  <si>
    <t>WXTKY4D503-A-18</t>
  </si>
  <si>
    <t>WXTKY-常熟普洛斯</t>
  </si>
  <si>
    <t>2021/7/16开通WXTKY-常熟普洛斯光纤，路由一100KM</t>
  </si>
  <si>
    <t>2021/7/16开通WXTKY-常熟普洛斯光纤，路由二85KM</t>
  </si>
  <si>
    <t>2021/8/19开通WXTKY-常熟普洛斯光纤， 8月计费13天</t>
  </si>
  <si>
    <t>2021/9/3开通WXTKY-常熟普洛斯光纤，9月计费28天</t>
  </si>
  <si>
    <t>无锡太科园-苏州太湖</t>
  </si>
  <si>
    <t>无锡太科园WXTKY-苏州太湖SZTH</t>
  </si>
  <si>
    <t>中国移动通信集团江苏有限公司盐城分公司</t>
  </si>
  <si>
    <t>盐城移动</t>
  </si>
  <si>
    <t>L20221215011</t>
  </si>
  <si>
    <t>CDNYANCCM</t>
  </si>
  <si>
    <t>YANCCM2F-H-02、YANCCM2F-H-03、YANCCM2F-H-04、YANCCM2F-H-06、YANCCM2F-H-07、YANCCM2F-H-08</t>
  </si>
  <si>
    <t>（剩余YANCCM2F-H-05转为BEC使用，编号更新为BECYANCCM2F-H-05）YANCCM2F-H-02、YANCCM2F-H-03、YANCCM2F-H-04、YANCCM2F-H-06、YANCCM2F-H-07、YANCCM2F-H-08</t>
  </si>
  <si>
    <t>2022.5带宽退租后IP任然未收费。合同约定送288个IP，使用288个，均免费；免费提供64位的IPv6地址，超出部分的IPv6地址按照0元/个/月收取
36.156.94.0/24(CDN转让BEC使用)
2409:8c20:8ab1:0001::/64(CDN转让BEC使用)</t>
  </si>
  <si>
    <t>盐城3移动</t>
  </si>
  <si>
    <t xml:space="preserve">2022.5带宽退租后IP任然未收费。合同约定送288个IP，使用288个，均免费：223.111.146.32/27
</t>
  </si>
  <si>
    <t>L20221101004</t>
  </si>
  <si>
    <t>CACDNYANCCM</t>
  </si>
  <si>
    <t>2023.3调整单价，按收费机柜计提。计费确认单未包含机柜IP，放在临时合同计提。【BEC新建】盐城移动新建2022-10-1节点正式上线  (YANC3CM)：机柜编号更新为：CACDNYANCCM:2F:10-10-BEC20、CACDNYANCCM:2F:10-10-BEC21、CACDNYANCCM:2F:10-10-BEC22；更新前为：BECYANC3CM2F-10-17、BECYANC3CM2F-10-18、BECYANC3CM2F-10-19</t>
  </si>
  <si>
    <t>CDNYANCCM2</t>
  </si>
  <si>
    <t>计费确认单未包含机柜IP，放在临时合同计提。【BEC新建】盐城移动新建2022-10-1节点正式上线  (YANC3CM)：IPV4：120.195.37.0/24；IPV6:2409:8C20:8AB1:28::/64</t>
  </si>
  <si>
    <t>中国移动通信集团江苏有限公司扬州分公司</t>
  </si>
  <si>
    <t>扬州移动</t>
  </si>
  <si>
    <t>L20221215014</t>
  </si>
  <si>
    <t>扬州</t>
  </si>
  <si>
    <t>CDNYANGZCM</t>
  </si>
  <si>
    <t>YANGZCM1F-C-01、YANGZCM1F-C-02、YANGZCM1F-C-03、YANGZCM1F-C-04、YANGZCM1F-C-05</t>
  </si>
  <si>
    <t>2022/4/30 扬州移动节点全部退租。YANGZCM1F-C-01、YANGZCM1F-C-02、YANGZCM1F-C-03、YANGZCM1F-C-04、YANGZCM1F-C-05</t>
  </si>
  <si>
    <t>YANGZCM</t>
  </si>
  <si>
    <t>223.111.133.0/24;223.111.202.32/27。
乙方免费提供1540个IPv4地址，  4段64位  的IPv6地址，超出部分的IPv4地址按照20元/个/月收取，超出部分的IPv6地址按照  0  收取。使用288，均免费</t>
  </si>
  <si>
    <t>2022/4/30 扬州移动节点全部退租。223.111.133.0/24;223.111.202.32/27。
乙方免费提供1540个IPv4地址，  4段64位  的IPv6地址，超出部分的IPv4地址按照20元/个/月收取，超出部分的IPv6地址按照  0  收取。使用288，均免费</t>
  </si>
  <si>
    <t>扬州2</t>
  </si>
  <si>
    <t>扬州移动二级</t>
  </si>
  <si>
    <t>CDNYANGZCM2</t>
  </si>
  <si>
    <t>YANGZ2CM3F-M-01、YANGZ2CM3F-M-02、YANGZ2CM3F-M-03、YANGZ2CM3F-M-04
实际使用6个，收费4个，赠送2个</t>
  </si>
  <si>
    <t>YANGZCMCACHE</t>
  </si>
  <si>
    <t>223.111.127.0/24
乙方免费提供1540个IPv4地址，  4段64位  的IPv6地址，超出部分的IPv4地址按照20元/个/月收取，超出部分的IPv6地址按照  0  收取。使用256，均免费</t>
  </si>
  <si>
    <t>扬州3</t>
  </si>
  <si>
    <t>扬州3移动</t>
  </si>
  <si>
    <t>CDNYANGZCM3</t>
  </si>
  <si>
    <t>YANGZCM8F-D-07、YANGZCM8F-D-06、YANGZCM8F-D-08、YANGZCM8F-D-09、YANGZCM8F-D-10、YANGZCM8F-D-11、YANGZCM8F-D-12、YANGZCM8F-D-13、YANGZCM8F-E-08、YANGZCM8F-E-09</t>
  </si>
  <si>
    <t>按退租邮件，2022.7.31开始机柜转BEC使用：YANGZCM8F-E-10、YANGZCM8F-E-11、YANGZCM8F-E-12</t>
  </si>
  <si>
    <t>2022/5/31退租：YANGZCM8F-D-06、YANGZCM8F-D-08、YANGZCM8F-D-07、YANGZCM8F-D-13、YANGZCM8F-E-08、YANGZCM8F-E-09</t>
  </si>
  <si>
    <t>扬州移动边缘计算节点新申请（扩容）1个机架于2021-04-7正式开通，2021/5/1开始计费，本次扩容未新增IP：
BECYANGZ2CM8F-E-13</t>
  </si>
  <si>
    <t>YANGZ3CM边缘计算扩容，新增2个机柜：BECYANGZ2CM8F-E-14，BECYANGZ2CM8F-E-15</t>
  </si>
  <si>
    <t>YANGZCM8F-D-09,YANGZCM8F-D-10,YANGZCM8F-D-11,YANGZCM8F-D-12</t>
  </si>
  <si>
    <t>L20220726003</t>
  </si>
  <si>
    <t>CDN使用，YANGZCACHE3FIDC-K-02，免费</t>
  </si>
  <si>
    <t>传输使用：YANGZCACHE3FIDC-K-03</t>
  </si>
  <si>
    <t>扬州移动CDN-扬州汊河传输机房</t>
  </si>
  <si>
    <t>4芯</t>
  </si>
  <si>
    <t>扬州移动 B2回源光纤双路由：扬州移动CDN-扬州汊河传输机房</t>
  </si>
  <si>
    <t>L20221024005</t>
  </si>
  <si>
    <t xml:space="preserve">2022.10商务确认机架开始收费。YANGZ2CM3F-M-05  、YANGZ2CM3F-M-06 </t>
  </si>
  <si>
    <t>中国移动通信集团山东有限公司济南分公司</t>
  </si>
  <si>
    <t>济南移动</t>
  </si>
  <si>
    <t>182315IDC00078</t>
  </si>
  <si>
    <t xml:space="preserve">CDN机架 </t>
  </si>
  <si>
    <t>CDNJNCM、CDNJNCM2</t>
  </si>
  <si>
    <t>7月30日新增4个机架，3KW</t>
  </si>
  <si>
    <t>8月9日关闭4个</t>
  </si>
  <si>
    <t>CDNJNCM</t>
  </si>
  <si>
    <t>JNCM2F-01A-01、JNCM2F-01A-02、JNCM2F-01A-03、JNCM2F-01A-04、JNCM2F-01A-05、JNCM2F-01A-06、JNCM2F-01A-07、JNCM2F-01A-08、JNCM2F-01A-09</t>
  </si>
  <si>
    <t>JNCM2F-01A-06,JNCM2F-01A-05,JNCM2F-01A-04,JNCM2F-01A-03,JNCM2F-01A-02,JNCM2F-01A-01,JNCM2F-01A-08,JNCM2F-01A-07,JNCM2F-01A-09</t>
  </si>
  <si>
    <t>济南移动二级</t>
  </si>
  <si>
    <t>CDNJNCM2</t>
  </si>
  <si>
    <t>2023.3经于SYS核对，调整机架编号，由JNCM2201-7-21、JNCM2201-7-20、JNCM2201-7-19、JNCM2201-7-18、JNCM2201-7-17、JNCM2201-7-16、JNCM2201-7-15调整为JNCM2201-8-21、JNCM2201-8-20、JNCM2201-8-19、JNCM2201-8-18、JNCM2201-8-17、JNCM2201-8-16、JNCM2201-8-15；JNCM2201-7-15、JNCM2201-7-16、JNCM2201-7-17、JNCM2201-7-18、JNCM2201-7-19、JNCM2201-7-20、JNCM2201-7-21、JNCM2201-6-18、JNCM2201-6-20、JNCM2201-6-19</t>
  </si>
  <si>
    <t>济南4移动</t>
  </si>
  <si>
    <t>JNCM502-W-10、JNCM502-W-11、JNCM502-W-12、JNCM502-W-13</t>
  </si>
  <si>
    <t>边缘计算8月9日新增机柜：JNCM502-W-14、JNCM502-W-15、JNCM502-W-16</t>
  </si>
  <si>
    <t>边缘计算2021年4月8日新增机柜，自4.12开始计费：BECJNCM502-10W-17</t>
  </si>
  <si>
    <t>JNCM502-W-13、JNCM502-W-10</t>
  </si>
  <si>
    <t>合同约定送1792个，超过30元/月/个。223.99.241.0/24;120.192.80.192/27;223.99.240.0/24</t>
  </si>
  <si>
    <t>223.99.240.0/24 223.99.241.0/24 120.192.80.192/27</t>
  </si>
  <si>
    <t>BEC使用，合同约定送1792个，超过30元/月/个。223.99.241.0/24;CDN288（120.221.175.0/24;120.221.176.0/27）+BEC384（120.221.147.0/24,120.221.144.128/25）</t>
  </si>
  <si>
    <t>CDN使用，合同约定送1792个，超过30元/月/个。223.99.241.0/24;CDN288（120.221.175.0/24;120.221.176.0/27）+BEC384（120.221.147.0/24,120.221.144.128/25）</t>
  </si>
  <si>
    <t>合同约定送1792个，超过30元/月/个。120.221.138.0/24;120.221.157.128/27;120.221.136.0/24</t>
  </si>
  <si>
    <t>182115IDC00372</t>
  </si>
  <si>
    <t>济南移动回源</t>
  </si>
  <si>
    <t>济南移动回源电路（光纤）续约，线路用于接入B2，节省回源带宽；山东省济南市高新区春晖路与科远路交叉路口东北角150米中国移动济南IDC数据中心-济南市经七纬五路75号泉景恒基308室</t>
  </si>
  <si>
    <t>传输机柜：JN2CM2F-E-22</t>
  </si>
  <si>
    <t>济南10移动</t>
  </si>
  <si>
    <t>CDNJNCM3</t>
  </si>
  <si>
    <t>【BEC新建】济南移动新建  (JN10CM)节点正式上线，IP免费。IPV4 224个：120.220.181.32/27，
120.220.181.64/26，
120.220.181.128/25；IPV6：2408:8719:409:: /48</t>
  </si>
  <si>
    <t>23A</t>
  </si>
  <si>
    <t>【BEC新建】济南移动新建  (JN10CM)节点正式上线，开通1个机柜：BECJN10CM-A1-502</t>
  </si>
  <si>
    <t>182315IDC00079</t>
  </si>
  <si>
    <t>青岛4移动</t>
  </si>
  <si>
    <t>CDNQDCM</t>
  </si>
  <si>
    <t>QD4CMA1304-S-01、QD4CMA1304-S-02、QD4CMA1304-S-03、QD4CMA1304-S-04、QD4CMA1304-S-05、QD4CMA1304-S-06、QD4CMA1304-S-07、QD4CMA1304-S-08</t>
  </si>
  <si>
    <t>2021.7.31退租2个机柜
QD4CMA1304-S-08、QD4CMA1304-S-07</t>
  </si>
  <si>
    <t>QD4CMA1304-S-06</t>
  </si>
  <si>
    <t>青岛移动二级</t>
  </si>
  <si>
    <t>青岛2移动二级</t>
  </si>
  <si>
    <t>CDNQDCM2</t>
  </si>
  <si>
    <t>QD2CMA1L4F-11N-5、QD2CMA1L4F-11N-6、QD2CMA1L4F-11N-7、QD2CMA1L4F-11N-8</t>
  </si>
  <si>
    <t>每万兆送64个IP，共开通600G，送3840个，超出单价50元。120.221.242.0/24;120.221.243.0/24;120.221.233.64/27</t>
  </si>
  <si>
    <t>120.221.243.0/24</t>
  </si>
  <si>
    <t>每万兆送64个IP，共开通600G，送3840个，超出单价50元。2021-2-1开通200G带宽，288个IP免费。120.222.198.0/24 120.221.94.96/27</t>
  </si>
  <si>
    <t>中国移动通信集团上海有限公司</t>
  </si>
  <si>
    <t>上海移动</t>
  </si>
  <si>
    <t>L20221215016</t>
  </si>
  <si>
    <t>上海4移动</t>
  </si>
  <si>
    <t>CDNSHCM2</t>
  </si>
  <si>
    <t>上海上海移动 增量100G完成业务测试，已于2020-06-28开始正式切流量上线,2020.6.29开始计费
SH2CM1F102-10-1、SH2CM1F102-10-2、SH2CM1F102-10-3</t>
  </si>
  <si>
    <t>SH2CM1F102-10-2、SH2CM1F102-10-3</t>
  </si>
  <si>
    <t>2022.9开始机柜数量剩余1个，可送16个IP，使用160个，收费144个。
2022/8/31退租128个 IP 地址：117.185.135.128/25。2022.9开始使用1个机柜，每机柜送16个IP，使用160个，收费144个，免费16个。
存量使用288个IP,每机柜送16个，3个机柜送48个，收费240个：117.185.135.0/24 117.135.164.64/27
上海上海移动 增量100G完成业务测试，已于2020-06-28开始正式切流量上线。</t>
  </si>
  <si>
    <t>2022.9开始机柜数量剩余1个，可送16个IP，使用160个，收费144个50。
2022/8/31退租128个 IP 地址：117.185.135.128/25。2022.9开始使用1个机柜，每机柜送16个IP，使用160个，收费144个，免费16个。</t>
  </si>
  <si>
    <t>2022.9开始机柜数量剩余1个，可送16个IP，使用160个，收费144个。
2022/8/31退租128个 IP 地址：117.185.135.128/25。
2022.9开始使用1个机柜，每机柜送16个IP，使用160个，收费144个，免费16个。</t>
  </si>
  <si>
    <t>L20211203016</t>
  </si>
  <si>
    <t>新合同约定免费赠送3153个IP，新合同签署中</t>
  </si>
  <si>
    <t>2022/3/31 SH01退租</t>
  </si>
  <si>
    <t>金桥机房</t>
  </si>
  <si>
    <t>SH01</t>
  </si>
  <si>
    <t>调整数量，合同签署中.182015IDC00085</t>
  </si>
  <si>
    <t>中国有线电视网络有限公司</t>
  </si>
  <si>
    <t>中国有线</t>
  </si>
  <si>
    <t>182115IDC00356</t>
  </si>
  <si>
    <t xml:space="preserve"> 北京百度科技园BJKJY/北京百度酒仙桥M1-山西阳泉云计算基地YQ01</t>
  </si>
  <si>
    <t>不大于24000G</t>
  </si>
  <si>
    <t>北京百度科技园BJKJY/北京百度酒仙桥M1-山西阳泉云计算基地YQ01，带宽量不超过2.4T</t>
  </si>
  <si>
    <t>182115IDC00394</t>
  </si>
  <si>
    <t>上海市静安区江场西路387号数据港大厦-江苏省苏州市虎丘区金沙江路和吕梁山路交叉口东北角太湖机房中国电信太湖国际信息中心</t>
  </si>
  <si>
    <t>7200G</t>
  </si>
  <si>
    <t>2021.9开始，之前计提的4个机架改为按电路计提。A端：上海市静安区江场西路387号数据港大厦；Z端：江苏省苏州市虎丘区金沙江路和吕梁山路交叉口东北角太湖机房中国电信太湖国际信息中心
机架关联在L20210927002上</t>
  </si>
  <si>
    <t>中金汇融（昆山）信息科技有限公司</t>
  </si>
  <si>
    <t>中金昆山</t>
  </si>
  <si>
    <t>182215IDC00134</t>
  </si>
  <si>
    <t>苏州中金一期</t>
  </si>
  <si>
    <t>SZZJ</t>
  </si>
  <si>
    <t>2021/9/15开通，9月计费16天：SZZJ3D401E-I-01、SZZJ3D402E-A-09、SZZJ3D402E-B-09、SZZJ3D402E-G-08、SZZJ3D402E-G-09、SZZJ3D402E-G-12、SZZJ3D402E-G-13、SZZJ3D402E-G-14、SZZJ3D402E-G-15、SZZJ3D402E-H-01、SZZJ3D402E-H-02、SZZJ3D402E-H-06、SZZJ3D402E-H-07、SZZJ3D402E-H-08、SZZJ3D402E-H-09、SZZJ3D402E-H-12、SZZJ3D402E-H-13、SZZJ3D402E-H-14、SZZJ3D402E-H-15、SZZJ3D403E-A-01、SZZJ3D403E-B-01、SZZJ3D403E-C-01、SZZJ3D403E-D-01、SZZJ3D403E-G-01、SZZJ3D403E-G-09、SZZJ3D403E-G-10、SZZJ3D403E-G-11、SZZJ3D403E-G-12、SZZJ3D403E-H-01、SZZJ3D403E-H-09、SZZJ3D403E-H-10、SZZJ3D403E-H-11、SZZJ3D403E-H-12、SZZJ3D404E-I-16、SZZJ3D402E-C-09、SZZJ3D402E-D-09、SZZJ3D402E-E-09、SZZJ3D402E-F-09、SZZJ3D402E-G-02、SZZJ3D402E-G-03、SZZJ3D402E-G-04、SZZJ3D402E-G-05、SZZJ3D402E-G-06、SZZJ3D402E-G-07、SZZJ3D402E-H-04、SZZJ3D402E-H-05、SZZJ3D403E-E-01、SZZJ3D403E-F-01、SZZJ3D301E-I-01、SZZJ3D302E-I-16、SZZJ3D403E-G-08、SZZJ3D403E-H-08</t>
  </si>
  <si>
    <t>2021/9/15开通，9月计费16天：SZZJ3D401E-B-15、SZZJ3D401E-B-16、SZZJ3D401E-G-16、SZZJ3D401E-G-17、SZZJ3D402E-E-01、SZZJ3D402E-F-01、SZZJ3D404E-B-01、SZZJ3D404E-B-02、SZZJ3D404E-G-01、SZZJ3D404E-G-02、SZZJ3D404E-H-02、SZZJ3D404E-H-03、SZZJ3D404E-H-04、SZZJ3D301E-B-15、SZZJ3D301E-B-16、SZZJ3D301E-G-16、SZZJ3D301E-G-17、SZZJ3D302E-B-01、SZZJ3D302E-B-02、SZZJ3D302E-G-01、SZZJ3D302E-G-02、SZZJ3D401E-A-01、SZZJ3D401E-A-02、SZZJ3D401E-A-03、SZZJ3D401E-A-04、SZZJ3D401E-A-05、SZZJ3D401E-A-06、SZZJ3D401E-A-07、SZZJ3D401E-A-08、SZZJ3D401E-A-09、SZZJ3D401E-A-10、SZZJ3D401E-A-11、SZZJ3D401E-A-12、SZZJ3D401E-A-13、SZZJ3D401E-A-14、SZZJ3D401E-A-15、SZZJ3D401E-A-16、SZZJ3D401E-A-17、SZZJ3D401E-B-01、SZZJ3D401E-B-02、SZZJ3D401E-B-03、SZZJ3D401E-B-04</t>
  </si>
  <si>
    <t>2021/9/15开通，9月计费16天：SZZJ3D402E-A-01、SZZJ3D402E-A-03、SZZJ3D402E-A-05、SZZJ3D402E-A-07、SZZJ3D402E-B-01、SZZJ3D402E-B-03、SZZJ3D402E-B-05、SZZJ3D402E-B-07、SZZJ3D402E-E-03、SZZJ3D402E-E-05、SZZJ3D402E-E-07、SZZJ3D402E-F-03、SZZJ3D402E-F-05、SZZJ3D402E-F-07、SZZJ3D403E-A-02、SZZJ3D403E-A-04、SZZJ3D403E-A-06、SZZJ3D403E-A-08、SZZJ3D403E-B-02、SZZJ3D403E-B-04、SZZJ3D403E-B-06、SZZJ3D403E-B-08、SZZJ3D403E-C-02、SZZJ3D403E-C-04、SZZJ3D403E-C-06、SZZJ3D403E-C-08、SZZJ3D403E-D-02、SZZJ3D403E-D-04、SZZJ3D403E-D-06、SZZJ3D403E-D-08、SZZJ3D403E-E-02、SZZJ3D403E-E-04、SZZJ3D403E-E-06、SZZJ3D403E-E-08、SZZJ3D403E-F-02、SZZJ3D403E-F-04、SZZJ3D403E-F-06、SZZJ3D403E-F-08、SZZJ3D403E-G-02、SZZJ3D403E-G-04、SZZJ3D403E-H-02、SZZJ3D403E-H-04</t>
  </si>
  <si>
    <t>2021/9/24开通，9月计费7天：SZZJ3D401E-B-05、SZZJ3D401E-B-06、SZZJ3D401E-B-07、SZZJ3D401E-B-08、SZZJ3D401E-B-09、SZZJ3D401E-B-10、SZZJ3D401E-B-11、SZZJ3D401E-B-12、SZZJ3D401E-B-13、SZZJ3D401E-B-14、SZZJ3D401E-C-01、SZZJ3D401E-C-02、SZZJ3D401E-C-03SZZJ3D401E-C-04、SZZJ3D401E-C-05、SZZJ3D401E-C-06、SZZJ3D401E-C-07、SZZJ3D401E-C-08、SZZJ3D401E-C-09、SZZJ3D401E-C-10</t>
  </si>
  <si>
    <t>2021/9/27开通，9月计费4天：SZZJ3D401E-C-11、SZZJ3D401E-C-12、SZZJ3D401E-C-13、SZZJ3D401E-C-14、SZZJ3D401E-C-15、SZZJ3D401E-C-16、SZZJ3D401E-D-01、SZZJ3D401E-D-02、SZZJ3D401E-D-03、SZZJ3D401E-D-04、SZZJ3D401E-D-05、SZZJ3D401E-D-06、SZZJ3D401E-D-07、SZZJ3D401E-D-08、SZZJ3D401E-D-09、SZZJ3D401E-D-10、SZZJ3D401E-D-11、SZZJ3D401E-D-12、SZZJ3D401E-D-13、SZZJ3D401E-D-14、SZZJ3D401E-D-15、SZZJ3D401E-D-16、SZZJ3D401E-E-01、SZZJ3D401E-E-02、SZZJ3D401E-E-03、SZZJ3D401E-E-04</t>
  </si>
  <si>
    <t>2021/9/28开通，9月计费3天：SZZJ3D403E-G-06、SZZJ3D403E-G-07、SZZJ3D403E-H-06、SZZJ3D403E-H-07</t>
  </si>
  <si>
    <t>2021/9/28开通，9月计费3天：SZZJ3D401E-E-05、SZZJ3D401E-E-06、SZZJ3D401E-E-07、SZZJ3D401E-E-08、SZZJ3D401E-E-09、SZZJ3D401E-E-10、SZZJ3D401E-E-11、SZZJ3D401E-E-12、SZZJ3D401E-E-13、SZZJ3D401E-E-14、SZZJ3D401E-E-15、SZZJ3D401E-E-16、SZZJ3D401E-F-01、SZZJ3D401E-F-02、SZZJ3D401E-F-03、SZZJ3D401E-F-04、SZZJ3D401E-F-05、SZZJ3D401E-F-06、SZZJ3D401E-F-07</t>
  </si>
  <si>
    <t>2021/10/12开通，10月计费20天：SZZJ3D404E-I-02、SZZJ3D404E-I-03</t>
  </si>
  <si>
    <t>2021/10/13开通，10月计费19天：SZZJ3D301E-A-01、SZZJ3D301E-A-02、SZZJ3D301E-A-03、SZZJ3D301E-A-04、SZZJ3D301E-A-05、SZZJ3D301E-A-06、SZZJ3D301E-A-07、SZZJ3D301E-A-08、SZZJ3D301E-A-09、SZZJ3D301E-A-10、SZZJ3D301E-A-11、SZZJ3D301E-A-12、SZZJ3D301E-A-13、SZZJ3D301E-A-14、SZZJ3D301E-A-15、SZZJ3D301E-A-16、SZZJ3D301E-A-17、SZZJ3D301E-B-01、SZZJ3D301E-B-02、SZZJ3D301E-B-03、SZZJ3D301E-B-04、SZZJ3D301E-B-05、SZZJ3D301E-B-06、SZZJ3D301E-B-07、SZZJ3D301E-B-08、SZZJ3D301E-B-09、SZZJ3D301E-B-10、SZZJ3D301E-B-11、SZZJ3D301E-B-12、SZZJ3D301E-B-13、SZZJ3D301E-B-14</t>
  </si>
  <si>
    <t>2021/10/15开通，10月计费17天：SZZJ3D301E-C-01、SZZJ3D301E-C-02、SZZJ3D301E-C-03、SZZJ3D301E-C-04、SZZJ3D301E-C-05、SZZJ3D301E-C-06、SZZJ3D301E-C-07、SZZJ3D301E-C-08、SZZJ3D301E-C-09、SZZJ3D301E-C-10、SZZJ3D301E-C-11、SZZJ3D301E-C-12、SZZJ3D301E-C-13、SZZJ3D301E-C-14、SZZJ3D301E-C-15、SZZJ3D301E-C-16</t>
  </si>
  <si>
    <t>2021/10/29开通，10月计费3天：SZZJ3D301E-D-03、SZZJ3D301E-D-04、SZZJ3D401E-G-01、SZZJ3D401E-G-02、SZZJ3D401E-G-03、SZZJ3D401E-G-04、SZZJ3D401E-G-05、SZZJ3D401E-G-06</t>
  </si>
  <si>
    <t>SZZJ3D301E-D-01、SZZJ3D301E-D-02、SZZJ3D301E-D-05</t>
  </si>
  <si>
    <t>2021/11/3开通机架，11月计费28天：SZZJ3D404E-H-05、SZZJ3D404E-H-06、SZZJ3D404E-H-07、SZZJ3D404E-H-08、SZZJ3D404E-H-09、SZZJ3D404E-H-10、SZZJ3D404E-H-11、SZZJ3D404E-H-12、SZZJ3D404E-H-13、SZZJ3D404E-H-14、SZZJ3D404E-H-15、SZZJ3D404E-H-16、SZZJ3D404E-I-05、SZZJ3D404E-I-06、SZZJ3D404E-I-07、SZZJ3D404E-I-08、SZZJ3D404E-I-09、SZZJ3D404E-I-10、SZZJ3D404E-I-11、SZZJ3D404E-I-12、SZZJ3D404E-I-13、SZZJ3D404E-I-14、SZZJ3D404E-I-15</t>
  </si>
  <si>
    <t>2021/11/6开通机架，11月计费25天：SZZJ3D401E-F-13、SZZJ3D401E-F-14、SZZJ3D401E-F-15、SZZJ3D401E-F-16、SZZJ3D401E-G-07、SZZJ3D401E-G-08、SZZJ3D401E-G-09、SZZJ3D401E-G-10、SZZJ3D401E-G-11、SZZJ3D401E-G-12、SZZJ3D401E-G-13、SZZJ3D401E-G-14、SZZJ3D401E-G-15</t>
  </si>
  <si>
    <t>2021/11/8开通机架，11月计费23天：SZZJ3D301E-D-06、SZZJ3D301E-D-07、SZZJ3D301E-D-08</t>
  </si>
  <si>
    <t>2021/11/11开通机架，11月计费20天：SZZJ3D404E-C-13、SZZJ3D404E-C-14、SZZJ3D404E-C-15、SZZJ3D404E-C-16、SZZJ3D404E-C-17、SZZJ3D404E-D-01、SZZJ3D404E-D-02、SZZJ3D404E-D-03、SZZJ3D404E-D-04、SZZJ3D404E-D-05、SZZJ3D404E-D-06、SZZJ3D404E-D-07、SZZJ3D404E-D-08、SZZJ3D404E-D-09、SZZJ3D404E-D-10、SZZJ3D404E-D-11、SZZJ3D404E-D-12、SZZJ3D404E-D-13、SZZJ3D404E-D-14、SZZJ3D404E-D-15、SZZJ3D404E-D-16</t>
  </si>
  <si>
    <t>2021/11/11开通机架，11月计费9天：SZZJ3D301E-D-09、SZZJ3D301E-D-10</t>
  </si>
  <si>
    <t>SZZJ3D301E-D-11、SZZJ3D301E-D-12、SZZJ3D301E-D-13、SZZJ3D301E-D-14、SZZJ3D301E-D-15、SZZJ3D301E-D-16、SZZJ3D301E-E-01、SZZJ3D301E-E-02</t>
  </si>
  <si>
    <t>SZZJ-云托管</t>
  </si>
  <si>
    <t>SZZJ3D404E-A-01 SZZJ3D404E-A-02 SZZJ3D404E-A-03</t>
  </si>
  <si>
    <t>SZZJ3D204E-G-02
SZZJ3D204E-G-04
SZZJ3D204E-G-06
SZZJ3D204E-G-08
SZZJ3D204E-G-10
SZZJ3D204E-H-01
SZZJ3D204E-H-02
SZZJ3D204E-H-03
SZZJ3D204E-H-05
SZZJ3D204E-H-07
SZZJ3D204E-H-09
SZZJ3D204E-H-11
SZZJ3D204E-H-13
SZZJ3D204E-H-15
SZZJ3D204E-I-02
SZZJ3D204E-I-04
SZZJ3D204E-I-06
SZZJ3D204E-I-08
SZZJ3D204E-I-10
SZZJ3D204E-I-12
SZZJ3D204E-I-14
SZZJ3D204E-I-15</t>
  </si>
  <si>
    <t>SZZJ3D204E-I-16</t>
  </si>
  <si>
    <t>SZIX</t>
  </si>
  <si>
    <t>BECSZZJ</t>
  </si>
  <si>
    <t>BECSZZJ3D201E-A-01、BECSZZJ3D201E-A-02、BECSZZJ3D201E-A-03、BECSZZJ3D201E-A-04、BECSZZJ3D201E-A-05、BECSZZJ3D201E-A-06、BECSZZJ3D201E-A-07、BECSZZJ3D201E-A-08、BECSZZJ3D201E-A-09、BECSZZJ3D201E-A-10、BECSZZJ3D201E-A-11、BECSZZJ3D201E-A-12、BECSZZJ3D201E-A-13、BECSZZJ3D201E-A-14、BECSZZJ3D201E-A-15、BECSZZJ3D201E-A-16、BECSZZJ3D201E-A-17、BECSZZJ3D201E-B-01、BECSZZJ3D201E-B-02、BECSZZJ3D201E-B-03、BECSZZJ3D201E-B-04、BECSZZJ3D201E-B-05、BECSZZJ3D201E-B-06、BECSZZJ3D201E-B-07、BECSZZJ3D201E-B-08、BECSZZJ3D201E-B-09、BECSZZJ3D201E-B-10、BECSZZJ3D201E-B-11、BECSZZJ3D201E-B-12</t>
  </si>
  <si>
    <t>SZZJ3D303E-I-01</t>
  </si>
  <si>
    <t>SZZJ3D204E-A-01、SZZJ3D204E-A-02、SZZJ3D204E-C-02、SZZJ3D204E-C-04、SZZJ3D204E-C-06、SZZJ3D204E-C-08、SZZJ3D204E-C-10、SZZJ3D204E-D-03、SZZJ3D204E-D-05、SZZJ3D204E-D-07、SZZJ3D204E-D-09、SZZJ3D204E-D-11、SZZJ3D204E-D-13、SZZJ3D204E-D-15、SZZJ3D204E-E-02、SZZJ3D204E-E-04、SZZJ3D204E-E-06、SZZJ3D204E-E-08、SZZJ3D204E-E-10、SZZJ3D204E-E-12、SZZJ3D204E-E-14、SZZJ3D204E-E-16、SZZJ3D204E-E-17、SZZJ3D204E-F-03、SZZJ3D204E-F-05、SZZJ3D204E-F-07、SZZJ3D204E-F-09、SZZJ3D204E-F-11、SZZJ3D204E-F-13、SZZJ3D204E-F-15、SZZJ3D204E-G-12、SZZJ3D204E-G-14、SZZJ3D204E-G-16、SZZJ3D204E-G-17、SZZJ3D303E-A-02、SZZJ3D303E-A-04、SZZJ3D303E-A-06、SZZJ3D303E-A-08、SZZJ3D303E-A-10、SZZJ3D303E-A-12、SZZJ3D303E-A-14、SZZJ3D303E-A-16、SZZJ3D303E-A-17、SZZJ3D303E-B-01、SZZJ3D303E-B-03、SZZJ3D303E-B-05、SZZJ3D303E-B-07、SZZJ3D303E-B-09、SZZJ3D303E-B-11、SZZJ3D303E-B-13、SZZJ3D303E-C-02、SZZJ3D303E-C-04、SZZJ3D303E-C-06、SZZJ3D303E-C-08、SZZJ3D303E-C-10、SZZJ3D303E-C-12、SZZJ3D303E-C-14、SZZJ3D303E-C-16、SZZJ3D303E-D-01、SZZJ3D303E-D-03、SZZJ3D303E-D-05、SZZJ3D303E-D-07、SZZJ3D303E-D-09、SZZJ3D303E-D-11、SZZJ3D303E-D-13、SZZJ3D303E-D-15、SZZJ3D303E-E-02、SZZJ3D303E-E-04、SZZJ3D303E-E-06、SZZJ3D303E-E-08、SZZJ3D303E-E-10、SZZJ3D303E-E-12、SZZJ3D303E-E-14、SZZJ3D303E-E-16、SZZJ3D303E-F-01、SZZJ3D303E-F-03、SZZJ3D303E-F-05、SZZJ3D303E-F-07、SZZJ3D303E-F-09、SZZJ3D303E-F-11、SZZJ3D303E-F-13、SZZJ3D303E-F-15、SZZJ3D303E-G-02、SZZJ3D303E-G-04、SZZJ3D303E-G-06、SZZJ3D303E-G-08、SZZJ3D303E-G-10、SZZJ3D303E-G-12、SZZJ3D303E-G-14、SZZJ3D303E-G-15、SZZJ3D303E-H-01、SZZJ3D303E-H-03、SZZJ3D303E-H-05、SZZJ3D303E-H-07、SZZJ3D303E-H-09、SZZJ3D303E-H-11、SZZJ3D303E-H-13、SZZJ3D303E-H-15、SZZJ3D303E-I-04、SZZJ3D303E-I-06、SZZJ3D303E-I-08、SZZJ3D303E-I-10、SZZJ3D303E-I-12、SZZJ3D303E-I-14、SZZJ3D303E-I-16</t>
  </si>
  <si>
    <t>SZZJ3D204E-D-01、SZZJ3D204E-D-02、SZZJ3D204E-F-01、SZZJ3D204E-F-02、SZZJ3D303E-B-15、SZZJ3D303E-B-16、SZZJ3D303E-G-16、SZZJ3D303E-G-17</t>
  </si>
  <si>
    <t>SZZJ3D401E-F-08、SZZJ3D401E-F-09、SZZJ3D401E-F-10、SZZJ3D401E-F-11、SZZJ3D401E-F-12</t>
  </si>
  <si>
    <t>SZZJ3D204E-A-08、SZZJ3D204E-A-09、SZZJ3D204E-A-10、SZZJ3D204E-A-13、SZZJ3D204E-A-14</t>
  </si>
  <si>
    <t>SZZJ3D204E-C-02、SZZJ3D204E-C-04、SZZJ3D204E-C-06、SZZJ3D204E-C-08、SZZJ3D204E-C-10、SZZJ3D204E-D-03、SZZJ3D204E-D-05、SZZJ3D204E-D-07、SZZJ3D204E-D-09、SZZJ3D204E-D-11、SZZJ3D204E-D-13、SZZJ3D204E-D-15、SZZJ3D204E-E-02、SZZJ3D204E-E-04、SZZJ3D204E-E-06、SZZJ3D204E-E-08、SZZJ3D204E-E-10、SZZJ3D204E-E-12、SZZJ3D204E-E-14、SZZJ3D204E-E-16、SZZJ3D204E-E-17、SZZJ3D204E-F-03、SZZJ3D204E-F-05、SZZJ3D204E-F-07、SZZJ3D204E-F-09、SZZJ3D204E-F-11、SZZJ3D204E-F-13、SZZJ3D204E-F-15、SZZJ3D204E-G-12、SZZJ3D204E-G-14、SZZJ3D204E-G-16、SZZJ3D204E-G-17、SZZJ3D303E-A-02、SZZJ3D303E-A-04、SZZJ3D303E-A-06、SZZJ3D303E-A-08、SZZJ3D303E-A-10、SZZJ3D303E-A-12、SZZJ3D303E-A-14、SZZJ3D303E-A-16、SZZJ3D303E-A-17、SZZJ3D303E-B-01、SZZJ3D303E-B-03、SZZJ3D303E-B-05、SZZJ3D303E-B-07、SZZJ3D303E-B-09、SZZJ3D303E-B-11、SZZJ3D303E-B-13、SZZJ3D303E-C-02、SZZJ3D303E-C-04、SZZJ3D303E-C-06、SZZJ3D303E-C-08、SZZJ3D303E-C-10、SZZJ3D303E-C-12、SZZJ3D303E-C-14、SZZJ3D303E-C-16、SZZJ3D303E-D-01、SZZJ3D303E-D-03、SZZJ3D303E-D-05、SZZJ3D303E-D-07、SZZJ3D303E-D-09、SZZJ3D303E-D-11、SZZJ3D303E-D-13、SZZJ3D303E-D-15、SZZJ3D303E-E-02、SZZJ3D303E-E-04、SZZJ3D303E-E-06、SZZJ3D303E-E-08、SZZJ3D303E-E-10、SZZJ3D303E-E-12、SZZJ3D303E-E-14、SZZJ3D303E-E-16、SZZJ3D303E-F-01、SZZJ3D303E-F-03、SZZJ3D303E-F-05、SZZJ3D303E-F-07、SZZJ3D303E-F-09、SZZJ3D303E-F-11、SZZJ3D303E-F-13、SZZJ3D303E-F-15、SZZJ3D303E-G-02、SZZJ3D303E-G-04、SZZJ3D303E-G-06、SZZJ3D303E-G-08、SZZJ3D303E-G-10、SZZJ3D303E-G-12、SZZJ3D303E-G-14、SZZJ3D303E-G-15、SZZJ3D303E-H-01、SZZJ3D303E-H-03、SZZJ3D303E-H-05、SZZJ3D303E-H-07、SZZJ3D303E-H-09、SZZJ3D303E-H-11、SZZJ3D303E-H-13、SZZJ3D303E-H-15、SZZJ3D303E-I-04、SZZJ3D303E-I-06、SZZJ3D303E-I-08、SZZJ3D303E-I-10、SZZJ3D303E-I-12、SZZJ3D303E-I-14、SZZJ3D303E-I-16</t>
  </si>
  <si>
    <t>SZZJ3D404E-C-04、SZZJ3D404E-C-05、SZZJ3D404E-C-06、SZZJ3D404E-C-07、SZZJ3D404E-C-08、SZZJ3D404E-C-09、SZZJ3D404E-C-10</t>
  </si>
  <si>
    <t>SZZJ3D404E-C-11、SZZJ3D404E-C-12</t>
  </si>
  <si>
    <t>SZZJ3D204E-A-07、SZZJ3D204E-A-11、SZZJ3D204E-A-12、SZZJ3D204E-B-14、SZZJ3D204E-C-03、SZZJ3D204E-C-05、SZZJ3D204E-C-07</t>
  </si>
  <si>
    <t>SZZJ3D404E-E-02、SZZJ3D404E-E-03、SZZJ3D404E-E-04、SZZJ3D404E-E-05、SZZJ3D404E-E-06、SZZJ3D404E-E-07、SZZJ3D404E-E-08、SZZJ3D404E-E-09、SZZJ3D404E-E-10、SZZJ3D404E-E-11、SZZJ3D404E-E-12</t>
  </si>
  <si>
    <t>SZZJ3D404E-E-13、SZZJ3D404E-E-14、SZZJ3D404E-E-15、SZZJ3D404E-E-16、SZZJ3D404E-E-17、SZZJ3D404E-F-01、SZZJ3D404E-F-02、SZZJ3D404E-F-03、SZZJ3D404E-F-04、SZZJ3D404E-F-05、SZZJ3D404E-F-06、SZZJ3D404E-F-07、SZZJ3D404E-F-08、SZZJ3D404E-F-09、SZZJ3D404E-F-10、SZZJ3D404E-F-11、SZZJ3D404E-F-12、SZZJ3D404E-F-13、SZZJ3D404E-F-14、SZZJ3D404E-F-15、SZZJ3D404E-F-16、SZZJ3D404E-G-03、SZZJ3D404E-G-04、SZZJ3D404E-G-05、SZZJ3D404E-G-06、SZZJ3D404E-G-07、SZZJ3D404E-G-08、SZZJ3D404E-G-09、SZZJ3D404E-G-10、SZZJ3D404E-G-11、SZZJ3D404E-G-12、SZZJ3D404E-G-13、SZZJ3D404E-G-14、SZZJ3D404E-G-15、SZZJ3D404E-G-16、SZZJ3D404E-G-17、SZZJ3D302E-A-01、SZZJ3D302E-A-02、SZZJ3D302E-A-03、SZZJ3D302E-A-04、SZZJ3D302E-A-05、SZZJ3D302E-A-06、SZZJ3D302E-A-07、SZZJ3D302E-A-08、SZZJ3D302E-A-09、SZZJ3D302E-A-10、SZZJ3D302E-A-11、SZZJ3D302E-A-12、SZZJ3D302E-A-13、SZZJ3D302E-A-14、SZZJ3D204E-C-09、SZZJ3D204E-G-01、SZZJ3D204E-G-03、SZZJ3D204E-G-05、SZZJ3D204E-G-07、SZZJ3D204E-G-09</t>
  </si>
  <si>
    <t>SZZJ3D302E-A-15、SZZJ3D302E-A-16、SZZJ3D302E-A-17、SZZJ3D302E-B-03、SZZJ3D302E-B-04</t>
  </si>
  <si>
    <t>SZZJ3D204E-C-02、SZZJ3D204E-C-04、SZZJ3D204E-C-06、SZZJ3D204E-C-08</t>
  </si>
  <si>
    <t>SZZJ3D204E-C-10</t>
  </si>
  <si>
    <t>SZZJ3D204E-F-03、SZZJ3D204E-F-04、SZZJ3D204E-F-05、SZZJ3D204E-F-06、SZZJ3D204E-F-07、SZZJ3D204E-F-08、SZZJ3D303E-A-01、SZZJ3D303E-A-02、SZZJ3D303E-A-03、SZZJ3D303E-A-04</t>
  </si>
  <si>
    <t>SZZJ3D204E-F-09、SZZJ3D204E-F-10、SZZJ3D204E-F-11、SZZJ3D204E-F-12、SZZJ3D204E-F-13、SZZJ3D204E-F-14、SZZJ3D204E-F-15、SZZJ3D204E-F-16</t>
  </si>
  <si>
    <t>SZZJ3D204E-E-11、SZZJ3D204E-E-12、SZZJ3D204E-G-11、SZZJ3D204E-G-12、SZZJ3D204E-G-13、SZZJ3D204E-G-14、SZZJ3D204E-G-15、SZZJ3D204E-G-16、SZZJ3D204E-G-17</t>
  </si>
  <si>
    <t>SZZJ3D302E-B-05</t>
  </si>
  <si>
    <t>SZZJ3D301E-E-03、SZZJ3D301E-E-04、SZZJ3D301E-E-05、SZZJ3D301E-E-06</t>
  </si>
  <si>
    <t>SZZJ3D302E-B-06、SZZJ3D302E-B-07、SZZJ3D302E-B-08、SZZJ3D302E-B-09、SZZJ3D302E-B-10、SZZJ3D302E-B-11、SZZJ3D302E-B-12、SZZJ3D302E-B-13、SZZJ3D302E-B-14、SZZJ3D302E-B-15、SZZJ3D302E-B-16</t>
  </si>
  <si>
    <t>SZZJ3D302E-D-01、SZZJ3D302E-D-02、SZZJ3D302E-D-03、SZZJ3D302E-D-04、SZZJ3D302E-D-05、SZZJ3D302E-D-06</t>
  </si>
  <si>
    <t>SZZJ3D404E-A-01、SZZJ3D404E-A-02、SZZJ3D404E-A-03</t>
  </si>
  <si>
    <t>SZZJ3D302E-C-05、SZZJ3D302E-C-06、SZZJ3D302E-C-07、SZZJ3D302E-C-08、SZZJ3D302E-C-09、SZZJ3D302E-C-10、SZZJ3D302E-C-11、SZZJ3D302E-C-12、SZZJ3D302E-C-13、SZZJ3D302E-C-14、SZZJ3D302E-C-15、SZZJ3D302E-C-16</t>
  </si>
  <si>
    <t>SZZJ3D302E-D-07、SZZJ3D302E-D-08、SZZJ3D302E-D-09、SZZJ3D302E-D-10、SZZJ3D302E-D-11、SZZJ3D302E-D-12、SZZJ3D302E-D-13、SZZJ3D302E-D-14、SZZJ3D302E-D-15、SZZJ3D302E-D-16、SZZJ3D302E-E-02、SZZJ3D302E-E-03、SZZJ3D302E-E-04、SZZJ3D302E-E-05、SZZJ3D302E-E-06、SZZJ3D302E-E-07、SZZJ3D302E-E-08、SZZJ3D302E-E-09、SZZJ3D302E-E-10、SZZJ3D302E-E-11、SZZJ3D302E-E-12、SZZJ3D302E-E-13、SZZJ3D302E-E-14</t>
  </si>
  <si>
    <t>SZZJ3D204E-D-03、SZZJ3D204E-D-04</t>
  </si>
  <si>
    <t>SZZJ3D203E-B-15、SZZJ3D203E-B-16、SZZJ3D203E-D-15、SZZJ3D203E-D-16、SZZJ3D203E-F-15、SZZJ3D203E-F-16、SZZJ3D203E-H-15、SZZJ3D203E-H-16、SZZJ3D202E-B-01、SZZJ3D202E-B-02、SZZJ3D202E-D-01、SZZJ3D202E-D-02、SZZJ3D202E-F-01、SZZJ3D202E-F-02、SZZJ3D202E-H-01、SZZJ3D202E-H-02</t>
  </si>
  <si>
    <t>2022.6.6 SYS更新机柜电流为20A：SZZJ3D203E-I-01、SZZJ3D202E-I-16</t>
  </si>
  <si>
    <t>SZZJ3D203E-A-02、SZZJ3D203E-A-04、SZZJ3D203E-A-06、SZZJ3D203E-A-08、SZZJ3D203E-A-10、SZZJ3D203E-A-12、SZZJ3D203E-A-14、SZZJ3D203E-A-16、SZZJ3D203E-A-17、SZZJ3D203E-B-01、SZZJ3D203E-B-03、SZZJ3D203E-B-05、SZZJ3D203E-B-07、SZZJ3D203E-B-09、SZZJ3D203E-B-11、SZZJ3D203E-B-13、SZZJ3D203E-C-02、SZZJ3D203E-C-04、SZZJ3D203E-C-06、SZZJ3D203E-C-08、SZZJ3D203E-C-10、SZZJ3D203E-C-12、SZZJ3D203E-C-14、SZZJ3D203E-C-16、SZZJ3D203E-D-01、SZZJ3D203E-D-03、SZZJ3D203E-D-05、SZZJ3D203E-D-07、SZZJ3D203E-D-09、SZZJ3D203E-D-11、SZZJ3D203E-D-13、SZZJ3D203E-E-02、SZZJ3D203E-E-04、SZZJ3D203E-E-06、SZZJ3D203E-E-08、SZZJ3D203E-E-10、SZZJ3D203E-E-12、SZZJ3D203E-E-14、SZZJ3D203E-E-16、SZZJ3D203E-F-01、SZZJ3D203E-F-03、SZZJ3D203E-F-05、SZZJ3D203E-F-07、SZZJ3D203E-F-09、SZZJ3D203E-F-11、SZZJ3D203E-F-13、SZZJ3D203E-G-02、SZZJ3D203E-G-04、SZZJ3D203E-G-06、SZZJ3D203E-G-08、SZZJ3D203E-G-10、SZZJ3D203E-G-12、SZZJ3D203E-G-14、SZZJ3D203E-G-16、SZZJ3D203E-G-17、SZZJ3D203E-H-01、SZZJ3D203E-H-03、SZZJ3D203E-H-05、SZZJ3D203E-H-07、SZZJ3D203E-H-09、SZZJ3D203E-H-11、SZZJ3D203E-H-13、SZZJ3D203E-I-02、SZZJ3D203E-I-04、SZZJ3D203E-I-06、SZZJ3D203E-I-08、SZZJ3D203E-I-10、SZZJ3D203E-I-12、SZZJ3D203E-I-14、SZZJ3D203E-I-16、SZZJ3D202E-A-02、SZZJ3D202E-A-04、SZZJ3D202E-A-06、SZZJ3D202E-A-08、SZZJ3D202E-A-10、SZZJ3D202E-A-12、SZZJ3D202E-A-14、SZZJ3D202E-A-16、SZZJ3D202E-A-17、SZZJ3D202E-B-03、SZZJ3D202E-B-05、SZZJ3D202E-B-07、SZZJ3D202E-B-09、SZZJ3D202E-B-11、SZZJ3D202E-B-13、SZZJ3D202E-B-15、SZZJ3D202E-C-02、SZZJ3D202E-C-04、SZZJ3D202E-C-06、SZZJ3D202E-C-08、SZZJ3D202E-C-10、SZZJ3D202E-C-12、SZZJ3D202E-C-14、SZZJ3D202E-C-16、SZZJ3D202E-C-17、SZZJ3D202E-D-03、SZZJ3D202E-D-05、SZZJ3D202E-D-07、SZZJ3D202E-D-09、SZZJ3D202E-D-11、SZZJ3D202E-D-13、SZZJ3D202E-D-15、SZZJ3D202E-E-02、SZZJ3D202E-E-04、SZZJ3D202E-E-06、SZZJ3D202E-E-08、SZZJ3D202E-E-10、SZZJ3D202E-E-12、SZZJ3D202E-E-14、SZZJ3D202E-E-16、SZZJ3D202E-E-17、SZZJ3D202E-F-03、SZZJ3D202E-F-05、SZZJ3D202E-F-07、SZZJ3D202E-F-09、SZZJ3D202E-F-11、SZZJ3D202E-F-13、SZZJ3D202E-F-15、SZZJ3D202E-G-02、SZZJ3D202E-G-04、SZZJ3D202E-G-06、SZZJ3D202E-G-08、SZZJ3D202E-G-10、SZZJ3D202E-G-12、SZZJ3D202E-G-14、SZZJ3D202E-G-16、SZZJ3D202E-G-17、SZZJ3D202E-H-03、SZZJ3D202E-H-05、SZZJ3D202E-H-07、SZZJ3D202E-H-09、SZZJ3D202E-H-11、SZZJ3D202E-H-13、SZZJ3D202E-H-15、SZZJ3D202E-I-02、SZZJ3D202E-I-04、SZZJ3D202E-I-06、SZZJ3D202E-I-08、SZZJ3D202E-I-10、SZZJ3D202E-I-12、SZZJ3D202E-I-14、SZZJ3D202E-I-15</t>
  </si>
  <si>
    <t>SULCC01</t>
  </si>
  <si>
    <t>SULCC01（SZZJ）：SULCC01SZZJ3D201E-C-01、SULCC01SZZJ3D201E-C-03、SULCC01SZZJ3D201E-C-05、SULCC01SZZJ3D201E-C-07、SULCC01SZZJ3D201E-C-08、SULCC01SZZJ3D201E-C-09、SULCC01SZZJ3D201E-C-11</t>
  </si>
  <si>
    <t>SZZJ3D203E-G-01、SZZJ3D203E-G-03、SZZJ3D203E-G-05、SZZJ3D203E-G-07、SZZJ3D203E-H-02、SZZJ3D203E-H-04</t>
  </si>
  <si>
    <t>SZZJ3D301E-F-13、SZZJ3D301E-F-14、SZZJ3D301E-F-15、SZZJ3D301E-F-16、SZZJ3D301E-G-01、SZZJ3D301E-G-02、SZZJ3D301E-G-03、SZZJ3D301E-G-04、SZZJ3D301E-G-05、SZZJ3D301E-G-06</t>
  </si>
  <si>
    <t>SULCC01（SZZJ）：SULCC01SZZJ3D201E-C-02、SULCC01SZZJ3D201E-C-04、SULCC01SZZJ3D201E-C-06、SULCC01SZZJ3D201E-C-10、SULCC01SZZJ3D201E-C-12</t>
  </si>
  <si>
    <t>SZZJ3D301E-G-07、SZZJ3D301E-G-08、SZZJ3D301E-G-09、SZZJ3D301E-G-10、SZZJ3D301E-G-11、SZZJ3D301E-G-12、SZZJ3D301E-G-13、SZZJ3D301E-G-14、SZZJ3D301E-G-15</t>
  </si>
  <si>
    <t>SZZJ3D301E-H-01、SZZJ3D301E-H-02、SZZJ3D301E-H-03、SZZJ3D301E-H-04、SZZJ3D301E-H-05、SZZJ3D301E-H-06、SZZJ3D301E-H-07、SZZJ3D301E-H-08、SZZJ3D301E-H-09、SZZJ3D301E-H-10、SZZJ3D301E-H-11、SZZJ3D301E-H-12、SZZJ3D301E-H-13、SZZJ3D301E-H-14、SZZJ3D301E-H-15</t>
  </si>
  <si>
    <t>SZZJ3D301E-F-11、SZZJ3D301E-F-12</t>
  </si>
  <si>
    <t>SZZJ3D204E-E-02、SZZJ3D204E-E-03、SZZJ3D204E-E-04、SZZJ3D204E-E-05、SZZJ3D204E-E-06</t>
  </si>
  <si>
    <t>SZZJ3D204E-E-13、SZZJ3D204E-E-14、SZZJ3D204E-E-15、SZZJ3D204E-E-16、SZZJ3D204E-E-17</t>
  </si>
  <si>
    <t>SZZJ3D203E-A-02、SZZJ3D203E-A-04、SZZJ3D203E-A-06、SZZJ3D203E-A-08、SZZJ3D203E-A-10、SZZJ3D203E-A-12、SZZJ3D203E-A-14、SZZJ3D203E-A-16、SZZJ3D203E-A-17、SZZJ3D203E-B-01、SZZJ3D203E-B-03、SZZJ3D203E-B-05、SZZJ3D203E-B-07、SZZJ3D203E-B-09、SZZJ3D203E-B-11、SZZJ3D203E-B-13、SZZJ3D203E-C-02、SZZJ3D203E-C-04、SZZJ3D203E-C-06、SZZJ3D203E-C-08、SZZJ3D203E-C-10、SZZJ3D203E-C-12、SZZJ3D203E-C-14、SZZJ3D203E-C-16、SZZJ3D203E-D-01、SZZJ3D203E-D-03、SZZJ3D203E-D-05、SZZJ3D203E-D-07、SZZJ3D203E-D-09、SZZJ3D203E-D-11、SZZJ3D203E-D-13、SZZJ3D203E-E-02、SZZJ3D203E-E-04、SZZJ3D203E-E-06、SZZJ3D203E-E-08、SZZJ3D203E-E-10、SZZJ3D203E-E-12、SZZJ3D203E-E-14、SZZJ3D203E-E-16、SZZJ3D203E-F-01、SZZJ3D203E-F-03、SZZJ3D203E-F-05、SZZJ3D203E-F-07、SZZJ3D203E-F-09、SZZJ3D203E-F-11、SZZJ3D203E-F-13、SZZJ3D203E-G-10、SZZJ3D203E-G-12、SZZJ3D203E-G-14、SZZJ3D203E-G-16、SZZJ3D203E-G-17、SZZJ3D202E-A-02、SZZJ3D202E-A-04、SZZJ3D202E-A-06、SZZJ3D202E-A-08、SZZJ3D202E-A-10、SZZJ3D202E-A-12、SZZJ3D202E-A-14、SZZJ3D202E-A-16、SZZJ3D202E-A-17、SZZJ3D202E-B-03、SZZJ3D202E-B-05、SZZJ3D202E-B-07、SZZJ3D202E-B-09、SZZJ3D202E-B-11、SZZJ3D202E-B-13、SZZJ3D202E-B-15、SZZJ3D202E-C-02、SZZJ3D202E-C-04、SZZJ3D202E-C-06、SZZJ3D202E-C-08、SZZJ3D202E-C-10、SZZJ3D202E-C-12、SZZJ3D202E-C-14、SZZJ3D202E-C-16、SZZJ3D202E-C-17、SZZJ3D202E-D-03、SZZJ3D202E-D-05、SZZJ3D202E-D-07、SZZJ3D202E-D-09、SZZJ3D202E-D-11、SZZJ3D202E-D-13、SZZJ3D202E-D-15、SZZJ3D202E-E-02、SZZJ3D202E-E-04、SZZJ3D202E-E-06、SZZJ3D202E-E-08、SZZJ3D202E-E-10、SZZJ3D202E-E-12、SZZJ3D202E-E-14、SZZJ3D202E-E-16、SZZJ3D202E-E-17、SZZJ3D202E-F-03、SZZJ3D202E-F-05、SZZJ3D202E-F-07、SZZJ3D202E-F-09、SZZJ3D202E-F-11、SZZJ3D202E-F-13、SZZJ3D202E-F-15、SZZJ3D202E-G-02、SZZJ3D202E-G-04、SZZJ3D202E-G-06、SZZJ3D202E-G-08、SZZJ3D202E-G-10、SZZJ3D202E-G-12、SZZJ3D202E-G-14、SZZJ3D202E-G-16、SZZJ3D202E-G-17、SZZJ3D202E-H-03、SZZJ3D202E-H-05、SZZJ3D202E-H-07、SZZJ3D202E-H-09、SZZJ3D202E-H-11、SZZJ3D202E-H-13、SZZJ3D202E-H-15、SZZJ3D202E-I-02、SZZJ3D202E-I-04、SZZJ3D202E-I-06、SZZJ3D202E-I-08、SZZJ3D202E-I-10、SZZJ3D202E-I-12、SZZJ3D202E-I-14、SZZJ3D202E-I-15、</t>
  </si>
  <si>
    <t>SZZJ3D201E-I-01、SZZJ3D304E-I-16</t>
  </si>
  <si>
    <t>SZZJ3D303E-A-05、SZZJ3D303E-A-06</t>
  </si>
  <si>
    <t>SZZJ3D404E-A-01、SZZJ3D404E-A-02</t>
  </si>
  <si>
    <t>SZZJ3D303E-A-07、SZZJ3D303E-A-08</t>
  </si>
  <si>
    <t>SZZJ3D303E-A-09、SZZJ3D303E-A-10、SZZJ3D303E-A-11、SZZJ3D303E-A-12、SZZJ3D303E-A-13、SZZJ3D303E-A-14、SZZJ3D303E-A-15、SZZJ3D303E-A-16、SZZJ3D303E-A-17</t>
  </si>
  <si>
    <t>SZZJ3D201E-D-01、SZZJ3D201E-D-15、SZZJ3D201E-D-16、SZZJ3D201E-H-15、SZZJ3D201E-H-16、SZZJ3D304E-A-02、SZZJ3D304E-B-01、SZZJ3D304E-B-02、SZZJ3D304E-G-01、SZZJ3D304E-G-02</t>
  </si>
  <si>
    <t>SZZJ3D401E-H-01、SZZJ3D401E-H-02、SZZJ3D401E-H-03、SZZJ3D401E-H-04、SZZJ3D401E-H-05、SZZJ3D401E-H-06、SZZJ3D401E-H-07、SZZJ3D401E-H-08、SZZJ3D401E-H-09、SZZJ3D401E-H-10、SZZJ3D401E-H-11、SZZJ3D401E-H-12、SZZJ3D401E-H-13、SZZJ3D401E-H-14、SZZJ3D401E-H-15、SZZJ3D401E-H-16、SZZJ3D401E-I-02、SZZJ3D401E-I-03、SZZJ3D401E-I-04、SZZJ3D401E-I-05、SZZJ3D401E-I-06、SZZJ3D401E-I-07、SZZJ3D401E-I-08、SZZJ3D401E-I-09、SZZJ3D401E-I-10、SZZJ3D401E-I-11、SZZJ3D401E-I-12、SZZJ3D401E-I-13、SZZJ3D401E-I-14、SZZJ3D401E-I-15、SZZJ3D401E-I-16、SZZJ3D301E-H-16</t>
  </si>
  <si>
    <t>SZZJ3D303E-F-01、SZZJ3D303E-F-02、SZZJ3D303E-F-03、SZZJ3D303E-F-04、SZZJ3D303E-F-05、SZZJ3D303E-F-06、SZZJ3D303E-F-07、SZZJ3D303E-F-08、SZZJ3D303E-F-09、SZZJ3D303E-F-10、SZZJ3D303E-F-11、SZZJ3D303E-F-12、SZZJ3D303E-F-13、SZZJ3D303E-F-14、SZZJ3D303E-F-15、SZZJ3D303E-F-16、SZZJ3D303E-G-01、SZZJ3D303E-G-02、SZZJ3D303E-G-03、SZZJ3D303E-G-04、SZZJ3D303E-G-05、SZZJ3D303E-G-06、SZZJ3D303E-G-07、SZZJ3D303E-G-08、SZZJ3D303E-G-09、SZZJ3D303E-G-10、SZZJ3D303E-G-11、SZZJ3D303E-G-12、SZZJ3D303E-G-13、SZZJ3D303E-G-14、SZZJ3D303E-G-15、SZZJ3D303E-H-01、SZZJ3D303E-H-02、SZZJ3D303E-H-03、SZZJ3D303E-H-04、SZZJ3D303E-H-05、SZZJ3D303E-H-06、SZZJ3D303E-H-07、SZZJ3D303E-H-08、SZZJ3D303E-H-09、SZZJ3D303E-H-10、SZZJ3D303E-H-11、SZZJ3D303E-H-12、SZZJ3D303E-H-13、SZZJ3D303E-H-14、SZZJ3D303E-H-15、SZZJ3D303E-H-16、SZZJ3D303E-I-02、SZZJ3D303E-I-03、SZZJ3D303E-I-04、SZZJ3D303E-I-05、SZZJ3D303E-I-06、SZZJ3D303E-I-07、SZZJ3D303E-I-08、SZZJ3D303E-I-09、SZZJ3D303E-I-10、SZZJ3D303E-I-11、SZZJ3D303E-I-12、SZZJ3D303E-I-13、SZZJ3D303E-I-14、SZZJ3D303E-I-15、SZZJ3D303E-I-16</t>
  </si>
  <si>
    <t>SZZJ3D404E-C-02、SZZJ3D404E-C-03、SZZJ3D302E-C-02、SZZJ3D302E-C-03、SZZJ3D302E-C-04、SZZJ3D302E-C-17</t>
  </si>
  <si>
    <t>SZZJ3D303E-B-01、SZZJ3D303E-B-02、SZZJ3D303E-B-03、SZZJ3D303E-B-04、SZZJ3D303E-B-05、SZZJ3D303E-B-06、SZZJ3D303E-B-07、SZZJ3D303E-B-08、SZZJ3D303E-B-09、SZZJ3D303E-B-10、SZZJ3D303E-B-11、SZZJ3D303E-B-12、SZZJ3D303E-B-13、SZZJ3D303E-B-14、SZZJ3D303E-C-01、SZZJ3D303E-C-02、SZZJ3D303E-C-03、SZZJ3D303E-C-04、SZZJ3D303E-C-05、SZZJ3D303E-C-06、SZZJ3D303E-C-07、SZZJ3D303E-C-08、SZZJ3D303E-C-09、SZZJ3D303E-C-10、SZZJ3D303E-C-11、SZZJ3D303E-C-12、SZZJ3D303E-C-13、SZZJ3D303E-C-14、SZZJ3D303E-C-15、SZZJ3D303E-C-16、SZZJ3D303E-D-01、SZZJ3D303E-D-02、SZZJ3D303E-D-03、SZZJ3D303E-D-04、SZZJ3D303E-D-05、SZZJ3D303E-D-06、SZZJ3D303E-D-07、SZZJ3D303E-D-08、SZZJ3D303E-D-09、SZZJ3D303E-D-10、SZZJ3D303E-D-11、SZZJ3D303E-D-12、SZZJ3D303E-D-13、SZZJ3D303E-D-14、SZZJ3D303E-D-15、SZZJ3D303E-D-16、SZZJ3D303E-E-01、SZZJ3D303E-E-02、SZZJ3D303E-E-03、SZZJ3D303E-E-04、SZZJ3D303E-E-05、SZZJ3D303E-E-06、SZZJ3D303E-E-07、SZZJ3D303E-E-08、SZZJ3D303E-E-09、SZZJ3D303E-E-10、SZZJ3D303E-E-11、SZZJ3D303E-E-12、SZZJ3D303E-E-13、SZZJ3D303E-E-14、SZZJ3D303E-E-15、SZZJ3D303E-E-16</t>
  </si>
  <si>
    <t>SZZJ3D304E-A-01、SZZJ3D304E-A-03、SZZJ3D304E-A-04、SZZJ3D304E-A-05、SZZJ3D304E-A-06、SZZJ3D304E-A-07、SZZJ3D304E-A-08、SZZJ3D304E-A-09、SZZJ3D304E-A-10、SZZJ3D304E-A-11、SZZJ3D304E-A-12、SZZJ3D304E-A-13、SZZJ3D304E-A-14、SZZJ3D304E-A-15、SZZJ3D304E-A-16、SZZJ3D304E-A-17、SZZJ3D304E-B-03、SZZJ3D304E-B-04、SZZJ3D304E-B-05、SZZJ3D304E-B-06、SZZJ3D304E-B-07、SZZJ3D304E-B-08、SZZJ3D304E-B-09、SZZJ3D304E-B-10、SZZJ3D304E-B-11、SZZJ3D304E-B-12、SZZJ3D304E-B-13、SZZJ3D304E-B-14、SZZJ3D304E-B-15、SZZJ3D304E-B-16、SZZJ3D304E-C-02、SZZJ3D304E-C-03、SZZJ3D304E-C-04、SZZJ3D304E-C-05、SZZJ3D304E-C-06、SZZJ3D304E-C-07、SZZJ3D304E-C-08、SZZJ3D304E-C-09、SZZJ3D304E-C-10、SZZJ3D304E-C-11、SZZJ3D304E-C-12、SZZJ3D304E-C-13、SZZJ3D304E-C-14、SZZJ3D304E-C-15、SZZJ3D304E-C-16、SZZJ3D304E-C-17、SZZJ3D304E-D-01、SZZJ3D304E-D-02、SZZJ3D304E-D-03、SZZJ3D304E-D-04、SZZJ3D304E-D-05、SZZJ3D304E-D-06、SZZJ3D304E-D-07、SZZJ3D304E-D-08、SZZJ3D304E-D-09、SZZJ3D304E-D-10、SZZJ3D304E-D-11、SZZJ3D304E-D-12、SZZJ3D304E-D-13、SZZJ3D304E-D-14、SZZJ3D304E-D-15、SZZJ3D304E-E-02、SZZJ3D304E-E-03、SZZJ3D304E-E-04、SZZJ3D304E-E-05、SZZJ3D304E-E-06、SZZJ3D304E-E-07、SZZJ3D304E-E-08、SZZJ3D304E-E-09、SZZJ3D304E-E-10、SZZJ3D304E-E-11、SZZJ3D304E-E-12、SZZJ3D304E-E-13、SZZJ3D304E-E-14、SZZJ3D304E-E-15、SZZJ3D304E-E-16、SZZJ3D304E-E-17、SZZJ3D304E-F-01、SZZJ3D304E-F-02、SZZJ3D304E-F-03、SZZJ3D304E-F-04、SZZJ3D304E-F-05、SZZJ3D304E-F-06、SZZJ3D304E-F-07、SZZJ3D304E-F-08、SZZJ3D304E-F-09、SZZJ3D304E-F-10、SZZJ3D304E-F-11、SZZJ3D304E-F-12、SZZJ3D304E-F-13、SZZJ3D304E-F-14、SZZJ3D304E-F-15、SZZJ3D304E-F-16</t>
  </si>
  <si>
    <t>SZZJ3D201E-D-02、SZZJ3D201E-D-03、SZZJ3D201E-D-04、SZZJ3D201E-D-05、SZZJ3D201E-D-06、SZZJ3D201E-D-07、SZZJ3D201E-D-08、SZZJ3D201E-D-09、SZZJ3D201E-D-10、SZZJ3D201E-D-11、SZZJ3D201E-D-12、SZZJ3D201E-D-13、SZZJ3D201E-D-14、SZZJ3D201E-E-01、SZZJ3D201E-E-02、SZZJ3D201E-E-03、SZZJ3D201E-E-04、SZZJ3D201E-E-05、SZZJ3D201E-E-06、SZZJ3D201E-E-07、SZZJ3D201E-E-08、SZZJ3D201E-E-09、SZZJ3D201E-E-10、SZZJ3D201E-E-11、SZZJ3D201E-E-12、SZZJ3D201E-E-13、SZZJ3D201E-E-14、SZZJ3D201E-E-15、SZZJ3D201E-E-16、SZZJ3D201E-F-01、SZZJ3D201E-F-02、SZZJ3D201E-F-03、SZZJ3D201E-F-04、SZZJ3D201E-F-05、SZZJ3D201E-F-06、SZZJ3D201E-F-07、SZZJ3D201E-F-08、SZZJ3D201E-F-09、SZZJ3D201E-F-10、SZZJ3D201E-F-11、SZZJ3D201E-F-12、SZZJ3D201E-F-13、SZZJ3D201E-F-14、SZZJ3D201E-F-15、SZZJ3D201E-F-16、SZZJ3D201E-G-01、SZZJ3D201E-G-02、SZZJ3D201E-G-03、SZZJ3D201E-G-04、SZZJ3D201E-G-05、SZZJ3D201E-G-06、SZZJ3D201E-G-07、SZZJ3D201E-G-08、SZZJ3D201E-G-09、SZZJ3D201E-G-10、SZZJ3D201E-G-11、SZZJ3D201E-G-12、SZZJ3D201E-G-13、SZZJ3D201E-G-14、SZZJ3D201E-G-15、SZZJ3D201E-G-16、SZZJ3D201E-H-01、SZZJ3D201E-H-02、SZZJ3D201E-H-03、SZZJ3D201E-H-04、SZZJ3D201E-H-05、SZZJ3D201E-H-06、SZZJ3D201E-H-07、SZZJ3D201E-H-08、SZZJ3D201E-H-09、SZZJ3D201E-H-10、SZZJ3D201E-H-11、SZZJ3D201E-H-12、SZZJ3D201E-H-13、SZZJ3D201E-H-14、SZZJ3D201E-I-02、SZZJ3D201E-I-03、SZZJ3D201E-I-04、SZZJ3D201E-I-05、SZZJ3D201E-I-06、SZZJ3D201E-I-07、SZZJ3D201E-I-08、SZZJ3D201E-I-09、SZZJ3D201E-I-10、SZZJ3D201E-I-11、SZZJ3D201E-I-12、SZZJ3D201E-I-13、SZZJ3D201E-I-14、SZZJ3D201E-I-15、SZZJ3D201E-I-16、SZZJ3D304E-D-16、SZZJ3D304E-G-03、SZZJ3D304E-G-04、SZZJ3D304E-G-05、SZZJ3D304E-G-06、SZZJ3D304E-G-07、SZZJ3D304E-G-08、SZZJ3D304E-G-09、SZZJ3D304E-G-10、SZZJ3D304E-G-11、SZZJ3D304E-G-12、SZZJ3D304E-G-13、SZZJ3D304E-G-14、SZZJ3D304E-G-15、SZZJ3D304E-G-16、SZZJ3D304E-G-17、SZZJ3D304E-H-01、SZZJ3D304E-H-02、SZZJ3D304E-H-03、SZZJ3D304E-H-04、SZZJ3D304E-H-05、SZZJ3D304E-H-06、SZZJ3D304E-H-07、SZZJ3D304E-H-08、SZZJ3D304E-H-09、SZZJ3D304E-H-10、SZZJ3D304E-H-11、SZZJ3D304E-H-12、SZZJ3D304E-H-13、SZZJ3D304E-H-14、SZZJ3D304E-H-15、SZZJ3D304E-H-16、SZZJ3D304E-I-01、SZZJ3D304E-I-02、SZZJ3D304E-I-03、SZZJ3D304E-I-04、SZZJ3D304E-I-05、SZZJ3D304E-I-06、SZZJ3D304E-I-07、SZZJ3D304E-I-08、SZZJ3D304E-I-09、SZZJ3D304E-I-10、SZZJ3D304E-I-11、SZZJ3D304E-I-12、SZZJ3D304E-I-13、SZZJ3D304E-I-14、SZZJ3D304E-I-15</t>
  </si>
  <si>
    <t>SZZJ3D202E-A-01、SZZJ3D202E-A-02、SZZJ3D202E-A-03、SZZJ3D202E-A-04、SZZJ3D202E-A-05、SZZJ3D202E-A-06、SZZJ3D202E-A-07、SZZJ3D202E-A-08、SZZJ3D202E-A-09、SZZJ3D202E-A-10、SZZJ3D202E-A-11、SZZJ3D202E-A-12、SZZJ3D202E-A-13、SZZJ3D202E-A-14、SZZJ3D202E-A-15、SZZJ3D202E-A-16、SZZJ3D202E-A-17、SZZJ3D202E-B-03、SZZJ3D202E-B-04、SZZJ3D202E-B-05、SZZJ3D202E-B-06、SZZJ3D202E-B-07、SZZJ3D202E-B-08、SZZJ3D202E-B-09、SZZJ3D202E-B-10、SZZJ3D202E-B-11、SZZJ3D202E-B-12、SZZJ3D202E-B-13、SZZJ3D202E-B-14、SZZJ3D202E-B-15、SZZJ3D202E-B-16、SZZJ3D202E-C-02、SZZJ3D202E-C-03、SZZJ3D202E-C-04、SZZJ3D202E-C-05、SZZJ3D202E-C-06、SZZJ3D202E-C-07、SZZJ3D202E-C-08、SZZJ3D202E-C-09、SZZJ3D202E-C-10、SZZJ3D202E-C-11、SZZJ3D202E-C-12、SZZJ3D202E-C-13、SZZJ3D202E-C-14、SZZJ3D202E-C-15、SZZJ3D202E-C-16、SZZJ3D202E-C-17、SZZJ3D202E-D-03、SZZJ3D202E-D-04、SZZJ3D202E-D-05、SZZJ3D202E-D-06、SZZJ3D202E-D-07、SZZJ3D202E-D-08、SZZJ3D202E-D-09</t>
  </si>
  <si>
    <t>SZZJ3D203E-I-13</t>
  </si>
  <si>
    <t>SZZJ3D202E-G-01、SZZJ3D202E-G-02</t>
  </si>
  <si>
    <t>SZZJ3D202E-D-10、SZZJ3D202E-D-11</t>
  </si>
  <si>
    <t>SZZJ3D202E-D-12、SZZJ3D202E-D-13、SZZJ3D202E-D-14、SZZJ3D202E-D-15</t>
  </si>
  <si>
    <t>SZZJ3D204E-C-09、SZZJ3D204E-C-10、SZZJ3D204E-F-06、SZZJ3D204E-G-05</t>
  </si>
  <si>
    <t>SZZJ3D301E-E-07、SZZJ3D301E-E-08、SZZJ3D301E-E-09、SZZJ3D301E-E-10、SZZJ3D301E-E-11、SZZJ3D301E-E-12、SZZJ3D301E-E-13、SZZJ3D301E-E-14、SZZJ3D301E-E-15、SZZJ3D301E-E-16、SZZJ3D301E-I-02、SZZJ3D301E-I-03、SZZJ3D301E-I-04、SZZJ3D301E-I-05</t>
  </si>
  <si>
    <t>BECSZZJ3D201E-A-03、BECSZZJ3D201E-A-04、BECSZZJ3D201E-A-06、BECSZZJ3D201E-A-07、BECSZZJ3D201E-A-08、BECSZZJ3D201E-A-10、BECSZZJ3D201E-A-11、BECSZZJ3D201E-A-12、BECSZZJ3D201E-A-14、BECSZZJ3D201E-A-15、BECSZZJ3D201E-A-17、BECSZZJ3D201E-B-03、BECSZZJ3D201E-B-04、BECSZZJ3D201E-B-05、BECSZZJ3D201E-B-07、BECSZZJ3D201E-B-08、BECSZZJ3D201E-B-09、BECSZZJ3D201E-B-11、BECSZZJ3D201E-B-12</t>
  </si>
  <si>
    <t>SZZJ3D204E-B-13、SZZJ3D204E-B-15、SZZJ3D204E-B-16</t>
  </si>
  <si>
    <t>SZZJ3D203E-H-06、SZZJ3D203E-H-08</t>
  </si>
  <si>
    <t>SZZJ3D404E-A-03</t>
  </si>
  <si>
    <t>SZZJ3D203E-H-09、SZZJ3D203E-H-06、SZZJ3D203E-H-07、SZZJ3D203E-H-08、SZZJ3D203E-H-11、SZZJ3D203E-H-13</t>
  </si>
  <si>
    <t>SZZJ3D404E-H-15、SZZJ3D404E-H-16、SZZJ3D301E-E-09、SZZJ3D301E-G-07、SZZJ3D301E-I-05、SZZJ3D204E-F-04、SZZJ3D204E-F-05、SZZJ3D204E-F-08、SZZJ3D204E-G-07、SZZJ3D203E-G-03、SZZJ3D203E-I-08、SZZJ3D203E-I-10</t>
  </si>
  <si>
    <t>SZZJ3D404E-A-04、SZZJ3D404E-A-05</t>
  </si>
  <si>
    <t>SZZJ3D203E-H-09、SZZJ3D203E-H-10</t>
  </si>
  <si>
    <t>202303 SZZJ一期电费参照2月金额预估</t>
  </si>
  <si>
    <t>L20220929002</t>
  </si>
  <si>
    <t>苏州中金二期（SZZJ3D5 SZZJ3D6）</t>
  </si>
  <si>
    <t>SZZJ3D501E-I-01、SZZJ3D502E-I-16、SZZJ3D503E-I-01</t>
  </si>
  <si>
    <t>SZZJ3D502E-B-01、SZZJ3D502E-B-02。2022.9反馈为20A，10月更新为40A</t>
  </si>
  <si>
    <t>SZZJ3D501E-B-15、SZZJ3D501E-B-16、SZZJ3D501E-G-16、SZZJ3D501E-G-17、SZZJ3D502E-G-01、SZZJ3D502E-G-02、SZZJ3D503E-B-15、SZZJ3D503E-B-16</t>
  </si>
  <si>
    <t>SZZJ3D502E-A-01、SZZJ3D502E-A-02、SZZJ3D502E-A-03、SZZJ3D502E-A-04、SZZJ3D502E-A-05、SZZJ3D502E-A-06、SZZJ3D502E-A-07、SZZJ3D502E-A-08、SZZJ3D502E-A-09、SZZJ3D502E-A-10、SZZJ3D502E-A-11、SZZJ3D502E-A-12、SZZJ3D502E-A-13、SZZJ3D502E-A-14、SZZJ3D502E-A-15、SZZJ3D502E-A-16、SZZJ3D502E-A-17、SZZJ3D502E-B-03、SZZJ3D502E-B-04、SZZJ3D502E-B-05、SZZJ3D502E-B-06、SZZJ3D502E-B-07、SZZJ3D502E-B-08、SZZJ3D502E-B-09、SZZJ3D502E-B-10、SZZJ3D502E-B-11、SZZJ3D502E-B-12、SZZJ3D502E-B-13、SZZJ3D502E-B-14、SZZJ3D502E-B-15、SZZJ3D502E-B-16、SZZJ3D502E-C-02、SZZJ3D502E-C-03、SZZJ3D502E-C-04、SZZJ3D502E-C-05、SZZJ3D502E-C-06、SZZJ3D502E-C-07、SZZJ3D502E-C-08、SZZJ3D502E-C-09、SZZJ3D502E-C-10、SZZJ3D502E-C-11、SZZJ3D502E-C-12、SZZJ3D502E-C-13、SZZJ3D502E-C-14、SZZJ3D502E-C-15、SZZJ3D502E-C-16、SZZJ3D502E-C-17</t>
  </si>
  <si>
    <t>SZZJ3D501E-C-08、SZZJ3D501E-C-09、SZZJ3D501E-C-10、SZZJ3D501E-C-11、SZZJ3D501E-C-12、SZZJ3D501E-C-13、SZZJ3D501E-C-14、SZZJ3D501E-C-15、SZZJ3D501E-C-16、SZZJ3D501E-D-01、SZZJ3D501E-D-02、SZZJ3D501E-D-03、SZZJ3D501E-D-04、SZZJ3D501E-D-05、SZZJ3D501E-D-06、SZZJ3D502E-D-01、SZZJ3D502E-D-02、SZZJ3D502E-D-03、SZZJ3D502E-D-04、SZZJ3D502E-D-05、SZZJ3D502E-D-06、SZZJ3D502E-D-07、SZZJ3D502E-D-08、SZZJ3D502E-D-09、SZZJ3D502E-D-10、SZZJ3D502E-D-11、SZZJ3D502E-D-12、SZZJ3D502E-D-13、SZZJ3D502E-D-14、SZZJ3D502E-D-15、SZZJ3D502E-D-16、SZZJ3D502E-E-02、SZZJ3D502E-E-03、SZZJ3D502E-E-04、SZZJ3D502E-E-05、SZZJ3D502E-E-06、SZZJ3D502E-E-07、SZZJ3D502E-E-08、SZZJ3D502E-E-09、SZZJ3D502E-E-10</t>
  </si>
  <si>
    <t>SZZJ3D501E-A-01、SZZJ3D501E-A-02、SZZJ3D502E-E-11、SZZJ3D502E-E-12、SZZJ3D502E-E-13、SZZJ3D502E-E-14、SZZJ3D502E-E-15、SZZJ3D502E-E-16、SZZJ3D502E-E-17、SZZJ3D502E-F-01、SZZJ3D502E-F-02、SZZJ3D502E-F-03、SZZJ3D502E-F-04、SZZJ3D502E-F-05、SZZJ3D502E-F-06、SZZJ3D502E-F-07、SZZJ3D502E-G-03、SZZJ3D502E-G-04、SZZJ3D502E-G-05、SZZJ3D502E-G-06、SZZJ3D502E-G-07、SZZJ3D502E-G-08、SZZJ3D502E-G-09、SZZJ3D502E-G-10、SZZJ3D502E-G-11、SZZJ3D502E-G-12、SZZJ3D502E-G-13、SZZJ3D502E-G-14、SZZJ3D502E-G-15、SZZJ3D502E-G-16、SZZJ3D502E-G-17、SZZJ3D502E-H-01、SZZJ3D502E-H-02、SZZJ3D502E-H-03、SZZJ3D502E-H-04、SZZJ3D502E-H-05、SZZJ3D502E-H-06、SZZJ3D502E-H-07、SZZJ3D502E-H-08、SZZJ3D502E-H-09、SZZJ3D502E-H-10、SZZJ3D502E-H-11、SZZJ3D502E-H-12、SZZJ3D502E-H-13、SZZJ3D502E-H-14、SZZJ3D502E-H-15、SZZJ3D502E-H-16SZZJ3D202E-D-03、SZZJ3D202E-D-04、SZZJ3D202E-D-05、SZZJ3D202E-D-06、SZZJ3D202E-D-07、SZZJ3D202E-D-08、SZZJ3D202E-D-09、SZZJ3D501E-C-08、SZZJ3D501E-C-09、SZZJ3D501E-C-10、SZZJ3D501E-C-11、SZZJ3D501E-C-12、SZZJ3D501E-C-13、SZZJ3D501E-C-14、SZZJ3D501E-C-15、SZZJ3D501E-C-16、SZZJ3D501E-D-01、SZZJ3D501E-D-02、SZZJ3D501E-D-03、SZZJ3D501E-D-04、SZZJ3D501E-D-05、SZZJ3D501E-D-06、SZZJ3D502E-D-01、SZZJ3D502E-D-02、SZZJ3D502E-D-03、SZZJ3D502E-D-04、SZZJ3D502E-D-05、SZZJ3D502E-D-06、SZZJ3D502E-D-07、SZZJ3D502E-D-08、SZZJ3D502E-D-09、SZZJ3D502E-D-10、SZZJ3D502E-D-11、SZZJ3D502E-D-12、SZZJ3D502E-D-13、SZZJ3D502E-D-14、SZZJ3D502E-D-15、SZZJ3D502E-D-16、SZZJ3D502E-E-02、SZZJ3D502E-E-03、SZZJ3D502E-E-04、SZZJ3D502E-E-05、SZZJ3D502E-E-06、SZZJ3D502E-E-07、SZZJ3D502E-E-08、SZZJ3D502E-E-09、SZZJ3D502E-E-10</t>
  </si>
  <si>
    <t>SZZJ3D501E-B-01、SZZJ3D501E-B-02、SZZJ3D501E-B-03、SZZJ3D501E-B-04、SZZJ3D501E-B-05、SZZJ3D501E-B-06、SZZJ3D501E-B-07、SZZJ3D501E-B-08、SZZJ3D501E-B-09、SZZJ3D501E-B-10、SZZJ3D501E-B-11、SZZJ3D501E-B-12、SZZJ3D502E-F-08、SZZJ3D502E-F-09、SZZJ3D502E-F-10、SZZJ3D502E-F-11、SZZJ3D502E-F-12、SZZJ3D502E-F-13、SZZJ3D502E-F-14、SZZJ3D502E-F-15、SZZJ3D502E-F-16、SZZJ3D502E-I-01、SZZJ3D502E-I-02、SZZJ3D502E-I-03、SZZJ3D502E-I-04、SZZJ3D502E-I-05、SZZJ3D502E-I-06、SZZJ3D502E-I-07、SZZJ3D502E-I-08、SZZJ3D502E-I-09、SZZJ3D502E-I-10、SZZJ3D502E-I-11、SZZJ3D502E-I-12、SZZJ3D502E-I-13、SZZJ3D502E-I-14、SZZJ3D502E-I-15</t>
  </si>
  <si>
    <t>SZZJ3D501E-A-03、SZZJ3D501E-A-04</t>
  </si>
  <si>
    <t>SZZJ3D501E-A-05、SZZJ3D501E-A-06、SZZJ3D501E-A-07、SZZJ3D501E-A-08、SZZJ3D501E-A-09、SZZJ3D501E-A-10</t>
  </si>
  <si>
    <t>SZZJ3D501E-A-11、SZZJ3D501E-A-12、SZZJ3D501E-A-13、SZZJ3D501E-A-14、SZZJ3D501E-A-15、SZZJ3D501E-A-16、SZZJ3D501E-A-17、SZZJ3D501E-C-06、SZZJ3D501E-C-07</t>
  </si>
  <si>
    <t>SZZJ3D501E-C-01、SZZJ3D501E-C-02、SZZJ3D501E-C-03、SZZJ3D501E-C-04、SZZJ3D501E-C-05</t>
  </si>
  <si>
    <t>SZZJ3D501E-D-07、SZZJ3D501E-D-08、SZZJ3D501E-D-09、SZZJ3D501E-D-10、SZZJ3D501E-D-11、SZZJ3D501E-D-12</t>
  </si>
  <si>
    <t>SZZJ3D501E-D-13、SZZJ3D501E-D-14、SZZJ3D501E-D-15、SZZJ3D501E-D-16、SZZJ3D501E-E-01、SZZJ3D501E-E-02、SZZJ3D501E-E-03、SZZJ3D501E-E-04、SZZJ3D501E-E-06</t>
  </si>
  <si>
    <t>SZZJ3D501E-E-05、SZZJ3D501E-E-08</t>
  </si>
  <si>
    <t>SZZJ3D501E-I-09、SZZJ3D501E-I-10、SZZJ3D501E-I-11、SZZJ3D501E-I-12、SZZJ3D501E-I-13、SZZJ3D501E-I-14、SZZJ3D501E-I-15、SZZJ3D501E-I-16</t>
  </si>
  <si>
    <t>SZZJ3D501E-E-07</t>
  </si>
  <si>
    <t>202303 SZZJ二期电费参照2月金额预估</t>
  </si>
  <si>
    <t>中信网络有限公司</t>
  </si>
  <si>
    <t>中信</t>
  </si>
  <si>
    <t>182015IDC00137</t>
  </si>
  <si>
    <t>预计近期退租，需要关注。上海拼多多专线
（1）机房园区至机房内光纤，月单价1236
（2）拼多多斜土路POP点至百度云外高桥机房，单价433，长度54.4公里，月单价23555
（3）机房至指定机架模块，月单价742
税率9%，月付</t>
  </si>
  <si>
    <t>2021/8/10退租，冲销21天费用</t>
  </si>
  <si>
    <t>182015IDC00205</t>
  </si>
  <si>
    <t>北京M1/百度大厦-阳泉</t>
  </si>
  <si>
    <t>G</t>
  </si>
  <si>
    <t>202006北京M1/百度大厦-阳泉4.75T电路。应通光纤转入。税率9%；月付</t>
  </si>
  <si>
    <t>182115IDC00003</t>
  </si>
  <si>
    <t>北京 M1-阳泉、北京百度大厦-阳泉</t>
  </si>
  <si>
    <t>90G</t>
  </si>
  <si>
    <t>月付，9%
2020/4/23开通骨干网：百度科技园（南96芯--五排--3、4芯）-软件园4号楼光纤,39.83KM，每公里600元；
合同预审中：2020/4/23开通骨干网：软件园4号楼-酒仙桥M1（E2-02机柜48芯ODF1、2芯,，5KM，每公里1320元，固定每月6000对应合规，北京 M1-阳泉、北京百度大厦-阳泉共90G</t>
  </si>
  <si>
    <t>182115IDC00008</t>
  </si>
  <si>
    <t>万荣路（云立方）-外高桥 光纤使用</t>
  </si>
  <si>
    <t>CSSHYLFPOP</t>
  </si>
  <si>
    <t>万荣路（云立方）-外高桥光纤使用的1个机架CSSHYLFPOP204-D-01。税率9%，月付</t>
  </si>
  <si>
    <t>2022/2/15退租。万荣路（云立方）-外高桥光纤使用的1个机架CSSHYLFPOP204-D-01。税率9%，月付</t>
  </si>
  <si>
    <t>182115IDC00010</t>
  </si>
  <si>
    <t>上海-江苏</t>
  </si>
  <si>
    <t>3.62T</t>
  </si>
  <si>
    <t>税率9%，月付
1、2020/8/19开通斜土路-昆山，78.2KM，固定费用56520/月。包含1个机柜：CSSHDFWPOP101-C-02，关联在临时合同L20201025004上
2、2020/8/19开通斜土路-昆山，84.2KM，固定费用52120/月
3、2020/11/1开通昆山-外高桥，95KM，固定费用57000/月
4、2020/11/1开通昆山-外高桥，117KM，固定费用70200/月</t>
  </si>
  <si>
    <t>182115IDC00015</t>
  </si>
  <si>
    <t>阳泉-西安
北京-西安</t>
  </si>
  <si>
    <t>2.4T
0.8T</t>
  </si>
  <si>
    <t>2020年11月1日费用调整为1474128
阳泉-西安电路费用。税率9%，月付</t>
  </si>
  <si>
    <t>182115IDC00016</t>
  </si>
  <si>
    <t>北京百度科技园/北京百度M1-定兴/徐水</t>
  </si>
  <si>
    <t>9600G</t>
  </si>
  <si>
    <t>北京百度科技园-定兴，北京百度M1-徐水，共9.6T。税率9%，月付</t>
  </si>
  <si>
    <t>L20221214001</t>
  </si>
  <si>
    <t>百度大厦-百度科技园（园区内）</t>
  </si>
  <si>
    <t>2021.6按照预审合同，光纤于2020/12/1由中关村转签至中信，每月的价差已在2021.5补计提在中关村下。京宽转签至中关村：百度大厦-百度科技园（园区内）。季付，9%</t>
  </si>
  <si>
    <t xml:space="preserve">2021.6按照预算合同，调整计提单价。唐镇-外高桥光纤长度，共52.1公里
路由A：22.6公里
路由B：29.5公里
季付，9%
</t>
  </si>
  <si>
    <t>日阪路-外高桥（华京路6号）</t>
  </si>
  <si>
    <t>日阪路-外高桥（华京路6号）双路由光纤长度，共15公里。2020/12/22开通，计费10天
路由A：7.5公里
路由B：7.5公里
。季付，9%</t>
  </si>
  <si>
    <t>建宁路-南京凤凰</t>
  </si>
  <si>
    <t>建宁路-南京凤凰光纤。季付，9%</t>
  </si>
  <si>
    <t>南沙M3A-揽信虎门-M3B</t>
  </si>
  <si>
    <t>2021/4/27开通，2021/5/1开始计费。光纤编号：B755001；线路编号：M3A-HMLX-HW。季付，9%</t>
  </si>
  <si>
    <t>2021/4/27开通，2021/5/1开始计费。光纤编号：B755002；线路编号：M3A-HMLX-Nok。季付，9%</t>
  </si>
  <si>
    <t>CSGDHM</t>
  </si>
  <si>
    <t>2021/4/27开通，2021/5/1开始计费： 
CSGDCA-01-01。季付，9%</t>
  </si>
  <si>
    <t>亦庄-M1</t>
  </si>
  <si>
    <t>202105根据商务提供的传输清单，增加计提行。亦庄-M1。季付，9%</t>
  </si>
  <si>
    <t>华威-M1</t>
  </si>
  <si>
    <t>202105根据商务提供的传输清单，增加计提行。华威-M1。季付，9%</t>
  </si>
  <si>
    <t>亦庄-科技园</t>
  </si>
  <si>
    <t>202105根据商务提供的传输清单，增加计提行。亦庄-科技园。季付，9%</t>
  </si>
  <si>
    <t>亦庄-科技园（科技园内）</t>
  </si>
  <si>
    <t>202105根据商务提供的传输清单，增加计提行。亦庄-科技园（科技园内）。季付，9%</t>
  </si>
  <si>
    <t>华威-科技园</t>
  </si>
  <si>
    <t>202105根据商务提供的传输清单，增加计提行。华威-科技园。季付，9%</t>
  </si>
  <si>
    <t>华威-科技园（科技园内）</t>
  </si>
  <si>
    <t>202105根据商务提供的传输清单，增加计提行。华威-科技园（科技园内）。季付，9%</t>
  </si>
  <si>
    <t>上海鹏博士POP-上海市静安区万荣路1268号云立方</t>
  </si>
  <si>
    <t>2021/5/24开通鹏博士-云立方，5月计费8天。季付，9%</t>
  </si>
  <si>
    <t>引接费</t>
  </si>
  <si>
    <t>上海鹏博士POP-云立方引接费</t>
  </si>
  <si>
    <t>202201上海鹏博士POP-云立方引接费。季付，9%</t>
  </si>
  <si>
    <t>2022/1/31上海鹏博士POP-云立方引接费退租。季付，9%</t>
  </si>
  <si>
    <t>上海鹏博士POP-上海市浦东新区达秀路51号唐镇万国</t>
  </si>
  <si>
    <t>2021/5/24开通鹏博士-东方网，5月计费8天。季付，9%</t>
  </si>
  <si>
    <t>上海鹏博士POP-上海日阪路91号万国新发展数据中心</t>
  </si>
  <si>
    <t>上海鹏博士POP-上海市徐汇区斜土路2567号东方网机房</t>
  </si>
  <si>
    <t>上海鹏博士POP-东方网引接费</t>
  </si>
  <si>
    <t>上海鹏博士POP-东方网引接费。季付，9%</t>
  </si>
  <si>
    <t>上海鹏博士POP-上海市华京路6号</t>
  </si>
  <si>
    <t>2021/5/24开通鹏博士-华京路，5月计费8天。季付，9%</t>
  </si>
  <si>
    <t>上海鹏博士POP-华京路引接费</t>
  </si>
  <si>
    <t>上海鹏博士POP-华京路引接费。季付，9%</t>
  </si>
  <si>
    <t>L20230107008</t>
  </si>
  <si>
    <t>北京朝阳区万达广场12号楼2309-北京酒仙桥北路恒通国际创新园C12</t>
  </si>
  <si>
    <t>北京朝阳区酒仙桥路6号院2号楼-北京酒仙桥北路恒通国际创新园C12</t>
  </si>
  <si>
    <t>酒仙桥恒通国际创新园C12栋-酒仙桥德信大厦6层美团机房</t>
  </si>
  <si>
    <t>2023.1.31退租：酒仙桥恒通国际创新园C12栋-酒仙桥德信大厦6层美团机房</t>
  </si>
  <si>
    <t>河北省保定市定兴县福朔路166号-河北定兴县兴华街南玻璃管厂院内(路由1)</t>
  </si>
  <si>
    <t>河北省保定市定兴县福朔路166号 -河北定兴县兴华街南玻璃管厂院内(路由2)</t>
  </si>
  <si>
    <t>广州市天河区五山路381号华南理工大学电讯楼1楼-广州市南沙区平谦国际现代产业园B栋一层M3A（路由1）</t>
  </si>
  <si>
    <t>教育网，20220201由广东有线合规至中信，广州市天河区五山路381号华南理工大学电讯楼1楼-广州市南沙区平谦国际现代产业园B栋一层M3A（路由1）</t>
  </si>
  <si>
    <t>华南理工校内跳纤费（路由1）</t>
  </si>
  <si>
    <t>教育网，20220201由广东有线合规至中信，华南理工校内跳纤费（路由1）</t>
  </si>
  <si>
    <t>广州市天河区五山路381号华南理工大学电讯楼1楼-广州市南沙区平谦国际现代产业园B栋一层M3A（路由2）</t>
  </si>
  <si>
    <t>教育网，20220201由广东有线合规至中信，广州市天河区五山路381号华南理工大学电讯楼1楼-广州市南沙区平谦国际现代产业园B栋一层M3A（路由2）</t>
  </si>
  <si>
    <t>华南理工校内跳纤费（路由2）</t>
  </si>
  <si>
    <t>教育网，20220201由广东有线合规至中信，华南理工校内跳纤费（路由2）</t>
  </si>
  <si>
    <t>182215IDC00251</t>
  </si>
  <si>
    <t>2022.4.10退租两条上海-昆山电路，带宽量分别为800G和90G，退租计算公式：515*308/1.06*1.09。退租后带宽总量为19590G
202109调整北京-南京等（除北京-阳泉外）电路月租费，带宽总量20480G，详细计算过程参考202108计提表中的附件一。应通光纤转入</t>
  </si>
  <si>
    <t>2022.4.10退租两条上海-昆山电路，带宽量分别为800G和90G，退租计算公式：515*308/1.06*1.09。退租后带宽总量为19590G</t>
  </si>
  <si>
    <t>182215IDC00389</t>
  </si>
  <si>
    <t>原卅思云合同于2020.2.29到期，到期后转签至中信
A端：北京市朝阳区酒仙桥北路九号恒通国际创新园C12的乙方ODF,B端：北京市通州区宋庄镇徐尹路与富壁路交叉口汇天云端产业园的ODF
税率9%，月付</t>
  </si>
  <si>
    <t>原卅思云合同于2020.2.29到期，到期后转签至中信
A端：北京市通州区宋庄镇徐尹路与富壁路交叉口汇天云端产业园的乙方ODF,B端：北京市亦庄区经济技术开发区博兴八路1号百信银行中金机房的ODF
税率9%，月付</t>
  </si>
  <si>
    <t>原卅思云合同于2020.2.29到期，到期后转签至中信
A端：北京市亦庄区经济技术开发区博兴八路1号百信银行中金机房的乙方ODF,B端：北京市南六环太和桥南百度亦庄数据中心的ODF
税率9%，月付</t>
  </si>
  <si>
    <t>原卅思云合同于2020.2.29到期，到期后转签至中信
A端：北京市大兴区亦庄镇科创三街16号日上集团日上万国数据中心的乙方ODF,B端：北京市经济技术开发区科创九街十五号中经云机房的ODF
税率9%，月付</t>
  </si>
  <si>
    <t>2023/2/28退租：原卅思云合同于2020.2.29到期，到期后转签至中信
A端：北京市大兴区亦庄镇科创三街16号日上集团日上万国数据中心的乙方ODF,B端：北京市经济技术开发区科创九街十五号中经云机房的ODF
税率9%，月付</t>
  </si>
  <si>
    <t>CSSHDFWPOP</t>
  </si>
  <si>
    <t>上海拼多多专线租用机架CSSHDFWPOP101-E-01
税率9%，月付。商务确认光纤退租，机柜仍需使用</t>
  </si>
  <si>
    <t>A端：武汉银商机房（湖北省武汉市关山大道光谷软件园三期 c4 栋银联商务大楼 4 楼机房）
B端：洪山区文秀 8 号天宇创意大厦 8楼</t>
  </si>
  <si>
    <t>两条2芯，35公里。原主体在武汉优普拉斯，合规整改签至泰龙；2020.6合规整改签至中信。税率9%，月付</t>
  </si>
  <si>
    <t xml:space="preserve">海淀区中关村西区内创新大厦爱奇艺机房-上地十街百度大厦机房
</t>
  </si>
  <si>
    <t>20190901京宽转入网联光通；202006由网联光通转签至中信网络
税率9%，月付</t>
  </si>
  <si>
    <t>2022/11/30退租。20190901京宽转入网联光通；202006由网联光通转签至中信网络
税率9%，月付</t>
  </si>
  <si>
    <t>富丰路铁通机房-上地十街百度大厦机房</t>
  </si>
  <si>
    <t>酒仙桥M1百度机房-上地十街百度大厦机房</t>
  </si>
  <si>
    <t>上地软件园机房-上地十街百度大厦机房</t>
  </si>
  <si>
    <t xml:space="preserve"> 上地软件园机房-上地十街百度大厦机房</t>
  </si>
  <si>
    <t>百度大厦-大红门</t>
  </si>
  <si>
    <t>原卅思云合同于2020.1.31到期，到期后转签至中信
上地十街10号百度大厦-北京市丰台区大红门大红门南路56号院-7号楼
税率9%，月付</t>
  </si>
  <si>
    <t>182215IDC00394</t>
  </si>
  <si>
    <t>北京亦庄日上-北京亦庄太和桥</t>
  </si>
  <si>
    <t>北京和协科技大厦（软件园内）-北京海淀软件园（软件园内）</t>
  </si>
  <si>
    <t>2022.7调整单价。北京和协科技大厦（软件园内）-北京海淀软件园（软件园内）</t>
  </si>
  <si>
    <t>北京海淀软件园（软件园外）-北京海淀百度大厦</t>
  </si>
  <si>
    <t>2022.7调整单价。北京海淀软件园（软件园外）-北京海淀百度大厦</t>
  </si>
  <si>
    <t>宁波电信（宁波市高新区凌云路1177号）（路由1）-宁波传输机房（宁波市海曙区鄞奉路964号）</t>
  </si>
  <si>
    <t>回源光纤：宁波电信（宁波市高新区凌云路1177号）（路由1）-宁波传输机房（宁波市海曙区鄞奉路964号）</t>
  </si>
  <si>
    <t>宁波电信（宁波市高新区凌云路1177号）（路由2）-宁波传输机房（宁波市海曙区鄞奉路964号）</t>
  </si>
  <si>
    <t>回源光纤：宁波电信（宁波市高新区凌云路1177号）（路由2）-宁波传输机房（宁波市海曙区鄞奉路964号）</t>
  </si>
  <si>
    <t>182215IDC00423</t>
  </si>
  <si>
    <t>河北保定-山西阳泉</t>
  </si>
  <si>
    <t>16000G</t>
  </si>
  <si>
    <t>2022.7调整单价。YQ01:山西阳泉-BDDX:河北保定定兴/BDDWD:河北保定徐水，16T，月租464000元，另包含8个中继站</t>
  </si>
  <si>
    <t>万国二期转签中信</t>
  </si>
  <si>
    <t>182215IDC00539</t>
  </si>
  <si>
    <t>开通累计</t>
  </si>
  <si>
    <t>万国三期转签中信</t>
  </si>
  <si>
    <t>万国转签中信</t>
  </si>
  <si>
    <t>SZWG202-B-07、SZWG202-B-08</t>
  </si>
  <si>
    <t>SZWG202-B-09、SZWG202-B-10</t>
  </si>
  <si>
    <t>SZWG202-B-11、SZWG202-B-12</t>
  </si>
  <si>
    <t>SZWG202-B-13、SZWG202-B-14、SZWG202-B-15、SZWG202-B-16、SZWG202-B-17、SZWG202-B-18、</t>
  </si>
  <si>
    <t>SZWG-云托管</t>
  </si>
  <si>
    <t>SZWG202-C-17、SZWG202-C-18</t>
  </si>
  <si>
    <t>SZWG202-C-01、SZWG202-C-02、SZWG202-C-03、SZWG202-C-04、SZWG202-C-05、SZWG202-C-06</t>
  </si>
  <si>
    <t>SZWG202-C-08 SZWG202-C-07</t>
  </si>
  <si>
    <t>历史开通，按照20210601开始计费SZWG104-D-02 SZWG104-D-01</t>
  </si>
  <si>
    <t>SZWG201-D-11、SZWG201-D-12</t>
  </si>
  <si>
    <t>SZWG202-C-07、SZWG202-C-08</t>
  </si>
  <si>
    <t>SZWG201-A-17</t>
  </si>
  <si>
    <t>SZWG201-A-18</t>
  </si>
  <si>
    <t>L20201025004</t>
  </si>
  <si>
    <t>斜土路（东方网）-昆山使用</t>
  </si>
  <si>
    <t>合同预审中：
1、2020/8/19开通斜土路-昆山，78.2KM，固定费用56520/月。包含1个机柜：CSSHDFWPOP101-C-02</t>
  </si>
  <si>
    <t>182015IDC00087</t>
  </si>
  <si>
    <t>昆山-深圳</t>
  </si>
  <si>
    <t>昆山市花桥经济技术开发区东城大道万国数据机房-广东省深圳市南山区学府路百度国际大厦东塔楼2楼。月付，6%</t>
  </si>
  <si>
    <t>昆山-武汉</t>
  </si>
  <si>
    <t>昆山市花桥经济技术开发区东城大道万国数据机-湖北省武汉市关山大道光谷软件园三期C4栋银联商务大厦4楼机房。月付，6%</t>
  </si>
  <si>
    <t>北京-深圳</t>
  </si>
  <si>
    <t>北京市海淀区西北旺东路10号院百度科技园2号楼-广东省深圳市南山区学府路百度国际大厦东塔楼2楼。月付，6%</t>
  </si>
  <si>
    <t>北京-昆山</t>
  </si>
  <si>
    <t>北京市海淀区西北旺东路10号院百度科技园2号楼-昆山市花桥经济技术开发区东城大道万国数据机房。月付，6%</t>
  </si>
  <si>
    <t>百度大厦-软件园1号楼（内）</t>
  </si>
  <si>
    <t>2020.12更新单价。百度大厦-百度科技新建系统。税率9%，月付</t>
  </si>
  <si>
    <t>软件园1号楼-百度科技园（外）</t>
  </si>
  <si>
    <t>百度大厦-软件园4号楼（内）</t>
  </si>
  <si>
    <t>百度大厦-百度科技新建系统。税率9%，月付</t>
  </si>
  <si>
    <t>软件园4号楼-百度科技园（外）</t>
  </si>
  <si>
    <t>科技园-M1</t>
  </si>
  <si>
    <t>2020/8/15开通：上地百度科技园（北）-酒仙桥百度M1（机场辅路方向）（园区外）。税率9%，月付</t>
  </si>
  <si>
    <t>2020/8/15开通：上地百度科技园（北）-酒仙桥百度M1（机场辅路方向）（园区内）。税率9%，月付</t>
  </si>
  <si>
    <t>2020/8/15开通：上地百度科技园（南）-酒仙桥百度。税率9%，月付M1（酒仙桥北路方向）（园区外）</t>
  </si>
  <si>
    <t>2020/8/15开通：上地百度科技园（南）-酒仙桥百度M1（酒仙桥北路方向）（园区内）。税率9%，月付</t>
  </si>
  <si>
    <t>上地百度科技园（北）-太和桥百度亦庄（西）</t>
  </si>
  <si>
    <t>2020/10/21开通：上地百度科技园（北）-太和桥百度亦庄（西）光纤(园区外)，计费11天。。税率9%，月付</t>
  </si>
  <si>
    <t>2020/10/21开通：上地百度科技园（北）-太和桥百度亦庄（西）光纤(园区内)，计费11天。。税率9%，月付</t>
  </si>
  <si>
    <t>上地百度科技园（南）-太和桥百度亦庄（东）</t>
  </si>
  <si>
    <t>2020/10/21开通：上地百度科技园（南）-太和桥百度亦庄（东）光纤，(园区外)，计费11天。。税率9%，月付</t>
  </si>
  <si>
    <t>2020/10/21开通：上地百度科技园（南）-太和桥百度亦庄（东）光纤(园区内)，计费11天。。税率9%，月付</t>
  </si>
  <si>
    <t>斜土路（东方网）-外高桥</t>
  </si>
  <si>
    <t>2020/7/27开通，斜土路（东方网）-外高桥，65.7KM.。每月固定33558。税率9%，月付</t>
  </si>
  <si>
    <t>万荣路（云立方）-外高桥</t>
  </si>
  <si>
    <t>2020/6/10开通万荣路（云立方）-外高桥光纤。45KM，每月固定33379。税率9%，月付</t>
  </si>
  <si>
    <t>2020/7/28开通万荣路（云立方）-外高桥光纤，57KM，每月固定27826。税率9%，月付</t>
  </si>
  <si>
    <t>2022/2/15退租。2020/6/10开通万荣路（云立方）-外高桥光纤。45KM，每月固定33379。税率9%，月付</t>
  </si>
  <si>
    <t>2022/2/15退租。2020/7/28开通万荣路（云立方）-外高桥光纤，57KM，每月固定27826。税率9%，月付</t>
  </si>
  <si>
    <t>武汉银商-武汉临空港</t>
  </si>
  <si>
    <t>2020/8/21开通武汉银商-武汉临空港光纤，75KM，从2020/10/10开始计费，10月计费22天。税率9%，月付</t>
  </si>
  <si>
    <t>2020/10/10开通武汉银商-武汉临空港光纤，70KM,10月计费22天。税率9%，月付</t>
  </si>
  <si>
    <t>深圳百度大厦-深圳市南山区软件产业基地5A；2芯，1KM。税率9%，月付</t>
  </si>
  <si>
    <t>北京百度大厦-北京市东城区和平里东街11号航星科技园3号楼5层；2芯，59KM。税率9%，月付</t>
  </si>
  <si>
    <t>182015IDC00193</t>
  </si>
  <si>
    <t>上地百度大厦-清华205机房</t>
  </si>
  <si>
    <t>园外15KM，单价440
2020.5.15由天地通转签中信网络
A端：上地百度大厦；B端：清华205机房
季付，未明确预定税率，一般按9%开票</t>
  </si>
  <si>
    <t>清华东交接箱-清华205机房</t>
  </si>
  <si>
    <t>园内0.5KM，单价880，不足0.1km 以0.1km 计
2020.5.15由天地通转签中信网络
A端：清华东交接箱；B端：清华205机房
季付，未明确预定税率，一般按9%开票</t>
  </si>
  <si>
    <t>上地百度大厦-清华306机房</t>
  </si>
  <si>
    <t>园外26.5KM，单价440
2020.5.15由天地通转签中信网络
A端：上地百度大厦；B端：清华306机房
季付，未明确预定税率，一般按9%开票</t>
  </si>
  <si>
    <t>上地百度大厦-清华园区</t>
  </si>
  <si>
    <t>园内2.5KM，单价880
2020.5.15由天地通转签中信网络
A端：上地百度大厦；B端：清华园区
季付，未明确预定税率，一般按9%开票</t>
  </si>
  <si>
    <t>百度大厦-永丰电信机房</t>
  </si>
  <si>
    <t>2020.5.15由天地通转签中信网络
A端：上地百度大厦；B端：永丰电信机房 
季付，未明确预定税率，一般按9%开票</t>
  </si>
  <si>
    <t>永丰电信机房-酒仙桥M1</t>
  </si>
  <si>
    <t>2020.5.15由天地通转签中信网络
A端：永丰电信机房；B端：酒仙桥M1  
季付，未明确预定税率，一般按9%开票</t>
  </si>
  <si>
    <t>酒仙桥北路M1-方庄方安苑缆信机房</t>
  </si>
  <si>
    <t>2020.5.15由天地通转签中信网络
A端：酒仙桥北路M1；B端：方庄方安苑缆信机房
季付，未明确预定税率，一般按9%开票</t>
  </si>
  <si>
    <t>商务反馈2020.5.31退租，多支付的款项在以后付款中扣回（已支付5.16-8.31的费用，需要扣回6-8月的费用14520*3=43560）
2020.5.15由天地通转签中信网络
A端：酒仙桥北路M1；B端：方庄方安苑缆信机房
季付，未明确预定税率，一般按9%开票</t>
  </si>
  <si>
    <t>上地百度大厦-通州光机电电信次渠机房</t>
  </si>
  <si>
    <t xml:space="preserve">2020.5.15由天地通转签中信网络
A端：上地百度大厦；B端：通州光机电电信次渠机房
季付，未明确预定税率，一般按9%开票               </t>
  </si>
  <si>
    <t>酒仙桥M1-百度大厦</t>
  </si>
  <si>
    <t>2020.5.15由天地通转签中信网络
A端：酒仙桥M1；B端：上地百度大厦
季付，未明确预定税率，一般按9%开票</t>
  </si>
  <si>
    <t>通州光机电电信次渠机房-酒仙桥M1</t>
  </si>
  <si>
    <t>2020.5.15由天地通转签中信网络
A端：通州光机电电信次渠机房；B端：酒仙桥M1
季付，未明确预定税率，一般按9%开票</t>
  </si>
  <si>
    <t>数字北京大厦-上地百度大厦（路由二）
（北京快手-百度大厦）</t>
  </si>
  <si>
    <t>2020.5.15由天地通转签中信网络
A端：数字北京大厦；B端：上地百度大厦（路由二）
季付，未明确预定税率，一般按9%开票</t>
  </si>
  <si>
    <t>酒仙桥M1-互联港湾M7机房（路由二）</t>
  </si>
  <si>
    <t>2020.5.15由天地通转签中信网络
A端：酒仙桥M1；B端：互联港湾M7机房（路由二）
季付，未明确预定税率，一般按9%开票</t>
  </si>
  <si>
    <t>数字北京大厦-上地百度大厦（路由一）</t>
  </si>
  <si>
    <t>2020.5.15由天地通转签中信网络
A端：数字北京大厦；B端：上地百度大厦（路由一）
季付，未明确预定税率，一般按9%开票</t>
  </si>
  <si>
    <t>酒仙桥M1机房-互联港湾M7机房（路由一）</t>
  </si>
  <si>
    <t>2020.5.15由天地通转签中信网络
A端：酒仙桥M1；B端：互联港湾M7机房（路由一）
季付，未明确预定税率，一般按9%开票</t>
  </si>
  <si>
    <t>2020/8/15退租
2020.5.15由天地通转签中信网络
A端：数字北京大厦；B端：上地百度大厦（路由二）
季付，未明确预定税率，一般按9%开票</t>
  </si>
  <si>
    <t>2020/8/15退租
2020.5.15由天地通转签中信网络
A端：酒仙桥M1；B端：互联港湾M7机房（路由二）
季付，未明确预定税率，一般按9%开票</t>
  </si>
  <si>
    <t>2020/8/15退租
2020.5.15由天地通转签中信网络
A端：数字北京大厦；B端：上地百度大厦（路由一）
季付，未明确预定税率，一般按9%开票</t>
  </si>
  <si>
    <t>2020/8/15退租
2020.5.15由天地通转签中信网络
A端：酒仙桥M1；B端：互联港湾M7机房（路由一）</t>
  </si>
  <si>
    <t>中经云机房-亦庄移动（百度）机房（路由一、六环）</t>
  </si>
  <si>
    <t>2020.5.15由天地通转签中信网络
A端：中经云机房；B端：亦庄移动（百度）机房（路由一、六环）</t>
  </si>
  <si>
    <t>中经云机房-亦庄移动（百度）机房（路由二、亦庄）</t>
  </si>
  <si>
    <t>2020.5.15由天地通转签中信网络
A端：中经云机房；B端：亦庄移动（百度）机房（路由二、亦庄）
季付，未明确预定税率，一般按9%开票</t>
  </si>
  <si>
    <t>凉水河机房-中金机房（路由一）</t>
  </si>
  <si>
    <t>2020.5.15由天地通转签中信网络
A端：凉水河机房；B端：中金机房（路由一）
季付，未明确预定税率，一般按9%开票</t>
  </si>
  <si>
    <t>凉水河机房-中金机房（路由二）</t>
  </si>
  <si>
    <t>2020.5.15由天地通转签中信网络
A端：凉水河机房；B端：中金机房（路由二）
季付，未明确预定税率，一般按9%开票</t>
  </si>
  <si>
    <t>182015IDC00148</t>
  </si>
  <si>
    <t>百度大厦-北京骏豪中央公园A7</t>
  </si>
  <si>
    <t>1G</t>
  </si>
  <si>
    <t>因为合规整改骨干网网管监控需求，开通一条1G电路从百度大厦-朝阳区骏豪中央公园广场A7，开通日期2020.6.4。税率6%，月付</t>
  </si>
  <si>
    <t>182215IDC00606</t>
  </si>
  <si>
    <t>广东南沙-广东东泰</t>
  </si>
  <si>
    <t>广东南沙-广东东泰，140km，每公里400  140*400=56000元/月。月付，9%</t>
  </si>
  <si>
    <t xml:space="preserve">	广东华新园-广东东泰</t>
  </si>
  <si>
    <t xml:space="preserve">	广东华新园-广东东泰。月付，9%</t>
  </si>
  <si>
    <t>河北省涿州市开发区阳光大街30号-百度云计算（保定定兴）有限公司</t>
  </si>
  <si>
    <t>河北省涿州市开发区阳光大街30号-百度云计算（保定定兴）有限公司。月付，9%</t>
  </si>
  <si>
    <t xml:space="preserve">	广东博浩-广东东泰</t>
  </si>
  <si>
    <t xml:space="preserve">	广东博浩-广东东泰。月付，9%</t>
  </si>
  <si>
    <t xml:space="preserve">	广东化龙-广东东泰</t>
  </si>
  <si>
    <t xml:space="preserve">	广东化龙-广东东泰。月付，9%</t>
  </si>
  <si>
    <t>L20220727005</t>
  </si>
  <si>
    <t>鹏博士-云立方</t>
  </si>
  <si>
    <t>鹏博士-云立方跳纤</t>
  </si>
  <si>
    <t>182215IDC00674</t>
  </si>
  <si>
    <t>华北-华东</t>
  </si>
  <si>
    <t>2022.12调整计提单价。华北-华东。月付</t>
  </si>
  <si>
    <t>北京市朝阳酒仙桥北路9号恒通国际创新园C12-北京海淀西北旺东路10号百度科技园(软件园内）</t>
  </si>
  <si>
    <t>北京市朝阳酒仙桥北路9号恒通国际创新园C12-北京海淀西北旺东路10号百度科技园(软件园内）。6.2KM，单价1320元。月付，9%</t>
  </si>
  <si>
    <t>北京市朝阳酒仙桥北路9号恒通国际创新园C12-北京海淀西北旺东路10号百度科技园(软件园外）</t>
  </si>
  <si>
    <t>北京市朝阳酒仙桥北路9号恒通国际创新园C12-北京海淀西北旺东路10号百度科技园(软件园外）44KM，单价440元。月付，9%</t>
  </si>
  <si>
    <t>江苏南京市栖霞区仙新东路紫泉物流园南门新港机房-江苏南京市张王庙88号江苏凤凰数据中心（路由1）</t>
  </si>
  <si>
    <t>江苏南京市栖霞区仙新东路紫泉物流园南门新港机房-江苏南京市张王庙88号江苏凤凰数据中心（路由1）19KM，单价422.75元。月付，9%</t>
  </si>
  <si>
    <t>江苏南京市栖霞区仙新东路紫泉物流园南门新港机房-江苏南京市张王庙88号江苏凤凰数据中心（路由2）</t>
  </si>
  <si>
    <t>江苏南京市栖霞区仙新东路紫泉物流园南门新港机房-江苏南京市张王庙88号江苏凤凰数据中心（路由2）27KM，单价422.75元。月付，9%</t>
  </si>
  <si>
    <t>北京-河北固安</t>
  </si>
  <si>
    <t>14400G</t>
  </si>
  <si>
    <t>北京窦店-河北固安；北京亦庄-河北固安。8芯，共750KM。月付</t>
  </si>
  <si>
    <t>北京凉水河-北京亦庄大族</t>
  </si>
  <si>
    <t>北京凉水河-北京亦庄大族。4芯共5.3KM，单价758.66，包含一次引接费2万元/年。月付，9%</t>
  </si>
  <si>
    <t>182215IDC00697</t>
  </si>
  <si>
    <t>皓宽-亦庄</t>
  </si>
  <si>
    <t>皓宽-百度科技园</t>
  </si>
  <si>
    <t>皓宽-科技园（园区内）</t>
  </si>
  <si>
    <t>广州先进-广州博浩</t>
  </si>
  <si>
    <t>广州先进-广州博浩，含3个中继站</t>
  </si>
  <si>
    <t>广州先进-广州东泰</t>
  </si>
  <si>
    <t>广州先进-广州云硕</t>
  </si>
  <si>
    <t>苏州陆家-昆山万国</t>
  </si>
  <si>
    <t>昆山陆家-苏州太湖电信</t>
  </si>
  <si>
    <t>昆山陆家-苏州太湖电信，含3个中继站</t>
  </si>
  <si>
    <t>昆山陆家-苏州太湖电信入局引接缆</t>
  </si>
  <si>
    <t>外高桥-国华</t>
  </si>
  <si>
    <t>涿州登云信息科技有限公司</t>
  </si>
  <si>
    <t>涿州登云</t>
  </si>
  <si>
    <t>182315IDC00074</t>
  </si>
  <si>
    <t>河北涿州</t>
  </si>
  <si>
    <t>ZZJG</t>
  </si>
  <si>
    <t>2022.11拆分计提，2个机柜前期按40A，本月调整为0A。ZZJG303-B-06、ZZJG303-A-06、ZZJG301-K-01、ZZJG301-K-02、ZZJG301-K-03、ZZJG301-K-04、ZZJG301-K-05、ZZJG301-K-06、ZZJG301-K-11、ZZJG301-L-02、ZZJG301-L-03、ZZJG301-L-04、ZZJG301-L-05、ZZJG301-L-06、ZZJG301-J-01、ZZJG301-J-02、ZZJG301-J-03、ZZJG301-J-04、ZZJG301-J-05、ZZJG301-J-06、ZZJG301-K-07、ZZJG301-K-09、ZZJG301-K-10、ZZJG301-L-07</t>
  </si>
  <si>
    <t>2022.11拆分计提，2个机柜前期按40A，本月调整为0A:ZZJG301-K-01、ZZJG301-L-01</t>
  </si>
  <si>
    <t>ZZJG301-K-12</t>
  </si>
  <si>
    <t>ZZJG303-C-01、ZZJG303-C-02、ZZJG303-C-03、ZZJG303-C-04、ZZJG303-C-05、ZZJG303-C-06、ZZJG303-C-07、ZZJG303-C-08、ZZJG303-D-01、ZZJG303-D-02、ZZJG303-D-03、ZZJG303-D-09、ZZJG303-D-10、ZZJG303-D-11、ZZJG303-D-12、ZZJG303-E-12、ZZJG304-C-01、ZZJG304-C-02、ZZJG304-C-03、ZZJG304-C-04、ZZJG304-C-05、ZZJG304-C-06、ZZJG304-D-01、ZZJG304-D-02、ZZJG304-D-03、ZZJG304-E-12</t>
  </si>
  <si>
    <t>ZZJG303-A-02、ZZJG303-A-04、ZZJG303-A-05、ZZJG303-B-02、ZZJG303-B-04、ZZJG303-B-05、ZZJG304-A-02、ZZJG304-A-04、ZZJG304-A-06、ZZJG304-B-02、ZZJG304-B-04、ZZJG304-B-06</t>
  </si>
  <si>
    <t>ZZJG301-F-01、ZZJG301-F-02、ZZJG301-F-03、ZZJG301-F-04、ZZJG301-F-05、ZZJG301-F-06、ZZJG301-F-07、ZZJG301-F-08</t>
  </si>
  <si>
    <t>ZZJG301-F-09、ZZJG301-F-10、ZZJG301-G-01、ZZJG301-G-02、ZZJG301-G-03、ZZJG301-G-04、ZZJG301-G-05、ZZJG301-G-06、ZZJG303-D-06、ZZJG303-E-01、ZZJG303-E-02、ZZJG304-A-07、ZZJG304-A-08、ZZJG304-A-09、ZZJG304-A-10、ZZJG304-B-07、ZZJG304-B-08、ZZJG304-B-09、ZZJG304-B-10、ZZJG304-C-07</t>
  </si>
  <si>
    <t>ZZJG301-L-09、ZZJG301-L-10、ZZJG303-D-07、ZZJG304-D-06、ZZJG304-D-07</t>
  </si>
  <si>
    <t>ZZJG301-H-01、ZZJG301-H-02</t>
  </si>
  <si>
    <t>ZZJG301-H-05、ZZJG301-H-06、ZZJG301-H-07、ZZJG301-H-08</t>
  </si>
  <si>
    <t>ZZJG301-H-03、ZZJG301-H-04</t>
  </si>
  <si>
    <t>ZZJG304-E-01、ZZJG304-E-02、ZZJG304-E-03、ZZJG304-E-04、ZZJG304-E-05、ZZJG304-E-06</t>
  </si>
  <si>
    <t>ZZJG301-G-07、ZZJG301-G-08、ZZJG301-G-09、ZZJG301-G-10、ZZJG301-I-01、ZZJG301-I-02、ZZJG301-I-03、ZZJG301-I-04、ZZJG301-I-05、ZZJG301-I-06、ZZJG301-I-07、ZZJG301-I-08</t>
  </si>
  <si>
    <t>ZZJG301-K-08、ZZJG301-L-08</t>
  </si>
  <si>
    <t>ZZJG303-E-03、ZZJG303-E-04、ZZJG303-E-07、ZZJG303-E-08</t>
  </si>
  <si>
    <t>ZZJG303-F-01、ZZJG303-F-02、ZZJG303-F-03、ZZJG303-F-04、ZZJG303-F-05、ZZJG303-F-06、ZZJG303-F-07、ZZJG303-F-08</t>
  </si>
  <si>
    <t>ZZJG-云托管</t>
  </si>
  <si>
    <t>ZZJG303-E-05、ZZJG303-E-06、ZZJG303-E-09、ZZJG303-E-10、ZZJG303-F-09、ZZJG303-F-10、ZZJG303-G-01、ZZJG303-G-02、ZZJG303-G-03、ZZJG303-G-04、ZZJG303-G-05、ZZJG303-G-06、ZZJG303-G-07、ZZJG303-G-08、ZZJG303-G-09、ZZJG303-G-10、ZZJG303-G-11、ZZJG303-G-12、ZZJG303-H-01、ZZJG303-H-02、ZZJG303-H-03、ZZJG303-H-04</t>
  </si>
  <si>
    <t>ZZJG303-J-03、ZZJG303-J-04、ZZJG303-J-05、ZZJG303-J-06、ZZJG304-C-08、ZZJG304-C-09、ZZJG304-E-07、ZZJG304-E-08、ZZJG304-E-09、ZZJG304-E-10</t>
  </si>
  <si>
    <t>ZZJG303-H-05、ZZJG303-H-06、ZZJG303-H-07、ZZJG303-H-08、ZZJG303-H-09、ZZJG303-H-10、ZZJG303-H-11、ZZJG303-H-12、ZZJG303-I-01、ZZJG303-I-02、ZZJG303-I-03、ZZJG303-I-04、ZZJG303-I-05、ZZJG303-I-06、ZZJG303-I-07、ZZJG303-I-08、ZZJG303-J-01、ZZJG303-J-02</t>
  </si>
  <si>
    <t>2023.2SYS更新电流为20A：ZZJG203-E-12</t>
  </si>
  <si>
    <t>ZZJG203-A-01、ZZJG203-A-02、ZZJG203-A-03、ZZJG203-A-04、ZZJG203-A-05、ZZJG203-A-06、ZZJG203-A-07、ZZJG203-A-08、ZZJG203-A-09、ZZJG203-A-10、ZZJG203-A-11、ZZJG203-A-12、ZZJG203-B-01、ZZJG203-B-02、ZZJG203-B-03、ZZJG203-B-04</t>
  </si>
  <si>
    <t>ZZJG304-C-10、ZZJG304-C-11、ZZJG304-D-08、ZZJG304-D-09、ZZJG304-D-10、ZZJG304-D-11、ZZJG304-D-12、ZZJG304-D-13、ZZJG304-F-01、ZZJG304-F-02、ZZJG304-F-03、ZZJG304-F-04ZZJG304-F-05、ZZJG304-F-06ZZJG304-F-07、ZZJG304-F-08</t>
  </si>
  <si>
    <t>ZZJG203-B-05、ZZJG203-B-06、ZZJG203-B-07、ZZJG203-B-08、ZZJG203-B-09、ZZJG203-B-10、ZZJG203-B-11、ZZJG203-B-12</t>
  </si>
  <si>
    <t>ZZJG204-E-10、ZZJG204-E-09、ZZJG204-F-10、ZZJG204-F-07、ZZJG204-F-08、ZZJG204-G-09、ZZJG204-G-12、ZZJG204-F-09、ZZJG204-G-10</t>
  </si>
  <si>
    <t>2023.3经SYS复核机架电流为40A，调整计提单价。ZZJG204-E-12</t>
  </si>
  <si>
    <t>补提202302 ZZJG204-E-12机架费用，经SYS复核机架电流为40A，调增计提单价。ZZJG204-E-12</t>
  </si>
  <si>
    <t>ZZJG204-G-11、ZZJG204-E-11</t>
  </si>
  <si>
    <t>ZZJG304-G-05、ZZJG304-G-06</t>
  </si>
  <si>
    <t>ZZJG304-G-07、ZZJG304-G-08</t>
  </si>
  <si>
    <t>ZZJG203-C-01、ZZJG203-C-02，运营商从2023.3.1开始计费</t>
  </si>
  <si>
    <t>CZIX4F-C-55，CDN前期一直使用未计费，从2022/6/25开始计费</t>
  </si>
  <si>
    <t>新机房机架降价。【BEC扩容】常州三线(CZIX)扩容13个机柜：BECCZIX2-B-08、BECCZIX2-B-09、BECCZIX2-B-10、BECCZIX2-B-11、BECCZIX2-B-12、BECCZIX2-B-13、BECCZIX2-B-14、BECCZIX2-B-15、BECCZIX2-B-16、BECCZIX2-B-17、BECCZIX2-B-18、BECCZIX2-B-19、BECCZIX2-B-20</t>
  </si>
  <si>
    <t>新机房机架降价。【BEC扩容】常州三线(CZIX)扩容1个机柜：BECCZIX2-B-21</t>
  </si>
  <si>
    <t>【BEC退租】BEC常州三线退租：BECCZIX4F-F-205、BECCZIX4F-F-206、BECCZIX4F-F-210</t>
  </si>
  <si>
    <t>【BEC扩容】常州三线电信(CZIX)扩容64个IP：58.216.9.192/26</t>
  </si>
  <si>
    <t>【BEC扩容】常州三线移动(CZIX)扩容128个IP：112.21.164.128/25</t>
  </si>
  <si>
    <t>L20230311005</t>
  </si>
  <si>
    <t>【BEC新建】常州三线移动(CZIXCM)新增80个IP：36.154.11.64/26、36.153.95.112/28</t>
  </si>
  <si>
    <t>补提202302常州三级移动IP：【BEC新建】常州三线移动(CZIXCM)新增80个IP：36.154.11.64/26、36.153.95.112/28</t>
  </si>
  <si>
    <t>182315IDC00031</t>
  </si>
  <si>
    <t>缆信机房广州市白云区麦地西街圣地大厦丽枫酒店6楼-广州市南沙区榄核镇榄核大道107号</t>
  </si>
  <si>
    <t>缆信机房广州市白云区麦地西街圣地大厦丽枫酒店6楼-广州市南沙区榄核镇榄核大道107号。16km,每公里399.9</t>
  </si>
  <si>
    <t>182315IDC00043</t>
  </si>
  <si>
    <t>阳泉-西安（路由1）
阳泉-西安（路由2）</t>
  </si>
  <si>
    <t>2022/9/29
2023/1/1</t>
  </si>
  <si>
    <t>1.6T</t>
  </si>
  <si>
    <t>阳泉-西安 双路由共计2319.72公里，机柜31个。合规后单公里438元/月，中继8000元/个</t>
  </si>
  <si>
    <t>温州、宁波缆信机柜联络缆</t>
  </si>
  <si>
    <t>长沙、武汉缆信机柜跳纤费</t>
  </si>
  <si>
    <t>福安、诏安、宁波中继机柜</t>
  </si>
  <si>
    <t>CSFJFA</t>
  </si>
  <si>
    <t>福安中继机柜：CSFJFA-01-02、CSFJFA-01-03、CSFJFA-01-04</t>
  </si>
  <si>
    <t>CSZJNB</t>
  </si>
  <si>
    <t>宁波中继机柜：CSZJNB-01-02</t>
  </si>
  <si>
    <t>CSFJZA</t>
  </si>
  <si>
    <t>绍安中继机柜：CSFJZA-01-02、CSFJZA-01-03、CSFJZA-01-04</t>
  </si>
  <si>
    <t>合肥、长沙、武汉中继机柜</t>
  </si>
  <si>
    <t>CSAHHF</t>
  </si>
  <si>
    <t>合肥中继机柜：CSAHHF-01-03</t>
  </si>
  <si>
    <t>CSHUNCS</t>
  </si>
  <si>
    <t>长沙中继机柜：CSHUNCS-01-03、CSHUNCS-01-04、CSHUNCS-01-05</t>
  </si>
  <si>
    <t>CSHUBWH</t>
  </si>
  <si>
    <t>武汉中继机柜：CSHUBWH-01-05</t>
  </si>
  <si>
    <t>华东-华南</t>
  </si>
  <si>
    <t>6.4T</t>
  </si>
  <si>
    <t>华东-华南，双路由共计4345.49公里，包含69个中继站，合规后单公里438元/月，中继8000元/个</t>
  </si>
  <si>
    <t>L20221227003</t>
  </si>
  <si>
    <t>亦庄入局缆</t>
  </si>
  <si>
    <t>亦庄入局引接费</t>
  </si>
  <si>
    <t>太湖机房六期6.2（SZTH5D4C、4D、5A）</t>
  </si>
  <si>
    <t>SZTH5D4D-08-20</t>
  </si>
  <si>
    <t>SZTH5D4C-01-01、SZTH5D4C-01-02、SZTH5D4C-01-03、SZTH5D4C-01-04、SZTH5D4C-01-05、SZTH5D4C-01-06、SZTH5D4C-01-07、SZTH5D4C-01-08、SZTH5D4C-01-09、SZTH5D4C-01-10、SZTH5D4C-01-11、SZTH5D4C-01-12、SZTH5D4C-01-13、SZTH5D4C-01-14、SZTH5D4C-01-15、SZTH5D4C-01-16、SZTH5D4C-01-17、SZTH5D4C-01-18、SZTH5D4C-01-19、SZTH5D4C-01-20、SZTH5D4C-02-01、SZTH5D4C-02-02、SZTH5D4C-02-03、SZTH5D4C-02-04、SZTH5D4C-02-05、SZTH5D4C-02-06、SZTH5D4C-02-07、SZTH5D4C-02-08、SZTH5D4C-02-09、SZTH5D4C-02-10、SZTH5D4C-02-11、SZTH5D4C-02-12、SZTH5D4C-02-13、SZTH5D4C-02-14、SZTH5D4C-02-15、SZTH5D4C-02-16、SZTH5D4C-02-17、SZTH5D4C-02-18、SZTH5D4C-03-02、SZTH5D4C-03-03、SZTH5D4C-03-04、SZTH5D4C-03-05、SZTH5D4C-03-06、SZTH5D4C-03-07、SZTH5D4C-03-08、SZTH5D4C-03-09、SZTH5D4C-03-10、SZTH5D4C-03-11、SZTH5D4C-03-12、SZTH5D4C-03-13、SZTH5D4C-03-14、SZTH5D4C-03-15、SZTH5D4C-03-16、SZTH5D4C-03-17、SZTH5D4C-03-18、SZTH5D4C-04-01、SZTH5D4C-04-02、SZTH5D4C-04-03、SZTH5D4C-04-04、SZTH5D4C-04-05、SZTH5D4C-04-06、SZTH5D4C-04-07、SZTH5D4C-04-08、SZTH5D4C-04-09、SZTH5D4C-04-10、SZTH5D4C-04-11、SZTH5D4C-04-12、SZTH5D4C-04-13、SZTH5D4C-04-14、SZTH5D4C-04-15、SZTH5D4C-04-16、SZTH5D4C-04-17、SZTH5D4C-05-01、SZTH5D4C-05-02、SZTH5D4C-08-01、SZTH5D4C-08-02、SZTH5D4D-02-01、SZTH5D4D-02-02、SZTH5D4D-05-01、SZTH5D4D-05-02、SZTH5D4D-08-01、SZTH5D4D-08-02、SZTH5D5A-02-01、SZTH5D5A-02-17、SZTH5D5A-02-18、SZTH5D5A-05-19、SZTH5D5A-05-20</t>
  </si>
  <si>
    <t>2023.2 SYS更新电流为20A：SZTH5D4C-08-20</t>
  </si>
  <si>
    <t>SZTH5D4C-04-18、SZTH5D4C-04-19、SZTH5D4C-04-20、SZTH5D4C-05-03、SZTH5D4C-05-04、SZTH5D4C-05-05、SZTH5D4C-05-06、SZTH5D4C-05-07、SZTH5D4C-05-08、SZTH5D4C-05-09、SZTH5D4C-05-10、SZTH5D4C-05-11、SZTH5D4C-05-12、SZTH5D4C-05-13</t>
  </si>
  <si>
    <t>SZTH5D4C-05-14、SZTH5D4C-05-15、SZTH5D4C-05-16、SZTH5D4C-05-17、SZTH5D4C-05-18、SZTH5D4C-05-19</t>
  </si>
  <si>
    <t>SZTH5D4C-05-20、SZTH5D4C-06-01、SZTH5D4C-06-02、SZTH5D4C-06-03、SZTH5D4C-06-04、SZTH5D4C-06-05、SZTH5D4C-06-06、SZTH5D4C-06-07、SZTH5D4C-06-08、SZTH5D4C-06-09、SZTH5D4C-06-10、SZTH5D4C-06-11</t>
  </si>
  <si>
    <t>SZTH5D4C-06-12、SZTH5D4C-06-13、SZTH5D4C-06-14、SZTH5D4C-06-15、SZTH5D4C-06-16、SZTH5D4C-06-17、SZTH5D4C-06-18、SZTH5D4C-07-02、SZTH5D4C-07-03</t>
  </si>
  <si>
    <t>SZTH5D4C-07-04、SZTH5D4C-07-05、SZTH5D4C-07-06、SZTH5D4C-07-07、SZTH5D4C-07-08、SZTH5D4C-07-09、SZTH5D4C-07-10、SZTH5D4C-07-11、SZTH5D4C-07-12、SZTH5D4C-07-13、SZTH5D4C-07-14、SZTH5D4C-07-15、SZTH5D4C-07-16、SZTH5D4C-07-17、SZTH5D4C-07-18、SZTH5D4C-07-19、SZTH5D4C-07-20、SZTH5D4C-08-04</t>
  </si>
  <si>
    <t>SZTH5D4C-08-03、SZTH5D4C-08-05、SZTH5D4C-08-06、SZTH5D4C-08-07、SZTH5D4C-08-08、SZTH5D4C-08-09、SZTH5D4C-08-10、SZTH5D4C-08-11、SZTH5D4C-08-12、SZTH5D4C-08-13、SZTH5D4C-08-14</t>
  </si>
  <si>
    <t>SZTH5D5A-01-17、SZTH5D5A-01-18、SZTH5D5A-01-19、SZTH5D5A-01-20</t>
  </si>
  <si>
    <t>SZTH5D4C-08-15、SZTH5D4C-08-16、SZTH5D4C-08-17、SZTH5D4C-08-18、SZTH5D4C-08-19、SZTH5D4D-01-01、SZTH5D4D-01-02、SZTH5D4D-01-03、SZTH5D4D-01-04、SZTH5D4D-01-05、SZTH5D4D-01-06、SZTH5D4D-01-07、SZTH5D4D-01-08、SZTH5D4D-01-09、SZTH5D4D-01-10、SZTH5D4D-01-11、SZTH5D4D-01-12、SZTH5D4D-01-13、SZTH5D4D-01-14、SZTH5D4D-01-15、SZTH5D4D-01-16、SZTH5D4D-01-17、SZTH5D4D-01-18、SZTH5D4D-01-19、SZTH5D4D-01-20、SZTH5D4D-02-03、SZTH5D4D-02-04、SZTH5D4D-02-05、SZTH5D4D-02-06、SZTH5D4D-02-07</t>
  </si>
  <si>
    <t>SZTH5D4D-02-08、SZTH5D4D-02-09、SZTH5D4D-02-10</t>
  </si>
  <si>
    <t>每使用20个40A机柜送1个，可送24个机柜</t>
  </si>
  <si>
    <t>太湖机房六期</t>
  </si>
  <si>
    <t>202303 太湖机房六期超电流，暂按900A计提</t>
  </si>
  <si>
    <t>昆山博迈数据服务有限公司</t>
  </si>
  <si>
    <t>昆山博迈</t>
  </si>
  <si>
    <t>L20221126002</t>
  </si>
  <si>
    <t>苏州陆家3/5层</t>
  </si>
  <si>
    <t>SZLJ</t>
  </si>
  <si>
    <t>SZLJ1D301-A-01、SZLJ1D301-A-02、SZLJ1D301-A-03、SZLJ1D301-A-04、SZLJ1D301-A-05、SZLJ1D301-A-06、SZLJ1D301-A-07、SZLJ1D301-A-08、SZLJ1D301-A-10、SZLJ1D301-B-05、SZLJ1D301-B-13、SZLJ1D301-C-01、SZLJ1D301-C-02、SZLJ1D301-G-13、SZLJ1D301-H-02、SZLJ1D301-H-03、SZLJ1D301-H-13、SZLJ1D301-N-01、SZLJ1D301-N-02、SZLJ1D302-A-01、SZLJ1D302-A-09、SZLJ1D302-B-06、SZLJ1D302-C-01、SZLJ1D302-C-02、SZLJ1D302-G-13、SZLJ1D302-H-02、SZLJ1D302-H-03、SZLJ1D302-H-13、SZLJ1D302-N-01、SZLJ1D302-N-02、SZLJ1D501-G-09、SZLJ1D501-H-11、SZLJ1D501-L-01、SZLJ1D501-L-02、SZLJ1D501-L-03、SZLJ1D501-L-04、SZLJ1D501-L-05、SZLJ1D501-L-06、SZLJ1D501-L-07、SZLJ1D501-M-01、SZLJ1D501-M-02、SZLJ1D501-M-03、SZLJ1D501-M-04、SZLJ1D501-M-05、SZLJ1D501-M-06、SZLJ1D501-M-07、SZLJ1D501-M-08、SZLJ1D501-M-09、SZLJ1D501-M-10、SZLJ1D501-M-11、SZLJ1D501-N-01、SZLJ1D501-N-02、SZLJ1D501-N-03、SZLJ1D501-N-04、SZLJ1D501-N-05、SZLJ1D501-N-06、SZLJ1D501-N-07、SZLJ1D501-N-08、SZLJ1D501-N-09、SZLJ1D501-N-10、SZLJ1D501-N-11、SZLJ1D502-A-01、SZLJ1D502-A-03、SZLJ1D502-B-03、SZLJ1D502-B-05、SZLJ1D502-C-10、SZLJ1D502-C-11、SZLJ1D502-D-03、SZLJ1D502-D-04、SZLJ1D502-D-05、SZLJ1D502-D-06、SZLJ1D502-D-08、SZLJ1D502-D-11、SZLJ1D502-E-03、SZLJ1D502-E-04、SZLJ1D502-E-05、SZLJ1D502-E-06、SZLJ1D502-E-08、SZLJ1D502-E-10、SZLJ1D502-F-05、SZLJ1D502-F-06、SZLJ1D502-F-07、SZLJ1D502-G-05、SZLJ1D502-G-06、SZLJ1D502-G-07、SZLJ1D502-H-02、SZLJ1D502-H-03、SZLJ1D502-H-04、SZLJ1D502-H-05、SZLJ1D502-H-06、SZLJ1D502-H-07、SZLJ1D502-J-02、SZLJ1D502-J-03、SZLJ1D502-J-04、SZLJ1D502-J-05、SZLJ1D502-J-06、SZLJ1D502-J-07、SZLJ1D502-K-02、SZLJ1D502-K-03、SZLJ1D502-K-04、SZLJ1D502-K-05</t>
  </si>
  <si>
    <t>SZLJ1D502-D-02、SZLJ1D502-E-02</t>
  </si>
  <si>
    <t>SZLJ1D502-F-01、SZLJ1D502-F-03、SZLJ1D502-G-01、SZLJ1D502-G-03</t>
  </si>
  <si>
    <t>SZLJ1D302-A-02、SZLJ1D302-A-10、SZLJ1D302-B-05、SZLJ1D302-B-13</t>
  </si>
  <si>
    <t>SZLJ1D302-B-05、SZLJ1D302-B-06、SZLJ1D302-B-13、SZLJ1D501-M-06、SZLJ1D501-M-07、SZLJ1D501-M-08、SZLJ1D501-M-11</t>
  </si>
  <si>
    <t>SZLJ1D302-A-03、SZLJ1D302-A-04</t>
  </si>
  <si>
    <t>SZLJ1D302-A-05、SZLJ1D302-A-06</t>
  </si>
  <si>
    <t>SZLJ1D302-A-07、SZLJ1D302-A-08</t>
  </si>
  <si>
    <t>SZLJ1D302-A-12</t>
  </si>
  <si>
    <t>SZLJ1D502-D-07、SZLJ1D502-D-09、SZLJ1D502-E-07、SZLJ1D502-E-09</t>
  </si>
  <si>
    <t>SZLJ1D302-A-11</t>
  </si>
  <si>
    <t>SZLJ1D501-A-02、SZLJ1D501-C-02、SZLJ1D501-C-03</t>
  </si>
  <si>
    <t>北京火山引擎科技有限公司</t>
  </si>
  <si>
    <t>火山引擎</t>
  </si>
  <si>
    <t>182315IDC00105</t>
  </si>
  <si>
    <t>V武汉移动</t>
  </si>
  <si>
    <t>CACDNVWHCM</t>
  </si>
  <si>
    <t>裸金属，2023.1.1开始计费，免费提供64个，超出50元，使用64个：111.48.156.128/26</t>
  </si>
  <si>
    <t>云服务器占用费</t>
  </si>
  <si>
    <t>台</t>
  </si>
  <si>
    <t>裸金属，2023.1.1开始计费，云服务器 veEN.BMg1.32xlarge</t>
  </si>
  <si>
    <t>裸金属，2023.1.1开始计费，云服务器veEN.BMs1.12xlarge</t>
  </si>
  <si>
    <t>湖南</t>
  </si>
  <si>
    <t>长沙</t>
  </si>
  <si>
    <t>V长沙2移动</t>
  </si>
  <si>
    <t>CACDNVCSCM</t>
  </si>
  <si>
    <t>裸金属，2023.1.1开始计费，免费提供64个，超出50元，使用64个：36.158.252.128/26</t>
  </si>
  <si>
    <t>陕西</t>
  </si>
  <si>
    <t>咸阳</t>
  </si>
  <si>
    <t>V咸阳2移动</t>
  </si>
  <si>
    <t>CACDNVXYCM</t>
  </si>
  <si>
    <t>裸金属，2023.1.1开始计费，免费提供64个，超出50元，使用64个：111.19.177.64/26</t>
  </si>
  <si>
    <t>裸金属，2023.2.1扩容60G，增加8台云服务器。2023.2.1开始计费，云服务器veEN.BMs1.12xlarge</t>
  </si>
  <si>
    <t>L20230119002</t>
  </si>
  <si>
    <t>济南3电信</t>
  </si>
  <si>
    <t>CDNJNCT2</t>
  </si>
  <si>
    <t>【CDN新建】山东济南电信  新建200G  2023-1-1 节点正式上线  (JN3CT)，新增4个机柜：JNCT5F01-A-08、JNCT5F01-A-11、JNCT5F01-B-04、JNCT5F01-B-17</t>
  </si>
  <si>
    <t>【CDN新建】山东济南电信  新建200G  2023-1-1 节点正式上线  (JN3CT)，新增288个IP：182.40.78.0/24、182.40.62.32/27</t>
  </si>
  <si>
    <t>L20230128007</t>
  </si>
  <si>
    <t>涿州-固安（路由1/路由2）</t>
  </si>
  <si>
    <t>涿州-固安（路由1/路由2）共110km，每公里400，110*400=44000元/月</t>
  </si>
  <si>
    <t>定兴-徐水</t>
  </si>
  <si>
    <t>定兴-徐水，200km，每公里400，200*400=80000元/月</t>
  </si>
  <si>
    <t>中国移动通信集团江苏有限公司泰州分公司</t>
  </si>
  <si>
    <t>泰州移动</t>
  </si>
  <si>
    <t>182215IDC00693</t>
  </si>
  <si>
    <t>泰州</t>
  </si>
  <si>
    <t>CDNTAIZCM</t>
  </si>
  <si>
    <t>【BEC新建】泰州移动新建220G 2022-12-30节点正式上线 (TAIZCM)：BECTAIZCM-C-14</t>
  </si>
  <si>
    <t>【BEC新建】泰州移动新建220G 2022-12-30节点正式上线 (TAIZCM)：223.113.139.64/27</t>
  </si>
  <si>
    <t>YANGZ3CM</t>
  </si>
  <si>
    <t>存量资源：36.156.58.0/24。
2022/7/31退租288个：36.156.36.0/24,36.156.32.128/27，剩余256个按退租邮件转BEC使用：36.156.58.0/24。
乙方免费提供1540个IPv4地址，  4段64位  的IPv6地址，超出部分的IPv4地址按照20元/个/月收取，超出部分的IPv6地址按照  0  收取。使用544，均免费</t>
  </si>
  <si>
    <t>存量资源：36.156.32.128/27；36.156.36.0/24。
乙方免费提供1540个IPv4地址，  4段64位  的IPv6地址，超出部分的IPv4地址按照20元/个/月收取，超出部分的IPv6地址按照  0  收取。使用544，均免费</t>
  </si>
  <si>
    <t>2022/7/31退租288个：36.156.36.0/24,36.156.32.128/27，剩余256个按退租邮件转BEC使用：36.156.58.0/24</t>
  </si>
  <si>
    <t>边缘计算新增：36.156.59.0/25;
乙方免费提供1540个IPv4地址，  4段64位  的IPv6地址，超出部分的IPv4地址按照20元/个/月收取，超出部分的IPv6地址按照  0  收取。1909配合边缘计算资源上线，新增384个IP</t>
  </si>
  <si>
    <t>边缘计算新增：36.156.37.0/24;
乙方免费提供1540个IPv4地址，  4段64位  的IPv6地址，超出部分的IPv4地址按照20元/个/月收取，超出部分的IPv6地址按照  0  收取。1909配合边缘计算资源上线，新增384个IP</t>
  </si>
  <si>
    <t>2022/7/31退租256个：36.156.37.0/24，剩余128个按退租邮件转BEC使用：36.156.59.0/25</t>
  </si>
  <si>
    <t>截止2022.7剩余使用512个，BEC使用：223.109.62.0/25(BEC IP) 36.156.58.0/24(BEC IP) 36.156.59.0/25(BEC IP);
YANGZ3CM边缘计算扩容，新增128个IP：223.109.62.0/25
202206累计使用1312，免费1540，均在免费范围</t>
  </si>
  <si>
    <t>182315IDC00027</t>
  </si>
  <si>
    <t>亦庄日上-河北固安</t>
  </si>
  <si>
    <t>800G</t>
  </si>
  <si>
    <t>2023.1按预审合同调整单价。亦庄日上-河北固安</t>
  </si>
  <si>
    <t>河北固安-大兴星光影视</t>
  </si>
  <si>
    <t>2022.11调整计提主体，中信调为有线。固安-星光影视</t>
  </si>
  <si>
    <t>V昆明移动</t>
  </si>
  <si>
    <t>CACDNVKMCM</t>
  </si>
  <si>
    <t>裸金属，2023.2.1开始计费，免费提供64个，超出50元，使用64个：39.130.132.128/26</t>
  </si>
  <si>
    <t>裸金属，2023.2.1开始计费，云服务器 veEN.BMg1.32xlarge</t>
  </si>
  <si>
    <t>裸金属，2023.2.1开始计费，云服务器veEN.BMs1.12xlarge</t>
  </si>
  <si>
    <t>L20230204002</t>
  </si>
  <si>
    <t>青岛10联通</t>
  </si>
  <si>
    <t>CDNQD2</t>
  </si>
  <si>
    <t>【CDN新建】山东青岛联通  新建120G  2023-02-01 节点正式上线  (QD10UN)：QD10UN2F204-A-08、QD10UN2F204-A-09、QD10UN2F204-A-07</t>
  </si>
  <si>
    <t>【CDN新建】山东青岛联通  新建120G  2023-02-01 节点正式上线  (QD10UN)：119.167.210.0/25、27.221.24.96/27</t>
  </si>
  <si>
    <t>中国电信股份有限公司连云港分公司</t>
  </si>
  <si>
    <t>连云港电信</t>
  </si>
  <si>
    <t>L20230227001</t>
  </si>
  <si>
    <t>连云港</t>
  </si>
  <si>
    <t>连云港三线电信</t>
  </si>
  <si>
    <t>CDNLYGIX</t>
  </si>
  <si>
    <t>【BEC新建】连云港三线电信新建50G 2023-2-1节点正式上线  (LYGIXCT)：7L1F-B-BEC02</t>
  </si>
  <si>
    <t>【BEC新建】连云港三线电信新建50G 2023-2-1节点正式上线  (LYGIXCT)：ipv4: 218.92.87.0/25、218.92.87.128/27；
ipv6: 240E:97B:608:400::/64</t>
  </si>
  <si>
    <t>中国移动通信集团江苏有限公司连云港分公司</t>
  </si>
  <si>
    <t>连云港移动</t>
  </si>
  <si>
    <t>L20230227002</t>
  </si>
  <si>
    <t>连云港三线移动</t>
  </si>
  <si>
    <t>【BEC新建】连云港三线移动新建70G 2023-2-1节点正式上线  (LYGIXCM)：ipv4:  36.150.28.0/25、  36.150.28.128/27；
ipv6:  2409:8C20:6ED1:000E::/64</t>
  </si>
  <si>
    <t>中国联合网络通信有限公司连云港市分公司</t>
  </si>
  <si>
    <t>连云港联通</t>
  </si>
  <si>
    <t>L20230227003</t>
  </si>
  <si>
    <t>连云港三线联通</t>
  </si>
  <si>
    <t>【BEC新建】连云港三线联通新建30G 2023-2-1节点正式上线  (LYGIXUN)：ipv4: 122.194.218.0/25、122.194.218.128/27
ipv6:
2408:873C:C001:0003::2/127
2408:873C:C010:0003::/64</t>
  </si>
  <si>
    <t>中国移动通信集团山东有限公司潍坊分公司</t>
  </si>
  <si>
    <t>潍坊移动</t>
  </si>
  <si>
    <t>L20230227004</t>
  </si>
  <si>
    <t>潍坊</t>
  </si>
  <si>
    <t>潍坊3移动</t>
  </si>
  <si>
    <t>CDNWFCM</t>
  </si>
  <si>
    <t>【BEC新建】潍坊移动增量600G 2023-2-1节点正式上线  (WF3CM)：120.220.130.0/24
120.220.131.0/24
120.220.132.0/24
120.220.133.0/24
120.220.134.0/24
120.220.135.0/24
2409:8c3c:3600:100::/56</t>
  </si>
  <si>
    <t>V济南5联通</t>
  </si>
  <si>
    <t>CACDNVJNUN3</t>
  </si>
  <si>
    <t>裸金属，2023/3/2开始计费，使用119.188.95.212/32</t>
  </si>
  <si>
    <t>V济南6联通</t>
  </si>
  <si>
    <t>裸金属，2023/3/2开始计费，使用119.188.95.206/32</t>
  </si>
  <si>
    <t>V济南7联通</t>
  </si>
  <si>
    <t>裸金属，2023/3/2开始计费，使用119.188.95.209/32</t>
  </si>
  <si>
    <t>重庆</t>
  </si>
  <si>
    <t>V重庆2移动</t>
  </si>
  <si>
    <t>CACDNVCQCM</t>
  </si>
  <si>
    <t>裸金属，2023.3.2开始计费，免费提供64个，超出50元，使用64个：221.178.82.128/26</t>
  </si>
  <si>
    <t>裸金属，2023.3.2开始计费，云服务器 veEN.BMg1.32xlarge</t>
  </si>
  <si>
    <t>裸金属，2023.3.2开始计费，云服务器veEN.BMs1.12xlarge</t>
  </si>
  <si>
    <t>L20230320002</t>
  </si>
  <si>
    <t>苏州太湖-仙途</t>
  </si>
  <si>
    <t>补提202211苏州电信裸光纤，楼内客户间互联：苏州太湖-仙途</t>
  </si>
  <si>
    <t>补提202212苏州电信裸光纤，楼内客户间互联：苏州太湖-仙途</t>
  </si>
  <si>
    <t>补提202301苏州电信裸光纤，楼内客户间互联：苏州太湖-仙途</t>
  </si>
  <si>
    <t>补提202302苏州电信裸光纤，楼内客户间互联：苏州太湖-仙途</t>
  </si>
  <si>
    <t>苏州电信裸光纤，楼内客户间互联：苏州太湖-仙途</t>
  </si>
  <si>
    <t>苏州太湖-同程</t>
  </si>
  <si>
    <t>补提202206苏州电信裸光纤，楼内客户间互联：苏州太湖-同程</t>
  </si>
  <si>
    <t>补提202207苏州电信裸光纤，楼内客户间互联：苏州太湖-同程</t>
  </si>
  <si>
    <t>补提202208苏州电信裸光纤，楼内客户间互联：苏州太湖-同程</t>
  </si>
  <si>
    <t>补提202209苏州电信裸光纤，楼内客户间互联：苏州太湖-同程</t>
  </si>
  <si>
    <t>补提202210苏州电信裸光纤，楼内客户间互联：苏州太湖-同程</t>
  </si>
  <si>
    <t>补提202211苏州电信裸光纤，楼内客户间互联：苏州太湖-同程</t>
  </si>
  <si>
    <t>补提202212苏州电信裸光纤，楼内客户间互联：苏州太湖-同程</t>
  </si>
  <si>
    <t>补提202301苏州电信裸光纤，楼内客户间互联：苏州太湖-同程</t>
  </si>
  <si>
    <t>补提202302苏州电信裸光纤，楼内客户间互联：苏州太湖-同程</t>
  </si>
  <si>
    <t>苏州电信裸光纤，楼内客户间互联：苏州太湖-同程</t>
  </si>
  <si>
    <t>补提202210盐城3移动机柜费用：CACDNYANCCM:2F:10-10-BEC20、CACDNYANCCM:2F:10-10-BEC21、CACDNYANCCM:2F:10-10-BEC22</t>
  </si>
  <si>
    <t>补提202211盐城3移动机柜费用：CACDNYANCCM:2F:10-10-BEC20、CACDNYANCCM:2F:10-10-BEC21、CACDNYANCCM:2F:10-10-BEC22</t>
  </si>
  <si>
    <t>补提202212盐城3移动机柜费用：CACDNYANCCM:2F:10-10-BEC20、CACDNYANCCM:2F:10-10-BEC21、CACDNYANCCM:2F:10-10-BEC22</t>
  </si>
  <si>
    <t>补提202301盐城3移动机柜费用：CACDNYANCCM:2F:10-10-BEC20、CACDNYANCCM:2F:10-10-BEC21、CACDNYANCCM:2F:10-10-BEC22</t>
  </si>
  <si>
    <t>补提202302盐城3移动机柜费用：CACDNYANCCM:2F:10-10-BEC20、CACDNYANCCM:2F:10-10-BEC21、CACDNYANCCM:2F:10-10-BEC22</t>
  </si>
  <si>
    <t>【BEC扩容】盐城移动2023-1-16扩容3个机柜 (YANC3CM)：CACDNYANCCM:2F:10-10-BEC20、CACDNYANCCM:2F:10-10-BEC21、CACDNYANCCM:2F:10-10-BEC22</t>
  </si>
  <si>
    <t>补提202301盐城3移动机柜费用：【BEC扩容】盐城移动2023-1-16扩容3个机柜 (YANC3CM)：CACDNYANCCM:2F:10-10-BEC20、CACDNYANCCM:2F:10-10-BEC21、CACDNYANCCM:2F:10-10-BEC22</t>
  </si>
  <si>
    <t>补提2023012盐城3移动机柜费用：【BEC扩容】盐城移动2023-1-16扩容3个机柜 (YANC3CM)：CACDNYANCCM:2F:10-10-BEC20、CACDNYANCCM:2F:10-10-BEC21、CACDNYANCCM:2F:10-10-BEC22</t>
  </si>
  <si>
    <t>【BEC扩容】盐城移动2023-3-20扩容3个机柜 (YANC3CM)：CACDNYANCCM:2F:10-10-BEC14、CACDNYANCCM:2F:10-10-BEC15、CACDNYANCCM:2F:10-10-BEC16</t>
  </si>
  <si>
    <t>CDN 机架</t>
  </si>
  <si>
    <t>【BEC扩容】潍坊移动2023-3-23扩容1个机柜  (WF3CM)：CDNWFCM:4F:401-G-BEC15</t>
  </si>
  <si>
    <t>补提202302 苏州太湖三期二批超电流</t>
  </si>
  <si>
    <t>补提202302 太湖机房四期四层（SZTH4D4D）超电流</t>
  </si>
  <si>
    <t>补提202302 太湖机房六期超电流</t>
  </si>
  <si>
    <t>华南</t>
  </si>
  <si>
    <t>王腾</t>
  </si>
  <si>
    <t>中国电信股份有限公司湖南分公司</t>
  </si>
  <si>
    <t>湖南电信</t>
  </si>
  <si>
    <t>L20230103002</t>
  </si>
  <si>
    <t>衡阳</t>
  </si>
  <si>
    <t>衡阳电信SSL</t>
  </si>
  <si>
    <t>CDNHY</t>
  </si>
  <si>
    <t>使用128个</t>
  </si>
  <si>
    <t>20210531退租</t>
  </si>
  <si>
    <t>使用256个，218.77.79.0/24</t>
  </si>
  <si>
    <t>CDNHY01-E-12</t>
  </si>
  <si>
    <t>自20210301开始不计费2个，CDNHY01-E-13、CDNHY01-E-14</t>
  </si>
  <si>
    <t>20210531退租，CDNHY01-E-12</t>
  </si>
  <si>
    <t>20210531退租，CDNHY01-E-13、CDNHY01-E-14</t>
  </si>
  <si>
    <t>株洲</t>
  </si>
  <si>
    <t>株洲电信SSL</t>
  </si>
  <si>
    <t>CDNZHUZCT</t>
  </si>
  <si>
    <t>使用768个220.170.184.0/24,220.170.185.0/24,220.170.186.0/24</t>
  </si>
  <si>
    <t>使用768个</t>
  </si>
  <si>
    <t xml:space="preserve">ZHUZCT4F-08-05、
ZHUZCT4F-08-02、
ZHUZCT4F-08-03、
ZHUZCT4F-08-04
</t>
  </si>
  <si>
    <t>岳阳</t>
  </si>
  <si>
    <t>岳阳2电信</t>
  </si>
  <si>
    <t>CDNYYCT2</t>
  </si>
  <si>
    <t>使用288个</t>
  </si>
  <si>
    <t>边缘计算，使用256个220.168.184.0/24，注意新合同内开始计费时间为20200801，历史多计提需要注意。前期记录20200616开始计费220.168.184.0/24</t>
  </si>
  <si>
    <t>边缘计算，128个220.168.185.0/25</t>
  </si>
  <si>
    <t>边缘计算，新增128个，223.144.130.0/25</t>
  </si>
  <si>
    <t>边缘计算，220.168.168.0/24</t>
  </si>
  <si>
    <t>退租128个，220.169.152.128/25</t>
  </si>
  <si>
    <t>免费5个，YY2CT2F-02-08,YY2CT2F-03-06,YY2CT2F-03-07,YY2CT2F-03-09,YY2CT2F-04-08</t>
  </si>
  <si>
    <t xml:space="preserve">边缘计算，BECYY2CT2F-05-05，BECYY2CT2F-05-06，自20210301开始不计费，20200801开始计费
</t>
  </si>
  <si>
    <t>边缘计算，BECYY2CT2F-05-08，自20210301开始不计费</t>
  </si>
  <si>
    <t>边缘计算，BECYY2CT2F-03-05,按照新合同条款共赠送9个机柜</t>
  </si>
  <si>
    <t>边缘计算， 
BECYY2CT2F-06-07， 
BECYY2CT2F-06-08</t>
  </si>
  <si>
    <t>边缘计算，BECYY2CT-04-02
BECYY2CT-04-03
BECYY2CT-04-04
BECYY2CT-04-05
BECYY2CT-07-07
BECYY2CT-07-08
BECYY2CT-07-09
BECYY2CT-06-09</t>
  </si>
  <si>
    <t>长沙三级电信</t>
  </si>
  <si>
    <t>CDNCSIX</t>
  </si>
  <si>
    <t>20220901开始计费，使用288个，113.240.118.0/24，113.240.99.32/27</t>
  </si>
  <si>
    <t>15A</t>
  </si>
  <si>
    <t>20220901开始计费，CDNCSIX3F-C-01,CDNCSIX3F-C-02,CDNCSIX3F-C-03,CDNCSIX3F-C-04,CDNCSIX3F-C-05,CDNCSIX3F-C-06,CDNCSIX3F-C-07,CDNCSIX3F-C-08</t>
  </si>
  <si>
    <t>中国电信股份有限公司长沙分公司</t>
  </si>
  <si>
    <t>长沙电信</t>
  </si>
  <si>
    <t>182215IDC00627</t>
  </si>
  <si>
    <t>政通云谷-长沙传输POP</t>
  </si>
  <si>
    <t>长沙CDN三线=B2裸光纤</t>
  </si>
  <si>
    <t>500元/公里/月</t>
  </si>
  <si>
    <t>长沙三线B2光纤，政通云谷-长沙传输POP.   路由1：34.15km
      路由2：52.77km</t>
  </si>
  <si>
    <t>广东</t>
  </si>
  <si>
    <t>中国电信股份有限公司广东分公司</t>
  </si>
  <si>
    <t>广东电信</t>
  </si>
  <si>
    <t>L20221025015</t>
  </si>
  <si>
    <t>东莞-樟木头机房</t>
  </si>
  <si>
    <t>CDNDGCT</t>
  </si>
  <si>
    <t>11A</t>
  </si>
  <si>
    <t xml:space="preserve">sys已核对：DGCT7F-D-01
DGCT7F-D-02
DGCT7F-D-03
DGCT7F-D-04
DGCT7F-D-05
DGCT7F-D-06
DGCT7F-D-07
DG2CT7F-H-01
DG2CT7F-H-02
sys已核对：DG2CT7F-H-03
DG2CT7F-H-04
DG2CT7F-H-05
DG2CT7F-H-06
DG2CT7F-H-07
DG2CT7F-H-08
DG2CT7F-H-09
DG2CT7F-H-10
DG2CT7F-H-11
DG2CT7F-H-12
DG2CT7F-H-13
DG2CT7F-H-14
DG2CT7F-I-01
DG2CT7F-I-02
DG2CT7F-I-03
DG2CT7F-I-04
DG2CT7F-I-05
DG2CT7F-I-06
DG2CT7F-I-07
DG2CT7F-I-08
DG2CT7F-I-09
DG2CT7F-I-10
DG2CT7F-I-11
DG2CT7F-I-12
DG2CT7F-I-13
DG2CT7F-I-14
</t>
  </si>
  <si>
    <t>对账需要注意202105退租的3个柜子停止计费日期（DGCT7F-D-07、DGCT7F-D-06、DGCT7F-D-05），需要注意20200430退租17个，DG2CT7F-H-01,DG2CT7F-H-02,DG2CT7F-H-03,DG2CT7F-H-05,DG2CT7F-H-06,DG2CT7F-H-07,DG2CT7F-H-08,DG2CT7F-H-09,DG2CT7F-H-10,DG2CT7F-H-11,DG2CT7F-H-12,DG2CT7F-H-13,DG2CT7F-H-14,DG2CT7F-I-01,DG2CT7F-I-02,DG2CT7F-I-03,DG2CT7F-I-04</t>
  </si>
  <si>
    <t>DGCT7F-D-07、DGCT7F-D-06、DGCT7F-D-05</t>
  </si>
  <si>
    <t>DG2CT7F-H-04,DG2CT7F-I-14,DG2CT7F-I-13,DG2CT7F-I-12,DG2CT7F-I-11,DG2CT7F-I-10,DG2CT7F-I-09,DG2CT7F-I-08,DG2CT7F-I-07,DG2CT7F-I-06,DG2CT7F-I-05</t>
  </si>
  <si>
    <t>DGCT7F-D-01,DGCT7F-D-02</t>
  </si>
  <si>
    <t xml:space="preserve">CDN使用113.105.172.0/24,183.60.154.0/24,14.17.88.96/27  </t>
  </si>
  <si>
    <t>河源IDC中心</t>
  </si>
  <si>
    <t>云自采-河源电信</t>
  </si>
  <si>
    <t>CBUCDNHYCT</t>
  </si>
  <si>
    <t xml:space="preserve">
（1）历史sys已核对：HYCT1F-8018-02
HYCT1F-8018-03
HYCT1F-8018-04
HYCT1F-8018-05
HYCT1F-8018-06
HYCT1F-8018-07
HYCT1F-8018-08
HYCT1F-8018-09
HYCT1F-8019-02
HYCT1F-8019-03
HYCT1F-8019-04
HYCT1F-8019-05
HYCT1F-8019-06
HYCT1F-8019-07
HYCT1F-8019-08
HYCT1F-8019-09
HYCT1F-80110-02
HYCT1F-80110-03
HYCT1F-80110-04
HYCT1F-80110-05
</t>
  </si>
  <si>
    <t>（1）需要注意sys发邮件20200918退租9个：HYCT1F-8019-02
HYCT1F-8019-06
HYCT1F-8019-07
HYCT1F-8019-08
HYCT1F-8019-09
HYCT1F-80110-02
HYCT1F-80110－03
HYCT1F-80110－04
HYCT1F-80110－05</t>
  </si>
  <si>
    <t>HYCT1F-8019-03,HYCT1F-8019-04,HYCT1F-8019-05</t>
  </si>
  <si>
    <t>HYCT1F-8018-02,HYCT1F-8018-03,HYCT1F-8018-04,HYCT1F-8018-05,HYCT1F-8018-06,HYCT1F-8018-07,HYCT1F-8018-08,HYCT1F-8018-09</t>
  </si>
  <si>
    <t xml:space="preserve">CDN使用113.113.73.0/24, 113.113.74.0/24 </t>
  </si>
  <si>
    <t>退租：113.113.73.0/24 113.113.74.0/24</t>
  </si>
  <si>
    <t>潮州枫桥idc中心</t>
  </si>
  <si>
    <t>潮州电信</t>
  </si>
  <si>
    <t>CDNCHAOZCT</t>
  </si>
  <si>
    <t>sys已核对：1501-2-13
1501-2-12
1501-2-15
1501-2-14
1501-2-17
1501-2-16
1501-2-19
1501-2-18</t>
  </si>
  <si>
    <t>1501-2-19,1501-2-18,1501-2-17,1501-2-16,1501-2-15,1501-2-14,1501-2-13,1501-2-12</t>
  </si>
  <si>
    <t xml:space="preserve">CDN使用14.215.89.0/24,14.215.93.0/27 </t>
  </si>
  <si>
    <t xml:space="preserve">退租：14.215.89.0/24,14.215.93.0/27 </t>
  </si>
  <si>
    <t>阳江</t>
  </si>
  <si>
    <t>阳江电信</t>
  </si>
  <si>
    <t>CDNYJCT</t>
  </si>
  <si>
    <t xml:space="preserve">sys已核对：YJCT3F-01-01
YJCT3F-01-02
YJCT3F-01-03
YJCT3F-01-04
YJCT3F-01-05
YJCT3F-01-06
YJCT3F-01-07
YJCT3F-01-08
</t>
  </si>
  <si>
    <t>YJCT3F-01-08,YJCT3F-01-07,YJCT3F-01-06,YJCT3F-01-02,YJCT3F-01-01</t>
  </si>
  <si>
    <t>YJCT3F-01-03,YJCT3F-01-04,YJCT3F-01-05</t>
  </si>
  <si>
    <t>CDN使用121.32.228.0/24,121.32.229.0/24,183.47.254.0/27</t>
  </si>
  <si>
    <t>退租：121.32.228.0/24,121.32.229.0/24,183.47.254.0/27</t>
  </si>
  <si>
    <t>东莞-大朗</t>
  </si>
  <si>
    <t>东莞电信SSL</t>
  </si>
  <si>
    <t>DGDL</t>
  </si>
  <si>
    <t xml:space="preserve">sys已核对：DL5F-L-11
DL5F-L-12
DL5F-L-09
DL5F-L-10
DL5F-L-14
</t>
  </si>
  <si>
    <t>东莞-大朗机房</t>
  </si>
  <si>
    <t>CDNCZCT</t>
  </si>
  <si>
    <t>实际在用1024个，对方分配183.61.177.0/24,119.147.134.0/24,183.61.236.0/24,183.61.190.0/24,14.17.71.0/24</t>
  </si>
  <si>
    <t>佛山</t>
  </si>
  <si>
    <t>佛山电信SSL</t>
  </si>
  <si>
    <t xml:space="preserve">FS9F
</t>
  </si>
  <si>
    <t>sys已核对：8F-HH16-04
8F-HH16-03
8F-HH16-06
8F-HH16-05
8F-HH16-02
8F-HH16-01</t>
  </si>
  <si>
    <t>搬迁至佛山新机房退租：8F-HH16-04
8F-HH16-03
8F-HH16-06
8F-HH16-05
8F-HH16-02
8F-HH16-01</t>
  </si>
  <si>
    <t>SSLFSCT</t>
  </si>
  <si>
    <t>SSLFSCT2F-HH08-09,SSLFSCT2F-HH08-10,SSLFSCT2F-HH08-11,SSLFSCT2F-HH08-12,SSLFSCT2F-HH08-13</t>
  </si>
  <si>
    <t>20221130退租。</t>
  </si>
  <si>
    <t>FS9F</t>
  </si>
  <si>
    <t>佛山搬迁后IP还是原来的，116.31.126.0/24,116.31.127.0/24,183.60.235.0/24</t>
  </si>
  <si>
    <t>江门IDC中心</t>
  </si>
  <si>
    <t>CBUCDNJMCT</t>
  </si>
  <si>
    <t>20190724新增1个JM3CT2F-05-08</t>
  </si>
  <si>
    <t>20190723关闭6个，o JMCT2F-03-06、JMCT2F-04-02、JMCT2F-04-03、JMCT2F-04-04、JMCT2F-04-05、JMCT2F-04-06共计6个机柜于7月23</t>
  </si>
  <si>
    <t xml:space="preserve">边缘计算在用的是JMCT2F-03-02到JMCT2F-03-05.sys已核对截至2019年10月31日江门存量在用21个JM3CT2F-05-01
JM3CT2F-05-02
JM3CT2F-05-03
JM3CT2F-05-04
JM3CT2F-05-05
JM3CT2F-05-06
JM3CT2F-05-07
JMCT2F-02-01
JMCT2F-02-02
JMCT2F-02-03
JMCT2F-02-04
JMCT2F-02-05
JMCT2F-02-06
JMCT2F-02-07
JMCT2F-02-08
JMCT2F-03-02
JMCT2F-03-03
JMCT2F-03-04
JMCT2F-03-05
JMCT2F-03-01
JMCT2F-03-08
</t>
  </si>
  <si>
    <t>20191130退租10个JMCT2F-02-01、JMCT2F-02-02、JMCT2F-02-03、JMCT2F-02-04、JMCT2F-02-05、JMCT2F-02-06、JMCT2F-02-07、JMCT2F-02-08、JMCT2F-03-01、JMCT2F-03-08</t>
  </si>
  <si>
    <t>需要注意周睿新发邮件JM3CT2F-05-08、JM3CT2F-05-07、JM3CT2F-05-06，20200410退租3个</t>
  </si>
  <si>
    <t>20210331退租3个，JM3CT2F-05-03、JM3CT2F-05-02、JM3CT2F-05-01</t>
  </si>
  <si>
    <t>江门3电信</t>
  </si>
  <si>
    <t xml:space="preserve">边缘计算，BECJM3CT2F-05-01，
BECJM3CT2F-05-02
</t>
  </si>
  <si>
    <t>边缘计算，BECJM3CT2F-03-01</t>
  </si>
  <si>
    <t>CDN使用113.96.179.0/27. 113.96.178.0/24</t>
  </si>
  <si>
    <t>边缘计算，113.96.158.0/24
113.96.159.0/25</t>
  </si>
  <si>
    <t>边缘计算新增256个，121.32.233.0/24</t>
  </si>
  <si>
    <t>运营商按照20220119开始计费，边缘计算113.96.178.128/25</t>
  </si>
  <si>
    <t>GZNS-电信CDN</t>
  </si>
  <si>
    <t>GZNS</t>
  </si>
  <si>
    <t xml:space="preserve">20211105开始计费，14.29.93.0/24 ，
14.29.94.0/24 </t>
  </si>
  <si>
    <t>20211105开始计费，分配14.29.98.0/24 ,
14.152.74.0/24（实际使用14.29.98.0/24,14.152.74.0/27)</t>
  </si>
  <si>
    <t>20220506交付， 14.119.104.0/24</t>
  </si>
  <si>
    <t>20230101交付，183.2.169.0/24
183.2.171.0/24
183.2.172.0/24
183.2.174.0/24</t>
  </si>
  <si>
    <t>L20221209002</t>
  </si>
  <si>
    <t xml:space="preserve">IDC机架 </t>
  </si>
  <si>
    <t>广州电信南沙云谷机房</t>
  </si>
  <si>
    <t>历史累计</t>
  </si>
  <si>
    <t>截至201908月2204，20190909关闭20个。整月(每开通七个机架赠送一个，在金额中折算)，26个机架技术核对完毕，确实存在历史开通更新为2178+26</t>
  </si>
  <si>
    <t>系统部201910给出数据为2250个在用</t>
  </si>
  <si>
    <t>GZ-NSYG-D-201-08-10~11</t>
  </si>
  <si>
    <t>202105将2个62.5A从原来20190121的20A10个里面拆2个 
GZNSD301-G-02， 
GZNSD301-H-03</t>
  </si>
  <si>
    <t>GZNSD201-P-01，
GZNSD201-P-02
开通时间：20190424，线上资源已补</t>
  </si>
  <si>
    <t>GZNSD401-G-06</t>
  </si>
  <si>
    <t>6月21日新增8个机架，
GZNSC401-R-01
GZNSC401-R-02
GZNSC401-R-03
GZNSC401-R-04
GZNSC401-R-06
GZNSC401-Q-10
GZNSC401-Q-11
GZNSC401-Q-12</t>
  </si>
  <si>
    <t>20190704新增10个GZNSD302-Q-13
GZNSD301-R-15
GZNSD301-R-14
GZNSD301-R-13
GZNSD301-R-12
GZNSD301-R-11
GZNSD301-R-10
GZNSD301-R-09
GZNSD301-R-08
GZNSD301-R-07</t>
  </si>
  <si>
    <t>20190725新增8个GZNSC402-S-11
GZNSC402-S-10
GZNSC402-S-09
GZNSC402-S-08
GZNSC402-S-07
GZNSC402-S-06
GZNSC402-S-04
GZNSC401-R-07</t>
  </si>
  <si>
    <t xml:space="preserve">20190909关闭20个GZNSD201-D-07
GZNSD201-D-08
GZNSD201-E-10
GZNSD201-E-11
GZNSD201-I-01
GZNSD201-I-02
GZNSD201-J-11
GZNSD201-J-12
GZNSD201-K-09
GZNSD201-K-10
GZNSD201-K-13
GZNSD201-K-14
GZNSD201-L-01
GZNSD201-L-02
GZNSD201-L-03
GZNSD201-L-04
GZNSD201-L-05
GZNSD201-L-06
GZNSD201-L-07
GZNSD201-L-08
</t>
  </si>
  <si>
    <t>历史多计提1个，已支付的2019年7-8月费用在10月扣除。从2019年10月开始南沙云谷机架为2250个</t>
  </si>
  <si>
    <t>20200613新增2个，GZNSD201-L-01，GZNSD201-L-02</t>
  </si>
  <si>
    <t>GZNSC401-K-11
GZNSC401-K-12
GZNSC401-N-15</t>
  </si>
  <si>
    <t>GZNSB201-F-15</t>
  </si>
  <si>
    <t>GZNSC401-K-11、GZNSC401-K-12</t>
  </si>
  <si>
    <t>GZNSD301-H-06
GZNSD301-H-10
GZNSD301-H-12
GZNSD301-H-07
GZNSD301-H-09
GZNSD301-H-11
GZNSD301-H-13
GZNSD301-H-14</t>
  </si>
  <si>
    <t>GZNS-云托管</t>
  </si>
  <si>
    <t>云托管，GZNSC401-N-15</t>
  </si>
  <si>
    <t>跟商务沟通先按照原合同条款内的价格计提，改造机柜GZNSD201-H-05</t>
  </si>
  <si>
    <t>GZNSD201-L-07
GZNSD201-L-08</t>
  </si>
  <si>
    <t>GZNSD201-L-05
GZNSD201-L-06</t>
  </si>
  <si>
    <t>2019年11月7日机柜改造20A更改成40.9A，GZNSB201-H-03 GZNSB201-G-03</t>
  </si>
  <si>
    <t>GZNSD201-H-07</t>
  </si>
  <si>
    <t>20220310由20A改造为81.8A GZNSD201-H-07</t>
  </si>
  <si>
    <t xml:space="preserve">202009盘点出有18个ODF机柜，与越华沟通暂按照0单价计提ODF机柜（GZNSB201-G-06
GZNSB201-G-07
GZNSB201-G-08
GZNSB201-H-06
GZNSB201-H-07
GZNSB201-H-08
GZNSD201-G-03
GZNSD201-G-04
GZNSD201-H-04
GZNSD401-G-03
GZNSD401-G-04
GZNSD401-H-04
GZNSC401-G-03
GZNSC401-G-04
GZNSC401-H-04）
非ODF
GZNSD301-H-03
GZNSD301-G-02
GZNSD301-H-07
GZNSD301-H-09
GZNSD301-H-04
GZNSD301-G-03
GZNSD301-G-04
</t>
  </si>
  <si>
    <t>超电流费用</t>
  </si>
  <si>
    <t>机柜用电超过上述标准，用电量每增加1A，则另收180元/月的使用费用</t>
  </si>
  <si>
    <t xml:space="preserve">乙方同意甲方留有300个机柜作为预留资源备用，合同期内不收取机柜闲置费用。
</t>
  </si>
  <si>
    <t>L20230103003</t>
  </si>
  <si>
    <t>IP代播费用</t>
  </si>
  <si>
    <t>广州电信</t>
  </si>
  <si>
    <t>ip代播费用,BD反馈开始计费日期更新为2020年4月1日，512*10。106.13.250.0/23</t>
  </si>
  <si>
    <t>L20200917001</t>
  </si>
  <si>
    <t xml:space="preserve">IP代播费用，512*10，106.13.254.0/23 </t>
  </si>
  <si>
    <t>中国电信股份有限公司广州分公司</t>
  </si>
  <si>
    <t>182215IDC00599</t>
  </si>
  <si>
    <t>广州—深圳</t>
  </si>
  <si>
    <t>6M</t>
  </si>
  <si>
    <t>202209开始降价，广州—深圳，ETN0135NP</t>
  </si>
  <si>
    <t>广州—东莞</t>
  </si>
  <si>
    <t>202209开始降价，广州—东莞，ETN0366NP</t>
  </si>
  <si>
    <t>贵州</t>
  </si>
  <si>
    <t>中国电信股份有限公司贵州分公司</t>
  </si>
  <si>
    <t>贵州电信</t>
  </si>
  <si>
    <t>182215IDC00271</t>
  </si>
  <si>
    <t>安顺电信5</t>
  </si>
  <si>
    <t>安顺5电信</t>
  </si>
  <si>
    <t>CDNASCT</t>
  </si>
  <si>
    <t>合同内免费1280个，使用288个。203.56.69.0/24 203.55.117.128/27。</t>
  </si>
  <si>
    <t>边缘计算新增128个，113.125.220.128/25</t>
  </si>
  <si>
    <t>边缘计算新增128个，203.193.255.0/25</t>
  </si>
  <si>
    <t>20220719退租203.56.69.128/25</t>
  </si>
  <si>
    <t>边缘计算退租，113.125.220.128/25
203.193.255.0/25</t>
  </si>
  <si>
    <t xml:space="preserve">ASCT2F-E-05
ASCT2F-E-04
ASCT2F-E-03
ASCT2F-E-02
ASCT2F-E-01
</t>
  </si>
  <si>
    <t>边缘计算，BECASCT201-E-06
BECASCT201-E-07</t>
  </si>
  <si>
    <t>20220719ASCT2F-E-05,ASCT2F-E-04,ASCT2F-E-02,ASCT2F-E-01</t>
  </si>
  <si>
    <t>退租	
BECASCT201-E-06 	
BECASCT201-E-07</t>
  </si>
  <si>
    <t>四川</t>
  </si>
  <si>
    <t>中国电信股份有限公司四川分公司</t>
  </si>
  <si>
    <t>四川电信</t>
  </si>
  <si>
    <t>182215IDC00148</t>
  </si>
  <si>
    <t>成都1</t>
  </si>
  <si>
    <t>成都电信</t>
  </si>
  <si>
    <t>需要注意2019年11月30日退租512个，每个端口赠送32个</t>
  </si>
  <si>
    <t>成都2+6</t>
  </si>
  <si>
    <t>成都6电信</t>
  </si>
  <si>
    <t>每个端口赠送32个，SYS更新使用数据成都2电信288个+成都6电信544个</t>
  </si>
  <si>
    <t>成都2电信</t>
  </si>
  <si>
    <t>成都5</t>
  </si>
  <si>
    <t>成都5电信</t>
  </si>
  <si>
    <t>每个端口赠送32个，SYS使用成都5电信544个</t>
  </si>
  <si>
    <t>云自采-资阳电信</t>
  </si>
  <si>
    <t>需要注意2019年11月30日退租288个（实际使用个数），每个端口赠送32个</t>
  </si>
  <si>
    <t>云自采-泸州电信</t>
  </si>
  <si>
    <t>需要注意2019年11月30日退租256个，每个端口赠送32个</t>
  </si>
  <si>
    <t>德阳2电信</t>
  </si>
  <si>
    <t>CDNDYCT</t>
  </si>
  <si>
    <t>20190927开始计费，每个端口赠送32个，使用544免费(125.64.104.0/24 125.64.105.0/24 182.132.32.32/27)</t>
  </si>
  <si>
    <t>成都</t>
  </si>
  <si>
    <t>CDNCDCT</t>
  </si>
  <si>
    <t>边缘计算新增128个，182.140.237.128/25</t>
  </si>
  <si>
    <t>边缘计算新增256个， 118.112.234.0/24</t>
  </si>
  <si>
    <t>边缘计算新增128个 ，61.188.178.0/25</t>
  </si>
  <si>
    <t>边缘计算新增128个，182.140.224.0/25</t>
  </si>
  <si>
    <t>L20220406001</t>
  </si>
  <si>
    <t>成都2</t>
  </si>
  <si>
    <t>CDNCDCT2</t>
  </si>
  <si>
    <t>边缘计算新增128个，182.150.10.128/25</t>
  </si>
  <si>
    <t>20220731CDN退租，110.185.186.128/25</t>
  </si>
  <si>
    <t>20220731CDN退租，182.150.4.0/24</t>
  </si>
  <si>
    <t>成都6</t>
  </si>
  <si>
    <t>20220731CDN退租，118.112.226.0/24</t>
  </si>
  <si>
    <t>L20220919004</t>
  </si>
  <si>
    <t>20220825新增边缘计算，110.185.186.128/25</t>
  </si>
  <si>
    <t>::/56，SYS反馈在用</t>
  </si>
  <si>
    <t>::/64，SYS反馈在用</t>
  </si>
  <si>
    <t>德阳2</t>
  </si>
  <si>
    <t>CDNCD</t>
  </si>
  <si>
    <t>需要注意2019年11月30日退租，sys已核对14个（CDNCD-CD5F-B-07
CDNCD-CD5F-B-08
CDNCD-CD5F-D-01
CDNCD-CD5F-D-02
CDNCD-CD5F-D-06
CDNCD-CD5F-D-08
CDNCD-CD5F-D-09
CDNCD-CD5F-E-01
CDNCD-CD5F-E-02
CDNCD-CD5F-E-03
CDNCD-CD5F-E-04
CDNCD-CD5F-E-05
CDNCD-CD5F-E-08
CDNCD-CD5F-E-09
）</t>
  </si>
  <si>
    <t>成都3</t>
  </si>
  <si>
    <t>成都3节点对应的机架，3楼305机房A08机柜 
CD2CT3F-A-08</t>
  </si>
  <si>
    <t>成都3节点对应的机架</t>
  </si>
  <si>
    <t>20190719关闭4个3层-305房间-B列-【01、02、03、04</t>
  </si>
  <si>
    <t>20190719新开3楼305机房A09机柜 
CD2CT3F-A-09</t>
  </si>
  <si>
    <t xml:space="preserve">新合同20190401开始收费。成都2节点对应的机架CDNCDCT2-CD2CT3F-A-01
CDNCDCT2-CD2CT3F-A-02
CDNCDCT2-CD2CT3F-A-03
CDNCDCT2-CD2CT3F-A-04
CDNCDCT2-CD2CT3F-A-05
CDNCDCT2-CD2CT3F-A-06
CDNCDCT2-CD2CT3F-A-07
</t>
  </si>
  <si>
    <t xml:space="preserve">成都5节点对应的机架CDNCDCT-CDCT4FHLWN1-F-14
CDNCDCT-CDCT4FHLWN1-F-15
CDNCDCT-CDCT4FHLWN1-F-16
CDNCDCT-CDCT4FHLWN1-F-17
CDNCDCT-CDCT4FHLWN1-F-18
CDNCDCT-CDCT4FHLWN1-F-19
CDNCDCT-CDCT4FHLWN1-F-20
CDNCDCT-CDCT4FHLWN1-F-21
CDNCDCT-CDCT4FHLWN1-F-22
</t>
  </si>
  <si>
    <t xml:space="preserve">成都6节点对应的机架CDNCDCT2-CDCT1F-J-09 
CDNCDCT2-CDCT1F-J-10 
CDNCDCT2-CDCT1F-J-11 
CDNCDCT2-CDCT1F-Q-01 
CDNCDCT2-CDCT1F-Q-02 
CDNCDCT2-CDCT1F-Q-03 
CDNCDCT2-CDCT1F-Q-04 
CDNCDCT2-CDCT1F-Q-05 
CDNCDCT2-CDCT1F-Q-06 
</t>
  </si>
  <si>
    <t>资阳</t>
  </si>
  <si>
    <t>CBUCDNZYCT</t>
  </si>
  <si>
    <t xml:space="preserve">需要注意2019年11月30日退租，ZYCT5F-C-03
ZYCT5F-C-02
ZYCT5F-C-01
ZYCT5F-C-08
ZYCT5F-C-07
ZYCT5F-C-06
ZYCT5F-C-05
ZYCT5F-C-04
</t>
  </si>
  <si>
    <t>泸州</t>
  </si>
  <si>
    <t>CBUCDNLUZCT</t>
  </si>
  <si>
    <t>需要注意2019年11月30日退租，LUZCT7F-A-02
LUZCT7F-A-01</t>
  </si>
  <si>
    <t>20190927开始计费，DY2CT13F-A-02，DY2CT13F-A-03，DY2CT13F-A-04，DY2CT13F-A-05，DY2CT13F-A-06，DY2CT13F-A-07，DY2CT13F-A-08，DY2CT13F-A-09</t>
  </si>
  <si>
    <t xml:space="preserve">边缘计算，BECCDCT4FHLWN1-E-06
BECCDCT4FHLWN1-E-07
BECCDCT4FHLWN1-E-08
BECCDCT4FHLWN1-E-09
BECCDCT4FHLWN1-E-10
</t>
  </si>
  <si>
    <t>边缘计算，需要注意202106多计提冲销。BECCD5CT4FGYZLS-D-01
BECCD5CT4FGYZLS-D-02
BECCD5CT4FGYZLS-D-03
BECCD5CT4FGYZLS-D-04
BECCD5CT4FGYZLS-D-05
BECCD5CT4FGYZLS-D-06</t>
  </si>
  <si>
    <t>边缘计算，需要注意202106多计提冲销。BECCD5CT4FGYZLS-D-07
BECCD5CT4FGYZLS-D-17
BECCD5CT4FGYZLS-D-18
BECCD5CT4FGYZLS-D-19
BECCD5CT4FGYZLS-D-20
BECCD5CT4FGYZLS-D-21
BECCDCT4FHLWN1-E-01
BECCDCT4FHLWN1-E-02
BECCDCT4FHLWN1-E-03
BECCDCT4FHLWN1-E-04
BECCDCT4FHLWN1-E-05</t>
  </si>
  <si>
    <t xml:space="preserve">边缘计算，BECCD5CT4FGYZLS-D-14
</t>
  </si>
  <si>
    <t>边缘计算，BECCD5CT4FGYZLS-D-11</t>
  </si>
  <si>
    <t>20211227退租，CD2CT3F-A-07、CD2CT3F-A-08、CD2CT3F-A-09</t>
  </si>
  <si>
    <t>20220401开始计费，CD2CT3F-A-07</t>
  </si>
  <si>
    <t>边缘计算，20220513开始计费，BECCD2CT3F305-B-01
BECCD2CT3F305-B-02
BECCD2CT3F305-B-03
BECCD2CT3F305-B-04
BECCD2CT3F305-B-05
BECCD2CT3F305-B-06</t>
  </si>
  <si>
    <t>20220731退租，CD2CT3F-A-01
CD2CT3F-A-03
CD2CT3F-A-06
CD2CT3F-A-07</t>
  </si>
  <si>
    <t>20220731退租， CDCT4FHLWN1-F-22,CDCT4FHLWN1-F-21,CDCT4FHLWN1-F-20,CDCT4FHLWN1-F-15,CDCT4FHLWN1-F-14</t>
  </si>
  <si>
    <t>20220731退租，CDCT1F-Q-05,CDCT1F-Q-04,CDCT1F-Q-02,CDCT1F-J-10,CDCT1F-J-09</t>
  </si>
  <si>
    <t>边缘计算，BECCD2CT3F305-B-07
BECCD2CT3F305-B-08</t>
  </si>
  <si>
    <t>成都8电信</t>
  </si>
  <si>
    <t>CDNCDCT3</t>
  </si>
  <si>
    <t>20221225开始计费。182.138.254.0/26
182.138.254.64/28</t>
  </si>
  <si>
    <t>182.138.254.0/25</t>
  </si>
  <si>
    <t>20221225开始计费。BECCD8CT-A-22
BECCD8CT-A-23
BECCD8CT-A-24</t>
  </si>
  <si>
    <t>BECCD8CT-A-23</t>
  </si>
  <si>
    <t>中国电信股份有限公司重庆分公司</t>
  </si>
  <si>
    <t>重庆电信</t>
  </si>
  <si>
    <t>182215IDC00512</t>
  </si>
  <si>
    <t>CDNCQCT</t>
  </si>
  <si>
    <t xml:space="preserve">使用768个119.84.1.0/24、119.84.92.0/24、119.84.93.0/24 </t>
  </si>
  <si>
    <t>重庆3电信</t>
  </si>
  <si>
    <t>CDNCQCT2</t>
  </si>
  <si>
    <t>重庆电信2</t>
  </si>
  <si>
    <t>使用256个</t>
  </si>
  <si>
    <t>重庆2电信</t>
  </si>
  <si>
    <t>退租256个</t>
  </si>
  <si>
    <t>边缘计算128个（119.84.244.0/25）</t>
  </si>
  <si>
    <t>边缘计算128个（113.250.48.0/25）</t>
  </si>
  <si>
    <t>20220731退租219.153.113.0/24 119.84.70.64/27</t>
  </si>
  <si>
    <t>FSG重庆小贷项目</t>
  </si>
  <si>
    <t>SSL用2个、FSG用1个，BD已提供开通涵</t>
  </si>
  <si>
    <t xml:space="preserve">20201221开始计费，CQCT5F-J19-04 </t>
  </si>
  <si>
    <t>原运营商名称为中国电信股份有限公司重庆分公司</t>
  </si>
  <si>
    <t>重庆4电信</t>
  </si>
  <si>
    <t>20191231退4个，CQ4CT4FC414-J02-01、CQ4CT4FC414-J02-02、CQ4CT4FC414-J02-03、CQ4CT4FC414-J02-04</t>
  </si>
  <si>
    <t>重2庆电信</t>
  </si>
  <si>
    <t>重庆电信退租机柜时间2020年9月17日，计费按照半月。CQCT24F-J13-21</t>
  </si>
  <si>
    <t>边缘计算，BECCQCT4F-J01-21
BECCQCT4F-J01-22</t>
  </si>
  <si>
    <t>CQ3CT4F-J13-20,CQ3CT4F-J13-19,CQ3CT4F-J09-14,CQ3CT4F-J09-11,CQ3CT4F-J09-10</t>
  </si>
  <si>
    <t>CQ3CT4F-J09-12,CQ3CT4F-J09-13</t>
  </si>
  <si>
    <t>机架-云托管-机架</t>
  </si>
  <si>
    <t>CDNCQCT-云托管</t>
  </si>
  <si>
    <t>云托管，云度小满，CDNCQCT5F-J18-09、CDNCQCT5F-J18-10</t>
  </si>
  <si>
    <t xml:space="preserve">云托管，云度小满，CDNCQCT5F-J18-08 </t>
  </si>
  <si>
    <t xml:space="preserve">云托管，云度小满，CDNCQCT5F-J18-09、CDNCQCT5F-J18-10 CDNCQCT5F-J18-08 </t>
  </si>
  <si>
    <t>云托管，云度小满，CQCT7F-J05-01
CQCT7F-J05-02
CQCT7F-J05-03</t>
  </si>
  <si>
    <t>中国联合网络通信有限公司株洲市分公司</t>
  </si>
  <si>
    <t>株洲联通</t>
  </si>
  <si>
    <t>L20221025026</t>
  </si>
  <si>
    <t>株洲联通2</t>
  </si>
  <si>
    <t>CDNZHUZUN</t>
  </si>
  <si>
    <t>需要注意周睿反馈20200131退租512个。使用512个</t>
  </si>
  <si>
    <t>边缘计算开通384个。20210225开始计费，58.20.206.0/24，58.20.207.0/25</t>
  </si>
  <si>
    <t>119.39.204.0/27</t>
  </si>
  <si>
    <t>20220501开始计费，边缘计算使用128个，119.39.202.128/25</t>
  </si>
  <si>
    <t>20220811退租CDN，58.20.204.128/25 58.20.205.0/24</t>
  </si>
  <si>
    <t>::/64，SYS反馈在用。赠送2段/64的IPv6。</t>
  </si>
  <si>
    <t>需要注意周睿反馈20200131退租8个。共赠送20个机柜（sys给的机架编码ZHUZUN8F-B-02～ZHUZUN8F-B-09，ZHUZUN8F-F-01～ZHUZUN8F-F-10、ZHUZUN8F-E-01、ZHUZUN8F-E-02）</t>
  </si>
  <si>
    <t>需要注意周睿反馈20200131退租8个。ZHUZUN8F-B-02、ZHUZUN8F-B-03、ZHUZUN8F-B-04、ZHUZUN8F-B-05、ZHUZUN8F-B-06、ZHUZUN8F-B-07、ZHUZUN8F-B-08、ZHUZUN8F-B-09</t>
  </si>
  <si>
    <t xml:space="preserve">边缘计算，BECZHUZUN8F-K-07，BECZHUZUN8F-K-08
BECZHUZUN8F-K-09，20210225开始计费
</t>
  </si>
  <si>
    <t xml:space="preserve">边缘计算，BECZHUZUN8F-K-10，BECZHUZUN8F-K-11
BECZHUZUN8F-K-12
BECZHUZUN8F-K-13，20210225开始计费
</t>
  </si>
  <si>
    <t>边缘计算，BECZHUZUN8F-K-06</t>
  </si>
  <si>
    <t>边缘计算，更新计费时间为20220501，BECZHUZUN8F-K-05</t>
  </si>
  <si>
    <t>边缘计算，20220731退租BECZHUZUN8F-K-05</t>
  </si>
  <si>
    <t>20220811退租CDN，ZHUZUN8F-E-02,ZHUZUN8F-E-01,ZHUZUN8F-F-02,ZHUZUN8F-F-01,ZHUZUN8F-F-09,ZHUZUN8F-F-10,ZHUZUN8F-F-05,ZHUZUN8F-F-04,ZHUZUN8F-F-03</t>
  </si>
  <si>
    <t>中国联合网络通信有限公司成都市分公司</t>
  </si>
  <si>
    <t>成都联通</t>
  </si>
  <si>
    <t>182015IDC00170</t>
  </si>
  <si>
    <t>CDNCDUN</t>
  </si>
  <si>
    <t>需要注意20200331CDN退租288个。免费512个IP，超出按50元/个/月</t>
  </si>
  <si>
    <t>开始计费日期修改为2019年12月1日，2019年11月26日边缘计算新增128个免费101.206.161.128/25；IPV6：2408:8766:0000:1005::/64</t>
  </si>
  <si>
    <t>合同条款IPV6：2408:8766:0000:1005::/64</t>
  </si>
  <si>
    <t>边缘计算新增128个，101.206.212.0/25</t>
  </si>
  <si>
    <t>18A</t>
  </si>
  <si>
    <t>CDUN2F-201-E13，CDUN2F-201-E12</t>
  </si>
  <si>
    <t>需要注意20200331退租2个，CDUN2F-201-E12、CDUN2F-201-E13</t>
  </si>
  <si>
    <t>边缘计算，BECCDUN2F-201-E10、BECCDUN2F-201-E11，开始计费日期修改为2019年12月1日。20230207修改为BECCDUN2F-210-E10、BECCDUN2F-210-E11</t>
  </si>
  <si>
    <t>边缘计算，BECCDUN2F-210-E09</t>
  </si>
  <si>
    <t>中国联合网络通信有限公司重庆市分公司</t>
  </si>
  <si>
    <t>重庆联通</t>
  </si>
  <si>
    <t>L20221025027</t>
  </si>
  <si>
    <t>重庆水土</t>
  </si>
  <si>
    <t>SSLCQUN</t>
  </si>
  <si>
    <t>免费128个，超出部分50元/个/月，实际使用768个113.207.100.0/24,113.207.101.0/24,113.207.102.0/24</t>
  </si>
  <si>
    <t>免费128个，超出部分50元/个/月，实际使用768个</t>
  </si>
  <si>
    <t>CDNCQUN</t>
  </si>
  <si>
    <t>2016/8/25
2017/10
2018/9/11</t>
  </si>
  <si>
    <t>2019.10.1-2019.12.31共赠送416，CDN使用288个</t>
  </si>
  <si>
    <t>20220731退租后按照每个端口赠送52.3个+每个机柜赠送8个，目前在用1056个，整体免费342个，收费714个</t>
  </si>
  <si>
    <t>重庆3联通</t>
  </si>
  <si>
    <t>边缘计算新增128个，113.207.39.0/25</t>
  </si>
  <si>
    <t>重庆4联通</t>
  </si>
  <si>
    <t>20210812开始计费，按照合同约定共赠送672个，113.207.40.0/25 113.207.40.128/27</t>
  </si>
  <si>
    <t>边缘新增128个，111.43.177.0/25</t>
  </si>
  <si>
    <t>经与SYS确认此边缘新增128个，111.43.177.0/25未使用</t>
  </si>
  <si>
    <t>20220731退租，113.207.40.0/25 113.207.40.128/27</t>
  </si>
  <si>
    <t>20220731退租，113.207.105.128/25。2022年7月退租后CDN使用160个：113.207.105.0/25，113.207.88.96/27</t>
  </si>
  <si>
    <t>重庆联通
重庆联通2</t>
  </si>
  <si>
    <t>重庆3联通+重庆4联通</t>
  </si>
  <si>
    <t>扩容60G节点，机柜2018.10.1日开始计费</t>
  </si>
  <si>
    <t>商务反馈20190930退租2个，CQUN2F-2B-11，  CQUN2F-2B-12</t>
  </si>
  <si>
    <t>边缘计算，BECCQ3UN1F-12-05
BECCQ3UN1F-12-06
BECCQ3UN1F-12-07</t>
  </si>
  <si>
    <t>CQUN1F-12-16,CQUN1F-12-16替换CQ4UN1F-12-16</t>
  </si>
  <si>
    <t>20220731退租，CQ4UN1F-12-16</t>
  </si>
  <si>
    <t>20220731退租，CQUN1F-12-14</t>
  </si>
  <si>
    <t>20210106开始计费，CQUN3F-A10-15</t>
  </si>
  <si>
    <t>CDNCQUN-云托管</t>
  </si>
  <si>
    <t>云托管，云度小满，CQUN2F2A-05-1
CQUN2F2A-05-2
CQUN2F2A-05-3</t>
  </si>
  <si>
    <t>中国联合网络通信有限公司广州市分公司</t>
  </si>
  <si>
    <t>广州联通</t>
  </si>
  <si>
    <t>182115IDC00091</t>
  </si>
  <si>
    <t>化龙机房</t>
  </si>
  <si>
    <t>单价400元/公里/对芯，共三条分别如下：1、化龙至华新园：69.6公里；2、化龙至南沙M3A第一路由：全长67.8公里；3、化龙至南沙M3A第二路由：全长136.7公里.</t>
  </si>
  <si>
    <t>化龙园区光交箱—化龙机房业务机柜</t>
  </si>
  <si>
    <t>化龙机房—广州南沙M3A机房第一路由</t>
  </si>
  <si>
    <t>入局光纤</t>
  </si>
  <si>
    <t>A端：化龙1号楼百度机房203；Z端：化龙机房楼外南北光交箱</t>
  </si>
  <si>
    <t>计费时间从20210329修改为20210323，400元/月/对芯公里，不到一公里按照一公里收取，其中有3对芯长度为1公里，400*3*1，此与广东广播的华龙到南沙，华新园，博浩的光纤对应</t>
  </si>
  <si>
    <t>计费时间从20210329修改为20210323，400元/月/对芯公里，有3对芯长度为2公里，400*3*2，此与广东广播的华龙到南沙，华新园，博浩的光纤对应</t>
  </si>
  <si>
    <t>广州市番禺区龙荣路21号伟鑫产业园化龙1号楼百度机房203-广州市番禺区龙荣路21号伟鑫产业园化龙机房楼外北光交箱（即GJ03）</t>
  </si>
  <si>
    <t>510GXN10973898不到一公里按照一公里收取，纤芯长度0.927公里；广州市番禺区龙荣路21号伟鑫产业园化龙1号楼百度机房203-广州市番禺区龙荣路21号伟鑫产业园化龙机房楼外北光交箱（即GJ03）</t>
  </si>
  <si>
    <t>510GXN11067424不到一公里按照一公里收取，纤芯长度0.926公里；广州市番禺区龙荣路21号伟鑫产业园化龙1号楼百度机房203-广州市番禺区龙荣路21号伟鑫产业园化龙机房楼外北光交箱（即GJ03）</t>
  </si>
  <si>
    <t>510GXN10973855不到一公里按照一公里收取，纤芯长度0.951公里；广州市番禺区龙荣路21号伟鑫产业园化龙1号楼百度机房203-广州市番禺区龙荣路21号伟鑫产业园化龙机房楼外北光交箱（即GJ03）</t>
  </si>
  <si>
    <t>510GXN10973775不到一公里按照一公里收取，纤芯长度0.990公里；广州市番禺区龙荣路21号伟鑫产业园化龙1号楼百度机房203-广州市番禺区龙荣路21号伟鑫产业园化龙机房楼外北光交箱（即GJ03）</t>
  </si>
  <si>
    <t>广州市番禺区龙荣路21号伟鑫产业园化龙1号楼百度机房203-广州市番禺区龙荣路21号伟鑫产业园化龙机房楼外北光交箱（即GJ04）</t>
  </si>
  <si>
    <t>510GXN10973987不到一公里按照一公里收取，纤芯长度 1.645公里；广州市番禺区龙荣路21号伟鑫产业园化龙1号楼百度机房203-广州市番禺区龙荣路21号伟鑫产业园化龙机房楼外北光交箱（即GJ04）</t>
  </si>
  <si>
    <t>510GXN11067458不到一公里按照一公里收取，纤芯长度1.704公里；广州市番禺区龙荣路21号伟鑫产业园化龙1号楼百度机房203-广州市番禺区龙荣路21号伟鑫产业园化龙机房楼外北光交箱（即GJ04）</t>
  </si>
  <si>
    <t>1820202IDC00394</t>
  </si>
  <si>
    <t>GZNJ-M3A</t>
  </si>
  <si>
    <t>银行账户：3602062719200060879；南江二路7号百度华章机房-南江三路8号C、D栋101厂房百度云硕机房OF0063NP（第二路由）；550*24</t>
  </si>
  <si>
    <t>银行账户：3602062719200060879；南江二路7号百度华章机房-南江三路8号C、D栋101厂房百度云硕机房OF0059NP（第二路由):550*42</t>
  </si>
  <si>
    <t>银行账户：3602062719200060879；550*64</t>
  </si>
  <si>
    <t>广州南沙机房光纤A-广州市南沙区南江二路7号百度华章机房
B-广州市南沙区珠江街南江三路8号C、D栋101厂房百度云硕机房</t>
  </si>
  <si>
    <t>广州市南沙区南江二路7号南沙基地2楼202房 F03机柜-广州市南沙区珠江街南江三路8号D栋101厂房电信云硕机房GZM3AB101 D03 机柜</t>
  </si>
  <si>
    <t>联通（广东）产业互联网有限公司</t>
  </si>
  <si>
    <t>182115IDC00471</t>
  </si>
  <si>
    <t>BGP IP</t>
  </si>
  <si>
    <t>免费IPv4 1592个C即407552个</t>
  </si>
  <si>
    <t>免费IPv6：1个::/32</t>
  </si>
  <si>
    <t>免费IPv6：1个::/22</t>
  </si>
  <si>
    <t>182115IDC00140</t>
  </si>
  <si>
    <t>广州</t>
  </si>
  <si>
    <t>CDNGZUN</t>
  </si>
  <si>
    <t>使用768个，免费128个157.255.25.0/24,157.255.26.0/24,157.255.24.0/24</t>
  </si>
  <si>
    <t>1408个IP地址（即5C+128个，其中2.5C为SSLIP,3C为静态带宽IP）</t>
  </si>
  <si>
    <t>L20211208001</t>
  </si>
  <si>
    <t>GZHL</t>
  </si>
  <si>
    <t>IDC IP用GZNS   总6C  使用4C，
GZHL   总3C  使用3C</t>
  </si>
  <si>
    <t>广州联通产业互联网</t>
  </si>
  <si>
    <t>GZNJ-联通CDN</t>
  </si>
  <si>
    <t>GZNJ</t>
  </si>
  <si>
    <t>20211108开始计费，157.148.67.0/24 ,157.148.68.0/24</t>
  </si>
  <si>
    <t>20211108开始计费，分配157.148.65.0/24，157.148.66.0/24（实际使用157.148.65.0/24，157.148.66.0/27）</t>
  </si>
  <si>
    <t>20211108开始计费，2408:8756:0c9f:1000::/52</t>
  </si>
  <si>
    <t>广州联通4</t>
  </si>
  <si>
    <t>赠送288个IP，SYS反馈使用288个</t>
  </si>
  <si>
    <t>广州3联通</t>
  </si>
  <si>
    <t>边缘计算新增128个IP，163.177.9.0/25</t>
  </si>
  <si>
    <t>L20220119005</t>
  </si>
  <si>
    <t>边缘计算58.254.180.128/25</t>
  </si>
  <si>
    <t>20220526开始计费，157.148.69.0/24</t>
  </si>
  <si>
    <t>20220725退租，58.254.150.128/25</t>
  </si>
  <si>
    <t>4个ssl，编码批注GZUN-3F-01 
GZUN-3F-02
GZUN-3F-03
GZUN-3F-04</t>
  </si>
  <si>
    <t>新合同规定单价为5000元/月/架（含10A电，超出电量部分按照290元/A/月额外收取），按实际使用数量计费</t>
  </si>
  <si>
    <t>广州新节点</t>
  </si>
  <si>
    <t xml:space="preserve">GZUN3F-B-14、GZUN3F-B-15、GZUN3F-B-16、GZUN3F-B-17、GZUN3F-B-18、GZUN3F-B-19、GZUN3F-B-20、GZUN3F-B-21、GZUN3F-C-01、BECGZUN3F-H-04、BECGZUN3F-H-05
GZ3UN（5个）：GZUN3F-G-03、GZUN3F-G-04、GZUN3F-G-05、GZUN3F-F-05、GZUN3F-F-06
</t>
  </si>
  <si>
    <t>需要注意20200430退租7个，GZUN3F-B-15、GZUN3F-B-14、GZUN3F-B-16、GZUN3F-B-17、GZUN3F-B-18、GZUN3F-B-19、GZUN3F-B-20</t>
  </si>
  <si>
    <t>20200229CDN退租2个，GZUN3F-B-21、GZUN3F-C-01</t>
  </si>
  <si>
    <t>自2019年1月27日开始计费，GZUN3F-G-03、GZUN3F-G-04、GZUN3F-G-05、GZUN3F-F-05、GZUN3F-F-06（更新为BECGZUN3F-F-06）</t>
  </si>
  <si>
    <t>边缘计算，BECGZUN3F-E-06</t>
  </si>
  <si>
    <t>20220725退租GZUN3F-F-05
GZUN3F-G-03</t>
  </si>
  <si>
    <t>181915IDC00002</t>
  </si>
  <si>
    <t>电量为4.4KW的机柜</t>
  </si>
  <si>
    <t>27.3A</t>
  </si>
  <si>
    <t>电量为6KW的机柜，系统录入27A</t>
  </si>
  <si>
    <t>电量为7.04KW的机柜</t>
  </si>
  <si>
    <t>36.4A</t>
  </si>
  <si>
    <t>电量为8KW的机柜，系统录入36A</t>
  </si>
  <si>
    <t>20191225关闭1个GZHL1203-C-02</t>
  </si>
  <si>
    <t>电量为13.75KW的机柜</t>
  </si>
  <si>
    <t>电量为4.4KW的机柜（编号：GZHL1202-E-34、GZHL1202-D-03、GZHL1202-D-13、GZHL1202-D-08）</t>
  </si>
  <si>
    <t>电量为4.4KW的机柜（编号：GZHL1202-D-34）</t>
  </si>
  <si>
    <t>电量为7.04KW的机柜（编号：GZHL1402-I-20）</t>
  </si>
  <si>
    <t>电量为4.4KW的机柜（编号：GZHL1203-D-01）</t>
  </si>
  <si>
    <t>电量为4.4KW的机柜（编号：GZHL1202-I-03）</t>
  </si>
  <si>
    <t>电量为4.4KW的机柜（编号GZHL1202-I-01、GZHL1202-I-02、GZHL1202-I-33、GZHL1202-C-25、GZHL1202-C-30）</t>
  </si>
  <si>
    <t>经确认为外网核心机柜，合同约定外网核心机柜为27.3A</t>
  </si>
  <si>
    <t xml:space="preserve">GZHL1203-A-04
GZHL1203-B-04
</t>
  </si>
  <si>
    <t>GZHL1203-F-03
GZHL1203-F-04
GZHL1203-F-05
GZHL1203-F-06
GZHL1203-F-07
GZHL1203-F-08</t>
  </si>
  <si>
    <t>GZHL1402-I-10</t>
  </si>
  <si>
    <t>GZHL1203-E-08</t>
  </si>
  <si>
    <t xml:space="preserve">GZHL1402-E-03
GZHL1402-F-03
</t>
  </si>
  <si>
    <t>GZHL1402-E-04 GZHL1402-F-04</t>
  </si>
  <si>
    <t>GZHL1202-D-17
GZHL1202-D-10
GZHL1202-D-15
GZHL1202-D-12
GZHL1202-D-16
GZHL1202-D-09
GZHL1202-D-20
GZHL1202-D-11
GZHL1202-D-18
GZHL1202-D-21
GZHL1202-C-27
GZHL1202-C-15
GZHL1202-D-01
GZHL1202-D-04
GZHL1202-D-05
GZHL1202-D-07
GZHL1202-C-14
GZHL1202-C-28
GZHL1202-C-26
GZHL1202-D-02
GZHL1202-C-20
GZHL1202-C-24
GZHL1202-C-22
GZHL1202-C-18
GZHL1202-C-17
GZHL1202-C-19
GZHL1202-C-23
GZHL1202-C-21
GZHL1202-A-07
GZHL1202-A-09
GZHL1202-A-34
GZHL1202-A-10
GZHL1202-B-12
GZHL1202-B-13
GZHL1202-A-11
GZHL1202-B-33
GZHL1202-B-32
GZHL1202-B-30
GZHL1202-B-11
GZHL1202-A-19
GZHL1202-B-16
GZHL1202-A-17
GZHL1202-A-12
GZHL1202-B-14
GZHL1202-B-09
GZHL1202-B-08
GZHL1202-B-34
GZHL1202-B-15
GZHL1202-B-19
GZHL1202-B-10
GZHL1202-B-17
GZHL1202-A-16
GZHL1202-A-18
GZHL1202-A-14
GZHL1202-B-31
GZHL1202-B-04
GZHL1202-B-01
GZHL1202-B-06
GZHL1202-B-07
GZHL1202-B-03
GZHL1202-B-05
GZHL1202-B-26
GZHL1202-B-20
GZHL1202-C-08
GZHL1202-B-28
GZHL1202-A-29
GZHL1202-A-31
GZHL1202-A-25
GZHL1202-A-23
GZHL1202-A-27
GZHL1202-C-02
GZHL1202-A-33
GZHL1202-A-21
GZHL1202-B-21
GZHL1202-B-27
GZHL1202-C-09
GZHL1202-B-25
GZHL1202-A-28
GZHL1202-A-22
GZHL1202-A-30
GZHL1202-A-20
GZHL1202-C-07
GZHL1202-A-32
GZHL1202-C-01
GZHL1202-A-26</t>
  </si>
  <si>
    <t>超电流：2.1.2机柜费用：按照￥5980元/20A/月（大写[伍仟玖佰捌拾]元/20A/月），￥9568元/32A/月（大写[玖仟伍佰陆拾捌]元/32A/月）收取。机柜采用平均计电，单个机柜实际使用电力最高不超过机柜标准电力的120%，例如20A机柜用电不超过24A，32A机柜用电不超过38.4A。所有开通机柜实际使用的总电力不超过开通机柜标准电力的总和。如果机柜用电（列头柜处测算）超过上述标准，用电量每增加1A，按￥299元/月标准收取超量电费。</t>
  </si>
  <si>
    <t>GZHL1202-D-06
GZHL1202-D-22
GZHL1202-D-24
GZHL1202-D-25
GZHL1202-D-26
GZHL1202-D-27
GZHL1202-D-28
GZHL1202-D-30
GZHL1202-D-32
GZHL1202-D-33
GZHL1202-E-01
GZHL1202-E-02</t>
  </si>
  <si>
    <t xml:space="preserve">机架空置费：4.1甲方承诺在交付、通过甲方验收、布线测试完成且双路外市电同时具备供电能力后开始，首个12个月内，起租20A规格机架位550个。此后12个月内，起租20A规格机架位530个。
4.2甲方承诺合同期内1250个20A机架平均租赁期不少于80个月。如果合同期内每机柜、机柜位平均租赁期未达到80个月，则需双方协商在协议期满时按照20A机柜2600元/个/月标准，收取空置费。合同期内，对于因乙方原因（包括但不限于延期交付、电力、网络中断）等造成的机架无法使用，则需根据甲方实际无法使用的时间对约定最少租赁期进行相应的调整降低。因双方认可的分批交付，导致合同期内某批次机柜单位使用期小于96个月，则该批次最低租赁期同比调整降低。
</t>
  </si>
  <si>
    <t>1820202IDC00005</t>
  </si>
  <si>
    <t>华章机房(201,202,203,301,303房间）</t>
  </si>
  <si>
    <t>GZNJ202-E-12
GZNJ202-E-13
GZNJ202-E-14
GZNJ202-E-15
GZNJ202-E-16
GZNJ202-E-17
GZNJ202-E-18
GZNJ202-E-19
GZNJ202-E-20
GZNJ202-E-21
GZNJ202-E-22
GZNJ202-E-23
GZNJ202-E-24
GZNJ202-F-12
GZNJ202-F-13
GZNJ202-F-14
GZNJ202-F-15
GZNJ202-F-16</t>
  </si>
  <si>
    <t>GZNJ202-E-11
GZNJ202-E-25
GZNJ202-F-11
GZNJ201-A-01
GZNJ201-C-16
GZNJ201-C-17
GZNJ202-A-36
GZNJ203-H-01</t>
  </si>
  <si>
    <t xml:space="preserve">GZNJ202-E-08
GZNJ202-F-08
GZNJ201-C-18
GZNJ201-C-19
GZNJ201-F-18
GZNJ201-F-19
GZNJ202-B-16
GZNJ202-B-17
GZNJ202-B-18
GZNJ202-B-19
</t>
  </si>
  <si>
    <t>9KW，GZNJ202-G-10
GZNJ202-G-11
GZNJ202-H-10
GZNJ202-H-11</t>
  </si>
  <si>
    <t xml:space="preserve">24KW，GZNJ202-E-02
GZNJ202-F-02
GZNJ201-G-24
GZNJ201-H-25
GZNJ202-G-02
GZNJ202-G-04
GZNJ202-G-06
GZNJ202-G-08
GZNJ202-H-02
GZNJ202-H-04
</t>
  </si>
  <si>
    <t>1820202IDC00293</t>
  </si>
  <si>
    <t>24KW，GZNJ202-H-06
GZNJ202-H-08</t>
  </si>
  <si>
    <t xml:space="preserve">GZNJ202-E-01
GZNJ202-E-03
GZNJ202-E-10
GZNJ202-F-01
GZNJ202-F-03
GZNJ202-F-10
GZNJ201-G-25
GZNJ201-H-26
GZNJ202-G-01
GZNJ202-G-03
GZNJ202-G-05
GZNJ202-G-07
GZNJ202-G-09
GZNJ202-H-01
GZNJ202-H-03
GZNJ202-H-05
</t>
  </si>
  <si>
    <t>GZNJ202-H-07、GZNJ202-H-09</t>
  </si>
  <si>
    <t xml:space="preserve">GZNJ202-B-28
GZNJ202-B-29
GZNJ202-B-30
GZNJ202-B-31
GZNJ202-B-32
GZNJ202-B-33
GZNJ202-C-02
GZNJ202-C-03
GZNJ202-C-04
GZNJ202-C-05
GZNJ202-C-06
GZNJ202-C-07
GZNJ202-C-08
GZNJ202-C-09
GZNJ202-C-10
GZNJ202-C-11
GZNJ202-C-12
GZNJ202-C-13
GZNJ202-C-14
GZNJ202-C-15
GZNJ202-C-16
GZNJ202-C-17
GZNJ202-C-18
GZNJ202-C-19
GZNJ202-C-20
GZNJ202-C-21
GZNJ202-C-22
GZNJ202-C-23
GZNJ202-C-24
GZNJ202-C-25
GZNJ202-C-26
GZNJ202-C-27
GZNJ202-C-28
GZNJ202-C-29
GZNJ202-C-30
GZNJ202-C-31
GZNJ202-C-32
GZNJ202-C-33
GZNJ202-C-34
GZNJ202-D-01
GZNJ202-D-02
GZNJ202-D-03
GZNJ202-D-04
GZNJ202-D-05
GZNJ202-D-06
GZNJ202-D-07
GZNJ202-D-08
GZNJ202-D-09
GZNJ202-D-10
GZNJ202-D-11
GZNJ202-D-12
GZNJ202-D-13
GZNJ202-D-14
GZNJ202-D-15
GZNJ202-D-16
GZNJ202-D-17
GZNJ202-D-18
GZNJ202-D-19
GZNJ202-D-20
GZNJ202-D-21
GZNJ202-D-22
GZNJ202-D-23
GZNJ202-D-24
GZNJ202-D-25
GZNJ202-D-26
GZNJ202-D-27
GZNJ202-D-28
GZNJ202-D-29
GZNJ202-D-30
GZNJ202-D-31
GZNJ202-D-32
GZNJ202-D-33
GZNJ202-D-34
GZNJ202-D-35
GZNJ202-D-36
GZNJ202-A-01
GZNJ202-A-02
GZNJ202-A-03
GZNJ202-A-04
GZNJ202-A-05
GZNJ202-A-06
GZNJ202-A-07
GZNJ202-A-08
GZNJ202-A-09
GZNJ202-A-10
GZNJ202-A-11
GZNJ202-A-12
GZNJ202-A-13
GZNJ202-A-14
GZNJ202-A-15
GZNJ202-A-16
GZNJ202-A-17
GZNJ202-A-18
GZNJ202-A-19
GZNJ202-A-20
GZNJ202-A-21
GZNJ202-A-22
GZNJ202-A-23
GZNJ202-A-24
GZNJ202-A-25
GZNJ202-A-26
GZNJ202-A-27
GZNJ202-A-28
GZNJ202-A-29
GZNJ202-A-30
GZNJ202-A-31
GZNJ202-A-32
GZNJ202-A-33
GZNJ202-A-34
GZNJ202-B-02
GZNJ202-B-03
GZNJ202-B-04
GZNJ202-B-05
GZNJ202-B-06
GZNJ202-B-07
GZNJ202-B-08
GZNJ202-B-09
GZNJ202-B-10
GZNJ202-B-11
GZNJ202-B-12
GZNJ202-B-13
GZNJ202-B-14
GZNJ202-B-15
GZNJ202-B-20
GZNJ202-B-21
GZNJ202-B-22
GZNJ202-B-23
GZNJ202-B-24
GZNJ202-B-25
GZNJ202-B-26
GZNJ202-B-27
</t>
  </si>
  <si>
    <t>GZNJ201-A-02</t>
  </si>
  <si>
    <t xml:space="preserve">GZNJ201-A-03
GZNJ201-A-04
GZNJ201-A-05
GZNJ201-A-06
GZNJ201-A-07
GZNJ201-A-08
GZNJ201-A-09
GZNJ201-A-10
GZNJ201-A-11
GZNJ201-A-12
GZNJ201-A-13
GZNJ201-A-14
GZNJ201-A-15
GZNJ201-A-16
GZNJ201-A-17
GZNJ201-A-18
GZNJ201-A-19
GZNJ201-A-20
GZNJ201-A-21
GZNJ201-A-22
GZNJ201-A-23
GZNJ201-A-24
GZNJ201-A-25
GZNJ201-A-26
</t>
  </si>
  <si>
    <t>GZNJ203-C-13
GZNJ203-C-14</t>
  </si>
  <si>
    <t xml:space="preserve">GZNJ203-F-13
GZNJ203-F-14
</t>
  </si>
  <si>
    <t xml:space="preserve">GZNJ201-A-27
GZNJ201-A-28
GZNJ201-A-29
GZNJ201-A-30
GZNJ201-A-31
GZNJ201-A-32
GZNJ201-A-33
GZNJ201-A-34
GZNJ201-A-35
GZNJ201-A-36
GZNJ201-B-01
GZNJ201-B-02
GZNJ201-B-03
GZNJ201-B-04
GZNJ201-B-05
GZNJ201-B-06
GZNJ201-B-07
GZNJ201-B-08
GZNJ201-B-09
GZNJ201-B-10
GZNJ201-B-11
GZNJ201-B-12
GZNJ201-B-13
GZNJ201-B-14
GZNJ201-B-15
GZNJ201-B-16
GZNJ201-B-17
GZNJ201-B-18
GZNJ201-B-19
GZNJ201-B-20
GZNJ201-B-21
GZNJ201-B-22
GZNJ201-B-23
GZNJ201-B-24
GZNJ201-B-25
GZNJ201-B-26
GZNJ201-B-27
GZNJ201-B-28
GZNJ201-B-29
GZNJ201-B-30
GZNJ201-B-31
GZNJ201-B-32
GZNJ201-B-33
GZNJ201-B-34
GZNJ201-C-04
GZNJ201-C-05
GZNJ201-C-06
GZNJ201-C-07
GZNJ201-C-08
GZNJ201-C-09
</t>
  </si>
  <si>
    <t xml:space="preserve">GZNJ201-C-01
GZNJ201-C-02
GZNJ201-C-03
GZNJ201-C-10
GZNJ201-C-11
GZNJ201-C-12
GZNJ201-C-13
GZNJ201-C-14
GZNJ201-C-15
GZNJ201-C-20
GZNJ201-C-21
GZNJ201-C-22
GZNJ201-C-23
GZNJ201-C-24
GZNJ201-C-25
GZNJ201-C-26
GZNJ201-C-27
GZNJ201-C-28
GZNJ201-C-29
GZNJ201-C-30
GZNJ201-C-31
GZNJ201-C-32
GZNJ201-C-33
GZNJ201-C-34
GZNJ201-D-01
GZNJ201-D-02
GZNJ201-D-03
GZNJ201-D-04
GZNJ201-D-05
GZNJ201-D-06
GZNJ201-D-07
GZNJ201-D-08
GZNJ201-D-09
GZNJ201-D-10
GZNJ201-D-11
GZNJ201-D-12
GZNJ201-D-13
GZNJ201-D-14
GZNJ201-D-15
GZNJ201-D-16
GZNJ201-D-17
GZNJ201-D-18
GZNJ201-D-19
GZNJ201-D-20
GZNJ201-D-21
GZNJ201-D-22
GZNJ201-D-23
GZNJ201-D-24
GZNJ201-D-25
GZNJ201-D-26
GZNJ201-D-27
GZNJ201-D-28
GZNJ201-D-29
GZNJ201-D-30
GZNJ201-D-31
GZNJ201-D-32
GZNJ201-D-33
GZNJ201-D-34
GZNJ201-D-35
GZNJ201-D-36
GZNJ202-B-01
GZNJ202-B-34
</t>
  </si>
  <si>
    <t>GZNJ303-H-01</t>
  </si>
  <si>
    <t>GZNJ301-A-01</t>
  </si>
  <si>
    <t xml:space="preserve">GZNJ301-C-18
GZNJ301-C-19
GZNJ301-F-18
GZNJ301-F-19
GZNJ303-C-13
GZNJ303-C-14
</t>
  </si>
  <si>
    <t xml:space="preserve">GZNJ303-F-13
GZNJ303-F-14
</t>
  </si>
  <si>
    <t xml:space="preserve">GZNJ201-G-06
GZNJ201-G-07
GZNJ201-G-08
GZNJ201-G-09
GZNJ201-G-10
GZNJ201-G-11
GZNJ201-G-12
GZNJ201-G-13
GZNJ201-G-14
GZNJ201-G-15
GZNJ201-G-16
GZNJ201-G-17
GZNJ201-H-07
GZNJ201-H-08
GZNJ201-H-09
GZNJ201-H-10
</t>
  </si>
  <si>
    <t xml:space="preserve">GZNJ301-A-03
GZNJ301-A-04
GZNJ301-A-05
GZNJ301-A-06
GZNJ301-A-07
GZNJ301-A-08
GZNJ301-A-09
GZNJ301-A-10
GZNJ301-A-11
GZNJ301-A-12
GZNJ301-A-13
GZNJ301-A-14
GZNJ301-A-15
GZNJ301-A-16
GZNJ301-B-01
GZNJ301-B-02
GZNJ301-B-03
GZNJ301-B-04
GZNJ301-B-05
GZNJ301-B-06
GZNJ301-B-07
GZNJ301-B-08
GZNJ301-B-09
GZNJ301-B-10
GZNJ301-B-11
</t>
  </si>
  <si>
    <t xml:space="preserve">GZNJ301-B-12
GZNJ301-B-13
GZNJ301-B-14
GZNJ301-B-15
</t>
  </si>
  <si>
    <t xml:space="preserve">GZNJ201-H-11
GZNJ201-H-12
GZNJ201-H-13
GZNJ201-H-14
GZNJ201-H-15
GZNJ201-H-16
GZNJ201-H-17
GZNJ201-H-18
GZNJ203-A-01
GZNJ203-A-02
GZNJ203-A-03
GZNJ203-A-04
GZNJ203-A-05
GZNJ203-A-06
GZNJ203-A-07
GZNJ203-A-08
GZNJ203-A-09
GZNJ203-A-10
GZNJ203-B-01
GZNJ203-B-02
GZNJ203-B-03
GZNJ203-B-04
GZNJ203-B-05
GZNJ203-B-06
GZNJ203-B-07
GZNJ203-B-08
GZNJ203-B-09
GZNJ203-B-10
GZNJ203-C-01
GZNJ203-C-02
GZNJ203-C-03
GZNJ203-C-04
GZNJ203-D-01
GZNJ203-D-02
</t>
  </si>
  <si>
    <t>GZNJ201-F-30
GZNJ201-F-31
GZNJ201-F-32
GZNJ201-F-33
GZNJ201-F-34
GZNJ201-G-02
GZNJ201-G-03
GZNJ201-G-04
GZNJ201-G-05</t>
  </si>
  <si>
    <t xml:space="preserve">GZNJ201-E-01
GZNJ201-E-02
GZNJ201-E-03
GZNJ201-E-04
GZNJ201-E-05
GZNJ201-E-06
GZNJ201-E-07
GZNJ201-E-08
GZNJ201-E-09
GZNJ201-E-10
GZNJ201-E-11
GZNJ201-E-12
GZNJ201-E-13
GZNJ201-E-14
GZNJ201-E-15
GZNJ201-E-16
GZNJ201-E-17
GZNJ201-E-18
GZNJ201-E-19
GZNJ201-E-20
GZNJ201-E-21
GZNJ201-E-22
GZNJ201-E-23
GZNJ201-E-24
GZNJ201-E-25
GZNJ201-E-26
GZNJ201-E-27
GZNJ201-E-28
GZNJ201-E-29
GZNJ201-E-30
GZNJ201-E-31
GZNJ201-E-32
GZNJ201-E-33
GZNJ201-E-34
GZNJ201-E-35
GZNJ201-E-36
GZNJ201-F-01
GZNJ201-F-02
GZNJ201-F-03
GZNJ201-F-04
GZNJ201-F-05
GZNJ201-F-06
GZNJ201-F-07
</t>
  </si>
  <si>
    <t>GZNJ201-F-08
GZNJ201-F-09
GZNJ201-F-10
GZNJ201-F-11
GZNJ201-F-12
GZNJ201-F-13
GZNJ201-F-14
GZNJ201-F-15
GZNJ201-F-16
GZNJ201-F-17</t>
  </si>
  <si>
    <t>GZNJ201-G-01</t>
  </si>
  <si>
    <t>GZNJ301-A-17
GZNJ301-A-18
GZNJ301-A-19
GZNJ301-A-20
GZNJ301-A-21
GZNJ301-A-22
GZNJ301-A-23
GZNJ301-A-24
GZNJ301-A-25
GZNJ301-A-26
GZNJ301-A-27
GZNJ301-A-28
GZNJ301-A-29
GZNJ301-A-30
GZNJ301-B-16
GZNJ301-B-17
GZNJ301-B-18
GZNJ301-B-19
GZNJ301-B-20
GZNJ301-B-21
GZNJ301-B-22
GZNJ301-B-23
GZNJ301-B-24
GZNJ301-B-25
GZNJ301-B-26</t>
  </si>
  <si>
    <t>GZNJ201-H-01 GZNJ201-H-02</t>
  </si>
  <si>
    <t>GZNJ201-E-01
GZNJ201-E-02
GZNJ201-E-03
GZNJ201-E-04
GZNJ201-E-05
GZNJ201-E-06
GZNJ201-E-07
GZNJ201-E-08
GZNJ201-E-09
GZNJ201-E-10</t>
  </si>
  <si>
    <t>GZNJ201-F-20
GZNJ201-F-21
GZNJ201-F-22
GZNJ201-F-23
GZNJ201-F-24
GZNJ201-F-25
GZNJ201-F-26
GZNJ201-F-27
GZNJ201-F-28
GZNJ201-F-29</t>
  </si>
  <si>
    <t>GZNJ201-H-03、GZNJ201-H-04</t>
  </si>
  <si>
    <t>GZNJ301-B-27
GZNJ301-B-28
GZNJ301-B-29
GZNJ301-B-30
GZNJ301-B-31
GZNJ301-B-32
GZNJ301-B-33
GZNJ301-B-34</t>
  </si>
  <si>
    <t>GZNJ201-H-05 GZNJ201-H-06</t>
  </si>
  <si>
    <t>GZNJ202-H-11 GZNJ202-G-11</t>
  </si>
  <si>
    <t>GZNJ203-B-11
GZNJ301-F-01
GZNJ301-F-02
GZNJ301-F-03
GZNJ301-F-04
GZNJ301-F-05
GZNJ301-F-06
GZNJ301-F-07
GZNJ301-F-08
GZNJ301-F-09
GZNJ301-F-10
GZNJ301-F-11
GZNJ301-F-12
GZNJ301-F-13
GZNJ301-F-14
GZNJ301-F-15
GZNJ301-F-16
GZNJ301-F-17</t>
  </si>
  <si>
    <t>GZNJ203-A-12
GZNJ301-D-13
GZNJ301-D-14
GZNJ301-D-15
GZNJ301-D-16
GZNJ301-D-17
GZNJ301-D-18
GZNJ301-D-19
GZNJ301-D-20
GZNJ301-D-21
GZNJ301-D-22
GZNJ301-D-23
GZNJ301-D-24
GZNJ301-D-25
GZNJ301-D-26
GZNJ301-D-27
GZNJ301-D-28
GZNJ301-D-29</t>
  </si>
  <si>
    <t>GZNJ301-E-08
GZNJ301-E-09
GZNJ301-E-10
GZNJ301-E-11
GZNJ301-E-12
GZNJ301-E-13
GZNJ301-E-14
GZNJ301-E-15
GZNJ301-E-16
GZNJ301-E-17
GZNJ301-E-18</t>
  </si>
  <si>
    <t>GZNJ202-F-17
GZNJ202-F-18
GZNJ202-F-19
GZNJ202-F-20
GZNJ202-F-21
GZNJ202-F-22
GZNJ202-F-23
GZNJ202-F-24
GZNJ202-F-25</t>
  </si>
  <si>
    <t>GZNJ203-D-07
GZNJ203-D-08
GZNJ203-D-09
GZNJ203-D-10
GZNJ203-D-11
GZNJ203-D-12
GZNJ203-D-13
GZNJ203-D-14
GZNJ203-E-07
GZNJ203-E-08
GZNJ203-E-09
GZNJ203-E-10
GZNJ203-E-11</t>
  </si>
  <si>
    <t>其中  GZNJ202-E-09和GZNJ202-F-09机柜20210928修改电流为30A。GZNJ202-E-09
GZNJ202-F-09
GZNJ202-G-18
GZNJ202-G-19
GZNJ202-G-20
GZNJ202-G-21</t>
  </si>
  <si>
    <t>GZNJ202-G-13</t>
  </si>
  <si>
    <t>GZNJ202-E-09和GZNJ202-F-09机柜20210928修改电流为30A，因此20A电流记为20210927结束</t>
  </si>
  <si>
    <t>GZNJ202-E-09和GZNJ202-F-09机柜20210928修改电流为30A</t>
  </si>
  <si>
    <t>GZNJ203-A-11
GZNJ203-C-05
GZNJ203-C-06
GZNJ203-C-11
GZNJ203-C-12
GZNJ203-D-03
GZNJ203-D-04
GZNJ203-D-05
GZNJ203-D-06</t>
  </si>
  <si>
    <t>GZNJ202-G-11 GZNJ202-H-11</t>
  </si>
  <si>
    <t>GZNJ201-E-01
GZNJ201-E-02
GZNJ201-E-03
GZNJ201-E-04
GZNJ201-E-05
GZNJ201-E-06</t>
  </si>
  <si>
    <t>GZNJ201-E-09 GZNJ201-E-10</t>
  </si>
  <si>
    <t>GZNJ203-E-01
GZNJ203-E-02
GZNJ203-E-03
GZNJ203-E-04
GZNJ203-E-05
GZNJ203-E-06</t>
  </si>
  <si>
    <t xml:space="preserve">GZNJ301-C-16
GZNJ301-C-17
GZNJ301-C-20
GZNJ301-C-21
GZNJ301-C-22
GZNJ301-C-23
GZNJ301-C-24
GZNJ301-C-25
GZNJ301-C-26
GZNJ301-C-27
GZNJ301-C-28
GZNJ301-C-29
GZNJ301-C-30
GZNJ301-C-31
GZNJ301-C-32
GZNJ301-C-33
GZNJ301-C-34
GZNJ301-D-01
GZNJ301-D-02
GZNJ301-D-03
GZNJ301-D-04
GZNJ301-D-05
GZNJ301-D-06
GZNJ301-D-07
GZNJ301-D-08
GZNJ301-D-09
GZNJ301-D-10
GZNJ301-D-11
GZNJ301-D-12
GZNJ301-E-19
GZNJ301-E-20
GZNJ301-E-21
GZNJ301-E-22
GZNJ301-E-23
GZNJ301-E-24
GZNJ301-E-25
GZNJ301-E-26
GZNJ301-E-27
GZNJ301-E-28
GZNJ301-E-29
GZNJ301-E-30
GZNJ301-E-31
GZNJ301-E-32
GZNJ301-E-33
GZNJ301-E-34
GZNJ301-E-35
GZNJ303-E-01
GZNJ303-E-02
GZNJ303-E-03
GZNJ303-E-04
GZNJ303-E-05
GZNJ303-E-06
GZNJ303-E-07
GZNJ303-E-08
GZNJ303-E-09
GZNJ303-E-10
GZNJ303-E-11
</t>
  </si>
  <si>
    <t>GZNJ303-F-01
GZNJ303-F-02
GZNJ303-F-03
GZNJ303-F-04
GZNJ303-F-05
GZNJ303-F-06
GZNJ303-F-07
GZNJ303-F-08
GZNJ303-F-09
GZNJ303-F-10
GZNJ303-F-11
GZNJ303-F-12
GZNJ303-G-01
GZNJ303-G-02
GZNJ303-G-03
GZNJ303-G-04
GZNJ303-G-05
GZNJ303-G-06
GZNJ303-G-07
GZNJ303-G-08
GZNJ303-G-09
GZNJ303-G-10</t>
  </si>
  <si>
    <t>GZNJ203-F-01
GZNJ203-F-02
GZNJ203-F-03
GZNJ203-F-04
GZNJ203-F-05
GZNJ203-F-06
GZNJ203-F-07
GZNJ203-F-08
GZNJ203-F-09
GZNJ203-F-10
GZNJ203-F-11
GZNJ203-F-12
GZNJ203-G-01
GZNJ203-G-02
GZNJ203-G-03
GZNJ203-G-04
GZNJ203-G-05
GZNJ203-G-06
GZNJ203-G-07
GZNJ203-G-08
GZNJ203-G-09
GZNJ203-G-10
GZNJ203-G-11
GZNJ203-G-12
GZNJ203-G-13
GZNJ203-G-14
GZNJ203-H-02
GZNJ203-H-03
GZNJ203-H-04
GZNJ203-H-05
GZNJ203-H-06
GZNJ203-H-07
GZNJ203-H-08
GZNJ203-H-09</t>
  </si>
  <si>
    <t>GZNJ301-F-23
GZNJ301-F-24
GZNJ301-F-25
GZNJ301-F-26
GZNJ301-F-27
GZNJ301-F-28
GZNJ301-F-29
GZNJ301-F-30
GZNJ301-F-31
GZNJ301-F-32
GZNJ301-F-33
GZNJ301-F-34
GZNJ301-G-01
GZNJ301-G-02
GZNJ301-G-03
GZNJ301-G-04
GZNJ301-G-05
GZNJ301-G-06
GZNJ301-G-07
GZNJ301-G-08
GZNJ301-G-13
GZNJ301-G-14
GZNJ301-G-15
GZNJ301-G-16
GZNJ301-G-17
GZNJ301-G-18
GZNJ301-G-19
GZNJ301-G-20
GZNJ301-G-25
GZNJ301-G-26
GZNJ301-G-27
GZNJ301-G-28
GZNJ301-G-29
GZNJ301-G-30
GZNJ301-G-31
GZNJ301-G-32
GZNJ301-G-33
GZNJ301-G-34
GZNJ301-H-01
GZNJ301-H-02
GZNJ301-H-03
GZNJ301-H-04
GZNJ301-H-05
GZNJ301-H-06</t>
  </si>
  <si>
    <t>GZNJ301-C-01
GZNJ301-C-02
GZNJ301-C-03
GZNJ301-C-04
GZNJ301-C-05
GZNJ301-C-06
GZNJ301-C-07
GZNJ301-C-08
GZNJ301-C-09
GZNJ301-C-10
GZNJ301-C-13
GZNJ301-C-14
GZNJ301-C-15
GZNJ301-H-07
GZNJ301-H-08
GZNJ301-H-09
GZNJ301-H-10
GZNJ301-H-11
GZNJ301-H-12
GZNJ301-H-13
GZNJ301-H-14
GZNJ301-H-15
GZNJ301-H-16
GZNJ301-H-17
GZNJ301-H-18
GZNJ301-H-21
GZNJ301-H-22
GZNJ301-H-23
GZNJ301-H-24
GZNJ301-H-25
GZNJ301-H-26
GZNJ301-H-27
GZNJ301-H-28
GZNJ301-H-29
GZNJ301-H-30
GZNJ301-H-31
GZNJ301-H-32
GZNJ301-H-33
GZNJ301-H-34
GZNJ301-H-35
GZNJ301-H-36
GZNJ301-C-01
GZNJ301-C-02
GZNJ301-C-03</t>
  </si>
  <si>
    <t>GZNJ303-A-01
GZNJ303-A-02
GZNJ303-A-03
GZNJ303-A-04
GZNJ303-A-05
GZNJ303-A-06
GZNJ303-A-07
GZNJ303-A-08</t>
  </si>
  <si>
    <t>GZNJ202-G-14
GZNJ202-G-15</t>
  </si>
  <si>
    <t>SYS更新电流为0，MDF柜子，与商务沟通按照ODF价格计提，GZNJ202-A-35</t>
  </si>
  <si>
    <t>SYS更新电流为0，MDF柜子，与商务沟通按照ODF价格计提，GZNJ301-A-02</t>
  </si>
  <si>
    <t>GZNJ201-E-01
GZNJ201-E-02</t>
  </si>
  <si>
    <t>GZNJ301-E-16</t>
  </si>
  <si>
    <t>GZNJ301-E-16
GZNJ303-A-09
GZNJ303-A-10
GZNJ303-A-11
GZNJ303-B-01
GZNJ303-B-02
GZNJ303-B-03
GZNJ303-B-04
GZNJ303-B-05
GZNJ303-B-06
GZNJ303-B-07
GZNJ303-B-08
GZNJ303-C-01
GZNJ303-C-02
GZNJ303-C-03
GZNJ303-C-04
GZNJ303-C-05
GZNJ303-C-06
GZNJ303-C-07
GZNJ303-C-08
GZNJ303-C-09
GZNJ303-C-10
GZNJ303-C-11
GZNJ303-C-12
GZNJ303-D-01
GZNJ303-D-02
GZNJ303-D-03
GZNJ303-D-04
GZNJ303-D-05
GZNJ303-D-06
GZNJ303-D-07
GZNJ303-D-08
GZNJ303-D-09
GZNJ303-D-10
GZNJ303-D-11
GZNJ303-D-12
GZNJ303-D-13
GZNJ303-D-14</t>
  </si>
  <si>
    <t>GZNJ303-B-09
GZNJ303-B-10
GZNJ303-B-11
GZNJ303-B-12</t>
  </si>
  <si>
    <t>182115IDC00418</t>
  </si>
  <si>
    <t>华章机房二期（401，402房间）</t>
  </si>
  <si>
    <t>动环交付2021年7月19号 GZNJ401-A-02
GZNJ401-A-03
GZNJ401-A-05
GZNJ401-A-06
GZNJ401-A-07
GZNJ401-A-09
GZNJ401-A-10
GZNJ401-A-11</t>
  </si>
  <si>
    <t>GZNJ401-A-04
GZNJ401-A-08
GZNJ401-A-12</t>
  </si>
  <si>
    <t xml:space="preserve">GZNJ401-B-23
GZNJ401-B-24
GZNJ401-B-25
GZNJ401-B-26
GZNJ401-B-27
GZNJ401-B-28
GZNJ401-B-29
GZNJ401-B-30
GZNJ401-B-31
GZNJ401-B-32
GZNJ401-B-33
GZNJ401-B-34
</t>
  </si>
  <si>
    <t xml:space="preserve">GZNJ401-A-13
GZNJ401-A-14
GZNJ401-A-15
GZNJ401-A-16
GZNJ401-A-17
GZNJ401-A-18
GZNJ401-A-19
GZNJ401-A-20
GZNJ401-A-21
GZNJ401-A-22
GZNJ401-A-23
GZNJ401-A-24
GZNJ401-A-25
GZNJ401-A-26
GZNJ401-A-27
GZNJ401-A-28
GZNJ401-A-29
GZNJ401-A-30
GZNJ401-A-31
GZNJ401-A-32
GZNJ401-A-33
GZNJ401-A-34
GZNJ401-A-35
GZNJ401-A-36
</t>
  </si>
  <si>
    <t xml:space="preserve">GZNJ401-B-13
GZNJ401-B-14
GZNJ401-B-15
GZNJ401-B-16
GZNJ401-B-17
GZNJ401-B-18
GZNJ401-B-19
GZNJ401-B-20
GZNJ401-B-21
GZNJ401-B-22
</t>
  </si>
  <si>
    <t>GZNJ401-A-01
GZNJ402-A-36</t>
  </si>
  <si>
    <t>经与sys确认此8个机柜为20A，因此2021年9月开始从30A修改为20AGZNJ401-C-18
GZNJ401-C-19
GZNJ401-F-18
GZNJ401-F-19
GZNJ402-C-16
GZNJ402-C-17
GZNJ402-F-16
GZNJ402-F-17</t>
  </si>
  <si>
    <t>GZNJ401-D-19
GZNJ401-E-19
GZNJ402-D-18
GZNJ402-E-18</t>
  </si>
  <si>
    <t>测试电：GZNJ401-B-03
GZNJ401-B-07
GZNJ401-B-10
GZNJ401-C-02
GZNJ401-C-06
GZNJ401-C-10
GZNJ401-C-13
GZNJ401-C-17
GZNJ401-C-21
GZNJ401-C-24
GZNJ401-C-28
GZNJ401-C-32
GZNJ401-D-03
GZNJ401-D-07
GZNJ401-D-11
GZNJ401-D-15
GZNJ401-D-17
GZNJ401-D-21
GZNJ401-D-23
GZNJ401-D-27
GZNJ401-D-31
GZNJ401-D-35
GZNJ401-E-02
GZNJ401-E-06
GZNJ401-E-10
GZNJ401-E-14
GZNJ401-E-18
GZNJ401-E-21
GZNJ401-E-24
GZNJ401-E-26
GZNJ401-E-30
GZNJ401-E-34
GZNJ401-F-02
GZNJ401-F-06
GZNJ401-F-10
GZNJ401-F-12
GZNJ401-F-16
GZNJ401-F-21
GZNJ401-F-25
GZNJ401-F-29
GZNJ401-F-33
GZNJ401-G-02
GZNJ401-G-04
GZNJ401-G-08
GZNJ401-G-12
GZNJ401-G-16
GZNJ401-G-20
GZNJ401-G-24
GZNJ401-G-28
GZNJ401-G-32
GZNJ401-H-03
GZNJ401-H-07
GZNJ401-H-11
GZNJ401-H-15
GZNJ401-H-19
GZNJ401-H-23
GZNJ401-H-27
GZNJ401-H-31
GZNJ401-H-35
GZNJ402-A-02
GZNJ402-A-04
GZNJ402-A-08
GZNJ402-A-12
GZNJ402-A-16
GZNJ402-A-20
GZNJ402-A-24
GZNJ402-A-28
GZNJ402-A-32
GZNJ402-B-03
GZNJ402-B-07
GZNJ402-B-11
GZNJ402-B-15
GZNJ402-B-17
GZNJ402-B-21
GZNJ402-B-25
GZNJ402-B-29
GZNJ402-B-33
GZNJ402-C-02
GZNJ402-C-06
GZNJ402-C-10
GZNJ402-C-14
GZNJ402-C-19
GZNJ402-C-21
GZNJ402-C-25
GZNJ402-C-29
GZNJ402-C-33
GZNJ402-D-03
GZNJ402-D-07
GZNJ402-D-11
GZNJ402-D-13
GZNJ402-D-16
GZNJ402-D-19
GZNJ402-D-23
GZNJ402-D-27
GZNJ402-D-31
GZNJ402-D-35
GZNJ402-E-02
GZNJ402-E-06
GZNJ402-E-10
GZNJ402-E-14
GZNJ402-E-16
GZNJ402-E-20
GZNJ402-E-22
GZNJ402-E-26
GZNJ402-E-30
GZNJ402-E-34
GZNJ402-F-03
GZNJ402-F-07
GZNJ402-F-11
GZNJ402-F-14
GZNJ402-F-18
GZNJ402-F-22
GZNJ402-F-25
GZNJ402-F-29
GZNJ402-F-33
GZNJ402-G-02
GZNJ402-G-04
GZNJ402-G-08
GZNJ402-G-12
GZNJ402-G-16
GZNJ402-G-20
GZNJ402-G-24
GZNJ402-G-28
GZNJ402-G-32
GZNJ402-H-03
GZNJ402-H-07
GZNJ402-H-11
GZNJ402-H-15
GZNJ402-H-19
GZNJ402-H-23
GZNJ402-H-27
GZNJ402-H-31
GZNJ402-H-35</t>
  </si>
  <si>
    <t>20210806内133个测试电中有3个20210901转为正式电，因此测试电按照202108031结束记录，GZNJ401-B-03
GZNJ401-B-07
GZNJ401-B-10</t>
  </si>
  <si>
    <t>其中包含20210806的133个测试电转正式电3个，GZNJ401-B-01
GZNJ401-B-02
GZNJ401-B-03
GZNJ401-B-04
GZNJ401-B-05
GZNJ401-B-06
GZNJ401-B-07
GZNJ401-B-08
GZNJ401-B-09
GZNJ401-B-10
GZNJ401-B-11
GZNJ401-B-12</t>
  </si>
  <si>
    <t>20210806内133个测试电中有9个20210905转为正式电，因此测试电按照202109004结束记录，GZNJ401-C-02
GZNJ401-C-06
GZNJ401-C-10
GZNJ401-C-13
GZNJ401-C-17
GZNJ401-C-21
GZNJ401-C-24
GZNJ401-C-28
GZNJ401-C-32</t>
  </si>
  <si>
    <t>其中包含20210806的133个测试电转正式电9个，GZNJ401-C-01
GZNJ401-C-02
GZNJ401-C-03
GZNJ401-C-04
GZNJ401-C-05
GZNJ401-C-06
GZNJ401-C-07
GZNJ401-C-08
GZNJ401-C-09
GZNJ401-C-10
GZNJ401-C-11
GZNJ401-C-12
GZNJ401-C-13
GZNJ401-C-14
GZNJ401-C-15
GZNJ401-C-16
GZNJ401-C-17
GZNJ401-C-20
GZNJ401-C-21
GZNJ401-C-22
GZNJ401-C-23
GZNJ401-C-24
GZNJ401-C-25
GZNJ401-C-26
GZNJ401-C-27
GZNJ401-C-28
GZNJ401-C-29
GZNJ401-C-30
GZNJ401-C-31
GZNJ401-C-32</t>
  </si>
  <si>
    <t>20210806内133个测试电101个关闭，GZNJ401-F-02
GZNJ401-F-06
GZNJ401-F-10
GZNJ401-F-12
GZNJ401-F-16
GZNJ401-F-21
GZNJ401-F-25
GZNJ401-F-29
GZNJ401-F-33
GZNJ402-A-02
GZNJ402-A-04
GZNJ402-A-08
GZNJ402-A-12
GZNJ402-A-16
GZNJ402-A-20
GZNJ402-A-24
GZNJ402-A-28
GZNJ402-A-32
GZNJ402-B-03
GZNJ402-B-07
GZNJ402-B-11
GZNJ402-B-15
GZNJ402-B-17
GZNJ402-B-21
GZNJ401-G-02
GZNJ401-G-04
GZNJ401-G-08
GZNJ401-G-12
GZNJ401-G-16
GZNJ401-G-20
GZNJ401-G-24
GZNJ401-G-28
GZNJ401-G-32
GZNJ401-H-03
GZNJ401-H-07
GZNJ401-H-11
GZNJ401-H-15
GZNJ401-H-19
GZNJ401-H-23
GZNJ401-H-27
GZNJ401-H-31
GZNJ401-H-35
GZNJ402-B-25
GZNJ402-B-29
GZNJ402-B-33
GZNJ402-C-02
GZNJ402-C-06
GZNJ402-C-10
GZNJ402-C-14
GZNJ402-C-19
GZNJ402-C-21
GZNJ402-C-25
GZNJ402-C-29
GZNJ402-C-33
GZNJ402-D-03
GZNJ402-D-07
GZNJ402-D-11
GZNJ402-D-13
GZNJ402-D-16
GZNJ402-D-19
GZNJ402-D-23
GZNJ402-D-27
GZNJ402-D-31
GZNJ402-D-35
GZNJ402-E-02
GZNJ402-E-06
GZNJ402-E-10
GZNJ402-E-14
GZNJ402-E-16
GZNJ402-E-20
GZNJ402-E-22
GZNJ402-E-26
GZNJ402-E-30
GZNJ402-E-34
GZNJ402-F-03
GZNJ402-F-07
GZNJ402-F-11
GZNJ402-F-14
GZNJ402-F-18
GZNJ402-F-22
GZNJ402-F-25
GZNJ402-F-29
GZNJ402-F-33
GZNJ402-G-02
GZNJ402-G-04
GZNJ402-G-08
GZNJ402-G-12
GZNJ402-G-16
GZNJ402-G-20
GZNJ402-G-24
GZNJ402-G-28
GZNJ402-G-32
GZNJ402-H-03
GZNJ402-H-07
GZNJ402-H-11
GZNJ402-H-15
GZNJ402-H-19
GZNJ402-H-23
GZNJ402-H-27
GZNJ402-H-31
GZNJ402-H-35</t>
  </si>
  <si>
    <t>20210806内133个测试电有20个20210908转为正式电，因此测试电按照202109007结束记录，GZNJ401-D-03
GZNJ401-D-07
GZNJ401-D-11
GZNJ401-D-15
GZNJ401-D-17
GZNJ401-D-21
GZNJ401-D-23
GZNJ401-D-27
GZNJ401-D-31
GZNJ401-D-35
GZNJ401-E-02
GZNJ401-E-06
GZNJ401-E-10
GZNJ401-E-14
GZNJ401-E-18
GZNJ401-E-21
GZNJ401-E-24
GZNJ401-E-26
GZNJ401-E-30
GZNJ401-E-34</t>
  </si>
  <si>
    <t>其中包含20210806的133个测试电转正式电20个，GZNJ401-C-33
GZNJ401-C-34
GZNJ401-D-01
GZNJ401-D-02
GZNJ401-D-03
GZNJ401-D-04
GZNJ401-D-05
GZNJ401-D-06
GZNJ401-D-07
GZNJ401-D-08
GZNJ401-D-09
GZNJ401-D-10
GZNJ401-D-11
GZNJ401-D-12
GZNJ401-D-13
GZNJ401-D-14
GZNJ401-D-15
GZNJ401-D-16
GZNJ401-D-17
GZNJ401-D-18
GZNJ401-D-20
GZNJ401-D-21
GZNJ401-D-22
GZNJ401-D-23
GZNJ401-D-24
GZNJ401-D-25
GZNJ401-D-26
GZNJ401-D-27
GZNJ401-D-28
GZNJ401-D-29
GZNJ401-D-30
GZNJ401-D-31
GZNJ401-D-32
GZNJ401-D-33
GZNJ401-D-34
GZNJ401-D-35
GZNJ401-D-36
GZNJ401-E-01
GZNJ401-E-02
GZNJ401-E-03
GZNJ401-E-04
GZNJ401-E-05
GZNJ401-E-06
GZNJ401-E-07
GZNJ401-E-08
GZNJ401-E-09
GZNJ401-E-10
GZNJ401-E-11
GZNJ401-E-12
GZNJ401-E-13
GZNJ401-E-14
GZNJ401-E-15
GZNJ401-E-16
GZNJ401-E-17
GZNJ401-E-18
GZNJ401-E-20
GZNJ401-E-21
GZNJ401-E-22
GZNJ401-E-23
GZNJ401-E-24
GZNJ401-E-25
GZNJ401-E-26
GZNJ401-E-27
GZNJ401-E-28
GZNJ401-E-29
GZNJ401-E-30
GZNJ401-E-31
GZNJ401-E-32
GZNJ401-E-33
GZNJ401-E-34
GZNJ401-E-35
GZNJ401-E-36</t>
  </si>
  <si>
    <t>其中包含20210806的133个测试电转正式电24个，GZNJ401-F-01
GZNJ401-F-02
GZNJ401-F-03
GZNJ401-F-04
GZNJ401-F-05
GZNJ401-F-06
GZNJ401-F-07
GZNJ401-F-08
GZNJ401-F-09
GZNJ401-F-10
GZNJ401-F-11
GZNJ401-F-12
GZNJ401-F-13
GZNJ401-F-14
GZNJ401-F-15
GZNJ401-F-16
GZNJ401-F-17
GZNJ401-F-20
GZNJ401-F-21
GZNJ401-F-22
GZNJ401-F-23
GZNJ401-F-24
GZNJ401-F-25
GZNJ401-F-26
GZNJ401-F-27
GZNJ401-F-28
GZNJ401-F-29
GZNJ401-F-30
GZNJ401-F-31
GZNJ401-F-32
GZNJ401-F-33
GZNJ401-F-34
GZNJ402-A-01
GZNJ402-A-02
GZNJ402-A-03
GZNJ402-A-04
GZNJ402-A-05
GZNJ402-A-06
GZNJ402-A-07
GZNJ402-A-08
GZNJ402-A-09
GZNJ402-A-10
GZNJ402-A-11
GZNJ402-A-12
GZNJ402-A-13
GZNJ402-A-14
GZNJ402-A-15
GZNJ402-A-16
GZNJ402-A-17
GZNJ402-A-18
GZNJ402-A-19
GZNJ402-A-20
GZNJ402-A-21
GZNJ402-A-22
GZNJ402-A-23
GZNJ402-A-24
GZNJ402-A-25
GZNJ402-A-26
GZNJ402-A-27
GZNJ402-A-28
GZNJ402-A-29
GZNJ402-A-30
GZNJ402-A-31
GZNJ402-A-32
GZNJ402-A-33
GZNJ402-A-34
GZNJ402-B-01
GZNJ402-B-02
GZNJ402-B-03
GZNJ402-B-04
GZNJ402-B-05
GZNJ402-B-06
GZNJ402-B-07
GZNJ402-B-08
GZNJ402-B-09
GZNJ402-B-10
GZNJ402-B-11
GZNJ402-B-12
GZNJ402-B-13
GZNJ402-B-14
GZNJ402-B-15
GZNJ402-B-16
GZNJ402-B-17
GZNJ402-B-18
GZNJ402-B-19
GZNJ402-B-20
GZNJ402-B-21</t>
  </si>
  <si>
    <t>其中包含20210906关闭测试电的27个GZNJ402-E-06
GZNJ402-E-10
GZNJ402-E-14
GZNJ402-E-16
GZNJ402-E-20
GZNJ402-E-22
GZNJ402-E-26
GZNJ402-E-30
GZNJ402-E-34
GZNJ402-F-03
GZNJ402-F-07
GZNJ402-F-11
GZNJ402-F-14
GZNJ402-F-18
GZNJ402-F-22
GZNJ402-E-03
GZNJ402-E-04
GZNJ402-E-05
GZNJ402-E-07
GZNJ402-E-08
GZNJ402-E-09
GZNJ402-E-11
GZNJ402-E-12
GZNJ402-E-13
GZNJ402-E-15
GZNJ402-E-17
GZNJ402-E-19
GZNJ402-E-21
GZNJ402-E-23
GZNJ402-E-24
GZNJ402-E-25
GZNJ402-E-27
GZNJ402-E-28
GZNJ402-E-29
GZNJ402-E-31
GZNJ402-E-32
GZNJ402-E-33
GZNJ402-E-35
GZNJ402-E-36
GZNJ402-F-01
GZNJ402-F-02
GZNJ402-F-04
GZNJ402-F-05
GZNJ402-F-06
GZNJ402-F-08
GZNJ402-F-09
GZNJ402-F-10
GZNJ402-F-12
GZNJ402-F-13
GZNJ402-F-15
GZNJ402-F-19
GZNJ402-F-20
GZNJ402-F-21
GZNJ402-F-23
GZNJ402-F-24
GZNJ402-F-26
GZNJ402-F-27
GZNJ402-F-28
GZNJ402-F-30
GZNJ402-F-31
GZNJ402-F-32
GZNJ402-F-34
GZNJ402-G-01
GZNJ402-G-03
GZNJ402-G-05
GZNJ402-G-06
GZNJ402-G-07
GZNJ402-G-09
GZNJ402-G-10
GZNJ402-G-11
GZNJ402-G-13
GZNJ402-G-14
GZNJ402-G-15
GZNJ402-G-17
GZNJ402-G-18
GZNJ402-G-19
GZNJ402-G-21
GZNJ402-G-22
GZNJ402-G-23
GZNJ402-G-25
GZNJ402-G-26
GZNJ402-G-27
GZNJ402-G-29
GZNJ402-G-30
GZNJ402-G-31
GZNJ402-G-33
GZNJ402-G-34
GZNJ402-F-25
GZNJ402-F-29
GZNJ402-F-33
GZNJ402-G-02
GZNJ402-G-04
GZNJ402-G-08
GZNJ402-G-12
GZNJ402-G-16
GZNJ402-G-20
GZNJ402-G-24
GZNJ402-G-28
GZNJ402-G-32</t>
  </si>
  <si>
    <t>GZNJ402-E-01 GZNJ402-E-02</t>
  </si>
  <si>
    <t>其中包含20210806的133个测试电转正式电22个GZNJ402-B-25
GZNJ402-B-29
GZNJ402-B-33
GZNJ402-C-02
GZNJ402-C-06
GZNJ402-C-10
GZNJ402-C-14
GZNJ402-C-19
GZNJ402-C-21
GZNJ402-C-25
GZNJ402-C-29
GZNJ402-C-33
GZNJ402-D-03
GZNJ402-D-07
GZNJ402-D-11
GZNJ402-D-13
GZNJ402-D-16
GZNJ402-D-19
GZNJ402-D-23
GZNJ402-D-27
GZNJ402-D-31
GZNJ402-D-35
GZNJ402-B-22
GZNJ402-B-23
GZNJ402-B-24
GZNJ402-B-26
GZNJ402-B-27
GZNJ402-B-28
GZNJ402-B-30
GZNJ402-B-31
GZNJ402-B-32
GZNJ402-B-34
GZNJ402-C-01
GZNJ402-C-03
GZNJ402-C-04
GZNJ402-C-05
GZNJ402-C-07
GZNJ402-C-08
GZNJ402-C-09
GZNJ402-C-11
GZNJ402-C-12
GZNJ402-C-13
GZNJ402-C-15
GZNJ402-C-18
GZNJ402-C-20
GZNJ402-C-22
GZNJ402-C-23
GZNJ402-C-24
GZNJ402-C-26
GZNJ402-C-27
GZNJ402-C-28
GZNJ402-C-30
GZNJ402-C-31
GZNJ402-C-32
GZNJ402-C-34
GZNJ402-D-01
GZNJ402-D-02
GZNJ402-D-04
GZNJ402-D-05
GZNJ402-D-06
GZNJ402-D-08
GZNJ402-D-09
GZNJ402-D-10
GZNJ402-D-12
GZNJ402-D-14
GZNJ402-D-15
GZNJ402-D-17
GZNJ402-D-20
GZNJ402-D-21
GZNJ402-D-22
GZNJ402-D-24
GZNJ402-D-25
GZNJ402-D-26
GZNJ402-D-28
GZNJ402-D-29
GZNJ402-D-30
GZNJ402-D-32
GZNJ402-D-33
GZNJ402-D-34</t>
  </si>
  <si>
    <t>GZNJ402-H-01
GZNJ402-H-02
GZNJ402-H-03
GZNJ402-H-04
GZNJ402-H-05
GZNJ402-H-06
GZNJ402-H-07
GZNJ402-H-08
GZNJ402-H-09
GZNJ402-H-10
GZNJ402-H-11
GZNJ402-H-12
GZNJ402-H-13
GZNJ402-H-14
GZNJ402-H-15</t>
  </si>
  <si>
    <t>GZNJ402-H-16
GZNJ402-H-17
GZNJ402-H-18
GZNJ402-H-19
GZNJ402-H-20
GZNJ402-H-21
GZNJ402-H-22
GZNJ402-H-23
GZNJ402-H-24
GZNJ402-H-25
GZNJ402-H-26
GZNJ402-H-27
GZNJ402-H-28
GZNJ402-H-29
GZNJ402-H-30
GZNJ402-H-31
GZNJ402-H-32
GZNJ402-H-33
GZNJ402-H-34
GZNJ402-H-35
GZNJ402-H-36</t>
  </si>
  <si>
    <t>SYS更新电流为0，MDF柜子，与商务沟通按照ODF价格计提，GZNJ402-A-35</t>
  </si>
  <si>
    <t>GZNJ402-D-36</t>
  </si>
  <si>
    <t>182215IDC00074</t>
  </si>
  <si>
    <t>华章机房三期（101、302房间）</t>
  </si>
  <si>
    <t>测试电GZNJ101-A-02
GZNJ101-A-06
GZNJ101-A-10
GZNJ101-A-14
GZNJ101-A-17
GZNJ101-B-03
GZNJ101-B-07
GZNJ101-B-11
GZNJ101-B-15
GZNJ101-B-17
GZNJ101-B-18
GZNJ101-C-02
GZNJ101-C-06
GZNJ101-C-09
GZNJ101-C-12
GZNJ101-C-15
GZNJ101-D-01
GZNJ101-D-04
GZNJ101-D-08
GZNJ101-D-12
GZNJ101-D-16
GZNJ101-E-02
GZNJ101-E-06
GZNJ101-E-10
GZNJ101-E-14
GZNJ101-E-17
GZNJ101-E-18
GZNJ101-F-01
GZNJ101-F-02
GZNJ101-F-05
GZNJ101-F-09
GZNJ101-F-12
GZNJ101-F-15</t>
  </si>
  <si>
    <t>测试电GZNJ302-C-16
GZNJ302-C-17
GZNJ302-F-16
GZNJ302-F-17
GZNJ302-A-02
GZNJ302-A-04
GZNJ302-A-08
GZNJ302-A-12
GZNJ302-A-16
GZNJ302-A-20
GZNJ302-A-24
GZNJ302-A-28
GZNJ302-A-32
GZNJ302-B-03
GZNJ302-B-07
GZNJ302-B-11
GZNJ302-B-15
GZNJ302-B-17
GZNJ302-B-21
GZNJ302-B-25
GZNJ302-B-29
GZNJ302-B-33
GZNJ302-C-02
GZNJ302-C-06
GZNJ302-C-10
GZNJ302-C-14
GZNJ302-C-19
GZNJ302-C-21
GZNJ302-C-25
GZNJ302-C-29
GZNJ302-C-33
GZNJ302-D-03
GZNJ302-D-07
GZNJ302-D-11
GZNJ302-D-13
GZNJ302-D-16
GZNJ302-D-19
GZNJ302-D-23
GZNJ302-D-27
GZNJ302-D-31
GZNJ302-D-35
GZNJ302-E-02
GZNJ302-E-06
GZNJ302-E-10
GZNJ302-E-14
GZNJ302-E-16
GZNJ302-E-20
GZNJ302-E-22
GZNJ302-E-26
GZNJ302-E-30
GZNJ302-E-34
GZNJ302-F-03
GZNJ302-F-07
GZNJ302-F-11
GZNJ302-F-14
GZNJ302-F-18
GZNJ302-F-22
GZNJ302-F-25
GZNJ302-F-29
GZNJ302-F-33
GZNJ302-G-02
GZNJ302-G-04
GZNJ302-G-08
GZNJ302-G-12
GZNJ302-G-16
GZNJ302-G-20
GZNJ302-G-24
GZNJ302-G-28
GZNJ302-G-32
GZNJ302-H-03
GZNJ302-H-07
GZNJ302-H-11
GZNJ302-H-15
GZNJ302-H-19
GZNJ302-H-23
GZNJ302-H-27
GZNJ302-H-31
GZNJ302-H-35
GZNJ302-A-36</t>
  </si>
  <si>
    <t>测试电关闭，GZNJ101-A-02
GZNJ101-A-06
GZNJ101-A-10
GZNJ101-A-14
GZNJ101-A-17
GZNJ101-B-03
GZNJ101-B-07
GZNJ101-B-11
GZNJ101-B-15
GZNJ101-B-17
GZNJ101-B-18
GZNJ101-C-02
GZNJ101-C-06
GZNJ101-C-09
GZNJ101-C-12
GZNJ101-C-15
GZNJ101-D-01
GZNJ101-D-04
GZNJ101-D-08
GZNJ101-D-12
GZNJ101-D-16
GZNJ101-E-02
GZNJ101-E-06
GZNJ101-E-10
GZNJ101-E-14
GZNJ101-E-17
GZNJ101-E-18
GZNJ101-F-01
GZNJ101-F-02
GZNJ101-F-05
GZNJ101-F-09
GZNJ101-F-12
GZNJ101-F-15
GZNJ302-C-16
GZNJ302-C-17
GZNJ302-F-16
GZNJ302-F-17
GZNJ302-A-02
GZNJ302-A-04
GZNJ302-A-08
GZNJ302-A-12
GZNJ302-A-16
GZNJ302-A-20
GZNJ302-A-24
GZNJ302-A-28
GZNJ302-A-32
GZNJ302-B-03
GZNJ302-B-07
GZNJ302-B-11
GZNJ302-B-15
GZNJ302-B-17
GZNJ302-B-21
GZNJ302-B-25
GZNJ302-B-29
GZNJ302-B-33
GZNJ302-C-02
GZNJ302-C-06
GZNJ302-C-10
GZNJ302-C-14
GZNJ302-C-19
GZNJ302-C-21
GZNJ302-C-25
GZNJ302-C-29
GZNJ302-C-33
GZNJ302-D-03
GZNJ302-D-07
GZNJ302-D-11
GZNJ302-D-13
GZNJ302-D-16
GZNJ302-D-19
GZNJ302-D-23
GZNJ302-D-27
GZNJ302-D-31
GZNJ302-D-35
GZNJ302-E-02
GZNJ302-E-06
GZNJ302-E-10
GZNJ302-E-14
GZNJ302-E-16
GZNJ302-E-20
GZNJ302-E-22
GZNJ302-E-26
GZNJ302-E-30
GZNJ302-E-34
GZNJ302-F-03
GZNJ302-F-07
GZNJ302-F-11
GZNJ302-F-14
GZNJ302-F-18
GZNJ302-F-22
GZNJ302-F-25
GZNJ302-F-29
GZNJ302-F-33
GZNJ302-G-02
GZNJ302-G-04
GZNJ302-G-08
GZNJ302-G-12
GZNJ302-G-16
GZNJ302-G-20
GZNJ302-G-24
GZNJ302-G-28
GZNJ302-G-32
GZNJ302-H-03
GZNJ302-H-07
GZNJ302-H-11
GZNJ302-H-15
GZNJ302-H-19
GZNJ302-H-23
GZNJ302-H-27
GZNJ302-H-31
GZNJ302-H-35
GZNJ302-A-36</t>
  </si>
  <si>
    <t>2022年3月19日开始计费。GZNJ101-B-17
GZNJ101-B-18
GZNJ101-E-17
GZNJ101-E-18
GZNJ101-F-01
GZNJ302-A-36
GZNJ302-C-16
GZNJ302-C-17
GZNJ302-F-16
GZNJ302-F-17</t>
  </si>
  <si>
    <t>2022年3月19日开始计费。GZNJ302-D-18
GZNJ101-C-16
GZNJ101-D-18
GZNJ302-E-18</t>
  </si>
  <si>
    <t>SYS更新电流为0，MDF柜子，与商务沟通按照ODF价格计提，GZNJ302-A-35</t>
  </si>
  <si>
    <t>GZNJ101-A-01
GZNJ101-A-02
GZNJ101-A-03</t>
  </si>
  <si>
    <t xml:space="preserve">GZNJ302-A-01
GZNJ302-A-02
</t>
  </si>
  <si>
    <t>GZNJ302-A-03
GZNJ302-A-04
GZNJ302-A-05
GZNJ302-A-06
GZNJ302-A-07
GZNJ302-A-08
GZNJ302-A-09
GZNJ302-A-10
GZNJ302-A-11
GZNJ302-A-12
GZNJ302-A-13
GZNJ302-A-14
GZNJ302-A-15
GZNJ302-A-16
GZNJ302-A-17
GZNJ302-A-18
GZNJ302-A-19
GZNJ302-A-20
GZNJ302-A-21
GZNJ302-A-22
GZNJ302-A-23
GZNJ302-A-24
GZNJ302-A-25
GZNJ302-A-26
GZNJ302-A-27
GZNJ302-A-28
GZNJ302-A-29
GZNJ302-A-30
GZNJ302-A-31
GZNJ302-A-32
GZNJ302-A-33
GZNJ302-A-34
GZNJ302-B-02
GZNJ302-B-03
GZNJ302-B-04
GZNJ302-B-05
GZNJ302-B-06
GZNJ302-B-07</t>
  </si>
  <si>
    <t>GZNJ302-B-08
GZNJ302-B-09
GZNJ302-B-10
GZNJ302-B-11
GZNJ302-C-29
GZNJ302-C-30
GZNJ302-C-31
GZNJ302-C-32
GZNJ302-C-33
GZNJ302-C-34</t>
  </si>
  <si>
    <t>GZNJ302-B-12
GZNJ302-B-13
GZNJ302-B-14
GZNJ302-B-15
GZNJ302-B-16
GZNJ302-B-17
GZNJ302-B-18
GZNJ302-B-19
GZNJ302-B-20
GZNJ302-B-21
GZNJ302-B-22
GZNJ302-B-23
GZNJ302-B-24
GZNJ302-B-25
GZNJ302-B-26
GZNJ302-B-27
GZNJ302-B-28
GZNJ302-B-29
GZNJ302-B-30
GZNJ302-B-31
GZNJ302-B-32
GZNJ302-B-33
GZNJ302-B-34
GZNJ302-C-01
GZNJ302-C-02
GZNJ302-C-03
GZNJ302-C-04
GZNJ302-C-05
GZNJ302-C-06
GZNJ302-C-07
GZNJ302-C-08
GZNJ302-C-09
GZNJ302-C-10
GZNJ302-C-11
GZNJ302-C-12
GZNJ302-C-13
GZNJ302-C-14
GZNJ302-C-15
GZNJ302-C-18
GZNJ302-C-19
GZNJ302-C-20
GZNJ302-C-21
GZNJ302-C-22
GZNJ302-C-23
GZNJ302-C-24
GZNJ302-C-25
GZNJ302-C-26
GZNJ302-C-27
GZNJ302-C-28
GZNJ302-D-01
GZNJ302-D-02
GZNJ302-D-03</t>
  </si>
  <si>
    <t xml:space="preserve">GZNJ101-A-01
GZNJ101-A-02
GZNJ101-A-03
</t>
  </si>
  <si>
    <t>动环是22年2月18号验收交付。双方约定，新增机柜月租单价为5000元/月/架。按照4.4kw功率标准机柜的价格上，超出部分按照实际电流情况付费。要求如下：机柜按照平均记电，每个机柜均可支持到24A/5.3kW，所有机柜平均不会超过20A，超出20A部分按照单价250元/月/A额外计费。</t>
  </si>
  <si>
    <t>L20221025036</t>
  </si>
  <si>
    <t>ip代播费用,2个C（2500*2），BD告知20200401开始</t>
  </si>
  <si>
    <t>IP代播2个C，106.13.254.0/23</t>
  </si>
  <si>
    <t>182215IDC00478</t>
  </si>
  <si>
    <t>揭阳</t>
  </si>
  <si>
    <t>揭阳联通</t>
  </si>
  <si>
    <t>CDNJIEYUN</t>
  </si>
  <si>
    <t xml:space="preserve">20220930退租。20220701开始计费，免费544个，边缘计算使用512个，112.90.42.0/25
112.90.43.0/24
112.90.44.0/25       </t>
  </si>
  <si>
    <t>20220701开始计费，边缘计算2408:8756:E2FF:0100::/56</t>
  </si>
  <si>
    <t>20220930退租。</t>
  </si>
  <si>
    <t>边缘计算，20220701开始计费，BECJIEYUN3F-C3-813</t>
  </si>
  <si>
    <t>边缘计算，20220930退租。BECJIEYUN3F-C3-813</t>
  </si>
  <si>
    <t>超出电流每A290</t>
  </si>
  <si>
    <t>潮州</t>
  </si>
  <si>
    <t>潮州联通</t>
  </si>
  <si>
    <t>CDNCHAOZUN</t>
  </si>
  <si>
    <t>20220701开始计费，免费552个，边缘计算使用528个，赠送112.90.209.0/28
112.90.210.0/24
112.90.211.0/24</t>
  </si>
  <si>
    <t>20220701开始计费，边缘计算2408:8756:DCFF:E000::/56</t>
  </si>
  <si>
    <t>边缘计算，20220701开始计费，BECCHAOZUN1F-C1-201</t>
  </si>
  <si>
    <t>L20230306003</t>
  </si>
  <si>
    <t>揭阳2联通</t>
  </si>
  <si>
    <t>CDNJIEYUN2</t>
  </si>
  <si>
    <t>边缘计算使用520个，112.90.45.0/24
112.90.43.0/24
112.90.44.0/29</t>
  </si>
  <si>
    <t>边缘计算。2408:8756:e2ff:200::/56</t>
  </si>
  <si>
    <t>边缘计算。3F301-07-BEC02</t>
  </si>
  <si>
    <t>中国联合网络通信有限公司贵州省分公司</t>
  </si>
  <si>
    <t>贵州联通</t>
  </si>
  <si>
    <t>182215IDC00582</t>
  </si>
  <si>
    <t>贵阳</t>
  </si>
  <si>
    <t>贵阳联通</t>
  </si>
  <si>
    <t>CDNGYUN</t>
  </si>
  <si>
    <t>使用160，每个机柜赠送8个IP（61.243.8.0/25 61.243.8.128/27）</t>
  </si>
  <si>
    <t>免费</t>
  </si>
  <si>
    <t>IPV6:联通提供IPV6地址地址[1]个/56，其中免费[1]个/56，收费[0]个/56。2408:876A:1020:0800::/56</t>
  </si>
  <si>
    <t>边缘计算新增128个，61.243.9.0/25</t>
  </si>
  <si>
    <t>边缘计算新增1段，2408:876A:1020:0801::/64</t>
  </si>
  <si>
    <t>边缘计算新增128个，61.243.9.128/25</t>
  </si>
  <si>
    <t>22A</t>
  </si>
  <si>
    <t>GYUN6F-604-01，GYUN6F-604-02调整为GYUN6F-06-04
GYUN6F-06-05</t>
  </si>
  <si>
    <t xml:space="preserve">边缘计算，BECGYUN6F-06-01
BECGYUN6F-06-02
</t>
  </si>
  <si>
    <t>中国联合网络通信有限公司广安市分公司</t>
  </si>
  <si>
    <t>广安联通</t>
  </si>
  <si>
    <t>182015IDC00171</t>
  </si>
  <si>
    <t>广安</t>
  </si>
  <si>
    <t>广安2联通</t>
  </si>
  <si>
    <t>CBUCDNGAUN</t>
  </si>
  <si>
    <t>使用288个，免费512个（每万兆提供免费IP 128个)（124.161.37.0/24 175.153.62.0/27）</t>
  </si>
  <si>
    <t>2021年8月31日退租</t>
  </si>
  <si>
    <t>GAUN3F-8-3、GAUN3F-8-4</t>
  </si>
  <si>
    <t>20210831退租</t>
  </si>
  <si>
    <t>中国联合网络通信有限公司广东省分公司</t>
  </si>
  <si>
    <t>广东联通</t>
  </si>
  <si>
    <t>182115IDC00480</t>
  </si>
  <si>
    <t>广州化龙-广州南沙8M</t>
  </si>
  <si>
    <t>当月费用 2019.6.4开通</t>
  </si>
  <si>
    <t>深圳-苏州8M</t>
  </si>
  <si>
    <t xml:space="preserve">当月费用 2019.3.5开通，需要支付给深圳：sys已确认在用见财务备份。苏州深圳ANE0096NP     广东省深圳市南山区学府路东百度国际大厦超核机房--江苏省苏州市昆山市花桥经济开发区东城大道万国数据机房 </t>
  </si>
  <si>
    <t>182015IDC00282</t>
  </si>
  <si>
    <t>科技园-广州M3A</t>
  </si>
  <si>
    <t>主合同季付，北京百度科技园到广州M3A核心机房200G，账户中国建设银行广州市天河支行 44001581301059016888</t>
  </si>
  <si>
    <t>百度M1-深圳百度国际大厦</t>
  </si>
  <si>
    <t>主合同季付，北京百度M1机房到深圳百度国际大厦200G，账户中国建设银行广州市天河支行 44001581301059016888</t>
  </si>
  <si>
    <t>中国联合网络通信有限公司长沙市分公司</t>
  </si>
  <si>
    <t>长沙联通</t>
  </si>
  <si>
    <t>L20220920003</t>
  </si>
  <si>
    <t>长沙三级联通</t>
  </si>
  <si>
    <t>20220901开始计费。免费512个，使用288个，116.162.119.0/24，116.162.76.0/27</t>
  </si>
  <si>
    <t>两段64位IPV6</t>
  </si>
  <si>
    <t>中国移动通信集团广东有限公司广州分公司</t>
  </si>
  <si>
    <t>广州移动</t>
  </si>
  <si>
    <t>182115IDC00289</t>
  </si>
  <si>
    <t>GZBH</t>
  </si>
  <si>
    <t>ip代播费用，2个C，2500*2</t>
  </si>
  <si>
    <t>更新计费日期为20200929，2个C,2500*2</t>
  </si>
  <si>
    <t>L20221025017</t>
  </si>
  <si>
    <t>赠送512个。超出后50元/个/月。</t>
  </si>
  <si>
    <t>CDNGZCM3</t>
  </si>
  <si>
    <t>20220531退租带宽后IP整体免费416个。每个万兆赠送32个。20220731退租带宽后IP整体免费96个</t>
  </si>
  <si>
    <t>CDNGZCM</t>
  </si>
  <si>
    <t>需要注意广州移动GZCM20200531退租320G对应退租了512个ip。</t>
  </si>
  <si>
    <t>广州移动SSL</t>
  </si>
  <si>
    <t>CDNGZCM2</t>
  </si>
  <si>
    <t>202106开始因为SSL退租20G计费数据为128个；sys反馈SSL使用512个，新合同内每个万兆赠送32个，CDN+SSL330G，赠送1056个，共使用1184个</t>
  </si>
  <si>
    <t>sys反馈CDN目前使用288+边缘计算256+边缘计算128（120.232.171.0/24(BEC IP) 120.232.177.0/25(BEC IP)）</t>
  </si>
  <si>
    <t xml:space="preserve">	CDNGZCM3</t>
  </si>
  <si>
    <t>20220531退租带宽后IP整体免费416个。每个万兆赠送32个。20220731退租带宽后IP整体免费96个。广州移动边缘计算需求128个</t>
  </si>
  <si>
    <t>先按照20220819退租记录。CDN120.232.170.128/25</t>
  </si>
  <si>
    <t>181815IDC00115</t>
  </si>
  <si>
    <t>博浩</t>
  </si>
  <si>
    <t>赠送3072个</t>
  </si>
  <si>
    <t>L20210629001</t>
  </si>
  <si>
    <t>赠送5120个</t>
  </si>
  <si>
    <t>182315IDC00080</t>
  </si>
  <si>
    <t>GZHXY</t>
  </si>
  <si>
    <t>IP保底费用</t>
  </si>
  <si>
    <t>云甲，20230228退租</t>
  </si>
  <si>
    <t>如激活数量超过256个IP，按每个ip100元/月收费</t>
  </si>
  <si>
    <t>南方基地</t>
  </si>
  <si>
    <t>需要注意周睿发邮件预计20200531退租13个，CM2F-12-11、CM2F-12-10、CM2F-13-13、CM2F-12-13、CM2F-12-09、CM2F-12-08、CM2F-12-07、CM2F-12-06、CM2F-12-05、CM2F-12-04、CM2F-12-03、CM2F-12-02、CM2F-12-01</t>
  </si>
  <si>
    <t xml:space="preserve">GZCM32F201-I-03
GZCM32F201-I-02
GZCM32F201-I-01
GZCM32F201-H-05
GZCM32F201-H-04
GZCM32F201-H-03
GZCM32F201-H-02
GZCM32F201-H-01
GZCM32F201-I-06
GZCM32F201-I-05
GZCM32F201-I-04
</t>
  </si>
  <si>
    <t>广州移动边缘计算需求 GZCM32F201-J-01，GZCM32F201-J-02，GZCM32F201-J-03，GZCM32F201-J-04</t>
  </si>
  <si>
    <t>广州5移动</t>
  </si>
  <si>
    <t>边缘计算，BECGZCM32F201-K-03</t>
  </si>
  <si>
    <t>GZCM32F201-H-05,GZCM32F201-I-04,GZCM32F201-I-05,GZCM32F201-I-02,GZCM32F201-I-03,GZCM32F201-I-06,GZCM32F201-I-01</t>
  </si>
  <si>
    <t>20220815退租，GZCM32F201-H-01,GZCM32F201-H-02,GZCM32F201-H-03</t>
  </si>
  <si>
    <t xml:space="preserve">原205机房 的机柜退租，搬迁到308机房：GZCM205-B05-10
GZCM205-B05-11
GZCM205-B05-12
</t>
  </si>
  <si>
    <t>SSLGZCM</t>
  </si>
  <si>
    <t>机柜编号为GZCMC3308-K-01至08</t>
  </si>
  <si>
    <t>20220331退租，GZCMC3308-K-01,GZCMC3308-K-02,GZCMC3308-K-07,GZCMC3308-K-08</t>
  </si>
  <si>
    <t>L20220725002</t>
  </si>
  <si>
    <t>科学城</t>
  </si>
  <si>
    <t>8KW，36A</t>
  </si>
  <si>
    <t>机架保底承诺：需要注意合同1.4保底承诺：甲方承诺自起租日起计，第三年首月起承诺保底租用1200个IDC主机托管服务，如实际租用不足1200个，则按1200个计费。乙方保证第三年首月起提供不少于1400个IDC主机托管服务的容量。</t>
  </si>
  <si>
    <t>13.7KW，62.5A</t>
  </si>
  <si>
    <t>GZHXY3A-E-05 GGZHXY3A-E-06 机柜</t>
  </si>
  <si>
    <t>截至2019年8月1989个，2019年9月关闭17个(0904-1个+0908-16个）</t>
  </si>
  <si>
    <t>GZHXY5A-H-24~25</t>
  </si>
  <si>
    <t>GZHXY5A-G-23~24</t>
  </si>
  <si>
    <t>GZHXY3A-D-15， 
GZHXY3A-D-16</t>
  </si>
  <si>
    <t>GZHXY3A-D-13</t>
  </si>
  <si>
    <t>GZHXY4B-A-01
GZHXY4B-A-03
GZHXY4B-A-04
GZHXY4B-A-05
GZHXY4B-A-12
GZHXY4B-A-14
GZHXY4B-A-15
GZHXY4B-A-16
GZHXY4B-A-17</t>
  </si>
  <si>
    <t>GZHXY6B-A-22</t>
  </si>
  <si>
    <t>20190808新增GZHXY5A-H-27，GZHXY5A-H-26</t>
  </si>
  <si>
    <t>20190902开通GZHXY5A-I-27，GZHXY5A-I-28</t>
  </si>
  <si>
    <t>20190911开通4个GZHXY6B-A-23-26</t>
  </si>
  <si>
    <t>20190904关闭1个GZHXY3A-D-09</t>
  </si>
  <si>
    <t xml:space="preserve">20190908关闭16个GZHXY5A-B-15
GZHXY5A-B-16
GZHXY5A-B-17
GZHXY5A-B-18
GZHXY5A-B-21
GZHXY5A-B-22
GZHXY5A-B-23
GZHXY5A-B-24
GZHXY5A-C-06
GZHXY5A-C-07
GZHXY5A-C-10
GZHXY5A-C-11
GZHXY5A-G-05
GZHXY5A-G-06
GZHXY5A-G-07
GZHXY5A-G-08
</t>
  </si>
  <si>
    <t xml:space="preserve">20191203关闭6个GZHXY5A-H-15
GZHXY5A-H-14
GZHXY5A-H-09
GZHXY5A-H-10
GZHXY5B-C-26
GZHXY5B-C-27
</t>
  </si>
  <si>
    <t>20200323开通1个GZHXY3A-D-09</t>
  </si>
  <si>
    <t>20200617开通2个，GZHXY5A-C-10，GZHXY5A-C-11</t>
  </si>
  <si>
    <t>20201210开通1个，GZHXY4A-E-08</t>
  </si>
  <si>
    <t>20210317开通2个，GZHXY5A-G-05
GZHXY5A-G-06</t>
  </si>
  <si>
    <t>8.8KW，40A</t>
  </si>
  <si>
    <t>运营商开通之日-2022年6月按照低价格结算。202207开始按照8.8KW的价格计算。20210318开通1个8.8KW，GZHXY3A-D-14，但是运营商说因为原合同181515IDC0038里面没有此规格因此按照8KW计算，先计提在临时合同上后期进行确认并调整</t>
  </si>
  <si>
    <t xml:space="preserve">20210326开通8个，GZHXY5A-B-15
GZHXY5A-B-16
GZHXY5A-B-17
GZHXY5A-B-18
GZHXY5A-B-21
GZHXY5A-B-22
GZHXY5A-B-23
GZHXY5A-B-24
</t>
  </si>
  <si>
    <t>20210419开通1个，GZHXY5B-C-13</t>
  </si>
  <si>
    <t>20210605关闭4个GZHXY6B-A-10
GZHXY6B-A-12
GZHXY6B-A-14
GZHXY6B-A-16</t>
  </si>
  <si>
    <t>GZHXY5A-H-09 GZHXY5A-H-10</t>
  </si>
  <si>
    <t>GZHXY5A-H-14 GZHXY5A-H-15</t>
  </si>
  <si>
    <t>GZHXY5B-C-26 GZHXY5B-C-27</t>
  </si>
  <si>
    <t>GZHXY5A-G-07 GZHXY5A-G-08</t>
  </si>
  <si>
    <t>GZHXY3A-D-06 GZHXY3A-D-05机柜改造36A更改成40.9A</t>
  </si>
  <si>
    <t>运营商按照9091价格结算。GZHXY3A-D-06 GZHXY3A-D-05机柜改造36A更改成40.9A</t>
  </si>
  <si>
    <t xml:space="preserve">20220322当天关当天改造完开通，机柜改造36A更改成81.8A
GZHXY5A-D-23 GZHXY5A-D-22 </t>
  </si>
  <si>
    <t>20210325当天关当天改造完开通，GZHXY3A-E-05 机柜改造62.5A更改成109A</t>
  </si>
  <si>
    <t>20210330当天关当天改造完开通，GGZHXY3A-E-06 机柜改造62.5A更改成109A</t>
  </si>
  <si>
    <t>GZHXY5A-B-06
GZHXY5A-B-07
GZHXY5A-C-14</t>
  </si>
  <si>
    <t>GZHXY3A-A-01
GZHXY3A-A-02
GZHXY5A-C-04
GZHXY5A-C-05</t>
  </si>
  <si>
    <t>GZHXY6B-A-09
GZHXY6B-A-13
GZHXY6B-A-15</t>
  </si>
  <si>
    <t>1.4保底承诺：甲方承诺自起租日起计，第三年首月起承诺保底租用1200个IDC主机托管服务，如实际租用不足1200个，则按1200个计费。乙方保证第三年首月起提供不少于1400个IDC主机托管服务的容量。</t>
  </si>
  <si>
    <t>181915IDC00143
181815IDC00115</t>
  </si>
  <si>
    <t xml:space="preserve">博浩一期价格调整需要注意：（1）如甲方在起租当月起计12个月内开通1800个机柜，则自第13个月开始，4.4KW机柜给予甲方优惠价调整为5850元/机柜/月，8.8KW机柜给予甲方优惠价调整为11700元/机柜/月，13.75KW机柜给予甲方优惠价调整为17550元/机柜/月。
（2）如甲方在起租当月起计18个月内开通1800个机柜，则自第19个月开始，4.4KW机柜给予甲方优惠价调整为5900元/机柜/月，8.8KW机柜给予甲方优惠价调整为11800元/机柜/月，13.75KW机柜给予甲方优惠价调整为17700元/机柜/月。
</t>
  </si>
  <si>
    <t>110A</t>
  </si>
  <si>
    <t>11月15日双方邮件确认机柜功率为110A，价格以单安计算（297.5元/A）。9月上架，11月整月计费</t>
  </si>
  <si>
    <t>11月15日双方邮件确认机柜功率为30A，价格以单安计算（297.5元/A）。9月上架，11月整月计费</t>
  </si>
  <si>
    <t>功率为13.75KW，11月上架</t>
  </si>
  <si>
    <t>GZBH503-L-08~11</t>
  </si>
  <si>
    <t>GZBH503-A-13，GZBH503-A-12</t>
  </si>
  <si>
    <t>GZBH301-E-01~08，GZBH301-E-10~13，GZBH301-M-15，GZBH302-M-15，GZBH201-M-15，GZBH202-M-15，GZBH203-M-15</t>
  </si>
  <si>
    <t>GZBH503-A-06~11</t>
  </si>
  <si>
    <t>GZBH301-B-08，GZBH301-B-10</t>
  </si>
  <si>
    <t>GZBH401-A-09</t>
  </si>
  <si>
    <t>GZBH501-H-04、GZBH501-H-05</t>
  </si>
  <si>
    <t xml:space="preserve">20190807新增2个GZBH503-A-04
GZBH503-A-05
</t>
  </si>
  <si>
    <t>20190814新增2个GZBH502-E-02
GZBH502-E-03</t>
  </si>
  <si>
    <t>20190822新增2个GZBH502-F-04
GZBH502-F-05</t>
  </si>
  <si>
    <t>20190814关闭1个GZBH303-F-01</t>
  </si>
  <si>
    <t xml:space="preserve">20190906开通69个，其中二期6个：一期机柜GZBH401-B-01
GZBH401-C-04
GZBH401-C-05
GZBH401-F-01
GZBH401-H-01
GZBH402-J-01
GZBH402-J-02
GZBH402-J-03
GZBH402-J-04
GZBH402-J-05
GZBH402-J-06
GZBH402-J-07
GZBH402-J-08
GZBH402-J-09
GZBH402-J-10
GZBH402-J-11
GZBH402-J-12
GZBH402-J-13
GZBH402-J-15
GZBH402-K-01
GZBH402-K-02
GZBH402-K-03
GZBH402-K-04
GZBH402-K-05
GZBH402-K-06
GZBH402-K-07
GZBH402-K-08
GZBH402-K-09
GZBH402-K-10
GZBH402-K-11
GZBH402-K-12
GZBH402-K-13
GZBH402-L-01
GZBH402-L-12
GZBH403-A-01
GZBH403-A-02
GZBH403-A-08
GZBH403-A-09
GZBH403-A-10
GZBH403-A-11
GZBH403-A-12
GZBH403-A-13
GZBH403-A-14
GZBH403-A-15
GZBH403-B-01
GZBH403-B-02
GZBH403-B-13
GZBH403-B-14
GZBH403-C-03
GZBH403-C-04
GZBH403-C-05
GZBH403-C-06
GZBH403-C-07
GZBH403-C-08
GZBH403-C-09
GZBH403-C-10
GZBH403-C-11
GZBH403-C-12
GZBH403-C-13
GZBH403-D-01
GZBH403-D-02
GZBH403-D-03
GZBH403-D-04
</t>
  </si>
  <si>
    <t>20190912开通36个，其中二期有32个：一期机柜GZBH402-G-02
GZBH402-G-03
GZBH402-G-07
GZBH402-G-06</t>
  </si>
  <si>
    <t xml:space="preserve">20191027开通12个GZBH501-H-06
GZBH501-H-07
GZBH503-E-02
GZBH503-E-03
GZBH503-E-06
GZBH503-E-07
GZBH503-E-10
GZBH503-E-11
GZBH503-E-14
GZBH503-E-15
GZBH503-F-04
GZBH503-F-05
</t>
  </si>
  <si>
    <t xml:space="preserve">20191101开通22个GZBH403-A-03
GZBH403-C-01
GZBH403-A-04
GZBH403-A-05
GZBH403-A-06
GZBH403-A-07
GZBH403-B-03
GZBH403-B-04
GZBH403-B-05
GZBH403-B-06
GZBH403-B-07
GZBH403-B-08
GZBH403-B-09
GZBH403-B-10
GZBH403-B-11
GZBH403-B-12
GZBH403-B-15
GZBH403-C-02
GZBH403-D-05
GZBH403-D-06
GZBH403-D-07
GZBH403-D-08
</t>
  </si>
  <si>
    <t>20191122开通1个GZBH303-F-01</t>
  </si>
  <si>
    <t xml:space="preserve">20191209关闭8个GZBH502-B-10
GZBH502-B-11
GZBH502-D-06
GZBH502-D-07
GZBH502-E-04
GZBH502-E-05
GZBH502-F-08
GZBH502-F-09
</t>
  </si>
  <si>
    <t xml:space="preserve">20191206开通4个GZBH501-K-12
GZBH501-K-13
GZBH501-K-14
GZBH501-K-15
</t>
  </si>
  <si>
    <t>20191224开通2个GZBH503-E-08
GZBH503-E-09</t>
  </si>
  <si>
    <t xml:space="preserve">20200119开通4个GZBH503-J-12
GZBH503-J-13
GZBH503-J-14
GZBH503-J-15
</t>
  </si>
  <si>
    <t>20200306开通2个GZBH501-J-02，GZBH501-J-03</t>
  </si>
  <si>
    <t xml:space="preserve">20200317开通8个GZBH501-C-01
GZBH501-C-02
GZBH501-C-03
GZBH501-C-08
GZBH501-D-01
GZBH501-D-02
GZBH501-D-03
GZBH501-D-09
</t>
  </si>
  <si>
    <t>20200410关闭2个，GZBH502-E-14
GZBH502-E-15</t>
  </si>
  <si>
    <t>20200611开通GZBH202-E-08
GZBH202-E-09
GZBH202-E-10
GZBH202-E-11
GZBH202-F-02
GZBH202-F-03
GZBH202-F-04
GZBH202-F-05
GZBH202-F-06</t>
  </si>
  <si>
    <t>20200617开通6个GZBH403-D-09
GZBH403-D-10
GZBH403-D-11
GZBH403-D-12
GZBH403-D-13
GZBH403-D-14</t>
  </si>
  <si>
    <t>20200619开通1个GZBH202-F-07</t>
  </si>
  <si>
    <t>GZBH-云托管</t>
  </si>
  <si>
    <t>云托管，20200622开通3个GZBH502-G-01，GZBH502-G-02，GZBH502-G-03</t>
  </si>
  <si>
    <t xml:space="preserve">云托管，磁带库改造的标准机柜 GZBH503-J-03，与越华沟通还用博浩一期合同，与云-唐楠沟通1-3为标准机柜
</t>
  </si>
  <si>
    <t>GZBH303-M-14</t>
  </si>
  <si>
    <t>1821202IDC00031</t>
  </si>
  <si>
    <t xml:space="preserve">与越华沟通合同单价变更为3134.7，注意历史多计提的需要冲销。云托管，磁带库改造，20200624开通8个
 GZBH503-J-04
 GZBH503-J-05
 GZBH503-J-06
 GZBH503-J-07
 GZBH503-J-08
 GZBH503-J-09
 GZBH503-J-10
 GZBH503-J-11
</t>
  </si>
  <si>
    <t>24KWGZBH501-A-05、GZBH501-B-05</t>
  </si>
  <si>
    <t>GZBH403-D-15、GZBH403-F-01</t>
  </si>
  <si>
    <t>云托管-GZBH503-J-01
GZBH503-J-02</t>
  </si>
  <si>
    <t>24KW，GZBH501-F-07</t>
  </si>
  <si>
    <t>云托管-GZBH502-G-04</t>
  </si>
  <si>
    <t>GZBH503-F-02、GZBH503-F-03</t>
  </si>
  <si>
    <t>L20200918006</t>
  </si>
  <si>
    <t xml:space="preserve">202009盘点出有27个ODF，与越华沟通暂按照0计提GZBH301-A-01
GZBH301-A-02
GZBH301-A-03
GZBH301-A-04
GZBH301-B-01
GZBH301-B-02
GZBH301-B-06
GZBH301-B-07
GZBH301-C-01
GZBH301-C-02
GZBH301-C-06
GZBH301-D-01
GZBH301-D-02
GZBH301-D-03
GZBH301-D-04
GZBH501-A-01
GZBH501-A-02
GZBH501-A-06
GZBH501-A-08
GZBH501-A-09
GZBH501-B-01
GZBH501-B-02
GZBH501-B-06
GZBH501-B-08
GZBH501-B-09
GZBH501-C-05
GZBH501-D-06
</t>
  </si>
  <si>
    <t>20201029开通GZBH301-A-09</t>
  </si>
  <si>
    <t>20201120开通GZBH301-A-10</t>
  </si>
  <si>
    <t xml:space="preserve">20201202开通GZBH502-B-11
、GZBH502-B-10
</t>
  </si>
  <si>
    <t xml:space="preserve">20210119开通GZBH502-J-09
GZBH502-J-10
GZBH502-J-11
GZBH502-J-02
GZBH502-J-03
GZBH502-J-04
GZBH502-J-05
GZBH502-J-06
GZBH502-J-07
GZBH502-J-08
GZBH502-K-04
GZBH502-K-05
GZBH502-K-06
GZBH502-K-07
GZBH502-J-12
GZBH502-J-13
GZBH502-J-14
GZBH502-J-15
</t>
  </si>
  <si>
    <t xml:space="preserve">20210202开通2个，GZBH501-H-08
GZBH501-H-09
</t>
  </si>
  <si>
    <t xml:space="preserve">20210205开通2个，GZBH501-H-10
GZBH501-H-11
</t>
  </si>
  <si>
    <t xml:space="preserve">20210207开通16个，GZBH202-F-10
GZBH202-F-11
GZBH202-F-12
GZBH202-F-13
GZBH202-G-04
GZBH202-G-05
GZBH202-G-06
GZBH202-G-07
GZBH202-G-08
GZBH202-G-09
GZBH202-G-10
GZBH202-G-11
GZBH202-G-12
GZBH202-G-13
GZBH202-F-08
GZBH202-F-09
</t>
  </si>
  <si>
    <t xml:space="preserve">GZBH501-J-04
GZBH501-J-05
</t>
  </si>
  <si>
    <t xml:space="preserve">GZBH501-H-12
GZBH501-H-13
GZBH501-H-14
GZBH501-H-15
</t>
  </si>
  <si>
    <t>GZBH501-J-06、GZBH501-J-07</t>
  </si>
  <si>
    <t xml:space="preserve">GZBH502-C-01
GZBH502-D-01
GZBH502-D-02
GZBH502-D-03
GZBH502-D-04
</t>
  </si>
  <si>
    <t>GZBH502-D-05</t>
  </si>
  <si>
    <t>GZBH501-G-01
GZBH501-G-02</t>
  </si>
  <si>
    <t>GZBH403-G-01
GZBH403-G-02
GZBH403-H-01</t>
  </si>
  <si>
    <t>GZBH501-A-07</t>
  </si>
  <si>
    <t>GZBH501-J-10
GZBH501-J-11</t>
  </si>
  <si>
    <t>GZBH202-H-02
GZBH202-H-03
GZBH202-H-04
GZBH202-H-05
GZBH202-H-06
GZBH202-H-07
GZBH202-H-08
GZBH202-H-09
GZBH202-H-10
GZBH202-H-11
GZBH202-H-12
GZBH202-H-13
GZBH202-H-14
GZBH202-H-15
GZBH202-J-12
GZBH202-J-13
GZBH202-J-14
GZBH202-J-15
GZBH502-G-05,GZBH502-G-06</t>
  </si>
  <si>
    <t>GZBH502-G-05 GZBH502-G-06</t>
  </si>
  <si>
    <t>云托管，GZBH502-G-05 GZBH502-G-06</t>
  </si>
  <si>
    <t>GZBH501-L-01
GZBH501-L-02
GZBH501-L-03
GZBH501-L-04
GZBH501-L-05
GZBH501-L-06</t>
  </si>
  <si>
    <t>GZBH501-F-01
GZBH501-F-02
GZBH501-F-03
GZBH501-F-04
GZBH501-F-05
GZBH501-F-06
GZBH501-F-09
GZBH501-F-10
GZBH501-F-11
GZBH501-G-05
GZBH501-G-06
GZBH501-G-09
GZBH501-G-10
GZBH501-G-11</t>
  </si>
  <si>
    <t xml:space="preserve">GZBH202-J-02
GZBH202-J-03
GZBH202-J-04
GZBH202-J-05
GZBH202-J-06
GZBH202-J-07
GZBH202-J-08
GZBH202-J-09
GZBH202-J-10
GZBH202-J-11
</t>
  </si>
  <si>
    <t>GZBH502-K-08
GZBH502-K-09
GZBH502-K-10
GZBH502-K-11</t>
  </si>
  <si>
    <t>GZBH501-J-12
GZBH501-J-13</t>
  </si>
  <si>
    <t>GZBH202-M-03
GZBH202-M-04</t>
  </si>
  <si>
    <t>GZBH202-K-04
GZBH202-K-05
GZBH202-K-06
GZBH202-K-07
GZBH202-K-08
GZBH202-K-09
GZBH202-K-10</t>
  </si>
  <si>
    <t>GZBH502-E-04
GZBH502-E-05
GZBH502-E-14
GZBH502-E-15</t>
  </si>
  <si>
    <t>GZBH202-G-01
GZBH202-G-02
GZBH202-G-03
GZBH202-J-01
GZBH202-K-02
GZBH202-K-03
GZBH202-L-11
GZBH202-L-12
GZBH202-L-13
GZBH202-L-14
GZBH202-L-15
GZBH202-M-02
GZBH202-M-05
GZBH202-M-06
GZBH202-M-07
GZBH202-M-08
GZBH202-M-09
GZBH202-M-10
GZBH202-M-11
GZBH202-M-12
GZBH202-M-13
GZBH202-M-14</t>
  </si>
  <si>
    <t>GZBH202-L-07
GZBH202-L-08
GZBH202-L-09
GZBH202-L-10</t>
  </si>
  <si>
    <t>GZBH202-K-11
GZBH202-K-12
GZBH202-K-13</t>
  </si>
  <si>
    <t>GZBH202-E-12
GZBH202-L-01
GZBH202-L-02
GZBH202-L-03
GZBH202-L-04
GZBH202-L-05
GZBH202-L-06</t>
  </si>
  <si>
    <t>GZBH202-F-01
GZBH202-H-01
GZBH202-K-01</t>
  </si>
  <si>
    <t>GZBH501-J-08
GZBH501-J-09</t>
  </si>
  <si>
    <t>GZBH401-A-08</t>
  </si>
  <si>
    <t>GZBH501-K-01
GZBH501-K-02
GZBH501-K-03
GZBH501-K-04
GZBH501-K-05
GZBH501-K-06
GZBH501-K-07
GZBH501-K-08
GZBH501-K-09
GZBH501-K-10
GZBH501-K-11
GZBH501-L-07
GZBH501-L-08
GZBH501-L-09
GZBH501-L-10
GZBH501-L-11
GZBH501-L-12
GZBH501-L-13
GZBH501-L-14
GZBH502-D-06
GZBH502-D-07
GZBH502-F-08
GZBH502-F-09
GZBH502-K-12
GZBH502-K-13</t>
  </si>
  <si>
    <t>GZBH501-G-04</t>
  </si>
  <si>
    <t>GZBH503-C-01
GZBH503-C-02
GZBH503-C-03
GZBH503-C-04
GZBH503-C-05
GZBH503-C-06
GZBH503-C-07
GZBH503-C-08
GZBH503-C-09
GZBH503-D-01</t>
  </si>
  <si>
    <t>GZBH403-F-01</t>
  </si>
  <si>
    <t>GZBH202-B-01
GZBH202-D-01
GZBH501-G-03</t>
  </si>
  <si>
    <t>GZBH301-F-11</t>
  </si>
  <si>
    <t>GZBH501-F-04 GZBH501-F-05</t>
  </si>
  <si>
    <t>GZBH201-C-06 GZBH403-F-01</t>
  </si>
  <si>
    <t>GZBH402-H-10
GZBH402-H-11
GZBH402-H-12
GZBH402-H-13
GZBH402-H-14</t>
  </si>
  <si>
    <t>1820202IDC00169</t>
  </si>
  <si>
    <t>博浩二期</t>
  </si>
  <si>
    <t xml:space="preserve">需要注意201904-202003二期费用已付，且之前按照一期5950价格支付的多余部分已在202004机架费用里扣除，GZBH601-M-15，博浩二期价格调整需要注意（1）如甲方在首批机柜交付后的第19个月内开通1500个机柜，则自第20个月开始，4.4KW机柜给予甲方优惠价调整为5750元/机柜/月。
（2）如甲方在首批机柜交付后的第13个月内开通1000个机柜，则自第14个月开始，4.4KW机柜给予甲方优惠价调整为5700元/机柜/月。
</t>
  </si>
  <si>
    <t>需要注意历史在博浩一期数据里面，GZBH602-M-15，GZBH603-M-15</t>
  </si>
  <si>
    <t>GZBH601-B-08
GZBH601-B-09
GZBH601-B-10
GZBH601-B-11
GZBH601-B-12
GZBH601-B-13
GZBH601-B-14
GZBH601-B-15
GZBH601-C-01
GZBH601-C-02
GZBH601-C-03
GZBH601-C-04
GZBH601-C-05
GZBH601-C-09
GZBH601-C-10
GZBH601-C-11
GZBH601-C-12
GZBH601-C-13
GZBH601-D-01
GZBH601-D-02
GZBH601-D-03
GZBH601-D-04
GZBH601-D-05
GZBH601-D-06
GZBH601-D-07
GZBH601-D-08
GZBH601-D-09
GZBH601-D-10</t>
  </si>
  <si>
    <t>GZBH601-C-08</t>
  </si>
  <si>
    <t xml:space="preserve">GZBH601-A-01
GZBH601-A-02
GZBH601-A-03
GZBH601-A-04
GZBH601-A-05
GZBH601-A-06
</t>
  </si>
  <si>
    <t>GZBH601-E-08
GZBH601-E-09
GZBH601-E-10
GZBH601-E-11
GZBH601-E-12
GZBH601-E-13
GZBH601-E-14
GZBH601-E-15
GZBH601-F-02
GZBH601-F-03
GZBH601-F-04
GZBH601-F-05
GZBH601-F-06
GZBH601-F-07
GZBH601-F-08
GZBH601-F-09
GZBH601-F-10
GZBH601-F-11
GZBH601-F-12
GZBH601-F-13
GZBH601-G-04
GZBH601-G-05
GZBH601-G-06
GZBH601-G-07
GZBH601-G-08
GZBH601-G-09
GZBH601-G-10
GZBH601-G-11
GZBH601-G-12
GZBH601-G-13
GZBH601-G-14
GZBH601-G-15</t>
  </si>
  <si>
    <t xml:space="preserve">20190925开通1个，GZBH601-A-07
</t>
  </si>
  <si>
    <t xml:space="preserve">20200409开通4个，GZBH601-G-01
,GZBH601-G-02
,GZBH601-G-03
,GZBH601-H-14
</t>
  </si>
  <si>
    <t>20200417开通2个，GZBH601-L-01，GZBH601-L-02</t>
  </si>
  <si>
    <t>20200417关闭1个GZBH601-F-05</t>
  </si>
  <si>
    <t xml:space="preserve">20200422开通11个GZBH601-H-01
GZBH601-H-02
GZBH601-H-03
GZBH601-H-04
GZBH601-H-05
GZBH601-H-06
GZBH601-H-07
GZBH601-H-08
GZBH601-H-09
GZBH601-H-10
GZBH601-H-11
</t>
  </si>
  <si>
    <t>20200603开通29个GZBH601-L-03
GZBH601-L-04
GZBH601-L-05
GZBH601-L-06
GZBH601-L-07
GZBH601-L-08
GZBH601-L-09
GZBH601-L-10
GZBH601-L-11
GZBH601-L-12
GZBH601-L-13
GZBH601-L-14
GZBH601-L-15
GZBH602-A-01
GZBH602-A-02
GZBH602-A-03
GZBH602-A-04
GZBH602-A-05
GZBH602-A-06
GZBH602-A-07
GZBH602-A-08
GZBH602-A-09
GZBH602-A-10
GZBH602-A-11
GZBH602-A-12
GZBH602-A-13
GZBH602-A-14
GZBH602-A-15
GZBH602-B-12</t>
  </si>
  <si>
    <t xml:space="preserve">20200605开通3个GZBH602-B-13
GZBH602-B-14
GZBH602-B-15
</t>
  </si>
  <si>
    <t xml:space="preserve">20200609开通25个GZBH601-J-04
GZBH601-J-05
GZBH601-J-06
GZBH601-J-07
GZBH601-J-08
GZBH601-J-09
GZBH601-J-10
GZBH601-J-11
GZBH601-J-12
GZBH601-J-13
GZBH601-J-14
GZBH601-J-15
GZBH601-J-01
GZBH601-J-02
GZBH601-J-03
GZBH601-M-03
GZBH601-M-04
GZBH601-M-05
GZBH601-M-06
GZBH601-M-07
GZBH601-M-08
GZBH601-M-09
GZBH601-M-10
GZBH601-M-11
GZBH601-M-12
</t>
  </si>
  <si>
    <t>需要注意调整了9个到博浩一期，20200611开通29个GZBH602-D-05
GZBH602-D-06
GZBH602-D-07
GZBH602-D-08
GZBH601-K-02
GZBH601-K-03
GZBH601-K-04
GZBH601-K-05
GZBH601-K-06
GZBH601-K-07
GZBH601-K-08
GZBH601-K-09
GZBH601-K-10
GZBH601-K-11
GZBH601-K-12
GZBH601-K-13
GZBH601-M-01
GZBH601-M-02
GZBH601-M-13
GZBH601-M-14
GZBH602-B-02
GZBH602-B-03
GZBH602-B-04
GZBH602-B-05
GZBH602-B-06
GZBH602-B-07
GZBH602-B-08
GZBH602-B-09
GZBH602-B-10</t>
  </si>
  <si>
    <t>20200622开通30个GZBH602-E-03
GZBH602-E-04
GZBH602-E-05
GZBH602-C-13
GZBH602-D-02
GZBH602-D-03
GZBH602-E-06
GZBH602-E-07
GZBH602-E-08
GZBH602-E-09
GZBH602-E-10
GZBH602-E-11
GZBH602-D-12
GZBH602-D-13
GZBH602-D-14
GZBH602-D-15
GZBH602-E-02
GZBH602-C-09
GZBH602-C-10
GZBH602-C-11
GZBH602-C-12
GZBH602-C-02
GZBH602-C-03
GZBH602-C-04
GZBH602-C-05
GZBH602-D-10
GZBH602-D-11
GZBH602-C-06
GZBH602-C-07
GZBH602-C-08</t>
  </si>
  <si>
    <t>:GZBH602-D-04,:GZBH602-D-09</t>
  </si>
  <si>
    <t>GZBH602-M-09
GZBH602-M-10
GZBH602-M-11</t>
  </si>
  <si>
    <t xml:space="preserve">GZBH603-A-02
GZBH603-A-03
GZBH603-A-04
GZBH603-A-05
GZBH603-A-06
GZBH603-A-07
GZBH603-A-08
GZBH603-A-09
GZBH603-A-10
GZBH603-A-11
GZBH603-A-12
GZBH603-A-13
GZBH603-A-14
GZBH603-A-15
GZBH603-B-02
GZBH603-B-03
GZBH603-B-04
GZBH603-B-05
GZBH603-B-06
GZBH603-B-07
GZBH603-B-08
GZBH603-B-09
GZBH603-B-10
GZBH603-B-11
GZBH603-B-12
GZBH603-B-13
GZBH603-B-14
GZBH603-B-15
GZBH603-C-04
GZBH603-C-05
GZBH603-C-06
GZBH603-C-07
GZBH603-C-08
GZBH603-C-09
GZBH603-C-10
GZBH603-C-11
GZBH603-C-12
GZBH603-C-13
</t>
  </si>
  <si>
    <t>GZBH601-A-08
GZBH601-A-09
GZBH601-A-10
GZBH601-A-11
GZBH601-A-12
GZBH601-A-13
GZBH601-A-14
GZBH601-A-15</t>
  </si>
  <si>
    <t xml:space="preserve">GZBH601-D-11
GZBH601-D-13
GZBH601-D-14
GZBH601-B-02
GZBH601-B-03
GZBH601-C-06
GZBH601-C-07
</t>
  </si>
  <si>
    <t>GZBH601-B-04、GZBH601-D-12</t>
  </si>
  <si>
    <t xml:space="preserve">GZBH603-C-02
GZBH603-C-03
GZBH603-D-02
GZBH603-D-03
GZBH603-D-04
GZBH603-D-05
GZBH603-D-06
GZBH603-D-07
GZBH603-D-08
GZBH603-D-09
GZBH603-D-10
GZBH603-D-11
GZBH603-D-12
GZBH603-D-13
GZBH603-D-14
GZBH603-D-15
GZBH603-E-02
GZBH603-E-03
GZBH603-E-04
GZBH603-E-05
GZBH603-E-06
GZBH603-E-07
GZBH603-E-08
GZBH603-E-09
GZBH603-E-10
GZBH603-E-11
GZBH603-E-12
GZBH603-E-13
GZBH603-E-14
GZBH603-E-15
GZBH603-F-02
GZBH603-F-03
GZBH603-F-04
GZBH603-F-05
GZBH603-F-06
GZBH603-F-07
GZBH603-F-08
GZBH603-F-09
GZBH603-F-10
GZBH603-F-11
GZBH603-F-12
GZBH603-F-13
GZBH603-G-02
GZBH603-G-03
GZBH603-G-04
GZBH603-G-05
GZBH603-G-06
GZBH603-G-07
GZBH603-G-08
GZBH603-G-09
GZBH603-G-10
GZBH603-G-11
GZBH603-G-12
GZBH603-G-13
GZBH603-H-02
GZBH603-H-03
GZBH603-H-04
GZBH603-H-05
GZBH603-H-06
GZBH603-H-07
GZBH603-H-08
GZBH603-H-09
GZBH603-H-10
GZBH603-H-11
GZBH603-H-12
GZBH603-H-13
GZBH603-H-14
GZBH603-H-15
GZBH603-J-02
GZBH603-J-03
GZBH603-J-04
GZBH603-J-05
GZBH603-J-06
GZBH603-J-07
GZBH603-J-08
GZBH603-J-09
GZBH603-J-10
GZBH603-J-11
GZBH603-J-12
GZBH603-J-13
</t>
  </si>
  <si>
    <t xml:space="preserve">GZBHB501-E-01
GZBHB501-E-02
GZBHB501-F-15
GZBHB501-H-01
GZBHB501-H-02
GZBHB501-N-12
GZBHB601-A-14
GZBHB601-G-01
GZBHB601-G-02
GZBHB701-A-13
GZBHB701-D-01
GZBHB701-D-02
</t>
  </si>
  <si>
    <t xml:space="preserve">GZBHB501-K-07
GZBHB501-L-07
GZBHB601-D-01
GZBHB601-D-02
GZBHB601-K-01
GZBHB601-K-02
</t>
  </si>
  <si>
    <t xml:space="preserve">GZBHB501-J-09
GZBHB501-J-10
GZBHB501-M-09
GZBHB501-M-10
</t>
  </si>
  <si>
    <t xml:space="preserve">24KW,GZBHB501-J-02
GZBHB501-J-04
GZBHB501-K-02
GZBHB501-K-05
GZBHB501-L-02
GZBHB501-L-05
GZBHB501-M-02
GZBHB501-M-04
</t>
  </si>
  <si>
    <t xml:space="preserve">GZBH602-F-02
GZBH602-F-03
GZBH602-F-04
GZBH602-F-05
GZBH602-F-06
GZBH602-F-07
GZBH602-F-08
GZBH602-F-09
GZBH602-F-10
GZBH602-F-11
GZBH602-F-12
GZBH602-F-13
GZBH602-G-02
GZBH602-G-03
GZBH602-G-04
GZBH602-G-05
GZBH602-G-06
GZBH602-G-07
GZBH602-G-08
GZBH602-G-09
GZBH602-M-13
GZBH602-M-14
</t>
  </si>
  <si>
    <t>GZBH601-E-02
GZBH601-E-03
GZBH601-E-04
GZBH601-E-05
GZBH601-E-07
GZBH602-G-10
GZBH602-G-11
GZBH602-G-12
GZBH602-G-13
GZBH602-H-02
GZBH602-H-03
GZBH602-H-04
GZBH602-H-05
GZBH602-H-06
GZBH602-H-07
GZBH602-H-08
GZBH602-H-09
GZBH602-H-10
GZBH602-H-11
GZBH602-H-12
GZBH602-H-13
GZBH602-H-14
GZBH602-H-15
GZBH602-J-02
GZBH602-J-03
GZBH602-J-04
GZBH602-J-05</t>
  </si>
  <si>
    <t xml:space="preserve">
GZBH601-B-01
GZBH601-B-05
GZBH601-B-06
GZBH602-J-10
GZBH602-J-06
GZBH602-J-07
GZBH602-J-08
GZBH602-J-09
GZBH602-J-11
GZBH602-J-13
GZBH602-K-02
GZBH602-K-03
GZBH602-K-04
GZBH602-K-05
GZBH602-K-06
GZBH602-K-07
GZBH602-K-08
GZBH602-K-09
GZBH602-K-10
GZBH602-K-11
GZBH602-K-12
GZBH602-K-13</t>
  </si>
  <si>
    <t xml:space="preserve">GZBH601-D-15
GZBH601-E-01
</t>
  </si>
  <si>
    <t xml:space="preserve">GZBH602-J-12
GZBH602-J-14
GZBH602-J-15
GZBH602-L-02
GZBH602-L-04
GZBH602-L-06
GZBH602-L-07
GZBH602-L-08
GZBH602-L-09
GZBH602-L-10
GZBH602-L-11
GZBH602-L-12
GZBH602-L-13
GZBH602-L-14
GZBH602-L-15
GZBH602-M-01
GZBH602-M-03
GZBH602-M-05
</t>
  </si>
  <si>
    <t xml:space="preserve">GZBH602-L-01
GZBH602-L-03
GZBH602-L-05
GZBH602-M-02
GZBH602-M-04
GZBH602-M-06
GZBH602-M-07
</t>
  </si>
  <si>
    <t xml:space="preserve">GZBHB501-C-01
GZBHB501-C-02
GZBHB501-C-03
GZBHB501-C-04
GZBHB501-C-05
GZBHB501-C-06
GZBHB501-C-07
GZBHB501-C-08
GZBHB501-C-09
GZBHB501-C-10
GZBHB501-C-11
GZBHB501-C-12
GZBHB501-C-13
GZBHB501-D-02
GZBHB501-D-03
GZBHB501-D-04
GZBHB501-D-05
GZBHB501-D-06
GZBHB501-D-07
GZBHB501-D-08
GZBHB501-D-09
GZBHB501-D-10
GZBHB501-D-11
GZBHB501-D-12
GZBHB501-D-13
GZBHB501-D-14
GZBHB501-D-15
GZBHB501-E-04
GZBHB501-E-05
GZBHB501-E-06
GZBHB501-E-07
GZBHB501-E-08
GZBHB501-E-09
GZBHB501-E-10
GZBHB501-E-11
GZBHB501-E-12
GZBHB501-E-13
GZBHB501-E-14
GZBHB501-E-15
GZBHB501-F-01
GZBHB501-F-02
GZBHB501-F-03
GZBHB501-F-04
GZBHB501-F-05
GZBHB501-F-06
GZBHB501-F-07
GZBHB501-F-08
GZBHB501-F-09
GZBHB501-F-10
GZBHB501-F-11
GZBHB501-F-12
GZBHB501-F-13
GZBHB501-F-14
GZBHB501-G-02
GZBHB501-G-03
GZBHB501-G-04
GZBHB501-G-05
GZBHB501-G-06
GZBHB501-G-07
GZBHB501-G-08
GZBHB501-G-09
GZBHB501-G-10
GZBHB501-G-11
</t>
  </si>
  <si>
    <t>GZBH601-B-07</t>
  </si>
  <si>
    <t xml:space="preserve">GZBHB501-G-12
GZBHB501-G-13
GZBHB501-H-03
GZBHB501-H-04
GZBHB501-H-05
GZBHB501-H-06
GZBHB501-H-07
GZBHB501-H-08
GZBHB501-H-09
</t>
  </si>
  <si>
    <t xml:space="preserve">GZBHB601-A-01
GZBHB601-A-02
GZBHB601-A-03
GZBHB601-A-04
GZBHB601-A-07
GZBHB601-A-08
GZBHB601-A-09
GZBHB601-A-10
GZBHB601-A-11
GZBHB601-A-12
GZBHB601-B-01
GZBHB601-B-02
GZBHB601-B-03
GZBHB601-B-04
GZBHB601-B-05
GZBHB601-B-06
GZBHB601-B-07
GZBHB601-B-08
GZBHB601-B-09
GZBHB601-B-10
GZBHB601-B-11
GZBHB601-B-12
GZBHB601-B-13
GZBHB601-B-14
GZBHB601-B-15
GZBHB601-B-16
GZBHB601-C-01
GZBHB601-C-02
GZBHB601-C-03
GZBHB601-C-04
</t>
  </si>
  <si>
    <t xml:space="preserve">GZBHB701-G-01
GZBHB701-G-02
</t>
  </si>
  <si>
    <t>GZBHB701-K-01 GZBHB701-K-02 GZBHB701-N-01 GZBHB701-N-02</t>
  </si>
  <si>
    <t xml:space="preserve">GZBHB601-C-05
GZBHB601-C-06
GZBH603-J-14
GZBH603-J-15
GZBH603-K-02
GZBH603-K-03
GZBH603-K-04
GZBH603-K-05
GZBH603-K-06
GZBH603-K-07
GZBH603-K-08
GZBH603-K-09
GZBH603-K-10
GZBH603-K-11
GZBH603-K-12
GZBH603-K-13
GZBH603-L-01
GZBH603-L-02
</t>
  </si>
  <si>
    <t xml:space="preserve">GZBHB601-C-07
GZBHB601-C-08
GZBHB601-C-09
GZBHB601-C-10
GZBHB601-C-11
GZBHB601-C-12
GZBHB601-C-13
GZBHB601-C-14
GZBHB601-C-15
GZBHB601-C-16
GZBHB601-D-03
GZBHB601-D-04
GZBHB601-D-05
GZBHB601-D-06
GZBHB601-D-07
GZBHB601-D-08
GZBHB601-D-09
GZBHB601-D-10
GZBHB601-D-11
GZBHB601-D-12
GZBHB601-D-13
GZBHB601-D-14
GZBHB601-E-01
GZBHB601-E-02
GZBHB601-E-03
GZBHB601-E-04
</t>
  </si>
  <si>
    <t xml:space="preserve">GZBHB401-A-13
GZBHB401-E-01
GZBHB401-E-02
GZBHB401-M-01
GZBHB401-M-02
GZBHB801-A-13
GZBHB801-D-01
GZBHB801-D-02
</t>
  </si>
  <si>
    <t>GZBHB801-K-01
GZBHB801-K-02
GZBHB801-N-01
GZBHB801-N-02</t>
  </si>
  <si>
    <t>GZBHB501-H-10
GZBHB501-H-11</t>
  </si>
  <si>
    <t xml:space="preserve">GZBHB401-A-01
GZBHB401-A-02
GZBHB401-A-03
GZBHB401-A-04
GZBHB401-A-05
GZBHB401-A-06
GZBHB401-A-07
GZBHB401-A-08
GZBHB401-A-09
GZBHB401-A-10
GZBHB401-A-11
GZBHB401-B-01
GZBHB401-B-02
GZBHB401-B-03
GZBHB401-B-04
GZBHB401-B-05
GZBHB401-B-06
GZBHB401-B-07
GZBHB401-B-08
GZBHB401-B-09
GZBHB401-B-10
GZBHB401-B-11
GZBHB401-B-12
GZBHB401-B-13
GZBHB401-B-14
GZBHB401-B-15
GZBHB401-C-01
GZBHB401-C-02
GZBHB401-C-03
GZBHB401-C-04
GZBHB401-C-05
GZBHB401-C-06
GZBHB401-C-07
GZBHB401-C-08
GZBHB401-C-09
GZBHB401-C-10
GZBHB401-C-11
GZBHB401-C-12
GZBHB401-C-13
GZBHB401-C-14
GZBHB401-C-15
GZBHB401-D-01
GZBHB401-D-02
GZBHB401-D-03
</t>
  </si>
  <si>
    <t xml:space="preserve">GZBHB701-G-04
GZBHB701-G-05
GZBHB701-G-06
GZBHB701-G-07
GZBHB701-G-08
GZBHB701-G-09
GZBHB701-G-10
GZBHB701-G-11
GZBHB701-G-12
GZBHB701-G-13
</t>
  </si>
  <si>
    <t xml:space="preserve">GZBHB401-D-04
GZBHB401-D-05
GZBHB401-D-06
GZBHB401-D-07
GZBHB401-D-08
GZBHB401-D-09
GZBHB401-D-10
GZBHB401-D-11
GZBHB401-D-12
GZBHB401-D-13
GZBHB401-E-03
GZBHB401-E-04
GZBHB401-E-05
GZBHB401-E-06
GZBHB401-E-07
GZBHB401-E-08
GZBHB401-E-09
GZBHB401-E-10
GZBHB401-E-11
GZBHB401-E-12
GZBHB401-E-13
GZBHB401-E-14
GZBHB401-E-15
GZBHB401-F-01
GZBHB401-F-02
GZBHB401-F-03
GZBHB401-F-04
GZBHB401-F-05
</t>
  </si>
  <si>
    <t xml:space="preserve">GZBHB601-E-05
GZBHB601-E-06
GZBHB601-E-07
GZBHB601-E-08
GZBHB601-E-09
GZBHB601-E-10
GZBHB601-E-11
GZBHB601-E-12
GZBHB601-E-13
GZBHB601-E-14
GZBHB601-E-15
GZBHB601-E-16
GZBHB601-F-01
GZBHB601-F-02
GZBHB601-F-03
GZBHB601-F-04
GZBHB601-F-05
GZBHB601-F-06
GZBHB601-F-07
GZBHB601-F-08
GZBHB601-F-09
GZBHB601-F-10
GZBHB601-F-11
GZBHB601-F-12
GZBHB601-F-13
GZBHB601-F-14
GZBHB601-F-15
GZBHB601-F-16
GZBHB601-G-03
GZBHB601-G-04
GZBHB601-G-05
GZBHB601-G-06
GZBHB601-G-07
GZBHB601-G-08
GZBHB601-G-09
GZBHB601-G-10
GZBHB601-G-11
GZBHB601-G-12
GZBHB601-G-13
GZBHB601-G-14
GZBHB601-G-15
GZBHB601-G-16
GZBHB601-H-01
GZBHB601-H-02
GZBHB601-H-03
GZBHB601-H-04
GZBHB601-H-05
GZBHB601-H-06
GZBHB601-H-07
GZBHB601-H-08
GZBHB601-H-09
GZBHB601-H-10
GZBHB601-H-11
GZBHB601-H-12
GZBHB601-H-13
GZBHB601-H-14
GZBHB601-J-01
GZBHB601-J-02
GZBHB601-J-03
GZBHB601-J-04
GZBHB601-J-05
GZBHB601-J-06
GZBHB601-J-07
GZBHB601-J-08
GZBHB601-J-09
GZBHB601-J-10
GZBHB601-J-11
GZBHB601-J-12
GZBHB601-J-13
GZBHB601-J-14
</t>
  </si>
  <si>
    <t xml:space="preserve">GZBHB601-J-15
GZBHB601-J-16
GZBHB601-K-03
GZBHB601-K-04
GZBHB601-K-05
GZBHB601-K-06
GZBHB601-K-07
GZBHB601-K-08
GZBHB601-K-09
GZBHB601-K-10
GZBHB601-K-11
GZBHB601-K-12
GZBHB601-K-13
GZBHB601-K-14
GZBHB601-K-15
GZBHB601-K-16
GZBHB601-L-01
GZBHB601-L-02
GZBHB601-L-03
GZBHB601-L-04
GZBHB601-L-05
GZBHB601-L-06
GZBHB601-L-07
GZBHB601-L-08
GZBHB601-L-09
GZBHB601-L-10
GZBHB601-L-11
GZBHB601-L-12
GZBHB601-L-13
GZBHB601-L-14
GZBHB601-L-15
GZBHB601-L-16
GZBHB601-M-01
GZBHB601-M-02
GZBHB601-M-03
GZBHB601-M-04
</t>
  </si>
  <si>
    <t xml:space="preserve">GZBHB601-M-05
GZBHB601-M-06
GZBHB601-M-07
GZBHB601-M-08
GZBHB601-M-09
GZBHB601-M-10
GZBHB601-M-11
GZBHB601-M-12
GZBHB601-M-13
GZBHB601-M-14
GZBHB701-A-01
GZBHB701-A-02
GZBHB701-A-03
GZBHB701-A-04
GZBHB701-A-05
GZBHB701-A-06
GZBHB701-A-07
GZBHB701-A-08
GZBHB701-A-09
GZBHB701-A-10
GZBHB701-A-11
GZBHB701-B-01
GZBHB701-B-02
GZBHB701-B-03
GZBHB701-B-04
GZBHB701-B-05
GZBHB701-B-06
GZBHB701-B-07
GZBHB701-B-08
GZBHB701-B-09
GZBHB701-B-10
GZBHB701-B-11
GZBHB701-B-12
GZBHB701-B-13
GZBHB701-B-14
GZBHB701-B-15
GZBHB701-C-02
GZBHB701-C-03
GZBHB701-C-04
GZBHB701-C-05
GZBHB701-C-06
GZBHB701-C-07
</t>
  </si>
  <si>
    <t xml:space="preserve">GZBHB401-F-06GZBHB401-F-07
GZBHB401-F-08
GZBHB401-F-09
GZBHB401-F-10
GZBHB401-F-11
</t>
  </si>
  <si>
    <t xml:space="preserve">GZBHB701-F-02
GZBHB701-F-03
GZBHB701-F-04
GZBHB701-F-05
GZBHB701-F-06
GZBHB701-F-07
GZBHB701-F-08
GZBHB701-F-09
GZBHB701-F-10
GZBHB701-F-11
GZBHB701-F-12
GZBHB701-F-13
GZBHB701-F-14
GZBHB701-F-15
</t>
  </si>
  <si>
    <t xml:space="preserve">GZBHB401-F-12
GZBHB401-F-13
GZBHB401-F-14
GZBHB401-F-15
GZBHB401-G-02
GZBHB401-G-03
</t>
  </si>
  <si>
    <t>GZBHB601-A-05
GZBHB601-A-06
GZBHB701-C-08
GZBHB701-C-09
GZBHB701-C-10
GZBHB701-C-11
GZBHB701-C-12
GZBHB701-C-13
GZBHB701-G-14
GZBHB701-G-15
GZBHB701-H-01
GZBHB701-H-02
GZBHB701-H-03
GZBHB701-H-04
GZBHB701-H-05
GZBHB701-H-06
GZBHB701-H-07
GZBHB701-H-08
GZBHB701-H-09
GZBHB701-H-10
GZBHB701-H-11
GZBHB701-H-12
GZBHB701-H-13
GZBHB701-J-01
GZBHB701-J-02
GZBHB701-J-03
GZBHB701-J-04
GZBHB701-J-05
GZBHB701-J-06
GZBHB701-J-07
GZBHB701-J-08
GZBHB701-J-09
GZBHB701-J-10
GZBHB701-J-11
GZBHB701-J-12
GZBHB701-J-13
GZBHB701-J-14
GZBHB701-J-15
GZBHB701-K-03
GZBHB701-K-04
GZBHB701-K-05
GZBHB701-K-06
GZBHB701-K-07
GZBHB701-K-08
GZBHB701-K-09
GZBHB701-K-10
GZBHB701-K-11
GZBHB701-K-12
GZBHB701-K-13
GZBHB701-K-14
GZBHB701-K-15
GZBHB701-L-01
GZBHB701-L-02
GZBHB701-L-03</t>
  </si>
  <si>
    <t>GZBHB701-C-14
GZBHB701-C-15
GZBHB701-D-03
GZBHB701-D-04
GZBHB701-D-05
GZBHB701-D-06
GZBHB701-D-07
GZBHB701-D-08
GZBHB701-D-09
GZBHB701-D-10
GZBHB701-D-11
GZBHB701-D-12
GZBHB701-D-13
GZBHB701-E-01</t>
  </si>
  <si>
    <t>GZBHB401-K-08
GZBHB401-K-09
GZBHB401-K-10
GZBHB401-K-11</t>
  </si>
  <si>
    <t xml:space="preserve">GZBHB401-L-09
GZBHB401-L-10
GZBHB401-L-11
</t>
  </si>
  <si>
    <t xml:space="preserve">GZBHB401-G-04
GZBHB401-G-05
GZBHB401-G-06
GZBHB401-G-07
GZBHB401-G-08
GZBHB401-G-09
GZBHB401-G-10
GZBHB401-G-11
GZBHB401-G-12
GZBHB401-G-13
GZBHB401-G-14
GZBHB401-G-15
GZBHB401-H-01
GZBHB401-H-02
GZBHB401-H-03
GZBHB401-H-04
GZBHB401-H-05
GZBHB401-H-06
GZBHB401-H-07
GZBHB401-H-08
GZBHB401-H-09
GZBHB401-H-10
GZBHB401-H-11
GZBHB401-H-12
GZBHB401-H-13
GZBHB401-J-01
GZBHB401-J-02
GZBHB401-J-03
GZBHB401-J-04
GZBHB401-J-05
GZBHB401-J-06
GZBHB401-J-07
GZBHB401-J-08
GZBHB401-J-09
GZBHB401-J-10
GZBHB401-J-11
GZBHB401-J-12
GZBHB401-J-13
GZBHB401-J-14
GZBHB401-J-15
GZBHB401-K-01
GZBHB401-K-02
GZBHB401-K-03
GZBHB401-K-04
GZBHB401-K-05
</t>
  </si>
  <si>
    <t>GZBHB701-L-04
GZBHB701-L-05
GZBHB701-L-06
GZBHB701-L-07
GZBHB701-L-08
GZBHB701-L-09
GZBHB701-L-10
GZBHB701-L-11
GZBHB701-L-12
GZBHB701-L-13
GZBHB701-L-14
GZBHB701-L-15
GZBHB701-M-01
GZBHB701-M-02
GZBHB701-M-03
GZBHB701-M-04
GZBHB701-M-05
GZBHB701-M-06
GZBHB701-M-07
GZBHB701-M-08
GZBHB701-M-09
GZBHB701-M-10
GZBHB701-M-11
GZBHB701-N-03
GZBHB701-N-04
GZBHB701-N-05
GZBHB701-N-06
GZBHB701-N-07
GZBHB701-N-08
GZBHB701-N-09
GZBHB701-N-10
GZBHB701-N-11
GZBHB701-E-02
GZBHB701-E-03
GZBHB701-E-04
GZBHB701-E-05
GZBHB701-E-06
GZBHB701-E-07</t>
  </si>
  <si>
    <t xml:space="preserve">GZBHB701-E-08
GZBHB701-E-09
GZBHB701-E-10
GZBHB701-E-11
GZBHB701-E-12
GZBHB701-E-13
GZBHB701-E-14
GZBHB701-E-15
</t>
  </si>
  <si>
    <t xml:space="preserve">GZBHB701-P-02
GZBHB701-P-03
GZBHB701-P-04
GZBHB701-P-05
GZBHB701-P-06
GZBHB701-P-07
GZBHB701-P-08
GZBHB701-P-09
GZBHB701-P-10
GZBHB701-P-11
</t>
  </si>
  <si>
    <t xml:space="preserve">GZBHB401-L-15
GZBHB401-M-03
GZBHB401-M-04
GZBHB401-M-05
GZBHB401-M-06
GZBHB401-M-07
GZBHB401-M-08
GZBHB401-M-09
GZBHB401-M-10
GZBHB401-M-11
GZBHB401-M-12
GZBHB401-M-13
GZBHB401-N-07
GZBHB401-N-08
GZBHB401-N-09
</t>
  </si>
  <si>
    <t xml:space="preserve">GZBHB401-Q-01
GZBHB401-Q-02
GZBHB401-Q-03
</t>
  </si>
  <si>
    <t xml:space="preserve">GZBHB401-L-08
GZBHB401-L-12
GZBHB401-L-13
GZBHB401-L-14
GZBHB401-N-10
GZBHB401-N-11
GZBHB401-N-12
GZBHB401-N-13
</t>
  </si>
  <si>
    <t xml:space="preserve">GZBHB401-K-06
GZBHB401-K-07
GZBHB401-K-12
GZBHB401-K-13
GZBHB401-K-14
GZBHB401-K-15
GZBHB401-L-06
GZBHB401-L-07
</t>
  </si>
  <si>
    <t xml:space="preserve">GZBHB401-Q-05
GZBHB401-Q-06
GZBHB401-Q-07
</t>
  </si>
  <si>
    <t>GZBHB701-P-01
GZBHB701-P-12
GZBHB701-P-13
GZBHB701-P-14
GZBHB701-P-15</t>
  </si>
  <si>
    <t>GZBHB801-G-01
GZBHB801-G-02
GZBHB801-G-03
GZBHB801-G-06
GZBHB801-G-07
GZBHB801-H-06
GZBHB801-H-07
GZBHB801-H-10
GZBHB801-H-11
GZBHB801-H-12</t>
  </si>
  <si>
    <t>GZBH603-L-03
GZBH603-L-04
GZBH603-L-05
GZBH603-L-06
GZBH603-L-07
GZBH603-L-08</t>
  </si>
  <si>
    <t xml:space="preserve">GZBHB401-P-01
GZBHB401-P-02
GZBHB801-G-12
GZBHB801-G-13
GZBHB801-G-14
GZBHB801-G-15
GZBHB801-H-08
GZBHB801-H-09
</t>
  </si>
  <si>
    <t xml:space="preserve">云托管-GZBHB801-P-01
GZBHB801-P-02
GZBHB801-P-03
GZBHB801-P-04
GZBHB801-P-05
GZBHB801-P-06
GZBHB801-P-07
GZBHB801-P-08
GZBHB801-P-09
GZBHB801-P-10
</t>
  </si>
  <si>
    <t>GZBH603-L-09
GZBH603-L-10</t>
  </si>
  <si>
    <t>GZBHB701-C-01</t>
  </si>
  <si>
    <t>GZBHB501-J-05
GZBHB501-J-06
GZBHB501-J-07
GZBHB501-J-08</t>
  </si>
  <si>
    <t>GZBHB401-L-01
GZBHB401-L-02
GZBHB401-L-03
GZBHB401-L-04
GZBHB401-L-05
GZBHB401-N-01
GZBHB401-N-02
GZBHB401-N-03
GZBHB401-N-04
GZBHB401-N-05
GZBHB401-N-06
GZBHB401-P-12
GZBHB401-P-13
GZBHB801-E-04
GZBHB801-E-05
GZBHB801-E-06
GZBHB801-E-07
GZBHB801-E-08
GZBHB801-E-09
GZBHB801-E-10
GZBHB801-E-11
GZBHB801-E-12
GZBHB801-E-13
GZBHB801-E-14
GZBHB801-E-15
GZBHB801-J-01
GZBHB801-J-02
GZBHB801-J-03
GZBHB801-J-04
GZBHB801-J-05
GZBHB801-J-06
GZBHB801-J-07
GZBHB801-J-08
GZBHB801-J-09
GZBHB801-J-10
GZBHB801-J-11
GZBHB801-J-12
GZBHB801-J-13
GZBHB801-J-14
GZBHB801-J-15
GZBHB801-K-03
GZBHB801-K-04
GZBHB801-K-05
GZBHB801-K-06
GZBHB801-K-07
GZBHB801-K-08
GZBHB801-K-09
GZBHB801-K-10
GZBHB801-K-11
GZBHB801-K-12
GZBHB801-K-13
GZBHB801-K-14
GZBHB801-K-15
GZBHB801-L-01
GZBHB801-L-02
GZBHB801-L-03
GZBHB801-L-04
GZBHB801-L-05
GZBHB801-L-06
GZBHB801-L-07
GZBHB801-L-08
GZBHB801-L-09
GZBHB801-L-10
GZBHB801-L-11
GZBHB801-L-12
GZBHB801-L-13
GZBHB801-L-14
GZBHB801-L-15
GZBHB801-M-01
GZBHB801-M-02</t>
  </si>
  <si>
    <t>GZBHB501-D-01
GZBHB501-G-01
GZBHB501-H-12
GZBHB501-H-13
GZBHB501-H-14
GZBHB501-H-15
GZBHB701-F-01
GZBHB701-G-03
GZBHB701-M-12
GZBHB701-M-13
GZBHB701-N-12
GZBHB701-N-13
GZBHB701-Q-01
GZBHB701-Q-02
GZBHB701-Q-03</t>
  </si>
  <si>
    <t>GZBHB401-P-08
GZBHB401-P-09
GZBHB401-Q-10
GZBHB401-Q-11</t>
  </si>
  <si>
    <t>GZBHB401-P-10
GZBHB401-P-11
GZBHB401-Q-08
GZBHB401-Q-09
GZBHB401-Q-12
GZBHB401-Q-13
GZBHB401-Q-14
GZBHB401-Q-15</t>
  </si>
  <si>
    <t>GZBHB401-P-04
GZBHB401-P-05
GZBHB401-P-06</t>
  </si>
  <si>
    <t>GZBH603-L-13
GZBH603-L-14
GZBH603-L-15</t>
  </si>
  <si>
    <t>GZBHB501-E-03
GZBHB701-Q-04
GZBHB701-Q-05
GZBHB701-Q-06
GZBHB701-Q-07
GZBHB701-Q-08
GZBHB701-Q-09
GZBHB701-Q-10
GZBHB701-Q-11
GZBHB701-Q-12
GZBHB701-Q-13
GZBHB701-Q-14
GZBHB701-Q-15
GZBHB401-G-01
GZBHB401-P-03
GZBHB401-P-14
GZBHB401-P-15
GZBHB401-Q-04
GZBHB801-F-01
GZBHB801-F-02
GZBHB801-F-03
GZBHB801-F-04
GZBHB801-F-05
GZBHB801-F-06
GZBHB801-F-07
GZBHB801-F-08
GZBHB801-F-09
GZBHB801-F-10
GZBHB801-F-11
GZBHB801-F-12
GZBHB801-F-13
GZBHB801-F-14
GZBHB801-F-15
GZBHB801-G-04
GZBHB801-G-05
GZBHB801-G-08
GZBHB801-G-09
GZBHB801-G-10
GZBHB801-G-11
GZBHB801-H-01
GZBHB801-H-02
GZBHB801-H-03
GZBHB801-H-04
GZBHB801-H-05
GZBHB801-H-13
GZBHB801-M-03
GZBHB801-M-04
GZBHB801-M-05</t>
  </si>
  <si>
    <t>GZBH603-M-01
GZBH603-M-02
GZBH603-M-03
GZBH603-M-04
GZBH603-M-05
GZBH603-M-06
GZBH603-M-07
GZBH603-M-08
GZBHB801-A-10
GZBHB801-A-11</t>
  </si>
  <si>
    <t>GZBH602-E-12
GZBH602-E-13
GZBH602-E-14
GZBH602-E-15</t>
  </si>
  <si>
    <t>GZBH601-K-01
GZBH602-B-01
GZBH602-B-11
GZBH602-G-01
GZBH602-H-01
GZBH602-J-01
GZBH602-K-01
GZBH602-M-08
GZBH602-M-12
GZBH603-A-01
GZBH603-B-01
GZBH603-C-01
GZBH603-D-01
GZBH603-E-01
GZBH603-F-01
GZBH603-G-01
GZBH603-H-01
GZBH603-J-01
GZBH603-K-01
GZBH603-L-11
GZBH603-L-12
GZBH603-M-09
GZBH603-M-10
GZBH603-M-11
GZBH603-M-12
GZBH603-M-13
GZBH603-M-14</t>
  </si>
  <si>
    <t>GZBHB401-P-07 GZBH602-C-01
GZBH602-D-01
GZBH602-E-01</t>
  </si>
  <si>
    <t>GZBH602-F-01</t>
  </si>
  <si>
    <t>GZBH601-D-15
GZBHB801-A-10
GZBHB801-A-11</t>
  </si>
  <si>
    <t>GZBHB501-A-02 GZBHB501-B-02</t>
  </si>
  <si>
    <t>GZBHB801-A-06
GZBHB801-A-07
GZBHB801-A-08
GZBHB801-A-10
GZBHB801-A-11</t>
  </si>
  <si>
    <t>GZBHB501-A-05
GZBHB501-A-06
GZBHB501-B-05
GZBHB501-B-06</t>
  </si>
  <si>
    <t>GZBH601-D-15</t>
  </si>
  <si>
    <t>云托管，GZBHB801-P-11</t>
  </si>
  <si>
    <t>GZBHB801-A-04
GZBHB801-A-05
GZBHB801-A-09</t>
  </si>
  <si>
    <t>GZBHB501-A-07
GZBHB501-A-08
GZBHB501-B-07
GZBHB501-B-08</t>
  </si>
  <si>
    <t>GZBHB801-B-01
GZBHB801-B-02
GZBHB801-C-02
GZBHB801-C-03
GZBHB801-C-04
GZBHB801-C-05
GZBHB801-C-06
GZBHB801-C-07
GZBHB801-C-08
GZBHB801-C-09
GZBHB801-C-10
GZBHB801-C-11
GZBHB801-C-12
GZBHB801-C-13
GZBHB801-C-14
GZBHB801-C-15</t>
  </si>
  <si>
    <t>GZBHB801-A-01
GZBHB801-A-02
GZBHB801-A-03
GZBHB801-B-03
GZBHB801-B-04
GZBHB801-B-05
GZBHB801-B-06
GZBHB801-B-07
GZBHB801-B-08
GZBHB801-B-09
GZBHB801-B-10
GZBHB801-B-11
GZBHB801-B-12
GZBHB801-B-13
GZBHB801-B-14</t>
  </si>
  <si>
    <t>GZBHB801-B-15
GZBHB801-C-01
GZBHB801-D-03
GZBHB801-D-04</t>
  </si>
  <si>
    <t>GZBHB501-A-04
GZBHB501-B-04</t>
  </si>
  <si>
    <t>博浩一期&amp;二期</t>
  </si>
  <si>
    <t>博浩二期中的B栋交付时间：2020年7月31日
博浩二期中的C栋6层交付时间：2019年3月30日；博浩一期&amp;二期保底合并：（1）甲方承诺自机房通过验收当月起计，以每批交付机柜总数和时间为起始，第36个月起租40%，第48个月起租80%，第60个月起租90%，预留10%不做起租要求，如实际开通未达保底量则按保底量计费。
（2）本次机柜开通保底量和博浩一期（百度合同编号：181815IDC00115）机柜开通保底量合并计算叠加总量。例如本机房2019年3月30日完成机房交付验收，一期机房是2018年5月29日完成机房交付验收，则自2019年5月30日起，本机房和博浩一期机房保底机柜合计为600个机柜，两个机房总开通机柜量达600个则满足保底要求；以此类推。
1.5其它约定：
（1）如甲方在首批机柜交付后的第19个月内开通1500个机柜，则自第20个月开始，4.4KW机柜给予甲方优惠价调整为5750元/机柜/月。
（2）如甲方在首批机柜交付后的第13个月内开通1000个机柜，则自第14个月开始，4.4KW机柜给予甲方优惠价调整为5700元/机柜/月。
（3）原则上，甲方实际开通机柜未达保底量时按保底量收费，其中未开通机柜部分按照3412元/机柜/月计费。</t>
  </si>
  <si>
    <t>181815IDC00116</t>
  </si>
  <si>
    <t>计费规则为基本月租费X12个月/365天：博浩-华新园、博浩-华龙、博浩-南沙机房、博浩-南沙M3A，四条线，每月16万。从18年6月开始补计提，合同已生效，结算时看最终的确认邮件。3月计提时备注：19年3月费用。</t>
  </si>
  <si>
    <t>计费规则为基本月租费X12个月/365天：1月新增</t>
  </si>
  <si>
    <t>L20210615004</t>
  </si>
  <si>
    <t>南沙-深圳</t>
  </si>
  <si>
    <t>181915IDC00157</t>
  </si>
  <si>
    <t>博浩-科学城</t>
  </si>
  <si>
    <t>1820202IDC00128</t>
  </si>
  <si>
    <t>30122027881 华新园-深圳百度</t>
  </si>
  <si>
    <t>30122027854 博浩-深圳百度</t>
  </si>
  <si>
    <t>L20230217001</t>
  </si>
  <si>
    <t>GZBH移动CDN</t>
  </si>
  <si>
    <t>120.232.144.0/24 业务网段
120.232.145.0/24业务网段</t>
  </si>
  <si>
    <t>11.45.0.125/30 互联地址网段
111.45.0.129/30互联地址网段</t>
  </si>
  <si>
    <t>2409:8C54:0882:0000::/64业务网段
2409:8C54:0882:0001::/64业务网段</t>
  </si>
  <si>
    <t>中国移动通信集团湖南有限公司长沙分公司</t>
  </si>
  <si>
    <t>长沙移动</t>
  </si>
  <si>
    <t>182315IDC00083</t>
  </si>
  <si>
    <t xml:space="preserve">CDN IP </t>
  </si>
  <si>
    <t>长沙移动2</t>
  </si>
  <si>
    <t>CDNCSCM2</t>
  </si>
  <si>
    <t>使用288个，（2）20220731退租带宽后IP计费变动。合同条款针对甲方内容分发节点业务，乙方每百G互联网接入带宽包含 200  个IPv4地址</t>
  </si>
  <si>
    <t>湘潭</t>
  </si>
  <si>
    <t>CDNXIANGTCM</t>
  </si>
  <si>
    <t>使用544个</t>
  </si>
  <si>
    <t>湘潭BEC</t>
  </si>
  <si>
    <t>使用256个。20220731退租带宽后IP计费变动。合同条款针对甲方内容分发节点业务，乙方每百G互联网接入带宽包含 200  个IPv4地址</t>
  </si>
  <si>
    <t>边缘计算使用128个，36.158.181.0/25</t>
  </si>
  <si>
    <t>先按照20220812退租记录。CDN36.158.197.128/25 36.158.198.0/24</t>
  </si>
  <si>
    <t>先按照20220812退租记录。CDN36.158.197.128/25 36.158.198.0/24.剩余36.158.197.0/25 36.158.199.0/27 36.158.184.0/24(BEC IP) 36.158.181.0/25(BEC IP)</t>
  </si>
  <si>
    <t>长沙2</t>
  </si>
  <si>
    <t>长沙移动无人车</t>
  </si>
  <si>
    <t>长沙3</t>
  </si>
  <si>
    <t>长沙3移动</t>
  </si>
  <si>
    <t>湘潭移动</t>
  </si>
  <si>
    <t>原计提9个，2018年11月扩容传输机柜1个CSCM28F-17-5
CSCM28F-17-6
CSCM28F-17-7
CSCM28F-17-8
CSCM28F-17-9
CSCM28F-17-10
CSCM28F-17-11
CSCM28F-17-12
CSCM28F-17-13</t>
  </si>
  <si>
    <t>原计提9个，2018年11月扩容传输机柜1个CSCM28F-17-14</t>
  </si>
  <si>
    <t>3月无人车项目新增机架CSCM28F-17-04</t>
  </si>
  <si>
    <t>CS3CM8FEAST-05-02
CS3CM8FEAST-05-03
CS3CM8FEAST-05-12
CS3CM8FEAST-05-13
CS3CM8FEAST-05-14</t>
  </si>
  <si>
    <t>XIANGTCM301-J8
XIANGTCM301-J9
XIANGTCM301-J10
XIANGTCM301-J11
XIANGTCM301-J12
XIANGTCM301-J13
XIANGTCM301-J14
XIANGTCM301-J15
XIANGTCM301-J16</t>
  </si>
  <si>
    <t>边缘计算，XIANGTCMBEC301-J-17, XIANGTCMBEC301-J-18, XIANGTCMBEC301-J-19,</t>
  </si>
  <si>
    <t>先按照20220812退租记录。CDN：XIANGTCM301-J-16,XIANGTCM301-J-15,XIANGTCM301-J-14,XIANGTCM301-J-11,XIANGTCM301-J-10,XIANGTCM301-J-09,XIANGTCM301-J-08</t>
  </si>
  <si>
    <t>岳阳移动</t>
  </si>
  <si>
    <t>CDNYYCM</t>
  </si>
  <si>
    <t>使用288个，免费288个，201908-201910免费，201911开始计费</t>
  </si>
  <si>
    <t>20220731退租，120.226.57.0/24 120.226.58.0/27</t>
  </si>
  <si>
    <t>::/63，SYS反馈在用</t>
  </si>
  <si>
    <t>20220731退租</t>
  </si>
  <si>
    <t>201908新增的YYCM4FIDC-E-01，YYCM4FIDC-E-02，YYCM4FIDC-E-03，YYCM4FIDC-E-04，YYCM4FIDC-E-05，YYCM4FIDC-E-06，201908-201910免费。201911开始计费</t>
  </si>
  <si>
    <t>20220731退租，YYCM4FIDC-E-03,YYCM4FIDC-E-02,YYCM4FIDC-E-01,YYCM4FIDC-E-05,YYCM4FIDC-E-06,YYCM4FIDC-E-04</t>
  </si>
  <si>
    <t>长沙三级移动</t>
  </si>
  <si>
    <t>20220901开始计费。使用288个，36.158.211.0/24，120.226.40.96/27</t>
  </si>
  <si>
    <t>20220901开始计费。CSIXCM2F202-C-11, CSIXCM2F202-C-12</t>
  </si>
  <si>
    <t>20221001开始计费，CSIXCM2F202-C-18 CSIXCM2F202-C-17</t>
  </si>
  <si>
    <t>中国移动通信集团重庆有限公司</t>
  </si>
  <si>
    <t>重庆移动</t>
  </si>
  <si>
    <t>L20221025013</t>
  </si>
  <si>
    <t>CDNCQCM2</t>
  </si>
  <si>
    <t>新合同赠送1120个，使用544个</t>
  </si>
  <si>
    <t>重庆2移动</t>
  </si>
  <si>
    <t>新合同赠送1120个，使用288个</t>
  </si>
  <si>
    <t>重庆移动二级</t>
  </si>
  <si>
    <t>CDNCQCM</t>
  </si>
  <si>
    <t>无人车32个IP218.201.39.32/27</t>
  </si>
  <si>
    <t>重庆4移动</t>
  </si>
  <si>
    <t>20200701开始计费，使用288个（221.178.100.0/24 221.178.99.128/27）</t>
  </si>
  <si>
    <t>重庆移动SSL</t>
  </si>
  <si>
    <t>SSLCQCM</t>
  </si>
  <si>
    <t>20200801开始计费，使用576个（221.178.56.0/24,221.178.57.0/24,221.178.58.0/26）</t>
  </si>
  <si>
    <t>函件写了不计费，边缘计算新增128个，111.10.52.128/25</t>
  </si>
  <si>
    <t>边缘新增128个，221.178.62.128/25</t>
  </si>
  <si>
    <t xml:space="preserve">20220731退租，183.230.68.0/24 183.230.69.0/24 218.201.39.128/27 </t>
  </si>
  <si>
    <t>20220731退租，无人车32个IP218.201.39.32/27</t>
  </si>
  <si>
    <t>L20230223006</t>
  </si>
  <si>
    <t xml:space="preserve">无人车使用。221.178.63.96/27 </t>
  </si>
  <si>
    <t>需要注意新合同单价5000，收费23个，水土机房11个机架</t>
  </si>
  <si>
    <t>CDNCQCM
CDNCQCM2</t>
  </si>
  <si>
    <t>水土机房、龙洲湾机房6个机柜</t>
  </si>
  <si>
    <t>20200701开始计费，182015IDC00098：CQ4CM407-G-01、CQ4CM407-G-02、CQ4CM407-G-03、CQ4CM407-G-04、CQ4CM407-G-05、CQ4CM407-G-06、CQ4CM407-G-07、CQ4CM407-G-08</t>
  </si>
  <si>
    <t>20200801开始计费，SSLCQCM405-J-02/03/04</t>
  </si>
  <si>
    <t>边缘计算， 
BECCQCM407-H-13
BECCQCM407-H-14
BECCQCM407-H-15</t>
  </si>
  <si>
    <t>20210812退租：CQ4CM407-G-07、CQ4CM407-G-08</t>
  </si>
  <si>
    <t>20220731退租，CQCM405-F-15,CQCM405-F-16,CQCM405-F-14,CQCM405-F-13,CQCM405-F-12,CQCM405-F-10,CQCM405-F-08,CQCM405-F-09,CQCM405-F-07,CQCM405-F-11,CQCM405-F-17</t>
  </si>
  <si>
    <t>20220731退租，CQ4CM407-G-06</t>
  </si>
  <si>
    <t>中国移动通信集团四川有限公司天府新区分公司</t>
  </si>
  <si>
    <t>成都移动</t>
  </si>
  <si>
    <t>L20221025018</t>
  </si>
  <si>
    <t>成都移动4</t>
  </si>
  <si>
    <t>CDNCDCM3</t>
  </si>
  <si>
    <t>边缘计算使用384个183.220.193.0/24
112.19.8.128/25
，201911-201912BD反馈使用181918IDC00045合同</t>
  </si>
  <si>
    <t>成都移动2</t>
  </si>
  <si>
    <t>CDNCDCM2</t>
  </si>
  <si>
    <t>sys反馈使用288，合同内共免费4800个</t>
  </si>
  <si>
    <t>成都移动3</t>
  </si>
  <si>
    <t>成都移动5</t>
  </si>
  <si>
    <t>CDNCDCM4</t>
  </si>
  <si>
    <t>sys反馈使用288个，四川移动合同约定ip共免费4800个</t>
  </si>
  <si>
    <t>边缘计算：223.86.121.128/25</t>
  </si>
  <si>
    <t>117.174.144.0/24 183.222.97.0/2</t>
  </si>
  <si>
    <t>::/64，退租</t>
  </si>
  <si>
    <t>2段::/64，SYS反馈在用</t>
  </si>
  <si>
    <t>CDNCDCM</t>
  </si>
  <si>
    <t>12月新增5个机架；2018年9月6日新增6个机柜，10月1日计费;新增成都2  机柜4个，成都3  机柜5个，成都4  机柜6个，</t>
  </si>
  <si>
    <t xml:space="preserve">边缘计算，20191118开始计费，BECCD4CM105-D-01、
BECCD4CM105-D-02、
BECCD4CM105-D-03、
BECCD4CM105-D-04
</t>
  </si>
  <si>
    <t>成都3移动</t>
  </si>
  <si>
    <t>需要注意运营商确认计费单为20200701开始计费，202006计费已冲销。与财务沟通更新计提表计费时间为20200701.系统计费日期不变动。20200612下架CDCM1F-A-08,CDCM1F-A-09,CDCM1F-A-10,CDCM1F-A-11,CDCM1F-A-12</t>
  </si>
  <si>
    <t>需要注意运营商确认计费单为20200701开始计费，202006计费已冲销。与财务沟通更新计提表计费时间为20200701.系统计费日期不变动。20200612下架CDCM1F-A-08,CDCM1F-A-09,CDCM1F-A-10,CDCM1F-A-11,CDCM1F-A-12。上线CD3CMB04105-D-08,CD3CMB04105-D-09,CD3CMB04105-D-10,CD3CMB04105-D-11,CD3CMB04105-D-12,CD3CMB04105-D-13</t>
  </si>
  <si>
    <t>边缘计算，BECCD4CM105-D-14</t>
  </si>
  <si>
    <t>CD2CM3F-09-08,CD2CM3F-09-09,CD2CM3F-09-07,CD2CM3F-09-06</t>
  </si>
  <si>
    <t>CD3CMB04105-D-11,CD3CMB04105-D-13,CD3CMB04105-D-12</t>
  </si>
  <si>
    <t>20220809退租，CDCM105-E-06,CDCM105-E-05,CDCM105-E-04</t>
  </si>
  <si>
    <t>L20221228004</t>
  </si>
  <si>
    <t>成都11移动</t>
  </si>
  <si>
    <t>CDNCDCM5</t>
  </si>
  <si>
    <t>20221222开始计费。边缘计算112.45.114.192/26
183.220.195.240/28</t>
  </si>
  <si>
    <t>20230113开始计费，边缘计算	117.174.51.160/27, 117.174.51.192/28</t>
  </si>
  <si>
    <t>20221222开始计费。边缘计算BECCD11CM-D-12</t>
  </si>
  <si>
    <t>中国移动通信集团贵州有限公司贵阳分公司</t>
  </si>
  <si>
    <t>贵阳移动</t>
  </si>
  <si>
    <t xml:space="preserve">182315IDC00082 </t>
  </si>
  <si>
    <t>CDNGYCM</t>
  </si>
  <si>
    <t>使用288个，117.187.39.0/24 117.187.216.32/27（1）针对甲方内容分发节点业务，乙方每百G互联网接入带宽包含 160 个IPv4地址，赠送448个；（2）2022年5月31日退租后赠送160个</t>
  </si>
  <si>
    <t xml:space="preserve">边缘计算新增128个，117.187.216.64/26，
117.187.216.128/26
</t>
  </si>
  <si>
    <t>边缘计算新增128个，117.187.211.128/25</t>
  </si>
  <si>
    <t>20221104退租128个，117.187.39.128/25。</t>
  </si>
  <si>
    <t>/64 的IPv6地址，超出部分的IPv4地址按照 50 元/个/月收取，超出部分的IPv6地址按照暂不收</t>
  </si>
  <si>
    <t xml:space="preserve">需要注意新合同账户信息；GYCM2F-E-09
GYCM2F-E-08
GYCM2F-E-06
GYCM2F-E-05
GYCM2F-E-04
GYCM2F-E-02
GYCM2F-E-01
</t>
  </si>
  <si>
    <t xml:space="preserve">边缘计算，
BECGYCM203-F-09， 
BECGYCM203-F-10
</t>
  </si>
  <si>
    <t>GYCM2F-E-02,GYCM2F-E-01,GYCM2F-E-09,GYCM2F-E-08</t>
  </si>
  <si>
    <t>中国移动通信集团广东有限公司东莞分公司</t>
  </si>
  <si>
    <t>东莞移动</t>
  </si>
  <si>
    <t>182315IDC00081</t>
  </si>
  <si>
    <t>东莞</t>
  </si>
  <si>
    <t>东莞5移动</t>
  </si>
  <si>
    <t>CDNDGCM</t>
  </si>
  <si>
    <t>实际使用544，赠送768120.233.49.0/24 120.233.50.0/24 120.233.48.224/27</t>
  </si>
  <si>
    <t>20220731退租384个，120.233.50.0/24 120.233.49.128/25</t>
  </si>
  <si>
    <t xml:space="preserve">DG3FA-J-01
DG3FA-J-10
DG3FA-J-09
DG3FA-J-08
DG3FA-J-07
DG3FA-J-06
DG3FA-J-11
DG3FA-J-05
DG3FA-J-04
DG3FA-J-03
DG3FA-J-02
</t>
  </si>
  <si>
    <t>退租：DG3FA-J-01,DG3FA-J-06,DG3FA-J-07,DG3FA-J-08,DG3FA-J-09,DG3FA-J-010,DG3FA-J-011</t>
  </si>
  <si>
    <t>中国移动通信集团广东有限公司深圳分公司</t>
  </si>
  <si>
    <t>深圳移动</t>
  </si>
  <si>
    <t>182115IDC00187</t>
  </si>
  <si>
    <t>深圳</t>
  </si>
  <si>
    <t>CDNSZCM</t>
  </si>
  <si>
    <t>20190901开始计费，免费544，使用544个，超出按50元/个/月120.241.39.0/24 120.241.40.0/24 120.241.41.0/27</t>
  </si>
  <si>
    <t>120.241.39.0/24 120.241.40.0/24 120.241.41.0/27</t>
  </si>
  <si>
    <t>20190901开始计费，SZ2FMD25-H-16，SZ2FMD25-H-17，SZ2FMD25-H-18，SZ2FMD25-H-19，SZ2FMD25-H-20，SZ2FMD25-H-21，SZ2FMD25-H-22，SZ2FMD25-H-23</t>
  </si>
  <si>
    <t>SZ2FMD25-H-20,SZ2FMD25-H-19,SZ2FMD25-H-21,SZ2FMD25-H-22,SZ2FMD25-H-18,SZ2FMD25-H-17,SZ2FMD25-H-23,SZ2FMD25-H-16</t>
  </si>
  <si>
    <t>广州云硕科技发展有限公司</t>
  </si>
  <si>
    <t>广州云硕</t>
  </si>
  <si>
    <t>L20220818008</t>
  </si>
  <si>
    <t>广州南沙</t>
  </si>
  <si>
    <t>GZM3A</t>
  </si>
  <si>
    <t xml:space="preserve">   </t>
  </si>
  <si>
    <t>GZM3AB101-A-07</t>
  </si>
  <si>
    <t>20190823关闭1个GZM3AB101-A-01</t>
  </si>
  <si>
    <t>95A（实际109A）</t>
  </si>
  <si>
    <t>20191114开通1个GZM3AB101-C-05，BD告知按照21KW单价计提</t>
  </si>
  <si>
    <t>20191226关闭2个GZM3AB101-A-02，GZM3AB101-A-03</t>
  </si>
  <si>
    <t>20200318开通1个GZM3AB101-F-06</t>
  </si>
  <si>
    <t>20201118开通GZM3AB101-F-02</t>
  </si>
  <si>
    <t>20210317开通GZM3AB101-F-04
GZM3AB101-F-05</t>
  </si>
  <si>
    <t>20210318开通1个8.8kw，GZM3AB101-B-06</t>
  </si>
  <si>
    <t>20210330开通1个8.8KW，GZM3AB101-B-04</t>
  </si>
  <si>
    <t>20210419开通1个，GZM3AB101-B-03</t>
  </si>
  <si>
    <t>20210419开通1个，GZM3AB101-F-03</t>
  </si>
  <si>
    <t>GZM3AB101-A-01 GZM3AB101-A-02</t>
  </si>
  <si>
    <t>GZM3AB101-E-01 GZM3AB101-F-01</t>
  </si>
  <si>
    <t xml:space="preserve">GZM3AB101-A-03
</t>
  </si>
  <si>
    <t>L20220901001</t>
  </si>
  <si>
    <t>GZM3AB101-B-05
GZM3AB101-B-07
GZM3AB101-B-08</t>
  </si>
  <si>
    <t>改造机柜，电流95A更新为109A，GZM3AB101-C-04 GZM3AB101-D-04</t>
  </si>
  <si>
    <t>L20221026001</t>
  </si>
  <si>
    <t>182215IDC00638</t>
  </si>
  <si>
    <t>GZNSNS-云托管</t>
  </si>
  <si>
    <t>云托管，GZNSNSC301-H-01
GZNSNSC301-H-02
GZNSNSC301-H-03
GZNSNSC301-H-04
GZNSNSC301-H-05</t>
  </si>
  <si>
    <t>云托管，GZNSNSC301-H-07
GZNSNSC301-H-08</t>
  </si>
  <si>
    <t>云托管，GZNSNSC301-H-09
GZNSNSC301-H-10
GZNSNSC301-H-11
GZNSNSC301-H-12</t>
  </si>
  <si>
    <t>云托管，GZNSNSC301-G-01
GZNSNSC301-G-02
GZNSNSC301-G-03
GZNSNSC301-G-04
GZNSNSC301-G-05
GZNSNSC301-G-06
GZNSNSC301-G-07
GZNSNSC301-G-08
GZNSNSC301-G-09
GZNSNSC301-G-10
GZNSNSC301-G-11</t>
  </si>
  <si>
    <t>云托管，GZNSNSC301-F-01
GZNSNSC301-F-02
GZNSNSC301-F-03
GZNSNSC301-F-04
GZNSNSC301-F-05
GZNSNSC301-G-12
GZNSNSC301-G-13
GZNSNSC301-G-14
GZNSNSC301-G-15
GZNSNSC301-H-13
GZNSNSC301-H-14
GZNSNSC301-H-15
GZNSNSC301-H-16</t>
  </si>
  <si>
    <t>云托管，GZNSNSC301-F-06</t>
  </si>
  <si>
    <t>云托管，GZNSNSC301-F-08 GZNSNSC301-F-09</t>
  </si>
  <si>
    <t>云托管，GZNSNSC301-F-07</t>
  </si>
  <si>
    <t>云托管，GZNSNSC301-F-10
GZNSNSC301-F-11
GZNSNSC301-F-12
GZNSNSC301-F-13
GZNSNSC301-F-14
GZNSNSC301-F-15</t>
  </si>
  <si>
    <t>云托管，GZNSNSC301-F-16</t>
  </si>
  <si>
    <t>云托管，GZNSNSC301-E-01</t>
  </si>
  <si>
    <t>云托管，GZNSNSC301-E-02 GZNSNSC301-E-03</t>
  </si>
  <si>
    <t>云托管，GZNSNSC301-B-01
GZNSNSC301-B-02
GZNSNSC301-B-03
GZNSNSC301-B-04
GZNSNSC301-B-05</t>
  </si>
  <si>
    <t xml:space="preserve">云托管，GZNSNSC301-E-04
GZNSNSC301-E-05
GZNSNSC301-E-06
</t>
  </si>
  <si>
    <t>云托管，GZNSNSC301-E-07
GZNSNSC301-E-08
GZNSNSC301-E-09
GZNSNSC301-E-10</t>
  </si>
  <si>
    <t>云托管，GZNSNSC301-D-01
GZNSNSC301-D-02
GZNSNSC301-D-03
GZNSNSC301-D-04
GZNSNSC301-D-05
GZNSNSC301-D-06
GZNSNSC301-D-07
GZNSNSC301-D-08
GZNSNSC301-D-09
GZNSNSC301-D-10
GZNSNSC301-D-11
GZNSNSC301-D-12
GZNSNSC301-E-12
GZNSNSC301-E-13
GZNSNSC301-E-14
GZNSNSC301-E-15</t>
  </si>
  <si>
    <t>云托管，GZNSNSC301-D-13
GZNSNSC301-D-14
GZNSNSC301-D-15</t>
  </si>
  <si>
    <t>云托管，GZNSNSC301-C-01
GZNSNSC301-C-02</t>
  </si>
  <si>
    <t>云托管，GZNSNSC301-C-03
GZNSNSC301-C-04
GZNSNSC301-C-05</t>
  </si>
  <si>
    <t>云托管，GZNSNSC301-C-07
GZNSNSC301-C-08
GZNSNSC301-C-09</t>
  </si>
  <si>
    <t>云托管，GZNSNSC301-C-10
GZNSNSC301-C-11
GZNSNSC301-C-12</t>
  </si>
  <si>
    <t>广州市祥云网络科技有限公司</t>
  </si>
  <si>
    <t>祥云网络</t>
  </si>
  <si>
    <t>182115IDC00419</t>
  </si>
  <si>
    <t>博浩三期(A栋301,401,501;B栋201,301)</t>
  </si>
  <si>
    <t>动环交付20210721.20210810-20210821按照合同为测试期，20210822开始收费，GZBHBHA301-B-01
GZBHBHA301-C-14
GZBHBHA301-C-15
GZBHBHA401-A-16
GZBHBHA401-J-15
GZBHBHA401-N-02
GZBHBHA401-N-03
GZBHBHA501-B-16
GZBHBHA501-G-02
GZBHBHA501-G-03
GZBHBHA501-J-15
GZBHBHA501-N-03
GZBHBHA501-N-04
GZBHBHB201-A-15
GZBHBHB201-C-01
GZBHBHB201-C-02
GZBHBHB201-J-15
GZBHBHB201-N-01
GZBHBHB201-N-02
GZBHBHB301-G-16
GZBHBHB301-J-01
GZBHBHB301-J-02</t>
  </si>
  <si>
    <t>20210810-20210821按照合同为测试期，20210822开始收费，GZBHBHA401-B-03
GZBHBHA401-B-05
GZBHBHA401-B-07
GZBHBHA401-C-02
GZBHBHA401-C-04
GZBHBHA401-C-06
GZBHBHA401-D-02
GZBHBHA401-D-04
GZBHBHA401-D-06
GZBHBHA401-E-03
GZBHBHA401-E-05
GZBHBHA401-E-07</t>
  </si>
  <si>
    <t>20210817-20210821按照合同为测试期，20210822开始收费，GZBHBHA501-B-01
GZBHBHA501-B-02
GZBHBHA501-B-03
GZBHBHA501-B-04
GZBHBHA501-B-05
GZBHBHA501-B-06
GZBHBHA501-B-07
GZBHBHA501-B-08
GZBHBHA501-B-09
GZBHBHA501-B-10
GZBHBHA501-B-11
GZBHBHA501-B-12
GZBHBHA501-B-13
GZBHBHA501-B-14
GZBHBHA501-B-15
GZBHBHA501-C-01
GZBHBHA501-C-02
GZBHBHA501-C-03
GZBHBHA501-C-04
GZBHBHA501-C-05
GZBHBHA501-C-06
GZBHBHA501-C-07
GZBHBHA501-C-08
GZBHBHA501-C-09
GZBHBHA501-C-10
GZBHBHA501-C-11
GZBHBHA501-C-12
GZBHBHA501-C-13
GZBHBHA501-C-14
GZBHBHA501-C-15
GZBHBHA501-C-16
GZBHBHA501-D-02
GZBHBHA501-D-03
GZBHBHA501-D-04
GZBHBHA501-D-05
GZBHBHA501-D-06
GZBHBHA501-D-07
GZBHBHA501-D-08
GZBHBHA501-D-09
GZBHBHA501-D-10
GZBHBHA501-D-11
GZBHBHA501-D-12
GZBHBHA501-D-13</t>
  </si>
  <si>
    <t>GZBHBHA501-E-02
GZBHBHA501-E-03
GZBHBHA501-E-04</t>
  </si>
  <si>
    <t>GZBHBHA501-E-06
GZBHBHA501-E-07
GZBHBHA501-E-08
GZBHBHA501-E-09</t>
  </si>
  <si>
    <t>GZBHBHA501-F-02
GZBHBHA501-F-03
GZBHBHA501-F-04
GZBHBHA501-F-05
GZBHBHA501-F-06
GZBHBHA501-F-07
GZBHBHA501-F-08
GZBHBHA501-F-09
GZBHBHA501-F-10
GZBHBHA501-F-11
GZBHBHA501-F-12
GZBHBHA501-F-13
GZBHBHA501-F-14
GZBHBHA501-F-15</t>
  </si>
  <si>
    <t>GZBHBHA501-E-10
GZBHBHA501-E-11
GZBHBHA501-E-12
GZBHBHA501-E-13
GZBHBHA501-E-14</t>
  </si>
  <si>
    <t>GZBHBHA501-G-04
GZBHBHA501-G-05
GZBHBHA501-G-06
GZBHBHA501-G-07
GZBHBHA501-G-08
GZBHBHA501-G-09
GZBHBHA501-H-02
GZBHBHA501-H-03
GZBHBHA501-H-04
GZBHBHA501-H-05
GZBHBHA501-H-06
GZBHBHA501-H-07
GZBHBHA501-H-08
GZBHBHA501-H-09
GZBHBHA501-J-02
GZBHBHA501-J-03
GZBHBHA501-J-04
GZBHBHA501-J-05
GZBHBHA501-J-06
GZBHBHA501-J-07
GZBHBHA501-J-08
GZBHBHA501-J-09
GZBHBHA501-K-02
GZBHBHA501-K-03
GZBHBHA501-K-04
GZBHBHA501-K-05
GZBHBHA501-K-06
GZBHBHA501-K-07
GZBHBHA501-G-10
GZBHBHA501-G-11
GZBHBHA501-G-12
GZBHBHA501-G-13
GZBHBHA501-G-14
GZBHBHA501-G-15
GZBHBHA501-H-10
GZBHBHA501-H-11
GZBHBHA501-H-12
GZBHBHA501-H-13
GZBHBHA501-J-10
GZBHBHA501-J-11
GZBHBHA501-J-12
GZBHBHA501-J-13
GZBHBHA501-J-14</t>
  </si>
  <si>
    <t>GZBHBHA401-J-02
GZBHBHA401-J-03
GZBHBHA401-J-04
GZBHBHA501-E-05
GZBHBHA501-K-08
GZBHBHA501-K-09
GZBHBHA501-L-02
GZBHBHA501-L-03
GZBHBHA501-L-04
GZBHBHA501-L-05
GZBHBHA501-L-06
GZBHBHA501-L-07
GZBHBHA501-L-08
GZBHBHA501-L-09
GZBHBHA501-M-03
GZBHBHA501-M-04
GZBHBHA501-M-05
GZBHBHA501-M-06
GZBHBHA501-M-07
GZBHBHA501-M-08
GZBHBHA501-M-09
GZBHBHA501-N-05
GZBHBHA501-N-06
GZBHBHA501-N-07
GZBHBHA501-N-08
GZBHBHA501-N-09
GZBHBHA501-P-03
GZBHBHA501-P-04
GZBHBHA501-P-05
GZBHBHA501-P-06
GZBHBHA501-P-07
GZBHBHA501-P-08
GZBHBHA501-P-09
GZBHBHA501-Q-03
GZBHBHA501-Q-04
GZBHBHA501-Q-05
GZBHBHA501-Q-06
GZBHBHA501-Q-07
GZBHBHA501-Q-08
GZBHBHA501-Q-09
GZBHBHA501-E-15
GZBHBHA501-K-10
GZBHBHA501-K-11
GZBHBHA501-K-12
GZBHBHA501-K-13
GZBHBHA501-K-14
GZBHBHA501-K-15
GZBHBHA501-L-10
GZBHBHA501-L-11
GZBHBHA501-L-12
GZBHBHA501-L-13
GZBHBHA501-L-14
GZBHBHA501-L-15
GZBHBHA501-M-10
GZBHBHA501-M-11
GZBHBHA501-M-12
GZBHBHA501-M-13
GZBHBHA501-N-10
GZBHBHA501-N-11
GZBHBHA501-N-12
GZBHBHA501-N-13
GZBHBHA501-N-14
GZBHBHA501-N-15
GZBHBHA501-P-10
GZBHBHA501-P-11
GZBHBHA501-P-12
GZBHBHA501-P-13
GZBHBHA501-P-14
GZBHBHA501-P-15
GZBHBHA501-Q-10
GZBHBHA501-Q-11
GZBHBHA501-Q-12
GZBHBHA501-Q-13
GZBHBHA501-Q-14
GZBHBHA501-Q-15</t>
  </si>
  <si>
    <t>GZBHBHA401-J-10
GZBHBHA401-J-11
GZBHBHA401-J-12
GZBHBHA401-J-13
GZBHBHA401-J-14
GZBHBHA401-K-10
GZBHBHA401-K-11
GZBHBHA401-K-12
GZBHBHA401-K-13
GZBHBHA401-K-14
GZBHBHA401-K-15
GZBHBHA401-L-10
GZBHBHA401-L-11
GZBHBHA401-L-12
GZBHBHA401-L-13
GZBHBHA401-L-14
GZBHBHA401-L-15
GZBHBHA401-M-10
GZBHBHA401-M-11
GZBHBHA401-M-12
GZBHBHA401-M-13
GZBHBHA401-N-10
GZBHBHA401-N-11
GZBHBHA401-N-12
GZBHBHA401-N-13
GZBHBHA401-N-14
GZBHBHA401-N-15
GZBHBHA401-P-10
GZBHBHA401-P-11
GZBHBHA401-P-12
GZBHBHA401-P-13
GZBHBHA401-P-14
GZBHBHA401-P-15
GZBHBHA401-Q-10
GZBHBHA401-Q-11
GZBHBHA401-Q-12
GZBHBHA401-Q-13
GZBHBHA401-Q-14
GZBHBHA401-Q-15
GZBHBHA401-J-05
GZBHBHA401-J-06
GZBHBHA401-J-07
GZBHBHA401-J-08
GZBHBHA401-J-09
GZBHBHA401-K-02
GZBHBHA401-K-03
GZBHBHA401-K-04
GZBHBHA401-K-05
GZBHBHA401-K-06
GZBHBHA401-K-07
GZBHBHA401-K-08
GZBHBHA401-K-09
GZBHBHA401-L-02
GZBHBHA401-L-03
GZBHBHA401-L-04
GZBHBHA401-L-05
GZBHBHA401-L-06
GZBHBHA401-L-07
GZBHBHA401-L-08
GZBHBHA401-L-09
GZBHBHA401-M-02
GZBHBHA401-M-03
GZBHBHA401-M-04
GZBHBHA401-M-05
GZBHBHA401-M-06
GZBHBHA401-M-07
GZBHBHA401-M-08
GZBHBHA401-M-09
GZBHBHA401-N-04
GZBHBHA401-N-05
GZBHBHA401-N-06
GZBHBHA401-N-07
GZBHBHA401-N-08
GZBHBHA401-N-09
GZBHBHA401-P-02
GZBHBHA401-P-03
GZBHBHA401-P-04
GZBHBHA401-P-05
GZBHBHA401-P-06
GZBHBHA401-P-07
GZBHBHA401-P-08
GZBHBHA401-P-09
GZBHBHA401-Q-02
GZBHBHA401-Q-03
GZBHBHA401-Q-04
GZBHBHA401-Q-05
GZBHBHA401-Q-06
GZBHBHA401-Q-07
GZBHBHA401-Q-08
GZBHBHA401-Q-09</t>
  </si>
  <si>
    <t>GZBHBHA301-A-15
GZBHBHA301-B-15
GZBHBHA401-B-01
GZBHBHA401-B-02
GZBHBHA401-B-04
GZBHBHA401-B-06
GZBHBHA401-C-01
GZBHBHA401-C-03
GZBHBHA401-C-05
GZBHBHA401-D-01
GZBHBHA401-D-03
GZBHBHA401-D-05
GZBHBHA401-E-01
GZBHBHA401-E-02
GZBHBHA401-E-04
GZBHBHA401-E-06
GZBHBHA401-K-01
GZBHBHA401-L-01
GZBHBHA501-H-01
GZBHBHA501-J-01
GZBHBHB201-H-01
GZBHBHB201-J-01
GZBHBHB301-G-01
GZBHBHB301-H-01</t>
  </si>
  <si>
    <t>GZBHBHA301-C-01
GZBHBHA301-C-02
GZBHBHA301-C-03
GZBHBHA301-C-04
GZBHBHA301-C-05
GZBHBHA301-C-06
GZBHBHA301-C-07
GZBHBHA301-C-08
GZBHBHA301-C-09
GZBHBHA301-C-10
GZBHBHA301-C-11
GZBHBHA301-C-12
GZBHBHA301-C-13
GZBHBHA301-D-01
GZBHBHA301-D-02
GZBHBHA301-D-03
GZBHBHA301-D-04
GZBHBHA301-D-05
GZBHBHA301-D-06
GZBHBHA301-D-07
GZBHBHA301-D-08
GZBHBHA301-D-09
GZBHBHA301-D-10
GZBHBHA301-D-11
GZBHBHA301-D-12
GZBHBHA301-D-13
GZBHBHA301-D-14
GZBHBHA301-D-15
GZBHBHA301-E-01
GZBHBHA301-E-02
GZBHBHA301-E-03
GZBHBHA301-E-04
GZBHBHA301-E-05
GZBHBHA301-E-06
GZBHBHA301-E-07
GZBHBHA301-E-08
GZBHBHA301-E-09
GZBHBHA301-E-10
GZBHBHA301-E-11
GZBHBHA301-E-12
GZBHBHA301-E-13
GZBHBHA301-E-14
GZBHBHA301-E-15
GZBHBHA301-E-16
GZBHBHA301-F-01
GZBHBHA301-F-02
GZBHBHA301-F-03
GZBHBHA301-F-04
GZBHBHA301-F-05
GZBHBHA301-F-06
GZBHBHA301-F-07
GZBHBHA301-F-08
GZBHBHA301-F-09
GZBHBHA301-F-10
GZBHBHA301-F-11
GZBHBHA301-F-12
GZBHBHA301-F-13
GZBHBHA301-F-14
GZBHBHA301-F-15
GZBHBHA301-F-16</t>
  </si>
  <si>
    <t>GZBHBHA301-A-01
GZBHBHA301-A-02
GZBHBHA301-A-03
GZBHBHA301-A-04
GZBHBHA301-A-05
GZBHBHA301-A-06
GZBHBHA301-A-07
GZBHBHA301-A-08
GZBHBHA301-A-09
GZBHBHA301-A-10
GZBHBHA301-A-11
GZBHBHA301-A-12
GZBHBHA301-A-13
GZBHBHA301-A-14
GZBHBHA301-B-02
GZBHBHA301-B-03
GZBHBHA301-B-04
GZBHBHA301-B-05
GZBHBHA301-B-06
GZBHBHA301-B-07
GZBHBHA301-B-08
GZBHBHA301-B-09
GZBHBHA301-B-10
GZBHBHA301-B-11
GZBHBHA301-B-12
GZBHBHA301-B-13
GZBHBHA301-B-14
GZBHBHB201-A-01
GZBHBHB201-A-02
GZBHBHB201-A-03
GZBHBHB201-A-04
GZBHBHB201-A-05
GZBHBHB201-A-06
GZBHBHB201-A-07
GZBHBHB201-A-08
GZBHBHB201-A-09
GZBHBHB201-A-10
GZBHBHB201-A-11
GZBHBHB201-A-12
GZBHBHB201-A-13
GZBHBHB201-A-14
GZBHBHB201-B-01
GZBHBHB201-B-02
GZBHBHB201-B-03
GZBHBHB201-B-04
GZBHBHB201-B-05
GZBHBHB201-B-06
GZBHBHB201-B-07
GZBHBHB201-B-08
GZBHBHB201-B-09
GZBHBHB201-B-10
GZBHBHB201-B-11
GZBHBHB201-B-12
GZBHBHB201-B-13
GZBHBHB201-B-14
GZBHBHB201-B-15
GZBHBHB201-C-03
GZBHBHB201-C-04
GZBHBHB201-C-05
GZBHBHB201-C-06
GZBHBHB201-C-08
GZBHBHB201-C-09</t>
  </si>
  <si>
    <t>GZBHBHB201-C-07
GZBHBHB201-C-10
GZBHBHB201-C-11
GZBHBHB201-C-12
GZBHBHB201-C-13
GZBHBHB201-C-14
GZBHBHB201-C-15
GZBHBHB201-D-01
GZBHBHB201-D-02
GZBHBHB201-D-03
GZBHBHB201-D-04
GZBHBHB201-D-05
GZBHBHB201-D-06
GZBHBHB201-D-07
GZBHBHB201-D-08
GZBHBHB201-D-09
GZBHBHB201-D-10
GZBHBHB201-D-11
GZBHBHB201-D-12
GZBHBHB201-D-13
GZBHBHB201-E-01
GZBHBHB201-E-02
GZBHBHB201-E-03
GZBHBHB201-E-04
GZBHBHB201-E-05
GZBHBHB201-E-06
GZBHBHB201-E-07
GZBHBHB201-E-08
GZBHBHB201-E-09
GZBHBHB201-E-10
GZBHBHB201-E-11
GZBHBHB201-E-12
GZBHBHB201-E-13
GZBHBHB201-E-14
GZBHBHB201-E-15
GZBHBHB201-F-01
GZBHBHB201-F-02
GZBHBHB201-F-03</t>
  </si>
  <si>
    <t>GZBHBHB201-F-04
GZBHBHB201-F-05
GZBHBHB201-F-06
GZBHBHB201-F-07
GZBHBHB201-F-08
GZBHBHB201-F-09
GZBHBHB201-F-10
GZBHBHB201-F-11
GZBHBHB201-F-12
GZBHBHB201-F-13
GZBHBHB201-F-14
GZBHBHB201-F-15
GZBHBHB201-G-01
GZBHBHB201-G-02
GZBHBHB201-G-03
GZBHBHB201-G-04
GZBHBHB201-G-05
GZBHBHB201-G-06
GZBHBHB201-G-07
GZBHBHB201-G-08
GZBHBHB201-G-09
GZBHBHB201-G-10
GZBHBHB201-G-11
GZBHBHB201-G-12
GZBHBHB201-G-13
GZBHBHB201-G-14
GZBHBHB201-G-15
GZBHBHB201-H-02
GZBHBHB201-H-03
GZBHBHB201-H-04
GZBHBHB201-H-05
GZBHBHB201-H-06
GZBHBHB201-H-07
GZBHBHB201-H-08
GZBHBHB201-H-09
GZBHBHB201-H-10
GZBHBHB201-H-11
GZBHBHB201-H-12
GZBHBHB201-H-13
GZBHBHB201-J-02
GZBHBHB201-J-03
GZBHBHB201-J-04
GZBHBHB201-J-05
GZBHBHB201-J-06
GZBHBHB201-J-07
GZBHBHB201-J-08
GZBHBHB201-J-09
GZBHBHB201-J-10
GZBHBHB201-J-11
GZBHBHB201-J-12
GZBHBHB201-J-13
GZBHBHB201-J-14
GZBHBHB201-K-01
GZBHBHB201-K-02
GZBHBHB201-K-03
GZBHBHB201-K-04
GZBHBHB201-K-05
GZBHBHB201-K-06
GZBHBHB201-K-07
GZBHBHB201-K-08
GZBHBHB201-K-09
GZBHBHB201-K-10
GZBHBHB201-K-11
GZBHBHB201-K-12
GZBHBHB201-K-13
GZBHBHB201-K-14
GZBHBHB201-K-15
GZBHBHB201-L-01
GZBHBHB201-L-02
GZBHBHB201-L-03
GZBHBHB201-L-04
GZBHBHB201-L-05
GZBHBHB201-L-06
GZBHBHB201-L-07
GZBHBHB201-L-08
GZBHBHB201-L-09
GZBHBHB201-L-10
GZBHBHB201-L-11
GZBHBHB201-L-12
GZBHBHB201-L-13
GZBHBHB201-L-14
GZBHBHB201-L-15
GZBHBHB201-M-01
GZBHBHB201-M-02
GZBHBHB201-M-03
GZBHBHB201-M-04
GZBHBHB201-M-05
GZBHBHB201-M-06
GZBHBHB201-M-07
GZBHBHB201-M-08
GZBHBHB201-M-09
GZBHBHB201-M-10
GZBHBHB201-M-11
GZBHBHB201-M-12
GZBHBHB201-M-13
GZBHBHB201-P-01
GZBHBHB201-P-02
GZBHBHB201-P-03
GZBHBHB201-P-04
GZBHBHB201-P-05
GZBHBHB201-P-06
GZBHBHB201-P-07
GZBHBHB201-P-08
GZBHBHB201-P-09
GZBHBHB201-P-10
GZBHBHB201-P-11
GZBHBHB201-P-12
GZBHBHB201-P-13</t>
  </si>
  <si>
    <t>GZBHBHB201-Q-01
GZBHBHB201-Q-02
GZBHBHB201-Q-03
GZBHBHB201-Q-04
GZBHBHB201-Q-05
GZBHBHB201-Q-06
GZBHBHB201-Q-07
GZBHBHB201-Q-08
GZBHBHB201-Q-09
GZBHBHB201-Q-10
GZBHBHB201-Q-11
GZBHBHB201-Q-12
GZBHBHB201-Q-13
GZBHBHB201-Q-14
GZBHBHB201-Q-15</t>
  </si>
  <si>
    <t>GZBHBHB201-N-03
GZBHBHB201-N-04
GZBHBHB201-N-05
GZBHBHB201-N-06
GZBHBHB201-N-07
GZBHBHB201-N-08
GZBHBHB201-N-09
GZBHBHB201-N-10
GZBHBHB201-N-11
GZBHBHB201-N-12
GZBHBHB201-N-13
GZBHBHB201-N-14
GZBHBHB201-N-15
GZBHBHB201-P-14
GZBHBHB201-P-15
GZBHBHB301-E-05
GZBHBHB301-E-06
GZBHBHB301-E-07
GZBHBHB301-E-08
GZBHBHB301-E-09
GZBHBHB301-E-10
GZBHBHB301-E-11
GZBHBHB301-E-12
GZBHBHB301-E-13
GZBHBHB301-F-05
GZBHBHB301-F-06
GZBHBHB301-F-09
GZBHBHB301-F-10
GZBHBHB301-F-11
GZBHBHB301-F-12
GZBHBHB301-F-13
GZBHBHB301-G-02
GZBHBHB301-G-03
GZBHBHB301-G-04
GZBHBHB301-G-05
GZBHBHB301-G-06
GZBHBHB301-G-07
GZBHBHB301-G-08
GZBHBHB301-G-09
GZBHBHB301-G-10
GZBHBHB301-G-11
GZBHBHB301-G-12
GZBHBHB301-G-13
GZBHBHB301-G-14
GZBHBHB301-G-15
GZBHBHB301-H-02
GZBHBHB301-H-03
GZBHBHB301-H-04
GZBHBHB301-H-05
GZBHBHB301-H-06
GZBHBHB301-H-07</t>
  </si>
  <si>
    <t>GZBHBHB301-H-08
GZBHBHB301-H-09
GZBHBHB301-H-10
GZBHBHB301-H-11
GZBHBHB301-H-12
GZBHBHB301-H-13
GZBHBHB301-H-14
GZBHBHB301-J-03
GZBHBHB301-J-04
GZBHBHB301-J-05
GZBHBHB301-J-06
GZBHBHB301-J-07
GZBHBHB301-J-08
GZBHBHB301-J-09
GZBHBHB301-J-10
GZBHBHB301-J-12</t>
  </si>
  <si>
    <t>GZBHBHB301-F-07 GZBHBHB301-F-08</t>
  </si>
  <si>
    <t>GZBHBHB301-J-11
GZBHBHB301-J-13
GZBHBHB301-J-14
GZBHBHB301-J-15
GZBHBHB301-J-16
GZBHBHB301-K-01
GZBHBHB301-K-02
GZBHBHB301-K-03
GZBHBHB301-K-04
GZBHBHB301-K-05
GZBHBHB301-K-06
GZBHBHB301-K-07</t>
  </si>
  <si>
    <t>GZBHBHB301-K-08
GZBHBHB301-K-09
GZBHBHB301-K-10
GZBHBHB301-K-11
GZBHBHB301-K-12
GZBHBHB301-K-13
GZBHBHB301-K-14
GZBHBHB301-K-15
GZBHBHB301-K-16
GZBHBHB301-L-01
GZBHBHB301-L-02
GZBHBHB301-L-03
GZBHBHB301-L-04
GZBHBHB301-L-05
GZBHBHB301-L-06
GZBHBHB301-L-07
GZBHBHB301-L-08
GZBHBHB301-L-11</t>
  </si>
  <si>
    <t>GZBHBHB301-L-09
GZBHBHB301-L-10
GZBHBHB301-L-12
GZBHBHB301-L-13
GZBHBHB301-L-14
GZBHBHB301-L-15
GZBHBHB301-L-16
GZBHBHB301-M-01
GZBHBHB301-M-02
GZBHBHB301-M-03
GZBHBHB301-M-04
GZBHBHB301-M-05
GZBHBHB301-M-06
GZBHBHB301-M-07
GZBHBHB301-M-08
GZBHBHB301-M-09
GZBHBHB301-M-10
GZBHBHB301-M-11
GZBHBHB301-M-12
GZBHBHB301-M-13
GZBHBHB301-M-14</t>
  </si>
  <si>
    <t>182215IDC00007</t>
  </si>
  <si>
    <t>博浩四期（B301 和A601房间）</t>
  </si>
  <si>
    <t>2021年11月25日动环交付。1月25日开始计费,20220104开通GZBHBHA601-C-02
GZBHBHA601-C-03
GZBHBHA601-J-02
GZBHBHA601-J-03
GZBHBHA601-N-02
GZBHBHA601-N-03
GZBHBHB301-C-01
GZBHBHB301-C-02</t>
  </si>
  <si>
    <t>1月25日开始计费GZBHBHA601-Q-15
GZBHBHB301-A-14</t>
  </si>
  <si>
    <t>1月25日开始计费，GZBHBHA601-A-04
GZBHBHA601-A-08
GZBHBHA601-A-11
GZBHBHA601-A-14
GZBHBHA601-B-03
GZBHBHA601-B-07
GZBHBHA601-B-11
GZBHBHA601-B-14
GZBHBHA601-C-06
GZBHBHA601-C-10
GZBHBHA601-C-14
GZBHBHA601-D-02
GZBHBHA601-D-06
GZBHBHA601-D-10
GZBHBHA601-D-13
GZBHBHA601-E-04
GZBHBHA601-E-08
GZBHBHA601-E-11
GZBHBHA601-E-14
GZBHBHA601-F-03
GZBHBHA601-F-07
GZBHBHA601-F-11
GZBHBHA601-F-14
GZBHBHA601-G-04
GZBHBHA601-G-08
GZBHBHA601-G-11
GZBHBHA601-G-14
GZBHBHA601-H-03
GZBHBHA601-H-07
GZBHBHA601-H-10
GZBHBHA601-H-13
GZBHBHA601-J-07
GZBHBHA601-J-12
GZBHBHA601-K-04
GZBHBHA601-K-10
GZBHBHA601-L-04
GZBHBHA601-L-10
GZBHBHA601-L-14
GZBHBHA601-M-03
GZBHBHA601-M-09
GZBHBHA601-N-07
GZBHBHA601-N-12
GZBHBHA601-P-04
GZBHBHA601-P-10
GZBHBHA601-P-14
GZBHBHA601-Q-05
GZBHBHA601-Q-11
GZBHBHB301-A-02
GZBHBHB301-A-04
GZBHBHB301-A-08
GZBHBHB301-A-12
GZBHBHB301-B-02
GZBHBHB301-B-06
GZBHBHB301-B-10
GZBHBHB301-B-14
GZBHBHB301-C-04
GZBHBHB301-C-07
GZBHBHB301-C-11
GZBHBHB301-C-15
GZBHBHB301-D-02
GZBHBHB301-D-06
GZBHBHB301-D-09
GZBHBHB301-D-13</t>
  </si>
  <si>
    <t>1月25日开始计费GZBHBHA601-G-01，GZBHBHA601-H-01</t>
  </si>
  <si>
    <t>GZBHBHA601-A-02
GZBHBHA601-A-03
GZBHBHA601-A-04
GZBHBHA601-A-05
GZBHBHA601-A-06
GZBHBHA601-A-07
GZBHBHA601-A-08
GZBHBHA601-A-09</t>
  </si>
  <si>
    <t>GZBHBHB301-A-01
GZBHBHB301-A-02
GZBHBHB301-A-03
GZBHBHB301-A-04
GZBHBHB301-A-05
GZBHBHB301-A-06
GZBHBHB301-A-07
GZBHBHB301-A-08
GZBHBHB301-A-09
GZBHBHB301-A-10
GZBHBHB301-A-11
GZBHBHB301-A-12
GZBHBHB301-A-13</t>
  </si>
  <si>
    <t>GZBHBHA601-A-10
GZBHBHA601-A-11
GZBHBHA601-A-12
GZBHBHA601-A-13
GZBHBHA601-A-14
GZBHBHA601-A-15
GZBHBHA601-B-02
GZBHBHA601-B-03
GZBHBHA601-B-04
GZBHBHA601-B-05
GZBHBHA601-B-06
GZBHBHA601-B-07
GZBHBHA601-B-08
GZBHBHA601-B-09</t>
  </si>
  <si>
    <t>GZBHBHB301-B-01
GZBHBHB301-B-02
GZBHBHB301-B-03
GZBHBHB301-B-04
GZBHBHB301-B-05
GZBHBHB301-B-06
GZBHBHB301-B-07
GZBHBHB301-B-08
GZBHBHB301-B-09
GZBHBHB301-B-10
GZBHBHB301-B-11
GZBHBHB301-B-12
GZBHBHB301-B-13
GZBHBHB301-B-14
GZBHBHB301-B-15
GZBHBHB301-B-16
GZBHBHB301-C-03
GZBHBHB301-C-04
GZBHBHB301-C-05
GZBHBHB301-C-06
GZBHBHB301-C-07
GZBHBHB301-C-08
GZBHBHB301-C-09
GZBHBHB301-C-10
GZBHBHB301-C-11
GZBHBHB301-C-12</t>
  </si>
  <si>
    <t>GZBHBHA601-B-10
GZBHBHA601-B-11
GZBHBHA601-B-12
GZBHBHA601-B-13
GZBHBHA601-B-14
GZBHBHA601-C-04
GZBHBHA601-C-05
GZBHBHA601-C-06
GZBHBHA601-C-07
GZBHBHA601-C-08
GZBHBHA601-C-09
GZBHBHA601-C-10
GZBHBHA601-C-11
GZBHBHA601-C-12
GZBHBHA601-C-13
GZBHBHA601-C-14
GZBHBHA601-C-15
GZBHBHA601-D-01
GZBHBHA601-D-02
GZBHBHA601-D-03
GZBHBHA601-D-04
GZBHBHA601-D-05
GZBHBHA601-D-06
GZBHBHA601-D-07
GZBHBHA601-D-08
GZBHBHA601-D-09
GZBHBHA601-D-10
GZBHBHA601-D-11
GZBHBHA601-D-12
GZBHBHA601-D-13
GZBHBHA601-D-14
GZBHBHA601-E-02
GZBHBHA601-E-03
GZBHBHA601-E-04
GZBHBHA601-E-05
GZBHBHA601-E-06
GZBHBHA601-E-07
GZBHBHA601-E-08
GZBHBHA601-E-09
GZBHBHA601-E-10
GZBHBHA601-E-11
GZBHBHA601-E-12
GZBHBHA601-E-13
GZBHBHA601-E-14
GZBHBHA601-E-15
GZBHBHA601-F-02
GZBHBHA601-F-03
GZBHBHA601-F-04
GZBHBHA601-F-05
GZBHBHA601-F-06
GZBHBHA601-F-07
GZBHBHA601-F-08
GZBHBHA601-F-09
GZBHBHA601-F-10
GZBHBHA601-F-11
GZBHBHA601-F-12
GZBHBHA601-F-13
GZBHBHA601-F-14
GZBHBHA601-F-15
GZBHBHA601-G-02
GZBHBHA601-G-03
GZBHBHA601-G-04
GZBHBHA601-G-05
GZBHBHA601-G-06
GZBHBHA601-G-07
GZBHBHA601-G-08
GZBHBHA601-G-09
GZBHBHA601-G-10
GZBHBHA601-G-11
GZBHBHA601-G-12
GZBHBHA601-G-13
GZBHBHA601-G-14
GZBHBHA601-G-15
GZBHBHA601-H-02
GZBHBHA601-H-03
GZBHBHA601-H-04
GZBHBHA601-H-05
GZBHBHA601-H-06
GZBHBHA601-H-07
GZBHBHA601-H-08
GZBHBHA601-H-09
GZBHBHA601-H-10
GZBHBHA601-H-11
GZBHBHA601-H-12
GZBHBHA601-H-13
GZBHBHA601-H-14</t>
  </si>
  <si>
    <t>GZBHBHA601-B-15
GZBHBHB301-C-13
GZBHBHB301-C-14
GZBHBHB301-C-15
GZBHBHB301-C-16
GZBHBHB301-D-01
GZBHBHB301-D-02
GZBHBHB301-D-03
GZBHBHB301-D-04
GZBHBHB301-D-05
GZBHBHB301-D-06
GZBHBHB301-D-07
GZBHBHB301-D-08
GZBHBHB301-D-09
GZBHBHB301-D-10
GZBHBHB301-D-11
GZBHBHB301-D-12
GZBHBHB301-D-13
GZBHBHB301-D-14</t>
  </si>
  <si>
    <t>GZBHBHA601-J-04
GZBHBHA601-J-05
GZBHBHA601-J-06
GZBHBHA601-J-07
GZBHBHA601-J-08</t>
  </si>
  <si>
    <t>GZBHBHA601-J-09</t>
  </si>
  <si>
    <t>LJ</t>
  </si>
  <si>
    <t>广东省广播电视网络股份有限公司</t>
  </si>
  <si>
    <t>广东广播</t>
  </si>
  <si>
    <t>1819202IDC00325</t>
  </si>
  <si>
    <t>使用天数*12/365，广州市科丰路31号华新园G3栋机房- 
广州市番禺区化龙镇伟鑫创新产业园联通公司机房（路由一）</t>
  </si>
  <si>
    <t>使用天数*12/365，广州市科丰路31号华新园G3栋机房- 
广州市番禺区化龙镇伟鑫创新产业园联通公司机房（路由二）</t>
  </si>
  <si>
    <t>182115IDC00079</t>
  </si>
  <si>
    <t>使用天数*12/365，华新园-南沙的光纤：具体线路GC20210203-HXY-NSPQ-G105广州市科丰路31号华新园机房G3栋3楼-钟村中继为70.74KM，GC20210203-HXY-NSPQ-G105钟村中继-百度南沙平谦工业园54.24KM</t>
  </si>
  <si>
    <t>裸光纤中继站</t>
  </si>
  <si>
    <t>使用天数*12/365，华新园-南沙的光纤对应的中继站</t>
  </si>
  <si>
    <t>使用天数*12/365，线路编号：GC20210228-NS-HL-S111（小学方向）；化龙：广州市番禺区化龙镇伟鑫创新产业园联通公司机房-南沙：南沙区万顷沙镇南江三路8号平谦工业园B栋；与广州联通的入局光纤对应</t>
  </si>
  <si>
    <t>使用天数*12/365，线路编号：GC20210228-NS-HL-SNDD（谭山村方向）；化龙：广州市番禺区化龙镇伟鑫创新产业园联通公司机房-南沙：南沙区万顷沙镇南江三路8号平谦工业园B栋，与广州联通的入局光纤对应</t>
  </si>
  <si>
    <t>使用天数*12/365，线路编号：GC20210225-BH-HL-G105 （海珠-番禺方向）；化龙：广州市番禺区化龙镇伟鑫创新产业园联通公司机房-博浩：广州市黄埔区斗塘路19号，与广州联通的入局光纤对应</t>
  </si>
  <si>
    <t>使用天数*12/365，线路编号：GC20210225-BH-HL-HPDQ（科丰路-黄埔大桥方向）；化龙：广州市番禺区化龙镇伟鑫创新产业园联通公司机房-博浩：广州市黄埔区斗塘路19号，与广州联通的入局光纤对应</t>
  </si>
  <si>
    <t>使用天数*12/365，线路编号：GC20210220-HXY-HL-G105 （海珠-番禺方向）；化龙：广州市番禺区化龙镇伟鑫创新产业园联通公司机房-华新园：广州市黄埔区科丰路31号 华南新材料创新园，与广州联通的入局光纤对应</t>
  </si>
  <si>
    <t>使用天数*12/365，线路编号：GC20210220-HXY-HL-HPDQ（科丰路-黄埔大桥方向）；化龙：广州市番禺区化龙镇伟鑫创新产业园联通公司机房-华新园：广州市黄埔区科丰路31号 华南新材料创新园，与广州联通的入局光纤对应</t>
  </si>
  <si>
    <t>广州南沙博鋆科技有限公司</t>
  </si>
  <si>
    <t>南沙博</t>
  </si>
  <si>
    <t>182215IDC00533</t>
  </si>
  <si>
    <t>广州东泰一期（二层201，202，三层301，302房间）</t>
  </si>
  <si>
    <t>GZDT</t>
  </si>
  <si>
    <t>20220601开始正式计费，GZDTA302-E-01
GZDTA302-E-02
GZDTA302-E-03
GZDTA302-E-04
GZDTA302-E-05
GZDTA302-E-06
GZDTA302-E-07
GZDTA302-E-08</t>
  </si>
  <si>
    <t>20220601开始正式计费，GZDTA302-G-04
GZDTA302-G-05
GZDTA302-G-06
GZDTA302-G-07
GZDTA302-G-08
GZDTA302-G-09</t>
  </si>
  <si>
    <t>20220616开始计费，GZDTA201-B-01,GZDTA201-C-01，GZDTA201-H-01,GZDTA201-I-01，GZDTA302-F-01,GZDTA302-G-01,GZDTA301-O-01，GZDTA301-P-01</t>
  </si>
  <si>
    <t>GZDTA301-G-01
GZDTA302-A-11
GZDTA302-I-01</t>
  </si>
  <si>
    <t>GZDTA302-E-09
GZDTA302-E-10
GZDTA302-F-02
GZDTA302-F-03
GZDTA302-F-04
GZDTA302-F-05
GZDTA302-F-06
GZDTA302-F-07
GZDTA302-F-08
GZDTA302-F-09
GZDTA302-F-10
GZDTA302-G-02
GZDTA302-G-03
GZDTA302-G-10
GZDTA302-G-11
GZDTA302-O-02
GZDTA302-O-03
GZDTA302-O-04
GZDTA302-O-05
GZDTA302-O-06
GZDTA302-O-07
GZDTA302-O-08
GZDTA302-O-09
GZDTA302-O-10
GZDTA301-A-04
GZDTA301-A-05
GZDTA301-A-06
GZDTA301-A-07
GZDTA301-B-01
GZDTA301-B-05
GZDTA301-B-06
GZDTA301-B-07
GZDTA301-C-01
GZDTA301-C-02
GZDTA301-C-03
GZDTA301-C-04
GZDTA301-C-05
GZDTA301-C-06
GZDTA301-C-07
GZDTA301-C-08
GZDTA301-D-01
GZDTA301-D-02
GZDTA301-D-03
GZDTA301-D-04
GZDTA301-D-05
GZDTA301-D-06
GZDTA301-D-07
GZDTA301-E-01
GZDTA301-E-02
GZDTA301-E-03
GZDTA301-E-04
GZDTA301-E-05
GZDTA301-E-06
GZDTA301-F-01
GZDTA301-F-02
GZDTA301-F-03
GZDTA301-F-04
GZDTA301-F-05
GZDTA301-F-06
GZDTA301-F-07
GZDTA301-G-02
GZDTA301-G-03
GZDTA301-G-04
GZDTA301-G-05
GZDTA301-G-06
GZDTA301-O-03
GZDTA301-P-04
GZDTA301-R-07
GZDTA301-R-08
GZDTA301-S-06
GZDTA301-S-07
GZDTA301-T-05
GZDTA301-T-06
GZDTA301-T-07
GZDTA301-T-08
GZDTA201-E-01
GZDTA201-F-01
GZDTA201-L-11
GZDTA201-L-12
GZDTA301-A-02
GZDTA301-B-03
GZDTA301-G-07
GZDTA301-G-08</t>
  </si>
  <si>
    <t>需要注意历史计提在40A下，SYS确认应该为20A。20220701开始计提在20A下。GZDTA201-D-11     GZDTA201-M-01   GZDTA301-Q-08</t>
  </si>
  <si>
    <t>GZDTA301-O-04
GZDTA301-P-05</t>
  </si>
  <si>
    <t>GZDTA301-K-06
GZDTA301-L-07
GZDTA301-M-07
GZDTA301-N-06</t>
  </si>
  <si>
    <t>20220616交付。GZDTA301-L-02</t>
  </si>
  <si>
    <t>GZDTA201-A-01
GZDTA201-A-02
GZDTA201-A-03
GZDTA201-A-04
GZDTA201-A-05
GZDTA201-A-06
GZDTA201-A-07
GZDTA201-A-08
GZDTA201-A-09
GZDTA201-A-10
GZDTA201-A-11</t>
  </si>
  <si>
    <t>GZDTA301-K-02 GZDTA301-N-04</t>
  </si>
  <si>
    <t>GZDTA301-R-05
GZDTA301-R-06
GZDTA301-S-04
GZDTA301-S-05</t>
  </si>
  <si>
    <t>GZDTA301-Q-06
GZDTA301-Q-07
GZDTA301-R-03
GZDTA301-R-04</t>
  </si>
  <si>
    <t>GZDTA301-A-01
GZDTA301-B-02</t>
  </si>
  <si>
    <t>GZDTA201-B-02
GZDTA201-B-03</t>
  </si>
  <si>
    <t xml:space="preserve">GZDTA201-B-04
GZDTA201-B-05
GZDTA201-B-06
GZDTA201-B-07
GZDTA201-C-02
GZDTA201-C-03
GZDTA201-C-04
GZDTA201-D-07
GZDTA201-D-08
GZDTA201-D-09
GZDTA201-E-02
GZDTA201-E-03
GZDTA201-E-04
</t>
  </si>
  <si>
    <t>GZDTA201-B-08
GZDTA201-B-09</t>
  </si>
  <si>
    <t>GZDTA301-Q-02
GZDTA301-Q-03
GZDTA301-Q-04
GZDTA301-Q-05</t>
  </si>
  <si>
    <t>GZDTA201-B-10
GZDTA201-B-11
GZDTA201-B-12</t>
  </si>
  <si>
    <t xml:space="preserve">GZDTA201-B-13
GZDTA201-C-05
GZDTA201-C-06
GZDTA201-C-07
GZDTA201-C-08
GZDTA201-C-09
GZDTA201-C-10
GZDTA201-C-11
GZDTA201-C-12
GZDTA201-C-13
GZDTA201-D-01
GZDTA201-D-02
GZDTA201-D-03
GZDTA201-D-04
GZDTA201-D-05
GZDTA201-D-06
GZDTA201-D-10
GZDTA201-E-05
GZDTA201-E-06
GZDTA201-E-07
GZDTA201-E-08
GZDTA201-E-09
GZDTA201-E-10
GZDTA201-E-11
GZDTA201-E-12
GZDTA201-E-13
GZDTA201-F-02
GZDTA201-F-03
GZDTA201-F-04
GZDTA201-F-06
</t>
  </si>
  <si>
    <t>GZDTA201-G-01
GZDTA201-G-02
GZDTA201-G-03
GZDTA201-G-04
GZDTA201-G-05
GZDTA201-G-06
GZDTA201-G-07
GZDTA201-G-08
GZDTA201-G-09
GZDTA201-G-10
GZDTA201-G-11</t>
  </si>
  <si>
    <t>GZDTA301-S-02
GZDTA301-S-03
GZDTA301-T-02
GZDTA301-T-03
GZDTA301-T-04</t>
  </si>
  <si>
    <t>GZDTA201-F-05
GZDTA201-F-07
GZDTA201-F-08
GZDTA201-F-09
GZDTA201-F-10
GZDTA201-F-11
GZDTA201-F-12
GZDTA201-F-13
GZDTA201-H-02
GZDTA201-H-03
GZDTA201-H-04
GZDTA201-H-05
GZDTA201-H-06
GZDTA201-H-07
GZDTA201-H-08
GZDTA201-H-09
GZDTA201-H-10
GZDTA201-H-11
GZDTA201-H-12</t>
  </si>
  <si>
    <t>GZDTA302-E-09
GZDTA302-E-10
GZDTA302-F-06
GZDTA302-F-07
GZDTA302-F-08
GZDTA302-F-09
GZDTA302-F-10
GZDTA302-G-10
GZDTA302-G-11</t>
  </si>
  <si>
    <t xml:space="preserve">GZDTA201-H-13
GZDTA201-I-11
GZDTA201-I-12
GZDTA201-I-13
</t>
  </si>
  <si>
    <t>GZDTA201-I-02 GZDTA201-I-03</t>
  </si>
  <si>
    <t>GZDTA201-I-04
GZDTA201-I-05
GZDTA201-I-06</t>
  </si>
  <si>
    <t>GZDTA201-I-07
GZDTA201-I-08
GZDTA201-I-09
GZDTA201-I-10</t>
  </si>
  <si>
    <t>GZDTA202-H-10
GZDTA202-H-11
GZDTA202-H-02
GZDTA202-H-05
GZDTA202-H-08</t>
  </si>
  <si>
    <t>GZDTA202-E-11</t>
  </si>
  <si>
    <t>GZDTA202-H-03
GZDTA202-H-04
GZDTA202-H-06
GZDTA202-H-07
GZDTA202-H-09</t>
  </si>
  <si>
    <t>GZDTA202-H-04
GZDTA202-H-05
GZDTA202-H-06
GZDTA202-H-07
GZDTA202-H-08
GZDTA202-H-09</t>
  </si>
  <si>
    <t>每期机房提供一个月的免费测试期（期间开通的机柜为测试电，不收费）。机柜如果超功率允许，超出部分按220元/A/月进行收费。</t>
  </si>
  <si>
    <t>广东奥飞数据科技股份有限公司</t>
  </si>
  <si>
    <t>广东奥飞</t>
  </si>
  <si>
    <t>182315IDC00057</t>
  </si>
  <si>
    <t>广州先进一期</t>
  </si>
  <si>
    <t>GZXJ</t>
  </si>
  <si>
    <t>9.1开始计费。GZXJ1D502-C-02
GZXJ1D502-C-03
GZXJ1D502-C-04
GZXJ1D502-C-05
GZXJ1D502-C-06
GZXJ1D502-C-07
GZXJ1D502-D-02
GZXJ1D502-D-03
GZXJ1D502-D-04
GZXJ1D502-D-05
GZXJ1D502-D-06
GZXJ1D502-D-07</t>
  </si>
  <si>
    <t>GZXJ1D502-C-01
GZXJ1D502-D-01
GZXJ1D503-C-01
GZXJ1D503-D-01
GZXJ1D504-B-01
GZXJ1D504-C-01</t>
  </si>
  <si>
    <t>GZXJ1D502-A-08 ，GZXJ1D502-B-08</t>
  </si>
  <si>
    <t>GZXJ1D504-B-08
GZXJ1D504-B-09
GZXJ1D504-B-10
GZXJ1D504-B-11
GZXJ1D504-B-12
GZXJ1D504-B-13
GZXJ1D504-C-02
GZXJ1D504-C-03
GZXJ1D504-C-04
GZXJ1D504-C-05
GZXJ1D504-C-06
GZXJ1D504-C-07
GZXJ1D504-C-08
GZXJ1D504-C-09
GZXJ1D504-C-10
GZXJ1D504-C-11
GZXJ1D504-C-12
GZXJ1D504-C-13
GZXJ1D504-C-14
GZXJ1D504-C-15
GZXJ1D504-A-02
GZXJ1D504-A-03
GZXJ1D504-A-04
GZXJ1D504-A-05
GZXJ1D504-A-06
GZXJ1D504-A-07
GZXJ1D504-A-08
GZXJ1D504-A-09
GZXJ1D504-A-11
GZXJ1D504-A-12
GZXJ1D504-A-13
GZXJ1D504-A-14
GZXJ1D504-A-15</t>
  </si>
  <si>
    <t>GZXJ1D502-A-07
GZXJ1D502-B-07</t>
  </si>
  <si>
    <t>GZXJ1D502-A-06
GZXJ1D502-B-06</t>
  </si>
  <si>
    <t>GZXJ1D501-A-10
GZXJ1D502-E-11
GZXJ1D503-A-19
GZXJ1D504-C-16</t>
  </si>
  <si>
    <t>GZXJ1D501-D-02
GZXJ1D501-D-03
GZXJ1D501-D-04
GZXJ1D501-D-05
GZXJ1D501-D-06
GZXJ1D501-D-07
GZXJ1D501-D-08
GZXJ1D501-D-09
GZXJ1D501-D-10
GZXJ1D501-E-02
GZXJ1D501-E-03
GZXJ1D501-E-04
GZXJ1D501-E-05
GZXJ1D501-E-06
GZXJ1D501-E-07
GZXJ1D501-E-08
GZXJ1D501-F-02
GZXJ1D501-F-03
GZXJ1D501-F-04
GZXJ1D501-F-05
GZXJ1D501-F-06
GZXJ1D501-F-07
GZXJ1D501-F-08
GZXJ1D501-F-09
GZXJ1D502-F-02
GZXJ1D502-F-03
GZXJ1D502-F-04
GZXJ1D502-F-05
GZXJ1D502-F-06
GZXJ1D502-F-07
GZXJ1D502-F-08
GZXJ1D502-F-09
GZXJ1D502-F-12
GZXJ1D502-G-02
GZXJ1D502-G-03
GZXJ1D502-G-04
GZXJ1D502-G-05
GZXJ1D502-G-06
GZXJ1D502-G-07
GZXJ1D502-G-08
GZXJ1D502-G-09
GZXJ1D503-C-02
GZXJ1D503-C-03
GZXJ1D503-F-01
GZXJ1D503-F-02
GZXJ1D504-A-10
GZXJ1D504-B-02
GZXJ1D504-B-03
GZXJ1D504-B-04
GZXJ1D504-B-05</t>
  </si>
  <si>
    <t>GZXJ1D502-A-02
GZXJ1D502-A-04
GZXJ1D502-B-02
GZXJ1D502-B-04</t>
  </si>
  <si>
    <t>GZXJ1D502-F-10
GZXJ1D502-F-11</t>
  </si>
  <si>
    <t>GZXJ1D504-B-06
GZXJ1D504-B-07</t>
  </si>
  <si>
    <t>GZXJ1D503-A-03
GZXJ1D503-A-04
GZXJ1D503-A-05
GZXJ1D503-A-06
GZXJ1D503-A-07
GZXJ1D503-A-08</t>
  </si>
  <si>
    <t>GZXJ1D503-A-01 GZXJ1D503-A-02</t>
  </si>
  <si>
    <t>GZXJ1D503-A-09 GZXJ1D503-A-17</t>
  </si>
  <si>
    <t>GZXJ1D503-B-08</t>
  </si>
  <si>
    <t>GZXJ1D503-A-10 GZXJ1D503-A-11</t>
  </si>
  <si>
    <t xml:space="preserve">GZXJ1D504-C-06
GZXJ1D504-A-10
GZXJ1D504-B-04
GZXJ1D504-C-09
GZXJ1D504-C-10
GZXJ1D504-C-11
GZXJ1D504-C-12
GZXJ1D504-C-13
GZXJ1D504-C-14
GZXJ1D504-C-15
GZXJ1D504-B-10
GZXJ1D504-B-11
GZXJ1D504-B-12
GZXJ1D504-B-13
</t>
  </si>
  <si>
    <t>GZXJ1D504-C-06</t>
  </si>
  <si>
    <t xml:space="preserve">GZXJ1D503-A-10
GZXJ1D503-A-11
</t>
  </si>
  <si>
    <t>GZXJ1D503-B-16 GZXJ1D503-C-10</t>
  </si>
  <si>
    <t>GZXJ1D503-A-13
GZXJ1D503-A-14
GZXJ1D503-A-15
GZXJ1D503-A-16
GZXJ1D503-B-07</t>
  </si>
  <si>
    <t>GZXJ1D503-B-02</t>
  </si>
  <si>
    <t>GZXJ1D502-G-11 GZXJ1D502-H-09</t>
  </si>
  <si>
    <t>GZXJ1D502-G-10
GZXJ1D502-G-12
GZXJ1D502-H-08
GZXJ1D502-H-10</t>
  </si>
  <si>
    <t>GZXJ1D503-B-14
GZXJ1D503-B-15
GZXJ1D503-D-03</t>
  </si>
  <si>
    <t>GZXJ1D503-C-04
GZXJ1D503-C-05
GZXJ1D503-C-06
GZXJ1D503-C-07
GZXJ1D503-C-08
GZXJ1D503-C-09
GZXJ1D503-C-11
GZXJ1D503-C-12
GZXJ1D503-C-13
GZXJ1D503-C-14
GZXJ1D503-C-15
GZXJ1D503-C-16
GZXJ1D503-C-17
GZXJ1D503-D-02
GZXJ1D503-D-04
GZXJ1D503-D-05
GZXJ1D503-D-06
GZXJ1D503-D-07
GZXJ1D503-D-08
GZXJ1D503-D-09
GZXJ1D503-D-10
GZXJ1D503-D-11
GZXJ1D503-D-12
GZXJ1D503-D-13
GZXJ1D503-D-14
GZXJ1D503-D-15</t>
  </si>
  <si>
    <t>GZXJ1D503-D-16
GZXJ1D503-D-17
GZXJ1D503-E-01
GZXJ1D503-E-02
GZXJ1D503-E-03
GZXJ1D503-E-04
GZXJ1D503-E-05
GZXJ1D503-E-06
GZXJ1D503-E-07
GZXJ1D503-E-08</t>
  </si>
  <si>
    <t>单一列头柜下的所有机柜，允许不超过20%机柜超电，并且单机柜不可超过签约额定电力的120%。如单机柜超出额定电力的120%，乙方不承诺甲方的SLA要求。如果出现用户单机架用电量超出规定电量时，乙方通知甲方，由甲方根据实际情况进行调整。如单机柜当月平均电力超签约额定电力的100%视为超电，并按照双方约定245元/A收取超电费用。</t>
  </si>
  <si>
    <t>深圳市前海新型互联网交换中心有限公司</t>
  </si>
  <si>
    <t>深圳前海</t>
  </si>
  <si>
    <t>182215IDC00152</t>
  </si>
  <si>
    <t>前海IXP</t>
  </si>
  <si>
    <t>从业务开通之日起开始收取互联服务费1000元/月/端口，即2000元/月。</t>
  </si>
  <si>
    <t>鞍山灵动网络科技有限公司</t>
  </si>
  <si>
    <t>鞍山灵动</t>
  </si>
  <si>
    <t>182215IDC00363</t>
  </si>
  <si>
    <t>鞍山</t>
  </si>
  <si>
    <t>鞍山联通</t>
  </si>
  <si>
    <t>CACDNANSHANUN</t>
  </si>
  <si>
    <t>免费288个，使用288个；sys已核对使用288个(221.203.7.0/24;42.6.115.224/27)</t>
  </si>
  <si>
    <t>20230228退租。221.203.7.0/24 42.6.115.224/27</t>
  </si>
  <si>
    <t>免费/64的IPV6，超出部分单独计费</t>
  </si>
  <si>
    <t>使用7个ANSHANUN2F-H-05
ANSHANUN2F-H-11
ANSHANUN2F-H-10
ANSHANUN2F-H-09
ANSHANUN2F-H-08
ANSHANUN2F-H-07
ANSHANUN2F-H-06</t>
  </si>
  <si>
    <t>20210111退租4个，ANSHANUN2F-H-08，ANSHANUN2F-H-09，ANSHANUN2F-H-10，ANSHANUN2F-H-11</t>
  </si>
  <si>
    <t>20230228退租。ANSHANUN2F-H-05,ANSHANUN2F-H-06,ANSHANUN2F-H-07</t>
  </si>
  <si>
    <t>薛子凌</t>
  </si>
  <si>
    <t>北京奥普奈特网络科技有限公司</t>
  </si>
  <si>
    <t>安徽奥普奈特</t>
  </si>
  <si>
    <t>182015IDC00269
182115IDC00103</t>
  </si>
  <si>
    <t>淮南移动
淮南2移动
淮南3移动</t>
  </si>
  <si>
    <t>CACDNHNCM</t>
  </si>
  <si>
    <t xml:space="preserve">2018/4/9 
2018/7/26 
2019/5/25 </t>
  </si>
  <si>
    <t>IPv4：每个万兆端口赠送【25.6】个IP地址，乙方为甲方总计提供【1434】个免费IP地址（其中在用864个）(112.29.241.224/27;112.29.213.0/24
112.29.252.160/27;112.29.224.0/24
112.29.219.0/24;112.29.248.192/27
)，超出部分单独计费；20210311SYS反馈使用为112.29.215.0/24 112.29.241.0/27 112.29.218.0/24 112.29.241.32/27</t>
  </si>
  <si>
    <t>需要注意周睿发邮件20200918退租，112.29.213.0/24</t>
  </si>
  <si>
    <t>需要注意周睿发邮件20200918退租，112.29.241.224/27</t>
  </si>
  <si>
    <t>合同条款：IPv6：免费</t>
  </si>
  <si>
    <t>需要注意周睿发邮件20200918退租IPV6:2409:8c30:1000:0200::/64</t>
  </si>
  <si>
    <t>CDNHNCM</t>
  </si>
  <si>
    <t xml:space="preserve">19个机柜：HNCM1F-D-07
HN3CM-D-04
HN3CM-D-03
HN2CM1F-G-10
HN3CM-D-02
HN2CM1F-G-09
HN3CM-D-01
HNCM1F-D-14
HN2CM1F-G-13
HNCM1F-D-13
HN2CM1F-G-12
HNCM1F-D-12
HN2CM1F-G-11
HNCM1F-D-11
HNCM1F-D-10
HN3CM-D-06
HNCM1F-D-09
HNCM1F-D-08
HN3CM-D-05
</t>
  </si>
  <si>
    <t>20190423退租一个
HN2CM1F-G-14，历史多付款项在202003已扣除</t>
  </si>
  <si>
    <t>商务更新计费日期20200916，HN2CM1F-G-14、HN2CM1F-G-15、HN2CM1F-G-16</t>
  </si>
  <si>
    <t>商务反馈20200915停止计费，HNCM1F-D-07、HNCM1F-D-08、HNCM1F-D-09、HNCM1F-D-10、HNCM1F-D-11、HNCM1F-D-12、HNCM1F-D-13、HNCM1F-D-14</t>
  </si>
  <si>
    <t>上海翱骋信息科技有限公司</t>
  </si>
  <si>
    <t>翱骋信息</t>
  </si>
  <si>
    <t>182115IDC00104</t>
  </si>
  <si>
    <t>IPv4：乙方为甲方总计提供【640】个免费IP地址，超出部分单独计费。（其中历史在用864个，2020年9月15日退租288个）(112.29.241.224/27;112.29.213.0/24
112.29.252.160/27;112.29.224.0/24
112.29.219.0/24;112.29.248.192/27
)，超出部分单独计费；20210311SYS反馈使用为112.29.215.0/24 112.29.241.0/27 112.29.218.0/24 112.29.241.32/27
20220228退租576个，112.29.215.0/24 112.29.241.0/27，112.29.218.0/24 112.29.241.32/27</t>
  </si>
  <si>
    <t>淮南2移动</t>
  </si>
  <si>
    <t>20220228退租，HN2CM1F-G-13,HN2CM1F-G-12,HN2CM1F-G-11,HN2CM1F-G-10,HN2CM1F-G-09,HN2CM1F-G-14,HN2CM1F-G-15,HN2CM1F-G-16</t>
  </si>
  <si>
    <t>淮南3移动</t>
  </si>
  <si>
    <t>20220228退租，HN3CM-D-03,HN3CM-D-05,HN3CM-D-02,HN3CM-D-04,HN3CM-D-01,HN3CM-D-06</t>
  </si>
  <si>
    <t>北京承启通科技有限公司</t>
  </si>
  <si>
    <t>北京承启通</t>
  </si>
  <si>
    <t>182215IDC00304</t>
  </si>
  <si>
    <t>扬州电信</t>
  </si>
  <si>
    <t>CACDNYANGZCT</t>
  </si>
  <si>
    <t>20220930退租。sys已核对使用288个(117.91.182.0/27;117.91.181.0/24)，每个万兆端口赠送【32】个免费IP地址，乙方为甲方总计提供【512】个IP地址（其中在用288个），超出部分单独计费</t>
  </si>
  <si>
    <t xml:space="preserve">	
IPV6：免费。</t>
  </si>
  <si>
    <t>YANGZCT2F-G-14
YANGZCT2F-G-19
YANGZCT2F-G-18
YANGZCT2F-G-17
YANGZCT2F-G-16
YANGZCT2F-G-15</t>
  </si>
  <si>
    <t>20210713退租，YANGZCT2F-G-19、YANGZCT2F-G-18</t>
  </si>
  <si>
    <t>YANGZCT2F-G-17,YANGZCT2F-G-16,YANGZCT2F-G-15,YANGZCT2F-G-14</t>
  </si>
  <si>
    <t>北京互联港湾科技有限公司</t>
  </si>
  <si>
    <t>互联港湾</t>
  </si>
  <si>
    <t>182215IDC00094</t>
  </si>
  <si>
    <t>中山</t>
  </si>
  <si>
    <t>中山移动</t>
  </si>
  <si>
    <t>CACDNZSCM</t>
  </si>
  <si>
    <t>20210301开始计费，使用288个，120.234.106.0/24 120.237.198.192/27，免费288个</t>
  </si>
  <si>
    <t>20220228退租</t>
  </si>
  <si>
    <t>/64个免费IPV6地址，超出部分单独计费</t>
  </si>
  <si>
    <t>20210301开始计费，ZSCM4F-B09-04、ZSCM4F-B09-01、ZSCM4F-B09-03、ZSCM4F-B09-02</t>
  </si>
  <si>
    <t>20210601开始计费，ZSCM4F-B09-05、ZSCM4F-B09-06</t>
  </si>
  <si>
    <t>20220228退租，ZSCM4F-B09-05,ZSCM4F-B09-04,ZSCM4F-B09-06,ZSCM4F-B09-01,ZSCM4F-B09-03,ZSCM4F-B09-02</t>
  </si>
  <si>
    <t>佰云互联（北京）科技有限公司</t>
  </si>
  <si>
    <t>佰云互联</t>
  </si>
  <si>
    <t>182215IDC00604</t>
  </si>
  <si>
    <t>宜昌</t>
  </si>
  <si>
    <t>宜昌2联通</t>
  </si>
  <si>
    <t>CACDNYICUN</t>
  </si>
  <si>
    <t>20200101开始计费，使用160个（119.36.226.64/27;119.36.227.0/25），免费160个，sys已核对使用160个</t>
  </si>
  <si>
    <t>边缘计算：119.36.172.128/25</t>
  </si>
  <si>
    <t xml:space="preserve">点军：119.36.227.128/26 </t>
  </si>
  <si>
    <t>20220601开始计费，边缘计算：119.36.173.128/25
119.36.174.0/25</t>
  </si>
  <si>
    <t>合同条款：IPV6:免费</t>
  </si>
  <si>
    <t>边缘计算。2408:874F:3001:0008::/64</t>
  </si>
  <si>
    <t>需要注意202205价格变动。20200101开始计费，YICUN1F101-22-17,YICUN1F101-22-18</t>
  </si>
  <si>
    <t xml:space="preserve">边缘计算，需要注意202205价格变动。BECYICUN1F101-22-14，BECYICUN1F101-22-15，BECYICUN1F101-22-16
</t>
  </si>
  <si>
    <t>边缘计算，20220601开始计费，BECYICUN1F101-21-12
BECYICUN1F101-21-13
BECYICUN1F101-21-14
BECYICUN1F101-21-15</t>
  </si>
  <si>
    <t>边缘计算退租，BECYICUN1F101-21-14
BECYICUN1F101-21-15
BECYICUN1F101-22-16
BECYICUN1F101-21-12
  BECYICUN1F101-21-13</t>
  </si>
  <si>
    <t>182215IDC00487</t>
  </si>
  <si>
    <t>IDC机架-云托管-机架</t>
  </si>
  <si>
    <t>CACDNYICUN-云托管</t>
  </si>
  <si>
    <t>云托管，需要注意202205价格变动。点军项目EVSYICUN1F101-19-02
EVSYICUN1F101-19-03
EVSYICUN1F101-19-05
EVSYICUN1F101-19-12
EVSYICUN1F101-19-19
EVSYICUN1F101-19-22
EVSYICUN1F101-19-28
EVSYICUN1F101-19-29
EVSYICUN1F101-19-30
EVSYICUN1F101-19-31
EVSYICUN1F101-19-32
EVSYICUN1F101-19-33
EVSYICUN1F101-19-34
EVSYICUN1F101-19-35</t>
  </si>
  <si>
    <t xml:space="preserve">云托管，需要注意202205价格变动。点军项目EVSYICUN1F101-19-04
EVSYICUN1F101-19-06
EVSYICUN1F101-19-07
EVSYICUN1F101-19-08
EVSYICUN1F101-19-09
EVSYICUN1F101-19-10
EVSYICUN1F101-19-11
EVSYICUN1F101-19-13
EVSYICUN1F101-19-14
EVSYICUN1F101-19-15
EVSYICUN1F101-19-16
EVSYICUN1F101-19-17
EVSYICUN1F101-19-20
EVSYICUN1F101-19-23
EVSYICUN1F101-19-24
EVSYICUN1F101-19-25
EVSYICUN1F101-19-26
EVSYICUN1F101-19-27
EVSYICUN1F101-19-21
</t>
  </si>
  <si>
    <t>云托管，点军项目EVSYICUN1F101-19-18</t>
  </si>
  <si>
    <t>182215IDC00617</t>
  </si>
  <si>
    <t>云托管，点军项目EVSYICUN1F101-19-36</t>
  </si>
  <si>
    <t>青海</t>
  </si>
  <si>
    <t>王超越</t>
  </si>
  <si>
    <t>182215IDC00618</t>
  </si>
  <si>
    <t>西宁</t>
  </si>
  <si>
    <t>西宁2联通</t>
  </si>
  <si>
    <t>CACDNXNUN</t>
  </si>
  <si>
    <t>20200701开始计费，使用288个（116.177.239.0/24 116.177.236.64/27 ），免费288个</t>
  </si>
  <si>
    <t>合同条款： IPv6地址免费。</t>
  </si>
  <si>
    <t>20200701开始计费，XN2UN1F3-B-01、XN2UN1F3-B-02、XN2UN1F3-B-03</t>
  </si>
  <si>
    <t>与SYS核实机柜编码由XN2UN1F3-B-01、XN2UN1F3-B-02、XN2UN1F3-B-03更换为XN2UN1F3-L-12
XN2UN1F3-L-14
XN2UN1F3-L-13</t>
  </si>
  <si>
    <t>XN2UN1F3-L-12
XN2UN1F3-L-14
XN2UN1F3-L-13</t>
  </si>
  <si>
    <t>182215IDC00532</t>
  </si>
  <si>
    <t>枣庄</t>
  </si>
  <si>
    <t>枣庄联通</t>
  </si>
  <si>
    <t xml:space="preserve">CACDNZAOZUN </t>
  </si>
  <si>
    <t>20220501开始计费，使用288个，免费288个，39.91.128.0/24 39.91.131.0/27 ；合同内共免费640个</t>
  </si>
  <si>
    <t>20220501开始计费，使用256个，免费256个，边缘计算39.91.129.0/24</t>
  </si>
  <si>
    <t xml:space="preserve">20220701退租，边缘计算39.91.129.0/24 </t>
  </si>
  <si>
    <t>20220501开始计费，边缘计算，2408:8719:4000:000C::/64</t>
  </si>
  <si>
    <t>20220731退租，边缘计算，2408:8719:4000:000C::/64</t>
  </si>
  <si>
    <t>20220501开始计费，ZAOZUN2F-H-1 ZAOZUN2F-H-2 ，</t>
  </si>
  <si>
    <t>边缘计算，20220501开始计费，BECZAOZUN-H-03 BECZAOZUN-H-04</t>
  </si>
  <si>
    <t>20220731退租，BEC退租BECZAOZUN-H-03 BECZAOZUN-H-04，转CDN</t>
  </si>
  <si>
    <t>BEC转CDN，ZAOZUN2F-H-3 ,ZAOZUN2F-H-4</t>
  </si>
  <si>
    <t>北京数据互通科技有限公司</t>
  </si>
  <si>
    <t>数据互通</t>
  </si>
  <si>
    <t>182115IDC00445</t>
  </si>
  <si>
    <t>广州3移动</t>
  </si>
  <si>
    <t>CACDNGZCM2</t>
  </si>
  <si>
    <t>sys已核对使用288个(120.232.150.128/27;120.232.149.0/24)，免费提供【288】个IPV4地址</t>
  </si>
  <si>
    <t>20211031退租120.232.149.0/24 120.232.150.128/27</t>
  </si>
  <si>
    <t xml:space="preserve">合同条款：IPV6地址 ::/64 个网段地址 </t>
  </si>
  <si>
    <t xml:space="preserve">GZ3CM2F-M-08
GZ3CM2F-M-07
GZ3CM2F-M-06
GZ3CM2F-M-11
GZ3CM2F-M-10
GZ3CM2F-M-09
</t>
  </si>
  <si>
    <t xml:space="preserve">20211031退租，GZ3CM2F-M-08
GZ3CM2F-M-07
GZ3CM2F-M-06
GZ3CM2F-M-11
GZ3CM2F-M-10
GZ3CM2F-M-09
</t>
  </si>
  <si>
    <t>182215IDC00648</t>
  </si>
  <si>
    <t>中山3移动</t>
  </si>
  <si>
    <t>CACDNZSCM3</t>
  </si>
  <si>
    <t>20211101开始计费，使用288个，免费288个，120.232.248.0/24 120.232.40.0/27</t>
  </si>
  <si>
    <t>20230228退租</t>
  </si>
  <si>
    <t>IPv6：免费赠送：：/64个网段</t>
  </si>
  <si>
    <t>20211101开始计费，ZS3CM2F02-E-AE07，ZS3CM2F02-E-AE08，ZS3CM2F02-E-AE09，ZS3CM2F02-E-AE10，ZS3CM2F02-E-AE11，ZS3CM2F02-E-AE12，ZS3CM2F02-E-AE13，ZS3CM2F02-E-AE14</t>
  </si>
  <si>
    <t>20220831退租，ZS3CM2F02-E-AE14,ZS3CM2F02-E-AE13, ZS3CM2F02-E-AE12, ZS3CM2F02-E-AE11</t>
  </si>
  <si>
    <t>L20230324003</t>
  </si>
  <si>
    <t>广州8移动</t>
  </si>
  <si>
    <t>CACDNGZCM5</t>
  </si>
  <si>
    <t>20230301开始计费。免费288个，在用160个，183.240.223.0/25 183.240.223.128/27</t>
  </si>
  <si>
    <t>20230301开始计费。3F308-K-CDN07,3F308-K-CDN08,3F308-K-CDN09,3F308-K-CDN10</t>
  </si>
  <si>
    <t>北京中瑞云祥信息科技发展有限公司</t>
  </si>
  <si>
    <t>中瑞云祥</t>
  </si>
  <si>
    <t>182315IDC00101</t>
  </si>
  <si>
    <t>廊坊</t>
  </si>
  <si>
    <t>廊坊6电信</t>
  </si>
  <si>
    <t>CACDNLFCT</t>
  </si>
  <si>
    <t>20210207开始计费，使用288个，免费448个，111.225.213.0/24 27.128.215.160/27</t>
  </si>
  <si>
    <t>廊坊7电信</t>
  </si>
  <si>
    <t>（1）20210401开始计费，使用256个，廊坊7电信360G免费576个，退租100G剩余260G后赠送416个；124.239.243.0/24</t>
  </si>
  <si>
    <t>廊坊6电信&amp;廊坊7电信</t>
  </si>
  <si>
    <t>IPv6：2段/64前缀长度的IPV6地址段。合同内赠送1024个iPV6</t>
  </si>
  <si>
    <t>20210207开始计费，使用3个，廊坊电信节点共免费22个，LFCT1F-H-1、LFCT1F-H-2、LFCT1F-H-3</t>
  </si>
  <si>
    <t>20210601开始计费，使用4个，廊坊电信节点共免费22个，LFCT1F-G-3、LFCT1F-G-4、LFCT1F-G-5、LFCT1F-G-6</t>
  </si>
  <si>
    <t>20210401开始计费，使用4个，廊坊电信节点共免费22个，LF7CT1F-H-6、LF7CT1F-H-7、LF7CT1F-H-4、LF7CT1F-H-5</t>
  </si>
  <si>
    <t>LF7CT1F-H-6、LF7CT1F-H-7、LF7CT1F-H-4、LF7CT1F-H-5替换为LF7CT-H-04、LF7CT-H-05、LF7CT-H-06、LF7CT-H-07</t>
  </si>
  <si>
    <t>LF7CT-E-01、LF7CT-E-02、LF7CT-E-03</t>
  </si>
  <si>
    <t>LF6CT1F-G-02</t>
  </si>
  <si>
    <t>LF6CT1F-G-02、LFCT1F-G-6</t>
  </si>
  <si>
    <t>LF7CT-E-03</t>
  </si>
  <si>
    <t>182215IDC00416</t>
  </si>
  <si>
    <t>淄博</t>
  </si>
  <si>
    <t>淄博联通&amp;淄博2联通</t>
  </si>
  <si>
    <t>CACDNZBUN</t>
  </si>
  <si>
    <t>20221130退租淄博联通。20221031退租淄博2联通160个（112.240.63.0/25 112.240.63.128/27）。20220201开始计费，免费640个，使用544个zbun112.240.62.0/24 112.240.63.0/24（包含zb2un 112.240.63.0/25 112.240.63.128/27） 60.210.16.0/27  ；其中2022051861.210.16.0/27 替换为60.210.16.0/27</t>
  </si>
  <si>
    <t>IPv6：赠送:: /64个IPV6</t>
  </si>
  <si>
    <t>20220201开始计费，ZBUN：ZBUN3F286-G-03,ZBUN3F286-G-04,ZBUN3F286-G-05,ZBUN3F286-G-06；ZB2UN：ZBUN3F286-G-07,ZBUN3F286-G-08,ZBUN3F286-G-09,ZBUN3F286-G-12</t>
  </si>
  <si>
    <t>淄博2联通</t>
  </si>
  <si>
    <t>ZBUN3F286-G-07,ZBUN3F286-G-08,ZBUN3F286-G-09,ZBUN3F286-G-12</t>
  </si>
  <si>
    <t>ZBUN3F286-G-03,ZBUN3F286-G-04,ZBUN3F286-G-05,ZBUN3F286-G-06</t>
  </si>
  <si>
    <t>182315IDC00016</t>
  </si>
  <si>
    <t>泰安联通</t>
  </si>
  <si>
    <t>CACDNTAUN</t>
  </si>
  <si>
    <t>20221101开始计费，使用288个，61.156.243.0/24 123.128.13.0/27</t>
  </si>
  <si>
    <t>退租288个，61.156.243.0/24 123.128.13.0/27</t>
  </si>
  <si>
    <t>20221101开始计费，TAUN501-F-01,TAUN501-F-02,TAUN501-F-03,TAUN501-F-04,TAUN501-F-05</t>
  </si>
  <si>
    <t>TAUN501-F-01
TAUN501-F-02
TAUN501-F-03
TAUN501-F-04
TAUN501-F-05</t>
  </si>
  <si>
    <t>泰安2联通</t>
  </si>
  <si>
    <t>20221201开始计费。使用288个，61.162.227.0/24 61.156.50.128/27</t>
  </si>
  <si>
    <t>20230110退租，61.162.227.0/24,61.156.50.128/27</t>
  </si>
  <si>
    <t xml:space="preserve">BEC,123.135.106.0/24，123.128.13.0/27 </t>
  </si>
  <si>
    <t>泰安联通&amp;泰安2联通</t>
  </si>
  <si>
    <t>IPV6：赠送2段/64。泰安2联通BEC,2408:8719:84FF:FFFB::/64</t>
  </si>
  <si>
    <t>20221201开始计费。TA2UN501-E-02,TA2UN501-E-03,TA2UN501-E-04,TA2UN501-E-05,TA2UN501-E-06</t>
  </si>
  <si>
    <t>TA2UN501-E-05
TA2UN501-E-06</t>
  </si>
  <si>
    <t>TA2UN501-E-02
TA2UN501-E-03
TA2UN501-E-04</t>
  </si>
  <si>
    <t>BECTA2UN-501-D13
BECTA2UN-501-D14
BECTA2UN-501-D15
BECTA2UN-501-D18
BECTA2UN-501-D19
BECTA2UN-501-D20
BECTA2UN-501-F10
BECTA2UN-501-F11
BECTA2UN-501-F12
BECTA2UN-501-F13
BECTA2UN-501-F17
BECTA2UN-501-F18
BECTA2UN-501-F19
BECTA2UN-501-F20</t>
  </si>
  <si>
    <t>广东力通网络科技有限公司</t>
  </si>
  <si>
    <t>广东力通</t>
  </si>
  <si>
    <t>182115IDC00428</t>
  </si>
  <si>
    <t>岳阳联通</t>
  </si>
  <si>
    <t>CACDNYYUN</t>
  </si>
  <si>
    <t>20211231退租，20200701开始计费，使用288个（116.162.19.0/24 116.162.15.64/27），免费320个，</t>
  </si>
  <si>
    <t>合同条款：提供::/64个免费IPv6地址</t>
  </si>
  <si>
    <t>20200701开始计费，每两个万兆赠送1机柜，超出4000元/柜/月  ,YYUN2FIDC-F-01、YYUN2FIDC-F-02、YYUN2FIDC-F-03</t>
  </si>
  <si>
    <t>20211231退租，YYUN2FIDC-F-01,YYUN2FIDC-F-02,YYUN2FIDC-F-03</t>
  </si>
  <si>
    <t>182115IDC00076</t>
  </si>
  <si>
    <t>佳木斯</t>
  </si>
  <si>
    <t>佳木斯2联通</t>
  </si>
  <si>
    <t>CACDNJMSUN</t>
  </si>
  <si>
    <t>20210215开始计费，使用288个，免费288个，218.7.125.0/24 218.7.124.0/27</t>
  </si>
  <si>
    <t>20211231退租</t>
  </si>
  <si>
    <t>一段/64 ipv6地址</t>
  </si>
  <si>
    <t>20210201开始计费，使用4个，404FIDC-6-4、404FIDC-6-1、404FIDC-6-3、404FIDC-6-2</t>
  </si>
  <si>
    <t>20211231退租404FIDC-6-4,404FIDC-6-1,404FIDC-6-3,404FIDC-6-2</t>
  </si>
  <si>
    <t>广东图纪网络科技有限公司</t>
  </si>
  <si>
    <t>广东图纪</t>
  </si>
  <si>
    <t>182215IDC00014</t>
  </si>
  <si>
    <t>郴州</t>
  </si>
  <si>
    <t>郴州联通二级</t>
  </si>
  <si>
    <t>CACDNCHENZUN</t>
  </si>
  <si>
    <t>20220131退租，20200122开始计费，使用288个（116.129.251.0/24 116.129.252.0/27），每个万兆端口赠送【16】个免费IP地址，乙方为甲方总计提供【384】个IP地址（其中在用288个），超出部分单独计费。</t>
  </si>
  <si>
    <t>20211001开始价格为4000，20200122开始计费，CHENZUNCACHE3F-A-13,CHENZUNCACHE3F-A-14,CHENZUNCACHE3F-A-15,CHENZUNCACHE3F-A-18,CHENZUNCACHE3F-A-19,CHENZUNCACHE3F-A-20,CHENZUNCACHE3F-A-21,CHENZUNCACHE3F-A-22</t>
  </si>
  <si>
    <t>20211001开始价格为4000，CHENZUNCACHE3F-A-15</t>
  </si>
  <si>
    <t>20220131退租</t>
  </si>
  <si>
    <t>长沙3联通</t>
  </si>
  <si>
    <t>CACDNCSUN</t>
  </si>
  <si>
    <t>20220731退租（1）需要202008暂停不计费；（2）20200311开始计费，使用288个（116.162.7.0/24 116.162.8.0/27），每个万兆端口赠送【16】个免费IP地址，乙方为甲方总计提供【320】个IP地址（其中在用288个），超出部分单独计费。</t>
  </si>
  <si>
    <t>20211001开始价格为4000，（1）需要202008暂停不计费；（2）20200311开始计费，CS3UN2FIDC2-G-10、CS3UN2FIDC2-G-11、CS3UN2FIDC2-G-12、CS3UN2FIDC2-G-13、CS3UN2FIDC2-G-14</t>
  </si>
  <si>
    <t>CS3UN2FIDC2-G-14,CS3UN2FIDC2-G-11,CS3UN2FIDC2-G-10,CS3UN2FIDC2-G-12,CS3UN2FIDC2-G-13</t>
  </si>
  <si>
    <t>182215IDC00365</t>
  </si>
  <si>
    <t>洛阳</t>
  </si>
  <si>
    <t>洛阳4电信</t>
  </si>
  <si>
    <t>CACDNLYCT</t>
  </si>
  <si>
    <t>20201101开始计费，使用288个（36.99.3.0/24 36.99.4.128/27），免费544个</t>
  </si>
  <si>
    <t>20220201价格为4500；20201101开始计费，LY4CT3F-02-02、LY4CT3F-02-03、LY4CT3F-02-04、LY4CT3F-02-05</t>
  </si>
  <si>
    <t>20220201价格为4500；20210201开始计费，LY4CT3F-02-06、LY4CT3F-02-07、LY4CT3F-02-08、LY4CT3F-02-09</t>
  </si>
  <si>
    <t>20220201价格为4500；20210901开始计费，LY4CT3F-02-11、LY4CT3F-02-10</t>
  </si>
  <si>
    <t>洛阳5电信</t>
  </si>
  <si>
    <t>20211001开始计费，使用288个，1.193.146.0/24 123.53.139.160/27</t>
  </si>
  <si>
    <t>洛阳4电信&amp;洛阳5电信</t>
  </si>
  <si>
    <t>IPV6：免费赠送</t>
  </si>
  <si>
    <t>20220201价格为4500；20211001开始计费，LY5CT3F-03-08、LY5CT3F-03-09、LY5CT3F-03-07</t>
  </si>
  <si>
    <t>182215IDC00575</t>
  </si>
  <si>
    <t>郴州电信</t>
  </si>
  <si>
    <t>CACDNCHENZCT</t>
  </si>
  <si>
    <t>（1）20220201扩容100G后免费640个，使用544个；（2）20211001开始计费，使用544个，免费480个，收费64个 113.219.142.0/24 113.219.161.0/24 113.219.178.0/27</t>
  </si>
  <si>
    <t>182215IDC00700</t>
  </si>
  <si>
    <t>边缘计算，113.219.178.32/28</t>
  </si>
  <si>
    <t>IPv6：免费赠送</t>
  </si>
  <si>
    <t>20220201价格为4000；20211001开始计费，CHENZCT3FM4-A-22，CHENZCT3FM4-A-23，CHENZCT3FM4-A-24，CHENZCT3FM4-A-25，CHENZCT3FM4-A-26，CHENZCT3FM4-A-27，CHENZCT3FM4-A-28</t>
  </si>
  <si>
    <t>20220201价格为4000；20211101开始计费，CHENZCT3FM4-A-29</t>
  </si>
  <si>
    <t>边缘计算，BECCHENZCT3FM4-A-37</t>
  </si>
  <si>
    <t>L20221025042</t>
  </si>
  <si>
    <t>株洲2联通</t>
  </si>
  <si>
    <t>CACDNZHUZUN</t>
  </si>
  <si>
    <t>20220201开始计费，免费704个，使用544个，119.39.203.0/24 58.20.210.0/24 119.39.202.96/27</t>
  </si>
  <si>
    <t>20220201开始计费，ZHUZ2UN8FIDC-L-03,ZHUZ2UN8FIDC-L-04,ZHUZ2UN8FIDC-L-05,ZHUZ2UN8FIDC-L-06,ZHUZ2UN8FIDC-L-07,ZHUZ2UN8FIDC-L-08,ZHUZ2UN8FIDC-L-09,ZHUZ2UN8FIDC-L-10</t>
  </si>
  <si>
    <t>182215IDC00403</t>
  </si>
  <si>
    <t>洛阳2联通</t>
  </si>
  <si>
    <t>CACDNLYUN</t>
  </si>
  <si>
    <t>20220601开始计费，使用544个，免费480个，收费64个，222.141.4.0/24 222.141.5.0/24 61.158.128.64/27</t>
  </si>
  <si>
    <t>20220622开始计费，边缘计算：I221.15.66.0/24</t>
  </si>
  <si>
    <t>20221212退租。CDN退租。222.141.5.0/24</t>
  </si>
  <si>
    <t>CDN退租。222.141.4.128/25</t>
  </si>
  <si>
    <t>边缘计算2408:8722:1010:000B:0000:0000:0000:0000/64</t>
  </si>
  <si>
    <t>20220601开始计费，LY2UN6FH-2F2P-3J,LY2UN6FH-2F2P-4J,LY2UN6FH-2F2P-5J,LY2UN6FH-2F2P-6J</t>
  </si>
  <si>
    <t>边缘计算，BECLY2UN6F-2P-7J
BECLY2UN6F-2P-9J
BECLY2UN6F-1P-7J
BECLY2UN6F-1P-8J
BECLY2UN6F-1P-9J</t>
  </si>
  <si>
    <t>182215IDC00572</t>
  </si>
  <si>
    <t>株洲3联通</t>
  </si>
  <si>
    <t>20220802开始计费，使用288个，免费320个，42.48.143.0/25 119.39.205.128/25 119.39.204.192/27</t>
  </si>
  <si>
    <t>IPV6：按需赠送</t>
  </si>
  <si>
    <t>20220802开始计费，ZHUZ3UN8FIDC-E-8,ZHUZ3UN8FIDC-E-9,ZHUZ3UN8FIDC-E-10,ZHUZ3UN8FIDC-E-11,ZHUZ3UN8FIDC-E-12,ZHUZ3UN8FIDC-E-13</t>
  </si>
  <si>
    <t>L20230305001</t>
  </si>
  <si>
    <t>重庆5移动</t>
  </si>
  <si>
    <t>CACDNCQCM5</t>
  </si>
  <si>
    <t>20230302开始计费。免费160个，使用128个，183.230.237.0/25</t>
  </si>
  <si>
    <t>20230302开始计费。407-C-CDN05,407-C-CDN06,407-C-CDN07</t>
  </si>
  <si>
    <t>厦门市唯云网络科技有限公司</t>
  </si>
  <si>
    <t>厦门唯云</t>
  </si>
  <si>
    <t>182215IDC00643</t>
  </si>
  <si>
    <t>东莞4移动</t>
  </si>
  <si>
    <t>CACDNDGCM2</t>
  </si>
  <si>
    <t>sys已核对使用288个IP，收费IP176个(120.233.75.0/24;120.233.79.0/27)</t>
  </si>
  <si>
    <t>sys已核对使用288个IP，收费IP176个</t>
  </si>
  <si>
    <t>20221122退128个，120.233.75.128/25</t>
  </si>
  <si>
    <t xml:space="preserve">20220101开始价格为5000；DG4CM3F-F-06
DG4CM3F-F-05
DG4CM3F-F-04
DG4CM3F-F-03
DG4CM3F-F-02
DG4CM3F-F-01
DG4CM3F-F-07
</t>
  </si>
  <si>
    <t>20221122DG4CM3F-F-07</t>
  </si>
  <si>
    <t>182215IDC00574</t>
  </si>
  <si>
    <t>CACDNWXUN</t>
  </si>
  <si>
    <t>202206退租100G后IP收费变动。共使用672个，免费160个，收费512个。20191001开始计费，每个万兆端口赠送【16】个免费IP地址，乙方为甲方总计提供【512】个IP地址，超出部分单独计费。其中免费256个，收费256个。Sys已核对使用416个， 153.35.88.0/24,153.35.89.0/24,（边缘）153.35.89.0/25</t>
  </si>
  <si>
    <t>2020年10月甲方在用IP为512个（其中256个免费，256个收费）；2020年11月1日带宽扩容后，甲方在用IP为512个（其中320个免费，192个收费）；超出部分单独计费。20191001开始计费，每个万兆端口赠送【16】个免费IP地址，乙方为甲方总计提供【512】个IP地址，超出部分单独计费。其中免费256个，收费256个。Sys已核对使用416个</t>
  </si>
  <si>
    <t>2022年4月1日开始使用672个IP地址（其中480个免费，192个收费）。2020年11月1日带宽扩容后，甲方在用IP为512个（其中320个免费，192个收费）</t>
  </si>
  <si>
    <t>（1）20220401开始128个免费；（2）20220111开始计费，收费32个，免费96个边缘计算153.35.174.0/25</t>
  </si>
  <si>
    <t>（1）20220401开始128个免费；（2）20220308开始计费，使用128个，免费64个，收费64个边缘计算153.35.174.128/25</t>
  </si>
  <si>
    <t>先按照20220817退租记录，CDN：153.35.88.128/25；	
（1）IPV4:2022年 7月1日-9月19日，使用672个，免费320个，计费352个；9月20日开始，使用544个，免费320，计费224个，超出部分单独计费。</t>
  </si>
  <si>
    <t>20211001开始价格为4000；20191001开始计费，WXUNIDC2-C-06，WXUNIDC2-C-07，WXUNIDC2-C-08，WXUNIDC2-C-09，WXUNIDC2-C-10，WXUNIDC2-C-11，WXUNIDC2-C-12，WXUNIDC2-C-13</t>
  </si>
  <si>
    <t>20211001开始价格为4000；20191017开始计费，边缘计算WXUNIDC2-C-14，WXUNIDC2-C-15</t>
  </si>
  <si>
    <t>20220111开始计费，边缘计算WXUNIDC2-B-16</t>
  </si>
  <si>
    <t>20220217停止计费，WXUNIDC2-C-13,WXUNIDC2-C-12</t>
  </si>
  <si>
    <t>20220308开始计费，边缘计算WXUNIDC2-C-12,
WXUNIDC2-C-13</t>
  </si>
  <si>
    <t>20220525开始计费：边缘计算WXUNIDC2-B-07
WXUNIDC2-B-08
WXUNIDC2-B-09
WXUNIDC2-B-10
WXUNIDC2-B-17</t>
  </si>
  <si>
    <t>20220805退租，WXUNIDC2-C-09,WXUNIDC2-C-10,WXUNIDC2-C-11</t>
  </si>
  <si>
    <t>182215IDC00649</t>
  </si>
  <si>
    <t>贵阳电信</t>
  </si>
  <si>
    <t>CACDNGYCT</t>
  </si>
  <si>
    <t>20191001开始计费，每个万兆端口赠送【14.4】个免费IP地址，乙方为甲方总计提供【288】个IP地址，其中288个免费，超出部分单独计费。sys已核对使用288个(58.42.14.0/24;58.42.2.0/27)</t>
  </si>
  <si>
    <t>20191001开始计费，GYCTA6202-E-14，GYCTA6202-E-15，GYCTA6202-F-05，GYCTA6202-F-02，GYCTA6202-F-03，GYCTA6202-F-04</t>
  </si>
  <si>
    <t>20210331退租，GYCTA6202-E-15、GYCTA6202-E-14</t>
  </si>
  <si>
    <t>贵阳2电信</t>
  </si>
  <si>
    <t xml:space="preserve">CACDNGYCT </t>
  </si>
  <si>
    <t>20200117开始计费，sys已核对使用288个(219.151.25.0/24 219.151.18.0/27)，免费288个</t>
  </si>
  <si>
    <t>贵阳电信+贵阳2电信</t>
  </si>
  <si>
    <t>IPv6免费。</t>
  </si>
  <si>
    <t>20200117开始计费，GY2CTA6202-F-14,GY2CTA6202-F-15,GY2CTA6202-F-16,GY2CTA6202-F-17,GY2CTA6202-F-18</t>
  </si>
  <si>
    <t>182215IDC00703</t>
  </si>
  <si>
    <t>GY2CTA6202-F-19</t>
  </si>
  <si>
    <t>182215IDC00378</t>
  </si>
  <si>
    <t>吉安</t>
  </si>
  <si>
    <t>吉安电信</t>
  </si>
  <si>
    <t>CACDNJACT</t>
  </si>
  <si>
    <t>20200601开始计费，使用288个(182.107.80.0/24 220.177.178.192/27)，免费288个</t>
  </si>
  <si>
    <t>20220731退租182.107.80.128/25</t>
  </si>
  <si>
    <t>IPv6：按需免费提供.</t>
  </si>
  <si>
    <t>20220201开始价格为4200；20200601开始计费，JACT3FIDC-B-06、JACT3FIDC-B-05、JACT3FIDC-B-04</t>
  </si>
  <si>
    <t>20220201开始价格为4200；20201201开始计费，JACT3FIDC-B-02</t>
  </si>
  <si>
    <t>20220201开始价格为4200；20210120开始计费，JACT3FIDC-B-07</t>
  </si>
  <si>
    <t>20220201开始价格为4200；20210716开始计费，JACT3FIDC-B-08</t>
  </si>
  <si>
    <t>20220731退租JACT3FIDC-B-06、JACT3FIDC-B-07、JACT3FIDC-B-08</t>
  </si>
  <si>
    <t>182215IDC00289</t>
  </si>
  <si>
    <t>大连</t>
  </si>
  <si>
    <t>大连3电信</t>
  </si>
  <si>
    <t>CACDNDLCT</t>
  </si>
  <si>
    <t>20210402开始计费，使用288个，42.202.152.0/24 182.201.240.160/27，赠送320个</t>
  </si>
  <si>
    <t>IPV6：免费</t>
  </si>
  <si>
    <t>20220201开始价格为4000；20210402开始计费，DL3CT1F-C-07、DL3CT1F-C-08、DL3CT1F-C-09</t>
  </si>
  <si>
    <t>20220430退租，DL3CT1F-C-07,DL3CT1F-C-08,DL3CT1F-C-09</t>
  </si>
  <si>
    <t>182115IDC00610</t>
  </si>
  <si>
    <t>贵阳3电信</t>
  </si>
  <si>
    <t>CACDNGYCT2</t>
  </si>
  <si>
    <t>20220930退租。20210802开始计费，使用288个，免费480个，111.123.247.0/24 111.123.244.128/27</t>
  </si>
  <si>
    <t>IPV6按需免费提供</t>
  </si>
  <si>
    <t>20210802开始计费，GY3CT301-3-07、GY3CT301-3-08、GY3CT301-3-09</t>
  </si>
  <si>
    <t>经与SYS核实GY3CT301-3-07、GY3CT301-3-08、GY3CT301-3-09替换为GY3CT3F-3-07
GY3CT3F-3-08
GY3CT3F-3-10</t>
  </si>
  <si>
    <t>20211001开始计费，GY3CT3F-3-06、GY3CT3F-3-10、GY3CT3F-3-05</t>
  </si>
  <si>
    <t>GY3CT3F-3-06、GY3CT3F-3-10、GY3CT3F-3-05换成GY3CT3F-3-05，GY3CT3F-3-06</t>
  </si>
  <si>
    <t>经与SYS核实使用GY3CT3F-3-05，GY3CT3F-3-06</t>
  </si>
  <si>
    <t>20220930退租。GY3CT3F-3-07
GY3CT3F-3-08
GY3CT3F-3-10
GY3CT3F-3-05
GY3CT3F-3-06</t>
  </si>
  <si>
    <t>182215IDC00642</t>
  </si>
  <si>
    <t>绍兴</t>
  </si>
  <si>
    <t>绍兴电信</t>
  </si>
  <si>
    <t>CACDNSHAOXCT</t>
  </si>
  <si>
    <t>20211001开始计费，使用288个，免费320个，183.136.216.0/24 183.136.215.160/27</t>
  </si>
  <si>
    <t>IPV6按需免费提供。</t>
  </si>
  <si>
    <t>20211001开始价格为4000；20211001开始计费，SHAOXCT4F-J-04、SHAOXCT4F-J-05、SHAOXCT4F-J-06、SHAOXCT4F-J-01、SHAOXCT4F-J-02、SHAOXCT4F-J-03</t>
  </si>
  <si>
    <t>福建</t>
  </si>
  <si>
    <t>182315IDC00008</t>
  </si>
  <si>
    <t>泉州</t>
  </si>
  <si>
    <t>泉州2联通</t>
  </si>
  <si>
    <t>CACDNQZUN2</t>
  </si>
  <si>
    <t>（1）20211202开始计费，免费96个，收费160，20220101开始，免费160个，收费96个，36.250.244.0/24；（2）20220201开始免费224个，收费32个</t>
  </si>
  <si>
    <t>退租32个，36.250.244.160/27</t>
  </si>
  <si>
    <t>退租64个，36.250.244.192/26</t>
  </si>
  <si>
    <t>IPV6为免费赠送</t>
  </si>
  <si>
    <t>20211202开始计费，QZ2UN404-02-03、QZ2UN404-02-04、QZ2UN404-02-05</t>
  </si>
  <si>
    <t>182215IDC00082</t>
  </si>
  <si>
    <t>沧州</t>
  </si>
  <si>
    <t>沧州电信</t>
  </si>
  <si>
    <t>CACDNCANGZCT</t>
  </si>
  <si>
    <t>20220630退租，20220201开始计费，免费320个，使用288个，124.238.121.0/24 27.128.146.0/27</t>
  </si>
  <si>
    <t>20220201开始计费，GZCT1F101-N-02,GZCT1F101-N-03,GZCT1F101-N-04</t>
  </si>
  <si>
    <t>20220630退租，GZCT1F101-N-02,GZCT1F101-N-03,GZCT1F101-N-04</t>
  </si>
  <si>
    <t>182215IDC00565</t>
  </si>
  <si>
    <t>常州</t>
  </si>
  <si>
    <t>常州3电信</t>
  </si>
  <si>
    <t>CACDNCZCT</t>
  </si>
  <si>
    <t>20220901开始计费，使用288个，免费160个，58.216.27.0/24 61.160.252.32/27，免费160个</t>
  </si>
  <si>
    <t>退租128个，58.216.27.128/25</t>
  </si>
  <si>
    <t>IPV6：按需免费提供</t>
  </si>
  <si>
    <t>L20230323002</t>
  </si>
  <si>
    <t xml:space="preserve">边缘计算。58.216.27.128/25 </t>
  </si>
  <si>
    <t>边缘计算240E:0978:0304:0004::/64</t>
  </si>
  <si>
    <t>20220901开始计费，CZ3CT3FIDC-L-8,CZ3CT3FIDC-L-9,CZ3CT3FIDC-L-10.调整为CZ3CT3FIDC-L-6
CZ3CT3FIDC-L-7，
CZ3CT3FIDC-L-8</t>
  </si>
  <si>
    <t>3FIDC-L-BEC11
3FIDC-L-BEC12
3FIDC-L-BEC13</t>
  </si>
  <si>
    <t>182315IDC00007</t>
  </si>
  <si>
    <t>昆明7电信</t>
  </si>
  <si>
    <t>CACDNKMCT</t>
  </si>
  <si>
    <t>20221101开始计费，免费320个，使用288个，182.242.59.0/24 182.242.88.64/27</t>
  </si>
  <si>
    <t>20221101开始计费，KM7CT3FIDC-D-2,KM7CT3FIDC-D-3,KM7CT3FIDC-D-4,KM7CT3FIDC-D-6,KM7CT3FIDC-D-7,KM7CT3FIDC-D-8</t>
  </si>
  <si>
    <t>广州大一互联网络科技有限公司</t>
  </si>
  <si>
    <t>广州大一</t>
  </si>
  <si>
    <t>182115IDC00064</t>
  </si>
  <si>
    <t>中山电信</t>
  </si>
  <si>
    <t xml:space="preserve">CACDNZSCT </t>
  </si>
  <si>
    <t>202110转为广州贝云供应商，20190901开始计费，使用288个，免费576个，sys已核对使用288个（113.113.100.128/27;113.113.67.0/24）</t>
  </si>
  <si>
    <t>202110转为广州贝云供应商，合同条款：::/56位*2（ipv6）个免费IP地址</t>
  </si>
  <si>
    <t>中山2电信</t>
  </si>
  <si>
    <t>CACDNZSCT</t>
  </si>
  <si>
    <t>202110转为广州贝云供应商，20210201开始计费，使用256个，免费256个，121.12.53.0/24</t>
  </si>
  <si>
    <t>202110转为广州贝云供应商，20190901开始计费，ZSCT5FB-02-06，ZSCT5FB-02-07，ZSCT5FB-02-08，ZSCT5FB-02-09，ZSCT5FB-02-10</t>
  </si>
  <si>
    <t>202110转为广州贝云供应商，20191201开始计费，ZSCT5FB-02-03,ZSCT5FB-02-04,ZSCT5FB-02-05</t>
  </si>
  <si>
    <t>202110转为广州贝云供应商，20210205退租，ZSCT5FB-02-05</t>
  </si>
  <si>
    <t>202110转为广州贝云供应商，20210201开始计费，ZSCT4F08-14-10、ZSCT4F08-14-11、ZSCT4F08-14-8、ZSCT4F08-14-9</t>
  </si>
  <si>
    <t>202110转为广州贝云供应商</t>
  </si>
  <si>
    <t>182115IDC00070</t>
  </si>
  <si>
    <t>佛山联通</t>
  </si>
  <si>
    <t>CACDNFSUN</t>
  </si>
  <si>
    <t>20190925开始计费，免费288个，已与sys核对使用288个（120.83.183.0/24;27.36.227.0/27）</t>
  </si>
  <si>
    <t>20210228退租288个</t>
  </si>
  <si>
    <t>合同条款：::/56位（ipv6）免费</t>
  </si>
  <si>
    <t>20190925开始计费，FSUN4M1-01-01，FSUN4M1-01-02，FSUN4M1-01-03，FSUN4M1-01-04，FSUN4M1-01-05</t>
  </si>
  <si>
    <t>20210228退租，，FSUN4M1-01-01，FSUN4M1-01-02，FSUN4M1-01-03，FSUN4M1-01-04，FSUN4M1-01-05</t>
  </si>
  <si>
    <t>梅州</t>
  </si>
  <si>
    <t>梅州联通</t>
  </si>
  <si>
    <t>CACDNMZUN</t>
  </si>
  <si>
    <t>需要注意20210201开始换为广州宏云供应商，20200501开始计费，使用288个(221.5.75.0/24 58.253.193.0/27)，免费288个</t>
  </si>
  <si>
    <t>需要注意20210201开始换为广州宏云供应商</t>
  </si>
  <si>
    <t>需要注意20210201开始换为广州宏云供应商，合同条款：::/56位（ipv6）免费</t>
  </si>
  <si>
    <t>需要注意20210201开始换为广州宏云供应商，20200415开始计费，MZUN2F-7-13、MZUN2F-7-12、MZUN2F-7-15、MZUN2F-7-14、MZUN2F-7-17、MZUN2F-7-16、MZUN2F-7-11</t>
  </si>
  <si>
    <t>182315IDC00059</t>
  </si>
  <si>
    <t>东莞6移动</t>
  </si>
  <si>
    <t>CACDNDGCM3</t>
  </si>
  <si>
    <t>20200101开始计费，免费256个，sys已核对使用288个</t>
  </si>
  <si>
    <t>20200101开始计费，免费256个，sys已核对使用288个（120.241.65.0/25;120.233.47.192/27;120.233.44.128/25）</t>
  </si>
  <si>
    <t>20221103退租128个，120.233.44.128/25</t>
  </si>
  <si>
    <t>20200101开始计费，DG6CM1FB-C-03、DG6CM1FB-C-04、DG6CM1FB-C-05、DG6CM1FB-C-06、DG6CM1FB-C-07</t>
  </si>
  <si>
    <t>20221124退租，DG6CM1FB-C-07</t>
  </si>
  <si>
    <t>DG6CM1FB-C-07</t>
  </si>
  <si>
    <t>广州宏云互联网络科技有限公司</t>
  </si>
  <si>
    <t>广州宏云</t>
  </si>
  <si>
    <t>182015IDC00327</t>
  </si>
  <si>
    <t>揭阳移动</t>
  </si>
  <si>
    <t>CACDNJIEYCM</t>
  </si>
  <si>
    <t>20200505开始计费，使用288个(120.238.4.0/24 120.238.5.0/27)，免费288个</t>
  </si>
  <si>
    <t>20210630退租</t>
  </si>
  <si>
    <t>20200501开始计费，IEYCM-6F-M01,JIEYCM-6F-M02,JIEYCM-6F-M03</t>
  </si>
  <si>
    <t>20201001开始计费，JIEYCM-6F-M04、JIEYCM-6F-M05、JIEYCM-6F-M06</t>
  </si>
  <si>
    <t>20210630退租，JIEYCM-6F-M01、JIEYCM-6F-M03、JIEYCM-6F-M02、JIEYCM-6F-M04、JIEYCM-6F-M05、JIEYCM-6F-M06</t>
  </si>
  <si>
    <t>182115IDC00102</t>
  </si>
  <si>
    <t>合肥</t>
  </si>
  <si>
    <t>合肥3移动</t>
  </si>
  <si>
    <t>CACDNHFCM</t>
  </si>
  <si>
    <t>20210531退租288个，20200501开始计费，使用288个(112.28.241.0/24 112.30.164.32/27)，免费320个</t>
  </si>
  <si>
    <t>20200501开始计费，HF3CM2FMID-L-17、HF3CM2FMID-L-18、HF3CM2FMID-K-19</t>
  </si>
  <si>
    <t>20210531退租，HF3CM2FMID-L-17、HF3CM2FMID-L-18、HF3CM2FMID-K-19</t>
  </si>
  <si>
    <t>182115IDC00107</t>
  </si>
  <si>
    <t>佛山2电信</t>
  </si>
  <si>
    <t>CACDNFSCT</t>
  </si>
  <si>
    <t>20201001开始计费，使用288个(59.36.203.0/24 59.36.228.0/27)，免费288个</t>
  </si>
  <si>
    <t>IPV6：免费。</t>
  </si>
  <si>
    <t>20201001开始计费，FSCT3F304-HH14-05、FSCT3F304-HH14-06、FSCT3F304-HH14-07</t>
  </si>
  <si>
    <t>182115IDC00492</t>
  </si>
  <si>
    <t>许昌</t>
  </si>
  <si>
    <t>许昌联通</t>
  </si>
  <si>
    <t>CACDNXUCUN</t>
  </si>
  <si>
    <t>20200902开始计费，使用288个(219.154.248.0/24 219.154.249.0/27)，免费288个</t>
  </si>
  <si>
    <t>20220531退租，219.154.248.0/24 219.154.249.0/27</t>
  </si>
  <si>
    <t>合同条款：IPv6:赠送/64，超出部分单独计费</t>
  </si>
  <si>
    <t>20200902开始计费，XUCUN2F-5P-03,XUCUN2F-5P-04,XUCUN2F-5P-05,XUCUN2F-5P-06,XUCUN2F-5P-07,XUCUN2F-5P-08</t>
  </si>
  <si>
    <t>20211224退租，XUCUN2F-5P-07,XUCUN2F-5P-08</t>
  </si>
  <si>
    <t>20220531退租，XUCUN2F-5P-03,XUCUN2F-5P-04,XUCUN2F-5P-05,XUCUN2F-5P-06</t>
  </si>
  <si>
    <t>182215IDC00105</t>
  </si>
  <si>
    <t>自20210201开始从原广州大一转移到广州宏云，使用288个</t>
  </si>
  <si>
    <t>20220430退租</t>
  </si>
  <si>
    <t>自20210201开始从原广州大一转移到广州宏云。IPv6：赠送/56个IPv6地址，超出部分单独计费。</t>
  </si>
  <si>
    <t>自20210201开始从原广州大一转移到广州宏云，MZUN2F-7-13、MZUN2F-7-12、MZUN2F-7-15、MZUN2F-7-14、MZUN2F-7-17、MZUN2F-7-16、MZUN2F-7-11</t>
  </si>
  <si>
    <t>替换机柜编码为MZUN2F209-9-29
MZUN2F209-9-30
MZUN2F209-9-31
MZUN2F209-9-32
MZUN2F209-9-33
MZUN2F209-9-34
MZUN2F209-9-35</t>
  </si>
  <si>
    <t>20220119退租MZUN2F209-9-34
MZUN2F209-9-35</t>
  </si>
  <si>
    <t>MZUN2F209-9-29,MZUN2F209-9-30,MZUN2F209-9-31,MZUN2F209-9-32,MZUN2F209-9-33</t>
  </si>
  <si>
    <t>182215IDC00103</t>
  </si>
  <si>
    <t>惠州</t>
  </si>
  <si>
    <t>惠州联通</t>
  </si>
  <si>
    <t>CACDNHUIZUN</t>
  </si>
  <si>
    <t>20210302开始计费，使用288个，112.92.61.0/24 112.92.62.0/27，免费288个</t>
  </si>
  <si>
    <t>20220630退租，112.92.61.0/24 112.92.62.0/2</t>
  </si>
  <si>
    <t>IPv6：提供/56个免费IPv6地址，超出部分单独计费。</t>
  </si>
  <si>
    <t>20210302开始计费，HUIZUN5FI5-3-5、HUIZUN5FI5-3-4、HUIZUN5FI5-3-3、HUIZUN5FI5-3-2</t>
  </si>
  <si>
    <t>20220630退租，HUIZUN5FI5-3-2,HUIZUN5FI5-3-5,HUIZUN5FI5-3-4,HUIZUN5FI5-3-3</t>
  </si>
  <si>
    <t>182215IDC00024</t>
  </si>
  <si>
    <t>潮州2电信</t>
  </si>
  <si>
    <t>CACDNCHAOZCT</t>
  </si>
  <si>
    <t>20210402开始计费，使用288个，113.96.164.0/24 113.96.165.0/27，免费288个</t>
  </si>
  <si>
    <t>IPV6</t>
  </si>
  <si>
    <t>20210402开始计费，CHAOZCT13F-B-03、CHAOZCT13F-B-02、CHAOZCT13F-B-07、CHAOZCT13F-B-06、CHAOZCT13F-B-05、CHAOZCT13F-B-04</t>
  </si>
  <si>
    <t>20211231退租，CHAOZCT13F-B-03,CHAOZCT13F-B-02,CHAOZCT13F-B-07,CHAOZCT13F-B-06,CHAOZCT13F-B-05,CHAOZCT13F-B-04</t>
  </si>
  <si>
    <t>182215IDC00699</t>
  </si>
  <si>
    <t>九江</t>
  </si>
  <si>
    <t>九江电信</t>
  </si>
  <si>
    <t>CACDNJJCT</t>
  </si>
  <si>
    <t>20210401开始计费，免费288个，使用288个，182.106.158.0/24 182.106.149.32/27</t>
  </si>
  <si>
    <t>20230201开始转给广州贝云。</t>
  </si>
  <si>
    <t xml:space="preserve">	
IPV6：赠送/64个IPV6地址</t>
  </si>
  <si>
    <t>20210401开始计费，JJCT5F-F-7、JJCT5F-F-8、JJCT5F-F-9、JJCT5F-F-10</t>
  </si>
  <si>
    <t>182215IDC00698</t>
  </si>
  <si>
    <t>金华2电信</t>
  </si>
  <si>
    <t>CACDNJHCT2</t>
  </si>
  <si>
    <t>20210401开始计费，免费288个，使用288个，60.188.66.0/24 60.163.161.128/27</t>
  </si>
  <si>
    <t>IPV6：赠送/64个IPV6地址</t>
  </si>
  <si>
    <t>20210401开始计费，JH2CT2F-J-01、JH2CT2F-J-03、JH2CT2F-J-02、JH2CT2F-J-05、JH2CT2F-J-04</t>
  </si>
  <si>
    <t>L20230118002</t>
  </si>
  <si>
    <t xml:space="preserve"> JH2CT2F-J-06</t>
  </si>
  <si>
    <t>182115IDC00638</t>
  </si>
  <si>
    <t>周口</t>
  </si>
  <si>
    <t>周口2联通</t>
  </si>
  <si>
    <t>CACDNZKUN</t>
  </si>
  <si>
    <t>20211001开始计费，免费288个，使用288个，123.12.188.0/24 61.163.172.0/27</t>
  </si>
  <si>
    <t>20220531退租，123.12.188.0/24 61.163.172.0/2</t>
  </si>
  <si>
    <t>IPv6：提供/56个免费IPv6地址</t>
  </si>
  <si>
    <t>20211001开始计费，ZK2UN5F502-A-3、ZK2UN5F502-A-4、ZK2UN5F502-A-5</t>
  </si>
  <si>
    <t>20220531退租，ZK2UN5F502-A-3,ZK2UN5F502-A-4,ZK2UN5F502-A-5</t>
  </si>
  <si>
    <t>佛山3电信</t>
  </si>
  <si>
    <t>CACDNFSCT2</t>
  </si>
  <si>
    <t>20220101开始计费，免费288个，使用288个，183.60.219.0/24 59.37.87.160/27</t>
  </si>
  <si>
    <t>退租128个，183.60.219.128/25</t>
  </si>
  <si>
    <t>20230201开始转给广州贝云。需要注意后期资源变动。20220831退租100G（1）20220101开始计费，颗粒度100M，保底60G；（2）甲乙双方实际流量以100M为结算单位，不足50M按照0M收取，大于等于50M按100M收取</t>
  </si>
  <si>
    <t>20220101开始计费，FS3CT1F108-HH21-06、FS3CT1F108-HH21-07、FS3CT1F108-HH21-08、FS3CT1F108-HH21-09、FS3CT1F108-HH21-10</t>
  </si>
  <si>
    <t>FS3CT1F108-HH21-10,FS3CT1F108-HH21-09</t>
  </si>
  <si>
    <t>国网信息通信产业集团有限公司北京分公司</t>
  </si>
  <si>
    <t>国网信息</t>
  </si>
  <si>
    <t>182115IDC00470</t>
  </si>
  <si>
    <t>大连移动</t>
  </si>
  <si>
    <t>CACDNDLCM</t>
  </si>
  <si>
    <t>20210209开始计费，使用288个，免费288个，36.131.133.0/24 120.201.38.192/27</t>
  </si>
  <si>
    <t>IPv6: 赠送1段/64的ipv6地址，超出部分单独计费。</t>
  </si>
  <si>
    <t>需要注意最终是否需要支付202112费用。20210209开始计费，DLCM4F-J-16、DLCM4F-J-17、DLCM4F-J-18、DLCM4F-J-19、DLCM4F-J-20、DLCM4F-J-21、DLCM4F-J-22</t>
  </si>
  <si>
    <t>20211231退租，DLCM4F-J-16,DLCM4F-J-17,DLCM4F-J-18,DLCM4F-J-19,DLCM4F-J-20,DLCM4F-J-21,DLCM4F-J-22</t>
  </si>
  <si>
    <t>哈尔滨臻云科技有限公司</t>
  </si>
  <si>
    <t>臻云科技</t>
  </si>
  <si>
    <t>L20221025049</t>
  </si>
  <si>
    <t>哈尔滨</t>
  </si>
  <si>
    <t>哈尔滨4电信</t>
  </si>
  <si>
    <t>CACDNHEBCT</t>
  </si>
  <si>
    <t>20191105开始计费，免费768个，sys已核对使用288个（42.101.56.0/24;42.101.62.0/27）</t>
  </si>
  <si>
    <t>边缘计算42.101.93.128/25</t>
  </si>
  <si>
    <t>退租边缘计算。42.101.93.128/25</t>
  </si>
  <si>
    <t>IPv6：赠送/64，超出部分单独计费。</t>
  </si>
  <si>
    <t>边缘计算240E:908:8001:203::/64</t>
  </si>
  <si>
    <t>边缘计算240E:908:8001:204::/64</t>
  </si>
  <si>
    <t>20191105开始计费，合同约定每个万兆赠送1个，共赠送24个，目前使用5个HRBCT4F3-7B-B12,HRBCT4F3-7B-B13,HRBCT4F3-7B-B14,HRBCT4F3-7B-B15,HRBCT4F3-7B-B16</t>
  </si>
  <si>
    <t>2020年11月5日开始计费，HRBCT4F3-7B-B06、HRBCT4F3-7B-B07</t>
  </si>
  <si>
    <t>20210719关闭HRBCT4F3-7B-B07</t>
  </si>
  <si>
    <t>边缘计算，BECHRB4CTF3-7B-B07
BECHRB4CTF3-7B-B08</t>
  </si>
  <si>
    <t>边缘计算，BECHRB4CTF3-7B-B06</t>
  </si>
  <si>
    <t>BECHRB4CTF3-7B-B06
BECHRB4CTF3-7B-B07
BECHRB4CTF3-7B-B08
　</t>
  </si>
  <si>
    <t>杭州天舰信息技术股份有限公司</t>
  </si>
  <si>
    <t>杭州天舰</t>
  </si>
  <si>
    <t>182215IDC00558</t>
  </si>
  <si>
    <t>丽水</t>
  </si>
  <si>
    <t>丽水电信</t>
  </si>
  <si>
    <t>CACDNLSCT</t>
  </si>
  <si>
    <t>免费288个，sys已核对使用288个(115.238.242.0/24;61.164.248.192/27)</t>
  </si>
  <si>
    <t>赠送4个机架，LSCT1F-12-04
LSCT1F-12-03
LSCT1F-12-02
LSCT1F-12-01</t>
  </si>
  <si>
    <t>182215IDC00556</t>
  </si>
  <si>
    <t>台州电信</t>
  </si>
  <si>
    <t>CACDNTZCT</t>
  </si>
  <si>
    <t>免费288个，sys已核对使用288个(183.131.118.0/24;122.226.182.0/27)</t>
  </si>
  <si>
    <t>赠送4个机架，TZCT6F-12-04
TZCT6F-12-03
TZCT6F-12-02
TZCT6F-12-01</t>
  </si>
  <si>
    <t>182215IDC00306</t>
  </si>
  <si>
    <t>丽水3移动</t>
  </si>
  <si>
    <t>CACDNLSCM2</t>
  </si>
  <si>
    <t>20210401开始计费，免费288个，使用288个，183.245.148.0/24 183.245.144.192/27</t>
  </si>
  <si>
    <t>182215IDC00503</t>
  </si>
  <si>
    <t xml:space="preserve">20220621开始计费，边缘计算117.149.159.0/25 183.245.144.0/25 </t>
  </si>
  <si>
    <t>20221123退租后，整体看免费个数</t>
  </si>
  <si>
    <t>20220627开始计费，边缘计算112.15.46.128/25</t>
  </si>
  <si>
    <t>20221123退租128个（111.1.142.128/25），退租后整体收费减少128个</t>
  </si>
  <si>
    <t xml:space="preserve">	
IPv6免费</t>
  </si>
  <si>
    <t>20220621开始计费，边缘计算2409:8728:a2f1:1::/64</t>
  </si>
  <si>
    <t>20220627开始计费，边缘计算2409:8728:a2f1:3::/64</t>
  </si>
  <si>
    <t>20210401开始计费，LS3CM3F-8-2、LS3CM3F-8-3、LS3CM3F-8-1,LS3CM3F-8-4、LS3CM3F-8-5</t>
  </si>
  <si>
    <t>边缘计算，20220621开始计费，ECLS3CM-07-01
BECLS3CM-07-02
BECLS3CM-07-03
BECLS3CM-07-04
BECLS3CM-07-05
BECLS3CM-07-06
BECLS3CM-07-07</t>
  </si>
  <si>
    <t>边缘计算，20220627开始计费，BECLS3CM-07-08
BECLS3CM-07-09</t>
  </si>
  <si>
    <t>182215IDC00620</t>
  </si>
  <si>
    <t>边缘计算，20220926开始计费。BECLS3CM-08-06</t>
  </si>
  <si>
    <t>杭州优云科技有限公司</t>
  </si>
  <si>
    <t>杭州优云</t>
  </si>
  <si>
    <t>182215IDC00406</t>
  </si>
  <si>
    <t>湖州</t>
  </si>
  <si>
    <t>湖州电信</t>
  </si>
  <si>
    <t>CACDNHUZCT</t>
  </si>
  <si>
    <t>20200401开始计费免费320个，使用288个（183.131.185.0/24 183.131.187.0/27）</t>
  </si>
  <si>
    <t>IPv6：按需赠送。</t>
  </si>
  <si>
    <t>20200401开始计费，HUZCT4F4L-9-8,HUZCT4F4L-9-9,HUZCT4F4L-9-10，HUZCT4F4L-9-11</t>
  </si>
  <si>
    <t>182315IDC00049</t>
  </si>
  <si>
    <t>台州移动</t>
  </si>
  <si>
    <t>CACDNTZCM</t>
  </si>
  <si>
    <t>20200401开始计费，免费320个，使用288个（39.175.97.0/24 111.1.27.128/27）</t>
  </si>
  <si>
    <t xml:space="preserve">20200401开始计费，TZCMIP-5F501-L09, TZCMIP-5F501-L10, TZCMIP-5F501-L11, TZCMIP-5F501-L12,
TZCMIP-5F501-L13
</t>
  </si>
  <si>
    <t>杭州云之盟科技有限公司</t>
  </si>
  <si>
    <t>云之盟</t>
  </si>
  <si>
    <t>182215IDC00301</t>
  </si>
  <si>
    <t>绍兴2移动</t>
  </si>
  <si>
    <t>CACDNSHAOXCM2</t>
  </si>
  <si>
    <t>20200415开始计费，免费288个，使用288个（112.15.39.0/24，112.15.37.128/27）</t>
  </si>
  <si>
    <t>20221231退租。</t>
  </si>
  <si>
    <t>合同条款： IPV6：/64免费</t>
  </si>
  <si>
    <t>20200415开始计费，SHAOX4F401-A-03、SHAOX4F401-A-04、SHAOX4F401-A-05、SHAOX4F401-A-06</t>
  </si>
  <si>
    <t>20221231退租。，SHAOX4F401-A-03、SHAOX4F401-A-04、SHAOX4F401-A-05、SHAOX4F401-A-06</t>
  </si>
  <si>
    <t>天津</t>
  </si>
  <si>
    <t>182315IDC00052</t>
  </si>
  <si>
    <t>天津4联通</t>
  </si>
  <si>
    <t>CACDNTJUN</t>
  </si>
  <si>
    <t>20201103开始计费，免费288个，使用288个（220.194.65.0/24 111.161.118.0/27）</t>
  </si>
  <si>
    <t>赠送【 IPV6：/64】个免费IP地址，超出部分单独计费</t>
  </si>
  <si>
    <t>20201103开始计费，TJUN3F-3A1-1、TJUN3F-3A1-3、TJUN3F-3A1-2、TJUN3F-3A1-4</t>
  </si>
  <si>
    <t>20210101开始计费，TJUN3F-3A1-5、TJUN3F-3A1-6</t>
  </si>
  <si>
    <t>TJUN3F-3A1-7</t>
  </si>
  <si>
    <t>182215IDC00418</t>
  </si>
  <si>
    <t>宁波4移动</t>
  </si>
  <si>
    <t>CACDNNBCM2</t>
  </si>
  <si>
    <t>20210601开始计费，免费288个，使用256个（223.95.206.0/24）</t>
  </si>
  <si>
    <t xml:space="preserve"> IPV6：/64</t>
  </si>
  <si>
    <t>20210601开始计费，NB4CM1F-B-01
NB4CM1F-B-02
NB4CM1F-B-03
NB4CM1F-B-04</t>
  </si>
  <si>
    <t>182215IDC00652</t>
  </si>
  <si>
    <t>金华3电信</t>
  </si>
  <si>
    <t>CACDNJHCT3</t>
  </si>
  <si>
    <t>20221001开始计费。免费288个，使用288个，183.147.138.0/24 60.188.229.64/27</t>
  </si>
  <si>
    <t>20230321有128个CDN转出给BEC，183.147.138.128/25</t>
  </si>
  <si>
    <t>20230324有128个CDN转入给BEC，183.147.138.128/25</t>
  </si>
  <si>
    <t>20221001开始计费。JH3CT7F-04-02,JH3CT7F-04-03,JH3CT7F-04-04,JH3CT7F-04-05,JH3CT7F-04-06,JH3CT7F-04-07,JH3CT7F-04-08</t>
  </si>
  <si>
    <t>L20230323001</t>
  </si>
  <si>
    <t>7F04-N-BEC02
7F04-N-BEC03
7F04-N-BEC04
7F04-N-BEC05</t>
  </si>
  <si>
    <t>182315IDC00046</t>
  </si>
  <si>
    <t>舟山</t>
  </si>
  <si>
    <t>舟山2移动</t>
  </si>
  <si>
    <t>CACDNZHOUSCM</t>
  </si>
  <si>
    <t>20230101开始计费。免费288个，使用288个，39.175.178.0/24 39.175.179.192/27</t>
  </si>
  <si>
    <t>IPV6：免费赠送/64</t>
  </si>
  <si>
    <t>20230101开始计费。ZHOUS2CM4F-l-08，ZHOUS2CM4F-l-09,ZHOUS2CM4F-l-10,ZHOUS2CM4F-l-11,ZHOUS2CM4F-l-12,ZHOUS2CM4F-l-13,ZHOUS2CM4F-l-14</t>
  </si>
  <si>
    <t>湖南风云通达信息科技有限公司</t>
  </si>
  <si>
    <t>风云通达</t>
  </si>
  <si>
    <t>182215IDC00407</t>
  </si>
  <si>
    <t>长沙3电信</t>
  </si>
  <si>
    <t>CACDNCSCT2</t>
  </si>
  <si>
    <t>20200201开始计费，免费320个，使用288个（175.6.53.0/24 175.6.54.32/27），sys已核对使用288个</t>
  </si>
  <si>
    <t>20200201开始计费，合同免费320个，使用288个，sys已核对使用288个</t>
  </si>
  <si>
    <t>IPV6赠送一段/64位IPv6</t>
  </si>
  <si>
    <t>20200201开始计费，CS3CT2F-A-06,CS3CT2F-A-07,CS3CT2F-A-08</t>
  </si>
  <si>
    <t>182215IDC00552</t>
  </si>
  <si>
    <t>包头电信</t>
  </si>
  <si>
    <t>CACDNBAOTCT</t>
  </si>
  <si>
    <t>（1）BD反馈202007扣减2天费用；（2）20200702开始计费，使用288个（1.182.48.0/24 219.147.98.32/27)，免费288个</t>
  </si>
  <si>
    <t>合同条款：提供【::/64】个免费IPv6地址</t>
  </si>
  <si>
    <t>（1）BD反馈202007在7月2日计费的基础上再扣减2天费用；（2）20200702开始计费，BAOTCT3F312-A-05,BAOTCT3F312-A-06,BAOTCT3F312-A-07</t>
  </si>
  <si>
    <t>182115IDC00051</t>
  </si>
  <si>
    <t>吉首</t>
  </si>
  <si>
    <t>吉首移动</t>
  </si>
  <si>
    <t>CACDNJSCM</t>
  </si>
  <si>
    <t>20201203开始计费，免费288个，使用160个（120.226.156.0/25 120.226.156.128/27）</t>
  </si>
  <si>
    <t>20210831退租160个，120.226.156.0/25 120.226.156.128/27</t>
  </si>
  <si>
    <t>IPv6：免费提供/64个地址，超出部分单独计费。</t>
  </si>
  <si>
    <t>20201203开始计费，JSCM2F204-B-2、JSCM2F204-B-3、JSCM2F204-B-1</t>
  </si>
  <si>
    <t>20210831退租，JSCM2F204-B-2、JSCM2F204-B-3、JSCM2F204-B-1</t>
  </si>
  <si>
    <t>L20221025040</t>
  </si>
  <si>
    <t>长沙4移动</t>
  </si>
  <si>
    <t>CACDNCSCM</t>
  </si>
  <si>
    <t>20210207开始计费，使用288个，免费288个，120.226.29.0/24 120.226.189.192/27</t>
  </si>
  <si>
    <t>20220401开始不计费，20210801开始计费，边缘计算120.226.5.128/27</t>
  </si>
  <si>
    <t>（1）2022年2月1日起，乙方为甲方总计提供【832】个免费IP地址。 乙方为甲方总计提供【864】个IP地址（在用【864】个；其中CDN在用576个，免费576个；边缘计算在用288个，免费256个，计费32个），超出部分单独计费；（2）20210901开始计费，边缘计算：120.226.24.0/25</t>
  </si>
  <si>
    <t>长沙5移动</t>
  </si>
  <si>
    <t>20211001开始计费，边缘计算120.226.22.128/25</t>
  </si>
  <si>
    <t>长沙6移动</t>
  </si>
  <si>
    <t>20211201开始计费，使用288个，36.158.250.0/24 120.226.5.160/27</t>
  </si>
  <si>
    <t>长沙7移动</t>
  </si>
  <si>
    <t>20220201开始计费，使用288个，免费288个，120.226.35.0/24 120.226.22.0/27</t>
  </si>
  <si>
    <t>20230228退租。120.226.35.0/24 120.226.22.0/27</t>
  </si>
  <si>
    <t>长沙4移动&amp;长沙5移动&amp;长沙6移动&amp;长沙7移动</t>
  </si>
  <si>
    <t>IPv6：按需赠送</t>
  </si>
  <si>
    <t>20230301开始机柜单价变动。20211201开始机柜单价变动，20210207开始计费，CS4CM2F203-K-12、CS4CM2F203-K-13、CS4CM2F203-K-14、CS4CM2F203-K-15</t>
  </si>
  <si>
    <t>边缘计算，20211201开始机柜单价变动，20210801开始计费，BECCS4CM2F203-K-11</t>
  </si>
  <si>
    <t>边缘计算，20211201开始机柜单价变动，20210901开始计费，边缘计算BECCS4CM2F203-K-10</t>
  </si>
  <si>
    <t>边缘计算，20211201开始机柜单价变动，20211001开始计费，BECCS5CM2F203-K-08、
BECCS5CM2F203-K-09</t>
  </si>
  <si>
    <t>20211201开始机柜单价变动，20211102开始计费，CS4CM2F203-K-16、CS4CM2F203-K-17、CS4CM2F203-K-18</t>
  </si>
  <si>
    <t>20211201开始计费，CS6CM2F203-C-05、CS6CM2F203-C-04、CS6CM2F203-C-07、CS6CM2F203-C-06、CS6CM2F203-C-03</t>
  </si>
  <si>
    <t>20220201开始计费，CS6CM2F203-C-15,CS6CM2F203-C-16</t>
  </si>
  <si>
    <t>20220201开始计费，CS7CM2F203-B-15,CS7CM2F203-B-16,CS7CM2F203-B-17,CS7CM2F203-B-18,CS7CM2F203-B-19</t>
  </si>
  <si>
    <t>20230228退租。CS7CM2F203-B-15,CS7CM2F203-B-16,CS7CM2F203-B-17,CS7CM2F203-B-18,CS7CM2F203-B-19</t>
  </si>
  <si>
    <t>湖南省泛泰巨网信息技术有限公司</t>
  </si>
  <si>
    <t>泛泰巨网</t>
  </si>
  <si>
    <t>182215IDC00377</t>
  </si>
  <si>
    <t>衡阳电信</t>
  </si>
  <si>
    <t>CACDNHENGYCT</t>
  </si>
  <si>
    <t>2018/7/18
2019/9/1</t>
  </si>
  <si>
    <t>每个万兆提供36个IP，共936个免费，sys已核对使用288个(175.6.240.0/27;175.6.243.0/24)</t>
  </si>
  <si>
    <t>衡阳2电信</t>
  </si>
  <si>
    <t>20200601开始计费，使用160个免费(175.6.206.0/25 175.6.240.32/27)，共免费936个</t>
  </si>
  <si>
    <t>IPV6：免费提供/60</t>
  </si>
  <si>
    <t>HENGYCT5F-03-01、HENGYCT5F-03-02、HENGYCT5F-03-03、HENGYCT5F-03-04</t>
  </si>
  <si>
    <t>202206开始收费，HENGYCT5F-03-01、HENGYCT5F-03-02、HENGYCT5F-03-03、HENGYCT5F-03-04</t>
  </si>
  <si>
    <t>HENGYCT5F-03-05，HENGYCT5F-03-06，HENGYCT5F-03-07</t>
  </si>
  <si>
    <t>20200601开始计费，HENGY2CT-02-01,HENGY2CT-02-02</t>
  </si>
  <si>
    <t>吉林省高升科技有限公司</t>
  </si>
  <si>
    <t>高升科技</t>
  </si>
  <si>
    <t>182215IDC00545</t>
  </si>
  <si>
    <t>长春</t>
  </si>
  <si>
    <t>长春3联通</t>
  </si>
  <si>
    <t>CACDNCCUN</t>
  </si>
  <si>
    <t>20200122开始计费，IPv4：每个万兆端口赠送【32】个免费IP地址，合计赠送320个IP地址（其中在用288个），超出部分单独计费。sys已核对使用288个（122.143.8.0/24 122.143.3.64/27）</t>
  </si>
  <si>
    <t>20220721退租，128个122.143.8.128/25</t>
  </si>
  <si>
    <t>合同条款：IPV6：/56免费</t>
  </si>
  <si>
    <t>20200122开始计费，新合同约定免费5个，使用5个CC3UN4F-F-10、CC3UN4F-F-11、CC3UN4F-F-12、CC3UN4F-F-13、CC3UN4F-F-14</t>
  </si>
  <si>
    <t>20220721退租，CC3UN4F-F-12,CC3UN4F-F-13,CC3UN4F-F-14</t>
  </si>
  <si>
    <t>CC3UN4F-F-12</t>
  </si>
  <si>
    <t>吉林省优果网络传媒有限公司</t>
  </si>
  <si>
    <t>吉林优果</t>
  </si>
  <si>
    <t>182215IDC00546</t>
  </si>
  <si>
    <t>哈尔滨4移动</t>
  </si>
  <si>
    <t>CACDNHEBCM3</t>
  </si>
  <si>
    <t>20200801开始计费，使用288个（111.43.173.0/24 111.43.164.32/27）</t>
  </si>
  <si>
    <t xml:space="preserve">退租128个，111.43.173.128/25	 </t>
  </si>
  <si>
    <t>搬迁替换原IP</t>
  </si>
  <si>
    <t>搬迁替换新IP，218.203.90.0/25 218.203.90.128/27</t>
  </si>
  <si>
    <t>赠送/64个地址</t>
  </si>
  <si>
    <t>20200801开始计费，HRB4CMXFIDC-LS-1、HRB4CMXFIDC-LS-2、HRB4CMXFIDC-LS-3、HRB4CMXFIDC-LS-4</t>
  </si>
  <si>
    <t>搬迁替换原机柜HRB4CMXFIDC-LS-1、HRB4CMXFIDC-LS-2、HRB4CMXFIDC-LS-3、HRB4CMXFIDC-LS-4</t>
  </si>
  <si>
    <t>搬迁替换新机柜HRB4CMXFIDC401-L3-02,HRB4CMXFIDC401-L3-03,HRB4CMXFIDC401-L3-04,HRB4CMXFIDC401-L3-05</t>
  </si>
  <si>
    <t>182015IDC00326</t>
  </si>
  <si>
    <t>鞍山电信</t>
  </si>
  <si>
    <t>CACDNANSHANCT</t>
  </si>
  <si>
    <t>20201001开始计费，使用160个（42.202.34.0/25 42.202.34.128/27）</t>
  </si>
  <si>
    <t>20201001开始计费，ANSHANCT2FIDC-A-S1、ANSHANCT2FIDC-A-S2、ANSHANCT2FIDC-A-S3</t>
  </si>
  <si>
    <t>20210630退租ANSHANCT2FIDC-A-S1、ANSHANCT2FIDC-A-S2 、ANSHANCT2FIDC-A-S3</t>
  </si>
  <si>
    <t>182215IDC00370</t>
  </si>
  <si>
    <t>沈阳</t>
  </si>
  <si>
    <t>沈阳3电信</t>
  </si>
  <si>
    <t>CACDNSYCT</t>
  </si>
  <si>
    <t>20210601开始计费，使用160个（59.44.25.0/25 59.44.25.128/27）</t>
  </si>
  <si>
    <t>IPv6：赠送/64个地址。</t>
  </si>
  <si>
    <t>20210601开始计费，SY3CT1F-H-07、SY3CT1F-H-09、SY3CT1F-H-08</t>
  </si>
  <si>
    <t>182215IDC00554</t>
  </si>
  <si>
    <t>天津4移动</t>
  </si>
  <si>
    <t>CACDNTJCM2</t>
  </si>
  <si>
    <t>20210610开始计费，使用288个（111.31.84.0/24 111.31.85.0/27）</t>
  </si>
  <si>
    <t>20220810退租，退租111.31.84.128/25</t>
  </si>
  <si>
    <t>IPV6：赠送/64个地址。</t>
  </si>
  <si>
    <t>20210601开始计费，TJ4CM203-F-01，TJ4CM203-F-02，TJ4CM203-F-03，TJ4CM203-F-04，TJ4CM203-F-05</t>
  </si>
  <si>
    <t>20220810退租，TJ4CM203-F-03,TJ4CM203-F-05,TJ4CM203-F-04</t>
  </si>
  <si>
    <t>江苏恒杰网络科技有限公司</t>
  </si>
  <si>
    <t>江苏恒杰</t>
  </si>
  <si>
    <t>182315IDC00006</t>
  </si>
  <si>
    <t>厦门</t>
  </si>
  <si>
    <t>厦门3电信</t>
  </si>
  <si>
    <t>CACDNXMCT2</t>
  </si>
  <si>
    <t>20210201开始计费，使用288个，免费288个，110.80.30.0/24 61.131.65.64/27（替换成27.148.186.0/24 110.80.138.224/27）；20220630退租后收费320个，免费224个</t>
  </si>
  <si>
    <t>20210201开始计费，使用288个，免费288个，110.80.30.0/24 61.131.65.64/27；20220630退租后收费320个，免费224个</t>
  </si>
  <si>
    <t>20211211开始计费，边缘计算：收费240个，免费16个27.148.187.0/24（替换成27.148.187.0/25,27.148.187.128/25）；20220630退租后收费320个，免费224个</t>
  </si>
  <si>
    <t xml:space="preserve">	
IPV6：提供/64、/63个免费地址，超出部分单独计费。</t>
  </si>
  <si>
    <t>需要注意20210706开始重新计费；20210201开始计费，XM3CT4F-D02/IDF3-1,XM3CT4F-D02/IDF3-2,XM3CT4F-D02/IDF3-3,XM3CT4F-D02/IDF3-4</t>
  </si>
  <si>
    <t>需要注意20210706开始重新计费；20210501开始计费，XM3CT4F-D02/IDF3-5、XM3CT4F-D02/IDF3-6</t>
  </si>
  <si>
    <t>20211218开始计费，XM3CT4F-D02/IDF3-7、XM3CT4F-D02/IDF3-8、</t>
  </si>
  <si>
    <t>边缘计算，20211211开始计费，BECXM3CT-D02/IDF3-9   BECXM3CT-D02/IDF3-10</t>
  </si>
  <si>
    <t>20220630退租，XM3CT4F-D02/IDF3-7,XM3CT4F-D02/IDF3-8</t>
  </si>
  <si>
    <t>182315IDC00096</t>
  </si>
  <si>
    <t>郑州</t>
  </si>
  <si>
    <t>郑州6电信</t>
  </si>
  <si>
    <t>CACDNZZCT</t>
  </si>
  <si>
    <t>20211101开始计费，使用288个，免费160个，收费128个。36.99.50.0/24 36.99.51.0/27</t>
  </si>
  <si>
    <t>退租128个，36.99.50.128/25。剩余36.99.50.0/25 36.99.51.0/27</t>
  </si>
  <si>
    <t>IPV6：提供/64个免费地址</t>
  </si>
  <si>
    <t>20211101开始计费，ZZ6CT3F-9-1，ZZ6CT3F-9-2，ZZ6CT3F-9-3</t>
  </si>
  <si>
    <t>ZZ6CT3F-9-15,ZZ6CT3F-9-16</t>
  </si>
  <si>
    <t>182215IDC00300</t>
  </si>
  <si>
    <t>芜湖</t>
  </si>
  <si>
    <t>芜湖联通</t>
  </si>
  <si>
    <t>CACDNWUHUN</t>
  </si>
  <si>
    <t>需要注意资源变动。（1）20211001开始计费，免费160个，使用288个，58.243.203.0/24 36.35.36.128/27；（2）20220201开始，免费256个，收费32个</t>
  </si>
  <si>
    <t>（1）20211001开始计费，免费160个，使用288个，58.243.203.0/24 36.35.36.128/27；（2）20220201开始，免费256个，收费32个</t>
  </si>
  <si>
    <t>退租128个，58.243.203.128/25</t>
  </si>
  <si>
    <t>20211001开始计费，WUHUN3F301-B-16、WUHUN3F301-B-17</t>
  </si>
  <si>
    <t>江苏云工场信息技术有限公司</t>
  </si>
  <si>
    <t>江苏云工场</t>
  </si>
  <si>
    <t>182215IDC00576</t>
  </si>
  <si>
    <t>青岛</t>
  </si>
  <si>
    <t>青岛移动2</t>
  </si>
  <si>
    <t>CACDNQDCM</t>
  </si>
  <si>
    <t>免费288个，已与sys核对使用288(120.221.77.0/24 120.220.222.0/27)</t>
  </si>
  <si>
    <t>CACDNQDCM2</t>
  </si>
  <si>
    <t>边缘新增128个，120.222.230.0/25。SYS核实非CDN挪的。属于新增</t>
  </si>
  <si>
    <t>边缘计算退租，120.222.230.0/25</t>
  </si>
  <si>
    <t xml:space="preserve">QDCM4F-08S-01
QDCM4F-08S-02
QDCM4F-08S-03
QDCM4F-08S-04
QDCM4F-08S-05替换为QDCMCACHE-08S-10
QDCMCACHE-08S-11
QDCMCACHE-08S-12
QDCMCACHE-08S-06
QDCMCACHE-08S-09
</t>
  </si>
  <si>
    <t>青岛扩容200G对应的机柜QDCM4F-07S-08、QDCM4F-07S-09替换为QDCM-11S-13 QDCM-11S-12</t>
  </si>
  <si>
    <t>边缘计算，20211020开始计费，BECQDCM304-11S-06</t>
  </si>
  <si>
    <t>边缘计算，BECQDCM304-11S-06</t>
  </si>
  <si>
    <t>182215IDC00541</t>
  </si>
  <si>
    <t>CACDNJNCM</t>
  </si>
  <si>
    <t>免费832个，已于sys核对使用832个(120.223.254.0/24、120.223.255.0/24、120.221.157.160/27、120.221.162.0/24、120.221.153.192/27)</t>
  </si>
  <si>
    <t>济南6移动</t>
  </si>
  <si>
    <t>20201031济南6移动退租288个(120.221.162.0/24 120.221.153.192/27)</t>
  </si>
  <si>
    <t>IPV6：免费提供</t>
  </si>
  <si>
    <t>济南2移动二级</t>
  </si>
  <si>
    <t xml:space="preserve">JN5CM502-7-W08
JN5CM502-7-W07
JN5CM502-7-W06
JN5CM502-7-W05
JN5CM502-7-W04
JN5CM502-7-W03
JN5CM502-7-W02
JN5CM502-7-W01
JN5CM502-7-W09
</t>
  </si>
  <si>
    <t>182015IDC00367</t>
  </si>
  <si>
    <t xml:space="preserve">202010不计费，JN6CM502-W-16
JN6CM502-W-15
JN6CM502-W-14
JN6CM502-W-13
JN6CM502-W-12
JN6CM502-W-11
</t>
  </si>
  <si>
    <t>20201031退租，JN6CM502-W-16、JN6CM502-W-15、JN6CM502-W-14、JN6CM502-W-12、JN6CM502-W-11、JN6CM502-W-13</t>
  </si>
  <si>
    <t>青岛三线</t>
  </si>
  <si>
    <t>存量256+20200315新增32个，免费288</t>
  </si>
  <si>
    <t>存量256+20200315新增32个(120.221.78.96/27)，免费288，CDN使用</t>
  </si>
  <si>
    <t>20200704新增32个(120.221.20.160/27)，CDN使用</t>
  </si>
  <si>
    <t>合同条款：IPV6:【2的64个次方】个IPV6地址免费</t>
  </si>
  <si>
    <t>高防&amp;CDN IP</t>
  </si>
  <si>
    <t>青岛高防</t>
  </si>
  <si>
    <t>青岛高防（青岛万年泉移动）</t>
  </si>
  <si>
    <t>QDWNQ</t>
  </si>
  <si>
    <t>注意青岛移动高防业务中IP地址代播返费用6000元/月，将直接从青岛移动外拉项目中通过对账直接扣除，生效日期2019年7月1日</t>
  </si>
  <si>
    <t>高防-IP</t>
  </si>
  <si>
    <t>20200331退4个C，4*256</t>
  </si>
  <si>
    <t xml:space="preserve">20210228高防退租512个，剩余512个为CDN使用。120.222.212.0/24：CDN继续使用;2021年3月1日开始不计费
120.222.213.0/24：高防退租
120.222.214.0/24：高防退租
120.222.215.0/24：CDN继续使用
</t>
  </si>
  <si>
    <t xml:space="preserve">QDWNQ4F-06S-05
QDWNQ4F-06S-10
QDWNQ4F-06S-04
QDWNQ4F-06S-09
QDWNQ4F-06S-03
QDWNQ4F-06S-08
QDWNQ4F-06S-02
QDWNQ4F-06S-07
QDWNQ4F-06S-01
QDWNQ4F-06S-06
</t>
  </si>
  <si>
    <t xml:space="preserve">20210228退租，QDWNQ4F-06S-05
QDWNQ4F-06S-10
QDWNQ4F-06S-04
QDWNQ4F-06S-09
QDWNQ4F-06S-03
QDWNQ4F-06S-08
QDWNQ4F-06S-02
QDWNQ4F-06S-07
QDWNQ4F-06S-01
QDWNQ4F-06S-06
</t>
  </si>
  <si>
    <t>周睿已确认QDWNQ4F-08S-06
QDWNQ4F-08S-09
QDWNQ4F-08S-10
QDWNQ4F-08S-11
QDWNQ4F-08S-12
转为CDN（QDCMCACHE-08S-12
QDCMCACHE-08S-11
QDCMCACHE-08S-10
QDCMCACHE-08S-09
QDCMCACHE-08S-06）</t>
  </si>
  <si>
    <t>182215IDC00564</t>
  </si>
  <si>
    <t>青岛滨海</t>
  </si>
  <si>
    <t>20191104开始计费,120.220.216.0/24
120.220.217.0/24</t>
  </si>
  <si>
    <t>182015IDC00367
182115IDC00044</t>
  </si>
  <si>
    <t>注意青岛移动高防业务中IP地址代播返费用6000元/月</t>
  </si>
  <si>
    <t>202101此费用取消；</t>
  </si>
  <si>
    <t>青岛外拉传输</t>
  </si>
  <si>
    <t>青岛3移动</t>
  </si>
  <si>
    <t>20200122开始计费，已与sys核对使用288（120.222.200.64/27;120.220.214.0/24)，免费288</t>
  </si>
  <si>
    <t>20221231BEC退租。120.220.214.0/24,
120.220.211.64/27，</t>
  </si>
  <si>
    <t>青岛6移动</t>
  </si>
  <si>
    <t>20211001开始计费，免费256个，使用256个，120.222.229.0/24</t>
  </si>
  <si>
    <t>20230111CDN退租。120.222.229.128/25</t>
  </si>
  <si>
    <t>青岛3移动&amp;青岛6移动</t>
  </si>
  <si>
    <t>20200122开始计费，QD3CM4F-8N-00、QD3CM4F-8N-01、QD3CM4F-8N-02、QD3CM4F-8N-08、QD3CM4F-8N-09、QD3CM4F-9N-05</t>
  </si>
  <si>
    <t xml:space="preserve">20221231BEC退租，QD3CM4F-8N-01
QD3CM4F-8N-02
</t>
  </si>
  <si>
    <t>QD3CM4F-8N-08
QD3CM4F-8N-09
QD3CM4F-8N-00
QD3CM4F-9N-05剩余机柜更换为QD3CM-11S-14,QD3CM-11S-17,QD3CM-11S-18,QD3CM-11S-19</t>
  </si>
  <si>
    <t>QD3CM-11S-14,QD3CM-11S-17,QD3CM-11S-18,QD3CM-11S-19</t>
  </si>
  <si>
    <t>182215IDC00542</t>
  </si>
  <si>
    <t>呼和浩特5移动</t>
  </si>
  <si>
    <t>CACDNHHHTCM</t>
  </si>
  <si>
    <t>20200101开始计费，赠送352个，已与sys核对使用288个（117.161.124.0/27;117.161.123.0/24）更换为117.161.160.0/24,117.161.43.96/27</t>
  </si>
  <si>
    <t>20191213开始计费，HHHT5CMB03-18D-01,HHHT5CMB03-18D-02,HHHT5CMB03-18D-03,HHHT5CMB03-18D-04</t>
  </si>
  <si>
    <t>20200501开始计费，HHHT5CMB03-18D-05、HHHT5CMB03-18D-06</t>
  </si>
  <si>
    <t>182115IDC00062</t>
  </si>
  <si>
    <t>太原</t>
  </si>
  <si>
    <t>太原6移动</t>
  </si>
  <si>
    <t>CACDNTYCM</t>
  </si>
  <si>
    <t>20210331退租，20200122开始计费，已与sys核对使用288个（183.201.195.0/24;183.201.231.32/27），免费416个</t>
  </si>
  <si>
    <t>20200122开始计费，TY6CM4F-K-09,TY6CM4F-K-10,TY6CM4F-K-12,TY6CM4F-K-13,TY6CM4F-L-20</t>
  </si>
  <si>
    <t>20210101开始计费，TY6CM4F-L-17</t>
  </si>
  <si>
    <t>20210331退租，TY6CM4F-K-09、TY6CM4F-K-13、TY6CM4F-K-12、TY6CM4F-K-10、TY6CM4F-L-17、TY6CM4F-L-20</t>
  </si>
  <si>
    <t>182115IDC00233</t>
  </si>
  <si>
    <t>南宁4移动</t>
  </si>
  <si>
    <t>CACDNNNCM</t>
  </si>
  <si>
    <t>20200501开始计费，使用288个，(36.159.89.0/24 36.159.123.128/27)，免费288个</t>
  </si>
  <si>
    <t>20210930退租288个36.159.89.0/24 36.159.123.128/27</t>
  </si>
  <si>
    <t>南宁5移动</t>
  </si>
  <si>
    <t>20210401开始计费，使用288个，36.136.126.0/24 36.159.123.192/27,免费288个</t>
  </si>
  <si>
    <t>20210930退租288个36.136.126.0/24 36.159.123.192/27</t>
  </si>
  <si>
    <t>合同条款：IPV6:乙方为甲方总计提供【2^65 】个IPV6地址，全部免费，超出部分单独计费。</t>
  </si>
  <si>
    <t>20200501开始计费，NN4CM9F02-U-04,NN4CM9F02-U-07,NN4CM9F02-U-08,NN4CM9F02-U-09</t>
  </si>
  <si>
    <t>20210101开始计费，NN4CM9F02-V-10、NN4CM9F02-V-11</t>
  </si>
  <si>
    <t>20210930退租，NN4CM9F02-U-08、NN4CM9F02-U-09、NN4CM9F02-U-04、NN4CM9F02-U-07、NN4CM9F02-V-10、NN4CM9F02-V-11</t>
  </si>
  <si>
    <t>20210401开始计费，NN5CM9F02-W-01、NN5CM9F02-W-02、NN5CM9F02-W-03、NN5CM9F02-T-01、NN5CM9F02-T-02</t>
  </si>
  <si>
    <t>20210930退租，NN5CM9F02-W-01、NN5CM9F02-W-02、NN5CM9F02-W-03、NN5CM9F02-T-01、NN5CM9F02-T-02</t>
  </si>
  <si>
    <t>青岛-济南</t>
  </si>
  <si>
    <t>20G</t>
  </si>
  <si>
    <t>20201231此资源退租</t>
  </si>
  <si>
    <t>182215IDC00646</t>
  </si>
  <si>
    <t>青岛5移动</t>
  </si>
  <si>
    <t>20210201开始计费，使用288个，免费320个，120.222.217.0/24 120.220.211.0/27.IPv4：每个万兆端口赠送【16】个免费IP地址，乙方为甲方总计提供【320】个IP地址（目前已开通使用288个IP），超出部分单独计费。</t>
  </si>
  <si>
    <t>合同条款：IPv6：3个/64个免费地址，超出部分单独计费。</t>
  </si>
  <si>
    <t>20210201开始计费，QD5CM3F-04S-11、QD5CM3F-04S-12、QD5CM3F-04S-13</t>
  </si>
  <si>
    <t>20210803开始计费，QD5CM3F304-09S-14</t>
  </si>
  <si>
    <t>QD5CM3F304-09S-14（机柜调整编码为QD5CM304-09S-11
QD5CM304-09S-12
QD5CM304-09S-13）</t>
  </si>
  <si>
    <t>182315IDC00062</t>
  </si>
  <si>
    <t>济南7移动</t>
  </si>
  <si>
    <t>CACDNJNCM2</t>
  </si>
  <si>
    <t>20210105开始计费，使用288个(120.221.162.0/24 120.221.153.192/27)，免费320个</t>
  </si>
  <si>
    <t>济南8移动</t>
  </si>
  <si>
    <t>20210401开始计费，使用288个，120.221.184.0/24 120.220.194.224/27，免费320个</t>
  </si>
  <si>
    <t>济南7移动&amp;济南8移动</t>
  </si>
  <si>
    <t>IPv6：赠送3*/64位，超出部分单独计费。</t>
  </si>
  <si>
    <t>20210105开始计费，JN7CMA15F502-W-12、JN7CMA15F502-W-10、JN7CMA15F502-W-11、JN7CMA15F502-W-13</t>
  </si>
  <si>
    <t>20210401开始计费，JN8CM502-7W-16、JN8CM502-7W-17、JN8CM502-7W-14、JN8CM502-7W-15</t>
  </si>
  <si>
    <t>JN7CMA15F502-W-19</t>
  </si>
  <si>
    <t>182215IDC00312</t>
  </si>
  <si>
    <t>徐州</t>
  </si>
  <si>
    <t>徐州移动</t>
  </si>
  <si>
    <t>CACDNXZCM</t>
  </si>
  <si>
    <t>20210601开始计费，使用288个（223.113.140.0/24 223.113.52.192/27），赠送256个</t>
  </si>
  <si>
    <t>20210601开始计费，使用288个（223.113.140.0/24 223.113.52.192/27），赠送288个</t>
  </si>
  <si>
    <t>退租128个，223.113.140.128/25</t>
  </si>
  <si>
    <t>IPv6：赠送2个/64位，超出部分单独计费。</t>
  </si>
  <si>
    <t>20210601开始计费，XZCM2F201-E-02、XZCM2F201-E-03、XZCM2F201-E-04、XZCM2F201-E-05、XZCM2F201-E-06、XZCM2F201-E-07</t>
  </si>
  <si>
    <t>182315IDC00047</t>
  </si>
  <si>
    <t>潍坊2移动</t>
  </si>
  <si>
    <t>CACDNWFCM2</t>
  </si>
  <si>
    <t>20220130开始计费，使用288个，免费320个，120.220.245.0/24 120.220.249.192/27</t>
  </si>
  <si>
    <t>IPv6：赠送2^64 个IPV6</t>
  </si>
  <si>
    <t>20220130开始计费，WF2CM8F801-05A-07、WF2CM8F801-05A-09、WF2CM8F801-05A-10、WF2CM8F801-05A-13</t>
  </si>
  <si>
    <t>182315IDC00056</t>
  </si>
  <si>
    <t>济南9移动</t>
  </si>
  <si>
    <t>CACDNJNCM3</t>
  </si>
  <si>
    <t>20220130开始计费，使用288个，免费320个，120.220.148.0/24 120.220.194.64/27</t>
  </si>
  <si>
    <t>20220130开始计费，JN9CM502-08-W15,JN9CM502-08-W16,JN9CM502-07-W18</t>
  </si>
  <si>
    <t>182215IDC00419</t>
  </si>
  <si>
    <t>潍坊联通&amp;潍坊2联通</t>
  </si>
  <si>
    <t>CACDNWFUN</t>
  </si>
  <si>
    <t>20220201开始计费，使用288个（WFUN 119.176.24.0/24 61.162.206.0/27），免费480个，2022年9月1日拆分wf2un后使用256个，119.176.25.0/24</t>
  </si>
  <si>
    <t>潍坊联通</t>
  </si>
  <si>
    <t>20220201开始计费，WFUN：WFUN5FN-H-05,WFUN5FN-H-04,WFUN5FN-H-09,WF2UN：WFUN5FN-H-08，WFUN5FN-H-06</t>
  </si>
  <si>
    <t>20220430退租，WFUN5FN-H-09</t>
  </si>
  <si>
    <t>182215IDC00651</t>
  </si>
  <si>
    <t>威海</t>
  </si>
  <si>
    <t>威海移动</t>
  </si>
  <si>
    <t>CACDNWEIHCM</t>
  </si>
  <si>
    <t>20221001开始计费。免费288个，使用288个，120.220.230.0/24 120.220.128.0/27</t>
  </si>
  <si>
    <t>20221001开始计费。WEIHCM501-3N-01,WEIHCM501-3N-02,WEIHCM501-3N-03</t>
  </si>
  <si>
    <t>南通云数网络科技有限公司</t>
  </si>
  <si>
    <t>南通云数</t>
  </si>
  <si>
    <t>182315IDC00054</t>
  </si>
  <si>
    <t>常州移动2</t>
  </si>
  <si>
    <t>CACDNCZCM</t>
  </si>
  <si>
    <t>免费288个，sys已核对使用288个(36.153.7.0/24;223.112.203.64/27)</t>
  </si>
  <si>
    <t>IPV6：共赠送/64</t>
  </si>
  <si>
    <t>CZCM4F-C-07
CZCM4F-C-06
CZCM4F-C-10
CZCM4F-C-09
CZCM4F-C-08</t>
  </si>
  <si>
    <t>182215IDC00163</t>
  </si>
  <si>
    <t>扬州2电信</t>
  </si>
  <si>
    <t>CACDNYANGZCT2</t>
  </si>
  <si>
    <t>20220120转为边缘计算。20210501开始计费，使用288个（114.230.138.0/24 61.147.119.96/27），免费64个</t>
  </si>
  <si>
    <t>20220630退租</t>
  </si>
  <si>
    <t>20220120转为边缘计算。IPV6：赠送/64，超出部分单独计费。240e:978:912:100::/64</t>
  </si>
  <si>
    <t>20220630退租。IPV6：赠送/64，超出部分单独计费。240e:978:912:100::/64</t>
  </si>
  <si>
    <t>20220120转为边缘计算。20210501开始计费，YANGZ2CT2D2F-G-3、YANGZ2CT2D2F-G-2、YANGZ2CT2D2F-G-1</t>
  </si>
  <si>
    <t>20220630退租，YANGZ2CT2D2F-G-3,
YANGZ2CT2D2F-G-2,
YANGZ2CT2D2F-G-1</t>
  </si>
  <si>
    <t>182315IDC00051</t>
  </si>
  <si>
    <t>无锡4移动</t>
  </si>
  <si>
    <t>CACDNWXCM</t>
  </si>
  <si>
    <t>每个机柜赠送【16】个免费IP地址，乙方为甲方总计提供【160】个IP地址; 2023年1月1日-2023年1月5日使用3个机柜，免费48个；每个机柜赠送【16】个免费IP地址，乙方为甲方总计提供【160】个IP地址 2023年1月6日开始使用4个机柜，免费64个IP。需要注意20220101开始由江阴普尔变更为南通云数，20200706开始计费，20210101开始免费48个，使用288个(36.150.56.0/24 36.150.55.0/27)</t>
  </si>
  <si>
    <t>需要注意20220101开始由江阴普尔变更为南通云数，20200706开始计费，20210101开始免费48个，使用288个</t>
  </si>
  <si>
    <t>退租128个，223.112.144.128/25</t>
  </si>
  <si>
    <t>需要注意20220101开始由江阴普尔变更为南通云数，合同条款：IPv6：共赠送/56</t>
  </si>
  <si>
    <t>需要注意20220101开始由江阴普尔变更为南通云数，20200706开始计费，WX4CMIDC2-3A-I02、WX4CMIDC2-3A-I01</t>
  </si>
  <si>
    <t>需要注意20220101开始由江阴普尔变更为南通云数，20210101开始计费，WX4CMIDC2-3A-F08</t>
  </si>
  <si>
    <t>WX4CMIDC2-3A-H04</t>
  </si>
  <si>
    <t>182215IDC00548</t>
  </si>
  <si>
    <t>中山4移动</t>
  </si>
  <si>
    <t>CACDNZSCM4</t>
  </si>
  <si>
    <t>20220101开始计费，免费128个，使用288个，120.232.244.0/24 120.232.245.0/27；其中2022018，原IP为120.232.245.0/27替换为183.232.148.224/27</t>
  </si>
  <si>
    <t>退租288个，120.232.244.0/24 183.232.148.224/27</t>
  </si>
  <si>
    <t>ipv6赠送/64个。</t>
  </si>
  <si>
    <t>20220101开始计费，ZS4CM2FIDC01-AD-04、ZS4CM2FIDC01-AD-05、ZS4CM2FIDC01-AD-06、ZS4CM2FIDC01-AD-07、ZS4CM2FIDC01-AD-08</t>
  </si>
  <si>
    <t>ZS4CM2FIDC01-AC-11</t>
  </si>
  <si>
    <t>退租，ZS4CM2FIDC01-AD-08,ZS4CM2FIDC01-AD-07,ZS4CM2FIDC01-AD-06,ZS4CM2FIDC01-AD-05,ZS4CM2FIDC01-AD-04,ZS4CM2FIDC01-AC-11</t>
  </si>
  <si>
    <t>青岛燚汇信达通讯科技有限公司</t>
  </si>
  <si>
    <t>燚汇信达</t>
  </si>
  <si>
    <t>182215IDC00420</t>
  </si>
  <si>
    <t>青岛5电信</t>
  </si>
  <si>
    <t>CACDNQDCT</t>
  </si>
  <si>
    <t>20200908开始计费，使用288个，免费288个，（150.138.188.0/24 150.138.189.0/27）</t>
  </si>
  <si>
    <t>20220726退租。150.138.188.128/25</t>
  </si>
  <si>
    <t>青岛6电信</t>
  </si>
  <si>
    <t>20210802开始计费，使用288个，免费288个，150.138.110.0/24 150.138.111.0/27</t>
  </si>
  <si>
    <t>IPv6按需免费提供</t>
  </si>
  <si>
    <t>20200908开始计费，QD5CTE2-2FB06-02、QD5CTE2-2FB06-03、QD5CTE2-2FB06-04、QD5CTE2-2FB06-05、QD5CTE2-2FB06-06</t>
  </si>
  <si>
    <t>20210801开始计费，QD5CTE2-2FA06-16</t>
  </si>
  <si>
    <t>20210802开始计费，QD6CTE2-1FA01-02、QD6CTE2-1FA01-03、QD6CTE2-1FA01-04、QD6CTE2-1FA01-05</t>
  </si>
  <si>
    <t>20220123开始计费，QD6CTE2-1FA02-11</t>
  </si>
  <si>
    <t>20220726退租。QD5CTE2-2FA06-16
QD5CTE2-2FB06-05
QD5CTE2-2FB06-06</t>
  </si>
  <si>
    <t>182215IDC00553</t>
  </si>
  <si>
    <t>烟台</t>
  </si>
  <si>
    <t>烟台电信</t>
  </si>
  <si>
    <t>CACDNYTCT</t>
  </si>
  <si>
    <t>20211001开始计费，免费320个，使用288个，150.138.45.0/24 150.138.38.96/27</t>
  </si>
  <si>
    <t>免费提供/64位IPV6地址一组</t>
  </si>
  <si>
    <t>20211001开始计费，YTCT4F-A1-02,YTCT4F-A1-03,YTCT4F-A1-04</t>
  </si>
  <si>
    <t>182315IDC00058</t>
  </si>
  <si>
    <t>CACDNQDUN</t>
  </si>
  <si>
    <t>20230101开始计费。免费480个，使用288个，119.167.254.0/24 27.221.56.64/27</t>
  </si>
  <si>
    <t>20230101开始计费。QD8UN2F-H-01,QD8UN2F-H-02</t>
  </si>
  <si>
    <t>20230101开始计费。免费480个，使用160个，119.167.224.0/25 119.167.138.192/27</t>
  </si>
  <si>
    <t>20230101开始计费。QD9UN2F-H-03,QD9UN2F-H-04</t>
  </si>
  <si>
    <t>山西卡伏科技有限公司</t>
  </si>
  <si>
    <t>山西卡伏</t>
  </si>
  <si>
    <t>182315IDC00055</t>
  </si>
  <si>
    <t>太原8移动</t>
  </si>
  <si>
    <t>CACDNTYCM3</t>
  </si>
  <si>
    <t>20210101开始计费，使用160个，免费176个。183.201.226.0/25 183.201.226.128/27</t>
  </si>
  <si>
    <t xml:space="preserve">20210401开始计费，使用128个，免费368个，183.201.226.0/24 183.201.227.128/27 </t>
  </si>
  <si>
    <t>20210101开始计费，TY8CM4F401-H-17、TY8CM4F401-H-18</t>
  </si>
  <si>
    <t>20210401开始计费，TY8CM4F401-H-20、TY8CM4F401-H-21、TY8CM4F401-H-19</t>
  </si>
  <si>
    <t>TY8CM4F401-H-10</t>
  </si>
  <si>
    <t>L20221025050</t>
  </si>
  <si>
    <t>太原9移动</t>
  </si>
  <si>
    <t>20220305开始计费，免费256个，使用256个，183.201.100.0/24</t>
  </si>
  <si>
    <t>20220305开始计费，TY9CM4F401-I-07,TY9CM4F401-I-06,TY9CM4F401-I-05</t>
  </si>
  <si>
    <t>上海云瑞智通实业有限公司</t>
  </si>
  <si>
    <t>云瑞智通</t>
  </si>
  <si>
    <t>182215IDC00016</t>
  </si>
  <si>
    <t>沈阳4移动</t>
  </si>
  <si>
    <t>CACDNSYCM</t>
  </si>
  <si>
    <t>20211231退租，20201204开始计费，使用288个，免费320个，（120.201.51.0/24 120.201.52.0/27）</t>
  </si>
  <si>
    <t>边缘计算使用128个，36.131.107.128/25</t>
  </si>
  <si>
    <t>20211231退租，36.131.107.128/25</t>
  </si>
  <si>
    <t xml:space="preserve">IPv6免费。 </t>
  </si>
  <si>
    <t>20201204开始计费，SYCM5F-D-01、SYCM5F-D-02、SYCM5F-D-03、SYCM5F-D-04、SYCM5F-D-05、SYCM5F-D-06</t>
  </si>
  <si>
    <t>转移给边缘：SYCM5F-D-05、SYCM5F-D-06</t>
  </si>
  <si>
    <t>边缘计算，BECSYCM5F-D-05BECSYCM5F-D-06</t>
  </si>
  <si>
    <t>20211231退租，SYCM5F-D-01、SYCM5F-D-02、SYCM5F-D-03、SYCM5F-D-04</t>
  </si>
  <si>
    <t>边缘计算，20211231退租，BECSYCM5F-D-05 、BECSYCM5F-D-06</t>
  </si>
  <si>
    <t>沈阳5移动</t>
  </si>
  <si>
    <t>20211001开始计费，免费256个，使用256个，36.131.108.0/24</t>
  </si>
  <si>
    <t>20220131退租，36.131.108.0/24</t>
  </si>
  <si>
    <t>20211001开始计费，SYCM2F-B-07、SYCM2F-B-08、SYCM2F-B-09、SYCM2F-L-04</t>
  </si>
  <si>
    <t>20220131退租，SYCM2F-B-07,SYCM2F-B-08,SYCM2F-B-09,SYCM2F-L-04</t>
  </si>
  <si>
    <t>L20221025047</t>
  </si>
  <si>
    <t>南通</t>
  </si>
  <si>
    <t>南通电信</t>
  </si>
  <si>
    <t>CACDNNTCT</t>
  </si>
  <si>
    <t>20210201开始计费，使用288个，IPv4：乙方为甲方总计提供【288】个IP地址（其中免费64个，计费224个），超出部分单独计费；49.79.225.0/24 49.79.226.0/27</t>
  </si>
  <si>
    <t>20210201开始计费，使用288个，免费224个，49.79.225.0/24 49.79.226.0/27</t>
  </si>
  <si>
    <t>20221114退租128个，49.79.225.128/25</t>
  </si>
  <si>
    <t>IPv6：乙方赠送/64个IPv6地址，超出部分单独计费。</t>
  </si>
  <si>
    <t>20210201开始计费，NTCT5F501-A-2、NTCT5F501-A-3、NTCT5F501-A-4</t>
  </si>
  <si>
    <t>182315IDC00048</t>
  </si>
  <si>
    <t>南通2电信</t>
  </si>
  <si>
    <t>CACDNNTCT2</t>
  </si>
  <si>
    <t>按照机柜赠送IP。20210201开始计费，使用288个，IPv4：每个机柜赠送【16】个免费IP地址，乙方为甲方总计提供【288】个IP地址（其中免费64个，计费224个），超出部分单独计费。114.232.92.0/24 49.79.239.0/27</t>
  </si>
  <si>
    <t>20210201开始计费，使用288个，免费48个，114.232.92.0/24 49.79.239.0/27</t>
  </si>
  <si>
    <t>20221114退租128个，114.232.92.128/25</t>
  </si>
  <si>
    <t>20210201开始计费，NT2CT3F314-F-1、NT2CT3F314-F-2、NT2CT3F314-F-3、NT2CT3F314-F-4</t>
  </si>
  <si>
    <t>20221027开始计费。NT2CT3F314-F-05</t>
  </si>
  <si>
    <t>182215IDC00544</t>
  </si>
  <si>
    <t>兰州6电信</t>
  </si>
  <si>
    <t>CACDNLZCT</t>
  </si>
  <si>
    <t>20210902开始计费，免费288个，使用288个，125.74.110.0/24 125.74.26.0/27</t>
  </si>
  <si>
    <t>20210902开始计费，LZ6CT2F202-L-13、LZ6CT2F202-L-1、LZ6CT2F202-L-14</t>
  </si>
  <si>
    <t>182215IDC00421</t>
  </si>
  <si>
    <t>黄石</t>
  </si>
  <si>
    <t>黄石6电信</t>
  </si>
  <si>
    <t>CACDNHSCT</t>
  </si>
  <si>
    <t>20211001开始计费，免费320个，使用288个，111.174.9.0/24 111.174.15.0/27</t>
  </si>
  <si>
    <t>需要注意机柜降价。20211001开始计费，HS6CT4F403-03-03、HS6CT4F403-03-04、HS6CT4F403-03-05、HS6CT4F403-03-06</t>
  </si>
  <si>
    <t>四川奔云行科技有限公司</t>
  </si>
  <si>
    <t>奔云行</t>
  </si>
  <si>
    <t>182115IDC00106</t>
  </si>
  <si>
    <t>成都7移动</t>
  </si>
  <si>
    <t>CACDNCDCM2</t>
  </si>
  <si>
    <t>20210930退租288个；20210207开始计费，使用288个，赠送640个，112.19.13.0/24 112.19.15.0/27</t>
  </si>
  <si>
    <t>合同条款：IPv6：赠送/64*2个IPv6地址，超出部分单独计费。</t>
  </si>
  <si>
    <t>20210207开始计费，CD7CM1F108-B-2、CD7CM1F108-B-3、CD7CM1F108-B-1、CD7CM1F108-B-4</t>
  </si>
  <si>
    <t>20210930退租，CD7CM1F108-B-2、CD7CM1F108-B-3、CD7CM1F108-B-1、CD7CM1F108-B-4</t>
  </si>
  <si>
    <t>182115IDC00249</t>
  </si>
  <si>
    <t>CD7CM1F108-B-5</t>
  </si>
  <si>
    <t>20210930退租，CD7CM1F108-B-5</t>
  </si>
  <si>
    <t>武汉鸿扬通信技术有限公司</t>
  </si>
  <si>
    <t>武汉鸿扬</t>
  </si>
  <si>
    <t>182015IDC00348</t>
  </si>
  <si>
    <t>宜昌电信</t>
  </si>
  <si>
    <t>CACDNYICCT</t>
  </si>
  <si>
    <t>20210831退租，免费320个，sys已核对使用288个(116.207.168.0/24;116.207.169.0/27)</t>
  </si>
  <si>
    <t xml:space="preserve">共4个，免费4个YICCT1F-H-01
YICCT1F-H-02
YICCT1F-H-03
YICCT1F-H-04
</t>
  </si>
  <si>
    <t>20210831退租，
YICCT1F-H-04、YICCT1F-H-03、YICCT1F-H-02、YICCT1F-H-01</t>
  </si>
  <si>
    <t>新疆</t>
  </si>
  <si>
    <t>新疆众合云尚网络股份有限公司</t>
  </si>
  <si>
    <t>众合云尚</t>
  </si>
  <si>
    <t>182215IDC00540</t>
  </si>
  <si>
    <t>阿克苏</t>
  </si>
  <si>
    <t>阿克苏2移动（原名克拉玛依5移动）</t>
  </si>
  <si>
    <t>CACDNKLMYCM2</t>
  </si>
  <si>
    <t>20210101开始计费，使用288个（117.145.100.0/24 117.145.101.0/27），免费320个</t>
  </si>
  <si>
    <t>20210101开始计费。KLMY5CM3FIDC-B-01、KLMY5CM3FIDC-B-02、KLMY5CM3FIDC-B-03、KLMY5CM3FIDC-B-04、KLMY5CM3FIDC-B-05、KLMY5CM3FIDC-B-06</t>
  </si>
  <si>
    <t>182215IDC00549</t>
  </si>
  <si>
    <t>阿克苏移动</t>
  </si>
  <si>
    <t>CACDNAKSCM</t>
  </si>
  <si>
    <t>20210901开始计费，边缘计算，使用128个，免费320个，117.145.102.0/25</t>
  </si>
  <si>
    <t>边缘计算，20210901开始计费，BECAKSCM-B-01,BECAKSCM-B-02,BECAKSCM-B-03</t>
  </si>
  <si>
    <t>182215IDC00186</t>
  </si>
  <si>
    <t>乌鲁木齐</t>
  </si>
  <si>
    <t>乌鲁木齐移动</t>
  </si>
  <si>
    <t>CACDNWLMQCM</t>
  </si>
  <si>
    <t>（1）20220101开始计费，使用256个，免费128个，收费128个，117.146.64.0/24；（2）20220201-20220331，256个IPV4其中77个免费、179个收费；（3）20220630退租117.146.64.128/25，128个;20220701开始免费16个，收费112个</t>
  </si>
  <si>
    <t>边缘计算。20230228退租。</t>
  </si>
  <si>
    <t>边缘计算，20220101开始计费，BECWLMQCM2F-B4-02
BECWLMQCM2F-B4-03
BECWLMQCM2F-B4-04</t>
  </si>
  <si>
    <t>边缘计算，20220630退租，BECWLMQCM2F-B4-03</t>
  </si>
  <si>
    <t>边缘计算。20230228退租。BECWLMQCM2F-B4-02
BECWLMQCM2F-B4-04</t>
  </si>
  <si>
    <t>云端互联（西安）计算机技术有限公司</t>
  </si>
  <si>
    <t>云端互联</t>
  </si>
  <si>
    <t>182215IDC00305</t>
  </si>
  <si>
    <t>昆明2联通</t>
  </si>
  <si>
    <t>CACDNKMUN</t>
  </si>
  <si>
    <t>sys已核对使用160个，免费128个，收费32个（14.204.150.0/25;14.204.150.128/27）</t>
  </si>
  <si>
    <t>sys已核对使用160个，免费128个，收费32个</t>
  </si>
  <si>
    <t>IPV6：赠送/61</t>
  </si>
  <si>
    <t>免费4个，使用2个，KM2UN2F-2F-20、KM2UN2F-2F-19</t>
  </si>
  <si>
    <t>浙江山迅网络科技有限公司</t>
  </si>
  <si>
    <t>浙江山迅</t>
  </si>
  <si>
    <t>182115IDC00274</t>
  </si>
  <si>
    <t>泉州联通</t>
  </si>
  <si>
    <t>CACDNQZUN</t>
  </si>
  <si>
    <t>免费288个。sys已核对使用288个(36.250.245.0/24;36.250.251.0/27)</t>
  </si>
  <si>
    <t>QZUN2F-0302-02
QZUN2F-0302-05
QZUN2F-0302-04
QZUN2F-0302-03</t>
  </si>
  <si>
    <t>20211231退租，QZUN2F-0302-05,QZUN2F-0302-04,QZUN2F-0302-03,QZUN2F-0302-02
QZUN2F-0302-05
QZUN2F-0302-04
QZUN2F-0302-03</t>
  </si>
  <si>
    <t>浙江挚云信息科技有限公司</t>
  </si>
  <si>
    <t>浙江挚云</t>
  </si>
  <si>
    <t>182115IDC00098</t>
  </si>
  <si>
    <t>杭州</t>
  </si>
  <si>
    <t>杭州3移动</t>
  </si>
  <si>
    <t>CACDNHZCM</t>
  </si>
  <si>
    <t>sys已核对使用288个（112.13.215.0/24;111.1.54.0/27），每个万兆端口赠送【32】个免费IP地址，乙方为甲方总计提供【288】个免费IP地址，0个收费地址。</t>
  </si>
  <si>
    <t>20211031退租，112.13.175.0/24 218.205.86.64/27</t>
  </si>
  <si>
    <t>CACDNHZCM2</t>
  </si>
  <si>
    <t>HZ3CM3F-E-08-11</t>
  </si>
  <si>
    <t>20211031退租，HZ3CM3F-E-08-11</t>
  </si>
  <si>
    <t>L20221025039</t>
  </si>
  <si>
    <t>温州</t>
  </si>
  <si>
    <t>温州移动</t>
  </si>
  <si>
    <t>CACDNWZCM</t>
  </si>
  <si>
    <t>免费640个，sys已核对使用288个（112.16.225.0/24;112.16.224.224/27其中112.16.224.224/27在20220523 替换为112.16.228.32/27）</t>
  </si>
  <si>
    <t>XACDNWZCM</t>
  </si>
  <si>
    <t>WZCM6F-J-05-12</t>
  </si>
  <si>
    <t>20201216存量机柜迁移</t>
  </si>
  <si>
    <t>20201217新迁移的机柜WZ3CM6F-J-10、WZ3CM6F-J-09、WZ3CM6F-J-08、WZ3CM6F-J-07、WZ3CM6F-J-06</t>
  </si>
  <si>
    <t>L20230103007</t>
  </si>
  <si>
    <t>温州电信二级</t>
  </si>
  <si>
    <t>CACDNWZCT</t>
  </si>
  <si>
    <t>20201201开始收费96个，1907新增资源，共用256个IP，其中128个免费。122.228.115.0/24 122.228.117.96/27</t>
  </si>
  <si>
    <t>20200701开始计费，新增32个。2022080开始计费288个，免费544个</t>
  </si>
  <si>
    <t>需要注意温州电信20220701计费672个、免费160个；20220801起计费288个，免费544个；（1）边缘计算122.228.11.0/24
122.228.212.0/24</t>
  </si>
  <si>
    <t>边缘计算122.228.11.0/24
122.228.212.0/24</t>
  </si>
  <si>
    <t>20220607开始计费，边缘计算61.164.159.192/27</t>
  </si>
  <si>
    <t>合同内赠送12个，1907新增资源，共用2个机柜WZ6CT3F301-G-02
，WZ6CT3F301-G-01
均免费</t>
  </si>
  <si>
    <t>WZ6CT3F301-G-02，WZ6CT3F301-G-01进行迁移至WZ6CT3F3C-G-10 WZ6CT3F3C-G-11</t>
  </si>
  <si>
    <t>WZ6CT3F3C-G-10 WZ6CT3F3C-G-11</t>
  </si>
  <si>
    <t>20210415开始计费，免费，WZ6CT3F3C-G-08</t>
  </si>
  <si>
    <t>WZ6CT3F3C-G-10 WZ6CT3F3C-G-11 WZ6CT3F3C-G-08搬迁到WZ6CT4FB01,WZ6CT4FB02,WZ6CT4FB0</t>
  </si>
  <si>
    <t>WZ6CT3F3C-G-10 WZ6CT3F3C-G-11 WZ6CT3F3C-G-08搬迁到WZ6CT4FB01,WZ6CT4FB02,WZ6CT4FB03</t>
  </si>
  <si>
    <t>边缘计算，BECWZ6CT-C-01
BECWZ6CT-C-02
BECWZ6CT-C-03
BECWZ6CT-C-04
BECWZ6CT-C-05
BECWZ6CT-C-06
BECWZ6CT-C-07
BECWZ6CT-C-08
BECWZ6CT-C-09</t>
  </si>
  <si>
    <t>边缘计算，20220701开始免费，BECWZ6CT-B-04
BECWZ6CT-B-05
BECWZ6CT-B-06
BECWZ6CT-B-07
BECWZ6CT-B-08
BECWZ6CT-B-09</t>
  </si>
  <si>
    <t>20220701开始免费，WZ6CT4F-E-01,WZ6CT4F-E-02,WZ6CT4F-E-03,WZ6CT4F-E-04</t>
  </si>
  <si>
    <t>L20221025038</t>
  </si>
  <si>
    <t>温州3移动</t>
  </si>
  <si>
    <t>20200601开始计费，使用288个，免费288个（183.249.8.0/24 183.249.5.224/27）</t>
  </si>
  <si>
    <t>20200601开始计费，WZ3CM6F-K-10</t>
  </si>
  <si>
    <t>20201217新迁移的机柜WZ3CM6F-J-05、WZ3CM6F-J-11、WZ3CM6F-J-12。最新20230207使用为WZCM3F-A-06
WZCM3F-A-07
WZCM3F-A-08
WZCM3F-A-09</t>
  </si>
  <si>
    <t>182115IDC00432</t>
  </si>
  <si>
    <t>天津3移动</t>
  </si>
  <si>
    <t>CACDNTJCM</t>
  </si>
  <si>
    <t>20200901开始计费，使用288个，免费288个，（111.31.3.0/24 111.31.2.224/27）</t>
  </si>
  <si>
    <t>20200901开始计费，TJ3CM2F203-Z-03、TJ3CM2F203-Z-02、TJ3CM2F203-Z-01、TJ3CM2F203-Z-05、TJ3CM2F203-Z-04</t>
  </si>
  <si>
    <t>20211231退租，TJ3CM2F203-Z-03,TJ3CM2F203-Z-02,TJ3CM2F203-Z-01,TJ3CM2F203-Z-05,TJ3CM2F203-Z-04</t>
  </si>
  <si>
    <t>182115IDC00431</t>
  </si>
  <si>
    <t>温州7电信</t>
  </si>
  <si>
    <t>CACDNWZCT2</t>
  </si>
  <si>
    <t>20220630退租，20220120转为边缘计算。20201128-20201202不计费，20201001开始计费，使用288个，赠送320个122.228.93.0/24 122.228.246.64/27</t>
  </si>
  <si>
    <t>20220120转为边缘计算。IPv6：提供/64个免费地址，超出部分单独计费。 240E:00F7:C000:0310::/64</t>
  </si>
  <si>
    <t>20220120转为边缘计算。20201128-20201202不计费，注意历史多计提的冲销，20201001开始计费，免费20个，使用6个，原WZCT1F-H-20、WZCT1F-H-21、WZCT1F-H-22、WZCT1F-H-23、WZCT1F-H-24、WZCT1F-H-25，20201202迁移为WZCT4F-E-10、WZCT4F-E-11、WZCT4F-E-12、WZCT4F-E-13、WZCT4F-E-14、WZCT4F-E-15</t>
  </si>
  <si>
    <t>WZCT4F-E-10,WZCT4F-E-11,WZCT4F-E-12,WZCT4F-E-13,WZCT4F-E-14,WZCT4F-E-15</t>
  </si>
  <si>
    <t>182115IDC00250</t>
  </si>
  <si>
    <t>CACDNSUZCM</t>
  </si>
  <si>
    <t>20211031退租，20210501开始计费，使用288个，免费320个（36.150.154.0/24 36.150.156.192/27）</t>
  </si>
  <si>
    <t>20210501开始计费，SUZCM2F201-A-03、SUZCM2F201-A-02、SUZCM2F201-A-05、SUZCM2F201-A-04</t>
  </si>
  <si>
    <t>20211031退租，SUZCM2F201-A-03、SUZCM2F201-A-02、SUZCM2F201-A-05、SUZCM2F201-A-04</t>
  </si>
  <si>
    <t>182115IDC00441</t>
  </si>
  <si>
    <t>淮南7移动</t>
  </si>
  <si>
    <t>CACDNHNCM2</t>
  </si>
  <si>
    <t>20210802开始计费，使用288个，免费160个，收费128个，112.29.219.0/24;112.29.224.0/27</t>
  </si>
  <si>
    <t>20220630退租，112.29.219.0/24 112.30.198.32/27</t>
  </si>
  <si>
    <t>IPv6：赠送/64个IPv6地址，超出部分单独计费。</t>
  </si>
  <si>
    <t>20210802开始计费，	HN7CM1F-IDC-1,HN7CM1F-IDC-2,HN7CM1F-IDC-3,HN7CM1F-IDC-4,HN7CM1F-IDC-5,HN7CM1F-IDC-6,HN7CM1F-IDC-7</t>
  </si>
  <si>
    <t>20220331退租，HN7CM1F-IDC-1,HN7CM1F-IDC-2,HN7CM1F-IDC-3,HN7CM1F-IDC-4,HN7CM1F-IDC-5,HN7CM1F-IDC-6,HN7CM1F-IDC-7</t>
  </si>
  <si>
    <t>淮南5移动挪给淮南7移动使用，HN5CM1F109-E-08,HN5CM1F109-E-09,HN5CM1F109-E-10</t>
  </si>
  <si>
    <t>20220630退租，HN5CM1F109-E-08,HN5CM1F109-E-09,HN5CM1F109-E-10</t>
  </si>
  <si>
    <t>L20220419002</t>
  </si>
  <si>
    <t>淮南5移动</t>
  </si>
  <si>
    <t>2022年4月1日开始免费160个；20200401开始计费，使用288个，免费544个，（112.30.197.0/24;112.30.198.0/27）</t>
  </si>
  <si>
    <t>20220630退租，112.30.197.0/24 112.30.198.0/27</t>
  </si>
  <si>
    <t>合同条款：赠送/64个IPv6地址，超出部分单独计费</t>
  </si>
  <si>
    <t>20200401开始计费，HN5CM1F109-C-8, HN5CM1F109-C-9, HN5CM1F109-C-10</t>
  </si>
  <si>
    <t>HN5CM1F109-C-8, HN5CM1F109-C-9, HN5CM1F109-C-10进行迁移至E排</t>
  </si>
  <si>
    <t>存量C排迁移至E排，HN5CM1F109-E-08、HN5CM1F109-E-09、HN5CM1F109-E-10</t>
  </si>
  <si>
    <t>20210201开始计费，HN5CM1F109-E-05、HN5CM1F109-E-06、HN5CM1F109-E-07</t>
  </si>
  <si>
    <t>淮南5移动退租，挪给淮南7移动使用，HN5CM1F109-E-08,HN5CM1F109-E-09,HN5CM1F109-E-10</t>
  </si>
  <si>
    <t>20220630退租，HN5CM1F109-E-05、HN5CM1F109-E-06、HN5CM1F109-E-07</t>
  </si>
  <si>
    <t>182315IDC00005</t>
  </si>
  <si>
    <t>苏州3移动</t>
  </si>
  <si>
    <t>CACDNSUZCM3</t>
  </si>
  <si>
    <t>20220120转为边缘计算。20220701转回CDN，20211102开始计费，免费320个，使用288个，223.111.228.0/24 223.111.211.128/27。2409:8C20:4A22:0200::/64</t>
  </si>
  <si>
    <t>免费32个，收费96个。边缘计算183.213.24.128/25</t>
  </si>
  <si>
    <t>退租128个，</t>
  </si>
  <si>
    <t>223.111.228.128/25</t>
  </si>
  <si>
    <t>20220120转为边缘计算。20220701转回CDN。20211102开始计费，SUZ3CM301-H-01
SUZ3CM301-H-02
SUZ3CM301-H-03
SUZ3CM301-H-04</t>
  </si>
  <si>
    <t>边缘计算，BECSUZ3CM-H-05
BECSUZ3CM-H-06
BECSUZ3CM-H-07</t>
  </si>
  <si>
    <t>L20221025048</t>
  </si>
  <si>
    <t>广州7移动</t>
  </si>
  <si>
    <t>CACDNGZCM4</t>
  </si>
  <si>
    <t>20220301开始计费，免费320个，使用256个，120.240.165.0/24。20220928搬迁后使用288个。183.236.22.0/24 120.234.167.32/27（替换元256个，120.240.165.0/24）</t>
  </si>
  <si>
    <t>20220301开始计费，GZ7CM5F502-K-09、GZ7CM5F502-K-10、GZ7CM5F502-K-11、GZ7CM5F502-K-12</t>
  </si>
  <si>
    <t>20220927搬迁机房，GZ7CM5F502-K-09、GZ7CM5F502-K-10、GZ7CM5F502-K-11、GZ7CM5F502-K-12</t>
  </si>
  <si>
    <t>GZ7CM4F-10-2
GZ7CM4F-10-3
GZ7CM4F-10-4
GZ7CM4F-10-5</t>
  </si>
  <si>
    <t>广东华云世纪科技有限公司</t>
  </si>
  <si>
    <t>华云世纪</t>
  </si>
  <si>
    <t>182215IDC00631</t>
  </si>
  <si>
    <t>福州</t>
  </si>
  <si>
    <t>福州5移动</t>
  </si>
  <si>
    <t>CACDNFZCM2</t>
  </si>
  <si>
    <t>20210501开始计费，使用288个，免费640个（112.50.97.0/24 112.50.96.192/27。202301发现已替换成112.49.54.0/24,112.49.25.0/27）；（1）2022月1月1日-2022年1月29日，每个万兆端口赠送【16】个免费IP地址，乙方为甲方总计提供【320】个IP地址（其中在用【288】个），超出部分单独计费；（2）2022年1月30日开始，每个万兆端口赠送【16】个免费IP地址，乙方为甲方总计提供【480】个IP地址（其中在用【288】个），超出部分单独计费</t>
  </si>
  <si>
    <t>IPv6免费</t>
  </si>
  <si>
    <t>20210501开始计费，FZ5CMA14F-J-05、FZ5CMA14F-J-06、FZ5CMA14F-J-07、FZ5CMA14F-J-08</t>
  </si>
  <si>
    <t>20220130开始计费，FZ5CMA14F-F-02,FZ5CMA14F-F-03,FZ5CMA14F-F-05</t>
  </si>
  <si>
    <t>20220905开始计费。FZ5CMA14F-J-01,FZ5CMA14F-J-02</t>
  </si>
  <si>
    <t>L20230324004</t>
  </si>
  <si>
    <t>4F404-K-BEC10
4F404-K-BEC11</t>
  </si>
  <si>
    <t>182215IDC00647</t>
  </si>
  <si>
    <t>南昌</t>
  </si>
  <si>
    <t>南昌6移动</t>
  </si>
  <si>
    <t>CACDNNCCM</t>
  </si>
  <si>
    <t>20211101开始计费使用288个，免费320个。120.206.186.0/24 120.206.176.128/27。20230321有120.206.186.128/25 转给BEC</t>
  </si>
  <si>
    <t>IPv6：随需免费提供</t>
  </si>
  <si>
    <t>20211101开始计费NC6CM4F-E-21、NC6CM4F-E-22、NC6CM4F-E-23</t>
  </si>
  <si>
    <t>4FN-E-BEC02
4FN-E-BEC03
4FN-E-BEC05</t>
  </si>
  <si>
    <t>182215IDC00632</t>
  </si>
  <si>
    <t>中山5移动</t>
  </si>
  <si>
    <t>CACDNZSCM5</t>
  </si>
  <si>
    <t>20220130开始计费，使用288个，免费640个，120.232.246.0/24 183.232.149.64/27</t>
  </si>
  <si>
    <t>20220629开始计费，边缘计算120.241.124.0/25</t>
  </si>
  <si>
    <t>20220701退租，边缘计算120.241.124.0/25</t>
  </si>
  <si>
    <t>2022年10月1日后，赠送800个免费IP地址，其中使用416个，超出部分单独计费。；20220701开始计费，边缘计算120.241.124.128/25</t>
  </si>
  <si>
    <t>182315IDC00067</t>
  </si>
  <si>
    <t>边缘计算，120.232.42.128/25，</t>
  </si>
  <si>
    <t>IPv6：随需免费提供.20220701边缘计算2409:8C54:4010:0026::/64</t>
  </si>
  <si>
    <t>边缘计算，2409:8C54:4010:0032::/64</t>
  </si>
  <si>
    <t>20220130开始计费，ZS5CM2F02-AD-13,ZS5CM2F02-AD-12,ZS5CM2F02-AD-11,ZS5CM2F02-AD-10,ZS5CM2F02-AD-09,ZS5CM2F02-AC-13</t>
  </si>
  <si>
    <t>边缘计算，20220629开始计费，BECZS5CM2F02-201-AC-02
BECZS5CM2F02-201-AC-04</t>
  </si>
  <si>
    <t>边缘计算，20220701退租，BECZS5CM2F02-201-AC-02
BECZS5CM2F02-201-AC-04</t>
  </si>
  <si>
    <t>边缘计算，20220701开始计费，BECZS5CM2F-201-AC09
BECZS5CM2F-201-AC11
BECZS5CM2F-201-AC12</t>
  </si>
  <si>
    <t>边缘计算，20220705开始计费，BECZS5CM2F-201-AC08</t>
  </si>
  <si>
    <t>边缘计算，20220712退租，BECZS5CM2F-201-AC08</t>
  </si>
  <si>
    <t>边缘计算，BECZS5CM-AA-08
BECZS5CM-AA-14
BECZS5CM-AC-14
BECZS5CM-AA-02</t>
  </si>
  <si>
    <t>182315IDC00066</t>
  </si>
  <si>
    <t>天津5移动</t>
  </si>
  <si>
    <t>CACDNTJCM4</t>
  </si>
  <si>
    <t>20221229开始计费。免费320个，使用288个，111.31.236.0/24 111.33.67.0/27</t>
  </si>
  <si>
    <t>IPV6按需赠送</t>
  </si>
  <si>
    <t>20221229开始计费。TJ5CM501-J-06,TJ5CM501-J-07,TJ5CM501-J-08,TJ5CM501-K-01</t>
  </si>
  <si>
    <t>182315IDC00050</t>
  </si>
  <si>
    <t>20230101开始计费。免费160个，收费128个。使用288个，36.136.112.0/25 36.136.94.128/25 36.136.112.160/27</t>
  </si>
  <si>
    <t>退租128个，36.136.94.128/25。由于替换IP退租后剩余36.136.112.0/25
36.136.92.128/27</t>
  </si>
  <si>
    <t>20230101开始计费。BHCM2F-L-07 BHCM2F-L-08</t>
  </si>
  <si>
    <t>南昌首页科技股份有限公司</t>
  </si>
  <si>
    <t>南昌首页</t>
  </si>
  <si>
    <t>182215IDC00650</t>
  </si>
  <si>
    <t>襄樊</t>
  </si>
  <si>
    <t>襄樊电信</t>
  </si>
  <si>
    <t>CACDNXIANGFCT</t>
  </si>
  <si>
    <t>IPV4:每个万兆端口赠送【18】个免费IP地址，乙方为甲方总计提供【648】个IP地址（其中在用【288】个），超出部分单独计费。（111.170.26.0/24 111.170.27.0/27）</t>
  </si>
  <si>
    <t>20210501开始计费，XIANGFCT2F-A07-1、XIANGFCT2F-A07-2、XIANGFCT2F-A07-3，SYS更新机柜编码为XIANGFCT2F-A08-7、XIANGFCT2F-A08-6、XIANGFCT2F-A08-5</t>
  </si>
  <si>
    <t>20210901开始计费，XIANGFCT2F-A08-9、XIANGFCT2F-A08-8</t>
  </si>
  <si>
    <t>20211101开始计费，XIANGFCT2F-A09-1、XIANGFCT2F-A09-2、XIANGFCT2F-A09-3</t>
  </si>
  <si>
    <t>182215IDC00303</t>
  </si>
  <si>
    <t>上饶</t>
  </si>
  <si>
    <t>上饶电信</t>
  </si>
  <si>
    <t>CACDNSRCT</t>
  </si>
  <si>
    <t>20220401开始计费，免费120个，使用256个，182.84.110.0/24</t>
  </si>
  <si>
    <t>20221101开始剩余IP对方给予全部免费.20220401开始计费，免费120个，使用256个，182.84.110.0/24</t>
  </si>
  <si>
    <t xml:space="preserve">退租128个，182.84.110.128/25 </t>
  </si>
  <si>
    <t>免费提供1个/64个IPV6地址，超出部分单独计费。</t>
  </si>
  <si>
    <t>20220401开始计费，SRCT4F-L-01,SRCT4F-L-02</t>
  </si>
  <si>
    <t>深圳市新国都万联科技通信有限公司</t>
  </si>
  <si>
    <t>新国都</t>
  </si>
  <si>
    <t>L20221025025</t>
  </si>
  <si>
    <t>乌鲁木齐3电信</t>
  </si>
  <si>
    <t>CACDNWLMQCT</t>
  </si>
  <si>
    <t>（1）20220701带宽退租后IP免费192个，收费96个。（2）20210601开始计费，使用288个，免费160个，收费128个，（49.119.124.0/24 49.119.125.224/27）；（3）20220201开始收费32个，免费256个</t>
  </si>
  <si>
    <t>20211221开始计费，边缘计算，49.119.118.128/25</t>
  </si>
  <si>
    <t>退租128个，49.119.124.128/25</t>
  </si>
  <si>
    <t>2022年12月退租后。CDN剩余免费额度转bec使用。</t>
  </si>
  <si>
    <t>L20221025024</t>
  </si>
  <si>
    <t>需要注意20230401开始价格变动。20210601开始计费，WLMQ3CT-01-10、WLMQ3CT-01-11、WLMQ3CT-01-12</t>
  </si>
  <si>
    <t>边缘计算，20211221开始计费，BECWLMQ3CT-E-09</t>
  </si>
  <si>
    <t>20220201开始计费，WLMQ3CT-B-08,WLMQ3CT-B-09</t>
  </si>
  <si>
    <t>20220630退租，WLMQ3CT-B-09</t>
  </si>
  <si>
    <t>182115IDC00444</t>
  </si>
  <si>
    <t>温州9电信</t>
  </si>
  <si>
    <t>CACDNWZCT3</t>
  </si>
  <si>
    <t>20210701开始计费，使用288个，免费128个，收费160个，122.228.102.0/24 122.228.100.0/27</t>
  </si>
  <si>
    <t>20211231退租122.228.102.0/24 122.228.100.0/27</t>
  </si>
  <si>
    <t>20210701开始计费，WZ9CT3F-K-03、WZ9CT3F-K-02、WZ9CT3F-K-07、WZ9CT3F-K-04</t>
  </si>
  <si>
    <t>20210717开始计费，WZ9CT3F01-K-08</t>
  </si>
  <si>
    <t>20211231退租,WZ9CT3F01-K-02,WZ9CT3F01-K-07,WZ9CT3F01-K-04,WZ9CT3F01-K-03,WZ9CT3F01-K-08</t>
  </si>
  <si>
    <t>南昌市恒州科技有限公司</t>
  </si>
  <si>
    <t>南昌恒州</t>
  </si>
  <si>
    <t>182215IDC00550</t>
  </si>
  <si>
    <t>萍乡</t>
  </si>
  <si>
    <t>萍乡电信</t>
  </si>
  <si>
    <t>CACDNPXCT</t>
  </si>
  <si>
    <t>20210803开始计费，使用288个，免费288个，182.84.120.0/24 218.87.122.0/27</t>
  </si>
  <si>
    <t>提供【 /64】个免费IPv6地址，超出部分单独计费。</t>
  </si>
  <si>
    <t>20210803开始计费，免费4个，使用3个PXCT2F02-4-02,PXCT2F02-4-03,PXCT2F02-4-04</t>
  </si>
  <si>
    <t>20220930退租。PXCT2F02-4-02,PXCT2F02-4-03,PXCT2F02-4-04</t>
  </si>
  <si>
    <t>182115IDC00587</t>
  </si>
  <si>
    <t>九江2电信</t>
  </si>
  <si>
    <t>CACDNJJCT2</t>
  </si>
  <si>
    <t>20211001开始计费，免费288个，使用288个，182.106.137.0/24 182.106.150.224/27</t>
  </si>
  <si>
    <t>提供【 /64】个免费IPv6地址</t>
  </si>
  <si>
    <t>20211001开始计费，赠送4个，JJ2CT2F-J-01、JJ2CT2F-J-02、JJ2CT2F-J-03、JJ2CT2F-J-05</t>
  </si>
  <si>
    <t>20220930退租。JJ2CT2F-J-01,JJ2CT2F-J-02,JJ2CT2F-J-03,JJ2CT2F-J-05</t>
  </si>
  <si>
    <t>广东玖云网络科技有限公司</t>
  </si>
  <si>
    <t>广东玖云</t>
  </si>
  <si>
    <t>182115IDC00399</t>
  </si>
  <si>
    <t>中山2移动</t>
  </si>
  <si>
    <t>CACDNZSCM2</t>
  </si>
  <si>
    <t>20210801开始计费，使用288个，收费160个，免费128个，183.237.147.0/24 183.237.146.128/27</t>
  </si>
  <si>
    <t xml:space="preserve">	
ipv6赠送/64个。</t>
  </si>
  <si>
    <t>20210801开始计费，ZS2CM2F2C-04-04、ZS2CM2F2C-04-01、ZS2CM2F2C-04-03、ZS2CM2F2C-04-02</t>
  </si>
  <si>
    <t>20211231退租，ZS2CM2F2C-04-04,ZS2CM2F2C-04-01,ZS2CM2F2C-04-03,ZS2CM2F2C-04-02</t>
  </si>
  <si>
    <t>深圳网腾云计算科技有限公司</t>
  </si>
  <si>
    <t>深圳网腾</t>
  </si>
  <si>
    <t>182115IDC00497</t>
  </si>
  <si>
    <t>成都8移动</t>
  </si>
  <si>
    <t>20210801开始计费，20220531退租，使用544个，免费1000个，117.177.64.0/24 117.177.68.0/24 223.85.104.32/27</t>
  </si>
  <si>
    <t>提供【::/64】个免费IPv6地址，超出部分单独计费。</t>
  </si>
  <si>
    <t>20210801开始计费，CD8CM1F103-F-01、CD8CM1F103-F-02、CD8CM1F103-F-03、CD8CM1F103-F-04、CD8CM1F103-F-05、CD8CM1F103-F-06、CD8CM1F103-F-07、CD8CM1F103-F-08、CD8CM1F103-F-09、CD8CM1F103-F-10</t>
  </si>
  <si>
    <t>20220531退租，CD8CM1F103-F-01、CD8CM1F103-F-02、CD8CM1F103-F-03、CD8CM1F103-F-04、CD8CM1F103-F-05、CD8CM1F103-F-06、CD8CM1F103-F-07、CD8CM1F103-F-08、CD8CM1F103-F-09、CD8CM1F103-F-10</t>
  </si>
  <si>
    <t>成都9移动</t>
  </si>
  <si>
    <t>CACDNCDCM3</t>
  </si>
  <si>
    <t>20210901开始计费，20220531退租，免费1000个，使用288个，117.177.65.0/24 223.85.104.64/27</t>
  </si>
  <si>
    <t>20210901开始计费，CD7CM2F201-D-5、CD7CM2F201-D-4、CD7CM2F201-D-6、CD7CM2F201-D-1、CD7CM2F201-D-3、CD7CM2F201-D-2</t>
  </si>
  <si>
    <t>SYS交付邮件的机柜数据错误，关闭CD7CM2F201-D-5、CD7CM2F201-D-4、CD7CM2F201-D-6、CD7CM2F201-D-1、CD7CM2F201-D-3、CD7CM2F201-D-2</t>
  </si>
  <si>
    <t>20210901开始计费，CD9CM103-F-11、CD9CM103-F-12、CD9CM103-F-13、CD9CM103-F-14、CD9CM103-E-15</t>
  </si>
  <si>
    <t>20220531退租，CD9CM103-F-11、CD9CM103-F-12、CD9CM103-F-13、CD9CM103-F-14、CD9CM103-E-15</t>
  </si>
  <si>
    <t>四川云互未来科技有限公司</t>
  </si>
  <si>
    <t>云互未来</t>
  </si>
  <si>
    <t>182115IDC00494</t>
  </si>
  <si>
    <t>眉山</t>
  </si>
  <si>
    <t>眉山联通</t>
  </si>
  <si>
    <t>CACDNMSUN</t>
  </si>
  <si>
    <t>20210901开始计费，使用128个，免费128个，101.206.109.0/25</t>
  </si>
  <si>
    <t>20220331退租</t>
  </si>
  <si>
    <t>20210901开始计费，MSUN101-A-01、MSUN101-A-02</t>
  </si>
  <si>
    <t>北京天云联动科技有限公司</t>
  </si>
  <si>
    <t>天云联动</t>
  </si>
  <si>
    <t>182215IDC00200</t>
  </si>
  <si>
    <t>西安</t>
  </si>
  <si>
    <t>西安3联通</t>
  </si>
  <si>
    <t>CACDNXAUN</t>
  </si>
  <si>
    <t>（1）20211001开始计费，免费160个，收费128个。使用288个，113.200.59.0/24 124.89.31.64/27；（2）20220201开始，免费224个，收费64个</t>
  </si>
  <si>
    <t>20220531退租113.200.59.0/24 124.89.31.64/27</t>
  </si>
  <si>
    <t>赠送:1个 /64 IPV6。</t>
  </si>
  <si>
    <t>20211001开始计费，XA3UN1FD02-A-11、XA3UN1FD02-A-13、XA3UN1FD02-A-12</t>
  </si>
  <si>
    <t>20220531退租，XA3UN1FD02-A-11,XA3UN1FD02-A-13,XA3UN1FD02-A-12</t>
  </si>
  <si>
    <t>北京庭宇科技有限公司</t>
  </si>
  <si>
    <t>庭宇科技</t>
  </si>
  <si>
    <t>182315IDC00009</t>
  </si>
  <si>
    <t>CACDNSQCM</t>
  </si>
  <si>
    <t>20211001开始计费，免费288个，使用288个，112.3.25.0/24 36.156.184.160/27</t>
  </si>
  <si>
    <t>宿迁4移动</t>
  </si>
  <si>
    <t>20220901开始计费，免费160个，使用160个。36.156.187.0/25 223.68.10.224/27</t>
  </si>
  <si>
    <t>宿迁移动&amp;宿迁4移动</t>
  </si>
  <si>
    <t>20211001开始计费，SQCMT4-L1-075，SQCMT4-L1-076，SQCMT4-L1-077，SQCMT4-L1-078（SQ4CM）</t>
  </si>
  <si>
    <t>20211101开始计费，SQCMT4-L1-079、SQCMT4-L1-080（SQ4CM）</t>
  </si>
  <si>
    <t>182215IDC00366</t>
  </si>
  <si>
    <t>宿迁2移动</t>
  </si>
  <si>
    <t>20220501开始计费，使用288个，36.156.185.0/24 223.68.10.192/27</t>
  </si>
  <si>
    <t>IPV6：/64免费</t>
  </si>
  <si>
    <t>20220501开始计费，SQ2CM-L6-97、SQ2CM-L6-98、SQ2CM-L6-99、SQ2CM-L6-100</t>
  </si>
  <si>
    <t>霍尔果斯云网联商科技有限公司</t>
  </si>
  <si>
    <t>云网联商</t>
  </si>
  <si>
    <t>182115IDC00652</t>
  </si>
  <si>
    <t>通化</t>
  </si>
  <si>
    <t>通化联通</t>
  </si>
  <si>
    <t>CACDNTHUN</t>
  </si>
  <si>
    <t>20211001开始计费，免费320个，使用288个，175.21.250.0/24 175.21.251.0/27</t>
  </si>
  <si>
    <t xml:space="preserve">	
每10个万兆赠送 1个ipv6:/64 地址。</t>
  </si>
  <si>
    <t>20211001开始计费，赠送5个，使用3个THUN4F-C-11、THUN4F-C-12、THUN4F-C-13</t>
  </si>
  <si>
    <t>上海竞信网络科技有限公司</t>
  </si>
  <si>
    <t>上海竞信</t>
  </si>
  <si>
    <t>182215IDC00019</t>
  </si>
  <si>
    <t>保定</t>
  </si>
  <si>
    <t>保定3移动</t>
  </si>
  <si>
    <t>CACDNBDCM</t>
  </si>
  <si>
    <t>20211001开始计费，免费288个，使用288个，111.63.105.0/24 111.63.106.0/27</t>
  </si>
  <si>
    <t>20211126退租，111.63.105.0/24 111.63.106.0/27</t>
  </si>
  <si>
    <t>20211021开始停止计费，20211001开始计费，BD3CM2F-F-16、BD3CM2F-F-17、BD3CM2F-F-18</t>
  </si>
  <si>
    <t>20211126退租，BD3CM2F-F-16,BD3CM2F-F-17,BD3CM2F-F-18</t>
  </si>
  <si>
    <t>182215IDC00411</t>
  </si>
  <si>
    <t>保定4移动</t>
  </si>
  <si>
    <t>20220601开始计费，使用288个，免费288个，111.63.105.0/24 111.63.106.0/27</t>
  </si>
  <si>
    <t xml:space="preserve">20220803退租，111.63.105.128/25 </t>
  </si>
  <si>
    <t>乙方为甲方提供免费IP地址2409:8C04:1001:0017:0000:: /67，超出部分单独计费。</t>
  </si>
  <si>
    <t>20220601开始计费，BD3CM2F-F-16,BD3CM2F-F-17,BD3CM2F-F-18</t>
  </si>
  <si>
    <t>北京创世云科技股份有限公司</t>
  </si>
  <si>
    <t>创世云</t>
  </si>
  <si>
    <t>182215IDC00368</t>
  </si>
  <si>
    <t>大连2联通</t>
  </si>
  <si>
    <t>CACDNDLUN</t>
  </si>
  <si>
    <t>20211101开始计费，免费288个，使用288个，42.7.42.0/24 42.7.43.224/27</t>
  </si>
  <si>
    <t>20230111搬迁完成。IP地址由原来42.7.42.0/24,218.60.103.128/27更换为42.59.17.0/25,42.59.17.128/27</t>
  </si>
  <si>
    <t>20211101开始计费，DL2UND3A-P-06、DL2UND3A-P-04、DL2UND3A-P-05、DL2UND3A-P-03</t>
  </si>
  <si>
    <t>20230111搬迁完成。DL2UND3A-P-03, DL2UND3A-P-04, DL2UND3A-P-05, DL2UND3A-P-06更换为DL2UND2A-J-01,DL2UND2A-J-02,DL2UND2A-J-03,DL2UND2A-J-04</t>
  </si>
  <si>
    <t>大连3联通</t>
  </si>
  <si>
    <t>20220201开始计费，使用288个，免费288个，218.60.108.0/24 218.60.103.224/27</t>
  </si>
  <si>
    <t>退租128个，42.7.43.128/25。退租后整体看IP</t>
  </si>
  <si>
    <t>182215IDC00551</t>
  </si>
  <si>
    <t>20220621开始计费，边缘计算218.60.103.0/25</t>
  </si>
  <si>
    <t>20230112搬迁完成，IP 由原来42.7.43.0/25,,218.60.103.0/25变更为42.59.18.0/25,42.59.17.160/27</t>
  </si>
  <si>
    <t>退租。边缘计算218.60.103.0/25</t>
  </si>
  <si>
    <t>IPv6：赠送/64段IPV6（20220131退租边缘计算Ipv6:2408:8730:0600:0010::/64 ）</t>
  </si>
  <si>
    <t>20220201开始计费，DL3UND3A-P-13,DL3UND3A-P-14,DL3UND3A-P-02,DL3UND3A-P-01</t>
  </si>
  <si>
    <t>边缘计算，20220621开始计费，BECDL3UN-P-07
BECDL3UN-P-08</t>
  </si>
  <si>
    <t>20230112搬迁完成，机柜由原来4个DL3UND3A-P-01,DL3UND3A-P-02,DL3UND3A-P-13,DL3UND3A-P-14 变更为DL3UND2A-J-05,DL3UND2A-J-06,DL3UND2A-J-07,DL32UND2A-J-08</t>
  </si>
  <si>
    <t xml:space="preserve">	
182215IDC00551</t>
  </si>
  <si>
    <t>BECDL3UN-P-07
BECDL3UN-P-08</t>
  </si>
  <si>
    <t>182215IDC00367</t>
  </si>
  <si>
    <t>鞍山2联通</t>
  </si>
  <si>
    <t>20220715退租。20220403开始计费，免费288个，使用256个，42.180.124.0/24</t>
  </si>
  <si>
    <t xml:space="preserve">	
免费/64</t>
  </si>
  <si>
    <t>20220403开始计费，ANSHAN2UN2F-2D-03,ANSHAN2UN2F-2D-04,ANSHAN2UN2F-2D-05</t>
  </si>
  <si>
    <t>20220715退租ANSHAN2UN2F-2D-03,ANSHAN2UN2F-2D-04,ANSHAN2UN2F-2D-05</t>
  </si>
  <si>
    <t>182215IDC00559</t>
  </si>
  <si>
    <t>锦州</t>
  </si>
  <si>
    <t>锦州3电信</t>
  </si>
  <si>
    <t>CACDNJZCT</t>
  </si>
  <si>
    <t>20230228退租。20220702开始计费，免费288个，使用256个，42.248.149.0/25 42.248.194.128/25</t>
  </si>
  <si>
    <t>IPV6：赠送一段/64 IPv6</t>
  </si>
  <si>
    <t>20220702开始计费，JZ3CT5F-B11-09,JZ3CT5F-B11-10,JZ3CT5F-B11-11,JZ3CT5F-B11-12,JZ3CT5F-B11-13</t>
  </si>
  <si>
    <t>JZ3CT5F-B11-9</t>
  </si>
  <si>
    <t>20230228退租。JZ3CT5F-B11-10,JZ3CT5F-B11-11,JZ3CT5F-B11-12,JZ3CT5F-B11-13</t>
  </si>
  <si>
    <t>182215IDC00562</t>
  </si>
  <si>
    <t>辽阳</t>
  </si>
  <si>
    <t>辽阳联通</t>
  </si>
  <si>
    <t>CACDNLIAOYUN</t>
  </si>
  <si>
    <t>20220902开始计费，免费288，使用288个，42.87.69.0/24 42.180.255.0/27；20221129开始已替换成42.180.248.0/24,60.18.196.32/27</t>
  </si>
  <si>
    <t>IPV6：赠送 /64段 IPv6</t>
  </si>
  <si>
    <t>20220902开始计费，LIAOYUN3F-02-08,LIAOYUN3F-02-09,LIAOYUN3F-02-10</t>
  </si>
  <si>
    <t>182215IDC00561</t>
  </si>
  <si>
    <t>辽阳2电信</t>
  </si>
  <si>
    <t>CACDNLIAOYCT</t>
  </si>
  <si>
    <t>20220901开始计费，免费288个，使用160个，182.207.101.0/25 182.207.101.128/27</t>
  </si>
  <si>
    <t>IPV6：赠送1段/64 IPv6</t>
  </si>
  <si>
    <t>20220901开始计费，LIAOYCT2F-11L-10,LIAOYCT2F-11L-11,LIAOYCT2F-11L-13</t>
  </si>
  <si>
    <t>广州贝云信息科技有限公司</t>
  </si>
  <si>
    <t>广州贝云</t>
  </si>
  <si>
    <t>182115IDC00650</t>
  </si>
  <si>
    <t>使用288个，免费288个（113.113.100.128/27;113.113.67.0/24）</t>
  </si>
  <si>
    <t>20220531退租，113.113.100.128/27;113.113.67.0/24</t>
  </si>
  <si>
    <t>使用288个，免费288个，121.12.53.0/24、113.113.100.192/27</t>
  </si>
  <si>
    <t>20220531退租，121.12.53.0/24、113.113.100.192/27</t>
  </si>
  <si>
    <t>中山电信+中山2电信</t>
  </si>
  <si>
    <t>IPv6：赠送/56*3段的IPV6</t>
  </si>
  <si>
    <t>ZSCT5FB-02-08
ZSCT5FB-02-09
ZSCT5FB-02-10
ZSCT5FB-02-06
ZSCT5FB-02-07
ZSCT5FB-02-04
ZSCT5FB-02-03</t>
  </si>
  <si>
    <t>20220531退租，ZSCT5FB-02-08
ZSCT5FB-02-09
ZSCT5FB-02-10
ZSCT5FB-02-06
ZSCT5FB-02-07
ZSCT5FB-02-04
ZSCT5FB-02-03</t>
  </si>
  <si>
    <t>ZSCT4F08-14-10、ZSCT4F08-14-11、ZSCT4F08-14-8、ZSCT4F08-14-9</t>
  </si>
  <si>
    <t>20220531退租，ZSCT4F08-14-10、ZSCT4F08-14-11、ZSCT4F08-14-8、ZSCT4F08-14-9</t>
  </si>
  <si>
    <t>L20220603004</t>
  </si>
  <si>
    <t>（1）原使用带宽200G，每个万兆端口赠送【14.4】个免费IP地址；使用288个(59.36.203.0/24 59.36.228.0/27)，免费288个；（2）2022年5月30日退租100G后，免费144个，收费144个</t>
  </si>
  <si>
    <t>20220630退租59.36.203.0/24 59.36.228.0/27</t>
  </si>
  <si>
    <t>182215IDC00153</t>
  </si>
  <si>
    <t>IPv6：赠送/56</t>
  </si>
  <si>
    <t>FSCT3F304-HH14-05、FSCT3F304-HH14-06、FSCT3F304-HH14-07</t>
  </si>
  <si>
    <t>20220630退租，FSCT3F304-HH14-05,FSCT3F304-HH14-06,FSCT3F304-HH14-07</t>
  </si>
  <si>
    <t>L20230213001</t>
  </si>
  <si>
    <t>河北燕云数据有限公司</t>
  </si>
  <si>
    <t>河北燕云</t>
  </si>
  <si>
    <t>182215IDC00002</t>
  </si>
  <si>
    <t>秦皇岛</t>
  </si>
  <si>
    <t>秦皇岛电信</t>
  </si>
  <si>
    <t>CACDNQHDCT</t>
  </si>
  <si>
    <t>20220120转为边缘计算。20220701转回CDN。20211201开始计费，使用288个，免费160个106.8.47.0/24 106.8.46.192/27</t>
  </si>
  <si>
    <t>退租128个，106.8.47.128/25</t>
  </si>
  <si>
    <t>20220120转为边缘计算。20220701转回CDN。IPv6：随需赠送/64的 IPV6。240E:0940:0706:0001::/64</t>
  </si>
  <si>
    <t>20220120转为边缘计算。20220701转回CDN。20211201开始计费，QHDCT7F-B1-16,QHDCT7F-B1-17,QHDCT7F-B1-18</t>
  </si>
  <si>
    <t>银联商务股份有限公司湖北分公司</t>
  </si>
  <si>
    <t>银联商务</t>
  </si>
  <si>
    <t>L20220924003</t>
  </si>
  <si>
    <t>WHGG-电信</t>
  </si>
  <si>
    <t>WHGG</t>
  </si>
  <si>
    <t>20211215开始计费，111.172.225.0/24
111.172.237.0/24</t>
  </si>
  <si>
    <t>111.172.237.0/24从IDC挪给CDN</t>
  </si>
  <si>
    <t>CACDNWHGG</t>
  </si>
  <si>
    <t>20220301转CDN使用111.172.237.0/24</t>
  </si>
  <si>
    <t>20220720CDN退128个给IDC,111.172.237.128/25</t>
  </si>
  <si>
    <t>20220721转IDC使用，111.172.237.128/25</t>
  </si>
  <si>
    <t>20211215开始计费，240E:95C:5008:100::/56</t>
  </si>
  <si>
    <t>WHGG-联通</t>
  </si>
  <si>
    <t>20211215开始计费，220.202.52.0/24
220.202.53.0/24</t>
  </si>
  <si>
    <t>220.202.53.0/24从IDC挪给CDN</t>
  </si>
  <si>
    <t>220.202.53.0/24</t>
  </si>
  <si>
    <t>20220720CDN退128个给IDC,220.202.53.128/25</t>
  </si>
  <si>
    <t>20220721转IDC使用，220.202.53.128/25</t>
  </si>
  <si>
    <t>20211215开始计费，2409:8C4C:C00:500::/56</t>
  </si>
  <si>
    <t>WHGG-移动</t>
  </si>
  <si>
    <t>20211215开始计费，223.76.161.0/24
223.76.162.0/24</t>
  </si>
  <si>
    <t>223.76.162.0/24从IDC挪给CDN</t>
  </si>
  <si>
    <t>20220301转CDN使用，223.76.162.0/24</t>
  </si>
  <si>
    <t>20220720CDN退128个给IDC,223.76.162.128/25</t>
  </si>
  <si>
    <t>20220721转IDC使用，223.76.162.128/25</t>
  </si>
  <si>
    <t>20211215开始计费，2408:874E:5001:0000::/56</t>
  </si>
  <si>
    <t>L20220924006</t>
  </si>
  <si>
    <t>WHGG-电信/WHGG-移动</t>
  </si>
  <si>
    <t>20220301开始计费，CDNWHGG4A-18-16
CDNWHGG4A-18-15
CDNWHGG4A-18-13
CDNWHGG4A-18-14</t>
  </si>
  <si>
    <t>182215IDC00364</t>
  </si>
  <si>
    <t>济南7联通</t>
  </si>
  <si>
    <t>CACDNJNUN</t>
  </si>
  <si>
    <t>20220101开始计费，20220418退租，免费320个，使用288个，61.156.44.0/24 61.133.124.128/27</t>
  </si>
  <si>
    <t>IPv6：/64</t>
  </si>
  <si>
    <t>20220101开始计费，JN7UN5F-1-01,JN7UN5F-1-02,JN7UN5F-1-03</t>
  </si>
  <si>
    <t>20220418退租，JN7UN5F-1-01,JN7UN5F-1-02,JN7UN5F-1-03</t>
  </si>
  <si>
    <t>甘肃柏隆电子商务科技有限责任公司</t>
  </si>
  <si>
    <t>甘肃柏隆</t>
  </si>
  <si>
    <t>182215IDC00062</t>
  </si>
  <si>
    <t>兰州4移动</t>
  </si>
  <si>
    <t>CACDNLZCM</t>
  </si>
  <si>
    <t>20220101开始计费，使用288个，免费288个，117.157.253.0/24
117.157.226.0/27</t>
  </si>
  <si>
    <t>2409:8C74:F100:1414::/64</t>
  </si>
  <si>
    <t>边缘计算，20220101开始计费，BECLZ4CM3F301-A10-1，BECLZ4CM3F301-A10-2，BECLZ4CM3F301-A10-3</t>
  </si>
  <si>
    <t>深圳腾华数据中心科技有限公司</t>
  </si>
  <si>
    <t>深圳腾华</t>
  </si>
  <si>
    <t>182215IDC00176</t>
  </si>
  <si>
    <t>广州4电信</t>
  </si>
  <si>
    <t>CACDNGZCT</t>
  </si>
  <si>
    <t>20220731退租。20220201开始计费，使用288个，免费512个，183.56.138.0/24 183.56.141.0/27</t>
  </si>
  <si>
    <t>IPv6：20个万兆口总共赠送一段/64位</t>
  </si>
  <si>
    <t>20220201开始计费，GZ4CT4F401-5-11,GZ4CT4F401-5-12,GZ4CT4F401-5-13,GZ4CT4F401-5-14</t>
  </si>
  <si>
    <t>20220731退租，GZ4CT4F401-5-11,GZ4CT4F401-5-12,GZ4CT4F401-5-13,GZ4CT4F401-5-14</t>
  </si>
  <si>
    <t>广西阳晨伟业科技有限公司</t>
  </si>
  <si>
    <t>广西阳晨</t>
  </si>
  <si>
    <t>182315IDC00060</t>
  </si>
  <si>
    <t>南宁6移动</t>
  </si>
  <si>
    <t>CACDNNNCM2</t>
  </si>
  <si>
    <t>20220201开始计费，使用128个，免费128个，36.136.53.0/25</t>
  </si>
  <si>
    <t>IPv6：免费赠送一段前缀/64</t>
  </si>
  <si>
    <t>20220201开始计费，NN6CM5F5C-A-01,NN6CM5F5C-A-02</t>
  </si>
  <si>
    <t>上海恩晴信息技术有限公司</t>
  </si>
  <si>
    <t>上海恩晴</t>
  </si>
  <si>
    <t>182315IDC00095</t>
  </si>
  <si>
    <t>上海2联通</t>
  </si>
  <si>
    <t>CACDNSHUN</t>
  </si>
  <si>
    <t>20220201开始计费，使用288个，免费256个，收费32个，211.95.34.0/24 43.250.147.32/27</t>
  </si>
  <si>
    <t>20221124退租128个，211.95.34.128/25</t>
  </si>
  <si>
    <t>IPv6：赠送/64个IPV6</t>
  </si>
  <si>
    <t>20220201开始计费，SH2UN2F202-I-19,SH2UN2F202-I-18更新为SH2UN2F202-I-16 SH2UN2F202-I-17</t>
  </si>
  <si>
    <t>北京和顺泰科技有限公司</t>
  </si>
  <si>
    <t>和顺泰</t>
  </si>
  <si>
    <t>182215IDC00415</t>
  </si>
  <si>
    <t>武汉4电信</t>
  </si>
  <si>
    <t>CACDNWHCT3</t>
  </si>
  <si>
    <t>20220401开始计费，免费288个，使用288个，119.96.52.0/24 119.96.55.0/27</t>
  </si>
  <si>
    <t>免费/64</t>
  </si>
  <si>
    <t>20220401开始计费，WH4CT3F301-C-5,WH4CT3F301-C-6,WH4CT3F301-C-7,WH4CT3F301-C-8</t>
  </si>
  <si>
    <t>182315IDC00015</t>
  </si>
  <si>
    <t>天津5电信</t>
  </si>
  <si>
    <t>CACDNTJCT</t>
  </si>
  <si>
    <t>免费288个，使用288个，42.81.98.0/24 42.81.10.64/27</t>
  </si>
  <si>
    <t>IPV6：免费/64</t>
  </si>
  <si>
    <t>TJ5CT2F-E-08,TJ5CT2F-E-09,TJ5CT2F-E-10</t>
  </si>
  <si>
    <t>杭州盈为网络科技有限公司</t>
  </si>
  <si>
    <t>杭州盈为</t>
  </si>
  <si>
    <t>182215IDC00405</t>
  </si>
  <si>
    <t>榆林</t>
  </si>
  <si>
    <t>榆林联通</t>
  </si>
  <si>
    <t>CACDNYLUN</t>
  </si>
  <si>
    <t>20220602开始计费，使用160个，免费160个；113.201.153.0/25 113.201.153.128/27</t>
  </si>
  <si>
    <t>赠送 /64，超出部分单独计费。</t>
  </si>
  <si>
    <t>20220602开始计费，YLUN401-O-16,YLUN401-O-17</t>
  </si>
  <si>
    <t>成都震汉科技有限公司</t>
  </si>
  <si>
    <t>成都震汉</t>
  </si>
  <si>
    <t>182215IDC00413</t>
  </si>
  <si>
    <t>成都10移动</t>
  </si>
  <si>
    <t>CACDNCDCM4</t>
  </si>
  <si>
    <t>20220601开始计费，112.45.32.0/25 112.45.32.128/27</t>
  </si>
  <si>
    <t>IPV6：赠送/64</t>
  </si>
  <si>
    <t>20220601开始计费，CD10CM101-H-08,CD10CM101-H-09</t>
  </si>
  <si>
    <t>泰州云下科技有限公司</t>
  </si>
  <si>
    <t>云下科技</t>
  </si>
  <si>
    <t>182215IDC00547</t>
  </si>
  <si>
    <t>泰州3电信</t>
  </si>
  <si>
    <t>CACDNTAIZCT</t>
  </si>
  <si>
    <t>20220801开始计费，使用288个180.122.77.0/24 58.222.57.160/27</t>
  </si>
  <si>
    <t>退租128个，180.122.77.128/25。剩余180.122.77.0/25 58.222.57.160/27</t>
  </si>
  <si>
    <t>IPV6：免费赠送一段/64的IPV6</t>
  </si>
  <si>
    <t>20220801开始计费，CACDNTAIZCT13F-D-12,CACDNTAIZCT13F-D-13,CACDNTAIZCT13F-D-14,CACDNTAIZCT13F-D-15,CACDNTAIZCT13F-D-16</t>
  </si>
  <si>
    <t>182315IDC00092</t>
  </si>
  <si>
    <t>CACDNTAIZCT13F-D-17,CACDNTAIZCT13F-D-18</t>
  </si>
  <si>
    <t>江苏网擎信息技术有限公司</t>
  </si>
  <si>
    <t>江苏网擎</t>
  </si>
  <si>
    <t>182315IDC00011</t>
  </si>
  <si>
    <t>常州4电信</t>
  </si>
  <si>
    <t>CACDNCZCT2</t>
  </si>
  <si>
    <t>20221001开始计费，使用288个，免费160个，收费128个，58.216.66.0/24 222.185.224.0/27</t>
  </si>
  <si>
    <t>20221027退租160个，58.216.66.128/25</t>
  </si>
  <si>
    <t>IPV6：赠送1段 /64</t>
  </si>
  <si>
    <t>20221001开始计费，CZ4CT3F-8-1,CZ4CT3F-8-2,CZ4CT3F-8-3,CZ4CT3F-8-4</t>
  </si>
  <si>
    <t>182315IDC00013</t>
  </si>
  <si>
    <t>常州2移动</t>
  </si>
  <si>
    <t>CACDNCZCM2</t>
  </si>
  <si>
    <t>边缘计算使用160个，223.109.77.64/27 223.109.77.128/25</t>
  </si>
  <si>
    <t>边缘计算，2409:8c20:3c42:31::/64</t>
  </si>
  <si>
    <t>边缘计算，BECCZ2CM-3F8-06</t>
  </si>
  <si>
    <t>182315IDC00012</t>
  </si>
  <si>
    <t xml:space="preserve">   CACDNCZUN</t>
  </si>
  <si>
    <t>边缘计算使用64个，112.82.240.128/26</t>
  </si>
  <si>
    <t>边缘计算，2408:873c:3810:4::/64</t>
  </si>
  <si>
    <t>边缘计算，BECCZUN-3F8-05</t>
  </si>
  <si>
    <t>深圳万象天地科技有限公司</t>
  </si>
  <si>
    <t>深圳万象天地</t>
  </si>
  <si>
    <t>L20230321001</t>
  </si>
  <si>
    <t>盐城</t>
  </si>
  <si>
    <t>盐城2移动</t>
  </si>
  <si>
    <t>20221001开始计费。使用288个，223.109.44.0/24 36.156.102.32/27</t>
  </si>
  <si>
    <t>20230322CDN转出128个给BEC，223.109.44.128/25</t>
  </si>
  <si>
    <t>20230323BEC转入128个，223.109.44.128/25</t>
  </si>
  <si>
    <t>IPV6：赠送11 段/64。</t>
  </si>
  <si>
    <t>20221001开始计费。YANC2CM-2F10-21 YANC2CM-2F10-22</t>
  </si>
  <si>
    <t>山东蓝海领航大数据发展有限公司</t>
  </si>
  <si>
    <t>蓝海领航</t>
  </si>
  <si>
    <t>L20230119004</t>
  </si>
  <si>
    <t>济南11移动</t>
  </si>
  <si>
    <t>CDNJNIX</t>
  </si>
  <si>
    <t>边缘计算，使用512个，120.223.238.0/24,
120.223.239.0/24</t>
  </si>
  <si>
    <t>BECJN11CM-103-G1
BECJN11CM-103-G2
BECJN11CM-103-G3
BECJN11CM-103-G4
BECJN11CM-103-G5
BECJN11CM-103-G6
BECJN11CM-103-G7
BECJN11CM-103-G8
BECJN11CM-103-G9
BECJN11CM-103-H1
BECJN11CM-103-H2
BECJN11CM-103-H3
BECJN11CM-103-H4
BECJN11CM-103-H5
BECJN11CM-103-H6
BECJN11CM-103-H7
BECJN11CM-103-H8
BECJN11CM-103-H9
BECJN11CM-103-H10</t>
  </si>
  <si>
    <t>代理商-林加</t>
  </si>
  <si>
    <t>浙江宁波本电网络科技有限公司</t>
  </si>
  <si>
    <t>浙江本电</t>
  </si>
  <si>
    <t>L20230204008</t>
  </si>
  <si>
    <t>宁波8电信</t>
  </si>
  <si>
    <t>CACDNNBCT2</t>
  </si>
  <si>
    <t>20220303开始计费，免费128个，使用128个，183.136.195.0/25</t>
  </si>
  <si>
    <t>20220303开始计费，免费14个，在用2个；NB8CT2F201-01,NB8CT2F201-02</t>
  </si>
  <si>
    <t>182215IDC00563</t>
  </si>
  <si>
    <t>宁波7电信</t>
  </si>
  <si>
    <t>CACDNNBCT</t>
  </si>
  <si>
    <t>20210909开始计费，使用160个，免费128个，收费32个，183.134.235.0/25 183.134.239.0/27</t>
  </si>
  <si>
    <t>20210909开始计费，NB7CT-B-1，NB7CT-B-2</t>
  </si>
  <si>
    <t>华北-林加</t>
  </si>
  <si>
    <t>北京艾维通信有限公司</t>
  </si>
  <si>
    <t>艾维</t>
  </si>
  <si>
    <t>L20230203003</t>
  </si>
  <si>
    <t>维护费</t>
  </si>
  <si>
    <t>广州市天河区五山路381号华南理工大学电讯楼1楼---广州市南沙区平谦国际现代产业园B冻一层M3A；
广州市天河区五山路381号华南理工大学电讯楼1楼---广州市南沙区平谦国际现代产业园B冻一层M3A</t>
  </si>
  <si>
    <t>202210 教育网光纤设备维护费。原广东有线合同中裸光纤部分转签至中信、跳纤及设备维护费计提在艾维</t>
  </si>
  <si>
    <t>北京华盛云融科技有限公司</t>
  </si>
  <si>
    <t>华盛云融（鹏博士CDN）</t>
  </si>
  <si>
    <t>L20230203002</t>
  </si>
  <si>
    <t>北京鹏博士2</t>
  </si>
  <si>
    <t>CDNBJPBS</t>
  </si>
  <si>
    <t>124.192.164.0/24,124.192.165.0/24</t>
  </si>
  <si>
    <t>CDNSHPBS</t>
  </si>
  <si>
    <t>124.14.15.0/25</t>
  </si>
  <si>
    <t>武汉鹏博士</t>
  </si>
  <si>
    <t>CDNWHPBS</t>
  </si>
  <si>
    <t>43.224.186.0/25</t>
  </si>
  <si>
    <t>佛山鹏博士</t>
  </si>
  <si>
    <t>CDNFSPBS</t>
  </si>
  <si>
    <t>180.88.56.0/24,180.88.57.0/27</t>
  </si>
  <si>
    <t>成都鹏博士</t>
  </si>
  <si>
    <t>CDNCDPBS</t>
  </si>
  <si>
    <t>211.162.160.0/24</t>
  </si>
  <si>
    <t>重庆鹏博士</t>
  </si>
  <si>
    <t>CDNCQPBS</t>
  </si>
  <si>
    <t>211.162.215.0/25</t>
  </si>
  <si>
    <t>沈阳鹏博士</t>
  </si>
  <si>
    <t>CDNSYPBS</t>
  </si>
  <si>
    <t>101.246.172.0/24,101.246.172.0/25 这两是一段。256个</t>
  </si>
  <si>
    <t>L20221110007</t>
  </si>
  <si>
    <t>深圳鹏博士</t>
  </si>
  <si>
    <t>CDNSZPBS</t>
  </si>
  <si>
    <t>合同主体由星缘新动力变更为鹏博士SZPBS2F-K-01、SZPBS2F-K-02、SZPBS2F-K-03、SZPBS2F-K-04、SZPBS2F-K-05、SZPBS2F-K-06、SZPBS2F-K-07、SZPBS2F-K-08</t>
  </si>
  <si>
    <t>20201111退租4个机架：SZPBS2F-K-05, SZPBS2F-K-06, SZPBS2F-K-07, SZPBS2F-K-08。220.113.150.0/24</t>
  </si>
  <si>
    <t>20210510退租：SZPBS2F-K-01,SZPBS2F-K-02,SZPBS2F-K-03,SZPBS2F-K-04</t>
  </si>
  <si>
    <t>合同主体由星缘新动力变更为鹏博士
SHPBS1F-D-05、SHPBS1F-D-11</t>
  </si>
  <si>
    <t>L20221110001</t>
  </si>
  <si>
    <t>SHPBS扩容1个机柜 SHPBS1F-C-03</t>
  </si>
  <si>
    <t>合同主体由星缘新动力变更为鹏博士
WHPBS2F-G-10、WHPBS2F-G-09</t>
  </si>
  <si>
    <t>合同主体由星缘新动力变更为鹏博士
SYPBS2F-A-06、SYPBS2F-A-07、SYPBS2F-A-08、SYPBS2F-A-09、SYPBS2F-A-10</t>
  </si>
  <si>
    <t>20210510退租：SYPBS2F-A-08,SYPBS2F-A-09,SYPBS2F-A-10</t>
  </si>
  <si>
    <t>SYPBS扩容1个机柜：SYPBS2F-A-08</t>
  </si>
  <si>
    <t>合同主体由星缘新动力变更为鹏博士
CQPBS2F-A-09</t>
  </si>
  <si>
    <t>合同主体由星缘新动力变更为鹏博士
CDPBS2F-L-103、CDPBS2F-L-102、CDPBS2F-L-109、CDPBS2F-L-110、CDPBS2F-L-127</t>
  </si>
  <si>
    <t>20210510退租：CDPBS2F-L-109,CDPBS2F-L-110,CDPBS2F-L-127</t>
  </si>
  <si>
    <t>合同主体由星缘新动力变更为鹏博士
FSPBS1F-B-01、FSPBS1F-B-02、FSPBS1F-B-03、FSPBS1F-B-04</t>
  </si>
  <si>
    <t>FSPBS1F-B-01、FSPBS1F-B-02、FSPBS1F-B-03、FSPBS1F-B-04</t>
  </si>
  <si>
    <t>FSPBS1F-G-20、FSPBS1F-G-21</t>
  </si>
  <si>
    <t>FSPBS 20220118扩容1个机柜：FSPBS1F-G-19</t>
  </si>
  <si>
    <t>合同主体由星缘新动力变更为鹏博士
BJPBS1FM1-01-30、BJPBS1FM1-01-31、BJPBS1FM1-01-32、BJPBS1FM1-01-33、BJPBS1FM1-01-34、BJPBS1FM1-01-29、BJPBS1FM1-01-27、BJPBS1FM1-01-28</t>
  </si>
  <si>
    <t>2021/5/10退租：BJPBS1FM1-01-31、BJPBS1FM1-01-32、BJPBS1FM1-01-33、BJPBS1FM1-01-34</t>
  </si>
  <si>
    <t>BJ2PBS退租1个机柜：BJPBS1FM1-01-30</t>
  </si>
  <si>
    <t>北京中关村软件园发展有限责任公司</t>
  </si>
  <si>
    <t>中关村</t>
  </si>
  <si>
    <t>182115IDC00053</t>
  </si>
  <si>
    <t>科技园-软件园园区</t>
  </si>
  <si>
    <t>移动 电信 联通共布放9条96芯（48对芯）的光纤，目前开通3条，三家运营商各1条，长度5.8公里。需要关联正式合同182115IDC00053</t>
  </si>
  <si>
    <t>华南-林加</t>
  </si>
  <si>
    <t>成都旭荣云科技有限公司</t>
  </si>
  <si>
    <t>成都旭荣</t>
  </si>
  <si>
    <t>L20230223039</t>
  </si>
  <si>
    <t>成都2联通</t>
  </si>
  <si>
    <t>CACDNCDUN</t>
  </si>
  <si>
    <t>边缘计算：119.6.229.128/25</t>
  </si>
  <si>
    <t>边缘计算：116.169.50.0/24</t>
  </si>
  <si>
    <t>CDN使用：101.206.106.0/25</t>
  </si>
  <si>
    <t>成都2联通IP V6共使用2段，免费1段，收费1段。CDN  IPV6:2408:8766:000C:0102::/64</t>
  </si>
  <si>
    <t>成都2联通IP V6共使用2段，免费1段，收费1段。BEC  PV6: 2408:8766:C:103::/64</t>
  </si>
  <si>
    <t>边缘计算：BECCD2UN5F501-C-01、BECCD2UN5F501-C-02、BECCD2UN5F501-C-03、BECCD2UN5F501-C-04、BECCD2UN5F501-C-05、BECCD2UN5F501-C-06、BECCD2UN5F501-C-07、BECCD2UN5F501-C-08、BECCD2UN5F501-C-09、BECCD2UN5F501-C-10、BECCD2UN5F501-C-11、BECCD2UN5F501-C-12、BECCD2UN5F501-C-13、BECCD2UN5F501-C-14、BECCD2UN5F501-C-15、BECCD2UN5F501-C-16、BECCD2UN5F501-C-17、BECCD2UN5F501-C-18、BECCD2UN5F501-C-19、BECCD2UN5F501-C-20、BECCD2UN5F501-C-21、BECCD2UN5F501-C-22、BECCD2UN5F501-C-23、BECCD2UN5F501-C-24、BECCD2UN5F501-D-01</t>
  </si>
  <si>
    <t>CDN使用：CDUN5F-D-02</t>
  </si>
  <si>
    <t>边缘计算：BECCD2UN5F501-B-01、BECCD2UN5F501-B-02、BECCD2UN5F501-B-03、BECCD2UN5F501-B-04、BECCD2UN5F501-B-07、BECCD2UN5F501-B-06、BECCD2UN5F501-B-07、BECCD2UN5F501-B-08、BECCD2UN5F501-B-09</t>
  </si>
  <si>
    <t>广东有线广播电视网络有限公司</t>
  </si>
  <si>
    <t>广东有线</t>
  </si>
  <si>
    <t>L20210530001</t>
  </si>
  <si>
    <t>根据预审合同添加计提行。2021.5.1元赛尔下裸光纤合规转签给 广东有线：广州市天河区五山路381号华南理工大学电讯楼1楼---广州市南沙区平谦国际现代产业园B冻一层M3A；
广州市天河区五山路381号华南理工大学电讯楼1楼---广州市南沙区平谦国际现代产业园B冻一层M3A</t>
  </si>
  <si>
    <t>2022.2合规转签至中信</t>
  </si>
  <si>
    <t>赛尔新技术（北京）有限公司</t>
  </si>
  <si>
    <t>赛尔</t>
  </si>
  <si>
    <t>L20230203001</t>
  </si>
  <si>
    <t>北京教育网</t>
  </si>
  <si>
    <t>CDNBJCE2</t>
  </si>
  <si>
    <t>222.199.191.0/24</t>
  </si>
  <si>
    <t>武汉教育网</t>
  </si>
  <si>
    <t>CDNWHCE</t>
  </si>
  <si>
    <t>122.205.109.0/25</t>
  </si>
  <si>
    <t>上海教育网</t>
  </si>
  <si>
    <t>CDNSHCE</t>
  </si>
  <si>
    <t>59.78.173.0/25</t>
  </si>
  <si>
    <t>182115IDC00598</t>
  </si>
  <si>
    <t>20211201机柜搬迁变更机架编号，变更后BJCE15F-B-109、BJCE15F-B-110，变更前BJ2CE2F-C-09、BJ2CE2F-C-10</t>
  </si>
  <si>
    <t>20211201BJCE扩容20G，新增1个机柜：BJCE15F-B-114</t>
  </si>
  <si>
    <t>SHCE1F-102-31</t>
  </si>
  <si>
    <t>WHCE2F-B-13</t>
  </si>
  <si>
    <t>L20210407003</t>
  </si>
  <si>
    <t>华南理工-M2A</t>
  </si>
  <si>
    <t>广州教育网出口-广州南沙机房</t>
  </si>
  <si>
    <t>2021.5.1合规转签给 广东有线：广州教育网出口-广州南沙机房</t>
  </si>
  <si>
    <t>L20220419001</t>
  </si>
  <si>
    <t>GZCE</t>
  </si>
  <si>
    <t>CDNGZCE</t>
  </si>
  <si>
    <t>免费节点，预计使用1个月：110.64.37.0/25、110.64.37.128/27</t>
  </si>
  <si>
    <t>广州教育网</t>
  </si>
  <si>
    <t>免费节点，预计使用1个月：GZCE2F-B-02</t>
  </si>
  <si>
    <t>华东-林加</t>
  </si>
  <si>
    <t>中广宽带网络有限公司</t>
  </si>
  <si>
    <t>中广宽带</t>
  </si>
  <si>
    <t>182215IDC00557</t>
  </si>
  <si>
    <t>湖北武汉</t>
  </si>
  <si>
    <t>武汉2广电</t>
  </si>
  <si>
    <t>CDNWHOC2</t>
  </si>
  <si>
    <t>【CDN新建】湖北武汉广电新建20G免费节点，开通128个IP：58.48.98.0/25</t>
  </si>
  <si>
    <t>【CDN新建】湖北武汉广电新建20G免费节点，开通2个机架：WH2OC3FIDC-0-01、WH2OC3FIDC-0-02</t>
  </si>
  <si>
    <t>温州三线-电信</t>
  </si>
  <si>
    <t>182215IDC00473</t>
  </si>
  <si>
    <t>温州三线</t>
  </si>
  <si>
    <t>温州三级电信</t>
  </si>
  <si>
    <t>CDNWZIX</t>
  </si>
  <si>
    <t>IPV4：122.228.213.0/24,122.228.81.32/27 
IPV6：240E:F7:C000:0308::/64</t>
  </si>
  <si>
    <t>WZIX-H-03、WZIX-H-04、WZIX-H-05、WZIX-H-06、WZIX-H-08、WZIX-H-09</t>
  </si>
  <si>
    <t>条</t>
  </si>
  <si>
    <t>温州三线B2回源光纤：1、5772GQL16442767兰江软件园B幢4005D
5772GQL16447274滨海明珠路788号IDC机房
2、5772GQL16444297兰江软件园B幢4005D
5772GQL16443531滨海明珠路788号IDC机房</t>
  </si>
  <si>
    <t>温州三线-联通</t>
  </si>
  <si>
    <t>182215IDC00471</t>
  </si>
  <si>
    <t>温州三级联通</t>
  </si>
  <si>
    <t>IPV4：101.69.133.0/24,123.159.206.224/27
IPV6：2408:8740:31FE:0011::/64</t>
  </si>
  <si>
    <t>WZIX-F-08、WZIX-F-09、WZIX-F-10、WZIX-F-11、WZIX-H-01、WZIX-H-02</t>
  </si>
  <si>
    <t>温州三线-移动</t>
  </si>
  <si>
    <t>182215IDC00472</t>
  </si>
  <si>
    <t>温州三级移动</t>
  </si>
  <si>
    <t>IPV4：117.149.244.0/24 ,112.16.228.0/27
IPV6：2409:8c28:30b0:0008::/64</t>
  </si>
  <si>
    <t>WZIX-F-02、WZIX-F-03、WZIX-F-04、WZIX-F-05、WZIX-F-06、WZIX-F-07</t>
  </si>
  <si>
    <t>中国电信股份有限公司江西分公司</t>
  </si>
  <si>
    <t>江西电信</t>
  </si>
  <si>
    <t>182215IDC00531</t>
  </si>
  <si>
    <t>CDNNCCT2 南昌</t>
  </si>
  <si>
    <t>南昌3电信</t>
  </si>
  <si>
    <t>CDNNCCT2</t>
  </si>
  <si>
    <t>2022.4.16与SYS核对IP，更新使用数量及IP段117.41.247.0/25。
南昌电信边缘计算节点新申请（扩容）如下资源，接入cdn核心交换机地址为：106.225.194.1于2020-12-11正式开通；
新增128个IP:59.63.229.128/25。均免费</t>
  </si>
  <si>
    <t>南昌电信</t>
  </si>
  <si>
    <t>IPV4：106.225.194.0/24；59.63.229.0/24。赠送IPV6地址2条/64：</t>
  </si>
  <si>
    <t>南昌3电信边缘计算节点新增2个机架，128个IP,于2021-05-17正式开通，2021/6/1开始计费：117.41.247.0/25</t>
  </si>
  <si>
    <t>退租128个，106.225.194.128/25</t>
  </si>
  <si>
    <t>机架免费，每2个万兆送1个机柜，220G共送11个，实际使用9个。
NC3CT-C-3、NC3CT-F-3、NC3CT-C-4、BECNCCT6F-F-04、BECNCCT6F-F-05</t>
  </si>
  <si>
    <t>江西南昌2</t>
  </si>
  <si>
    <t>每2个万兆送1个机柜，220G共送11个，实际使用9个。江西南昌电信 增量40G，增7个机柜，免费NC3CT-F-2,NC3CT-C-2,NC3CT-C-1,NC3CT-F-1,NCCT6F-10-05,NCCT6F-10-06,NCCT6F-10-07</t>
  </si>
  <si>
    <t xml:space="preserve">每2个万兆送1个机柜，220G共送11个，实际使用9个。
nc2ct的带宽合并至nc3ct，nc2ct节点下线，机房CDNNCCT2退租部分资源：NCCT6F-10-05、NCCT6F-10-06、NCCT6F-10-07，
退租IP：59.63.229.128/25,59.63.217.64/27
</t>
  </si>
  <si>
    <t>南昌电信边缘计算节点新申请（扩容）如下资源，接入cdn核心交换机地址为：106.225.194.1于2020-12-11正式开通。机柜加电时间2020/12/13。NCCT6F-F-15，机架免费</t>
  </si>
  <si>
    <t>南昌3电信边缘计算节点新增2个机架，128个IP,于2021-05-17正式开通，2021/6/1开始计费，其中1个机架免费，1个机架超出免费范围：BECNCCT6F-C-06、BECNCCT6F-C-07</t>
  </si>
  <si>
    <t>2021.11从NC3CT拆出210G，11月免费。保留的10G边缘正常计费。原节点退租6个免费机柜：NC3CT-C-1、NC3CT-F-1、NC3CT-C-2、NC3CT-C-3、NC3CT-F-2、NC3CT-C-4、NC3CT-F-3，新节点增加6个免费机柜：NCCT3A01-D-7、NCCT3A01-D-8、NCCT3A01-D-9、NCCT3A01-D-10、NCCT3A01-D-11、NCCT3A01-D-12。因不涉及计费，且下月即还原，故本月未操作系统</t>
  </si>
  <si>
    <t>2021.11从NC3CT拆出210G，11月免费。保留的10G边缘正常计费。原节点退租6个免费机柜：NC3CT-C-1、NC3CT-F-1、NC3CT-C-2、NC3CT-C-3、NC3CT-F-2、NC3CT-C-4、NC3CT-F-3从2021.12开始还原</t>
  </si>
  <si>
    <t>南昌4电信</t>
  </si>
  <si>
    <t>2021.12.3退租。</t>
  </si>
  <si>
    <t>【CDN退租】CDN江西南昌电信退租信息 (NC3CT)退租机柜：NC3CT-C-4</t>
  </si>
  <si>
    <t>L20221129001</t>
  </si>
  <si>
    <t>南昌5电信</t>
  </si>
  <si>
    <t>CDNNCCT4</t>
  </si>
  <si>
    <t>使用288个，106.227.30.0/24 106.227.31.0/27</t>
  </si>
  <si>
    <t>20221231退租。106.227.30.0/24 106.227.31.0/27</t>
  </si>
  <si>
    <t>NC5CT1F04-I-01,NC5CT1F04-I-02,NC5CT1F04-I-03,NC5CT1F04-I-04,NC5CT1F04-I-05,NC5CT1F04-I-06</t>
  </si>
  <si>
    <t>中国电信股份有限公司宁波分公司</t>
  </si>
  <si>
    <t>宁波电信</t>
  </si>
  <si>
    <t>182215IDC00241</t>
  </si>
  <si>
    <t>宁波电信SSL</t>
  </si>
  <si>
    <t>CDNNBCT2</t>
  </si>
  <si>
    <t>根据2021.10.13与宁波电信对 IPV4及互联IP的核对结果（已包含NB5CT 9.16扩容的IP），CDN（不含边缘计算）共使用1776个，BEC使用640个，SSL使用780个，共3196个，运营商免费提供3196个，IP全部免费
SSL使用IP段为：183.131.53.172/30*（互联地址）、
115.231.186.0/23、
183.131.53.176/29*（互联地址）、
122.246.5.0/24</t>
  </si>
  <si>
    <t>宁波5电信</t>
  </si>
  <si>
    <t>根据2021.10.13与宁波电信对 IPV4及互联IP的核对结果（已包含NB5CT 9.16扩容的IP），CDN（不含边缘计算）共使用1776个，BEC使用640个，SSL使用780个，共3196个，运营商免费提供3196个，IP全部免费
CDN使用IP段为：183.131.62.0/23、
183.136.137.0/27、
183.136.137.32/27（增加)、
183.136.137.64/26(增加）、
115.238.189.0/25、
115.231.178.160/27、
183.136.137.128/25、
115.231.41.0/24、
115.238.189.128/25、
122.227.228.224/27、
115.238.187.0/24、
122.227.251.160/27*（互联地址）、
183.131.50.192/26*（互联地址）、
115.231.179.80/29*（互联地址）、
115.231.179.48/28*（互联地址）、
122.227.251.128/27*（互联地址）、
115.231.179.64/28*（互联地址）、
115.231.179.40/29*（互联地址）
BEC使用IP段为：
183.131.37.0/24、
122.246.16.128/25、
122.227.228.0/25、
115.231.179.128/25</t>
  </si>
  <si>
    <t>宁波4电信</t>
  </si>
  <si>
    <t>2022.6.30【CDN退租】CDN浙江宁波电信退租IP (NB4CT)：115.238.187.0/24，183.136.137.0/27</t>
  </si>
  <si>
    <t>宁波
NB2CTCACHE</t>
  </si>
  <si>
    <t>宁波电信CACHE2</t>
  </si>
  <si>
    <t>115.231.41.0/24,115.238.189.0/24,122.227.228.0/24</t>
  </si>
  <si>
    <t>CBUCDNNBCT</t>
  </si>
  <si>
    <t>从2022.8开始使用25个，免费22个，收费3个。截止2022.2使用的机架编号为：NBCT3F-4-J4、NBCT3F-4-J1、NBCT3F-4-J2、NBCT3F-4-J3
CDN使用，带宽保底132G，每6G送1个机架，免费22个
2020.3更新机房名称，原NB01共536个，拆分为CBUCDNNBCT 12个，NB01 11个和NB01 513个：NB5CT5F-A-10、NB5CT5F-A-06、NB5CT5F-A-07、NB5CT5F-A-08、NB5CT5F-A-09、NB5CT5F-A-03、NB5CT5F-A-04、NB5CT5F-A-05、NBCT3F-4-J4、NBCT3F-4-J1、NBCT3F-4-J2、NBCT3F-4-J3</t>
  </si>
  <si>
    <t>从2022.8开始使用25个，免费22个，收费3个。截止2022.2使用的机架编号为：NB5CT5F-A-10、NB5CT5F-A-06、NB5CT5F-A-07、NB5CT5F-A-08、NB5CT5F-A-09、NB5CT5F-A-03、NB5CT5F-A-04、NB5CT5F-A-05
CDN使用，带宽保底132G，每6G送1个机架，免费22个
2020.3更新机房名称，原NB01共536个，拆分为CBUCDNNBCT 12个，NB01 11个和NB01 513个：NB5CT5F-A-10、NB5CT5F-A-06、NB5CT5F-A-07、NB5CT5F-A-08、NB5CT5F-A-09、NB5CT5F-A-03、NB5CT5F-A-04、NB5CT5F-A-05、NBCT3F-4-J4、NBCT3F-4-J1、NBCT3F-4-J2、NBCT3F-4-J3</t>
  </si>
  <si>
    <t>L20220305002</t>
  </si>
  <si>
    <t>NB01</t>
  </si>
  <si>
    <t>CDN使用，带宽保底132G，每6G送1个机架，免费22个
2020.3更新机房名称，原NB01共536个，拆分为CBUCDNNBCT 12个，NB01 11个和NB01 513个：NB01205-H-01~NB01205-H-11</t>
  </si>
  <si>
    <t>CDN使用，带宽保底132G，每6G送1个机架，免费22个。
宁波4电信(NB4CT)退租80G，退4个机架：NBCT3F-4-J4、NBCT3F-4-J3、NBCT3F-4-J2、NBCT3F-4-J1</t>
  </si>
  <si>
    <t>CDN使用，带宽保底132G，每6G送1个机架，免费22个
宁波2电信二级(NB2CTCACHE)退160G，退11个机架
NB01205-H-11、NB01205-H-10、NB01205-H-09、NB01205-H-08、NB01205-H-07、NB01205-H-06、NB01205-H-05、NB01205-H-04、NB01205-H-03、NB01205-H-01、NB01205-H-02</t>
  </si>
  <si>
    <t>CDN使用，带宽保底132G，每6G送1个机架，免费22个
2020/9/16宁波4电信(NB4CT)重新上线80G，开通4个机架：NBCT3F-4-J4、NBCT3F-4-J3、NBCT3F-4-J2、NBCT3F-4-J1</t>
  </si>
  <si>
    <t>2022.6.30【CDN退租】CDN浙江宁波电信退租机柜 (NB4CT)：NBCT3F-4-J4、NBCT3F-4-J3、NBCT3F-4-J2、NBCT3F-4-J1</t>
  </si>
  <si>
    <t>CDN使用，带宽保底132G，每6G送1个机架，免费22个
2020/8/1宁波2电信二级(NB2CTCACHE)重新上线160G，开通11个机架，其中收费3个，8个免费
NB01205-H-04、NB01205-H-05、NB01205-H-06、NB01205-H-07、NB01205-H-08、NB01205-H-09、NB01205-H-10、NB01205-H-11</t>
  </si>
  <si>
    <t>从2022.8开始使用25个，免费22个，收费3个。CDN使用，带宽保底132G，每6G送1个机架，免费22个。
2020/8/1宁波2电信二级(NB2CTCACHE)重新上线160G，开通11个机架，其中收费3个,8个免费
NB01205-H-03、NB01205-H-01、NB01205-H-02（NB2CT205-H-01、NB2CT205-H-02、NB2CT205-H-03 SYS侧是这3个机柜编号）</t>
  </si>
  <si>
    <t>从2022.8开始使用25个，免费22个，收费3个。CDN使用，带宽保底132G，每6G送1个机架，免费22个
2021/5/31退租3个机架：NB5CT5F-A-08、NB5CT5F-A-09、NB5CT5F-A-10</t>
  </si>
  <si>
    <t>CDN使用，带宽保底132G，每6G送1个机架，免费22个。
边缘计算BECNB5CT5F-A-01、 
BECNB5CT5F-A-02</t>
  </si>
  <si>
    <t>2021/8/31退租8个机柜：NB01205-H-11、NB01205-H-10、NB01205-H-09、NB01205-H-08、NB01205-H-07、NB01205-H-06、NB01205-H-05、NB01205-H-04</t>
  </si>
  <si>
    <t>从2022.8开始使用25个，免费22个，收费3个。2021/8/31退租8个机柜：NB01205-H-11、NB01205-H-10、NB01205-H-09、NB01205-H-08、NB01205-H-07、NB01205-H-06、NB01205-H-05、NB01205-H-04</t>
  </si>
  <si>
    <t>NB2CT2F-H-04、NB2CT2F-H-05</t>
  </si>
  <si>
    <t>从2022.8开始使用25个，免费22个，收费3个。CDN使用，带宽保底132G，每6G送1个机架，免费22个。SSL6个全部收费
NBCT23F-F-09
NBCT23F-F-10
NBCT23F-F-11
CDNNBCT23F-G-11
CDNNBCT23F-G-09
CDNNBCT23F-G-10</t>
  </si>
  <si>
    <t>从2022.8开始使用25个，免费22个，收费3个。NBCT23F-G-11</t>
  </si>
  <si>
    <t>从2022.8开始使用25个，免费22个，收费3个。宁波电信边缘计算节点新增1个机架，128个IP，于2021-04-14正式开通，2021.5.16开始计费：BECNBCT3F-A-11</t>
  </si>
  <si>
    <t>从2022.8开始使用25个，免费22个，收费3个。NB5CT 2021/10/1扩容12个机架，其中5个收费：BECNBCT3F-B-08、
BECNBCT3F-B-09、
BECNBCT3F-B-10、
BECNBCT3F-B-11、
BECNBCT3F-A-12
按照甲方每保底到达6G，乙方配备1个机柜，超出配备范围的机柜数量按照4700元/柜/月进行收费。可免费送22个机柜</t>
  </si>
  <si>
    <t>NB5CT 2021/10/1扩容12个机架其中7个免费：BECNBCT3F-B-01、
BECNBCT3F-B-02、
BECNBCT3F-B-03、
BECNBCT3F-B-04、
BECNBCT3F-B-05、
BECNBCT3F-B-06、
BECNBCT3F-B-07
按照甲方每保底到达6G，乙方配备1个机柜，超出配备范围的机柜数量按照4700元/柜/月进行收费。可免费送22个机柜</t>
  </si>
  <si>
    <t>从2022.8开始使用25个，免费22个，收费3个。NB5CT 2021/12/15扩容1个机架：BECNB5CT5F-A-10，于2021.12.15开始计费
按照甲方每保底到达6G，乙方配备1个机柜，超出配备范围的机柜数量按照4700元/柜/月进行收费。可免费送22个机柜</t>
  </si>
  <si>
    <t>从2022.8开始使用25个，免费22个，收费3个。NB5CT 2022/1/15扩容1个机架：BECNBCT3F-A-09，于2022.1.15开始计费
按照甲方每保底到达6G，乙方配备1个机柜，超出配备范围的机柜数量按照4700元/柜/月进行收费。可免费送22个机柜</t>
  </si>
  <si>
    <t>从2022.8开始使用25个，免费22个，收费3个。NB5CT5F-A-06,NB5CT5F-A-05,NB5CT5F-A-04,NB5CT5F-A-03,NB5CT5F-A-07</t>
  </si>
  <si>
    <t>中国电信股份有限公司温州分公司</t>
  </si>
  <si>
    <t>温州电信</t>
  </si>
  <si>
    <t>L20221110002</t>
  </si>
  <si>
    <t>温州2电信</t>
  </si>
  <si>
    <t>CDNWZCT</t>
  </si>
  <si>
    <t>2022.6带宽20G，IP仍然免费
60.190.117.0/24;60.190.116.0/24</t>
  </si>
  <si>
    <t>温州10电信</t>
  </si>
  <si>
    <t>CDNWZCT2</t>
  </si>
  <si>
    <t>2022/2/1 新建WZ10CT，该节点为免费节点：115.223.16.0/24</t>
  </si>
  <si>
    <t>免费节点退租：115.223.16.0/24</t>
  </si>
  <si>
    <t>WZCT2F-H-01、WZCT2F-H-02、WZCT2F-H-03、WZCT2F-H-04、WZCT2F-H-05、WZCT2F-H-06、WZCT2F-H-07、WZCT2F-H-08、WZCT2F-I-01、WZCT2F-I-02、
WZCT2F-213-H09、
WZCT2F-213-H10、
WZCT2F-213-H11、
WZCT2F-213-H12、
WZCT2F-213-H13、
WZCT2F-213-H14</t>
  </si>
  <si>
    <t>WZ5CT2F-213H-15、WZ5CT2F-213H-16、WZ5CT2F-213H-17、WZ5CT2F-213H-18</t>
  </si>
  <si>
    <t>2019/12/31WZ5CT退租120G，退4个机柜，288个IP
WZ5CT2F-213H-15、WZ5CT2F-213H-16、WZ5CT2F-213H-17、WZ5CT2F-213H-18</t>
  </si>
  <si>
    <t>6个机架5.31退租。6-10月多计提的费用在付款时冲销
WZCT2F-213-H09、
WZCT2F-213-H10、
WZCT2F-213-H11、
WZCT2F-213-H12、
WZCT2F-213-H13、
WZCT2F-213-H14</t>
  </si>
  <si>
    <t>WZ8CT关闭，退租2个机柜:WZCT2F-I-02、WZCT2F-I-01</t>
  </si>
  <si>
    <t>温州电信2退租220G，同时退租6个机柜：WZCT2F-H-04、WZCT2F-H-08、WZCT2F-H-05、WZCT2F-H-03、WZCT2F-H-02、WZCT2F-H-01</t>
  </si>
  <si>
    <t>2022/6/24 WZ2CT退租1个机柜：WZCT2F-H-07</t>
  </si>
  <si>
    <t>2022/2/1 新建WZ10CT，该节点为免费节点：WZ10CT4F4C-B-03、WZ10CT4F4C-B-05、WZ10CT4F4C-B-04</t>
  </si>
  <si>
    <t>免费节点退租：WZ10CT4F4C-B-03、WZ10CT4F4C-B-05、WZ10CT4F4C-B-04</t>
  </si>
  <si>
    <t>中国电信股份有限公司湖州分公司</t>
  </si>
  <si>
    <t>182315IDC00041</t>
  </si>
  <si>
    <t>湖州2电信</t>
  </si>
  <si>
    <t>CDNHUZCT</t>
  </si>
  <si>
    <t>边缘计算，115.231.28.0/26</t>
  </si>
  <si>
    <t>边缘计算，240E:F7:8E00:700:: 56</t>
  </si>
  <si>
    <t>BECHUZ2CT-4F19-11</t>
  </si>
  <si>
    <t>中国联合网络通信有限公司杭州市分公司</t>
  </si>
  <si>
    <t>杭州联通</t>
  </si>
  <si>
    <t>182215IDC00346</t>
  </si>
  <si>
    <t>杭州2联通</t>
  </si>
  <si>
    <t>CDNHZUN3</t>
  </si>
  <si>
    <t>边缘计算节点新建，每个10GE端口核配1个标准机柜及64个IP地址，免费768个IP，超出每个50元，实际使用768个：101.67.21.0/24
101.67.22.0/24
101.67.23.0/24
2408:8740:c3fe:0010::/61
2408:8740:c3fe:0018::/62</t>
  </si>
  <si>
    <t>边缘计算节点新建，每个10GE端口核配1个标准机柜及64个IP地址，免费12个机柜，实际使用1个：BECHZ2UN-D-16</t>
  </si>
  <si>
    <t>中国联合网络通信有限公司湖州市分公司</t>
  </si>
  <si>
    <t>湖州联通</t>
  </si>
  <si>
    <t>182115IDC00406</t>
  </si>
  <si>
    <t>湖州联通SSL</t>
  </si>
  <si>
    <t>SSLHUZHOUUN</t>
  </si>
  <si>
    <t>2018/6/20
2019/1/20</t>
  </si>
  <si>
    <t>杭州联通湖州节点2020.6核对结果，CDN40G，使用256个IP：101.69.172.0/24；SSL10G，使用512个IP：61.241.118.0/24 ；101.69.175.0/24
每万兆送64个IP，共送320个，收费448个</t>
  </si>
  <si>
    <t>湖州
湖州2</t>
  </si>
  <si>
    <t>湖州2联通</t>
  </si>
  <si>
    <t>CDNHUZUN</t>
  </si>
  <si>
    <t>2022/5/31节点退租：101.69.172.0/24</t>
  </si>
  <si>
    <t>湖州联通SSL使用3个机架，湖州联通CDN使用3个机架，CDN SLL共50G，每万兆送1个，共送5个，收费1个</t>
  </si>
  <si>
    <t>2020/4/30退3个
退租后机柜编号HUZUN1F-01-07、HUZUN1F-01-08、HUZUN1F-01-09</t>
  </si>
  <si>
    <t>2022/5/31节点退租：HUZUN1F-01-07、HUZUN1F-01-08、HUZUN1F-01-09</t>
  </si>
  <si>
    <t>2022.6开始湖州联通SSL10G，每10G送1个机柜，使用3个机架，收费2个，免费1个。
THLIDC2-01-12、THLIDC2-01-11</t>
  </si>
  <si>
    <t>2022.6开始湖州联通SSL10G，每10G送1个机柜，使用3个机架，收费2个，免费1个。
THLIDC2-01-10</t>
  </si>
  <si>
    <t>中国联合网络通信有限公司嘉兴市分公司</t>
  </si>
  <si>
    <t>嘉兴联通</t>
  </si>
  <si>
    <t>182215IDC00426</t>
  </si>
  <si>
    <t>CDNJIAXUN</t>
  </si>
  <si>
    <t xml:space="preserve"> 【BEC新建】嘉兴联通边缘计算节点新建100G (JIAXUN)，每万兆送64个IP，使用640个IP：101.68.219.0/24（在用）101.69.193.0/24（在用）101.69.205.128/25（在用），免费640个</t>
  </si>
  <si>
    <t>BEC,2408:8740:71FC:0500::/56</t>
  </si>
  <si>
    <t>10.1开通： 【BEC新建】嘉兴联通边缘计算节点新建100G正式交付  (JIAXUN)，送20个机柜，使用10个：BECJIAXUN-01-04、BECJIAXUN-01-05、BECJIAXUN-01-06、BECJIAXUN-01-07、BECJIAXUN-06-01、BECJIAXUN-06-02、BECJIAXUN-06-03、BECJIAXUN-06-04、BECJIAXUN-06-05、BECJIAXUN-06-06</t>
  </si>
  <si>
    <t>11.1开通： 【BEC新建】嘉兴联通边缘计算节点新建100G正式交付  (JIAXUN)，送20个机柜，使用10个：BECJIAXUN-02-11、BECJIAXUN-02-12、BECJIAXUN-02-13、BECJIAXUN-02-14、BECJIAXUN-02-15、BECJIAXUN-02-16、BECJIAXUN-02-17、BECJIAXUN-02-18、BECJIAXUN-02-19、BECJIAXUN-02-20</t>
  </si>
  <si>
    <t>中国联合网络通信有限公司金华市分公司</t>
  </si>
  <si>
    <t>金华联通</t>
  </si>
  <si>
    <t>182215IDC00691</t>
  </si>
  <si>
    <t>CDNJHUN</t>
  </si>
  <si>
    <t>【BEC新建】金华联通新增200G 节点正式上线  (JHUN)：
IPV4:101.69.97.0/24
101.69.98.0/24
101.69.99.0/24
60.12.147.0/24
60.12.156.0/24;
IPV6:2408:8740:41fc:400::/56</t>
  </si>
  <si>
    <t>每300M签约带宽可申请免费分配1个/56 ipv6前缀地址，不足300M按300M计，最大可免费申请分配256个/56 ipv6前缀地址。</t>
  </si>
  <si>
    <t>【BEC新建】金华联通新增200G 节点正式上线  (JHUN)：赠送20个，目前使用1个，BECJHUN-07-06</t>
  </si>
  <si>
    <t>中国联合网络通信有限公司南昌市分公司</t>
  </si>
  <si>
    <t>江西联通</t>
  </si>
  <si>
    <t>182215IDC00444</t>
  </si>
  <si>
    <t>南昌2联通</t>
  </si>
  <si>
    <t>CDNNCUN</t>
  </si>
  <si>
    <t>根据运营商202210账单看，运营商只收费128个IP费用。
2022.9开始带宽量变为20G，按照19年双方签署的主合同约定，每100G送320个IP，等比折算可送64个，使用416个，收费352个。
2021.7更新使用数量为416个，均免费：118.212.135.0/27；118.212.135.128/25；116.153.0.0/24</t>
  </si>
  <si>
    <t>根据运营商202210账单看，运营商只收费128个IP费用。2022.9开始带宽量变为20G，按照19年双方签署的主合同约定，每100G送320个IP，等比折算可送64个，使用416个，收费352个。</t>
  </si>
  <si>
    <t>根据运营商202210账单看，运营商只收费128个IP费用。2022.9开始带宽量变为20G，按照19年双方签署的主合同约定，每100G送320个IP，等比折算可送64个，使用416个，收费352个。
南昌联通边缘计算节点新申请（扩容）如下资源，接入cdn核心交换机地址为：116.153.0.1于2020-12-11正式开通。新增128个IP免费：116.153.1.0/25。本次无新增机架</t>
  </si>
  <si>
    <t>根据运营商202210账单看，运营商只收费128个IP费用。2022.9开始带宽量变为20G，按照19年双方签署的主合同约定，每100G送320个IP，等比折算可送64个，使用416个，收费352个。
南昌联通边缘计算节点新申请1个机架，128个IP，于2021-03-30正式开通，2021.5.1开始计费：116.153.1.128/25</t>
  </si>
  <si>
    <t>根据运营商202210账单看，运营商只收费128个IP费用。2022.9开始带宽量变为20G，按照19年双方签署的主合同约定，每100G送320个IP，等比折算可送64个，使用416个，收费352个。
2022/7/31 退租IP：116.153.0.128/25，退租后剩余与SYS记录不符，SYS记录剩余416个，116.153.0.0/25 118.212.135.0/27 116.153.1.0/25(BEC IP) 118.212.135.128/25(BEC IP)</t>
  </si>
  <si>
    <t>根据运营商202210账单看，运营商只收费128个IP费用。2022.9开始带宽量变为20G，按照19年双方签署的主合同约定，每100G送320个IP，等比折算可送64个，使用416个，收费352个。
116.153.1.128/25。2022.8.26如流同顾晓佳沟通，按照退租邮件列式的保存资源进行退租</t>
  </si>
  <si>
    <t>2021.9与SYS核对已开通机架情况，调整计提表机架编号。BECNCUN4F-K-02、BECNCUN4F-K-03、NCUN4F-M-09、NCUN4F-M-10</t>
  </si>
  <si>
    <t>南昌联通边缘计算节点新扩容1个机柜，128个IP，于2021-03-30正式开通，均免费：BECNCUN4F-K-04</t>
  </si>
  <si>
    <t>2021/9/10边缘计算新增机柜：BECNCUN4F-K-05</t>
  </si>
  <si>
    <t>NCUN4F-M-10</t>
  </si>
  <si>
    <t>L20210919001</t>
  </si>
  <si>
    <t>2021.9与SYS核对已开通机架情况，共使用7个机架，运营商侧使用6个，K01运营商反馈为列头柜，按照对百度有利原则，放在0金额的临时合同行上BECNCUN4F-K-01</t>
  </si>
  <si>
    <t>中国联合网络通信有限公司绍兴市分公司</t>
  </si>
  <si>
    <t>绍兴联通</t>
  </si>
  <si>
    <t>182115IDC00405</t>
  </si>
  <si>
    <t>绍兴2联通</t>
  </si>
  <si>
    <t>CDNSHAOXUN</t>
  </si>
  <si>
    <t>2020.4.30退租40G后与SYS核对IP资源，共使用384个IP,每万兆送64个，共送256个，收费128个123.157.149.0/24;101.69.223.128/25</t>
  </si>
  <si>
    <t>绍兴联通边缘计算节点新申请1个机架，128个IP于2021-04-12正式开通，从2021/5/1开始计费：101.69.223.0/25</t>
  </si>
  <si>
    <t>2021/7/22退租96个IP：123.157.149.160/27，123.157.149.192/26</t>
  </si>
  <si>
    <t>2018/6/20
2019/12/13</t>
  </si>
  <si>
    <t>共80G，每个万兆送1个机柜，共送4个，超出单价4000。目前CDN使用4个：SHAOXUN7F-B-01、SHAOXUN7F-B-02、SHAOXUN7F-B-03、SHAOXUN7F-B-04；边缘计算使用 2个：BECSHAOXUN7F-B-05、BECSHAOXUN7F-B-06</t>
  </si>
  <si>
    <t xml:space="preserve">2020/4/30退2个，退租后使用机柜编号
SHAOXUN7F-B-03、 
SHAOXUN7F-B-04、
BECSHAOXUN7F-B-05
BECSHAOXUN7F-B-06
</t>
  </si>
  <si>
    <t>绍兴联通边缘计算节点新申请1个机架，128个IP于2021-04-12正式开通，从2021/5/1开始计费：BECSHAOX2UN7F-SB-07</t>
  </si>
  <si>
    <t>L20230306001</t>
  </si>
  <si>
    <t>绍兴3联通</t>
  </si>
  <si>
    <t>边缘计算。使用640个，116.148.204.0/24、116.148.205.0/24、116.148.206.0/25</t>
  </si>
  <si>
    <t>边缘计算。2408:8740:5ef8:100::/56</t>
  </si>
  <si>
    <t>5LC01-C-BEC01</t>
  </si>
  <si>
    <t>中国联合网络通信有限公司台州市分公司</t>
  </si>
  <si>
    <t>台州联通</t>
  </si>
  <si>
    <t>182215IDC00615</t>
  </si>
  <si>
    <t>CDNTZUN</t>
  </si>
  <si>
    <t>【BEC新建】台州联通新增100G 节点正式上线，新增320个IP V4：101.71.161.0/24；101.71.175.128/26。	
IPV4:每个10GE端口核配64个IP地址，共送1280个
新增ipv6：2408:8742:51FF:5::/64</t>
  </si>
  <si>
    <t>BEC,每300M签约带宽可申请免费分配1个/56 ipv6前缀地址，不足300M按300M计，最大可免费申请分配256个/56 ipv6前缀地址</t>
  </si>
  <si>
    <t>【BEC新建】台州联通新增100G 节点正式上线：BECTZUN-03-03。	
每个10GE端口核配1个标准机柜，共送20个</t>
  </si>
  <si>
    <t>中国联合网络通信有限公司温州市分公司</t>
  </si>
  <si>
    <t>温州联通</t>
  </si>
  <si>
    <t>182215IDC00342</t>
  </si>
  <si>
    <t>CDNWZUN</t>
  </si>
  <si>
    <t>边缘计算节点新建，免费1920个IP，实际使用288个：101.69.133.0/24，123.159.205.192/27</t>
  </si>
  <si>
    <t>边缘计算节点新建，免费50个机柜：BECWZUN-03-06</t>
  </si>
  <si>
    <t>中国联合网络通信有限公司舟山市分公司</t>
  </si>
  <si>
    <t>舟山联通</t>
  </si>
  <si>
    <t>182215IDC00614</t>
  </si>
  <si>
    <t>CDNZHOUSUN</t>
  </si>
  <si>
    <t>【BEC新建】舟山联通新增100G ，每个10GE端口核配1个标准机柜及64个IP地址，可送640个，使用256个IP：116.148.168.0/24
新增 ipv6：2408:8740:B1FF:0005::0/64</t>
  </si>
  <si>
    <t>存量IP116.148.168.0/24 进行替换</t>
  </si>
  <si>
    <t>新IP，101.70.158.0/24</t>
  </si>
  <si>
    <t>BEC，	
每300M签约带宽可申请免费分配1个/56 ipv6前缀地址，不足300M按300M计，最大可免费申请分配256个/56 ipv6前缀地址。</t>
  </si>
  <si>
    <t>【BEC新建】舟山联通新增100G ，每个10GE端口核配1个标准机柜及64个IP地址，可送10个机柜：BECZHOUSUN-E-01、BECZHOUSUN-E-04、BECZHOUSUN-A-07、BECZHOUSUN-A-08、BECZHOUSUN-A-09、BECZHOUSUN-A-10、BECZHOUSUN-B-08、BECZHOUSUN-B-09、BECZHOUSUN-B-10、BECZHOUSUN-B-11</t>
  </si>
  <si>
    <t>中国移动通信集团江西有限公司南昌分公司</t>
  </si>
  <si>
    <t>南昌移动</t>
  </si>
  <si>
    <t>182315IDC00070</t>
  </si>
  <si>
    <t>南昌2移动</t>
  </si>
  <si>
    <t>CDNNCCM2</t>
  </si>
  <si>
    <t>117.169.99.0/24;117.169.104.128/27。
免费。2021年合同约定乙方互联网接入带宽包含 704  个IPv4地址，  /56  的IPv6地址，超出部分的IPv4地址按照 50  元/个/月收取，超出部分的IPv6地址按照   / 收取</t>
  </si>
  <si>
    <t>117.169.99.0/24;117.169.104.128/27</t>
  </si>
  <si>
    <t>南昌5</t>
  </si>
  <si>
    <t>南昌5移动</t>
  </si>
  <si>
    <t>117.169.106.0/24;117.169.104.160/27。
2021年合同约定乙方互联网接入带宽包含 704  个IPv4地址，  /56  的IPv6地址，超出部分的IPv4地址按照 50  元/个/月收取，超出部分的IPv6地址按照   / 收取</t>
  </si>
  <si>
    <t>免费。NC5CM边缘计算节点新增2个机架，128个IP,于2021-1-28正式开通：117.167.104.0/25
2021年合同约定乙方互联网接入带宽包含 704  个IPv4地址，  /56  的IPv6地址，超出部分的IPv4地址按照 50  元/个/月收取，超出部分的IPv6地址按照   / 收取</t>
  </si>
  <si>
    <t>2022/3/31退租288个CDN IP，按照合同约定共送704个，暂时将原收费的边缘IP挪到免费资源中，若后续对账中运营商坚持收费，再做补计提
2021/7/16南昌移动NC5CM边缘计算扩容128个IP:117.167.104.128/25</t>
  </si>
  <si>
    <t>117.169.106.128/25</t>
  </si>
  <si>
    <t>NCCM2F-B-2、NCCM2F-B-3</t>
  </si>
  <si>
    <t>NC5CM2F205-J-14
NC5CM2F205-J-15
NC5CM2F205-J-16
NC5CM2F205-J-17</t>
  </si>
  <si>
    <t>NC5CM边缘计算节点新增2个机架，128个IP,于2021-1-28正式开通：BECNCCM2-J-13、BECNCCM2-J -18</t>
  </si>
  <si>
    <t>NC5CM2F205-J-17,NC5CM2F205-J-15,NC5CM2F205-J-14</t>
  </si>
  <si>
    <t>中国移动通信集团江西有限公司上饶分公司</t>
  </si>
  <si>
    <t>上饶移动</t>
  </si>
  <si>
    <t>182115IDC00149</t>
  </si>
  <si>
    <t>南昌移动3</t>
  </si>
  <si>
    <t>CDNNCCM</t>
  </si>
  <si>
    <t>实际使用288：183.216.160.0/24;183.216.161.0/27
2021年合同约定乙方互联网接入带宽包含 288个IPv4地址， /64 的IPv6地址，超出部分的IPv4地址按照 50 元/个/月收取，超出部分的IPv6地址按照  / 收取</t>
  </si>
  <si>
    <t>2022/7/31 节点退租。183.216.160.0/24 183.216.161.0/27</t>
  </si>
  <si>
    <t>NCCM4F-E-02、NCCM4F-E-03、NCCM4F-E-04、NCCM4F-E-05</t>
  </si>
  <si>
    <t>NCCM4F-E-06、NCCM4F-E-07
江西南昌移动 增量100G完成业务测试，已于2020-05-15开始正式切流量上线.机柜加电日期5.11</t>
  </si>
  <si>
    <t>2022/7/31 节点退租。NCCM4F-E-03,NCCM4F-E-02,NCCM4F-E-05,NCCM4F-E-04,NCCM4F-E-07,NCCM4F-E-06</t>
  </si>
  <si>
    <t>中国移动通信集团浙江有限公司杭州分公司</t>
  </si>
  <si>
    <t>杭州移动</t>
  </si>
  <si>
    <t>L20221110009</t>
  </si>
  <si>
    <t>CDNHZCM</t>
  </si>
  <si>
    <t>111.1.52.0/25 112.17.3.128/25 117.148.160.0/25（BEC）。每万兆送32个，CDNSSL共110G，共送352个。CDN实际使用384个，免费352，收费32个
2021年合同约定乙方IP地址按照每万兆赠送32个，超出部分的IP地址按照 50 元/个/月收取</t>
  </si>
  <si>
    <t>每万兆送32个，CDNSSL共110G，共送352个。CDN实际使用384个，免费352，收费32个
2021年合同约定乙方IP地址按照每万兆赠送32个，超出部分的IP地址按照 50 元/个/月收取</t>
  </si>
  <si>
    <t>杭州移动边缘计算节点新申请（扩容）1个机架，128个IP于2021-04-15正式开通，从2021/5/1开始计费：
117.148.160.128/25</t>
  </si>
  <si>
    <t xml:space="preserve">浙江杭州移动边缘计算节点扩容（HZCM）新增128个IP，于2021-08-30上线，2021-9-1开始计费：112.13.64.128/25
</t>
  </si>
  <si>
    <t>HZCM4F-J-03、HZCM4F-J-04、HZCM4F-J-05、HZCM4F-J-06</t>
  </si>
  <si>
    <t>2021.9存量机架编号变更，变更之后为：BECHZCM4F-J-06、BECHZCM4F-J-07
2019.12新增边缘计算：BECHZCM4F-J-08、BECHZCM4F-J-09。边缘计算使用的IP运营商账单不收费，202002删除了计提行</t>
  </si>
  <si>
    <t>2021.9存量机架编号变更，变更之后为：BECHZCM4F-J-14
2021.5杭州移动边缘计算节点新申请（扩容）1个机架，128个IP于2021-04-15正式开通，从2021/5/1开始计费：
BECHZCM4F-J-16</t>
  </si>
  <si>
    <t xml:space="preserve">浙江杭州移动边缘计算节点扩容（HZCM）新增2个机柜，于2021-08-30上线，2021-9-1开始计费：BECHZCM4F-J-10,
BECHZCM4F-J-09
</t>
  </si>
  <si>
    <t>L20221121005</t>
  </si>
  <si>
    <t>杭州4移动</t>
  </si>
  <si>
    <t>CDNHZCM2</t>
  </si>
  <si>
    <t>边缘计算使用544个，39.173.184.0/24  39.173.185.0/24 117.147.217.96/27</t>
  </si>
  <si>
    <t>边缘计算，IPV6: 2409:8c28:0600:0300::/56；
2409:8c28:0600:0400::/56；</t>
  </si>
  <si>
    <t>边缘计算，BECHZ4CM-4-J10</t>
  </si>
  <si>
    <t>中国移动通信集团浙江有限公司嘉兴分公司</t>
  </si>
  <si>
    <t>嘉兴移动</t>
  </si>
  <si>
    <t>182115IDC00160</t>
  </si>
  <si>
    <t xml:space="preserve">嘉兴 </t>
  </si>
  <si>
    <t>CDNJIAXCM</t>
  </si>
  <si>
    <t>每万兆赠送32个IP，共送384个。实际使用384个
2022/4/30退租后送256个，收费128个
183.246.188.0/24 183.246.189.0/27
乙方IP地址按照每万兆赠送32个，超出部分的IPv4地址按照 50 元/个/月收取</t>
  </si>
  <si>
    <t xml:space="preserve">2022/5/31 节点退租：183.246.188.0/24
183.246.189.0/25 </t>
  </si>
  <si>
    <t>嘉兴</t>
  </si>
  <si>
    <t>浙江嘉兴移动 增量120G，新增4个机柜，2020-01-01开始正式切流量上线：JIAX4FIDC-C-15、JIAX4FIDC-C-16、JIAX4FIDC-C-17、JIAX4FIDC-C-18</t>
  </si>
  <si>
    <t>2022/5/31 节点退组：JIAX4FIDC-C-15、JIAX4FIDC-C-16、JIAX4FIDC-C-17、JIAX4FIDC-C-18</t>
  </si>
  <si>
    <t>中国移动通信集团浙江有限公司金华分公司</t>
  </si>
  <si>
    <t>金华移动</t>
  </si>
  <si>
    <t>182315IDC00087</t>
  </si>
  <si>
    <t>CDNJHCM</t>
  </si>
  <si>
    <t>截止2022.9.15金华移动带宽总量90G，可送288个IP，CDN SSL合计使用672个，SSL收费384个，SSL免费128个，CDN 160个均免费。223.95.34.0/24;111.2.123.0/27</t>
  </si>
  <si>
    <t>截止2022.9.15金华移动带宽总量90G，可送288个IP，CDN SSL合计使用672个，SSL收费384个，SSL免费128个，CDN 160个均免费。
2022/5/31节点退租：223.95.34.0/24 111.2.123.0/27</t>
  </si>
  <si>
    <t>金华2移动</t>
  </si>
  <si>
    <t>CDNJHCM2</t>
  </si>
  <si>
    <t>截止2022.9.15金华移动带宽总量90G，可送288个IP，CDN SSL合计使用672个，SSL收费384个，SSL免费128个，CDN 160个均免费。223.95.34.0/24;111.2.123.0/27
2020.5.19JH2CM使用288个IP:117.147.213.0/24 117.147.212.0/27
2021年合同约定乙方IP地址按照每万兆赠送32个IPv4地址， 10段/64位 的IPv6地址，超出部分的IPv4地址按照50元/个/月收取</t>
  </si>
  <si>
    <t>退租：117.147.213.128/25。截止2022.9.15金华移动带宽总量90G，可送288个IP，CDN SSL合计使用672个，SSL收费384个，SSL免费128个，CDN 160个均免费</t>
  </si>
  <si>
    <t>金华移动SSL</t>
  </si>
  <si>
    <t>SSLJHCM</t>
  </si>
  <si>
    <t>截止2022.9.15金华移动带宽总量90G，可送288个IP，CDN SSL合计使用672个，SSL收费384个，SSL免费128个，CDN 160个均免费：117.147.214.0/24, 117.147.215.0/24
2021年合同约定乙方IP地址按照每万兆赠送32个IPv4地址， 10段/64位 的IPv6地址，超出部分的IPv4地址按照50元/个/月收取</t>
  </si>
  <si>
    <t>截止2022.9.15金华移动带宽总量90G，可送288个IP，CDN SSL合计使用672个，SSL收费384个，SSL免费128个，CDN 160个均免费。223.95.34.0/24;111.2.123.0/27。2021.6与SSL核对使用512个IP，均免费：117.147.214.0/24, 117.147.215.0/24
2021年合同约定乙方IP地址按照每万兆赠送32个IPv4地址， 10段/64位 的IPv6地址，超出部分的IPv4地址按照50元/个/月收取</t>
  </si>
  <si>
    <t>20221130退租</t>
  </si>
  <si>
    <t>20221130退租。剩余160个117.147.213.0/25 117.147.212.0/27</t>
  </si>
  <si>
    <t>JHCM6F-L-11、JHCM6F-L-10、JHCM6F-L-09、JHCM6F-L-08、JHCM6F-L-07、JHCM6F-L-13、JHCM6F-L-12</t>
  </si>
  <si>
    <t>2022/5/31节点退租：JHCM6F-L-11、JHCM6F-L-10、JHCM6F-L-09、JHCM6F-L-08、JHCM6F-L-07、JHCM6F-L-13、JHCM6F-L-12</t>
  </si>
  <si>
    <t>D012F204-E-01、D012F204-E-03、D012F204-E-02、D012F204-E-05、D012F204-E-04、D012F204-E-06</t>
  </si>
  <si>
    <t>D012F204-E-04、D012F204-E-05、D012F204-E-06</t>
  </si>
  <si>
    <t xml:space="preserve">2020.8SYS更正开通数量为2个：JHCM204-E-07、JHCM204-E-08
</t>
  </si>
  <si>
    <t>JHCM204-E-09</t>
  </si>
  <si>
    <t>20221130退租。JHCM204-E-07
JHCM204-E-08
JHCM204-E-09</t>
  </si>
  <si>
    <t>中国移动通信集团浙江有限公司丽水分公司</t>
  </si>
  <si>
    <t>丽水移动</t>
  </si>
  <si>
    <t>182115IDC00161</t>
  </si>
  <si>
    <t>丽水2移动</t>
  </si>
  <si>
    <t>CDNLSCM</t>
  </si>
  <si>
    <t>2022.6带宽60G，每万兆赠送32个IP，送192个IP。实际使用288个，收费96个
112.15.254.0/24 117.147.159.192/27。2021年合同约定乙方IP地址按照每万兆赠送32个IPv4地址， 10段/64位 的IPv6地址，超出部分的IPv4地址按照50元/个/月收取</t>
  </si>
  <si>
    <t>2022/7/31 节点退租。112.15.254.0/24 117.147.159.192/27</t>
  </si>
  <si>
    <t>2020.7调整价格。LS2CM5F-C-09、LS2CM5F-C-10、LS2CM5F-C-11</t>
  </si>
  <si>
    <t>2020.6调整单价，合同审批中
LS2CM5F-C-22、LS2CM5F-C-23</t>
  </si>
  <si>
    <t>2022/7/31 节点退租。LS2CM5F-C-09,LS2CM5F-C-10,LS2CM5F-C-11,LS2CM5F-C-22,LS2CM5F-C-23</t>
  </si>
  <si>
    <t>中国移动通信集团浙江有限公司宁波分公司</t>
  </si>
  <si>
    <t>宁波移动</t>
  </si>
  <si>
    <t>182115IDC00162</t>
  </si>
  <si>
    <t>鄞州机房</t>
  </si>
  <si>
    <t>CDNNBCM</t>
  </si>
  <si>
    <t>2022.6宁波移动80G，可送256个IP，使用288个，收费32个：120.199.69.0/24;120.199.94.160/27。每万兆互联网接入带宽包含 32  个IPv4地址，包含 1段 /64  的IPv6地址，超出部分的IPv4地址按照  50 元/个/月收取</t>
  </si>
  <si>
    <t>202207宁波移动80G，可送256个IP，使用288个，收费32个：120.199.69.0/24;120.199.94.160/27。每万兆互联网接入带宽包含 32  个IPv4地址，包含 1段 /64  的IPv6地址，超出部分的IPv4地址按照  50 元/个/月收取</t>
  </si>
  <si>
    <t>2022/7/31 宁波二级移动节点下线。120.199.69.0/24 120.199.94.160/27</t>
  </si>
  <si>
    <t>宁波杭州湾</t>
  </si>
  <si>
    <t>宁波2移动</t>
  </si>
  <si>
    <t>XACDNNBCM</t>
  </si>
  <si>
    <t>使用288个IP：111.1.162.128/27;111.1.163.0/24
2021年合同约定乙方每万兆互联网接入带宽包含 32  个IPv4地址，包含 1段 /64  的IPv6地址，超出部分的IPv4地址按照  50 元/个/月收取</t>
  </si>
  <si>
    <t>2022/4/30宁波2移动全部退租：使用288个IP：111.1.162.128/27;111.1.163.0/24
2021年合同约定乙方每万兆互联网接入带宽包含 32  个IPv4地址，包含 1段 /64  的IPv6地址，超出部分的IPv4地址按照  50 元/个/月收取</t>
  </si>
  <si>
    <t>NBCM7F-I-06、NBCM7F-I-07、NBCM7F-I-08、NBCM7F-I-09、NBCM7F-I-10、NBCM7F-I-11、NBCM7F-I-12、NBCM7F-I-13</t>
  </si>
  <si>
    <t>2022/7/31 宁波二级移动节点下线。NBCM7F-I-06、NBCM7F-I-07、NBCM7F-I-08、NBCM7F-I-09、NBCM7F-I-10、NBCM7F-I-11、NBCM7F-I-12、NBCM7F-I-13</t>
  </si>
  <si>
    <t>NBCM4F-A-18、NBCM4F-A-19、NBCM4F-A-20、NBCM4F-A-21</t>
  </si>
  <si>
    <t>2022/4/30宁波2移动全部退租：NBCM4F-A-18、NBCM4F-A-19、NBCM4F-A-20、NBCM4F-A-21</t>
  </si>
  <si>
    <t>中国移动通信集团浙江有限公司绍兴分公司</t>
  </si>
  <si>
    <t>绍兴移动</t>
  </si>
  <si>
    <t>182215IDC00611</t>
  </si>
  <si>
    <t>绍兴3移动</t>
  </si>
  <si>
    <t>CDNSHAOXCM3</t>
  </si>
  <si>
    <t>【BEC新建】绍兴移动新建(SHAOX3CM)：使用384个IP，每万兆送32个，可送640个：111.0.17.0/24
111.0.18.0/26
111.0.18.64/26
IPV6：2409:8C28:6092:0000::/64  
2409:8C28:6092:0001::/64</t>
  </si>
  <si>
    <t>IPv6地址按照0 收取</t>
  </si>
  <si>
    <t>【BEC新建】绍兴移动新建(SHAOX3CM)：BECSHAOX3CM-B-01、BECSHAOX3CM-B-02、BECSHAOX3CM-B-03、BECSHAOX3CM-B-04、BECSHAOX3CM-B-05、BECSHAOX3CM-B-06、BECSHAOX3CM-B-07、BECSHAOX3CM-B-08、BECSHAOX3CM-B-12</t>
  </si>
  <si>
    <t>中国移动通信集团浙江有限公司台州分公司</t>
  </si>
  <si>
    <t>L20221110004</t>
  </si>
  <si>
    <t>台州2移动</t>
  </si>
  <si>
    <t>CDNTZCM</t>
  </si>
  <si>
    <t>2022.6开始带宽量为140G，可赠送IP 448个，使用544个，收费96个。2020/5/14开通。每万兆送32个IP，开通340G共送1088个，340G使用544个，均免费
39.175.100.0/24 39.175.101.0/24 117.148.190.96/27
2021年合同约定：乙方IP地址按照每万兆赠送32个，超出部分的IPv4地址按照  50 元/个/月收取</t>
  </si>
  <si>
    <t>2022/7/31退租：39.175.100.128/25 39.175.101.0/24</t>
  </si>
  <si>
    <t xml:space="preserve">2022/7/31退租：39.175.100.128/25 39.175.101.0/24.剩余39.175.100.0/25 117.148.190.96/27 </t>
  </si>
  <si>
    <t>TZ2CM5F-M-01、TZ2CM5F-M-02、TZ2CM5F-M-03、TZ2CM5F-M-04、TZ2CM5F-M-05、TZ2CM5F-M-06、TZ2CM5F-M-07、TZ2CM5F-M-08、TZ2CM5F-M-09、TZ2CM5F-M-10</t>
  </si>
  <si>
    <t>TZ2CM扩容1个机柜：TZ2CM5F-I-10</t>
  </si>
  <si>
    <t>TZ2CM5F-M-06、TZ2CM5F-M-07、TZ2CM5F-M-08、TZ2CM5F-M-09、TZ2CM5F-M-10、TZ2CM5F-I-10</t>
  </si>
  <si>
    <t>TZ2CM5F-M-04,TZ2CM5F-M-05</t>
  </si>
  <si>
    <t>台州3移动</t>
  </si>
  <si>
    <t xml:space="preserve">【BEC新建】台州移动 (TZ3CM)：新增1024个IP，每万兆送32个，可送832个，收费192个：39.175.114.64/26
39.175.114.128/25
39.175.96.0/26
39.175.99.0/24
39.175.97.0/24
39.175.112.0/24
IPV6：2409:8C28:90A0:0005::/64
</t>
  </si>
  <si>
    <t xml:space="preserve">根据2022.9账单看，新增IP未收费。【BEC新建】台州移动 (TZ3CM)：新增1024个IP，每万兆送32个，可送832个，收费192个：39.175.114.64/26
39.175.114.128/25
39.175.96.0/26
39.175.99.0/24
39.175.97.0/24
39.175.112.0/24
IPV6：2409:8C28:90A0:0005::/64
</t>
  </si>
  <si>
    <t>2022.10调整计费时间为9.1。【BEC新建】台州移动 (TZ3CM)：新增BECTZ3CM5F-L-14为收费机柜</t>
  </si>
  <si>
    <t>L20221229001</t>
  </si>
  <si>
    <t>2022.10调整计费时间为9.1。【BEC新建】台州移动 (TZ3CM)：BECTZ3CM5F-K-04为客户机柜，不计费，但由于百度设备放在该机架上，故计提在临时合同上进行管理</t>
  </si>
  <si>
    <t>中国移动通信集团浙江有限公司温州分公司</t>
  </si>
  <si>
    <t>L20221110005</t>
  </si>
  <si>
    <t>温州2移动</t>
  </si>
  <si>
    <t>CDNWZCM</t>
  </si>
  <si>
    <t xml:space="preserve">2022.8带宽量80G，可送256个，使用160个，均免费。
2022.6带宽量100G，每万兆送32个IP，可送320个，实际使用544个IP，收费224个。每100G最多可分配1段/56的IPv6地址，超出部分的IPv4地址按照 50 元/个/月收取。2020/5/15新建 WZ2CM，使用544个I
112.16.240.0/24 112.16.241.0/24 117.149.239.64/27
</t>
  </si>
  <si>
    <t>2022/7/31退租：112.16.240.128/25，112.16.241.0/24</t>
  </si>
  <si>
    <t>2022/7/31退租：112.16.240.128/25，112.16.241.0/24.剩余160个，112.16.240.0/25 117.149.239.64/27</t>
  </si>
  <si>
    <t>WZ2CM1H2F-D-12,WZ2CM1H2F-D-13,WZ2CM1H2F-D-14,WZ2CM1H2F-D-15,WZ2CM1H2F-D-16,WZ2CM1H2F-D-17,WZ2CM1H2F-D-18,WZ2CM1H2F-D-19,WZ2CM1H2F-D-20</t>
  </si>
  <si>
    <t>WZ2CM退租机柜：WZ2CM1H2F-D-16,WZ2CM1H2F-D-17,WZ2CM1H2F-D-18,WZ2CM1H2F-D-19,WZ2CM1H2F-D-20</t>
  </si>
  <si>
    <t>WZ2CM1H2F-D-14,WZ2CM1H2F-D-15</t>
  </si>
  <si>
    <t>中国移动通信集团浙江有限公司舟山分公司</t>
  </si>
  <si>
    <t>舟山移动</t>
  </si>
  <si>
    <t>182215IDC00399</t>
  </si>
  <si>
    <t>CDNZHOUSCM</t>
  </si>
  <si>
    <t>每万兆赠送32个，共送768个。【BEC新建】舟山移动新建：39.174.57.0/24、39.174.58.0/27；IPV6：2409:8C28:88F1:0000::/56
每万兆送32个IP，共送768个，实际使用288个</t>
  </si>
  <si>
    <t>送10段/64位 的IPv6地址</t>
  </si>
  <si>
    <t>【BEC新建】舟山移动新建240G，使用5个机柜：BECZHOUSCM-4F-B08、BECZHOUSCM-4F-C01、BECZHOUSCM-4F-C02、BECZHOUSCM-4F-C03、BECZHOUSCM-4F-C04</t>
  </si>
  <si>
    <t>华北-lijia</t>
  </si>
  <si>
    <t>杨星</t>
  </si>
  <si>
    <t>中国联合网络通信有限公司北京市分公司</t>
  </si>
  <si>
    <t>北京联通</t>
  </si>
  <si>
    <t>182115IDC00573</t>
  </si>
  <si>
    <t>次渠</t>
  </si>
  <si>
    <t>CQ02</t>
  </si>
  <si>
    <t>次渠5B-251-252</t>
  </si>
  <si>
    <t>次渠5B-253-254，系统录入62.5A</t>
  </si>
  <si>
    <t>次渠5F27-30电流63A，系统录入62.5A</t>
  </si>
  <si>
    <t>CQ025B-J-253、CQ025B-J-254、CQ025F-B-27、CQ025F-B-28、CQ025F-B-29、CQ025F-B-30</t>
  </si>
  <si>
    <t>19-22电流40A，增加1A260元</t>
  </si>
  <si>
    <t>CQ025B-J-251、CQ025B-J-252</t>
  </si>
  <si>
    <t>2019年4月18日开通1个机架。 
CQ025B-K-275</t>
  </si>
  <si>
    <t>CQ025B-N-357、CQ025B-N-358、CQ025B-N-359</t>
  </si>
  <si>
    <t>机房盘点出5个ODF（CQ025F-B-23、CQ025F-B-24、CQ025F-B-26、CQ025B-J-255、CQ025B-J-256）机柜一直在使用，自2019年6月1日开始按照最低标准收费。</t>
  </si>
  <si>
    <t>机房盘点出1个13A机柜（CQ023F-A-07）一直在使用，自2019年6月1日开始收费。</t>
  </si>
  <si>
    <t>盘点机房使用的ODF机柜CQ025B-F-158</t>
  </si>
  <si>
    <t>CQ025B-F-158
CQ025B-J-255
CQ025B-J-256
CQ025F-B-23
CQ025F-B-24
CQ025F-B-26</t>
  </si>
  <si>
    <t>CQ025B-F-157
CQ025B-N-340
CQ025B-N-341
CQ025B-N-342
CQ025B-N-343
CQ025B-N-344
CQ025B-N-345
CQ025B-N-346
CQ025B-N-347
CQ025B-N-348
CQ025B-N-349
CQ025B-N-350
CQ025B-N-351
CQ025B-N-352
CQ025B-N-353
CQ025B-N-354
CQ025B-N-355
CQ025B-N-356
CQ025B-N-360
CQ025B-N-361
CQ025B-N-362
CQ025B-N-363
CQ025B-N-364
CQ025B-N-365
CQ025B-N-366
CQ025B-M-313
CQ025B-M-314
CQ025B-M-315
CQ025B-M-316
CQ025B-M-317
CQ025B-M-318
CQ025B-M-319
CQ025B-M-320
CQ025B-M-321
CQ025B-M-322
CQ025B-M-323
CQ025B-M-324
CQ025B-M-325
CQ025B-M-326
CQ025B-M-327
CQ025B-M-328
CQ025B-M-329
CQ025B-M-330
CQ025B-M-331
CQ025B-M-332
CQ025B-M-333
CQ025B-M-334
CQ025B-M-335
CQ025B-M-336
CQ025B-M-337
CQ025B-M-338
CQ025B-M-339
CQ025B-L-307
CQ025B-L-308
CQ025B-L-309
CQ025B-L-310
CQ025B-L-311
CQ025B-L-312
CQ025B-L-306
CQ025B-L-305
CQ025B-L-304
CQ025B-L-303
CQ025B-L-302
CQ025B-L-301
CQ025B-L-300
CQ025B-L-299
CQ025B-L-298
CQ025B-L-297
CQ025B-L-296
CQ025B-L-295
CQ025B-L-294
CQ025B-L-293
CQ025B-L-292
CQ025B-L-291
CQ025B-L-290
CQ025B-L-289
CQ025B-L-288
CQ025B-L-287
CQ025B-L-286
CQ025B-K-271
CQ025B-K-270
CQ025B-K-269
CQ025B-K-268
CQ025B-K-267
CQ025B-K-266
CQ025B-K-265
CQ025B-K-264
CQ025B-K-263
CQ025B-J-248
CQ025B-J-247
CQ025B-J-246
CQ025B-J-245
CQ025B-J-244
CQ025B-J-243
CQ025B-J-242
CQ025B-J-241
CQ025B-J-240
CQ025B-J-239
CQ025B-J-238
CQ025B-J-237
CQ025B-J-236
CQ025B-I-235
CQ025B-I-234
CQ025B-I-233
CQ025B-I-232
CQ025B-I-231
CQ025B-I-227
CQ025B-K-285
CQ025B-K-284
CQ025B-K-283
CQ025B-K-282
CQ025B-K-281
CQ025B-K-280
CQ025B-K-279
CQ025B-K-278
CQ025B-K-277
CQ025B-K-276
CQ025B-K-275
CQ025B-K-274
CQ025B-K-273
CQ025B-K-272
CQ025B-I-209
CQ025B-I-210
CQ025B-I-211
CQ025B-I-212
CQ025B-I-213
CQ025B-I-214
CQ025B-I-215
CQ025B-I-216
CQ025B-I-217
CQ025B-I-218
CQ025B-I-219
CQ025B-I-220
CQ025B-I-221
CQ025B-I-222
CQ025B-I-223
CQ025B-I-224
CQ025B-H-182
CQ025B-H-183
CQ025B-H-184
CQ025B-H-185
CQ025B-H-186
CQ025B-H-187
CQ025B-H-188
CQ025B-H-189
CQ025B-H-190
CQ025B-H-191
CQ025B-H-192
CQ025B-H-193
CQ025B-H-194
CQ025B-H-195
CQ025B-H-196
CQ025B-H-197
CQ025B-H-198
CQ025B-H-199
CQ025B-H-200
CQ025B-H-201
CQ025B-H-202
CQ025B-H-203
CQ025B-H-204
CQ025B-H-205
CQ025B-H-206
CQ025B-H-207
CQ025B-H-208
CQ025B-G-159
CQ025B-G-160
CQ025B-G-161
CQ025B-G-162
CQ025B-G-163
CQ025B-G-164
CQ025B-G-165
CQ025B-G-166
CQ025B-G-167
CQ025B-G-168
CQ025B-G-169
CQ025B-G-170
CQ025B-G-171
CQ025B-G-172
CQ025B-G-173
CQ025B-G-174
CQ025B-G-175
CQ025B-G-176
CQ025B-G-177
CQ025B-G-178
CQ025B-G-179
CQ025B-G-180
CQ025B-G-181
CQ025B-F-132
CQ025B-F-133
CQ025B-F-134
CQ025B-F-135
CQ025B-F-136
CQ025B-F-137
CQ025B-F-138
CQ025B-F-139
CQ025B-F-140
CQ025B-F-141
CQ025B-F-142
CQ025B-F-143
CQ025B-F-144
CQ025B-F-145
CQ025B-F-146
CQ025B-F-147
CQ025B-F-148
CQ025B-F-149
CQ025B-F-150
CQ025B-F-151
CQ025B-F-152
CQ025B-F-153
CQ025B-F-154
CQ025B-F-155
CQ025B-F-156
CQ025B-E-105
CQ025B-E-106
CQ025B-E-107
CQ025B-E-108
CQ025B-E-109
CQ025B-E-110
CQ025B-E-111
CQ025B-E-112
CQ025B-E-113
CQ025B-E-114
CQ025B-E-115
CQ025B-E-116
CQ025B-E-117
CQ025B-E-118
CQ025B-E-119
CQ025B-E-120
CQ025B-E-121
CQ025B-E-122
CQ025B-E-123
CQ025B-E-124
CQ025B-E-125
CQ025B-E-126
CQ025B-E-127
CQ025B-E-128
CQ025B-E-129
CQ025B-E-130
CQ025B-E-131
CQ025B-D-78
CQ025B-D-79
CQ025B-D-80
CQ025B-D-81
CQ025B-D-82
CQ025B-D-83
CQ025B-D-84
CQ025B-D-85
CQ025B-D-86
CQ025B-D-87
CQ025B-D-88
CQ025B-D-89
CQ025B-D-90
CQ025B-D-91
CQ025B-D-92
CQ025B-D-93
CQ025B-D-94
CQ025B-D-95
CQ025B-D-96
CQ025B-D-97
CQ025B-D-98
CQ025B-D-99
CQ025B-D-100
CQ025B-D-101
CQ025B-D-102
CQ025B-D-103
CQ025B-D-104
CQ025B-C-55
CQ025B-C-56
CQ025B-C-57
CQ025B-C-58
CQ025B-C-59
CQ025B-C-60
CQ025B-C-61
CQ025B-C-62
CQ025B-C-63
CQ025B-C-64
CQ025B-C-65
CQ025B-C-66
CQ025B-C-67
CQ025B-C-68
CQ025B-C-69
CQ025B-C-70
CQ025B-C-71
CQ025B-C-72
CQ025B-C-73
CQ025B-C-74
CQ025B-C-75
CQ025B-C-76
CQ025B-C-77
CQ025B-B-28
CQ025B-B-29
CQ025B-B-30
CQ025B-B-31
CQ025B-B-32
CQ025B-B-33
CQ025B-B-34
CQ025B-B-35
CQ025B-B-36
CQ025B-B-37
CQ025B-B-38
CQ025B-B-39
CQ025B-B-40
CQ025B-B-41
CQ025B-B-42
CQ025B-B-43
CQ025B-B-44
CQ025B-B-45
CQ025B-B-46
CQ025B-B-47
CQ025B-B-48
CQ025B-B-49
CQ025B-B-50
CQ025B-B-51
CQ025B-B-52
CQ025B-B-53
CQ025B-B-54
CQ025B-A-01
CQ025B-A-02
CQ025B-A-03
CQ025B-A-04
CQ025B-A-05
CQ025B-A-06
CQ025B-A-07
CQ025B-A-08
CQ025B-A-09
CQ025B-A-10
CQ025B-A-11
CQ025B-A-12
CQ025B-A-13
CQ025B-A-14
CQ025B-A-15
CQ025B-A-16
CQ025B-A-17
CQ025B-A-18
CQ025B-A-19
CQ025B-A-20
CQ025B-A-21
CQ025B-A-22
CQ025B-A-23
CQ025B-A-24
CQ025B-A-25
CQ025B-A-26
CQ025B-A-27
CQ022E-A-01
CQ022E-A-02
CQ022E-A-03
CQ022E-A-05
CQ022E-A-06
CQ022E-A-07
CQ022E-A-08
CQ022E-A-09
CQ022E-A-10
CQ022E-A-11
CQ022E-A-12
CQ022E-A-14
CQ022E-A-15
CQ022E-A-16
CQ022E-A-17
CQ022E-A-18
CQ022E-B-19
CQ022E-B-20
CQ022E-B-21
CQ022E-B-22
CQ022E-B-23
CQ022E-B-24
CQ022E-B-26
CQ022E-B-27
CQ022E-B-28
CQ022E-B-29
CQ022E-B-30
CQ022E-B-31
CQ022E-B-32
CQ022E-B-33
CQ022E-B-35
CQ022E-B-36
CQ022E-B-37
CQ022E-B-38
CQ022F-A-01
CQ022F-A-02
CQ022F-A-03
CQ022F-A-04
CQ022F-A-06
CQ022F-A-07
CQ022F-A-08
CQ022F-A-09
CQ022F-A-10
CQ022F-A-11
CQ022F-A-12
CQ022F-A-13
CQ022F-A-15
CQ022F-A-16
CQ022F-A-17
CQ022F-A-18
CQ022F-B-19
CQ022F-B-20
CQ022F-B-21
CQ022F-B-22
CQ022F-B-23
CQ022F-B-24
CQ022F-B-26
CQ022F-B-27
CQ022F-B-28
CQ022F-B-29
CQ022F-B-30
CQ022F-B-31
CQ022F-B-32
CQ022F-B-33
CQ022F-B-35
CQ022F-B-36
CQ022F-B-37
CQ022F-B-38
CQ023E-A-01
CQ023E-A-02
CQ023E-A-03
CQ023E-A-05
CQ023E-A-06
CQ023E-A-07
CQ023E-A-08
CQ023E-A-09
CQ023E-A-10
CQ023E-A-11
CQ023E-A-13
CQ023E-A-14
CQ023E-A-15
CQ023E-A-16
CQ023E-A-17
CQ023E-B-18
CQ023E-B-19
CQ023E-B-20
CQ023E-B-21
CQ023E-B-22
CQ023E-B-23
CQ023E-B-25
CQ023E-B-26
CQ023E-B-27
CQ023E-B-28
CQ023E-B-29
CQ023E-B-30
CQ023E-B-31
CQ023E-B-32
CQ023E-B-34
CQ023E-B-35
CQ023F-A-01
CQ023F-A-02
CQ023F-A-03
CQ023F-A-04
CQ023F-A-06
CQ023F-A-07
CQ023F-A-08
CQ023F-A-09
CQ023F-A-10
CQ023F-A-11
CQ023F-A-12
CQ023F-A-13
CQ023F-A-15
CQ023F-A-16
CQ023F-A-17
CQ023F-A-18
CQ023F-B-19
CQ023F-B-20
CQ023F-B-21
CQ023F-B-22
CQ023F-B-23
CQ023F-B-24
CQ023F-B-26
CQ023F-B-27
CQ023F-B-28
CQ023F-B-29
CQ023F-B-30
CQ023F-B-31
CQ023F-B-32
CQ023F-B-33
CQ023F-B-35
CQ023F-B-36
CQ023F-B-37
CQ023G-A-01
CQ023G-A-02
CQ023G-A-03
CQ023G-A-05
CQ023G-A-06
CQ023G-A-07
CQ023G-B-08
CQ023G-B-09
CQ023G-B-10
CQ023G-B-11
CQ023G-B-13
CQ023G-B-14
CQ023G-B-15
CQ023G-B-16
CQ024E-A-01
CQ024E-A-02
CQ024E-A-03
CQ024E-A-05
CQ024E-A-06
CQ024E-B-07
CQ024E-B-08
CQ024E-B-09
CQ024E-B-11
CQ024E-B-12
CQ024E-B-13
CQ024E-B-14
CQ024F-A-01
CQ024F-A-02
CQ024F-A-03
CQ024F-A-05
CQ024F-A-06
CQ024F-A-07
CQ024F-A-08
CQ024F-A-09
CQ024F-A-10
CQ024F-A-11
CQ024F-A-13
CQ024F-A-14
CQ024F-A-15
CQ024F-A-16
CQ024F-A-17
CQ024F-A-18
CQ024F-B-19
CQ024F-B-20
CQ024F-B-21
CQ024F-B-22
CQ024F-B-23
CQ024F-B-24
CQ024F-B-26
CQ024F-B-27
CQ024F-B-28
CQ024F-B-29
CQ024F-B-30
CQ024F-B-31
CQ024F-B-32
CQ024F-B-33
CQ024F-B-35
CQ024F-B-36
CQ024F-B-37
CQ024G-A-01
CQ024G-A-02
CQ024G-A-03
CQ024G-A-05
CQ024G-A-06
CQ024G-A-07
CQ024G-B-08
CQ024G-B-09
CQ024G-B-10
CQ024G-B-11
CQ024G-B-13
CQ024G-B-14
CQ024G-B-15
CQ024G-B-16
CQ025E-A-01
CQ025E-A-02
CQ025E-A-03
CQ025E-A-05
CQ025E-A-06
CQ025E-A-07
CQ025E-A-08
CQ025E-A-09
CQ025E-A-10
CQ025E-A-11
CQ025E-A-12
CQ025E-A-14
CQ025E-A-15
CQ025E-A-16
CQ025E-A-17
CQ025E-B-18
CQ025E-B-19
CQ025E-B-20
CQ025E-B-21
CQ025E-B-22
CQ025E-B-24
CQ025E-B-25
CQ025E-B-26
CQ025E-B-27
CQ025E-B-28
CQ025E-B-29
CQ025E-B-30
CQ025E-B-31
CQ025E-B-33
CQ025E-B-34
CQ025E-B-35
CQ025E-B-36
CQ025F-A-02
CQ025F-A-03
CQ025F-A-04
CQ025F-A-05
CQ025F-A-06
CQ025F-A-07
CQ025F-A-08
CQ025F-A-09
CQ025F-A-11
CQ025F-A-12
CQ025F-A-17
CQ025F-A-18
CQ025G-A-01
CQ025G-A-02
CQ025G-A-03
CQ025G-A-05
CQ025G-A-06
CQ025G-A-07
CQ025G-B-08
CQ025G-B-09
CQ025G-B-10
CQ025G-B-11
CQ025G-B-13
CQ025G-B-14
CQ025G-B-15
CQ025G-B-16
CQ025H-A-01
CQ025H-A-02
CQ025H-A-03
CQ025H-A-05
CQ025H-A-06
CQ025H-B-07
CQ025H-B-08
CQ025H-B-09
CQ025H-B-11
CQ025H-B-12
CQ025H-B-13
CQ025H-B-14
CQ025A-A-01
CQ025A-A-02
CQ025A-A-03
CQ025A-A-04
CQ025A-A-05
CQ025A-A-06
CQ025A-A-07
CQ025A-A-08
CQ025A-A-09
CQ025A-B-10
CQ025A-B-11
CQ025A-B-12
CQ025A-B-13
CQ025A-B-14
CQ025A-B-15
CQ025A-B-16
CQ025A-B-17
CQ025A-B-18
CQ025A-C-19
CQ025A-C-20
CQ025A-C-21
CQ025A-C-22
CQ025A-C-23
CQ025A-C-24
CQ025A-C-25
CQ025A-C-26
CQ025A-C-27
CQ025A-D-28
CQ025A-D-29
CQ025A-D-30
CQ025A-D-31
CQ025A-D-32
CQ025A-D-33
CQ025A-D-34
CQ025A-D-35
CQ025A-D-36
CQ025A-D-37</t>
  </si>
  <si>
    <t>CQ025F-B-19
CQ025F-B-20
CQ025F-B-21
CQ025F-B-22</t>
  </si>
  <si>
    <t>L20220302003</t>
  </si>
  <si>
    <t>之前计提13A机柜为1520个，经双方核对一致，13A机柜共1518个。（2个机柜由13A改为27A）</t>
  </si>
  <si>
    <t>50A</t>
  </si>
  <si>
    <t>4个机柜编号为3A10、11、16、17定制50A。之前运营商按照40A收费，年底盘点时发现实际是50A，与我司SYS核对结果也是50A，双方达成一致自本月开始调整为50A价格计费。13A以上260元/A</t>
  </si>
  <si>
    <t>CQ023A-B-010、CQ023A-B-011、CQ023A-C-016、CQ023A-C-017</t>
  </si>
  <si>
    <t>之前计提27A机柜为2个，经双方核对一致27A机柜为4个（其中2个机柜由13A改为27A）。</t>
  </si>
  <si>
    <t>CQ023A-D-018、CQ023A-D-019</t>
  </si>
  <si>
    <t>2019年1月17日开通4个机架。</t>
  </si>
  <si>
    <t>机房盘点出3个ODF机柜一直在使用（CQ023A-B-012、CQ023A-B-013、CQ023A-D-022），自2019年6月1日开始按照最低电流13A收费。</t>
  </si>
  <si>
    <t>2021年2月1日、2月2日下电1493个机柜，商务确认结束计费时间为1月31日</t>
  </si>
  <si>
    <t>次渠大机房中CDN机柜共15个，退租7个剩余8个，退租机柜为BJUN2A-B-13、BJUN2A-B-14、BJUN2A-B-18、BJUN2A-A-06、BJUN2A-A-07、BJUN2A-A-08、BJUN2A-A-09，剩余机柜为BJUN2A-B-10、BJUN2A-B-11、BJUN2A-B-12、BJUN2A-A-01、BJUN2A-A-02、BJUN2A-A-03、BJUN2A-A-04、BJUN2A-A-05</t>
  </si>
  <si>
    <t>CQ023A-B-012
CQ023A-B-013
CQ023A-D-022</t>
  </si>
  <si>
    <t>CQ023A-A-001
CQ023A-A-002
CQ023A-A-003
CQ023A-A-004
CQ023A-A-005
CQ023A-A-006
CQ023A-A-007
CQ023A-A-008
CQ023A-B-009
CQ023A-C-014
CQ023A-C-015
CQ023A-D-023
CQ023A-D-024</t>
  </si>
  <si>
    <t>CQ023A-D-020
CQ023A-D-021</t>
  </si>
  <si>
    <t>2022-02-25减少机柜8个，BJUN2A-B-10,BJUN2A-A-05,BJUN2A-A-04,BJUN2A-A-03,BJUN2A-A-02,BJUN2A-A-01,BJUN2A-B-11,BJUN2A-B-12</t>
  </si>
  <si>
    <t>182215IDC00131</t>
  </si>
  <si>
    <t>CDNBJUN</t>
  </si>
  <si>
    <t>2022-02-25新增机柜5个，BJUN5F-5C-102,BJUN5F-5C-103,BJUN5F-5C-104,BJUN5F-5C-100,BJUN5F-5C-101</t>
  </si>
  <si>
    <t>BJUN5F-5C-102,BJUN5F-5C-103,BJUN5F-5C-104,BJUN5F-5C-100,BJUN5F-5C-101</t>
  </si>
  <si>
    <t>181915IDC00126</t>
  </si>
  <si>
    <t>土城</t>
  </si>
  <si>
    <t>TC</t>
  </si>
  <si>
    <t>13A/16A</t>
  </si>
  <si>
    <t>11月30日关闭2个后数据为456个 ；开通累计土城6、7层,159个16A.</t>
  </si>
  <si>
    <t>2393关闭机柜；开通累计土城9、10、11层</t>
  </si>
  <si>
    <t>土城5层2机房</t>
  </si>
  <si>
    <t>12月1日开始计费，TC902-03-15、TC902-03-11</t>
  </si>
  <si>
    <t>2019/12/4关闭</t>
  </si>
  <si>
    <t>6KW，2019年1月18日开始计费，TC902-05-21</t>
  </si>
  <si>
    <t>1907月正常费用。6层5机房盘点出3个ODF（TC605-02-05、TC605-02-07、TC605-02-08）机柜一直在使用，自2019年6月1日开始按照最低标准收费。</t>
  </si>
  <si>
    <t>1907月正常费用。7层6机房盘点出2个（TC706-02-08、TC706-02-09）、7机房9个（TC707-01-06、TC707-01-08、TC707-01-09、TC707-01-11、TC707-02-10、TC707-03-08、TC707-03-09、TC707-05-08、TC707-05-09）、8机房2个（TC708-02-08、TC708-02-09）、10层3机房1个（TC10F-03-13）ODF机柜一直在使用，自2019年6月1日开始按照最低标准收费。</t>
  </si>
  <si>
    <t>1907月正常费用。5层2机房盘点出2个ODF（TC502-01-01、）机柜一直在使用，自2019年6月1日开始按照最低标准收费。</t>
  </si>
  <si>
    <t>1907月正常费用。9层2机房盘点出3个ODF（TC902-01-15、TC902-01-20、TC902-01-21）机柜一直在使用，自2019年6月1日开始按照最低标准收费。</t>
  </si>
  <si>
    <t>2020/4/8关闭</t>
  </si>
  <si>
    <t>4月8日新增</t>
  </si>
  <si>
    <t>2021年TC机房退租，终止计费时间2月2日</t>
  </si>
  <si>
    <t>2021年TC机房退租，有四个，终止计费时间2月10日，TC707-02-08、TC707-02-09、TC707-02-11、TC707-02-12</t>
  </si>
  <si>
    <t>181915IDC00225</t>
  </si>
  <si>
    <t>窦店</t>
  </si>
  <si>
    <t xml:space="preserve"> BJDD</t>
  </si>
  <si>
    <t>QYDD</t>
  </si>
  <si>
    <t>历史已计提，从BJDD机房20190222拆出来</t>
  </si>
  <si>
    <t>3月1日开通445个4.4KW机柜。</t>
  </si>
  <si>
    <t>3月16日关闭17个4.4KW机柜，从3月17日开始不计费。</t>
  </si>
  <si>
    <t>3月1日开通4个6.6KW机柜。</t>
  </si>
  <si>
    <t>3月1日开通8个9KW机柜。</t>
  </si>
  <si>
    <t>3月1日开通18个24KW机柜。</t>
  </si>
  <si>
    <t>历史已计提，从BJDD机房20190301拆出来</t>
  </si>
  <si>
    <t>3月29日开通4个4.4KW机柜。历史计提在BJDD机房修改机房</t>
  </si>
  <si>
    <t>3月15日开通10个4.4KW机柜。</t>
  </si>
  <si>
    <t>3月20日开通7个4.4KW机柜。</t>
  </si>
  <si>
    <t>4月10日开通11个4.4KW机柜。</t>
  </si>
  <si>
    <t>5月14日开通8个4.4KW机柜。</t>
  </si>
  <si>
    <t>1907的费用（BJDDM232-H-05--07）</t>
  </si>
  <si>
    <t>1907的费用（BJDDM232-H-08--10）</t>
  </si>
  <si>
    <t>1907的费用（BJDDM233-J-01--06）</t>
  </si>
  <si>
    <t>1907的费用（BJDDM232-G-07--15）</t>
  </si>
  <si>
    <t>1907的费用（BJDDM232-F-19、BJDDM232-F-20）</t>
  </si>
  <si>
    <t>190702开通11个，计费30天（BJDDM232-G-16、BJDDM232-G-17、BJDDM233-J-07~15）</t>
  </si>
  <si>
    <t>190708开通2个，计费24天（BJDDM231-H-09、BJDDM231-H-10）</t>
  </si>
  <si>
    <t>190710开通5个，计费22天（BJDDM232-G-04~06、BJDDM232-H-17、BJDDM232-H-18）</t>
  </si>
  <si>
    <t>190716开通3个，计费16天（BJDDM232-H-14~16）</t>
  </si>
  <si>
    <t>190718开通10个，计费14天（BJDDM232-I-04~13）</t>
  </si>
  <si>
    <t>190724开通2个，计费8天（BJDDM232-I-14、BJDDM232-I-15）</t>
  </si>
  <si>
    <t>8月新增：BJDDM233-C-15，SYS 反馈开通</t>
  </si>
  <si>
    <t xml:space="preserve">8月关闭BJDDM232-I-12
BJDDM232-I-11
BJDDM232-I-10
BJDDM232-I-09
BJDDM232-I-08
BJDDM232-I-07
BJDDM232-I-06
BJDDM232-I-05
BJDDM232-I-04
</t>
  </si>
  <si>
    <t>BJDD</t>
  </si>
  <si>
    <t>历史计提在QYDD机房修改机房</t>
  </si>
  <si>
    <t>9月新增</t>
  </si>
  <si>
    <t>一期：2号楼2、3层</t>
  </si>
  <si>
    <t>一期不足整月计费方式：单价*12/365*单月天数</t>
  </si>
  <si>
    <t>10月开通</t>
  </si>
  <si>
    <t>11月开通</t>
  </si>
  <si>
    <t>12月开通</t>
  </si>
  <si>
    <t>2020-1开通</t>
  </si>
  <si>
    <t>合同内机架总数851个，需要注意本协议生效日期6个月内起租机架总数的35%，不足按照机架总数35%计费，12个月内起租机架总数75%。不足按照机架总数75%计费，18个月内起租机架总数90%，不足按照机架总数90%计费，交付机架预留机架总数10%资源可不承诺起租。2月22日开通143个4.4KW机柜。</t>
  </si>
  <si>
    <t>182015IDC00018</t>
  </si>
  <si>
    <t>窦店二期</t>
  </si>
  <si>
    <t>8月新增二期</t>
  </si>
  <si>
    <t>9月新增二期</t>
  </si>
  <si>
    <t>2020-1开通，历史计提在QYDD修改机房</t>
  </si>
  <si>
    <t>二期：2号楼4层</t>
  </si>
  <si>
    <t>历史计提在BJDD修改机房</t>
  </si>
  <si>
    <t>二期不足整月：实际天数/当月天数，历史计提在BJDD修改机房</t>
  </si>
  <si>
    <t>QYDDM243-D-04、QYDDM243-D-05、QYDDM243-D-06、QYDDM243-D-07、QYDDM243-D-08</t>
  </si>
  <si>
    <t>QYDDM243-D-01、QYDDM243-D-02、QYDDM243-D-03、QYDDM243-D-09</t>
  </si>
  <si>
    <t>QYDDM243-C-15</t>
  </si>
  <si>
    <t xml:space="preserve">QYDDM243-A-01
QYDDM243-A-02
QYDDM243-A-03
</t>
  </si>
  <si>
    <t>合同内机架总数为485个，本协议生效日起12个月内起租1机架总数的50%，不足按照3150元/架支付预占费，24个月内起租机架总数90%，不足按照3150元/架支付预占费，交付机柜预留机架总数10%可不承诺起租</t>
  </si>
  <si>
    <t>182015IDC00225</t>
  </si>
  <si>
    <t>窦店三期</t>
  </si>
  <si>
    <t>12月开通，调整8个到109A，4个到30A</t>
  </si>
  <si>
    <t>BJDDM131-F-06 BJDDM131-F-08 BJDDM131-G-06 BJDDM131-G-08 BJDDM131-H-05 BJDDM131-H-07</t>
  </si>
  <si>
    <t>BJDDM131-H-02
BJDDM131-H-03
BJDDM131-I-02
BJDDM131-I-03</t>
  </si>
  <si>
    <t>1-31开通</t>
  </si>
  <si>
    <t>三期：1号楼2、3层</t>
  </si>
  <si>
    <t>修改机房为QYDD</t>
  </si>
  <si>
    <t>三期正式合同内不足月月租费*使用天数/当月天数</t>
  </si>
  <si>
    <t xml:space="preserve"> QYDD</t>
  </si>
  <si>
    <t>QYDDM123-D-01
QYDDM123-D-02
QYDDM123-D-03
QYDDM123-D-04
QYDDM123-D-05
QYDDM123-D-06
QYDDM123-D-07
QYDDM123-D-08
QYDDM123-D-09
QYDDM123-D-10
QYDDM123-D-11
QYDDM123-D-12
QYDDM123-D-13
QYDDM123-D-14
QYDDM123-D-15
QYDDM123-E-01
QYDDM123-E-02
QYDDM123-E-03
QYDDM123-E-04
QYDDM123-E-05
QYDDM123-E-06</t>
  </si>
  <si>
    <t xml:space="preserve">QYDDM121-A-02
QYDDM121-A-03
QYDDM121-A-04
因为不足整月计算方式为使用天数*12/365,反算公式计算不对，用全月费用-已使用的费用
</t>
  </si>
  <si>
    <t xml:space="preserve">QYDDM121-D-04
QYDDM121-D-05
QYDDM121-D-06
QYDDM121-D-07
QYDDM121-D-08
QYDDM121-D-09
QYDDM123-E-07
QYDDM123-E-08
QYDDM123-E-09
QYDDM123-E-10
QYDDM123-E-11
QYDDM123-E-12
</t>
  </si>
  <si>
    <t xml:space="preserve">QYDDM121-D-10
QYDDM121-D-11
QYDDM121-D-12
QYDDM121-D-13
QYDDM121-D-14
QYDDM121-D-15
QYDDM121-E-01
QYDDM121-E-02
QYDDM121-E-03
</t>
  </si>
  <si>
    <t>L20200924002</t>
  </si>
  <si>
    <t xml:space="preserve">202009盘点出历史有10个ODF机柜在用，运营商邮件回复不计费，为了保持系统一致做开通状态，BJDDM131-F-07
BJDDM131-F-09
BJDDM131-G-07
BJDDM131-G-09
BJDDM131-H-04
BJDDM131-H-06
BJDDM131-H-08
BJDDM131-I-04
BJDDM131-I-06
BJDDM131-I-08
</t>
  </si>
  <si>
    <t xml:space="preserve">BJDDM132-A-17
BJDDM132-A-18
BJDDM132-D-11
BJDDM132-D-12
BJDDM132-D-13
BJDDM132-D-14
BJDDM132-A-13
BJDDM132-A-14
BJDDM132-A-15
BJDDM132-A-16
BJDDM132-D-04
BJDDM132-D-05
BJDDM132-D-06
BJDDM132-D-07
BJDDM132-D-08
BJDDM132-D-09
BJDDM132-D-10
</t>
  </si>
  <si>
    <t>BJDDM132-D-15</t>
  </si>
  <si>
    <t>BJDDM132-D-16，BJDDM132-D-17，BJDDM132-D-18，BJDDM132-E-01，BJDDM132-E-02，BJDDM132-E-03</t>
  </si>
  <si>
    <t>云托管-BJDDM132-J-14 BJDDM132-J-15</t>
  </si>
  <si>
    <t xml:space="preserve">云托管-关闭BJDDM132-J-14 BJDDM132-J-15（10月12）
</t>
  </si>
  <si>
    <t>BJDDM132-F-04、BJDDM132-F-05、BJDDM132-F-06</t>
  </si>
  <si>
    <t>BJDDM132-G-05</t>
  </si>
  <si>
    <t>BJDDM132-G-06、BJDDM132-G-07</t>
  </si>
  <si>
    <t>BJDDM132-G-08、BJDDM132-G-09、BJDDM132-G-10、BJDDM132-G-11、BJDDM132-G-12、BJDDM132-G-13</t>
  </si>
  <si>
    <t>BJDDM132-G-14、BJDDM132-G-15、BJDDM132-G-16、BJDDM132-G-17</t>
  </si>
  <si>
    <t>BJDDM131-G-02、BJDDM131-G-04</t>
  </si>
  <si>
    <t xml:space="preserve">BJDDM132-H-05
BJDDM132-H-06
BJDDM132-H-03
BJDDM132-H-04
BJDDM132-H-07
BJDDM132-H-08
BJDDM132-H-09
BJDDM132-H-10
BJDDM132-H-11
BJDDM132-H-12
BJDDM132-H-13
BJDDM132-H-14
BJDDM132-H-01
BJDDM132-H-02
BJDDM132-H-15
BJDDM132-H-16
BJDDM132-H-17
BJDDM132-H-18
BJDDM132-I-03
</t>
  </si>
  <si>
    <t>BJDDM132-I-04、BJDDM132-I-05</t>
  </si>
  <si>
    <t xml:space="preserve">BJDDM132-F-03、BJDDM132-E-04、BJDDM132-E-05、BJDDM132-E-06、BJDDM132-F-01、BJDDM132-F-02、BJDDM132-E-07、BJDDM132-E-08、BJDDM132-E-09、BJDDM132-E-10、BJDDM132-E-11、BJDDM132-E-12
</t>
  </si>
  <si>
    <t xml:space="preserve">BJDDM132-E-13
BJDDM132-E-14
BJDDM132-E-15
BJDDM132-E-16
BJDDM132-E-17
BJDDM132-E-18
BJDDM132-E-19
BJDDM132-E-20
</t>
  </si>
  <si>
    <t>BJDDM132-I-15、BJDDM132-I-16、BJDDM132-I-17、BJDDM132-I-18、BJDDM132-I-19、BJDDM132-I-20</t>
  </si>
  <si>
    <t>BJDDM132-I-06、BJDDM132-I-07、BJDDM132-I-08、BJDDM132-I-09、BJDDM132-I-10、BJDDM132-I-11、BJDDM132-I-12、BJDDM132-I-13、BJDDM132-I-14</t>
  </si>
  <si>
    <t>BJDDM131-E-09、BJDDM131-E-10、BJDDM131-E-11</t>
  </si>
  <si>
    <t>QYDDM123-E-13、QYDDM123-E-14、QYDDM123-E-15</t>
  </si>
  <si>
    <t xml:space="preserve">QYDDM123-F-01
QYDDM123-F-02
QYDDM123-F-03
QYDDM123-F-04
QYDDM123-F-05
QYDDM123-F-06
QYDDM121-E-04
QYDDM121-E-05
QYDDM121-E-06
QYDDM121-E-07
QYDDM121-E-08
QYDDM121-E-09
</t>
  </si>
  <si>
    <t xml:space="preserve">QYDDM121-E-10
QYDDM121-E-11
QYDDM121-E-12
QYDDM121-E-13
QYDDM121-E-14
QYDDM121-E-15
QYDDM121-F-01
QYDDM121-F-02
QYDDM121-F-03
QYDDM121-F-04
QYDDM121-F-05
QYDDM121-F-06
QYDDM121-F-07
QYDDM121-F-08
QYDDM121-F-09
QYDDM121-F-10
QYDDM121-F-11
QYDDM121-F-12
QYDDM121-F-13
QYDDM121-F-14
QYDDM121-F-15
</t>
  </si>
  <si>
    <t xml:space="preserve">QYDDM123-F-07
QYDDM123-F-08
QYDDM123-F-09
QYDDM123-F-10
QYDDM123-F-11
QYDDM123-F-12
QYDDM123-F-13
QYDDM123-F-14
QYDDM123-F-15
QYDDM123-G-01
QYDDM123-G-02
QYDDM123-G-03
QYDDM123-G-04
QYDDM123-G-05
QYDDM123-G-06
QYDDM123-G-07
QYDDM123-G-08
QYDDM123-G-09
QYDDM123-G-10
QYDDM123-G-11
QYDDM123-G-12
QYDDM123-G-13
QYDDM123-G-14
QYDDM123-G-15
QYDDM123-H-01
QYDDM123-H-02
QYDDM123-H-03
QYDDM123-H-04
QYDDM123-H-05
QYDDM123-H-06
QYDDM123-H-07
QYDDM123-H-08
QYDDM123-H-09
QYDDM123-H-10
QYDDM123-H-11
QYDDM123-H-12
QYDDM123-H-13
QYDDM123-H-14
QYDDM123-H-15
QYDDM123-I-01
QYDDM123-I-02
QYDDM123-I-03
</t>
  </si>
  <si>
    <t>2019/11/1起12个月内起租机架总数的50%，不足按照3150元/架支付预占费，24个月内起租机架总数90%，不足按照3150元/架支付预占费，交付机柜预留机架总数10%资源可不承诺起租</t>
  </si>
  <si>
    <t xml:space="preserve">QYDDM123-I-04
QYDDM123-I-05
QYDDM123-I-06
QYDDM123-I-07
QYDDM123-I-08
QYDDM123-I-09
QYDDM123-I-10
QYDDM123-I-11
QYDDM123-I-12
QYDDM123-I-13
QYDDM123-I-14
QYDDM123-I-15
QYDDM123-J-01
QYDDM123-J-02
QYDDM123-J-03
QYDDM123-J-04
QYDDM123-J-05
QYDDM123-J-06
QYDDM123-J-07
QYDDM123-J-08
QYDDM123-J-09
</t>
  </si>
  <si>
    <t>BJDDM131-E-08</t>
  </si>
  <si>
    <t xml:space="preserve">QYDDM122-A-01
QYDDM122-A-02
QYDDM122-A-05
QYDDM122-A-06
QYDDM122-A-09
QYDDM122-A-10
QYDDM122-A-13
QYDDM122-A-14
QYDDM122-A-16
QYDDM122-A-17
QYDDM122-B-01
QYDDM122-B-02
QYDDM122-B-05
QYDDM122-B-06
QYDDM122-B-09
QYDDM122-B-10
QYDDM122-B-13
QYDDM122-B-14
QYDDM122-B-17
QYDDM122-B-18
QYDDM122-C-01
QYDDM122-C-02
QYDDM122-C-05
QYDDM122-C-06
QYDDM122-C-09
QYDDM122-C-10
QYDDM122-C-13
QYDDM122-C-14
QYDDM122-C-17
QYDDM122-C-18
QYDDM122-D-01
QYDDM122-D-02
QYDDM122-D-05
QYDDM122-D-06
QYDDM122-D-09
QYDDM122-D-10
QYDDM122-D-13
QYDDM122-D-14
QYDDM122-D-17
QYDDM122-E-01
QYDDM122-E-02
QYDDM122-E-05
QYDDM122-E-06
QYDDM122-E-09
QYDDM122-E-10
QYDDM122-E-13
QYDDM122-E-14
QYDDM122-E-17
QYDDM122-E-18
QYDDM122-F-01
QYDDM122-F-02
QYDDM122-F-05
QYDDM122-F-06
QYDDM122-F-09
QYDDM122-F-10
QYDDM122-F-13
QYDDM122-F-14
QYDDM122-F-17
QYDDM122-F-18
QYDDM122-G-01
QYDDM122-G-02
QYDDM122-G-05
QYDDM122-G-06
QYDDM122-G-09
QYDDM122-G-10
QYDDM122-G-13
QYDDM122-G-14
QYDDM122-G-16
QYDDM122-G-17
QYDDM122-H-01
QYDDM122-H-02
QYDDM122-H-05
QYDDM122-H-06
QYDDM122-H-09
QYDDM122-H-10
QYDDM122-H-13
QYDDM122-H-14
QYDDM122-H-16
QYDDM122-H-17
QYDDM122-I-01
QYDDM122-I-02
QYDDM122-I-05
QYDDM122-I-06
QYDDM122-I-09
QYDDM122-I-10
QYDDM122-I-13
QYDDM122-I-14
QYDDM122-I-17
QYDDM122-I-18
QYDDM122-J-01
QYDDM122-J-02
QYDDM122-J-05
QYDDM122-J-06
QYDDM122-J-09
QYDDM122-J-10
QYDDM122-J-13
QYDDM122-J-14
QYDDM122-J-16
QYDDM122-J-17
</t>
  </si>
  <si>
    <t>QYDDM122-A-01
QYDDM122-A-02
QYDDM122-A-03
QYDDM122-A-04
QYDDM122-A-05
QYDDM122-A-06
QYDDM122-A-07
QYDDM122-A-08
QYDDM122-A-09
QYDDM122-A-10
QYDDM122-A-11
QYDDM122-A-12
QYDDM122-A-13
QYDDM122-A-14
QYDDM122-A-15
QYDDM122-A-16
QYDDM122-A-17
QYDDM122-A-18
QYDDM122-B-01
QYDDM122-B-02
QYDDM122-B-03
QYDDM122-B-04
QYDDM122-B-05
QYDDM122-B-06
QYDDM122-B-07
QYDDM122-B-08
QYDDM122-B-09
QYDDM122-B-10
QYDDM122-B-11
QYDDM123-J-10
QYDDM123-J-11
QYDDM123-J-12
QYDDM123-J-13
QYDDM123-J-14
QYDDM123-J-15
QYDDM121-A-02
QYDDM121-A-03
QYDDM121-A-04
QYDDM121-G-01
QYDDM121-G-02
QYDDM121-G-03
QYDDM121-G-04
QYDDM121-G-05
QYDDM121-G-06
QYDDM121-G-07
QYDDM121-G-08
QYDDM121-G-09</t>
  </si>
  <si>
    <t xml:space="preserve">QYDDM121-G-10
QYDDM121-G-11
QYDDM121-G-12
QYDDM121-G-13
QYDDM121-G-14
QYDDM121-G-15
</t>
  </si>
  <si>
    <t>QYDDM122-B-12，QYDDM122-B-13，QYDDM122-B-14</t>
  </si>
  <si>
    <t xml:space="preserve">QYDDM122-B-15
QYDDM122-B-16
QYDDM122-B-17
QYDDM122-B-18
QYDDM122-B-19
QYDDM122-B-20
QYDDM122-C-01
QYDDM122-C-02
QYDDM122-C-03
QYDDM122-C-04
QYDDM122-C-05
QYDDM122-C-06
QYDDM122-C-07
</t>
  </si>
  <si>
    <t>BJDDM131-E-12</t>
  </si>
  <si>
    <t xml:space="preserve">QYDDM122-C-08
QYDDM122-C-09
QYDDM122-C-10
QYDDM122-C-11
QYDDM122-C-12
QYDDM122-C-13
QYDDM122-C-14
QYDDM122-C-15
QYDDM122-C-16
QYDDM122-C-17
QYDDM122-C-18
QYDDM122-C-19
QYDDM122-C-20
QYDDM122-D-01
QYDDM122-D-02
QYDDM122-D-03
QYDDM122-D-04
QYDDM122-D-05
QYDDM122-D-06
QYDDM122-D-07
QYDDM122-D-08
QYDDM122-D-09
QYDDM122-D-10
QYDDM122-D-11
QYDDM122-D-12
QYDDM122-D-13
QYDDM122-D-14
QYDDM122-D-15
QYDDM122-D-16
QYDDM122-E-01
QYDDM122-E-02
QYDDM122-E-03
QYDDM122-E-04
QYDDM122-E-05
QYDDM122-E-06
QYDDM122-E-07
QYDDM122-E-08
QYDDM122-E-09
QYDDM122-E-10
QYDDM122-E-11
QYDDM122-E-12
QYDDM122-E-13
QYDDM122-E-14
QYDDM122-E-15
QYDDM122-E-16
QYDDM122-E-17
QYDDM122-E-18
QYDDM122-E-19
QYDDM122-E-20
QYDDM122-F-01
QYDDM122-F-02
QYDDM122-F-03
QYDDM122-F-04
QYDDM122-F-05
QYDDM122-F-06
QYDDM122-F-07
QYDDM122-F-08
QYDDM122-F-09
QYDDM122-F-10
QYDDM122-F-11
QYDDM122-F-12
QYDDM122-F-13
QYDDM122-F-14
QYDDM122-F-15
QYDDM122-F-16
QYDDM122-F-17
QYDDM122-F-18
QYDDM122-F-19
QYDDM122-F-20
QYDDM122-G-01
QYDDM122-G-02
QYDDM122-G-03
QYDDM122-G-05
QYDDM122-G-06
</t>
  </si>
  <si>
    <t xml:space="preserve">QYDDM122-G-04
QYDDM122-G-07
QYDDM122-G-08
QYDDM122-G-09
</t>
  </si>
  <si>
    <t xml:space="preserve">QYDDM122-G-10
QYDDM122-G-11
QYDDM122-G-12
QYDDM122-G-13
QYDDM122-G-14
QYDDM122-G-15
QYDDM122-G-16
QYDDM122-G-17
QYDDM122-H-01
QYDDM122-H-02
QYDDM122-H-03
QYDDM122-H-04
QYDDM122-H-05
QYDDM122-H-06
QYDDM122-H-07
QYDDM122-H-08
QYDDM122-H-09
QYDDM122-H-10
QYDDM122-H-11
QYDDM122-H-12
QYDDM122-H-13
QYDDM122-H-14
QYDDM122-H-15
QYDDM122-H-16
QYDDM122-H-17
QYDDM122-H-18
QYDDM122-I-01
QYDDM122-I-02
QYDDM122-I-03
QYDDM122-I-04
QYDDM122-I-05
QYDDM122-I-06
QYDDM122-I-07
QYDDM122-I-08
</t>
  </si>
  <si>
    <t>QYDDM122-D-17</t>
  </si>
  <si>
    <t>QYDDM122-J-01
QYDDM122-J-02
QYDDM122-J-03
QYDDM122-J-04
QYDDM122-J-05
QYDDM122-J-06
QYDDM122-J-07
QYDDM122-J-08
QYDDM122-J-09
QYDDM122-J-10
QYDDM122-J-11
QYDDM122-J-12
QYDDM122-J-13
QYDDM122-J-14
QYDDM122-J-15
QYDDM122-J-16
QYDDM122-J-17</t>
  </si>
  <si>
    <t>BJDDM133-H-01
BJDDM133-H-02
BJDDM133-H-03
BJDDM133-H-04
BJDDM133-H-05
BJDDM133-H-06
BJDDM133-H-07
BJDDM133-H-08
BJDDM133-H-09
BJDDM133-H-10
BJDDM133-H-11
BJDDM133-H-12
BJDDM133-H-13
BJDDM133-H-14
BJDDM133-H-15
BJDDM133-I-01
BJDDM133-I-02
BJDDM133-I-03
BJDDM133-I-04
BJDDM133-I-05
BJDDM133-I-06
BJDDM133-I-07
BJDDM133-I-08
BJDDM133-I-09
BJDDM133-I-10
BJDDM133-I-11
BJDDM133-I-12
BJDDM133-I-13
BJDDM133-I-14
BJDDM133-I-15
BJDDM133-J-03
BJDDM133-J-04
BJDDM133-J-05
BJDDM133-J-06
BJDDM133-J-07
BJDDM133-J-08
BJDDM133-J-09
BJDDM133-J-10
BJDDM133-J-11
BJDDM133-J-12
BJDDM133-J-13
BJDDM133-J-14</t>
  </si>
  <si>
    <t>BJDDM133-H-01
BJDDM133-H-02
BJDDM133-H-04
BJDDM133-H-05
BJDDM133-H-06
BJDDM133-H-07
BJDDM133-H-08
BJDDM133-H-09
BJDDM133-H-10
BJDDM133-H-11
BJDDM133-H-12
BJDDM133-H-13
BJDDM133-H-14
BJDDM133-H-15
BJDDM133-I-01
BJDDM133-I-02
BJDDM133-I-04
BJDDM133-I-05
BJDDM133-I-06
BJDDM133-I-07
BJDDM133-I-08
BJDDM133-I-09
BJDDM133-I-10
BJDDM133-I-11
BJDDM133-I-12
BJDDM133-I-13
BJDDM133-I-14
BJDDM133-I-15
BJDDM133-J-04
BJDDM133-J-05
BJDDM133-J-06
BJDDM133-J-07
BJDDM133-J-08
BJDDM133-J-09
BJDDM133-J-10
BJDDM133-J-11
BJDDM133-J-12
BJDDM133-J-13
BJDDM133-J-14
BJDDM133-H-03
BJDDM133-I-03
BJDDM133-J-03</t>
  </si>
  <si>
    <t>182115IDC00041</t>
  </si>
  <si>
    <t>窦店四期</t>
  </si>
  <si>
    <t xml:space="preserve">起租进度：2021年12月31日前起租机架总数的50%，不足按照3150元/架支付预占费，2022年12月21日前个月内起租机架总数90%，不足按照3150元/架支付预占费，交付机柜预留机架总数10%资源可不承诺起租，1-4期分别计算起租后，总起租数量满足起租要求即可,BJDDM141-E-15
BJDDM142-A-01
BJDDM142-A-02
BJDDM142-A-05
BJDDM142-A-06
BJDDM142-A-09
BJDDM142-A-10
BJDDM142-A-13
BJDDM142-A-14
BJDDM142-A-16
BJDDM142-A-17
BJDDM142-B-01
BJDDM142-B-02
BJDDM142-B-05
BJDDM142-B-06
BJDDM142-B-09
BJDDM142-B-10
BJDDM142-B-13
BJDDM142-B-14
BJDDM142-B-17
BJDDM142-B-18
BJDDM142-C-01
BJDDM142-C-02
BJDDM142-C-05
BJDDM142-C-06
BJDDM142-C-09
BJDDM142-C-10
BJDDM142-C-13
BJDDM142-C-14
BJDDM142-C-17
BJDDM142-C-18
BJDDM142-D-01
BJDDM142-D-02
BJDDM142-D-03
BJDDM142-D-04
BJDDM142-D-07
BJDDM142-D-08
BJDDM142-D-11
BJDDM142-D-12
BJDDM142-D-15
BJDDM142-D-16
BJDDM142-E-01
BJDDM142-E-02
BJDDM142-E-05
BJDDM142-E-06
BJDDM142-E-09
BJDDM142-E-10
BJDDM142-E-13
BJDDM142-E-14
BJDDM142-E-17
BJDDM142-E-18
BJDDM142-E-20
BJDDM142-F-01
BJDDM142-F-02
BJDDM142-F-05
BJDDM142-F-06
BJDDM142-F-09
BJDDM142-F-10
BJDDM142-F-13
BJDDM142-F-14
BJDDM142-F-17
BJDDM142-F-18
BJDDM142-G-01
BJDDM142-G-02
BJDDM142-G-05
BJDDM142-G-06
BJDDM142-G-09
BJDDM142-G-10
BJDDM142-G-13
BJDDM142-G-14
BJDDM142-G-16
BJDDM142-G-17
BJDDM142-H-01
BJDDM142-H-02
BJDDM142-H-05
BJDDM142-H-06
BJDDM142-H-09
BJDDM142-H-10
BJDDM142-H-13
BJDDM142-H-14
BJDDM142-H-16
BJDDM142-H-17
BJDDM142-I-01
BJDDM142-I-02
BJDDM142-I-05
BJDDM142-I-06
BJDDM142-I-09
BJDDM142-I-10
BJDDM142-I-13
BJDDM142-I-14
BJDDM142-I-17
BJDDM142-I-18
BJDDM142-J-01
BJDDM142-J-02
BJDDM142-J-03
BJDDM142-J-04
BJDDM142-J-07
BJDDM142-J-08
BJDDM142-J-11
BJDDM142-J-12
BJDDM142-J-15
BJDDM142-J-16
BJDDM143-E-15
</t>
  </si>
  <si>
    <t>BJDDM142-D-05
BJDDM142-D-06
BJDDM142-D-09</t>
  </si>
  <si>
    <t>BJDDM141-E-01
BJDDM141-E-02
BJDDM141-J-01
BJDDM141-J-02
BJDDM143-E-01
BJDDM143-E-02
BJDDM143-J-01
BJDDM143-J-02</t>
  </si>
  <si>
    <t xml:space="preserve">BJDDM142-D-10
BJDDM142-D-13
BJDDM142-D-14
BJDDM142-E-03
BJDDM142-E-04
BJDDM142-E-07
BJDDM142-E-08
</t>
  </si>
  <si>
    <t xml:space="preserve">BJDDM142-A-03
BJDDM142-A-04
BJDDM142-A-07
BJDDM142-A-08
BJDDM142-A-11
BJDDM142-A-12
</t>
  </si>
  <si>
    <t xml:space="preserve">BJDDM141-I-01
BJDDM141-I-02
BJDDM141-I-06
BJDDM141-I-14
BJDDM141-J-06
BJDDM141-I-07
BJDDM141-I-15
BJDDM141-J-07
</t>
  </si>
  <si>
    <t xml:space="preserve">BJDDM142-F-16、BJDDM142-F-19
BJDDM142-F-20
BJDDM142-G-03
BJDDM142-G-04
BJDDM142-G-07
BJDDM142-G-08
BJDDM142-G-11
BJDDM142-G-12
BJDDM142-E-11
BJDDM142-E-12
BJDDM142-E-15
BJDDM142-E-16
BJDDM142-E-19
BJDDM142-F-03
BJDDM142-F-04
BJDDM142-F-07
BJDDM142-F-08
BJDDM142-F-11
BJDDM142-F-12
BJDDM142-F-15
BJDDM142-G-15
BJDDM142-G-18
BJDDM142-H-03
BJDDM142-H-04
BJDDM142-H-07
BJDDM142-H-08
BJDDM142-H-11
BJDDM142-H-12
BJDDM142-H-15
BJDDM142-H-18
BJDDM142-I-03
BJDDM142-I-04
BJDDM142-I-07
BJDDM142-I-08
BJDDM142-I-11
BJDDM142-I-12
</t>
  </si>
  <si>
    <t xml:space="preserve">BJDDM142-I-20
BJDDM142-J-05
BJDDM142-J-06
</t>
  </si>
  <si>
    <t xml:space="preserve">BJDDM142-I-15
BJDDM142-I-16
BJDDM142-I-19
</t>
  </si>
  <si>
    <t xml:space="preserve">BJDDM142-J-09
BJDDM142-J-10
BJDDM142-J-13
BJDDM142-J-14
BJDDM142-J-17
BJDDM142-J-18
BJDDM143-A-01
BJDDM143-A-02
BJDDM143-A-03
BJDDM143-A-04
BJDDM143-A-05
BJDDM143-A-06
BJDDM143-A-07
BJDDM143-A-08
BJDDM143-A-09
BJDDM143-A-10
BJDDM143-A-11
BJDDM143-A-12
BJDDM143-A-13
BJDDM143-A-14
BJDDM143-B-01
BJDDM143-B-02
BJDDM143-B-03
BJDDM143-B-04
BJDDM143-B-05
BJDDM143-B-06
BJDDM143-B-07
</t>
  </si>
  <si>
    <t xml:space="preserve">BJDDM143-B-08
BJDDM143-B-09
BJDDM143-B-10
BJDDM143-B-11
BJDDM143-B-12
BJDDM143-B-13
BJDDM143-B-14
BJDDM143-C-01
BJDDM143-C-02
BJDDM143-C-03
BJDDM143-C-04
</t>
  </si>
  <si>
    <t xml:space="preserve">BJDDM142-A-15
BJDDM142-B-03
BJDDM142-B-04
BJDDM142-B-07
BJDDM142-B-08
BJDDM142-B-11
BJDDM142-B-12
BJDDM142-B-15
BJDDM142-B-16
</t>
  </si>
  <si>
    <t xml:space="preserve">BJDDM142-B-19
BJDDM142-B-20
BJDDM142-C-03
BJDDM142-C-04
BJDDM142-C-07
BJDDM142-C-08
BJDDM142-C-11
BJDDM142-C-12
BJDDM142-C-15
BJDDM142-C-16
BJDDM143-C-07
BJDDM143-C-08
BJDDM143-C-09
BJDDM143-C-10
BJDDM143-C-11
BJDDM143-C-12
BJDDM143-C-13
BJDDM143-C-14
BJDDM143-C-15
BJDDM143-D-01
BJDDM143-D-02
BJDDM143-D-03
BJDDM143-D-04
</t>
  </si>
  <si>
    <t>BJDDM143-C-05</t>
  </si>
  <si>
    <t>BJDDM143-C-06</t>
  </si>
  <si>
    <t xml:space="preserve">BJDDM141-A-01
BJDDM141-A-02
BJDDM141-A-03
BJDDM141-A-04
BJDDM141-A-05
BJDDM141-A-06
BJDDM141-A-07
BJDDM141-A-08
BJDDM141-A-09
BJDDM141-A-10
BJDDM141-A-11
BJDDM141-A-12
BJDDM141-A-13
BJDDM141-A-14
BJDDM141-B-01
BJDDM141-B-02
BJDDM141-B-03
BJDDM141-B-04
BJDDM141-B-05
BJDDM141-B-06
BJDDM141-B-07
BJDDM141-B-08
BJDDM141-B-09
BJDDM141-B-10
BJDDM141-B-11
BJDDM141-B-12
BJDDM141-B-13
BJDDM141-B-14
BJDDM141-B-15
BJDDM141-C-01
BJDDM141-C-02
BJDDM141-C-03
BJDDM141-C-04
BJDDM141-C-05
BJDDM141-C-06
BJDDM141-C-07
BJDDM141-C-08
BJDDM141-C-09
BJDDM141-C-10
BJDDM141-C-11
BJDDM141-C-12
BJDDM141-C-13
BJDDM141-C-14
BJDDM141-C-15
BJDDM141-D-01
BJDDM141-D-02
BJDDM141-D-03
BJDDM141-D-04
BJDDM141-D-05
BJDDM141-D-06
BJDDM141-D-07
BJDDM141-D-08
BJDDM141-D-09
BJDDM141-D-10
BJDDM141-D-11
BJDDM143-D-08
BJDDM143-D-09
BJDDM143-D-10
BJDDM143-D-11
BJDDM143-D-12
BJDDM143-D-13
BJDDM143-D-14
BJDDM143-D-15
BJDDM143-E-03
BJDDM143-E-04
BJDDM143-E-05
BJDDM143-D-05
BJDDM143-D-06
BJDDM143-D-07
</t>
  </si>
  <si>
    <t xml:space="preserve">BJDDM141-D-12
BJDDM141-D-13
BJDDM141-D-14
BJDDM141-D-15
BJDDM141-E-03
BJDDM141-E-04
BJDDM141-E-05
BJDDM141-E-06
BJDDM141-E-07
BJDDM141-E-08
BJDDM141-E-09
BJDDM141-E-10
BJDDM141-E-11
BJDDM141-E-12
BJDDM141-E-13
BJDDM141-E-14
BJDDM141-F-01
BJDDM141-F-02
BJDDM141-F-03
BJDDM141-F-04
BJDDM141-F-05
BJDDM141-F-06
BJDDM141-F-07
BJDDM141-F-08
BJDDM141-F-09
BJDDM141-F-10
BJDDM141-F-11
BJDDM141-F-12
BJDDM141-F-13
BJDDM141-F-14
BJDDM141-F-15
BJDDM141-G-01
BJDDM141-G-02
BJDDM141-G-03
BJDDM141-G-04
BJDDM141-G-05
BJDDM141-G-06
BJDDM141-G-07
BJDDM141-G-08
BJDDM141-G-09
BJDDM141-G-10
BJDDM141-G-11
BJDDM141-G-12
BJDDM141-G-13
BJDDM141-G-14
BJDDM141-G-15
BJDDM141-H-01
BJDDM141-H-02
BJDDM141-H-03
BJDDM141-H-04
</t>
  </si>
  <si>
    <t xml:space="preserve">BJDDM143-E-06
BJDDM143-E-07
BJDDM143-E-08
BJDDM143-E-09
BJDDM143-E-10
BJDDM143-E-11
BJDDM143-E-12
BJDDM141-H-05
BJDDM141-H-06
BJDDM141-H-07
BJDDM141-H-08
BJDDM141-H-09
BJDDM141-H-10
BJDDM141-H-11
BJDDM141-H-12
BJDDM141-H-13
BJDDM141-H-14
BJDDM141-H-15
BJDDM142-C-19
BJDDM142-C-20
BJDDM142-D-17
BJDDM142-D-18
</t>
  </si>
  <si>
    <t xml:space="preserve">BJDDM143-E-13
BJDDM143-E-14
BJDDM143-F-01
BJDDM143-F-02
BJDDM143-F-03
BJDDM143-F-04
BJDDM143-F-05
BJDDM143-F-06
BJDDM143-F-07
BJDDM143-F-08
BJDDM143-F-09
BJDDM143-F-10
BJDDM143-F-11
BJDDM143-F-12
BJDDM143-F-13
BJDDM143-F-14
</t>
  </si>
  <si>
    <t>BJDDM143-B-15</t>
  </si>
  <si>
    <t>BJDDM143-G-01
BJDDM143-G-02
BJDDM143-G-03
BJDDM143-G-04
BJDDM143-G-05
BJDDM143-G-06
BJDDM143-G-07
BJDDM143-G-08
BJDDM143-G-09
BJDDM143-G-10
BJDDM143-G-11
BJDDM143-G-12
BJDDM143-F-15</t>
  </si>
  <si>
    <t xml:space="preserve">BJDDM143-G-13
BJDDM143-G-14
BJDDM143-G-15
BJDDM143-H-01
BJDDM143-H-02
BJDDM143-H-03
BJDDM143-H-04
BJDDM143-H-05
BJDDM143-H-06
BJDDM143-H-07
BJDDM143-H-08
BJDDM143-H-09
BJDDM143-H-10
BJDDM143-H-11
BJDDM143-H-12
BJDDM143-H-13
BJDDM143-H-14
BJDDM143-H-15
BJDDM143-I-01
BJDDM143-I-02
BJDDM143-I-03
BJDDM143-I-04
BJDDM143-I-05
BJDDM143-I-06
BJDDM143-I-07
BJDDM143-I-08
BJDDM143-I-09
BJDDM143-I-10
BJDDM143-I-11
BJDDM143-I-12
BJDDM143-I-13
BJDDM143-I-14
BJDDM143-I-15
BJDDM143-J-03
BJDDM143-J-04
BJDDM143-J-05
BJDDM143-J-06
BJDDM143-J-07
BJDDM143-J-08
BJDDM143-J-09
BJDDM143-J-10
BJDDM143-J-11
BJDDM143-J-12
BJDDM143-J-13
BJDDM143-J-14
BJDDM143-J-15
</t>
  </si>
  <si>
    <t xml:space="preserve">BJDDM143-G-01
BJDDM143-G-02
BJDDM143-G-03
BJDDM143-G-04
BJDDM143-G-05
BJDDM143-G-06
BJDDM143-G-07
BJDDM143-G-08
BJDDM143-G-09
BJDDM143-G-10
BJDDM143-G-11
BJDDM143-G-12
</t>
  </si>
  <si>
    <t>BJDDM141-J-03
BJDDM141-J-04
BJDDM141-J-05</t>
  </si>
  <si>
    <t>BJDDM141-I-03
BJDDM141-I-04
BJDDM141-I-08
BJDDM141-I-09
BJDDM141-I-10
BJDDM141-I-11
BJDDM141-I-12
BJDDM141-I-13
BJDDM141-J-08
BJDDM141-J-09
BJDDM141-J-10
BJDDM141-J-11
BJDDM141-J-12
BJDDM141-J-13
BJDDM141-J-14
BJDDM141-J-15</t>
  </si>
  <si>
    <t>BJDDM141-I-05</t>
  </si>
  <si>
    <t>BJDDM141-I-04
BJDDM141-J-11
BJDDM141-J-13
BJDDM141-J-14
BJDDM141-J-15</t>
  </si>
  <si>
    <t>BJDDM141-I-03
BJDDM141-J-03
BJDDM141-J-04
BJDDM141-J-05</t>
  </si>
  <si>
    <t>BJDDM141-J-12</t>
  </si>
  <si>
    <t>182115IDC00608</t>
  </si>
  <si>
    <t>窦店五期</t>
  </si>
  <si>
    <t xml:space="preserve">BJDDM331-G-01
BJDDM331-G-02
BJDDM331-G-03
BJDDM331-G-04
BJDDM331-G-05
BJDDM331-G-06
BJDDM331-G-07
BJDDM331-G-08
BJDDM331-G-09
BJDDM331-G-10
BJDDM331-G-11
BJDDM331-G-12
BJDDM331-G-13
BJDDM331-G-14
BJDDM331-G-15
BJDDM331-H-01
BJDDM331-H-02
BJDDM331-H-03
BJDDM331-H-04
BJDDM331-H-05
BJDDM331-H-06
BJDDM331-H-07
BJDDM331-H-08
BJDDM331-H-09
BJDDM331-H-10
</t>
  </si>
  <si>
    <t xml:space="preserve">BJDDM331-H-11
BJDDM331-H-12
BJDDM331-H-13
BJDDM331-H-14
BJDDM331-H-15
BJDDM331-I-03
BJDDM331-I-04
BJDDM331-I-05
BJDDM332-A-01
BJDDM332-A-02
BJDDM332-A-03
BJDDM332-A-04
BJDDM332-A-05
BJDDM332-A-06
BJDDM332-A-07
BJDDM332-A-08
BJDDM332-A-09
BJDDM332-A-10
BJDDM332-A-11
BJDDM332-A-12
BJDDM332-A-13
BJDDM332-A-14
BJDDM332-A-15
BJDDM332-A-16
BJDDM332-B-01
BJDDM332-B-02
BJDDM332-B-03
BJDDM332-B-04
BJDDM332-B-05
BJDDM332-B-06
BJDDM332-B-07
BJDDM332-B-08
BJDDM332-B-09
BJDDM332-B-10
BJDDM332-B-11
BJDDM332-B-12
BJDDM332-B-13
BJDDM332-B-14
BJDDM332-B-15
BJDDM332-B-16
BJDDM332-B-17
BJDDM332-B-18
BJDDM332-B-19
BJDDM332-B-20
</t>
  </si>
  <si>
    <t xml:space="preserve">BJDDM332-C-01
BJDDM332-C-02
BJDDM332-C-03
BJDDM332-C-04
BJDDM332-C-05
BJDDM332-C-06
BJDDM332-C-07
BJDDM332-C-08
BJDDM332-C-09
BJDDM332-C-10
BJDDM332-C-11
BJDDM332-C-12
BJDDM332-C-13
BJDDM332-C-14
BJDDM332-C-15
BJDDM332-C-16
BJDDM332-C-17
BJDDM332-C-18
BJDDM332-C-19
BJDDM332-C-20
BJDDM332-D-01
BJDDM332-D-02
BJDDM332-D-03
BJDDM332-D-04
BJDDM332-D-05
BJDDM332-D-06
BJDDM332-D-07
BJDDM332-D-08
BJDDM332-D-09
BJDDM332-D-10
BJDDM332-D-11
BJDDM332-D-12
BJDDM332-D-13
BJDDM332-D-14
BJDDM332-D-15
BJDDM332-D-16
BJDDM332-E-02
BJDDM332-E-03
BJDDM332-E-04
BJDDM332-E-05
BJDDM332-E-06
BJDDM332-E-07
BJDDM332-E-08
BJDDM332-E-09
BJDDM332-E-10
BJDDM332-E-11
BJDDM332-E-12
BJDDM332-E-13
BJDDM332-E-14
BJDDM332-E-15
BJDDM332-E-16
BJDDM332-E-17
BJDDM332-E-18
</t>
  </si>
  <si>
    <t xml:space="preserve">BJDDM331-C-05
BJDDM331-D-05
BJDDM331-E-02
BJDDM331-E-03
BJDDM331-E-15
BJDDM331-F-02
BJDDM331-I-01
BJDDM331-I-02
BJDDM332-D-17
BJDDM332-D-18
BJDDM332-E-01
BJDDM332-G-17
BJDDM332-G-18
BJDDM333-D-13
BJDDM333-D-14
BJDDM333-E-01
BJDDM333-J-13
BJDDM333-J-14
</t>
  </si>
  <si>
    <t xml:space="preserve">BJDDM332-E-19
BJDDM332-F-01
BJDDM332-F-02
BJDDM332-F-03
BJDDM332-F-04
BJDDM332-F-05
BJDDM332-F-06
BJDDM332-F-07
BJDDM332-F-08
BJDDM332-F-09
BJDDM332-F-10
BJDDM332-F-11
BJDDM332-F-12
BJDDM332-F-13
BJDDM332-F-14
BJDDM332-F-15
BJDDM332-F-16
BJDDM332-F-17
BJDDM332-F-18
BJDDM332-F-19
BJDDM332-G-01
BJDDM332-G-02
BJDDM332-G-03
BJDDM332-G-04
BJDDM332-G-05
BJDDM332-G-06
BJDDM332-G-07
BJDDM332-G-08
BJDDM332-G-09
BJDDM332-G-10
BJDDM332-G-11
BJDDM332-G-12
BJDDM332-G-13
BJDDM332-G-14
BJDDM332-G-15
BJDDM332-G-16
BJDDM332-H-01
BJDDM332-H-02
BJDDM332-H-03
BJDDM332-H-04
BJDDM332-H-05
BJDDM332-H-06
BJDDM332-H-07
BJDDM332-H-08
BJDDM332-H-09
BJDDM332-H-10
BJDDM332-H-11
BJDDM332-H-12
BJDDM332-H-13
BJDDM332-H-14
BJDDM332-H-15
BJDDM332-H-16
BJDDM332-H-17
BJDDM332-H-18
BJDDM332-H-19
BJDDM332-H-20
BJDDM332-I-01
BJDDM332-I-02
BJDDM332-I-03
BJDDM332-I-04
BJDDM332-I-05
BJDDM332-I-06
BJDDM332-I-07
BJDDM332-I-08
BJDDM332-I-09
BJDDM332-I-10
BJDDM332-I-11
BJDDM332-I-12
BJDDM332-I-13
BJDDM332-I-14
BJDDM332-I-15
BJDDM332-I-16
BJDDM332-I-17
BJDDM332-I-18
BJDDM332-I-19
BJDDM332-I-20
BJDDM332-J-01
BJDDM332-J-02
BJDDM332-J-03
BJDDM332-J-04
BJDDM332-J-05
BJDDM332-J-06
BJDDM332-J-07
BJDDM332-J-08
BJDDM332-J-09
BJDDM332-J-10
BJDDM332-J-11
BJDDM332-J-12
BJDDM332-J-13
BJDDM332-J-14
BJDDM332-J-15
BJDDM332-J-16
BJDDM333-A-01
BJDDM333-A-02
BJDDM333-A-03
BJDDM333-A-04
BJDDM333-A-05
BJDDM333-A-06
BJDDM333-A-07
</t>
  </si>
  <si>
    <t xml:space="preserve">BJDDM333-A-08
BJDDM333-A-09
BJDDM333-A-10
BJDDM333-A-11
BJDDM333-A-12
BJDDM333-A-13
BJDDM333-A-14
BJDDM333-B-01
BJDDM333-B-02
BJDDM333-B-03
BJDDM333-B-04
BJDDM333-B-05
BJDDM333-B-06
BJDDM333-B-07
BJDDM333-B-08
BJDDM333-B-09
BJDDM333-B-10
BJDDM333-B-11
BJDDM333-B-12
BJDDM333-B-13
BJDDM333-B-14
BJDDM333-C-01
BJDDM333-C-02
BJDDM333-C-03
BJDDM333-C-04
BJDDM333-C-05
BJDDM333-C-06
BJDDM333-C-07
BJDDM333-C-08
BJDDM333-C-09
BJDDM333-C-10
BJDDM333-C-11
BJDDM333-C-12
BJDDM333-C-13
BJDDM333-C-14
BJDDM333-D-01
BJDDM333-D-02
</t>
  </si>
  <si>
    <t xml:space="preserve">BJDDM333-D-03
BJDDM333-D-04
BJDDM333-D-05
BJDDM333-D-06
BJDDM333-D-07
BJDDM333-D-08
BJDDM333-D-09
BJDDM333-D-10
BJDDM333-D-11
BJDDM333-D-12
BJDDM333-E-02
BJDDM333-E-03
BJDDM333-E-04
BJDDM333-E-05
BJDDM333-E-06
BJDDM333-E-07
BJDDM333-E-08
BJDDM333-E-09
BJDDM333-E-10
BJDDM333-E-11
BJDDM333-E-12
BJDDM333-E-13
BJDDM333-F-01
BJDDM333-F-02
BJDDM333-F-03
BJDDM333-F-04
BJDDM333-F-05
BJDDM333-F-06
BJDDM333-F-07
BJDDM333-F-08
BJDDM333-F-09
BJDDM333-F-10
BJDDM333-F-11
BJDDM333-F-12
BJDDM333-F-13
BJDDM333-G-01
BJDDM333-G-02
BJDDM333-G-03
BJDDM333-G-04
BJDDM333-G-05
BJDDM333-G-06
BJDDM333-G-07
BJDDM333-G-08
</t>
  </si>
  <si>
    <t xml:space="preserve">BJDDM331-I-07
BJDDM331-I-08
BJDDM331-I-11
BJDDM331-I-12
BJDDM333-G-09
BJDDM333-G-10
BJDDM333-G-13
BJDDM333-G-14
BJDDM333-H-01
BJDDM333-H-02
BJDDM333-H-05
BJDDM333-H-06
BJDDM333-H-09
BJDDM333-H-10
BJDDM333-H-13
BJDDM333-H-14
BJDDM333-I-01
BJDDM333-I-02
BJDDM333-I-05
BJDDM333-I-06
BJDDM333-I-09
BJDDM333-I-10
BJDDM333-I-13
BJDDM333-I-14
BJDDM333-J-01
BJDDM333-J-02
BJDDM333-J-05
BJDDM333-J-06
BJDDM331-I-06
BJDDM331-I-09
BJDDM331-I-10
BJDDM331-I-13
BJDDM331-I-14
BJDDM333-G-11
BJDDM333-G-12
BJDDM333-H-03
BJDDM333-H-04
BJDDM333-H-07
BJDDM333-H-08
BJDDM333-H-11
BJDDM333-H-12
BJDDM333-I-03
BJDDM333-I-04
BJDDM333-I-07
BJDDM333-I-08
BJDDM333-I-11
BJDDM333-I-12
BJDDM333-J-03
BJDDM333-J-04
BJDDM333-J-07
</t>
  </si>
  <si>
    <t xml:space="preserve">BJDDM331-C-03
BJDDM331-C-04
BJDDM331-D-03
BJDDM331-D-04
</t>
  </si>
  <si>
    <t xml:space="preserve">BJDDM331-A-02
BJDDM331-A-04
BJDDM331-A-06
BJDDM331-A-08
BJDDM331-B-02
BJDDM331-B-04
BJDDM331-B-06
BJDDM331-B-08
</t>
  </si>
  <si>
    <t xml:space="preserve">测试电转正式电，BJDDM321-D-01
BJDDM321-D-14
BJDDM321-D-15
BJDDM321-H-14
BJDDM321-H-15
BJDDM322-D-17
BJDDM322-D-18
BJDDM322-E-01
BJDDM322-G-17
BJDDM322-G-18
</t>
  </si>
  <si>
    <t xml:space="preserve">BJDDM321-A-01
BJDDM321-A-02
BJDDM321-A-03
BJDDM321-A-04
BJDDM321-A-05
BJDDM321-A-06
BJDDM321-A-07
BJDDM321-A-08
BJDDM321-A-09
BJDDM321-A-10
BJDDM321-A-11
BJDDM321-A-12
BJDDM333-J-08
BJDDM333-J-09
BJDDM333-J-10
BJDDM333-J-11
BJDDM333-J-12
</t>
  </si>
  <si>
    <t xml:space="preserve">测试电转正式电，加测试电日期：2021年6月28日。测试时间2周，正式加电时间为2021年7月12日，BJDDM323-D-13
BJDDM323-D-14
BJDDM323-E-01
BJDDM323-H-13
BJDDM323-H-14
</t>
  </si>
  <si>
    <t xml:space="preserve">BJDDM321-B-01
BJDDM321-B-02
BJDDM321-B-03
BJDDM321-B-04
BJDDM321-B-05
BJDDM321-B-06
BJDDM321-B-07
BJDDM321-B-08
BJDDM321-B-09
BJDDM321-B-10
BJDDM321-B-11
BJDDM321-B-12
BJDDM321-B-13
BJDDM321-B-14
BJDDM321-B-15
BJDDM321-C-01
BJDDM321-C-02
BJDDM321-C-03
BJDDM321-C-04
BJDDM321-C-05
BJDDM321-C-06
BJDDM321-C-07
BJDDM321-C-08
BJDDM321-C-09
BJDDM321-C-10
BJDDM321-C-11
</t>
  </si>
  <si>
    <t xml:space="preserve">BJDDM321-E-01
BJDDM321-E-02
BJDDM321-E-03
BJDDM321-E-04
BJDDM321-E-05
BJDDM321-E-06
BJDDM321-E-07
BJDDM321-E-08
BJDDM321-E-09
BJDDM321-E-10
BJDDM321-E-11
BJDDM321-E-12
BJDDM321-E-13
BJDDM321-E-14
BJDDM321-F-01
BJDDM321-F-02
BJDDM321-F-03
BJDDM321-F-04
BJDDM321-F-05
BJDDM321-F-06
BJDDM321-F-07
BJDDM321-F-08
BJDDM321-F-09
BJDDM321-F-10
BJDDM321-F-11
BJDDM321-F-12
BJDDM321-F-13
BJDDM321-F-14
BJDDM321-G-01
BJDDM321-G-02
BJDDM321-G-03
BJDDM321-G-04
BJDDM321-G-05
BJDDM321-G-06
BJDDM321-G-07
BJDDM321-G-08
BJDDM321-G-09
BJDDM321-G-10
BJDDM321-G-11
BJDDM321-G-12
BJDDM321-G-13
BJDDM321-G-14
BJDDM321-G-15
BJDDM321-H-01
BJDDM321-H-02
BJDDM321-H-03
BJDDM321-H-04
BJDDM321-H-05
BJDDM321-H-06
BJDDM321-H-07
BJDDM321-H-08
BJDDM321-H-09
BJDDM321-H-10
BJDDM321-H-11
BJDDM321-H-12
BJDDM321-H-13
BJDDM321-I-01
BJDDM321-I-02
BJDDM321-I-03
BJDDM321-I-04
BJDDM321-I-05
BJDDM321-I-06
BJDDM321-I-07
BJDDM321-I-08
BJDDM321-I-09
BJDDM321-I-10
BJDDM321-I-11
BJDDM321-I-12
BJDDM321-I-13
BJDDM321-I-14
BJDDM321-I-15
BJDDM321-J-01
BJDDM321-J-02
BJDDM321-J-03
BJDDM321-J-04
BJDDM321-J-05
BJDDM321-J-06
BJDDM321-J-07
BJDDM321-J-08
BJDDM321-J-09
BJDDM321-J-10
BJDDM321-J-11
</t>
  </si>
  <si>
    <t xml:space="preserve">BJDDM321-A-13
BJDDM321-A-14
BJDDM321-A-15
BJDDM321-C-12
BJDDM321-C-13
BJDDM321-C-14
BJDDM321-C-15
BJDDM321-D-06
BJDDM321-D-07
BJDDM321-D-08
BJDDM321-D-09
BJDDM321-D-10
BJDDM321-D-11
BJDDM321-D-12
BJDDM321-D-13
BJDDM321-J-12
BJDDM321-J-13
BJDDM321-J-14
BJDDM321-J-15
BJDDM322-A-01
BJDDM322-A-02
BJDDM322-A-03
BJDDM322-A-04
BJDDM322-A-05
BJDDM322-A-06
BJDDM322-A-07
BJDDM322-A-08
BJDDM322-A-09
BJDDM322-A-10
BJDDM322-A-11
BJDDM322-A-12
BJDDM322-A-13
BJDDM322-A-14
BJDDM322-A-15
BJDDM322-A-16
</t>
  </si>
  <si>
    <t xml:space="preserve">BJDDM322-B-01
BJDDM322-B-02
BJDDM322-B-03
BJDDM322-B-04
BJDDM322-B-05
BJDDM322-B-06
BJDDM322-B-07
BJDDM322-B-08
BJDDM322-B-09
BJDDM322-B-10
BJDDM322-B-11
BJDDM322-B-12
BJDDM322-B-13
BJDDM322-B-14
BJDDM322-B-15
BJDDM322-B-16
BJDDM322-B-17
BJDDM322-B-18
BJDDM322-B-19
BJDDM322-B-20
BJDDM322-C-01
BJDDM322-C-02
BJDDM322-C-03
BJDDM322-C-04
BJDDM322-C-05
BJDDM322-C-06
BJDDM322-C-07
BJDDM322-C-08
BJDDM322-C-09
BJDDM322-C-10
BJDDM322-C-11
BJDDM322-C-12
BJDDM322-C-13
BJDDM322-C-14
BJDDM322-C-15
BJDDM322-C-16
BJDDM322-C-17
BJDDM322-C-18
BJDDM322-C-19
BJDDM322-C-20
BJDDM322-D-01
BJDDM322-D-02
BJDDM322-D-03
BJDDM322-D-04
BJDDM322-D-05
BJDDM322-D-06
BJDDM322-D-07
BJDDM322-D-08
BJDDM322-D-09
BJDDM322-D-10
BJDDM322-D-11
BJDDM322-D-12
BJDDM322-D-13
BJDDM322-D-14
</t>
  </si>
  <si>
    <t xml:space="preserve">BJDDM321-D-02
BJDDM321-D-03
BJDDM321-D-04
BJDDM321-D-05
</t>
  </si>
  <si>
    <t xml:space="preserve">BJDDM322-D-15
BJDDM322-D-16
BJDDM322-E-02
BJDDM322-E-03
BJDDM322-E-04
</t>
  </si>
  <si>
    <t xml:space="preserve">BJDDM322-E-05
BJDDM322-E-06
BJDDM322-E-07
</t>
  </si>
  <si>
    <t xml:space="preserve">BJDDM322-E-08
BJDDM322-E-09
BJDDM322-E-10
BJDDM322-E-11
BJDDM322-E-12
</t>
  </si>
  <si>
    <t xml:space="preserve">BJDDM322-E-13
BJDDM322-E-14
BJDDM322-E-15
BJDDM322-E-16
BJDDM322-E-17
BJDDM322-E-18
BJDDM322-E-19
</t>
  </si>
  <si>
    <t xml:space="preserve">BJDDM322-F-01
BJDDM322-F-02
BJDDM322-F-03
BJDDM322-F-04
BJDDM322-F-05
BJDDM322-F-06
BJDDM322-F-07
BJDDM322-F-08
BJDDM322-F-09
BJDDM322-F-10
BJDDM322-F-11
BJDDM322-F-12
BJDDM322-F-13
BJDDM322-F-14
BJDDM322-F-15
BJDDM322-F-16
BJDDM322-F-17
BJDDM322-F-18
</t>
  </si>
  <si>
    <t xml:space="preserve">BJDDM322-G-01
BJDDM322-G-02
BJDDM322-G-03
BJDDM322-G-04
BJDDM322-G-05
BJDDM322-G-06
BJDDM322-G-07
BJDDM322-G-08
BJDDM322-G-09
BJDDM322-G-10
BJDDM322-G-11
BJDDM322-G-12
BJDDM322-G-13
BJDDM322-G-14
BJDDM322-G-15
BJDDM322-G-16
BJDDM322-H-01
BJDDM322-H-02
BJDDM322-H-03
BJDDM322-H-04
BJDDM322-H-05
BJDDM322-H-06
BJDDM322-H-07
BJDDM322-H-08
BJDDM322-H-09
BJDDM322-H-10
BJDDM322-H-11
BJDDM322-H-12
BJDDM322-H-13
BJDDM322-H-14
BJDDM322-H-15
BJDDM322-H-16
BJDDM322-H-17
BJDDM322-H-18
BJDDM322-H-19
BJDDM322-H-20
BJDDM322-I-01
BJDDM322-I-02
BJDDM322-I-03
BJDDM322-I-04
BJDDM322-I-05
BJDDM322-I-06
BJDDM322-I-07
BJDDM322-I-08
BJDDM322-I-09
BJDDM322-I-10
BJDDM322-I-11
BJDDM322-I-12
BJDDM322-I-13
BJDDM322-I-14
BJDDM322-I-15
BJDDM322-I-16
BJDDM322-I-17
BJDDM322-I-18
BJDDM322-I-19
BJDDM322-I-20
BJDDM322-J-01
BJDDM322-J-02
BJDDM322-J-03
BJDDM322-J-04
BJDDM322-J-05
BJDDM322-J-06
BJDDM322-J-07
BJDDM322-J-08
BJDDM322-J-09
BJDDM322-J-10
BJDDM322-J-11
BJDDM322-J-12
BJDDM322-J-13
BJDDM322-J-14
BJDDM322-J-15
BJDDM322-J-16
</t>
  </si>
  <si>
    <t xml:space="preserve">BJDDM323-A-01
BJDDM323-A-02
BJDDM323-A-03
BJDDM323-A-05
BJDDM323-A-06
BJDDM323-A-07
BJDDM323-A-08
BJDDM323-A-09
BJDDM323-A-10
BJDDM323-A-11
BJDDM323-A-12
BJDDM323-A-13
BJDDM323-A-14
BJDDM323-B-01
BJDDM323-B-02
BJDDM323-B-03
BJDDM323-B-04
BJDDM323-B-05
BJDDM323-B-06
BJDDM323-B-07
BJDDM323-B-08
BJDDM323-B-09
BJDDM323-B-10
</t>
  </si>
  <si>
    <t xml:space="preserve">BJDDM323-C-09
BJDDM323-C-10
BJDDM323-C-11
BJDDM323-C-12
BJDDM323-C-13
BJDDM323-C-14
BJDDM323-D-01
BJDDM323-D-02
BJDDM323-D-03
BJDDM323-D-04
BJDDM323-D-05
BJDDM323-D-06
BJDDM323-D-07
</t>
  </si>
  <si>
    <t xml:space="preserve">BJDDM322-F-19
BJDDM323-C-01
BJDDM323-C-02
BJDDM323-C-03
BJDDM323-C-04
BJDDM323-C-05
BJDDM323-C-06
BJDDM323-C-07
</t>
  </si>
  <si>
    <t xml:space="preserve">BJDDM323-A-04
BJDDM323-B-11
BJDDM323-B-12
BJDDM323-B-13
BJDDM323-B-14
BJDDM323-C-08
</t>
  </si>
  <si>
    <t xml:space="preserve">BJDDM323-F-01
BJDDM323-F-02
BJDDM323-F-03
BJDDM323-F-04
BJDDM323-F-05
BJDDM323-F-06
BJDDM323-F-07
BJDDM323-F-08
BJDDM323-F-09
BJDDM323-F-10
BJDDM323-F-11
BJDDM323-F-12
BJDDM323-F-13
BJDDM323-G-01
BJDDM323-G-02
BJDDM323-G-03
BJDDM323-G-04
BJDDM323-G-05
BJDDM323-G-06
BJDDM323-G-07
BJDDM323-G-08
</t>
  </si>
  <si>
    <t xml:space="preserve">BJDDM323-D-08
BJDDM323-D-09
BJDDM323-D-10
BJDDM323-D-11
BJDDM323-D-12
BJDDM323-E-02
BJDDM323-E-03
BJDDM323-E-04
BJDDM323-E-05
BJDDM323-E-06
BJDDM323-E-07
BJDDM323-E-08
BJDDM323-E-09
</t>
  </si>
  <si>
    <t xml:space="preserve">BJDDM323-J-01
BJDDM323-J-02
BJDDM323-J-03
BJDDM323-J-04
BJDDM323-J-05
BJDDM323-J-06
BJDDM323-J-07
BJDDM323-J-08
BJDDM323-J-09
BJDDM323-J-10
BJDDM323-J-11
BJDDM323-J-12
BJDDM323-J-13
BJDDM323-J-14
</t>
  </si>
  <si>
    <t xml:space="preserve">BJDDM323-E-10
BJDDM323-E-11
BJDDM323-E-12
BJDDM323-E-13
BJDDM323-G-09
BJDDM323-G-10
BJDDM323-G-11
BJDDM323-G-12
BJDDM323-G-13
BJDDM323-G-14
BJDDM323-H-01
BJDDM323-H-02
BJDDM323-H-03
BJDDM323-H-04
BJDDM323-H-05
BJDDM323-H-06
BJDDM323-H-07
BJDDM323-H-08
BJDDM323-H-09
BJDDM323-H-10
BJDDM323-H-11
BJDDM323-H-12
BJDDM323-I-01
BJDDM323-I-02
BJDDM323-I-03
BJDDM323-I-04
BJDDM323-I-05
BJDDM323-I-06
BJDDM323-I-07
BJDDM323-I-08
BJDDM323-I-09
BJDDM323-I-10
BJDDM323-I-11
BJDDM323-I-12
BJDDM323-I-13
BJDDM323-I-14
</t>
  </si>
  <si>
    <t>182115IDC00609</t>
  </si>
  <si>
    <t>窦店五期二批</t>
  </si>
  <si>
    <t>BJDDM341-F-01
BJDDM341-F-03
BJDDM341-F-04
BJDDM341-G-01
BJDDM341-G-03
BJDDM341-G-04
BJDDM341-G-05
BJDDM341-G-07
BJDDM341-G-08
BJDDM341-G-09
BJDDM341-G-11
BJDDM341-G-12
BJDDM341-G-13
BJDDM341-G-15
BJDDM341-H-01
BJDDM341-H-03
BJDDM341-H-04
BJDDM341-H-05
BJDDM341-H-07
BJDDM341-H-08
BJDDM341-H-09
BJDDM341-H-11
BJDDM341-H-12
BJDDM341-H-13
BJDDM341-H-15
BJDDM341-I-01
BJDDM341-I-03
BJDDM341-I-04
BJDDM341-I-06
BJDDM341-I-07
BJDDM341-I-08
BJDDM341-I-10
BJDDM341-I-11
BJDDM341-I-12
BJDDM341-I-14
BJDDM342-A-01
BJDDM342-A-02
BJDDM342-A-03
BJDDM342-A-04
BJDDM342-A-05
BJDDM342-A-06
BJDDM342-A-07
BJDDM342-A-08
BJDDM342-A-09
BJDDM342-A-10
BJDDM342-A-11
BJDDM342-A-12
BJDDM342-A-13
BJDDM342-A-14
BJDDM342-A-15
BJDDM342-A-16
BJDDM342-B-01
BJDDM342-B-02
BJDDM342-B-03
BJDDM342-B-04
BJDDM342-H-01
BJDDM342-H-02
BJDDM342-H-03
BJDDM342-H-04
BJDDM342-H-05
BJDDM342-H-06
BJDDM342-H-07
BJDDM342-H-08
BJDDM342-H-09
BJDDM342-H-10
BJDDM343-A-01
BJDDM343-A-02
BJDDM343-A-03
BJDDM343-A-04
BJDDM343-A-05
BJDDM343-A-06
BJDDM343-A-07
BJDDM343-A-08
BJDDM343-A-09
BJDDM343-A-10
BJDDM343-A-11
BJDDM343-A-12
BJDDM343-A-13
BJDDM343-A-14
BJDDM343-B-01
BJDDM343-B-02
BJDDM343-B-03
BJDDM343-B-04
BJDDM343-B-05
BJDDM343-B-06
BJDDM343-B-07
BJDDM343-B-08
BJDDM343-B-09
BJDDM343-B-10
BJDDM343-B-11
BJDDM343-B-12
BJDDM343-B-13
BJDDM343-B-14
BJDDM343-B-15
BJDDM343-C-01
BJDDM343-C-02
BJDDM343-C-03
BJDDM343-C-04
BJDDM343-C-05
BJDDM343-C-06
BJDDM343-C-07
BJDDM343-C-08
BJDDM343-C-09
BJDDM343-C-10
BJDDM343-C-11
BJDDM343-C-12
BJDDM343-C-13
BJDDM343-C-14
BJDDM343-C-15
BJDDM343-D-01
BJDDM343-D-02
BJDDM343-D-03
BJDDM343-D-04
BJDDM343-D-05
BJDDM343-D-06
BJDDM343-D-07
BJDDM343-D-08
BJDDM343-D-09
BJDDM343-D-10
BJDDM343-D-11
BJDDM343-D-12
BJDDM343-D-13
BJDDM343-D-14
BJDDM343-D-15
BJDDM343-E-02
BJDDM343-E-03
BJDDM343-E-04
BJDDM343-E-05
BJDDM343-E-06
BJDDM343-E-07
BJDDM343-E-08
BJDDM343-E-09
BJDDM343-E-10
BJDDM343-E-11
BJDDM343-E-12
BJDDM343-F-01
BJDDM343-F-02
BJDDM343-F-03
BJDDM343-F-04
BJDDM343-F-05
BJDDM343-F-06
BJDDM343-F-07
BJDDM343-F-08
BJDDM343-F-09
BJDDM343-F-10
BJDDM343-F-11
BJDDM343-F-12
BJDDM343-G-01
BJDDM343-G-02
BJDDM343-G-03
BJDDM343-G-04
BJDDM343-G-05
BJDDM343-G-06
BJDDM343-G-07
BJDDM343-G-08
BJDDM343-G-09
BJDDM343-G-10
BJDDM343-G-11
BJDDM343-G-12
BJDDM343-G-13
BJDDM343-G-14
BJDDM343-G-15
BJDDM343-H-01
BJDDM343-H-02</t>
  </si>
  <si>
    <t>BJDDM341-E-01
BJDDM341-F-13
BJDDM341-F-14
BJDDM342-D-17
BJDDM342-D-18
BJDDM342-E-01
BJDDM342-G-17
BJDDM342-G-18
BJDDM343-E-01
BJDDM343-E-13
BJDDM343-E-14
BJDDM343-F-13
BJDDM343-F-14</t>
  </si>
  <si>
    <t>BJDDM341-F-02
BJDDM341-G-02
BJDDM341-G-06
BJDDM341-G-10
BJDDM341-G-14
BJDDM341-H-02
BJDDM341-H-06
BJDDM341-H-10
BJDDM341-H-14
BJDDM341-I-02
BJDDM341-I-05
BJDDM341-I-09
BJDDM341-I-13</t>
  </si>
  <si>
    <t>BJDDM342-H-11
BJDDM342-H-12
BJDDM342-H-13
BJDDM342-H-15
BJDDM342-H-16
BJDDM342-H-17
BJDDM342-H-19
BJDDM342-H-20
BJDDM342-I-01
BJDDM342-I-03
BJDDM342-I-04
BJDDM342-I-05
BJDDM342-H-14
BJDDM342-H-18
BJDDM342-I-02
BJDDM342-I-06</t>
  </si>
  <si>
    <t>BJDDM341-F-05
BJDDM341-F-07
BJDDM341-F-08
BJDDM341-F-09
BJDDM341-F-11
BJDDM341-F-12
BJDDM342-B-05
BJDDM342-B-07
BJDDM342-B-08
BJDDM342-B-09
BJDDM342-B-11
BJDDM342-B-12
BJDDM342-B-13
BJDDM342-B-15
BJDDM342-B-16
BJDDM342-B-17
BJDDM342-B-19
BJDDM342-B-20
BJDDM342-C-01
BJDDM342-C-03
BJDDM342-C-04
BJDDM342-C-05
BJDDM342-C-07
BJDDM342-C-08
BJDDM342-C-09
BJDDM342-C-11
BJDDM342-C-12
BJDDM342-C-13
BJDDM342-C-15
BJDDM342-C-16
BJDDM342-C-17
BJDDM342-C-19
BJDDM342-C-20
BJDDM342-D-01
BJDDM342-D-03
BJDDM342-D-04
BJDDM342-D-05
BJDDM342-D-07
BJDDM342-D-08
BJDDM342-D-09
BJDDM342-D-11
BJDDM341-F-06
BJDDM341-F-10
BJDDM342-B-06
BJDDM342-B-10
BJDDM342-B-14
BJDDM342-B-18
BJDDM342-C-02
BJDDM342-C-06
BJDDM342-C-10
BJDDM342-C-14
BJDDM342-C-18
BJDDM342-D-02
BJDDM342-D-06
BJDDM342-D-10</t>
  </si>
  <si>
    <t>BJDD-云托管</t>
  </si>
  <si>
    <t>BJDDM343-J-01
BJDDM343-J-02
BJDDM343-J-03
BJDDM343-J-04</t>
  </si>
  <si>
    <t>BJDDM342-D-12
BJDDM342-D-13
BJDDM342-D-14</t>
  </si>
  <si>
    <t>BJDDM342-D-15
BJDDM342-D-16
BJDDM342-E-02
BJDDM342-E-03
BJDDM342-E-04
BJDDM342-E-05
BJDDM342-E-06
BJDDM342-E-07
BJDDM342-E-08
BJDDM342-E-09
BJDDM342-E-10
BJDDM342-E-11
BJDDM342-E-12
BJDDM342-E-13
BJDDM342-E-14
BJDDM342-E-15
BJDDM342-E-16
BJDDM342-E-17
BJDDM342-E-18
BJDDM342-E-19
BJDDM342-F-01
BJDDM342-F-02
BJDDM342-F-03
BJDDM342-F-04
BJDDM342-F-05
BJDDM342-F-06
BJDDM342-F-07
BJDDM342-F-08
BJDDM342-F-09
BJDDM342-F-10
BJDDM342-F-11
BJDDM342-F-12
BJDDM342-F-13
BJDDM342-F-14
BJDDM342-F-15
BJDDM342-F-16
BJDDM342-F-17
BJDDM342-F-18
BJDDM342-F-19
BJDDM342-G-01
BJDDM342-G-02
BJDDM342-G-03
BJDDM342-G-04</t>
  </si>
  <si>
    <t>BJDDM342-J-01
BJDDM342-J-02
BJDDM342-J-03
BJDDM342-J-04
BJDDM342-J-05
BJDDM342-J-06
BJDDM342-J-07
BJDDM342-J-08
BJDDM342-J-09
BJDDM342-J-10
BJDDM342-J-11
BJDDM342-J-12
BJDDM342-J-13
BJDDM342-J-14
BJDDM342-J-15</t>
  </si>
  <si>
    <t>BJDDM342-G-05
BJDDM342-G-06</t>
  </si>
  <si>
    <t>BJDDM342-G-07
BJDDM342-G-08
BJDDM342-G-09
BJDDM342-G-10
BJDDM342-G-11
BJDDM342-G-12
BJDDM342-G-13
BJDDM342-G-14
BJDDM342-G-15
BJDDM342-G-16</t>
  </si>
  <si>
    <t>BJDDM342-J-16</t>
  </si>
  <si>
    <t>BJDDM342-I-07
BJDDM342-I-08
BJDDM342-I-09
BJDDM342-I-10
BJDDM342-I-11
BJDDM342-I-12
BJDDM342-I-13
BJDDM342-I-14
BJDDM342-I-15
BJDDM342-I-16
BJDDM342-I-17
BJDDM342-I-18
BJDDM342-I-19
BJDDM342-I-20
BJDDM343-H-03
BJDDM343-H-04
BJDDM343-H-05
BJDDM343-H-06</t>
  </si>
  <si>
    <t>BJDDM343-H-07
BJDDM343-H-08
BJDDM343-H-09
BJDDM343-H-10
BJDDM343-H-11
BJDDM343-H-12
BJDDM343-H-13
BJDDM343-H-14
BJDDM343-H-15</t>
  </si>
  <si>
    <t>BJDDM343-J-14</t>
  </si>
  <si>
    <t>182215IDC00344</t>
  </si>
  <si>
    <t>窦店六期4号楼2-3层</t>
  </si>
  <si>
    <t>BJDDM431-E-02
BJDDM431-E-06
BJDDM431-E-10
BJDDM431-F-03
BJDDM431-F-07
BJDDM431-F-11
BJDDM432-H-01
BJDDM432-H-02
BJDDM432-H-03
BJDDM432-H-04
BJDDM432-H-05
BJDDM432-H-06
BJDDM432-H-07
BJDDM432-H-08
BJDDM432-I-01
BJDDM432-I-02
BJDDM432-I-03
BJDDM432-I-04
BJDDM432-I-05
BJDDM432-I-06
BJDDM432-I-07
BJDDM432-I-08
BJDDM432-I-09
BJDDM431-A-02
BJDDM431-A-03
BJDDM431-A-04
BJDDM431-A-05
BJDDM431-A-06
BJDDM431-A-07
BJDDM431-A-08
BJDDM431-A-09
BJDDM431-A-10
BJDDM431-A-11
BJDDM431-A-12
BJDDM431-B-02
BJDDM431-B-03
BJDDM431-B-04
BJDDM431-B-05
BJDDM431-B-06
BJDDM431-B-07
BJDDM431-B-08
BJDDM431-B-09
BJDDM431-B-10
BJDDM431-B-11
BJDDM431-B-12
BJDDM431-C-02
BJDDM431-C-03
BJDDM431-C-04
BJDDM431-C-05
BJDDM431-C-06
BJDDM431-C-07
BJDDM431-C-08
BJDDM431-C-09
BJDDM431-C-10
BJDDM431-C-11
BJDDM431-C-12
BJDDM431-C-13
BJDDM431-D-02
BJDDM431-D-03
BJDDM431-D-04
BJDDM431-D-05
BJDDM431-D-06
BJDDM431-D-07
BJDDM431-E-13
BJDDM431-G-02
BJDDM431-G-03
BJDDM431-G-04
BJDDM431-G-05
BJDDM431-G-06
BJDDM431-G-07
BJDDM431-G-08
BJDDM431-G-09
BJDDM431-G-13
BJDDM431-H-02
BJDDM431-H-03
BJDDM431-H-04
BJDDM431-H-05
BJDDM431-H-06
BJDDM431-H-07
BJDDM431-H-08
BJDDM431-H-09
BJDDM431-H-13
BJDDM431-I-15
BJDDM432-A-01
BJDDM432-A-02
BJDDM432-A-03
BJDDM432-A-04
BJDDM432-A-05
BJDDM432-A-06
BJDDM432-A-07
BJDDM432-A-08
BJDDM432-A-09
BJDDM432-A-10
BJDDM432-A-11
BJDDM432-A-12
BJDDM432-A-13
BJDDM432-A-14
BJDDM432-A-15
BJDDM432-A-16
BJDDM432-B-01
BJDDM432-B-02
BJDDM432-B-03
BJDDM432-B-04
BJDDM432-B-05
BJDDM432-B-06
BJDDM432-B-07
BJDDM432-B-08
BJDDM432-B-09
BJDDM432-B-10
BJDDM432-B-11
BJDDM432-B-12
BJDDM432-B-13
BJDDM432-B-14
BJDDM432-B-15
BJDDM432-B-16
BJDDM432-B-17
BJDDM432-B-18
BJDDM432-B-19
BJDDM432-B-20
BJDDM432-C-01
BJDDM432-C-02
BJDDM432-C-03
BJDDM432-C-04
BJDDM432-C-05
BJDDM432-C-06
BJDDM432-C-07
BJDDM432-C-08
BJDDM432-C-09
BJDDM432-C-10
BJDDM432-C-11
BJDDM432-C-12
BJDDM432-C-13
BJDDM432-C-14
BJDDM432-C-15
BJDDM432-C-16
BJDDM432-C-17
BJDDM432-C-18
BJDDM432-C-19
BJDDM432-C-20
BJDDM432-D-01
BJDDM432-D-02
BJDDM432-D-03
BJDDM432-D-04
BJDDM432-D-05
BJDDM432-D-06
BJDDM432-D-07
BJDDM432-D-08
BJDDM432-D-09
BJDDM432-D-10
BJDDM432-D-11
BJDDM432-D-12
BJDDM432-D-13
BJDDM432-D-14
BJDDM432-D-15
BJDDM432-D-16
BJDDM432-E-01
BJDDM432-E-02
BJDDM432-E-03
BJDDM432-E-04
BJDDM432-E-05
BJDDM432-E-06
BJDDM432-E-07
BJDDM432-E-08
BJDDM432-E-09
BJDDM432-E-10
BJDDM432-E-11
BJDDM432-E-12
BJDDM432-E-13
BJDDM432-E-14
BJDDM432-E-15
BJDDM432-E-16
BJDDM432-E-17
BJDDM432-E-18
BJDDM432-E-19
BJDDM432-E-20
BJDDM432-F-01
BJDDM432-G-17
BJDDM432-G-18
BJDDM432-H-10
BJDDM432-H-14
BJDDM432-H-18
BJDDM432-J-01
BJDDM432-J-03
BJDDM432-J-05
BJDDM432-J-07
BJDDM432-J-09
BJDDM432-J-11
BJDDM432-J-13
BJDDM432-J-15
BJDDM432-J-16
BJDDM433-D-14
BJDDM433-D-15
BJDDM433-E-01
BJDDM433-F-14
BJDDM433-F-15
BJDDM431-E-03
BJDDM431-E-04
BJDDM431-E-05
BJDDM431-E-07
BJDDM431-E-08
BJDDM431-E-09
BJDDM431-E-11
BJDDM431-E-12
BJDDM431-F-02
BJDDM431-F-04
BJDDM431-F-05
BJDDM431-F-06
BJDDM431-F-08
BJDDM431-F-09</t>
  </si>
  <si>
    <t>BJDDM432-I-10</t>
  </si>
  <si>
    <t>BJDDM432-F-02
BJDDM432-F-03
BJDDM432-F-04
BJDDM432-F-05
BJDDM432-F-06
BJDDM432-F-07
BJDDM432-F-08
BJDDM432-F-09
BJDDM432-F-10
BJDDM432-F-11
BJDDM432-F-12
BJDDM432-F-13
BJDDM432-F-14
BJDDM432-F-15
BJDDM432-F-16
BJDDM432-F-17
BJDDM432-F-18
BJDDM432-F-19
BJDDM432-F-20
BJDDM432-G-01
BJDDM432-G-02
BJDDM432-G-03
BJDDM432-G-04
BJDDM432-H-09
BJDDM432-H-11
BJDDM432-H-12
BJDDM432-H-13
BJDDM432-H-15
BJDDM432-H-16
BJDDM432-H-17
BJDDM432-H-19
BJDDM432-H-20</t>
  </si>
  <si>
    <t>BJDDM423-E-01
BJDDM422-E-01
BJDDM421-E-15
BJDDM421-D-01
BJDDM421-D-02
BJDDM421-F-01
BJDDM421-F-02
BJDDM422-C-19
BJDDM422-C-20
BJDDM422-D-17
BJDDM422-D-18
BJDDM422-F-19
BJDDM422-F-20
BJDDM422-G-17
BJDDM422-G-18
BJDDM423-D-14
BJDDM423-D-15
BJDDM423-F-14
BJDDM423-F-15
BJDDM433-A-01
BJDDM433-A-02
BJDDM433-A-03
BJDDM433-A-04
BJDDM433-A-05
BJDDM433-A-06
BJDDM433-A-07
BJDDM433-A-08
BJDDM433-A-09
BJDDM433-A-10
BJDDM433-A-11
BJDDM433-A-12
BJDDM433-A-13
BJDDM433-A-14
BJDDM433-B-01
BJDDM433-B-02
BJDDM433-B-03
BJDDM433-B-04
BJDDM433-B-05
BJDDM433-B-06
BJDDM433-B-07
BJDDM433-B-08
BJDDM433-B-09
BJDDM433-B-10
BJDDM433-B-11
BJDDM433-B-12
BJDDM433-B-13
BJDDM433-B-14
BJDDM433-C-01
BJDDM433-C-02</t>
  </si>
  <si>
    <t>BJDDM421-A-02
BJDDM421-A-04
BJDDM421-A-08
BJDDM421-A-12
BJDDM421-B-02
BJDDM421-B-05
BJDDM421-B-09
BJDDM421-B-13
BJDDM421-C-02
BJDDM421-C-05
BJDDM421-C-09
BJDDM421-C-13
BJDDM421-D-04
BJDDM421-D-06
BJDDM421-D-09
BJDDM421-D-13
BJDDM421-E-04
BJDDM421-E-08
BJDDM421-E-12
BJDDM421-F-04
BJDDM421-F-06
BJDDM421-F-09
BJDDM421-F-13
BJDDM421-G-02
BJDDM421-A-01
BJDDM421-A-03
BJDDM421-A-05
BJDDM421-A-06
BJDDM421-A-07
BJDDM421-A-09
BJDDM421-A-10
BJDDM421-A-11
BJDDM421-A-13
BJDDM421-A-14
BJDDM421-B-01
BJDDM421-B-03
BJDDM421-B-04
BJDDM421-B-06
BJDDM421-B-07
BJDDM421-B-08
BJDDM421-B-10
BJDDM421-B-11
BJDDM421-B-12
BJDDM421-B-14
BJDDM421-B-15
BJDDM421-C-01
BJDDM421-C-03
BJDDM421-C-04
BJDDM421-C-06
BJDDM421-C-07
BJDDM421-C-08
BJDDM421-C-10
BJDDM421-C-11
BJDDM421-C-12
BJDDM421-C-14
BJDDM421-C-15
BJDDM421-D-03
BJDDM421-D-05
BJDDM421-D-07
BJDDM421-D-08
BJDDM421-D-10
BJDDM421-D-11
BJDDM421-D-12
BJDDM421-D-14
BJDDM421-D-15
BJDDM421-E-03
BJDDM421-E-05
BJDDM421-E-06
BJDDM421-E-07
BJDDM421-E-09
BJDDM421-E-10
BJDDM421-E-11
BJDDM421-E-13
BJDDM421-E-14
BJDDM421-F-03
BJDDM421-F-05
BJDDM421-F-07
BJDDM421-F-08
BJDDM421-F-10
BJDDM421-F-11
BJDDM421-F-12
BJDDM421-F-14
BJDDM421-F-15
BJDDM421-G-01
BJDDM421-G-03
BJDDM421-G-04
BJDDM421-G-05
BJDDM421-G-06
BJDDM421-G-07
BJDDM421-G-08
BJDDM421-G-09
BJDDM421-G-10
BJDDM421-G-11
BJDDM421-G-12
BJDDM421-G-13
BJDDM421-G-14
BJDDM421-G-15
BJDDM421-H-01
BJDDM421-H-02
BJDDM421-H-03
BJDDM421-H-04
BJDDM421-H-05
BJDDM433-C-03
BJDDM433-C-04
BJDDM433-C-05
BJDDM433-C-06
BJDDM433-C-07
BJDDM433-C-08
BJDDM433-C-09
BJDDM433-C-10
BJDDM433-C-11
BJDDM433-C-12</t>
  </si>
  <si>
    <t>BJDDM432-G-11
BJDDM432-G-12
BJDDM432-G-13</t>
  </si>
  <si>
    <t>BJDDM421-H-06
BJDDM421-H-07
BJDDM421-H-08
BJDDM421-H-09
BJDDM421-H-10
BJDDM421-H-11
BJDDM421-H-12
BJDDM421-H-13
BJDDM421-H-14
BJDDM421-H-15
BJDDM421-I-02</t>
  </si>
  <si>
    <t>BJDDM432-G-14
BJDDM432-G-15
BJDDM432-G-16</t>
  </si>
  <si>
    <t>BJDDM432-G-05
BJDDM432-G-06
BJDDM432-G-07
BJDDM432-G-08
BJDDM432-G-09
BJDDM432-G-10</t>
  </si>
  <si>
    <t>BJDDM433-D-01
BJDDM433-D-02
BJDDM433-D-03
BJDDM433-D-04
BJDDM433-D-05
BJDDM433-D-06
BJDDM433-D-07
BJDDM433-D-08
BJDDM433-D-09
BJDDM433-D-10
BJDDM433-D-11
BJDDM433-D-12
BJDDM433-D-13
BJDDM433-E-02
BJDDM433-E-03
BJDDM433-E-04
BJDDM433-E-05</t>
  </si>
  <si>
    <t>BJDDM433-B-15
BJDDM433-C-13
BJDDM433-C-14
BJDDM433-C-15
BJDDM433-E-06
BJDDM433-E-07
BJDDM433-E-08
BJDDM433-E-09
BJDDM433-E-10
BJDDM433-E-11
BJDDM433-E-12
BJDDM433-E-13
BJDDM433-F-01
BJDDM433-F-02</t>
  </si>
  <si>
    <t>BJDDM433-G-01
BJDDM433-G-02
BJDDM433-G-03
BJDDM433-G-04
BJDDM433-G-05
BJDDM433-G-06
BJDDM433-G-07
BJDDM433-G-08
BJDDM433-G-09
BJDDM433-G-10
BJDDM433-G-11
BJDDM433-G-12
BJDDM433-G-13
BJDDM433-G-14
BJDDM433-G-15
BJDDM422-H-01
BJDDM422-H-02
BJDDM422-H-03
BJDDM422-H-04
BJDDM422-H-05
BJDDM422-H-06
BJDDM422-H-07
BJDDM422-H-08
BJDDM422-H-09
BJDDM422-H-10
BJDDM422-H-11
BJDDM422-H-12
BJDDM422-H-13
BJDDM422-H-14
BJDDM422-H-15
BJDDM422-H-16
BJDDM422-H-17
BJDDM422-H-18
BJDDM422-H-19
BJDDM422-H-20
BJDDM433-F-03
BJDDM433-F-04
BJDDM433-F-05
BJDDM433-F-06
BJDDM433-F-07
BJDDM433-F-08
BJDDM433-F-09
BJDDM433-F-10
BJDDM433-F-11
BJDDM433-F-12
BJDDM433-F-13</t>
  </si>
  <si>
    <t>BJDDM422-A-01
BJDDM422-A-02
BJDDM422-A-03
BJDDM422-A-04
BJDDM422-A-05
BJDDM422-A-06
BJDDM422-A-07
BJDDM422-A-08
BJDDM422-A-09
BJDDM422-A-10
BJDDM422-A-11
BJDDM422-A-12
BJDDM422-A-13
BJDDM422-A-14
BJDDM422-A-15
BJDDM422-A-16
BJDDM422-B-01
BJDDM422-B-02
BJDDM422-B-03
BJDDM422-B-04
BJDDM422-B-05
BJDDM422-B-06
BJDDM422-B-07
BJDDM422-B-08
BJDDM422-B-09
BJDDM422-B-10
BJDDM422-B-11
BJDDM422-B-12
BJDDM422-B-13
BJDDM422-B-14
BJDDM422-B-15
BJDDM422-B-16
BJDDM422-B-17
BJDDM422-B-18
BJDDM422-B-19
BJDDM422-B-20
BJDDM422-C-01
BJDDM422-C-02
BJDDM422-C-03
BJDDM422-C-04
BJDDM422-C-05
BJDDM422-C-06
BJDDM422-C-07
BJDDM422-C-08
BJDDM422-C-09
BJDDM422-C-10
BJDDM422-C-11
BJDDM421-I-01
BJDDM421-I-03
BJDDM421-I-04
BJDDM421-I-05
BJDDM421-I-06
BJDDM421-I-07
BJDDM421-I-08
BJDDM421-I-09
BJDDM421-I-10
BJDDM421-I-11
BJDDM421-I-12
BJDDM421-I-13
BJDDM421-I-14
BJDDM421-I-15
BJDDM421-J-01
BJDDM421-J-02
BJDDM421-J-03
BJDDM421-J-04
BJDDM421-J-05
BJDDM421-J-06
BJDDM421-J-07
BJDDM421-J-08
BJDDM421-J-09
BJDDM421-J-10
BJDDM421-J-11
BJDDM421-J-12
BJDDM421-J-13
BJDDM421-J-14</t>
  </si>
  <si>
    <t>BJDDM433-J-14
BJDDM422-C-12
BJDDM422-C-13
BJDDM422-C-14
BJDDM422-C-15
BJDDM422-C-16</t>
  </si>
  <si>
    <t>BJDDM422-D-01
BJDDM422-D-02
BJDDM422-D-03
BJDDM422-D-04
BJDDM422-D-05
BJDDM422-D-06
BJDDM422-D-07
BJDDM422-D-08
BJDDM422-D-09
BJDDM422-D-10</t>
  </si>
  <si>
    <t>BJDDM433-H-01
BJDDM433-H-02</t>
  </si>
  <si>
    <t>BJDDM433-H-03
BJDDM433-H-04
BJDDM433-H-05
BJDDM433-H-06</t>
  </si>
  <si>
    <t>BJDDM422-C-17
BJDDM422-C-18
BJDDM422-D-11
BJDDM422-D-12
BJDDM422-D-13
BJDDM422-D-14
BJDDM422-D-15
BJDDM422-D-16
BJDDM422-E-02
BJDDM422-E-03
BJDDM422-E-04
BJDDM422-E-05
BJDDM422-E-06
BJDDM422-E-07
BJDDM422-E-08
BJDDM422-E-09
BJDDM422-E-10
BJDDM422-E-11</t>
  </si>
  <si>
    <t>BJDDM422-E-12
BJDDM422-E-13
BJDDM422-E-14
BJDDM422-E-15
BJDDM422-E-16</t>
  </si>
  <si>
    <t>BJDDM433-I-01
BJDDM433-I-02
BJDDM433-I-03
BJDDM433-I-04
BJDDM433-I-05
BJDDM433-I-06
BJDDM433-I-07
BJDDM433-I-08
BJDDM433-I-09
BJDDM433-I-10
BJDDM433-I-11
BJDDM433-I-12
BJDDM433-I-13
BJDDM433-I-14
BJDDM433-J-01
BJDDM433-J-02
BJDDM433-J-03
BJDDM433-J-04
BJDDM433-J-05
BJDDM433-J-06</t>
  </si>
  <si>
    <t>BJDDM422-E-17
BJDDM422-E-18
BJDDM422-I-13
BJDDM422-I-14
BJDDM422-I-15
BJDDM422-I-16
BJDDM422-I-17
BJDDM422-I-18
BJDDM422-I-19
BJDDM422-I-20
BJDDM422-J-01
BJDDM422-J-02
BJDDM422-J-03
BJDDM422-J-04</t>
  </si>
  <si>
    <t>BJDDM422-G-01
BJDDM422-G-02
BJDDM422-G-03
BJDDM422-G-04</t>
  </si>
  <si>
    <t>BJDDM433-J-07
BJDDM433-J-08
BJDDM433-J-09
BJDDM433-J-10
BJDDM433-J-11
BJDDM433-J-12
BJDDM422-F-01
BJDDM422-F-02
BJDDM422-F-03
BJDDM422-F-04
BJDDM422-F-05
BJDDM422-F-06
BJDDM422-F-07
BJDDM422-F-08
BJDDM422-F-09
BJDDM422-F-10
BJDDM422-F-11
BJDDM422-F-12
BJDDM422-F-13
BJDDM422-F-14
BJDDM422-F-15
BJDDM422-F-16
BJDDM422-F-17
BJDDM422-F-18
BJDDM422-G-05
BJDDM422-G-06
BJDDM422-G-07
BJDDM422-G-08
BJDDM422-G-09
BJDDM422-G-10
BJDDM422-G-11
BJDDM422-G-12
BJDDM422-G-13
BJDDM422-G-14
BJDDM422-G-15
BJDDM422-G-16
BJDDM422-I-01
BJDDM422-I-02</t>
  </si>
  <si>
    <t>BJDDM423-A-01
BJDDM423-A-02
BJDDM423-A-03
BJDDM423-A-04
BJDDM423-A-05
BJDDM423-A-06
BJDDM423-A-07
BJDDM423-A-08
BJDDM423-A-09
BJDDM423-A-10
BJDDM423-A-11
BJDDM423-A-12
BJDDM423-A-13
BJDDM423-A-14
BJDDM423-B-01
BJDDM423-B-02
BJDDM423-B-03
BJDDM423-B-04
BJDDM423-B-05
BJDDM423-B-06
BJDDM423-B-07
BJDDM423-B-08
BJDDM423-B-09
BJDDM423-B-10
BJDDM423-B-11
BJDDM423-B-12
BJDDM423-B-13
BJDDM423-B-14
BJDDM423-B-15
BJDDM423-C-01
BJDDM423-C-02
BJDDM423-C-03
BJDDM423-C-04
BJDDM423-C-05
BJDDM423-C-06
BJDDM423-C-07
BJDDM423-C-08
BJDDM423-D-01
BJDDM423-D-02
BJDDM423-D-03
BJDDM423-D-04
BJDDM423-D-05
BJDDM423-D-06
BJDDM423-D-07
BJDDM423-D-08
BJDDM423-D-09
BJDDM423-D-10
BJDDM423-D-11
BJDDM423-D-12
BJDDM423-D-13
BJDDM423-E-02
BJDDM423-E-03
BJDDM423-E-04
BJDDM423-E-05
BJDDM422-J-05
BJDDM422-J-06
BJDDM422-J-07
BJDDM422-J-08
BJDDM422-J-09
BJDDM422-J-10
BJDDM422-J-11
BJDDM422-J-12
BJDDM422-J-13
BJDDM422-J-14
BJDDM422-J-15
BJDDM422-J-16</t>
  </si>
  <si>
    <t>BJDDM422-I-09
BJDDM422-I-10
BJDDM422-I-11
BJDDM422-I-12</t>
  </si>
  <si>
    <t>BJDDM423-C-09
BJDDM423-C-10
BJDDM423-C-11
BJDDM423-C-12
BJDDM423-C-13
BJDDM423-C-14
BJDDM423-C-15
BJDDM423-E-06
BJDDM423-E-07
BJDDM423-E-08
BJDDM423-E-09
BJDDM423-E-10
BJDDM423-E-11
BJDDM423-E-12
BJDDM423-E-13
BJDDM423-F-01
BJDDM423-F-02
BJDDM423-F-03
BJDDM423-F-04
BJDDM423-F-05
BJDDM423-F-06
BJDDM423-F-07
BJDDM423-F-08
BJDDM423-F-09
BJDDM423-F-10
BJDDM423-F-11
BJDDM423-F-12
BJDDM423-F-13
BJDDM423-G-01
BJDDM423-G-02
BJDDM423-G-03
BJDDM423-G-04
BJDDM423-G-05
BJDDM423-G-06
BJDDM423-G-07
BJDDM423-G-08
BJDDM423-G-09
BJDDM423-G-10
BJDDM423-G-11
BJDDM423-G-12
BJDDM423-G-13
BJDDM423-G-14
BJDDM423-G-15
BJDDM423-H-01
BJDDM423-H-02
BJDDM423-H-03
BJDDM423-H-04</t>
  </si>
  <si>
    <t>BJDDM433-H-07
BJDDM433-H-08
BJDDM433-H-09
BJDDM433-H-10
BJDDM433-H-11
BJDDM433-H-12
BJDDM433-H-13
BJDDM433-H-14
BJDDM433-H-15
BJDDM433-I-15
BJDDM433-J-13
BJDDM423-H-05
BJDDM423-H-06
BJDDM423-H-07
BJDDM423-H-08
BJDDM423-H-09
BJDDM423-H-10
BJDDM423-H-11
BJDDM423-H-12
BJDDM423-H-13
BJDDM423-H-14
BJDDM423-I-01
BJDDM423-I-02
BJDDM423-I-03
BJDDM423-I-04
BJDDM423-I-05
BJDDM423-I-06
BJDDM423-I-07
BJDDM423-I-08
BJDDM423-I-09
BJDDM423-I-10
BJDDM423-I-11
BJDDM423-I-12
BJDDM423-I-13
BJDDM423-I-14
BJDDM423-I-15
BJDDM423-J-01
BJDDM423-J-02
BJDDM423-J-03
BJDDM423-J-04
BJDDM423-J-13
BJDDM423-J-14
BJDDM422-I-03
BJDDM422-I-04
BJDDM422-I-05
BJDDM422-I-06
BJDDM422-I-07
BJDDM422-I-08</t>
  </si>
  <si>
    <t>BJDDM423-H-15</t>
  </si>
  <si>
    <t>BJDDM423-J-05
BJDDM423-J-06
BJDDM423-J-07
BJDDM423-J-08
BJDDM423-J-09
BJDDM423-J-10
BJDDM423-J-11
BJDDM423-J-12</t>
  </si>
  <si>
    <t>BJDDM432-J-02
BJDDM432-J-04</t>
  </si>
  <si>
    <t>BJDDM432-J-06
BJDDM432-J-08</t>
  </si>
  <si>
    <t>BJDDM433-G-12</t>
  </si>
  <si>
    <t>BJDDM432-J-10
BJDDM432-J-12
BJDDM432-J-14</t>
  </si>
  <si>
    <t>182215IDC00383</t>
  </si>
  <si>
    <t>窦店六期4号楼4层</t>
  </si>
  <si>
    <t>BJDDM443-B-01
BJDDM443-B-02
BJDDM443-B-03
BJDDM443-B-04
BJDDM443-B-05
BJDDM443-B-06
BJDDM443-B-07
BJDDM443-B-08
BJDDM443-E-02
BJDDM443-E-03
BJDDM443-E-04
BJDDM443-E-05
BJDDM443-E-06
BJDDM443-E-07
BJDDM443-E-08
BJDDM443-E-09
BJDDM443-E-10
BJDDM443-E-11
BJDDM443-E-12
BJDDM443-E-13
BJDDM443-F-01
BJDDM443-F-02
BJDDM443-F-03
BJDDM443-F-04
BJDDM443-F-05
BJDDM443-F-06
BJDDM443-F-07
BJDDM443-F-08
BJDDM443-F-09
BJDDM443-F-10
BJDDM443-F-11
BJDDM443-F-12
BJDDM443-F-13
BJDDM443-F-14
BJDDM443-G-01
BJDDM443-G-02
BJDDM443-G-03
BJDDM443-G-04
BJDDM443-G-05
BJDDM443-G-06
BJDDM443-G-07
BJDDM443-G-08
BJDDM443-G-09
BJDDM443-G-10
BJDDM443-G-11
BJDDM443-G-12
BJDDM443-G-13
BJDDM443-H-01
BJDDM443-H-02
BJDDM443-H-03
BJDDM443-H-04
BJDDM443-H-05
BJDDM443-H-06
BJDDM443-H-07
BJDDM443-H-08
BJDDM443-H-09
BJDDM443-H-10
BJDDM443-H-11
BJDDM443-H-12
BJDDM443-H-13
BJDDM443-I-01
BJDDM443-I-02
BJDDM443-I-03
BJDDM443-I-04
BJDDM443-I-05
BJDDM443-I-06
BJDDM443-I-07
BJDDM443-I-08
BJDDM443-I-09
BJDDM443-I-10
BJDDM443-I-11
BJDDM443-I-12
BJDDM443-I-13
BJDDM443-I-14
BJDDM443-J-01
BJDDM443-J-02
BJDDM443-J-03
BJDDM443-J-04
BJDDM443-J-05
BJDDM443-J-06
BJDDM443-J-07
BJDDM443-J-08
BJDDM443-J-09
BJDDM443-J-10
BJDDM443-J-11
BJDDM443-J-12
BJDDM443-J-13
BJDDM443-J-14</t>
  </si>
  <si>
    <t>BJDDM443-C-01
BJDDM443-C-02
BJDDM443-C-03
BJDDM443-C-04
BJDDM443-C-05
BJDDM443-C-06
BJDDM443-C-07
BJDDM443-C-08
BJDDM443-C-09
BJDDM443-C-10
BJDDM443-C-11
BJDDM443-C-12
BJDDM443-C-13
BJDDM443-D-01
BJDDM443-D-02
BJDDM443-D-03
BJDDM443-D-04
BJDDM443-D-05
BJDDM443-D-06
BJDDM443-D-07
BJDDM443-D-08
BJDDM443-D-09
BJDDM443-D-10
BJDDM443-D-11</t>
  </si>
  <si>
    <t>BJDDM443-C-14
BJDDM443-C-15
BJDDM443-D-14
BJDDM443-D-15
BJDDM443-E-01
BJDDM443-G-14
BJDDM443-G-15
BJDDM443-H-14
BJDDM443-H-15</t>
  </si>
  <si>
    <t>BJDDM443-A-01
BJDDM443-A-02
BJDDM443-A-03
BJDDM443-A-04
BJDDM443-A-05
BJDDM443-A-06
BJDDM443-A-07
BJDDM443-A-08
BJDDM443-A-09
BJDDM443-A-10
BJDDM443-A-11
BJDDM443-A-12
BJDDM443-A-13
BJDDM443-A-14
BJDDM443-B-09
BJDDM443-B-10
BJDDM443-B-11
BJDDM443-B-12
BJDDM443-B-13
BJDDM443-B-14
BJDDM443-D-12
BJDDM443-D-13</t>
  </si>
  <si>
    <t>BJDDM443-A-01
BJDDM443-A-02
BJDDM443-A-03
BJDDM443-A-04
BJDDM443-A-05
BJDDM443-A-06
BJDDM443-A-07
BJDDM443-A-08
BJDDM443-A-09
BJDDM443-A-10
BJDDM443-A-11
BJDDM443-A-12
BJDDM443-A-13
BJDDM443-A-14
BJDDM443-B-09
BJDDM443-B-10
BJDDM443-B-11
BJDDM443-B-12
BJDDM443-B-13
BJDDM443-B-14</t>
  </si>
  <si>
    <t>BJDDM441-C-01
BJDDM441-C-02
BJDDM441-D-01
BJDDM441-D-02
BJDDM441-E-15
BJDDM441-G-01
BJDDM441-G-02
BJDDM441-H-01
BJDDM441-H-02
BJDDM442-C-19
BJDDM442-C-20
BJDDM442-D-17
BJDDM442-D-18
BJDDM442-E-01
BJDDM442-F-19
BJDDM442-F-20
BJDDM442-G-17
BJDDM442-G-18</t>
  </si>
  <si>
    <t>BJDDM442-A-02
BJDDM442-A-03</t>
  </si>
  <si>
    <t>BJDDM442-A-01
BJDDM442-A-04
BJDDM442-A-05
BJDDM442-A-06
BJDDM442-A-07
BJDDM442-A-08
BJDDM442-A-09
BJDDM442-A-10
BJDDM442-A-11
BJDDM442-A-12
BJDDM442-A-13
BJDDM442-A-14
BJDDM442-A-15
BJDDM442-A-16
BJDDM442-B-01
BJDDM442-B-02
BJDDM442-B-03
BJDDM442-B-04
BJDDM442-B-05
BJDDM442-B-06
BJDDM442-B-07
BJDDM442-B-08
BJDDM442-B-09
BJDDM442-B-10
BJDDM442-B-11
BJDDM442-B-12
BJDDM442-B-13
BJDDM442-B-14
BJDDM442-B-15
BJDDM442-B-16
BJDDM442-B-17
BJDDM442-B-18
BJDDM442-B-19
BJDDM442-B-20</t>
  </si>
  <si>
    <t>BJDDM442-C-01
BJDDM442-C-02
BJDDM442-C-03
BJDDM442-C-04
BJDDM442-C-05
BJDDM442-C-06
BJDDM442-C-07
BJDDM442-C-08
BJDDM442-C-09
BJDDM442-C-10
BJDDM442-C-11
BJDDM442-C-12
BJDDM442-C-13
BJDDM442-C-14
BJDDM442-C-15
BJDDM442-C-16
BJDDM442-C-17
BJDDM442-C-18
BJDDM442-D-01
BJDDM442-D-02
BJDDM442-D-03
BJDDM442-D-04
BJDDM442-D-05
BJDDM442-D-06
BJDDM442-D-07
BJDDM442-D-08
BJDDM442-D-09
BJDDM442-D-10
BJDDM442-D-11
BJDDM442-D-12
BJDDM442-D-13
BJDDM442-D-14
BJDDM442-D-15
BJDDM442-D-16
BJDDM442-E-02
BJDDM442-E-03</t>
  </si>
  <si>
    <t>BJDDM442-E-04
BJDDM442-E-05
BJDDM442-E-06
BJDDM442-E-07
BJDDM442-E-08
BJDDM442-E-09
BJDDM442-E-10
BJDDM442-E-11
BJDDM442-E-12
BJDDM442-E-13
BJDDM442-E-14
BJDDM442-E-15
BJDDM442-E-16
BJDDM442-E-17
BJDDM442-E-18</t>
  </si>
  <si>
    <t>BJDDM442-F-05
BJDDM442-F-06
BJDDM442-F-07
BJDDM442-F-08
BJDDM442-F-09
BJDDM442-F-10
BJDDM442-F-11
BJDDM442-F-12
BJDDM442-F-13
BJDDM442-F-14
BJDDM442-F-15
BJDDM442-F-16
BJDDM442-F-17
BJDDM442-F-18
BJDDM442-G-01
BJDDM442-G-02
BJDDM442-G-03
BJDDM442-G-04</t>
  </si>
  <si>
    <t>BJDDM442-F-01
BJDDM442-F-02
BJDDM442-F-03
BJDDM442-F-04
BJDDM442-G-05
BJDDM442-G-06
BJDDM442-G-07
BJDDM442-G-08
BJDDM442-G-09
BJDDM442-G-10
BJDDM442-G-11
BJDDM442-G-12
BJDDM442-G-13
BJDDM442-G-14
BJDDM442-G-15
BJDDM442-G-16
BJDDM442-H-01
BJDDM442-H-02
BJDDM442-H-03
BJDDM442-H-04
BJDDM442-H-05
BJDDM442-H-06
BJDDM442-H-07
BJDDM442-H-08</t>
  </si>
  <si>
    <t>BJDDM443-A-01
BJDDM443-A-02
BJDDM443-A-03
BJDDM443-A-04
BJDDM443-A-05
BJDDM443-A-06
BJDDM443-A-07
BJDDM443-A-08
BJDDM443-A-09
BJDDM443-A-10
BJDDM443-A-11
BJDDM443-A-12
BJDDM443-A-13
BJDDM443-A-14</t>
  </si>
  <si>
    <t>BJDDM442-I-01
BJDDM442-I-02
BJDDM442-I-03
BJDDM442-I-04
BJDDM442-I-05
BJDDM442-I-06</t>
  </si>
  <si>
    <t>BJDDM443-B-09
BJDDM443-B-10</t>
  </si>
  <si>
    <t>BJDDM442-H-09
BJDDM442-H-10
BJDDM442-H-11</t>
  </si>
  <si>
    <t>BJDDM442-H-12
BJDDM442-H-13
BJDDM442-H-14
BJDDM442-H-15
BJDDM442-H-16
BJDDM442-H-17
BJDDM442-H-18
BJDDM442-H-19
BJDDM442-H-20</t>
  </si>
  <si>
    <t>BJDDM442-I-07
BJDDM442-I-08
BJDDM442-I-09
BJDDM442-I-10</t>
  </si>
  <si>
    <t>BJDDM441-A-01
BJDDM441-A-02
BJDDM441-A-03
BJDDM441-A-04
BJDDM441-A-05
BJDDM441-B-01
BJDDM441-B-02
BJDDM441-B-03</t>
  </si>
  <si>
    <t>BJDDM443-A-01
BJDDM443-A-03
BJDDM443-A-04
BJDDM443-A-05
BJDDM443-A-07
BJDDM443-A-08
BJDDM443-A-09
BJDDM443-A-11
BJDDM443-A-12
BJDDM443-A-13
BJDDM443-B-04
BJDDM443-B-05
BJDDM443-B-08
BJDDM443-D-11
BJDDM443-E-02
BJDDM443-E-05
BJDDM443-E-09
BJDDM443-E-10
BJDDM443-E-13
BJDDM443-F-04
BJDDM443-F-08
BJDDM443-F-11
BJDDM443-F-12
BJDDM443-G-03
BJDDM443-G-04
BJDDM443-G-05
BJDDM443-G-07
BJDDM443-G-08
BJDDM443-G-09
BJDDM443-G-11
BJDDM443-G-12
BJDDM443-H-01
BJDDM443-H-03
BJDDM443-H-04
BJDDM443-H-08
BJDDM443-H-12</t>
  </si>
  <si>
    <t>BJDDM443-A-10
BJDDM443-H-02
BJDDM443-H-13</t>
  </si>
  <si>
    <t>BJDDM441-B-04
BJDDM441-B-05</t>
  </si>
  <si>
    <t>BJDDM442-I-11</t>
  </si>
  <si>
    <t>BJDDM443-B-04
BJDDM443-B-08
BJDDM443-D-11
BJDDM443-E-05
BJDDM443-E-09
BJDDM443-E-13
BJDDM443-F-04
BJDDM443-F-08
BJDDM443-H-08
BJDDM443-H-12</t>
  </si>
  <si>
    <t>BJDDM443-A-01
BJDDM443-A-03
BJDDM443-A-04
BJDDM443-A-05
BJDDM443-A-07
BJDDM443-A-08
BJDDM443-A-09
BJDDM443-A-10
BJDDM443-A-11
BJDDM443-A-12
BJDDM443-B-11
BJDDM443-B-12
BJDDM443-B-13
BJDDM443-B-14
BJDDM443-B-15
BJDDM443-G-03
BJDDM443-G-04
BJDDM443-G-05
BJDDM443-G-07
BJDDM443-G-08
BJDDM443-G-09
BJDDM443-G-11
BJDDM443-G-12
BJDDM443-H-02
BJDDM441-A-06
BJDDM441-A-07
BJDDM441-A-08
BJDDM441-A-09
BJDDM441-B-06
BJDDM441-B-07
BJDDM441-B-08
BJDDM441-B-09
BJDDM441-B-10
BJDDM441-C-03
BJDDM441-C-04
BJDDM441-C-05
BJDDM441-C-06
BJDDM441-C-07</t>
  </si>
  <si>
    <t>182215IDC00696</t>
  </si>
  <si>
    <t>窦店七期第一批五号楼二、三层</t>
  </si>
  <si>
    <t>动环20220615交付。BD反馈20220701开始计费。BJDDM531-J-06
BJDDM531-O-09
BJDDM532-F-10
BJDDM532-G-01
BJDDM531-N-03
BJDDM531-N-04
BJDDM531-N-05
BJDDM531-N-06
BJDDM531-O-03
BJDDM531-O-04
BJDDM531-O-05
BJDDM531-O-06
BJDDM531-J-01
BJDDM531-J-02
BJDDM531-J-03
BJDDM531-J-04
BJDDM531-K-03
BJDDM531-K-04
BJDDM531-K-05
BJDDM531-K-06
BJDDM531-L-01
BJDDM531-L-02
BJDDM531-L-03
BJDDM531-L-04
BJDDM532-I-01
BJDDM532-K-01
BJDDM531-E-01
BJDDM531-G-01
BJDDM532-E-01</t>
  </si>
  <si>
    <t xml:space="preserve">BJDDM532-B-08
BJDDM532-B-11
BJDDM532-C-02
BJDDM532-C-05
BJDDM532-C-08
BJDDM532-C-11
BJDDM532-D-02
BJDDM532-D-05
BJDDM532-D-08
BJDDM532-E-02
BJDDM532-E-05
BJDDM532-E-08
BJDDM532-E-11
BJDDM532-F-02
</t>
  </si>
  <si>
    <t>BJDDM531-A-01
BJDDM531-A-02
BJDDM531-A-03
BJDDM531-A-04
BJDDM531-A-05
BJDDM531-A-06
BJDDM531-A-07
BJDDM531-A-08</t>
  </si>
  <si>
    <t>BJDDM521-C-11
BJDDM521-C-12
BJDDM521-G-01
BJDDM521-H-01
BJDDM521-K-01
BJDDM521-K-02
BJDDM522-C-01
BJDDM522-C-02
BJDDM522-G-12
BJDDM522-H-12
BJDDM522-I-01
BJDDM522-I-02</t>
  </si>
  <si>
    <t>BJDDM531-A-09
BJDDM531-A-10
BJDDM531-A-11
BJDDM531-A-12
BJDDM531-B-01
BJDDM531-B-02
BJDDM531-B-03
BJDDM531-B-04
BJDDM531-B-05
BJDDM531-B-06
BJDDM531-B-07
BJDDM531-B-08
BJDDM531-B-09
BJDDM531-B-10
BJDDM531-B-11</t>
  </si>
  <si>
    <t>BJDDM531-C-01
BJDDM531-C-02
BJDDM531-C-03
BJDDM531-C-04
BJDDM531-C-05
BJDDM531-C-06
BJDDM531-C-07
BJDDM531-C-08
BJDDM531-C-09
BJDDM531-C-10
BJDDM531-C-11
BJDDM531-C-12
BJDDM531-D-01
BJDDM531-D-02
BJDDM531-D-03
BJDDM531-D-04
BJDDM531-D-05
BJDDM531-D-06
BJDDM531-D-07
BJDDM531-D-08
BJDDM531-B-12</t>
  </si>
  <si>
    <t>BJDDM531-D-09</t>
  </si>
  <si>
    <t>BJDDM531-I-11</t>
  </si>
  <si>
    <t>BJDDM532-B-07
BJDDM532-B-09
BJDDM532-B-10
BJDDM532-B-12</t>
  </si>
  <si>
    <t>BJDDM532-D-01
BJDDM532-D-03
BJDDM532-D-04
BJDDM532-D-06
BJDDM532-E-07
BJDDM532-E-09
BJDDM532-E-10
BJDDM532-E-12</t>
  </si>
  <si>
    <t>BJDDM531-I-01
BJDDM531-I-02
BJDDM531-I-03</t>
  </si>
  <si>
    <t>BJDDM521-A-01
BJDDM521-A-02</t>
  </si>
  <si>
    <t>BJDDM521-A-07
BJDDM521-A-08
BJDDM521-A-09
BJDDM521-A-10
BJDDM521-A-11
BJDDM521-A-12</t>
  </si>
  <si>
    <t>BJDDM521-B-01
BJDDM521-B-02
BJDDM521-B-03
BJDDM521-B-04
BJDDM521-B-05
BJDDM521-B-06</t>
  </si>
  <si>
    <t>BJDDM531-E-02
BJDDM531-E-03</t>
  </si>
  <si>
    <t>BJDDM531-I-04
BJDDM531-I-05
BJDDM521-B-12
BJDDM521-C-01
BJDDM521-C-02
BJDDM521-C-03
BJDDM521-C-04
BJDDM521-C-05
BJDDM521-C-06
BJDDM521-C-07
BJDDM521-C-08
BJDDM521-C-09
BJDDM521-C-10
BJDDM521-D-01
BJDDM521-D-02
BJDDM521-D-03</t>
  </si>
  <si>
    <t>BJDDM521-B-11</t>
  </si>
  <si>
    <t>BJDDM532-D-07</t>
  </si>
  <si>
    <t>BJDDM522-A-01
BJDDM522-A-02</t>
  </si>
  <si>
    <t>BJDDM532-F-04
BJDDM532-F-05
BJDDM532-F-06
BJDDM532-F-07
BJDDM532-F-08
BJDDM522-A-03</t>
  </si>
  <si>
    <t>BJDDM522-C-03
BJDDM522-C-04
BJDDM522-C-05
BJDDM522-C-06</t>
  </si>
  <si>
    <t>BJDDM541-C-11
BJDDM541-C-12
BJDDM541-I-11
BJDDM541-I-12
BJDDM541-L-01
BJDDM541-L-02
BJDDM542-C-01
BJDDM542-C-02
BJDDM542-I-01
BJDDM542-I-02</t>
  </si>
  <si>
    <t>BJDDM541-G-01
BJDDM541-H-01
BJDDM542-G-12
BJDDM542-H-12</t>
  </si>
  <si>
    <t>BJDDM521-D-04
BJDDM521-D-05
BJDDM521-D-06
BJDDM521-D-07
BJDDM521-E-05
BJDDM521-E-06
BJDDM521-F-01
BJDDM521-F-02
BJDDM521-F-03
BJDDM521-F-09
BJDDM521-F-10
BJDDM521-G-03
BJDDM521-G-08
BJDDM521-G-09
BJDDM521-G-11</t>
  </si>
  <si>
    <t>BJDDM521-A-03
BJDDM521-A-04
BJDDM521-A-05
BJDDM521-A-06</t>
  </si>
  <si>
    <t>BJDDM521-D-08</t>
  </si>
  <si>
    <t>BJDDM532-G-02
BJDDM532-G-03
BJDDM532-G-04
BJDDM532-G-05
BJDDM532-G-06
BJDDM532-G-07
BJDDM532-G-08
BJDDM532-G-09</t>
  </si>
  <si>
    <t>BJDDM521-D-09
BJDDM521-D-10</t>
  </si>
  <si>
    <t>BJDDM521-B-07
BJDDM521-B-08
BJDDM521-B-09
BJDDM521-E-01
BJDDM521-E-02
BJDDM521-E-04
BJDDM521-E-07
BJDDM521-E-08
BJDDM521-F-04
BJDDM521-F-05</t>
  </si>
  <si>
    <t>BJDDM521-B-10
BJDDM521-E-03
BJDDM521-E-10
BJDDM521-F-06
BJDDM521-G-02</t>
  </si>
  <si>
    <t>BJDDM532-G-11</t>
  </si>
  <si>
    <t>BJDDM521-E-11
BJDDM521-E-12</t>
  </si>
  <si>
    <t>BJDDM521-E-09
BJDDM521-F-07
BJDDM521-G-05
BJDDM521-G-10
BJDDM521-H-02
BJDDM522-E-01
BJDDM522-E-02
BJDDM522-E-03
BJDDM522-E-04
BJDDM522-E-05
BJDDM522-E-06
BJDDM522-E-07
BJDDM522-E-08
BJDDM522-E-09
BJDDM522-E-10
BJDDM522-F-01
BJDDM522-F-02
BJDDM522-F-03
BJDDM522-F-04
BJDDM522-F-05
BJDDM522-F-06
BJDDM522-F-07
BJDDM522-F-08</t>
  </si>
  <si>
    <t>BJDDM522-A-04
BJDDM522-A-05
BJDDM522-A-06
BJDDM522-A-07
BJDDM522-A-08
BJDDM522-A-09
BJDDM522-A-10
BJDDM522-A-11
BJDDM522-A-12
BJDDM522-B-02
BJDDM522-B-03
BJDDM522-B-04
BJDDM522-B-05
BJDDM522-B-06
BJDDM522-B-07
BJDDM522-B-08
BJDDM522-B-09
BJDDM522-B-10
BJDDM522-B-11
BJDDM522-B-12</t>
  </si>
  <si>
    <t>BJDDM521-G-06
BJDDM521-G-07
BJDDM522-B-01
BJDDM522-E-11
BJDDM522-E-12
BJDDM522-F-10</t>
  </si>
  <si>
    <t>BJDDM521-F-08
BJDDM521-G-04
BJDDM521-H-06
BJDDM521-H-08
BJDDM521-I-04
BJDDM521-I-12</t>
  </si>
  <si>
    <t>BJDDM521-H-03
BJDDM521-H-04</t>
  </si>
  <si>
    <t>BJDDM532-H-10
BJDDM532-H-11
BJDDM532-H-12
BJDDM532-I-02
BJDDM532-I-03
BJDDM532-I-04
BJDDM532-I-05
BJDDM532-I-06
BJDDM532-I-07
BJDDM532-I-08
BJDDM532-I-09
BJDDM532-I-10
BJDDM532-I-11
BJDDM532-I-12
BJDDM532-J-02
BJDDM532-J-03
BJDDM532-J-04
BJDDM532-J-05
BJDDM532-J-06
BJDDM532-J-07
BJDDM521-H-05
BJDDM521-H-07
BJDDM521-H-09
BJDDM521-H-10
BJDDM521-H-11</t>
  </si>
  <si>
    <t>BJDDM532-E-03
BJDDM532-E-04
BJDDM532-E-06
BJDDM532-F-01
BJDDM532-F-03
BJDDM532-G-10
BJDDM532-G-12
BJDDM532-H-01
BJDDM532-H-02
BJDDM532-H-03
BJDDM532-H-04
BJDDM532-H-05
BJDDM532-H-06
BJDDM532-H-07
BJDDM532-H-08
BJDDM532-H-09</t>
  </si>
  <si>
    <t>BJDDM521-I-03
BJDDM521-I-05
BJDDM521-I-06
BJDDM521-I-07
BJDDM521-I-08</t>
  </si>
  <si>
    <t>BJDDM521-I-11
BJDDM521-J-07
BJDDM521-K-08
BJDDM521-L-03
BJDDM521-M-02</t>
  </si>
  <si>
    <t>BJDDM532-J-08
BJDDM532-J-09</t>
  </si>
  <si>
    <t>BJDDM521-I-01
BJDDM521-I-02
BJDDM521-I-09
BJDDM521-I-10
BJDDM521-J-05
BJDDM521-J-06
BJDDM521-J-08
BJDDM521-J-09
BJDDM521-K-07
BJDDM521-K-09
BJDDM521-K-10
BJDDM521-L-04
BJDDM521-L-05
BJDDM521-M-01
BJDDM521-M-04</t>
  </si>
  <si>
    <t>BJDDM521-J-10</t>
  </si>
  <si>
    <t>BJDDM532-C-01
BJDDM532-C-03
BJDDM532-C-04
BJDDM532-C-06
BJDDM532-F-09
BJDDM532-J-10
BJDDM532-K-02
BJDDM532-K-03
BJDDM532-K-04
BJDDM532-K-05
BJDDM532-K-06
BJDDM532-K-07
BJDDM532-K-08
BJDDM532-K-09
BJDDM532-K-10</t>
  </si>
  <si>
    <t>BJDDM521-J-01
BJDDM521-J-03
BJDDM521-K-04
BJDDM521-K-05
BJDDM521-K-06</t>
  </si>
  <si>
    <t>BJDDM521-L-07
BJDDM521-L-08
BJDDM521-L-09</t>
  </si>
  <si>
    <t>BJDDM521-J-04
BJDDM521-K-03
BJDDM521-K-12
BJDDM521-L-06
BJDDM522-F-09
BJDDM522-G-08
BJDDM522-H-07
BJDDM522-I-05
BJDDM522-J-02
BJDDM522-J-10
BJDDM522-K-07
BJDDM522-L-02
BJDDM521-M-03</t>
  </si>
  <si>
    <t>BJDDM522-G-09
BJDDM522-H-06
BJDDM522-I-06
BJDDM522-J-01
BJDDM522-J-09</t>
  </si>
  <si>
    <t>BJDDM522-G-06
BJDDM522-G-07
BJDDM522-G-10
BJDDM522-G-11</t>
  </si>
  <si>
    <t>BJDDM522-H-05</t>
  </si>
  <si>
    <t>BJDDM522-D-08
BJDDM522-D-10</t>
  </si>
  <si>
    <t>BJDDM522-B-01
BJDDM522-B-09</t>
  </si>
  <si>
    <t>BJDDM522-G-02
BJDDM522-G-03
BJDDM522-G-04
BJDDM522-G-05</t>
  </si>
  <si>
    <t>BJDDM522-H-02
BJDDM522-H-03
BJDDM522-H-04
BJDDM522-H-08
BJDDM522-H-09
BJDDM522-H-10
BJDDM522-H-11</t>
  </si>
  <si>
    <t>BJDDM522-C-07</t>
  </si>
  <si>
    <t>BJDDM522-I-03
BJDDM522-I-04
BJDDM522-I-07
BJDDM522-I-08
BJDDM522-I-09
BJDDM522-I-10
BJDDM522-I-11
BJDDM522-I-12
BJDDM522-J-03
BJDDM522-J-04
BJDDM522-J-05
BJDDM522-J-06
BJDDM522-J-07
BJDDM522-J-08
BJDDM522-K-01
BJDDM522-K-02
BJDDM522-K-03
BJDDM522-K-04</t>
  </si>
  <si>
    <t>L20221228018</t>
  </si>
  <si>
    <t>土城-兆维</t>
  </si>
  <si>
    <t>土城退租，同时退光纤，经商务确认，该条先保留，光3309 自本条以下收到发票后付款</t>
  </si>
  <si>
    <t>经商务确认，原先保留的光3309于2021年3月31日退租</t>
  </si>
  <si>
    <t>土城-百度大厦</t>
  </si>
  <si>
    <t>2月19日，土城退租，同时退光纤，经商务确认，2月整月计提，对账时确认具体退租时间，光7163</t>
  </si>
  <si>
    <t>2月19日，土城退租，同时退光纤，经商务确认，2月整月计提，对账时确认具体退租时间，光7548</t>
  </si>
  <si>
    <t>酒仙桥-上地</t>
  </si>
  <si>
    <t>光8801</t>
  </si>
  <si>
    <t>土城-酒仙桥</t>
  </si>
  <si>
    <t>2月19日，土城退租，同时退光纤，经商务确认，2月整月计提，对账时确认具体退租时间，光8803</t>
  </si>
  <si>
    <t>酒仙桥-土城</t>
  </si>
  <si>
    <t>2月19日，土城退租，同时退光纤，经商务确认，2月整月计提，对账时确认具体退租时间，光8804</t>
  </si>
  <si>
    <t>次渠-M1</t>
  </si>
  <si>
    <t>光12238</t>
  </si>
  <si>
    <t>次渠机房退租，同时退光纤，退租时间1月10日</t>
  </si>
  <si>
    <t>光12239</t>
  </si>
  <si>
    <t>次渠-百度大厦</t>
  </si>
  <si>
    <t>光12236</t>
  </si>
  <si>
    <t>光12237</t>
  </si>
  <si>
    <t>182215IDC00069</t>
  </si>
  <si>
    <t>长途传输</t>
  </si>
  <si>
    <t>青岛滨海到南京8M</t>
  </si>
  <si>
    <t>ANE0022NP</t>
  </si>
  <si>
    <t>181915IDC00127</t>
  </si>
  <si>
    <t>窦店-酒仙桥</t>
  </si>
  <si>
    <t>2019年1月20日开通，自然月计费。</t>
  </si>
  <si>
    <t>窦店-百度科技园</t>
  </si>
  <si>
    <t>2019年2月25日开通，自然月计费。</t>
  </si>
  <si>
    <t>181915IDC00128</t>
  </si>
  <si>
    <t>2019年1月25日开通，自然月计费。</t>
  </si>
  <si>
    <t>窦店-亦庄</t>
  </si>
  <si>
    <t>2018年12月26日开通，自然月计费。</t>
  </si>
  <si>
    <t>2019年1月9日开通，自然月计费。</t>
  </si>
  <si>
    <t>窦店-次渠</t>
  </si>
  <si>
    <t>2019年2月27日开通，自然月计费。</t>
  </si>
  <si>
    <t>窦店-万国百度机房</t>
  </si>
  <si>
    <t>大兴奇艺日上-百度窦店，23年2月10日停止计费</t>
  </si>
  <si>
    <t>181915IDC00331</t>
  </si>
  <si>
    <t>次渠-亦庄</t>
  </si>
  <si>
    <t>9月新开通光纤</t>
  </si>
  <si>
    <t>182115IDC00640</t>
  </si>
  <si>
    <t>百度科技园-窦店</t>
  </si>
  <si>
    <t>20210621开通，开始计费时间20210701，酒仙桥恒通A路</t>
  </si>
  <si>
    <t>20210621开通，开始计费时间20210701，酒仙桥恒通B路</t>
  </si>
  <si>
    <t>20210621开通，开始计费时间20210701，太和桥百度A</t>
  </si>
  <si>
    <t>20210621开通，开始计费时间20210701，太和桥百度B</t>
  </si>
  <si>
    <t>20210621开通，开始计费时间20210701，上地科技园A</t>
  </si>
  <si>
    <t>20210621开通，开始计费时间20210701，上地科技园B</t>
  </si>
  <si>
    <t>L20230223007</t>
  </si>
  <si>
    <t>IP 代播费用</t>
  </si>
  <si>
    <t>新增IP 代播费用，2个C ，每月5000.</t>
  </si>
  <si>
    <t>CDN次渠</t>
  </si>
  <si>
    <t>北京2联通</t>
  </si>
  <si>
    <t>CDNBJUN2</t>
  </si>
  <si>
    <t>CDN节点2019年1月22日开通6个机柜。13A机柜单价为5250元，每增加1A的单价增加260元。</t>
  </si>
  <si>
    <t>BJ2UN6F-4-7,BJ2UN6F-4-8,BJ2UN6F-4-9,BJ2UN6F-4-10,BJ2UN6F-4-11,BJ2UN6F-4-12</t>
  </si>
  <si>
    <t>123.125.132.0/24 123.125.133.224/27</t>
  </si>
  <si>
    <t>20220531退租，123.125.132.0/24 123.125.133.224/27</t>
  </si>
  <si>
    <t>111.206.76.0/24 111.206.77.0/24 111.206.77.128/25</t>
  </si>
  <si>
    <t>20220531退租，111.206.76.0/24 111.206.77.0/24 111.206.77.128/25</t>
  </si>
  <si>
    <t>L20221228017</t>
  </si>
  <si>
    <t>BGP端口占用费</t>
  </si>
  <si>
    <t>2019-7关闭1个端口。租用联通6个BGP端口，每端口流量不足4G则收取占用费，实际4个端口未达标-正预提</t>
  </si>
  <si>
    <t>新合同2个端口占用费</t>
  </si>
  <si>
    <t>L20221228016</t>
  </si>
  <si>
    <t>IDC带宽端口占用费</t>
  </si>
  <si>
    <t>土城24-土城24、次渠18-次渠18、窦店20+12-2</t>
  </si>
  <si>
    <t>窦店联通</t>
  </si>
  <si>
    <t>历史开通
2019/1/25
20220401</t>
  </si>
  <si>
    <t>202204起，每月5个端口占用费，次渠退租，无端口占用费，2021年新合同约定：2021年4月1日后端口占用费：万兆接入端口。保底端口利用率不小于20%。低于20%，每增加一个端口，每月支付端口占用费2500元。本协议2021年4月1日后免费端口为35个。之前合同约定：达到保底100G，免费50个端口的占用费。共63个端口。201907月关闭一个端口-系统无法自动生成，做正预提</t>
  </si>
  <si>
    <t>中金转到北京联通，业务编号：28759395 ， 中债登</t>
  </si>
  <si>
    <t>20220308退租。中金转到北京联通，业务编号：28759395 ， 中债登</t>
  </si>
  <si>
    <t>中金转到北京联通，业务编号：28762319 ， 人行</t>
  </si>
  <si>
    <t>中金转到北京联通，业务编号：28776179 ， 中国外汇交易中心</t>
  </si>
  <si>
    <t>中金转到北京联通，业务编号：32437191 ， 中债登</t>
  </si>
  <si>
    <t>20220308退租。中金转到北京联通，业务编号：32437191 ， 中债登</t>
  </si>
  <si>
    <t>2020/5/7
2022/8/19</t>
  </si>
  <si>
    <t>10M→20M</t>
  </si>
  <si>
    <t>中金转到北京联通，业务编号：37967171，百度汇天机房</t>
  </si>
  <si>
    <t>中金转到北京联通，业务编号：28776500 ， 上清所</t>
  </si>
  <si>
    <t>2020/5/7，2021/3/22</t>
  </si>
  <si>
    <t>4M→2M</t>
  </si>
  <si>
    <t>2021年3月22日，4M降速为2M，中金转到北京联通，业务编号：32436855 ， 天津</t>
  </si>
  <si>
    <t>2020/5/7，2021/4/26</t>
  </si>
  <si>
    <t>2021年4月26日，4M降速为2M，中金转到北京联通，5月8日新开通，业务编号：37976297</t>
  </si>
  <si>
    <t>预计10月30日升速至4M，中金转到北京联通，业务编号：28734505 ， 银监会</t>
  </si>
  <si>
    <t>20220810退租。业务编号：28734505 ， 银监会</t>
  </si>
  <si>
    <t xml:space="preserve">中金转到北京联通，业务编号：28733572 ， 百悟科技 </t>
  </si>
  <si>
    <t xml:space="preserve">20220420退租，中金转到北京联通，业务编号：28733572 ， 百悟科技 </t>
  </si>
  <si>
    <t xml:space="preserve">专线28726821升速(6M-10M)完成时间为,2021年1月6日,中金转到北京联通，2020年2月3日降速为6M:业务编号：28726821 ， 本端：743机房B03隔笼E02机柜
对端：朝阳门北大街21号电信大厦二层机房 中信银行 </t>
  </si>
  <si>
    <t>2020/4/14，2021/3/15</t>
  </si>
  <si>
    <t>8M→4M</t>
  </si>
  <si>
    <t>2021年3月15日，8M降速为4M，中金转到北京联通，业务编号：28742883 ， 银联</t>
  </si>
  <si>
    <t xml:space="preserve">中金转到北京联通，业务编号：28727771 ， 本端：743机房B03隔笼E02机柜
对端：北京南六环太和桥南瑞合西二路和瑞和东一街交口百度亦庄数据中心百度 李皓琦18516551024 </t>
  </si>
  <si>
    <t>中金转到北京联通，业务编号：28727767 ， 本端：743机房B03隔笼E02机柜
对端：北京市西城区月坛南街79号三层东侧科技处机房 人行孙昊68559622/13466521412</t>
  </si>
  <si>
    <t>中金转到北京联通，业务编号：28730815 ， 本端：743机房B03隔笼E02机柜。3月21日降速至10M，
对端：北京市西城区德胜门外大街79号德胜国际C座三层机房人行周密15901017884</t>
  </si>
  <si>
    <t>182015IDC00210</t>
  </si>
  <si>
    <t>L20230223008</t>
  </si>
  <si>
    <t>20200714开始计费，4个C</t>
  </si>
  <si>
    <t>L20210726002</t>
  </si>
  <si>
    <t>CQ02和M1</t>
  </si>
  <si>
    <t>BGPIP代播免费182015IDC00257</t>
  </si>
  <si>
    <t>中国联合网络通信有限公司</t>
  </si>
  <si>
    <t>联通集团</t>
  </si>
  <si>
    <t>L20221226005</t>
  </si>
  <si>
    <t>合同约定每年赠送一个月测试期，11月付20.10-21.09，21年10月免费，21年11月-22年10月为一周期，22年11月免费，联通云盾服务合同，需要注意有新合同182015IDC00226修改账户为中国联合网络通信有限公司，工行长安支行0200003309221111116</t>
  </si>
  <si>
    <t>中国移动通信集团北京有限公司</t>
  </si>
  <si>
    <t>北京移动</t>
  </si>
  <si>
    <t>L20221228014</t>
  </si>
  <si>
    <t>北京基地</t>
  </si>
  <si>
    <t>CDNBJCM</t>
  </si>
  <si>
    <t>免费512个，sys反馈使用288个，9月1号开始先款后票</t>
  </si>
  <si>
    <t>2019年1月新增,2020年9月1号开始见票付款</t>
  </si>
  <si>
    <t>BJCM3F-D-06,BJCM3F-D-05,BJCM3F-D-03,BJCM3F-D-02,BJCM3F-D-07</t>
  </si>
  <si>
    <t>181815IDC00176</t>
  </si>
  <si>
    <t>北京日上</t>
  </si>
  <si>
    <t>BJRS、QYRS</t>
  </si>
  <si>
    <t>60A</t>
  </si>
  <si>
    <t>·</t>
  </si>
  <si>
    <t>181915IDC00120</t>
  </si>
  <si>
    <t>12月新增，合同签署中</t>
  </si>
  <si>
    <t>1月新增，合同签署中</t>
  </si>
  <si>
    <t>QYRS</t>
  </si>
  <si>
    <t>QYRS102-A-01
QYRS114-C-10
QYRS114-C-11
QYRS114-C-12
QYRS114-C-05
QYRS114-C-06
QYRS114-C-07
QYRS114-C-08
QYRS114-C-09
QYRS114-D-01</t>
  </si>
  <si>
    <t>QYRS110-C-15
QYRS110-C-16
QYRS110-C-17
QYRS110-D-14
QYRS110-D-15
QYRS110-D-16
QYRS110-D-17
QYRS110-D-18
QYRS110-D-19
QYRS110-F-14
QYRS110-F-15
QYRS110-F-16</t>
  </si>
  <si>
    <t>QYRS102-B-10
QYRS102-B-11
QYRS102-B-12
QYRS102-C-04
QYRS102-C-05
QYRS102-C-06
QYRS102-C-07
QYRS102-C-08
QYRS102-C-09
QYRS102-C-10
QYRS102-C-11
QYRS102-C-12
QYRS102-C-13
QYRS102-C-14
QYRS102-C-15
QYRS109-A-19
QYRS109-A-20
QYRS109-J-01
QYRS114-B-12
QYRS114-B-13
QYRS114-D-10
QYRS114-D-11
QYRS114-E-10
QYRS114-E-11
QYRS114-E-12
QYRS114-E-13
QYRS114-J-10
QYRS114-J-11</t>
  </si>
  <si>
    <t>QYRS114-A-01
QYRS114-A-02
QYRS114-A-03
QYRS114-B-01
QYRS114-B-02
QYRS114-B-03
QYRS114-C-02
QYRS114-C-03
QYRS114-C-04
QYRS114-D-02
QYRS114-D-03
QYRS114-D-04
QYRS114-D-07
QYRS114-D-08
QYRS114-D-09
QYRS114-E-01
QYRS114-E-02
QYRS114-E-03
QYRS114-E-04
QYRS114-E-05
QYRS114-E-06
QYRS114-F-01
QYRS114-F-02
QYRS114-F-03
QYRS114-F-04
QYRS114-F-05
QYRS114-F-06
QYRS114-G-01
QYRS114-G-02
QYRS114-G-03
QYRS114-G-06
QYRS114-I-06
QYRS114-J-07
QYRS114-J-08
QYRS114-J-09</t>
  </si>
  <si>
    <t>QYRS110-C-12
QYRS110-C-13
QYRS110-E-01
QYRS110-E-03
QYRS110-E-07
QYRS110-E-08
QYRS110-E-15
QYRS110-E-18
QYRS110-E-19
QYRS110-F-02
QYRS110-F-03
QYRS110-F-04
QYRS110-F-05
QYRS110-F-06
QYRS110-F-07
QYRS110-F-08
QYRS110-F-09
QYRS110-F-10
QYRS110-F-11
QYRS110-F-12
QYRS110-F-13</t>
  </si>
  <si>
    <t>QYRS110-C-14
QYRS110-E-02
QYRS110-E-04
QYRS110-E-05
QYRS110-E-06
QYRS110-E-09
QYRS110-E-10
QYRS110-E-11
QYRS110-E-12
QYRS110-E-13
QYRS110-E-14
QYRS110-E-16
QYRS110-E-17
QYRS110-F-17
QYRS110-F-18</t>
  </si>
  <si>
    <t>BJRS</t>
  </si>
  <si>
    <t>BJRS110-F-01</t>
  </si>
  <si>
    <t>QYRS102-C-01
QYRS102-C-02
QYRS102-C-03
QYRS102-G-07
QYRS102-G-08
QYRS102-G-09
QYRS102-G-10
QYRS102-G-11
QYRS102-G-12
QYRS102-G-13
QYRS102-H-01
QYRS102-H-02
QYRS102-H-03
QYRS102-H-04
QYRS102-H-05
QYRS102-H-06
QYRS109-A-01
QYRS109-B-01
QYRS109-B-02
QYRS109-B-03
QYRS109-B-04
QYRS109-B-05
QYRS109-B-06
QYRS109-B-07
QYRS109-B-08
QYRS109-B-09
QYRS109-B-10
QYRS109-B-11
QYRS109-B-12
QYRS109-B-13
QYRS109-B-14
QYRS109-B-15
QYRS109-D-01
QYRS109-D-02
QYRS109-D-03
QYRS109-D-04
QYRS109-D-05
QYRS109-D-06
QYRS109-D-07
QYRS109-D-08
QYRS109-D-09
QYRS109-D-10
QYRS109-D-11
QYRS109-D-12
QYRS109-D-13
QYRS109-D-14
QYRS109-D-15
QYRS109-D-16
QYRS109-D-17
QYRS109-D-18
QYRS109-D-19
QYRS109-D-20
QYRS109-E-04
QYRS109-E-05
QYRS109-E-06
QYRS109-E-07
QYRS109-E-08
QYRS109-E-09
QYRS109-E-10
QYRS109-E-11
QYRS109-E-12
QYRS109-E-13
QYRS109-E-14
QYRS109-E-15
QYRS109-J-02
QYRS109-J-03
QYRS109-J-10
QYRS109-J-11
QYRS109-J-12
QYRS109-J-13
QYRS109-J-14
QYRS109-J-15
QYRS114-A-10
QYRS114-A-11
QYRS114-A-12
QYRS114-B-10
QYRS114-B-11
QYRS114-F-10
QYRS114-F-11
QYRS114-H-10
QYRS114-I-10
QYRS114-I-11
QYRS114-I-12
QYRS114-I-13
QYRS114-J-12
QYRS114-J-13
QYRS106-H-01
QYRS106-H-02
QYRS106-H-03
QYRS106-H-04
QYRS106-H-05
QYRS106-H-06
QYRS106-H-07
QYRS106-H-08
QYRS106-H-09
QYRS106-I-01
QYRS106-I-02
QYRS106-I-03
QYRS106-I-04
QYRS106-I-05
QYRS106-I-06
QYRS106-I-07
QYRS106-I-08
QYRS106-I-09
QYRS106-I-10
QYRS106-I-11
QYRS106-I-12
QYRS106-I-13
QYRS106-I-14
QYRS106-I-15
QYRS106-I-16
QYRS106-I-17
QYRS106-I-18
QYRS106-I-19
QYRS106-I-20
QYRS106-I-21
QYRS106-I-22
QYRS106-I-23
QYRS106-I-24
QYRS106-I-25
QYRS106-I-26
QYRS106-I-27
QYRS106-J-01
QYRS106-J-02
QYRS106-J-03
QYRS106-J-04
QYRS106-J-05
QYRS106-J-06
QYRS106-J-07
QYRS106-J-08
QYRS106-J-09
QYRS106-K-01
QYRS106-K-02
QYRS106-K-03
QYRS106-K-04
QYRS106-K-05
QYRS106-K-06
QYRS106-K-07
QYRS106-K-08
QYRS106-K-09
QYRS114-A-07
QYRS114-A-08
QYRS114-A-09
QYRS114-B-04
QYRS114-B-05
QYRS114-B-06
QYRS114-B-07
QYRS114-B-08
QYRS114-B-09
QYRS114-D-05
QYRS114-D-06
QYRS114-E-07
QYRS114-E-08
QYRS114-E-09
QYRS114-F-07
QYRS114-F-08
QYRS114-F-09
QYRS114-G-04
QYRS114-G-05
QYRS114-G-07
QYRS114-G-08
QYRS114-H-01
QYRS114-H-02
QYRS114-H-03
QYRS114-H-04
QYRS114-H-05
QYRS114-H-06
QYRS114-H-07
QYRS114-H-08
QYRS114-H-09
QYRS114-I-01
QYRS114-I-02
QYRS114-I-03
QYRS114-I-04
QYRS114-I-05
QYRS114-I-07
QYRS114-I-08
QYRS114-I-09
QYRS114-J-01
QYRS114-J-02
QYRS114-J-03
QYRS114-J-04
QYRS114-J-05
QYRS114-J-06
QYRS114-A-04
QYRS114-A-05
QYRS114-A-06</t>
  </si>
  <si>
    <t>BJRS110-C-12
BJRS110-C-13
BJRS110-C-15
BJRS110-C-16
BJRS110-C-17
BJRS110-D-14
BJRS110-D-15
BJRS110-D-16
BJRS110-D-17
BJRS110-D-18
BJRS110-E-01
BJRS110-E-02
BJRS110-E-03
BJRS110-E-04
BJRS110-E-05
BJRS110-E-06
BJRS110-E-07
BJRS110-E-08
BJRS110-E-09
BJRS110-E-10
BJRS110-E-11
BJRS110-E-12
BJRS110-E-13
BJRS110-E-14
BJRS110-E-15</t>
  </si>
  <si>
    <t>BJRS110-E-16
BJRS110-E-17
BJRS110-E-18
BJRS110-E-19</t>
  </si>
  <si>
    <t>QYRS114-F-12
QYRS114-F-13
QYRS114-G-09
QYRS114-G-10</t>
  </si>
  <si>
    <t>QYRS102-A-02
QYRS102-A-03
QYRS102-A-04
QYRS102-A-05
QYRS102-A-06
QYRS102-A-07
QYRS102-A-08
QYRS102-A-09
QYRS102-A-10
QYRS102-A-11
QYRS102-A-12
QYRS102-A-13
QYRS102-A-14
QYRS102-A-15
QYRS102-A-16
QYRS102-A-17
QYRS102-A-18
QYRS102-A-19
QYRS102-B-01
QYRS102-B-02
QYRS102-B-03
QYRS102-B-04
QYRS102-B-05
QYRS102-B-06
QYRS102-B-07
QYRS102-B-08
QYRS102-B-09
QYRS102-B-13
QYRS102-B-14
QYRS102-B-15
QYRS102-B-16
QYRS102-B-17
QYRS102-B-18
QYRS102-B-19
QYRS102-D-01
QYRS102-D-02
QYRS102-D-03
QYRS102-D-04
QYRS102-D-05
QYRS102-D-06
QYRS102-D-07
QYRS102-D-08
QYRS102-D-09
QYRS102-D-10
QYRS102-D-11
QYRS102-D-12
QYRS102-D-13
QYRS102-D-14
QYRS102-D-15
QYRS102-D-16
QYRS102-D-17
QYRS102-D-18
QYRS102-D-19
QYRS102-E-01
QYRS102-E-02
QYRS102-E-03
QYRS102-E-04
QYRS102-E-05
QYRS102-E-06
QYRS102-E-07
QYRS102-E-08
QYRS102-E-09
QYRS102-E-10
QYRS102-E-11
QYRS102-E-12
QYRS102-E-13
QYRS102-E-14
QYRS102-E-15
QYRS102-E-16
QYRS102-E-17
QYRS102-E-18
QYRS102-E-19
QYRS102-F-01
QYRS102-F-02
QYRS102-F-03
QYRS102-F-04
QYRS102-F-05
QYRS102-F-06
QYRS102-F-07
QYRS102-F-08
QYRS102-F-09
QYRS102-F-10
QYRS102-F-11
QYRS102-F-12
QYRS102-F-13
QYRS102-F-14
QYRS102-F-15
QYRS102-F-16
QYRS102-F-17
QYRS102-F-18
QYRS102-F-19
QYRS102-G-01
QYRS102-G-02
QYRS102-G-03
QYRS102-G-04
QYRS102-G-05
QYRS102-G-06
QYRS102-G-14
QYRS102-G-15
QYRS102-H-07
QYRS102-H-08
QYRS102-H-09
QYRS102-H-10
QYRS102-H-11
QYRS102-H-12
QYRS102-H-13
QYRS102-H-14
QYRS102-H-15
QYRS102-I-05
QYRS102-I-06
QYRS102-I-07
QYRS102-I-08
QYRS102-I-09
QYRS102-I-10
QYRS102-I-11
QYRS102-I-12
QYRS102-I-13
QYRS102-I-14
QYRS102-I-15
QYRS102-I-16
QYRS102-I-17
QYRS102-I-18
QYRS102-I-19
QYRS102-J-02
QYRS102-J-03
QYRS102-J-04
QYRS109-A-02
QYRS109-A-03
QYRS109-A-04
QYRS109-A-05
QYRS109-A-06
QYRS109-A-07
QYRS109-A-08
QYRS109-A-09
QYRS109-A-10
QYRS109-A-11
QYRS109-A-12
QYRS109-A-13
QYRS109-A-14
QYRS109-A-15
QYRS109-A-16
QYRS109-A-17
QYRS109-A-18
QYRS109-B-16
QYRS109-B-17
QYRS109-B-18
QYRS109-B-19
QYRS109-B-20
QYRS109-C-01
QYRS109-C-02
QYRS109-C-03
QYRS109-C-04
QYRS109-C-05
QYRS109-C-06
QYRS109-C-07
QYRS109-C-08
QYRS109-C-09
QYRS109-C-10
QYRS109-C-11
QYRS109-C-12
QYRS109-C-13
QYRS109-C-14
QYRS109-C-15
QYRS109-E-01
QYRS109-E-02
QYRS109-E-03
QYRS109-E-16
QYRS109-E-17
QYRS109-E-18
QYRS109-E-19
QYRS109-E-20
QYRS109-F-01
QYRS109-F-02
QYRS109-F-03
QYRS109-F-04
QYRS109-F-05
QYRS109-F-06
QYRS109-F-07
QYRS109-F-08
QYRS109-F-09
QYRS109-F-10
QYRS109-F-11
QYRS109-F-12
QYRS109-F-13
QYRS109-F-14
QYRS109-F-15
QYRS109-F-16
QYRS109-F-17
QYRS109-F-18
QYRS109-F-19
QYRS109-F-20
QYRS109-G-01
QYRS109-G-02
QYRS109-G-03
QYRS109-G-04
QYRS109-G-05
QYRS109-G-06
QYRS109-G-07
QYRS109-G-08
QYRS109-G-09
QYRS109-G-10
QYRS109-G-11
QYRS109-G-12
QYRS109-G-13
QYRS109-G-14
QYRS109-G-15
QYRS109-G-16
QYRS109-G-17
QYRS109-G-18
QYRS109-G-19
QYRS109-G-20
QYRS109-H-01
QYRS109-H-02
QYRS109-H-03
QYRS109-H-04
QYRS109-H-05
QYRS109-H-06
QYRS109-H-07
QYRS109-H-08
QYRS109-H-09
QYRS109-H-10
QYRS109-H-11
QYRS109-H-12
QYRS109-H-13
QYRS109-H-14
QYRS109-H-15
QYRS109-H-16
QYRS109-I-01
QYRS109-I-02
QYRS109-I-03
QYRS109-I-04
QYRS109-I-05
QYRS109-I-06
QYRS109-I-07
QYRS109-I-08
QYRS109-I-09
QYRS109-I-10
QYRS109-I-11
QYRS109-I-12
QYRS109-I-13
QYRS109-I-14
QYRS109-I-15
QYRS109-I-16
QYRS109-I-17
QYRS109-I-18
QYRS109-I-19
QYRS109-I-20
QYRS109-J-04
QYRS109-J-05
QYRS109-J-06
QYRS109-J-07
QYRS109-J-08
QYRS109-J-09
QYRS109-J-16
QYRS109-J-17
QYRS109-J-18
QYRS109-J-19
QYRS109-J-20</t>
  </si>
  <si>
    <t>BJRS106-H-01
BJRS106-H-02
BJRS106-H-03
BJRS106-H-04
BJRS106-H-05</t>
  </si>
  <si>
    <t>BJRS106-H-06</t>
  </si>
  <si>
    <t>BJRS110-F-02
BJRS110-F-03
BJRS110-F-04
BJRS110-F-05
BJRS110-F-06
BJRS110-F-07
BJRS110-F-08</t>
  </si>
  <si>
    <t>BJRS110-F-11
BJRS110-F-12
BJRS110-F-13
BJRS110-F-14</t>
  </si>
  <si>
    <t>BJRS110-D-19</t>
  </si>
  <si>
    <t>BJRS110-C-14
BJRS110-F-09
BJRS110-F-10
BJRS110-F-15</t>
  </si>
  <si>
    <t>BJRS110-F-16
BJRS110-F-18</t>
  </si>
  <si>
    <t>BJRS110-F-17
BJRS110-F-19</t>
  </si>
  <si>
    <t>BJRS106-J-01
BJRS106-J-02
BJRS106-J-03</t>
  </si>
  <si>
    <t>BJRS106-H-07
BJRS106-H-08
BJRS106-H-09
BJRS106-I-01
BJRS106-I-02</t>
  </si>
  <si>
    <t>杨星反馈机架空置费从202009先计提，至于付款需要与商务确认后再进行支付。2.3.5 自数据中心机房模块场地验收合格之日起12个月内，甲方承诺开通机柜数为780个。若甲方实际开通机柜数少于780个的，前述12个月按照每月实际开通机柜数计费；自第13个月起，已开通的机柜部分则以合同第2.1条约定的机柜标准月服务费即每机柜人民币6200元/机柜/月为基数计费，未达780个机柜部分以每机柜人民币3200元/机柜/月为基数按（780个-已开通机柜数）计算保底服务费。若甲方实际开通机柜超过780个，则以机柜标准月服务费即每机柜人</t>
  </si>
  <si>
    <t>经商务杨星确认，无需计提</t>
  </si>
  <si>
    <t>机架空置费：2、 甲方承诺按照如下进度开通机柜：自数据中心机房场地验收合格之日起的3个月内，甲方承诺开通30个机柜（以下简称第一批机柜），开通日最迟不晚于自数据中心机房模块场地验收合格之日的3个月期满之日（以下简称“第一默认开通日”）。开通的机柜则以原合同第2.1条约定的机柜标准月服务费即每机柜人民币6200元/机柜/月为基数计费。若甲方在第一默认开通日所开通机柜超过30个，则以合同第2.1条约定的机柜标准月服务费即每机柜人民币6200元/机柜/月为基数按实际开通机柜数计费。自第4个月起，未达30个机柜部分以每机柜人民币3200元/机柜/月为基数按（30个-已开通机柜数）计算保底服务费直至该等机柜实际开通为止。</t>
  </si>
  <si>
    <t>大兴奇艺日上-百度酒仙桥，23年2月28日停止计费</t>
  </si>
  <si>
    <t>181915IDC00099</t>
  </si>
  <si>
    <t>大白楼+三台+顺义</t>
  </si>
  <si>
    <t>大白楼移动、三台移动、华威移动</t>
  </si>
  <si>
    <t>赠送5120个的IP</t>
  </si>
  <si>
    <t>顺义华威</t>
  </si>
  <si>
    <t>BJHW</t>
  </si>
  <si>
    <t>2019年6月计提更新数据，24KW核心机柜1</t>
  </si>
  <si>
    <t>2019年6月计提更新数据，9KW核心机柜2</t>
  </si>
  <si>
    <t>2019年6月计提更新数据，4.4KW核心机柜3</t>
  </si>
  <si>
    <t>2019年6月计提更新数据，MDF</t>
  </si>
  <si>
    <t>需要注意有2个盘点发现未使用，2019年6月计提更新数据,ODF，</t>
  </si>
  <si>
    <t>ODF,BJHWA204-H-04、BJHWA204-J-08 ,财务202008盘点发现未使用，</t>
  </si>
  <si>
    <t>2019年6月计提更新数据,LEAF 机柜</t>
  </si>
  <si>
    <t>2019年6月计提更新数据，标准机柜</t>
  </si>
  <si>
    <t>2019年4月4日开通B203-M-04至M-07共4个标准机柜</t>
  </si>
  <si>
    <t>4月19日开通B203-M-08至M-11共4个机标准柜。</t>
  </si>
  <si>
    <t>BJHWB201-H-01标准机柜    开通时间为2019-6-13</t>
  </si>
  <si>
    <t>BJHWB201-H-02标准机柜    开通时间为2019-6-14</t>
  </si>
  <si>
    <t>7月新增</t>
  </si>
  <si>
    <t>8月新增：BJHWB201-F-11</t>
  </si>
  <si>
    <t>10月新增标准机柜</t>
  </si>
  <si>
    <t>12月新增标准机柜</t>
  </si>
  <si>
    <t>12月新增核心机柜3</t>
  </si>
  <si>
    <t>11月新增核心机柜3</t>
  </si>
  <si>
    <t>2020/3/11关闭</t>
  </si>
  <si>
    <t>关闭核心机柜3，顺义华威机架的计提数据已包含超电流价格，核对后冲销</t>
  </si>
  <si>
    <t>182115IDC00530</t>
  </si>
  <si>
    <t>合同预审，单价7300，开始计费时间2021年4月13日， 先进行计提，付款前需与杨星确认，快手业务机柜BJHWB202-L-01、BJHWB201-K-02、BJHWB201-K-01、BJHWB203-M-03、BJHWB203-M-02、BJHWB203-L-02、BJHWB203-L-01、BJHWB202-M-03、BJHWB202-M-02、BJHWB202-L-02
BJHWB201-K-01
BJHWB203-M-03
BJHWB203-M-02
BJHWB203-L-02
BJHWB203-L-01
BJHWB202-M-03
BJHWB202-M-02
BJHWB202-L-02</t>
  </si>
  <si>
    <t xml:space="preserve">BJHWA204-I-06
BJHWA204-I-08
BJHWB204-C-07
BJHWB204-C-08
BJHWB204-C-09
BJHWB204-C-10
BJHWB204-D-02
</t>
  </si>
  <si>
    <t>BJHWB201-K-13 BJHWB201-K-14 BJHWB201-K-15 BJHWB201-L-13 BJHWB201-L-14BJHWB201-L-15</t>
  </si>
  <si>
    <t>BJHWA204-L-05、BJHWA204-L-06</t>
  </si>
  <si>
    <t>BJHWB201-K-13、BJHWB201-K-14、BJHWB201-K-15、BJHWB201-L-13、BJHWB201-L-14、BJHWB201-L-15</t>
  </si>
  <si>
    <t xml:space="preserve">BJHWA204-K-09
BJHWA204-L-07
BJHWA204-L-08
</t>
  </si>
  <si>
    <t>BJHWB201-L-02</t>
  </si>
  <si>
    <t>BJHWB204-B-02
BJHWB204-C-05
BJHWB204-C-06
BJHWB204-D-03
BJHWB204-D-04
BJHWB204-D-05</t>
  </si>
  <si>
    <t xml:space="preserve">合同预审，单价7300，开始计费时间2021年4月13日，BJHWB201-M-01
BJHWB201-M-02
BJHWB201-M-03
BJHWB201-M-04
BJHWB201-M-05
BJHWB201-M-06
BJHWB201-M-07
BJHWB201-M-08
BJHWB201-M-09
BJHWB201-M-10
BJHWB201-M-11
BJHWB201-M-12
BJHWB201-M-13
BJHWB201-M-14
</t>
  </si>
  <si>
    <t>BJHWA201-J-14
BJHWA201-J-15
BJHWA201-J-16</t>
  </si>
  <si>
    <t>L20230331004</t>
  </si>
  <si>
    <t>BJHWB204-C-07
BJHWB204-D-02</t>
  </si>
  <si>
    <t>BJHWA204-H-04
BJHWA204-I-06</t>
  </si>
  <si>
    <t xml:space="preserve">2.3.1 自数据中心机房场地验收合格之日起的6个月内，甲方承诺开通至少【509】个机柜（“第一批机柜”），该等机柜的机柜开通日最迟不晚于自数据中心机房场地验收合格之日的6个月期满之日（ “第一默认开通日”）。第一默认开通日之前实际开通的机柜按照本合同第2.1条约定的计费标准收取机柜服务费。为避免疑义，实际开通的机柜多于509个的，多出的机柜仍按照本合同第2.1条的约定收取机柜服务费。实际开通的机柜不足509个的，差额机柜（509-实际开通的机柜数量）按照3,200元/月/每20A机柜从机房场地验收合格之日起的6个月届满之日起计收机柜空置费，每个差额机柜的机柜空置费计收至该机柜实际开通之日止（不足一个月的按实际空置的时间进行折算），差额机柜实际开通之后将按照本合同第2.1条约定的标准计收机柜服务费。机柜开通之后如果出现临时下电的情况，按照2.3.4条的规定处理。
2.3.2 自数据中心机房场地验收合格之日起的12个月内，甲方承诺开通至少【1,091】个机柜，即除第一批机柜外，新增开通不少于【582】个机柜（“第二批机柜”），该等机柜的开通日最迟不晚于自数据中心机房场地验收合格之日起的12个月期满之日（ “第二默认开通日”），第二默认开通日前实际开通的机柜按照本合同第2.1条约定的计费标准收取机柜服务费。 为避免疑义，实际开通的机柜多于1,091个的，多出的机柜仍按照本合同第2.1条的约定收取机柜服务费。实际开通的机柜不足1,091个的，差额机柜（1,091-实际开通的机柜数量）按照3,200元/月/每20A机柜从机房场地验收合格之日起的12个月届满之日起计收机柜空置费，每个差额机柜的机柜空置费计收至该机柜实际开通之日止（不足一个月的按实际空置的时间进行折算），差额机柜实际开通之后将按照本合同第2.1条约定的标准计收机柜服务费。机柜开通之后如果出现临时下电的情况，按照2.3.4条的规定处理。
2.3.3 自数据中心机房场地验收合格之日起的18个月内，甲方承诺开通至少【1,309】个机柜，即除第一批机柜及第二批机柜外，新增开通不少于218个机柜（“第三批机柜”），该等机柜的开通日最迟不晚于自数据中心机房场地验收合格之日起的18个月期满之日（ “第三默认开通日”），第三默认开通日前实际开通的机柜按照本合同第2.1条约定的计费标准收取机柜服务费。为避免疑义，实际开通的机柜多于1,309个的，多出的机柜仍按照本合同第2.1条的约定收取机柜服务费。实际开通的机柜不足1,309个的，差额机柜（1,309-实际开通的机柜数量）按照3,200元/月/机柜从机房场地验收合格之日起的18个月届满之日起计收机柜空置费，每个差额机柜的机柜空置费计收至该机柜实际开通之日止（不足一个月的按实际空置的时间进行折算），差额机柜实际开通之后将按照本合同第2.1条约定的标准计收机柜服务费。
2.4 本合同2.1条中涉及的1,454个机柜中尚未开通的剩余145个机柜，乙方承诺为甲方免费预留。如果甲方开通剩余145个机柜，乙方将按照本合同第2.1条的收费标准进行收费。
2.5 乙方应在服务期内向甲方提供【附件一《工作内容说明(Scope of Work)和服务说明(Services Level Agreement)》】中所述的服务（“服务”），且必须按附件一规定的服务水平（“服务水平”）提供服务。
</t>
  </si>
  <si>
    <t>顺义万国机房-闫家营汇聚-百度酒仙桥机房</t>
  </si>
  <si>
    <t>顺义万国机房-牛栏山汇聚-百度酒仙桥机房</t>
  </si>
  <si>
    <t>顺义万国机房-金科帕提欧汇聚-百度科技园</t>
  </si>
  <si>
    <t>顺义万国机房-闫家营汇聚-百度科技园</t>
  </si>
  <si>
    <t>L20200825002</t>
  </si>
  <si>
    <t>黑洞服务</t>
  </si>
  <si>
    <t>无</t>
  </si>
  <si>
    <t>L20221026007</t>
  </si>
  <si>
    <t>三台一期</t>
  </si>
  <si>
    <t>ST01</t>
  </si>
  <si>
    <t>ST01和DBL先款后票，5-9月未对账，对账单有点问题</t>
  </si>
  <si>
    <t>12KW机架2个各按4个计费</t>
  </si>
  <si>
    <t>9KW机架2个各按3个计费</t>
  </si>
  <si>
    <t xml:space="preserve">13A </t>
  </si>
  <si>
    <t>7月反馈退租</t>
  </si>
  <si>
    <t>2019/11/29关闭</t>
  </si>
  <si>
    <t>ST01204-A-11/12，12KW机架2个各按4个计费</t>
  </si>
  <si>
    <t>202001退租</t>
  </si>
  <si>
    <t>202001退租，9KW机架2个各按3个计费</t>
  </si>
  <si>
    <t>三台二期</t>
  </si>
  <si>
    <t xml:space="preserve">3月新增。机架位编号：ST01303-F-19。开通时间为SYS侧。 </t>
  </si>
  <si>
    <t>2019/11/30关闭</t>
  </si>
  <si>
    <t>运营商侧不计费，进行关闭。</t>
  </si>
  <si>
    <t>10月反馈ST01206-B-23 退租</t>
  </si>
  <si>
    <t>10月反馈：二期84个机柜暂时关闭，不退租</t>
  </si>
  <si>
    <t>2020/4/4关闭</t>
  </si>
  <si>
    <t>ST01201-H-23</t>
  </si>
  <si>
    <t>L20210628006</t>
  </si>
  <si>
    <t xml:space="preserve">经系统部盘点，历史开通6个63A机柜，63A机架6个各按5个计费，ST01204-A-13
ST01204-A-14
ST01201-A-05
ST01201-A-06
ST01201-A-07
ST01201-A-08
</t>
  </si>
  <si>
    <t>经系统部盘点，历史开通2个13A机柜，ST01204-B-03，ST01204-B-04</t>
  </si>
  <si>
    <t>经系统部盘点，历史开通2个0A机柜，ST01201-A-01，ST01201-A-02</t>
  </si>
  <si>
    <t>13 A</t>
  </si>
  <si>
    <t>ST01204-B-03</t>
  </si>
  <si>
    <t>ST01303-A-12</t>
  </si>
  <si>
    <t>移动大白楼</t>
  </si>
  <si>
    <t>DBL</t>
  </si>
  <si>
    <t>2018年7月2日开通</t>
  </si>
  <si>
    <t>2018年7月26日开通，该月批不完需要做正预提，如果批完系统自动出数</t>
  </si>
  <si>
    <t>L20200331001</t>
  </si>
  <si>
    <t>布线柜(DBL3F-E-06\09, 
DBL3F-F-06\09)，收取占用费</t>
  </si>
  <si>
    <t>2020/4/30关闭</t>
  </si>
  <si>
    <t>DBL3F-D-18</t>
  </si>
  <si>
    <t>DBL1F-B-02
DBL1F-B-04
DBL1F-B-05
DBL1F-B-06
DBL1F-B-07
DBL1F-B-08
DBL1F-B-09
DBL1F-B-10
DBL1F-B-11
DBL1F-B-12
DBL1F-B-13
DBL1F-B-14
DBL1F-B-15
DBL1F-B-16
DBL1F-B-17
DBL1F-B-18
DBL1F-C-01
DBL1F-C-02
DBL1F-C-03
DBL1F-C-04
DBL1F-C-05
DBL1F-C-06
DBL1F-C-07
DBL1F-C-08
DBL1F-C-09
DBL1F-C-11
DBL1F-C-12
DBL1F-C-13
DBL1F-C-14
DBL1F-C-15
DBL1F-C-16
DBL1F-C-17
DBL1F-D-02
DBL1F-D-03
DBL1F-D-04
DBL1F-D-05
DBL1F-D-06
DBL1F-D-07
DBL1F-D-08
DBL1F-D-09
DBL1F-D-10
DBL1F-D-11
DBL1F-D-12
DBL1F-D-13
DBL1F-D-14
DBL1F-D-15
DBL1F-D-16
DBL1F-D-17
DBL3F-B-02
DBL3F-B-03
DBL3F-B-04
DBL3F-B-05
DBL3F-B-06
DBL3F-B-07
DBL3F-B-08
DBL3F-B-09
DBL3F-B-12
DBL3F-B-13
DBL3F-B-14
DBL3F-B-15
DBL3F-B-16
DBL3F-B-17
DBL3F-C-01
DBL3F-C-04
DBL3F-C-05
DBL3F-C-06
DBL3F-C-07
DBL3F-C-08
DBL3F-C-09
DBL3F-C-11
DBL3F-C-12
DBL3F-C-13
DBL3F-C-14
DBL3F-C-15
DBL3F-C-16
DBL3F-C-17
DBL3F-D-02
DBL3F-D-03
DBL3F-D-04
DBL3F-D-05
DBL3F-D-06
DBL3F-D-08
DBL3F-D-10
DBL3F-D-11
DBL3F-D-12
DBL3F-D-13
DBL3F-D-14
DBL3F-D-15
DBL3F-D-16
DBL3F-D-17
DBL3F-G-15
DBL3F-G-16
DBL3F-G-17
DBL3F-H-02
DBL3F-H-05
DBL3F-H-06
DBL3F-H-07
DBL3F-H-08
DBL3F-H-09
DBL3F-H-10
DBL3F-H-11
DBL3F-H-12
DBL3F-H-13
DBL3F-H-14
DBL3F-H-15
DBL3F-H-16
DBL3F-H-17
DBL3F-H-18
DBL3F-I-01
DBL3F-I-02
DBL3F-I-03
DBL3F-I-04
DBL3F-I-05
DBL3F-I-06
DBL3F-I-07
DBL3F-I-08
DBL3F-I-09
DBL3F-I-10
DBL3F-I-11
DBL3F-I-12
DBL3F-I-13
DBL3F-I-14
DBL3F-I-15
DBL3F-I-16
DBL3F-I-17
DBL3F-J-02
DBL3F-J-03
DBL3F-J-04
DBL3F-J-05
DBL3F-J-06
DBL3F-J-07
DBL3F-J-08
DBL3F-J-09
DBL3F-J-10
DBL3F-J-11
DBL3F-J-12
DBL3F-J-13
DBL3F-J-14
DBL3F-J-15
DBL3F-J-16
DBL3F-J-17
DBL3F-J-18
DBL3F-K-01
DBL3F-K-02
DBL3F-K-03
DBL3F-K-04
DBL3F-K-05
DBL3F-K-06
DBL3F-K-07
DBL3F-K-08
DBL3F-K-09
DBL3F-K-11
DBL3F-K-12
DBL3F-K-13
DBL3F-K-14
DBL3F-K-15
DBL3F-K-16
DBL3F-K-17
DBL3F-L-02
DBL3F-L-03
DBL3F-L-04
DBL3F-L-05
DBL3F-L-06
DBL3F-L-08
DBL3F-L-10
DBL3F-L-11
DBL3F-L-12
DBL3F-L-13
DBL3F-L-14
DBL3F-L-15
DBL3F-L-16
DBL3F-L-17
DBL3F-L-18
DBL3F-M-01
DBL3F-M-02
DBL3F-M-03
DBL3F-M-04
DBL3F-M-05
DBL3F-M-06
DBL3F-M-07
DBL3F-M-08
DBL3F-M-09
DBL3F-M-10
DBL3F-M-11
DBL3F-M-12
DBL3F-M-13
DBL3F-M-14
DBL3F-M-15
DBL3F-M-16
DBL3F-M-17
DBL3F-N-02
DBL3F-N-03
DBL3F-N-04
DBL3F-N-05
DBL3F-N-06
DBL3F-N-07
DBL3F-N-08
DBL3F-N-09
DBL3F-N-10
DBL3F-N-11
DBL3F-N-12
DBL3F-N-13
DBL3F-N-14
DBL3F-N-15
DBL3F-N-16
DBL3F-N-17
DBL3F-N-18
DBL3F-O-01
DBL3F-O-02
DBL3F-O-03
DBL3F-O-04
DBL3F-O-05
DBL3F-O-06
DBL3F-O-07
DBL3F-O-08
DBL3F-O-09
DBL3F-O-11
DBL3F-O-12
DBL3F-O-13
DBL3F-O-14
DBL3F-O-15
DBL3F-O-16
DBL3F-O-17
DBL3F-P-02
DBL3F-P-03
DBL3F-P-04
DBL3F-P-05
DBL3F-P-06
DBL3F-P-07
DBL3F-P-08
DBL3F-P-09
DBL3F-P-10
DBL3F-P-11
DBL3F-P-12
DBL3F-P-13
DBL3F-P-14
DBL3F-P-15
DBL3F-P-16
DBL3F-P-17
DBL3F-Q-03
DBL3F-Q-04
DBL3F-Q-05
DBL3F-Q-06
DBL3F-Q-07
DBL3F-Q-08
DBL3F-Q-09
DBL3F-Q-10
DBL3F-Q-11
DBL3F-Q-12
DBL3F-Q-13
DBL3F-Q-14</t>
  </si>
  <si>
    <t>DBL3F-E-06
DBL3F-E-09
DBL3F-F-06
DBL3F-F-09</t>
  </si>
  <si>
    <t>DBL1F-B-03
DBL1F-D-18
DBL3F-B-10
DBL3F-B-11
DBL3F-B-18
DBL3F-C-02
DBL3F-C-03
DBL3F-D-07
DBL3F-D-09
DBL3F-G-02
DBL3F-G-03
DBL3F-G-04
DBL3F-G-05
DBL3F-G-06
DBL3F-G-07
DBL3F-G-08
DBL3F-G-09
DBL3F-G-11
DBL3F-G-12
DBL3F-G-13
DBL3F-G-14
DBL3F-H-03
DBL3F-H-04
DBL3F-L-07
DBL3F-L-09
DBL3F-Q-01
DBL3F-Q-02</t>
  </si>
  <si>
    <t>DBL3F-E-10
DBL3F-F-10</t>
  </si>
  <si>
    <t>DBL3F-E-04
DBL3F-F-04</t>
  </si>
  <si>
    <t>L20210430005</t>
  </si>
  <si>
    <t>北京-石家庄</t>
  </si>
  <si>
    <t>北京-保定FE0188KA/NP/P； 业务类别及贷款：跨省北京-河北，带宽8M； 两端地址：A：北京海淀区西北旺东路10号院百度科技园； Z:河北省保定市莲池区复兴路东二环交叉口东行1000米百楼机房</t>
  </si>
  <si>
    <t>L20220422007</t>
  </si>
  <si>
    <t>北京移动-北京移动</t>
  </si>
  <si>
    <t>20210101由2M升速到10M，中金转北京移动的电路，业务编号：26001962470</t>
  </si>
  <si>
    <t>中金转北京移动的电路，业务编号：26001947965</t>
  </si>
  <si>
    <t>20220930退租，中金转北京移动的电路，业务编号：26001947965</t>
  </si>
  <si>
    <t>182115IDC00221</t>
  </si>
  <si>
    <t>北京-阳泉</t>
  </si>
  <si>
    <t>商务确认修改供应商从移动集团到北京移动，无明确结束时间。由两对不同物理路由的四芯裸光纤提供</t>
  </si>
  <si>
    <t>6月25日退租商务确认修改供应商从移动集团到北京移动，无明确结束时间。由两对不同物理路由的四芯裸光纤提供</t>
  </si>
  <si>
    <t>亦庄移动</t>
  </si>
  <si>
    <t>002215IDC00023</t>
  </si>
  <si>
    <t>亦庄</t>
  </si>
  <si>
    <t>BJYZ</t>
  </si>
  <si>
    <t>亦庄移动12月22号下电20个机柜，12月24号加电19个机柜，按合同规定以及商务确认一直正常计费，差的一个机柜1月已放在机架占用，21年1月开通关闭相差22个机柜也放在机架占用，BJYZD242-07-15~16 4月23日关闭</t>
  </si>
  <si>
    <t>BJYZD2CA-B-14~15</t>
  </si>
  <si>
    <t>6月新增：BJYZD2SC-B-01~08</t>
  </si>
  <si>
    <t>7月新增：BJYZD2CA-A-11~13</t>
  </si>
  <si>
    <t>8月新增：BJYZD2SC-D-03</t>
  </si>
  <si>
    <t>8月新增：不计费</t>
  </si>
  <si>
    <t>9月新增：BJYZD241-02-05</t>
  </si>
  <si>
    <t>BJYZD2CA-A-03 BJYZD2CA-A-04</t>
  </si>
  <si>
    <t>BJYZD142-01-12，202012月24关闭，但由于合同条款，202012已经计提在历史开通的1349个机架当中，未体现在机架占用费中，在此体现【甲方保证，机架租赁期第一年开通机架的进度为，每季度末开通机架数量达到全部1388个机架的25％，且每季度末递增25％，在第一年年末实现1388个机架全部开通。若甲方实际开通机架情况未达到前述承诺比例，甲方仍需按照前述机架开通比例支付机架租赁费用】</t>
  </si>
  <si>
    <t>BJYZD141-02-06</t>
  </si>
  <si>
    <t xml:space="preserve">BJYZD242-01-11
BJYZD242-01-15
BJYZD242-02-03
BJYZD242-02-05
BJYZD242-02-06
BJYZD242-06-15
</t>
  </si>
  <si>
    <t xml:space="preserve">BJYZD122-01-07
BJYZD122-01-11
BJYZD122-01-15
BJYZD122-01-16
BJYZD122-02-01
BJYZD122-02-04
BJYZD122-02-09
BJYZD122-03-02
BJYZD131-01-07
BJYZD131-01-13
BJYZD131-01-15
BJYZD142-02-15
BJYZD142-03-10
BJYZD142-06-07
BJYZD222-01-02
</t>
  </si>
  <si>
    <t>BJYZD242-02-16、BJYZD222-01-09、BJYZD241-08-01、BJYZD242-04-01、BJYZD242-04-04</t>
  </si>
  <si>
    <t>BJYZD2SC-A-11、BJYZD2SC-A-12</t>
  </si>
  <si>
    <t xml:space="preserve">BJYZD242-01-11
BJYZD242-01-15
BJYZD242-02-03
BJYZD242-02-05
BJYZD242-02-06
BJYZD242-06-15
BJYZD222-01-02
BJYZD142-01-12
BJYZD122-01-11
BJYZD122-01-15
BJYZD122-01-16
BJYZD122-02-01
BJYZD122-02-04
BJYZD122-02-09
BJYZD122-03-02
BJYZD141-02-06
BJYZD222-01-09  
BJYZD242-04-04
BJYZD241-08-01 
BJYZD242-04-01 
BJYZD242-02-16
</t>
  </si>
  <si>
    <t xml:space="preserve">BJYZD142-02-15
BJYZD142-03-10
BJYZD142-06-07
BJYZD122-01-07
BJYZD131-01-07
BJYZD131-01-13
BJYZD131-01-15
</t>
  </si>
  <si>
    <t>BJYZD242-07-15
BJYZD242-07-16
BJYZD242-08-14
BJYZD242-08-15
BJYZD242-08-16</t>
  </si>
  <si>
    <t>BJYZECC103-B-10</t>
  </si>
  <si>
    <t>BJYZD222-08-12</t>
  </si>
  <si>
    <t>BJYZD2SC-A-13</t>
  </si>
  <si>
    <t>BJYZD242-03-06，BJYZD242-05-04</t>
  </si>
  <si>
    <t xml:space="preserve">BJYZD2CA-A-07
BJYZD2CA-A-08
BJYZD2CA-A-09
BJYZD2CA-B-06
BJYZD2CA-B-07
</t>
  </si>
  <si>
    <t>自建：BJYZECC101-B-13</t>
  </si>
  <si>
    <t>自建：BJYZECC101-B-14</t>
  </si>
  <si>
    <t>自建：BJYZECC103-B-10</t>
  </si>
  <si>
    <t>自建：BJYZECC103-A-07
BJYZECC103-A-08</t>
  </si>
  <si>
    <t>自建：BJYZECC103-B-09</t>
  </si>
  <si>
    <t>自建：BJYZD2CA-A-09</t>
  </si>
  <si>
    <t>中移铁通有限公司北京分公司</t>
  </si>
  <si>
    <t>北京铁通</t>
  </si>
  <si>
    <t>182215IDC00216</t>
  </si>
  <si>
    <t>北京3移动</t>
  </si>
  <si>
    <t>赠送512个。超出后50元/个/月。Sys反馈使用512</t>
  </si>
  <si>
    <t>铁通</t>
  </si>
  <si>
    <t>CDNBJTT</t>
  </si>
  <si>
    <t>BJTT1F-G-22,BJTT1F-G-21,BJTT1F-C-22,BJTT1F-B-22</t>
  </si>
  <si>
    <t>L20230329001</t>
  </si>
  <si>
    <t>阳泉-科技园</t>
  </si>
  <si>
    <t>工行北京长安支行0200003319210012727</t>
  </si>
  <si>
    <t>2023.2.28,北京联通-800G退租400G</t>
  </si>
  <si>
    <t>182015IDC00284</t>
  </si>
  <si>
    <t>酒仙桥M1-阳泉</t>
  </si>
  <si>
    <t xml:space="preserve">北京酒仙桥M1机房到阳泉云数据中心200G，账户工行长安支行0200003309221111116 </t>
  </si>
  <si>
    <t>北京酒仙桥M1机房到阳泉云数据中心200G</t>
  </si>
  <si>
    <t>百度科技园-南京凤凰</t>
  </si>
  <si>
    <t xml:space="preserve">北京百度科技园机房到南京凤凰机房400G，账户工行长安支行0200003309221111116 </t>
  </si>
  <si>
    <t>史文强</t>
  </si>
  <si>
    <t>中电万维信息技术有限责任公司</t>
  </si>
  <si>
    <t>甘肃电信</t>
  </si>
  <si>
    <t>182215IDC00474</t>
  </si>
  <si>
    <t>兰州电信</t>
  </si>
  <si>
    <t>LZ3CT</t>
  </si>
  <si>
    <t>CBUCDNLZCT</t>
  </si>
  <si>
    <t>甘肃电信免费提供40个机架：LZCT2F-F-09、LZCT2F-F-08、LZCT2F-F-07、LZCT2F-F-06、LZCT2F-F-05、LZCT2F-F-04</t>
  </si>
  <si>
    <t>2022-05-01</t>
  </si>
  <si>
    <t>2023-04-30</t>
  </si>
  <si>
    <t>LZ5CT</t>
  </si>
  <si>
    <t>甘肃电信免费提供40个机架：LZCT3F-G-03、LZCT3F-G-04、LZCT3F-G-02、LZCT3F-G-01</t>
  </si>
  <si>
    <t>LZ4CT</t>
  </si>
  <si>
    <t>甘肃电信免费提供40个机架：LZCT2F-G-07、LZCT2F-G-06、LZCT2F-G-05、LZCT2F-G-03、LZCT2F-G-02、LZCT2F-G-04</t>
  </si>
  <si>
    <t>甘肃电信5月25日退租2个机柜，LZCT2F-G-06，LZCT2F-G-07</t>
  </si>
  <si>
    <t>LZ9CT</t>
  </si>
  <si>
    <t>CDNLZCT</t>
  </si>
  <si>
    <t>甘肃电信免费提供40个机架：LZCT22F-D-01、LZCT22F-D-02、LZCT22F-D-03</t>
  </si>
  <si>
    <t>平凉电信</t>
  </si>
  <si>
    <t>PLCT</t>
  </si>
  <si>
    <t>CDNPLCT</t>
  </si>
  <si>
    <t>甘肃电信免费提供40个机架：PLCT3F-EQU-15、PLCT3F-EQU-16、PLCT3F-EQU-17、PLCT3F-EQU-18、PLCT3F-EQU-19、PLCT3F-EQU-20</t>
  </si>
  <si>
    <t>PLCT3F-EQU-15、PLCT3F-EQU-19、PLCT3F-EQU-20</t>
  </si>
  <si>
    <t>历史</t>
  </si>
  <si>
    <t>免费提供1760个IP，在用数量由SYS提供：125.74.42.0/24;118.180.62.160/27</t>
  </si>
  <si>
    <t>IP在用数量由SYS提供：125.74.1.0/24;125.74.45.128/27</t>
  </si>
  <si>
    <t>IP在用数量由SYS提供：125.74.43.0/27;118.180.40.0/24</t>
  </si>
  <si>
    <t>LZCT-LZ9CT</t>
  </si>
  <si>
    <t>IP在用数量由SYS提供：兰州电信改名为兰州9电信，实际使用IP为128个</t>
  </si>
  <si>
    <t>平凉</t>
  </si>
  <si>
    <t>IP在用数量由SYS提供：125.74.40.0/24;125.74.41.0/27</t>
  </si>
  <si>
    <t>125.74.40.128/25</t>
  </si>
  <si>
    <t>华东-lijia</t>
  </si>
  <si>
    <t>中国电信股份有限公司安徽分公司</t>
  </si>
  <si>
    <t>安徽电信</t>
  </si>
  <si>
    <t>L20221229045</t>
  </si>
  <si>
    <t>马鞍山电信</t>
  </si>
  <si>
    <t>MASCT</t>
  </si>
  <si>
    <t>CDNMASCT</t>
  </si>
  <si>
    <t>BECMASCT3F301-04-03、BECMASCT3F301-04-04
每万兆送1个机柜，使用3个，免费2个。64个IP</t>
  </si>
  <si>
    <t>MASCT3F301-04-02
每万兆送1个机柜，使用3个，免费2个，收费1个。64个IP</t>
  </si>
  <si>
    <t>每万兆送64个IP，2019.12.31退租后共送128个，实际使用288个，收费160个：60.171.107.0/27;223.241.196.128/25;223.241.196.0/25</t>
  </si>
  <si>
    <t>宁夏</t>
  </si>
  <si>
    <t>中国电信股份有限公司宁夏分公司</t>
  </si>
  <si>
    <t>宁夏电信</t>
  </si>
  <si>
    <t>L20221229027</t>
  </si>
  <si>
    <t>银川电信 YCCT</t>
  </si>
  <si>
    <t xml:space="preserve"> YCCT</t>
  </si>
  <si>
    <t>CDNYCCT</t>
  </si>
  <si>
    <t>银川节点退租。新合同赠送9个20A机柜，免费 YCCT11F-C-09、YCCT11F-C-10</t>
  </si>
  <si>
    <t>银川节点退租。2022/3/31退租，YCCT11F-C-10,YCCT11F-C-09</t>
  </si>
  <si>
    <t>中卫2电信 ZW2CT</t>
  </si>
  <si>
    <t>ZW2CT</t>
  </si>
  <si>
    <t>CDNZWCT2</t>
  </si>
  <si>
    <t>2022.3退租后无新增收费机架。新合同赠送9个20A机柜，免费 ZW2CT2F-S-15、ZW2CT2F-S-16</t>
  </si>
  <si>
    <t>中卫 ZWCT</t>
  </si>
  <si>
    <t>ZWCT</t>
  </si>
  <si>
    <t>CDNZWCT</t>
  </si>
  <si>
    <t>2022/5/31节点退租。新合同赠送9个20A机柜，免费 ZWCT2F-11-18、ZWCT2F-11-19</t>
  </si>
  <si>
    <t>银川</t>
  </si>
  <si>
    <t>银川节点退租。银川使用160个IP、中卫使用320个IP，其中400个IP免费；</t>
  </si>
  <si>
    <t>银川节点退租。2022/3/31退租，218.95.196.0/25 218.95.196.128/27</t>
  </si>
  <si>
    <t>中卫</t>
  </si>
  <si>
    <t>2022.3退租后无新增收费IP。银川使用160个IP、中卫使用320个IP，其中400个IP免费；36.103.246.160/27;36.103.236.0/25</t>
  </si>
  <si>
    <t>2022/5/31节点退租。银川使用160个IP、中卫使用320个IP，其中400个IP免费；36.103.246.0/25;36.103.246.128/27</t>
  </si>
  <si>
    <t>2022/5/31节点退租。36.103.246.0/25;36.103.246.128/27</t>
  </si>
  <si>
    <t>华南-lijia</t>
  </si>
  <si>
    <t>中国电信股份有限公司青海分公司</t>
  </si>
  <si>
    <t>西宁电信</t>
  </si>
  <si>
    <t>L20221229029</t>
  </si>
  <si>
    <t>西宁-建国路IDC机房</t>
  </si>
  <si>
    <t>XN2CT</t>
  </si>
  <si>
    <t>CDNXNCT</t>
  </si>
  <si>
    <t>XNCT2F-HH04-03、XNCT2F-HH04-04</t>
  </si>
  <si>
    <t>西宁2电信</t>
  </si>
  <si>
    <t>20200608关闭XNCT2F-HH04-03，退的是免费1个和计费1个</t>
  </si>
  <si>
    <t>80G对应的免费4个，XN2CT2F-HH04-01、XN2CT2F-HH04-02、XN2CT2F-HH04-05、XN2CT2F-HH04-06</t>
  </si>
  <si>
    <t>20200608关闭XNCT2F-HH04-04，退的是免费1个和计费1个</t>
  </si>
  <si>
    <t>XN2CT2F-HH04-02、XN2CT2F-HH04-05、XN2CT2F-HH04-06</t>
  </si>
  <si>
    <t>XNCT</t>
  </si>
  <si>
    <t>依据sys反馈是退西宁1电信节点的IP，根据节点情况西宁2电信还需要收费，但是运营商202007对账单内IP已不收费，因此不计费。系统中为了保持和sys数据一致，仍是按照节点IP进行关闭申请，每月用负预提冲减。共使用256，每个万兆免费提供32个IP地址，免费128</t>
  </si>
  <si>
    <t>依据sys反馈是退西宁1电信节点的IP，根据节点情况西宁2电信还需要收费，但是运营商202007对账单内IP已不收费，因此不计费。系统中为了保持和sys数据一致，仍是按照节点IP进行关闭申请，每月用负预提冲减。20200608关闭256个</t>
  </si>
  <si>
    <t>2022.6开始带宽剩余20G，每万兆送32个，使用288，免费64个收费，收费224个*50：223.221.33.96/27;125.72.219.0/24
每个万兆免费提供32个IP地址，从2022.6开始免费64个，收费224个</t>
  </si>
  <si>
    <t>【CDN退租】CDN青海西宁电信退租信息 (XN2CT)，退租128个IP地址，停止计费日期为2022年12月2日，125.72.219.128/25</t>
  </si>
  <si>
    <t>中国电信集团有限公司河南分公司</t>
  </si>
  <si>
    <t>洛阳电信</t>
  </si>
  <si>
    <t>L20220627004</t>
  </si>
  <si>
    <t>LYCT</t>
  </si>
  <si>
    <t>CDNLYCT</t>
  </si>
  <si>
    <t>LYCT3F-A-01、LYCT3F-A-02、LYCT3F-A-03、LYCT3F-A-04、LYCT3F-A-05、LYCT3F-A-06、LYCT3F-A-07、LYCT3F-A-08、LYCT3F-A-09</t>
  </si>
  <si>
    <t>CDN河南洛阳电信，LYCT3F-A-05将在11月30号退租，12月1号停止计费。</t>
  </si>
  <si>
    <t>LYCT3F-A-06,LYCT3F-A-01,LYCT3F-A-02,LYCT3F-A-03,LYCT3F-A-04,LYCT3F-A-07,LYCT3F-A-08,LYCT3F-A-09</t>
  </si>
  <si>
    <t>LY3CT</t>
  </si>
  <si>
    <t>2022/5/31 洛阳3电信节点退租。LYCT3F-02-10、LYCT3F-02-11、LYCT3F-03-10、LYCT3F-03-11</t>
  </si>
  <si>
    <t>2022/5/31 洛阳3电信节点退租。2019/12/31退租LY2CT100G,退4个机柜，288个IP。
LYCT3F-02-10、LYCT3F-02-11、LYCT3F-03-10、LYCT3F-03-11</t>
  </si>
  <si>
    <t>2022/5/31 洛阳3电信节点退租。LYCT3F-01-05、LYCT3F-01-06、LYCT3F-01-07、LYCT3F-01-08</t>
  </si>
  <si>
    <t>2022/5/31 洛阳3电信节点退租。LYCT3F-01-08,LYCT3F-01-07,LYCT3F-01-06,LYCT3F-01-05</t>
  </si>
  <si>
    <t>LYCT边缘计算节点新申请3个机架，128个IP，2021-01-27正式开通：LYCT3F-03-10、LYCT3F-03-11、LYCT3F-02-02（BECLYCT3F-02-02）</t>
  </si>
  <si>
    <t>2022/8/31节点下线，退租机柜。BECLYCT3F-03-11
BECLYCT3F-03-10
BECLYCT3F-02-02</t>
  </si>
  <si>
    <t>2022.6.23BEC 确认在用。LYCT边缘计算节点新申请3个机架，128个IP，2021-01-27正式开通：123.149.173.128/25</t>
  </si>
  <si>
    <t>洛阳电信 LYCT</t>
  </si>
  <si>
    <t>2022.6.23BEC 确认在用。商务确认8月1日开始计费，边缘计算洛阳电信网段扩容开通（CDNLYCT）,新增128个IP，123.53.139.0/25</t>
  </si>
  <si>
    <t>退租邮件544，但理论上只退了288，待SYS核实。2022/5/31 洛阳电信节点退租。123.52.189.0/24 123.53.183.32/27 123.149.173.128/25 123.53.139.0/25</t>
  </si>
  <si>
    <t>2022/5/31 洛阳3电信节点退租。123.53.183.64/27;1.193.147.0/24</t>
  </si>
  <si>
    <t>2022/8/31节点下线，退租IP。
Ipv6: 240E:093D:0000:0003::/64 
Ipv4: 123.149.173.128/25,123.53.139.0/25</t>
  </si>
  <si>
    <t>郑州电信</t>
  </si>
  <si>
    <t>L20221229033</t>
  </si>
  <si>
    <t>ZZ4CT</t>
  </si>
  <si>
    <t>CDNZZCT</t>
  </si>
  <si>
    <t>ZZ4CT3F-2-20、ZZ4CT3F-2-21、ZZ4CT3F-2-22</t>
  </si>
  <si>
    <t>L20220907001</t>
  </si>
  <si>
    <t>【BEC新建】郑州电信  (ZZ4CT)新增机柜：BECZZ4CT3F-8-7</t>
  </si>
  <si>
    <t>2021年6月5号新增288个IP，36.99.225.0/24 36.99.48.64/27，新合同182115IDC00342约定，免费配置160个IPv4地址，128个IPv4地址收费，收费单价50元/月/个。</t>
  </si>
  <si>
    <t>新合同182115IDC00342约定，免费配置160个IPv4地址，128个IPv4地址收费，收费单价50元/月/个。36.99.225.0/24 36.99.48.64/27</t>
  </si>
  <si>
    <t>【BEC新建】郑州电信  (ZZ4CT)新增IP：新增ipv4：106.42.246.128/25</t>
  </si>
  <si>
    <t>【CDN退租】CDN河南郑州电信退租信息 (ZZ4CT)，退租128个IP，2022年12月7日，36.99.225.128/25</t>
  </si>
  <si>
    <t>L20210827008</t>
  </si>
  <si>
    <t>ZZ5CT</t>
  </si>
  <si>
    <t>ZZ5CT 该节点 30G 带宽 2个机柜免费，ZZ5CT1F-6-23、ZZ5CT1F-6-22</t>
  </si>
  <si>
    <t>河南郑州电信退租信息 (ZZ5CT),2月16日退租2个机柜ZZ5CT1F-6-23,ZZ5CT1F-6-22</t>
  </si>
  <si>
    <t>ZZ5CT 节点160个IP地址、其中免费96、收费64 个 正式开通日期为21年8月4日，36.99.69.0/25 36.99.69.128/27</t>
  </si>
  <si>
    <t>河南郑州电信退租信息 (ZZ5CT),2月16日退租160个IP,36.99.69.0/25 36.99.69.128/27</t>
  </si>
  <si>
    <t>中国电信集团有限公司山西分公司</t>
  </si>
  <si>
    <t>山西电信</t>
  </si>
  <si>
    <t>182215IDC00498</t>
  </si>
  <si>
    <t>TY3CT</t>
  </si>
  <si>
    <t>CDNTYCT</t>
  </si>
  <si>
    <t>2022.6根据预审合同，更新单价。双方核对，共使用5个免费机柜。超过12个，单价4166.67元：TY3CT9F902-04-04、TY3CT9F902-04-01、TY3CT9F902-03-06、TY3CT9F902-04-02、TY3CT9F902-04-03</t>
  </si>
  <si>
    <t>2022.6根据预审合同，更新单价。TY3CT9F902-04-04,TY3CT9F902-04-01,TY3CT9F902-03-06</t>
  </si>
  <si>
    <t>2022.6根据预审合同，更新单价。边缘计算新增1个机架，免费。需要新签补充协议：BECTYCT9F-03-07</t>
  </si>
  <si>
    <t>2022.6根据预审合同，更新单价。【CDN扩容-边缘计算】太原电信扩容边缘计算 2020-12-18（CDNTYCT）新增机柜BECTYCT9F-03-14，免费</t>
  </si>
  <si>
    <t>2022.6根据预审合同，更新单价。2021.3.29边缘计算新增1个机架，免费。需要新签补充协议，TY3CT9F902-03-04</t>
  </si>
  <si>
    <t>2022.5.31退租后带宽剩余60G，每万兆送32个IP，可送192个，共使用672个，1.71.157.0/24，1.71.158.224/27，1.71.153.128/25</t>
  </si>
  <si>
    <t>2022.6根据预审合同，更新单价。太原电信边缘计算新增两个机柜，BECTY3CT902-05-04，BECTY3CT902-05-05</t>
  </si>
  <si>
    <t>【CDN退租】CDN山西太原电信退租信息 (TY3CT)，退租128个IP地址，日期为2022年11月30日，1.71.157.128/25</t>
  </si>
  <si>
    <t>西藏</t>
  </si>
  <si>
    <t>中国电信集团有限公司西藏分公司</t>
  </si>
  <si>
    <t>拉萨电信</t>
  </si>
  <si>
    <t>L20220804004</t>
  </si>
  <si>
    <t>拉萨</t>
  </si>
  <si>
    <t>LASCT</t>
  </si>
  <si>
    <t>CDNLASCT</t>
  </si>
  <si>
    <t>使用160，2019年8月25日开始免费40个（老合同15+新合同25）：113.62.122.128/27;113.62.122.0/25</t>
  </si>
  <si>
    <t>LASCT2F-G-08</t>
  </si>
  <si>
    <t>20190825开始计费，LASCT2F-G-07</t>
  </si>
  <si>
    <t>中国联合网络通信有限公司大同市分公司</t>
  </si>
  <si>
    <t>大同联通</t>
  </si>
  <si>
    <t>L20220304002</t>
  </si>
  <si>
    <t>大同</t>
  </si>
  <si>
    <t>CDNDTUN</t>
  </si>
  <si>
    <t>2018/8/20
2019/2/1</t>
  </si>
  <si>
    <t>赠送9个16A机柜，目前使用6个DT2UN2F-D-06~11</t>
  </si>
  <si>
    <t>182115IDC00397</t>
  </si>
  <si>
    <t>2022/3/31退租</t>
  </si>
  <si>
    <t>2021-04-01</t>
  </si>
  <si>
    <t>2022-03-31</t>
  </si>
  <si>
    <t>免费576个，实际使用288个，超出部分按50元/个/月</t>
  </si>
  <si>
    <t>中国联合网络通信有限公司定西市分公司</t>
  </si>
  <si>
    <t>甘肃联通</t>
  </si>
  <si>
    <t>L20221226004</t>
  </si>
  <si>
    <t>LZ2UN</t>
  </si>
  <si>
    <t>CDNLZUN2</t>
  </si>
  <si>
    <t>开通1个机柜，赠送1个机柜。LZUN2F-B-03</t>
  </si>
  <si>
    <t>LZUN2F-B-03</t>
  </si>
  <si>
    <t>180.95.229.0/24</t>
  </si>
  <si>
    <t>LZ3UN</t>
  </si>
  <si>
    <t>2022.9.1 该机柜转移至 LZ2UN使用：LZ3UN3F-A-02,LZ3UN3F-A-01</t>
  </si>
  <si>
    <t>116.176.35.0/25</t>
  </si>
  <si>
    <t>中国联合网络通信有限公司合肥市分公司</t>
  </si>
  <si>
    <t>合肥联通</t>
  </si>
  <si>
    <t>182215IDC00057</t>
  </si>
  <si>
    <t>HF2UN</t>
  </si>
  <si>
    <t>CDNHFUN</t>
  </si>
  <si>
    <t>HFUN12F-A-01~HFUN12F-A-04</t>
  </si>
  <si>
    <t>HF2UN12F-B-05、HF2UN12F-B-06</t>
  </si>
  <si>
    <t>边缘计算新增BECHF2UN12F-C-12、BECHF2UN12F-C-13；同时新增128个IP免费112.132.221.0/25</t>
  </si>
  <si>
    <t>HF2UN12F-B-07</t>
  </si>
  <si>
    <t>原带宽80G，送512个IP，退租后带宽剩余40G，可送256个IP。2022.7与SYS核对，IPV4地址实际使用512个，免费256，收费256；IPV6/64[1]个:CDN：112.132.208.0/24;BEC：112.132.221.0/25,112.132.216.0/25</t>
  </si>
  <si>
    <t>中国联合网络通信有限公司河南省分公司</t>
  </si>
  <si>
    <t>河南联通</t>
  </si>
  <si>
    <t>L20221229031</t>
  </si>
  <si>
    <t>中原基地</t>
  </si>
  <si>
    <t>ZZSSLUNICOM</t>
  </si>
  <si>
    <t>CDNZZUN</t>
  </si>
  <si>
    <t>新商务条件中原机柜4000，无赠送CDN10个机柜，SSL3个机柜。CDN:ZZUN6F-C-01~ZZUN6F-C-010；SSL:ZZUN6F-C-13、ZZUN6F-C-14、ZZUN6F-C-15</t>
  </si>
  <si>
    <t>新商务条件中原机柜4000，无赠送19.10.31CDN10个机柜下线，剩余SSL3个机柜。CDN:ZZUN6F-C-01~ZZUN6F-C-010；SSL:ZZUN6F-C-13、ZZUN6F-C-14、ZZUN6F-C-15</t>
  </si>
  <si>
    <t>SSL节点的IP 运营商未做统计。根据182215IDC00425合同约定，2022.7开始IP 收费416个； 2022.7与SYS核对，SSL共使用608个IP，免费192个，收费416个：42.236.7.65/27、42.236.7.128/26、42.236.93.0/24、42.236.94.0/24</t>
  </si>
  <si>
    <t>SSL节点的IP 运营商未做统计。合同约定共1152个，免费640个，其中512个按照50元/月收。SSL使用512个为收费IP</t>
  </si>
  <si>
    <t>郑州二长</t>
  </si>
  <si>
    <t>ZZ2UN</t>
  </si>
  <si>
    <t>CDNZZUN2</t>
  </si>
  <si>
    <t>2022/5/31节点退租。ZZ2UN7F-I-0411~ 
ZZ2UN7F-I-0420</t>
  </si>
  <si>
    <t>2022/5/31节点退租。赠送288个IP，超出部分按50/个/月:61.158.238.0/24</t>
  </si>
  <si>
    <t>新乡</t>
  </si>
  <si>
    <t>XXUN</t>
  </si>
  <si>
    <t>CDNXXUN</t>
  </si>
  <si>
    <t>XXUN2F-A-06~XXUN2F-A-09、XXUN2F-A-11~XXUN2F-A-13</t>
  </si>
  <si>
    <t>2021年12月31日退租，XXUN2F-A-09,XXUN2F-A-13,XXUN2F-A-12,XXUN2F-A-11,XXUN2F-A-08,XXUN2F-A-07,XXUN2F-A-06</t>
  </si>
  <si>
    <t>赠送288个IP，超出部分按50元/个/月</t>
  </si>
  <si>
    <t>2021年12月31日退租288个IP，125.42.144.0/24 125.42.145.0/27</t>
  </si>
  <si>
    <t>郑州3（西区）中原基地</t>
  </si>
  <si>
    <t>ZZ3UN</t>
  </si>
  <si>
    <t>2022.6.30节点全部退租。新商务条件中原机柜4000，无赠送ZZUN4F-12-09、ZZUN4F-12-10</t>
  </si>
  <si>
    <t>2022.6.30节点全部退租。新商务条件中原机柜4000，无赠送ZZUN4F-12-13、ZZUN4F-12-14、ZZUN4F-12-15、ZZUN4F-12-16</t>
  </si>
  <si>
    <t>2022.6.30节点全部退租。郑州联通退租ZZ3UN节点中的3个机柜，ZZUN4F-12-16、ZZUN4F-12-15、ZZUN4F-12-14,已于2021年5月21日停止计费。</t>
  </si>
  <si>
    <t>2022.6.30节点全部退租。ZZUN4F-12-13,ZZUN4F-12-10,ZZUN4F-12-09</t>
  </si>
  <si>
    <t>郑州3（西区）中原</t>
  </si>
  <si>
    <t>2022.6.30节点全部退租。赠送288个IP，超出部分按照50元/个/月:123.6.36.0/24;42.236.122.160/27</t>
  </si>
  <si>
    <t>LYUN</t>
  </si>
  <si>
    <t>CDNLYUN2</t>
  </si>
  <si>
    <t>LYUN2F-03-02~LYUN2F-03-08</t>
  </si>
  <si>
    <t>2021年12月31日退租，LYUN2F-03-08,LYUN2F-03-07,LYUN2F-03-06,LYUN2F-03-05,LYUN2F-03-04,LYUN2F-03-03,LYUN2F-03-02</t>
  </si>
  <si>
    <t>赠送544个IP，超出部分按50/个/月</t>
  </si>
  <si>
    <t>2021年12月31日退租288个IP，61.54.91.0/24 61.54.94.192/27</t>
  </si>
  <si>
    <t>郑州4中原基地</t>
  </si>
  <si>
    <t>ZZ4UN</t>
  </si>
  <si>
    <t>ZZUN2F-4-01、ZZUN2F-4-02、ZZUN2F-4-03、ZZUN2F-4-04、ZZUN2F-4-05</t>
  </si>
  <si>
    <t>ZZUN2F-4-05、ZZUN2F-4-04</t>
  </si>
  <si>
    <t>郑州4 中原</t>
  </si>
  <si>
    <t>根据182215IDC00425合同约定，2022.7开始IP 收费416个；123.6.38.224/27;123.6.28.0/24</t>
  </si>
  <si>
    <t>新商务条件中原机柜4000，无赠送
边缘计算节点新增：
BECZZ4UN2F-07-09、BECZZ4UN2F-07-10</t>
  </si>
  <si>
    <t>根据182215IDC00425合同约定，2022.7开始IP 收费416个；边缘计算节点新增：42.236.95.0/25
2408:8720:0800:0016::/64</t>
  </si>
  <si>
    <t xml:space="preserve">河南郑州联通边缘计算节点扩容（ZZ4UN），4个机柜，BECZZ4UN2F-07-12（新增）
BECZZ4UN2F-07-13（新增）
BECZZ4UN2F-07-14（新增）
BECZZ4UN2F-05-18（新增）
</t>
  </si>
  <si>
    <t>2021/7/23
2020/12/12</t>
  </si>
  <si>
    <t>根据182215IDC00425合同约定，2022.7开始IP 收费416个；河南郑州联通边缘计算节点扩容（ZZ4UN），128个IPV4（新增），联通123.6.108.128/25</t>
  </si>
  <si>
    <t>2020/12/12开始计费，计费20天。BECZZ4UN2F-07-16
郑州联通边缘计算节点新申请（扩容）如下资源，接入cdn核心交换机地址为：123.6.28.1于2020-12-11正式开通</t>
  </si>
  <si>
    <t>根据182215IDC00425合同约定，2022.7开始IP 收费416个；42.236.6.0/25
郑州联通边缘计算节点新申请（扩容）如下资源，接入cdn核心交换机地址为：123.6.28.1于2020-12-11正式开通</t>
  </si>
  <si>
    <t>与运营电话沟通，从2021/3/23开始计费，计费9天。BECZZ4UN2F-07-11
郑州联通边缘计算节点新申请（扩容）如下资源，接入cdn核心交换机地址为：42.236.6.129于2021-03-22正式开通</t>
  </si>
  <si>
    <t>根据182215IDC00425合同约定，2022.7开始IP 收费416个；边缘计算使用：42.236.6.128/25</t>
  </si>
  <si>
    <t>退租123.6.28.128/25</t>
  </si>
  <si>
    <t>云-信阳联通</t>
  </si>
  <si>
    <t>信阳</t>
  </si>
  <si>
    <t>XINYUN</t>
  </si>
  <si>
    <t>CBUCDNXINYUN</t>
  </si>
  <si>
    <t>2022/5/31节点退租。新商务条件约定机柜每月833
XINYUN7F-4-02、XINYUN7F-4-04、XINYUN7F-4-05、XINYUN7F-4-06、XINYUN7F-4-07、XINYUN7F-4-09、XINYUN7F-2-04、XINYUN7F-2-05、XINYUN7F-2-06、XINYUN7F-2-07</t>
  </si>
  <si>
    <t>2022/5/31节点退租。信阳节点实际使用256个IP，赠送544个：218.29.53.0/24</t>
  </si>
  <si>
    <t>云-周口联通</t>
  </si>
  <si>
    <t>ZKUN</t>
  </si>
  <si>
    <t>CBUCDNZKUN</t>
  </si>
  <si>
    <t>2022/5/31节点退租。ZKUN15F-1-01、ZKUN15F-1-02、ZKUN15F-1-03、ZKUN15F-1-04、ZKUN15F-1-05、ZKUN15F-2-01、ZKUN15F-2-02、ZKUN15F-2-03</t>
  </si>
  <si>
    <t>2022/5/31节点退租。周口节点实际使用256个IP，赠送544个：61.163.171.0/24</t>
  </si>
  <si>
    <t>中国联合网络通信有限公司拉萨市分公司</t>
  </si>
  <si>
    <t>西藏联通</t>
  </si>
  <si>
    <t>L20221229030</t>
  </si>
  <si>
    <t>LASUN</t>
  </si>
  <si>
    <t>CDNLASUN</t>
  </si>
  <si>
    <t>20190101开始计费，合同约定自然月计费： 
LASUN4F-A-01</t>
  </si>
  <si>
    <t>收费100个，免费60个：43.242.165.0/25;43.242.165.224/27</t>
  </si>
  <si>
    <t>中国联合网络通信有限公司临汾市分公司</t>
  </si>
  <si>
    <t>临汾联通</t>
  </si>
  <si>
    <t>182215IDC00354</t>
  </si>
  <si>
    <t>临汾</t>
  </si>
  <si>
    <t>LINFUN</t>
  </si>
  <si>
    <t>CDNLINFUN</t>
  </si>
  <si>
    <t>免费6个机柜，超出部分按照3000元/个/月（临汾一枢纽4楼H1~H6）</t>
  </si>
  <si>
    <t>2022-06-01</t>
  </si>
  <si>
    <t>2023-05-31</t>
  </si>
  <si>
    <t>LINFUN2F-D-07，2021年4月30日退租一个机柜，LINFUN4F-H-06，四个换机柜编码C-01、02、03、04换成LINFUN2F-D-07、LINFUN2F-D-08、LINFUN2F-D-09、LINFUN2F-D-10</t>
  </si>
  <si>
    <t>LINF2UN</t>
  </si>
  <si>
    <t>自2021年5月1日起，收费3个机柜，按照3000元/个/月（临汾一枢纽2楼D7~D10）</t>
  </si>
  <si>
    <t>LINF2UN退租4个机柜和288个IP，120G带宽迁移至LINFUN。LINFUN2F-D-07,LINFUN2F-D-09,LINFUN2F-D-10,LINFUN2F-D-08</t>
  </si>
  <si>
    <t>2022.7 与运营商 SYS确认使用288个IP:60.221.20.64/27;60.221.21.0/24。临汾联通整体送564个，使用864个，收费300个</t>
  </si>
  <si>
    <t xml:space="preserve"> LINF2UN退租4个机柜和288个IP，120G带宽迁移至LINFUN。60.221.21.0/24，60.221.20.64/27</t>
  </si>
  <si>
    <t>2022.7 与运营商 SYS确认使用288个IP:60.221.18.0/24;60.221.222.0/27。临汾联通整体送564个，使用864个，收费300个</t>
  </si>
  <si>
    <t>LINF3UN</t>
  </si>
  <si>
    <t>LINF3UN2F-D-3、LINF3UN2F-D-4、LINF3UN2F-D-5</t>
  </si>
  <si>
    <t>2022.7 与运营商 SYS确认使用288个IP: 60.221.220.192/27;60.221.212.0/24。临汾联通整体送564个，使用864个，收费300个</t>
  </si>
  <si>
    <t>【CDN退租】CDN山西临汾联通退租信息 (LINF3UN)，退租128个IP，终止计费时间2022.11.2260.221.212.0/25</t>
  </si>
  <si>
    <t>中国联合网络通信有限公司太原市分公司</t>
  </si>
  <si>
    <t>山西联通</t>
  </si>
  <si>
    <t>182215IDC00321</t>
  </si>
  <si>
    <t>TY2UN</t>
  </si>
  <si>
    <t>CDNTYUN</t>
  </si>
  <si>
    <t>2022.8退租后使用14个，免费10个，收费4个。赠送10个16机柜，实际使用7个（太原四枢纽3层L17~23）</t>
  </si>
  <si>
    <t>2022.8退租后使用14个，免费10个，收费4个。赠送10个16机柜，本次开通1个边缘计算机柜BECTYUN3F-L-24</t>
  </si>
  <si>
    <t>2022.8退租后使用14个，免费10个，收费4个。赠送10个16机柜，本次开通1个边缘计算机柜3F-K-15</t>
  </si>
  <si>
    <t>2022.8退租后使用14个，免费10个，收费4个。2021年7月21日新增7个机柜，1个免费，6个收费，正式计费日期为2021年8月1日。BECTYUN3F-K-16</t>
  </si>
  <si>
    <t>2022.8退租后使用14个，免费10个，收费4个。2021年7月21日新增7个机柜，1个免费，6个收费，正式计费日期为2021年8月1日。BECTYUN2F-D-12
BECTYUN2F-D-13
BECTYUN2F-D-14
BECTYUN2F-D-15
BECTYUN2F-D-16
BECTYUN2F-D-17</t>
  </si>
  <si>
    <t>2022.8退租后使用14个，免费10个，收费4个。TYUN3F-L-21、TYUN3F-L-20</t>
  </si>
  <si>
    <t>免费提供800个，实际使用544个，超出部分按照20元/个/月：221.204.10.128/25;221.204.30.96/27;221.204.49.0/24;221.204.30.128/25;221.204.50.0/24</t>
  </si>
  <si>
    <t>2021.3.26扩容128个IP地址，221.204.10.128/25</t>
  </si>
  <si>
    <t>2021年7月21日新增128个IP，正式计费日期为2021年8月1日,128个免费，补充协议自21年10月份开始 IP地址赠送由800变为1056：221.204.10.128/25;221.204.30.96/27;221.204.49.0/24;221.204.30.128/25;221.204.50.0/24</t>
  </si>
  <si>
    <t>中国联合网络通信有限公司西宁市分公司</t>
  </si>
  <si>
    <t>西宁联通</t>
  </si>
  <si>
    <t>L20221229044</t>
  </si>
  <si>
    <t>XNUN</t>
  </si>
  <si>
    <t>CDNXNUN2</t>
  </si>
  <si>
    <t>存量机架双方核对时发现实际使用2个机架。XNUN1F-A-02、XNUN1F-A-01原供应商名称为中国联合网络通信有限公司西宁市分公司</t>
  </si>
  <si>
    <t>青海联通原4个万兆，IP地址赠送288个、因5月31日退租2个万兆，IP地址赠送由288变为160，经核实我司使用160IP地址为：139.170.155.0/25、116.177.232.64/27 ，116.177.254.0/25 该128个IP地址一直未使用，因此该128个IP地址与退租的2个万兆一同退租</t>
  </si>
  <si>
    <t>20G最多可提供128个免费IP地址，目前使用160个，32个IP地址自2023年2月1日起收费，单价50元/个/月</t>
  </si>
  <si>
    <t>182215IDC00129</t>
  </si>
  <si>
    <t>阳泉</t>
  </si>
  <si>
    <t>【出口扩容】阳泉联通出口扩容100G,新增两个C的IP，116.179.40.0/24、116.179.41.0/24，补充协议免费赠送2个C</t>
  </si>
  <si>
    <t>中国联合网络通信有限公司中卫市分公司</t>
  </si>
  <si>
    <t>宁夏联通</t>
  </si>
  <si>
    <t>L20230223005</t>
  </si>
  <si>
    <t>ZWUN</t>
  </si>
  <si>
    <t>CDNZWUN</t>
  </si>
  <si>
    <t>免费提供2个机柜，超出部分单价按3800元/个/月。 ZWUN2F-TK-11、ZWUN2F-TK-12</t>
  </si>
  <si>
    <t>免费提供288个IP地址，在用160个，超出部分按50元/个/月。211.93.20.0/25;211.93.20.128/27</t>
  </si>
  <si>
    <t>中国移动通信集团安徽有限公司</t>
  </si>
  <si>
    <t>合肥移动</t>
  </si>
  <si>
    <t>L20221229042</t>
  </si>
  <si>
    <t>HFCM</t>
  </si>
  <si>
    <t>CDNHFCM</t>
  </si>
  <si>
    <t xml:space="preserve">16A </t>
  </si>
  <si>
    <t>机架前期为周期计费，于9月开始调整为自然月计费:HFCM2F-E-08~HFCM2F-E-17。其中HFCM2F-E-11在系统中更名为
BECHFCM2F-E-11为边缘计算使用
机柜编号BECHFCM2F-E-08、HFCM2F-E-09、HFCM2F-E-10、HFCM2F-E-12、HFCM2F-E-13、HFCM2F-E-14、HFCM2F-E-15、HFCM2F-E-16、HFCM2F-E-17</t>
  </si>
  <si>
    <t>HFCM 使用672个IP，均免费：112.29.149.0/24;112.29.148.0/24;112.29.149.128/25;112.29.139.0/27</t>
  </si>
  <si>
    <t>2022/6/30【CDN退租】CDN安徽合肥移动退租 (HFCM) 256个IP：112.29.149.0/24。退租后使用416个IP，均免费：112.29.148.0/24;112.29.149.128/25;112.29.139.0/27</t>
  </si>
  <si>
    <t>HFSSLMOBCOM</t>
  </si>
  <si>
    <t>HFCM2F-E-04、HFCM2F-E-05、HFCM2F-E-06、HFCM2F-E-07</t>
  </si>
  <si>
    <t>23年新合同免费2624个IP，从2022.7开始，带宽共计260G，按合同约定每百G赠送256个IP，另免费赠送2.65C，共可送1088个，实际使用1600，收费512个。SSL使用768个，收费512个，免费256个</t>
  </si>
  <si>
    <t>从2022.7开始，带宽共计160G，按合同约定每百G赠送256个IP，另免费赠送2.65C，共可送1088个，实际使用1600，收费512个。SSL使用768个，收费512个，免费256个</t>
  </si>
  <si>
    <t>HF2CM</t>
  </si>
  <si>
    <t>HF2CM5FWEST-B-02~HF2CM5FWEST-B-05</t>
  </si>
  <si>
    <t>1909开始不计提该节点的IP费用。112.28.207.0/27;112.28.206.0/24
按181915IDC00114约定，赠送1600个IP。超出后50元/个/月。CDN新增120G使用288个IP，均免费</t>
  </si>
  <si>
    <t>HN4CM</t>
  </si>
  <si>
    <t>2022/4/30节点退租。HN4CM1F202-G-01、HN4CM1F202-G-02、HN4CM1F202-G-03</t>
  </si>
  <si>
    <t>2022/4/30节点退租。112.30.225.0/24 112.30.205.32/27；按运营商回复的计费邮件，IP免费</t>
  </si>
  <si>
    <t>HN6CM</t>
  </si>
  <si>
    <t>2022/5/31 节点退租。2020.8.18与SYS沟通，实际开通7个机架，本月调整计提数量。HN6CM1F101-G-07、HN6CM1F101-G-06、HN6CM1F101-G-05、HN6CM1F101-G-04、HN6CM1F101-G-03、HN6CM1F101-G-02、HN6CM1F101-G-01
安徽淮南移动 增量240G完成业务测试，已于2020-05-15开始正式切流量上线，2020.7.1开始计费</t>
  </si>
  <si>
    <t>2022/5/31 节点退租。安徽淮南移动 增量240G完成业务测试，已于2020-05-15开始正式切流量上线，使用288个IP均免费：
112.30.247.0/24 112.29.240.192/27</t>
  </si>
  <si>
    <t>2021/1/21边缘计算节点新增2个机架：BECHFCM5F-B-09、BECHFCM5F-B-10</t>
  </si>
  <si>
    <t>202103调整计提金额。运营商账单未收费。2021/1/21边缘计算节点新增128IP：112.28.202.128/25
新增IPV6:2409:8C30:0040:1303::/64</t>
  </si>
  <si>
    <t>安徽合肥移动边缘计算节点扩容（HFCM)，新增一个机柜BECHFCM2F-E-3</t>
  </si>
  <si>
    <t>安徽合肥移动边缘计算节点扩容（HFCM）一个机柜BECHFCM2F-E-2</t>
  </si>
  <si>
    <t>【CDN退租】CDN安徽合肥移动退租信息 (HFCM)：HFCM2F-E-17,HFCM2F-E-16,HFCM2F-E-15,HFCM2F-E-14,HFCM2F-E-10,HFCM2F-E-09,HFCM2F-E-08
安徽合肥移动边缘计算节点扩容（HFCM）一个机柜BECHFCM2F-E-2</t>
  </si>
  <si>
    <t>L20221027004</t>
  </si>
  <si>
    <t>合肥移动新增0G 节点正式上线  HFCM，新增一个机柜BECHFCM2F-E-08</t>
  </si>
  <si>
    <t>【CDN新建】安徽合肥移动新建0G  2022-12-29 节点正式上线  (HFCM)，HFCM2F-E-10</t>
  </si>
  <si>
    <t>L20221130003</t>
  </si>
  <si>
    <t>淮南9移动</t>
  </si>
  <si>
    <t>CDNHNCM2</t>
  </si>
  <si>
    <t>BECHN9CM-102-F09、BECHN9CM-102-F10</t>
  </si>
  <si>
    <t>每百G送256个，200G，免费512个，112.29.212.0/24、112.29.213.0/24</t>
  </si>
  <si>
    <t>2409:8C30:1000:0903::/64、2409:8C30:1000:0904::/64</t>
  </si>
  <si>
    <t>淮南10移动</t>
  </si>
  <si>
    <t>BECHN10CM-102-F11、BECHN10CM-102-F12</t>
  </si>
  <si>
    <t>每百G送256个，200G，免费512个，112.29.216.0/24、112.29.217.0/24</t>
  </si>
  <si>
    <t>2409:8C30:1000:0902::/64、2409:8C30:1000:0905::/64</t>
  </si>
  <si>
    <t>中国移动通信集团甘肃有限公司</t>
  </si>
  <si>
    <t>兰州移动</t>
  </si>
  <si>
    <t>L20221229041</t>
  </si>
  <si>
    <t>LZ3CM</t>
  </si>
  <si>
    <t>CDNLZCM3</t>
  </si>
  <si>
    <t>LZ3CM2F-01-02、LZ3CM2F-01-03、LZ3CM2F-01-04、LZ3CM2F-01-05、LZ3CM2F-01-06</t>
  </si>
  <si>
    <t>LZ3CM2F-01-05、LZ3CM2F-01-06</t>
  </si>
  <si>
    <t>2022.8开始带宽量为240G，IP地址每百G赠送128个可送307个，运营商登记百度使用416个，收费109个。117.157.16.0/25，117.157.20.128/25，117.157.224.160/27</t>
  </si>
  <si>
    <t>甘肃兰州移动边缘计算节点新建（LZ3CM）,新增200G，2个机柜，BECLZ3CM2F202-01-19，BECLZ3CM2F202-01-20，商务确认8月29日开始计费</t>
  </si>
  <si>
    <t>BECLZ3CM2F202-01-20</t>
  </si>
  <si>
    <t>2022/2/1开始计费，甘肃兰州移动边缘计算节点扩容（LZ3CM），新增两个机柜BECLZ3CM2F202-04-11,BECLZ3CM2F202-04-12</t>
  </si>
  <si>
    <t>【BEC退租】BEC兰州移动退租信息，退租一个机柜BECLZ3CM2F202-01-19</t>
  </si>
  <si>
    <t>L20230130001</t>
  </si>
  <si>
    <t>【CDN扩容】甘肃兰州移动新建0G   (LZ3CM),LZ3CM2F-01-05 为新扩容机柜，此次只扩容了1个机柜，1月14日开始计费</t>
  </si>
  <si>
    <t>2022.8开始带宽量为240G，IP地址每百G赠送128个可送307个，运营商登记百度使用416个，收费109个。甘肃兰州移动边缘计算节点新建（LZ3CM）,新增200G，128个IP，117.157.224.0/25，商务确认8月29日开始计费</t>
  </si>
  <si>
    <t>此段IP未在运营商测记录。2022/2/1开始计费，甘肃兰州移动边缘计算节点扩容（LZ3CM），新增128个IP 36.142.3.0/25</t>
  </si>
  <si>
    <t>【BEC退租】BEC兰州移动退租信息，退租128个IP地址日期为2022年11月30日，117.157.224.0/25</t>
  </si>
  <si>
    <t>12月1日新增IPV6一段，2409:8C74:F100:0214::0/64</t>
  </si>
  <si>
    <t>中国移动通信集团河南有限公司安阳分公司</t>
  </si>
  <si>
    <t>安阳移动</t>
  </si>
  <si>
    <t>182115IDC00141</t>
  </si>
  <si>
    <t>安阳</t>
  </si>
  <si>
    <t>AY2CM</t>
  </si>
  <si>
    <t>CDNAYCM</t>
  </si>
  <si>
    <t>AYCM4F401-G-08、AYCM4F401-G-09、AYCM4F401-G-10、AYCM4F401-G-11、AYCM4F401-G-12</t>
  </si>
  <si>
    <t>2021-01-01</t>
  </si>
  <si>
    <t>2022-12-31</t>
  </si>
  <si>
    <t>AYCM</t>
  </si>
  <si>
    <t>AYCM4F401-L-05、AYCM4F401-L-04、AYCM4F401-L-07、AYCM4F401-L-06、AYCM4F401-L-03、AYCM4F401-L-02
2020.4.1由代理商转直签</t>
  </si>
  <si>
    <t>2022/5/31节点退租。AYCM4F401-L-05、AYCM4F401-L-04、AYCM4F401-L-07、AYCM4F401-L-06、AYCM4F401-L-03、AYCM4F401-L-02
2020.4.1由代理商转直签</t>
  </si>
  <si>
    <t>2022/5/31节点退租。AYCM4F401-G-10,AYCM4F401-G-12,AYCM4F401-G-11,AYCM4F401-G-09,AYCM4F401-G-08</t>
  </si>
  <si>
    <t>经商务确认，按每万兆送26个计算，380G带宽，送38*26=988个免费：111.6.38.0/24;111.6.39.0/27</t>
  </si>
  <si>
    <t>sys已核对使用576个，免费提供【988】个IPV4地址，IPV6地址 ::/64 个网段地址：111.6.10.0/24;111.6.9.192/27
2020.4.1由代理商转直签</t>
  </si>
  <si>
    <t>2022/5/31节点退租。sys已核对使用576个，免费提供【988】个IPV4地址，IPV6地址 ::/64 个网段地址：111.6.10.0/24;111.6.9.192/27
2020.4.1由代理商转直签</t>
  </si>
  <si>
    <t>2022/7/31节点退租：111.6.38.0/24 111.6.39.0/27</t>
  </si>
  <si>
    <t>中国移动通信集团河南有限公司漯河分公司</t>
  </si>
  <si>
    <t>漯河移动</t>
  </si>
  <si>
    <t>182115IDC00142</t>
  </si>
  <si>
    <t>漯河</t>
  </si>
  <si>
    <t>LHCM</t>
  </si>
  <si>
    <t>CDNLHCM</t>
  </si>
  <si>
    <t>原正式合同5.24到期LHCM5FIDC-B-10~LHCM5FIDC-B-15</t>
  </si>
  <si>
    <t>2022/7/31 节点退租：LHCM5FIDC-B-12,LHCM5FIDC-B-14,LHCM5FIDC-B-13,LHCM5FIDC-B-11,LHCM5FIDC-B-10</t>
  </si>
  <si>
    <t>经商务确认，按每万兆送26个计算，240G带宽，送24*26=624个免费，实际使用288，均免费：111.6.21.0/24;111.6.22.96/27</t>
  </si>
  <si>
    <t>2022/7/31 节点退租：111.6.21.0/24 111.6.22.96/27</t>
  </si>
  <si>
    <t>中国移动通信集团河南有限公司郑州分公司</t>
  </si>
  <si>
    <t>郑州移动</t>
  </si>
  <si>
    <t>L20221229038</t>
  </si>
  <si>
    <t>ZZCM</t>
  </si>
  <si>
    <t>CDNZZCM</t>
  </si>
  <si>
    <t>2022/5/31节点退租。ZZCM2F-N-08、ZZCM2F-N-07、ZZCM2F-N-06、ZZCM2F-N-05、ZZCM2F-N-04、ZZCM2F-N-03、ZZCM2F-N-02、ZZCM2F-N-01</t>
  </si>
  <si>
    <t>ZZ2CM</t>
  </si>
  <si>
    <t>CDNZZCM2</t>
  </si>
  <si>
    <t>ZZCM1F-12L-16、ZZCM1F-12L-17、ZZCM1F-12L-18、ZZCM1F-14L-17</t>
  </si>
  <si>
    <t>ZZ4CM</t>
  </si>
  <si>
    <t>ZZ4CM2H1F-L07-13、ZZ4CM2H1F-L07-12、ZZ4CM2H1F-L07-11、ZZ4CM2H1F-L07-10、ZZ4CM2H1F-L07-16、ZZ4CM2H1F-L07-15、ZZ4CM2H1F-L07-14、ZZ4CM2H1F-L07-17</t>
  </si>
  <si>
    <t>ZZ4CM2H1F-L07-09</t>
  </si>
  <si>
    <t>2022.6.30【CDN退租】CDN河南郑州移动退租 (ZZ4CM)2个机柜：ZZ4CM2H1F-L07-12、ZZ4CM2H1F-L07-13</t>
  </si>
  <si>
    <t>ZZ4CM 机架编号变更，不影响计费，关闭机架：ZZ4CM2H1F-L07-9、ZZ4CM2H1F-L07-10、ZZ4CM2H1F-L07-11、ZZ4CM2H1F-L07-14、ZZ4CM2H1F-L07-15、ZZ4CM2H1F-L07-16、ZZ4CM2H1F-L07-17</t>
  </si>
  <si>
    <t>ZZ4CM 机架编号变更，不影响计费，开通机架：ZZ4CM2H1F-C08-14、ZZ4CM2H1F-C08-15、ZZ4CM2H1F-C08-16、ZZ4CM2H1F-C08-17、ZZ4CM2H1F-C08-18、ZZ4CM2H1F-C08-19、ZZ4CM2H1F-C08-20</t>
  </si>
  <si>
    <t>郑州5移动</t>
  </si>
  <si>
    <t>ZZ5CM</t>
  </si>
  <si>
    <t>河南郑州移动 增量200G完成业务测试，已于2020-06-15开始正式切流量上线，从2020.6.15开始计费
ZZ5CM2H1F-L11-17、ZZ5CM2H1F-L11-16、ZZ5CM2H1F-L11-15、ZZ5CM2H1F-L11-14、ZZ5CM2H1F-L11-13、ZZ5CM2H1F-L11-12</t>
  </si>
  <si>
    <t>BECZZ2CM1F-L10-17、BECZZ2CM1F-L10-18</t>
  </si>
  <si>
    <t>开封</t>
  </si>
  <si>
    <t>KFCM</t>
  </si>
  <si>
    <t>CDNKFCM</t>
  </si>
  <si>
    <t>2022/5/31节点退租。KFCM4F-G-01、KFCM4F-G-02、KFCM4F-G-03、KFCM4F-G-04</t>
  </si>
  <si>
    <t>三门峡</t>
  </si>
  <si>
    <t>SMXCM</t>
  </si>
  <si>
    <t>CDNSMXCM</t>
  </si>
  <si>
    <t>SMXCM4F-A-02、SMXCM4F-A-03、SMXCM4F-A-04、SMXCM4F-A-05、SMXCM4F-A-06</t>
  </si>
  <si>
    <t>河南郑州移动新增2个机柜正式计费日期为2021年12月1日BECZZ5CM4F403-C07-09、BECZZ5CM4F403-C07-10</t>
  </si>
  <si>
    <t>2022/5/31节点退租。111.6.109.0/24</t>
  </si>
  <si>
    <t>2022/5/31节点退租。111.7.168.0/24;111.7.169.0/24</t>
  </si>
  <si>
    <t>111.6.172.0/24;111.6.166.128/25</t>
  </si>
  <si>
    <t>111.7.111.0/24;111.7.110.0/24</t>
  </si>
  <si>
    <t>迁移至ZZ5CM：111.7.111.0/24</t>
  </si>
  <si>
    <t>河南郑州移动新增128个IP地址目前暂不收费，如后续收费另行通知111.6.171.128/25</t>
  </si>
  <si>
    <t>12月1日新增IPV6一段，2409:8C44:B00:402::0/64</t>
  </si>
  <si>
    <t>【边缘计算节点新建】河南郑州移动边缘计算节点新建（ZZ5CM），新增三个机柜BECZZ5CM4F403-C07-11、BECZZ5CM4F403-C07-12、BECZZ5CM4F403-C07-13</t>
  </si>
  <si>
    <t>郑州2移动</t>
  </si>
  <si>
    <t>ZZ2CM边缘计算新增机柜：BECZZ5CM4F403-C07-07,BECZZ5CM4F403-C07-08；同时新增128个免费IP:111.6.187.128/25</t>
  </si>
  <si>
    <t>【边缘计算节点新建】河南郑州移动边缘计算节点新建（ZZ5CM），新增128个IP，暂不收费，收费再通知，111.6.247.0/25</t>
  </si>
  <si>
    <t>111.6.187.128/25</t>
  </si>
  <si>
    <t>从ZZ4CM迁移：111.7.111.0/24</t>
  </si>
  <si>
    <t>L20221229046</t>
  </si>
  <si>
    <t>郑州6移动</t>
  </si>
  <si>
    <t>ZZ6CM</t>
  </si>
  <si>
    <t>【CDN新建】河南郑州移动新建120G  2022-12-09 节点正式上线  (ZZ6CM)，新增160个IP，111.7.188.0/25 111.6.165.96/27</t>
  </si>
  <si>
    <t>中国移动通信集团宁夏有限公司银川分公司</t>
  </si>
  <si>
    <t>宁夏移动</t>
  </si>
  <si>
    <t>L20221229040</t>
  </si>
  <si>
    <t>YC2CM</t>
  </si>
  <si>
    <t>CDNYCCM</t>
  </si>
  <si>
    <t>2017/1/1   2018/9/1</t>
  </si>
  <si>
    <t>YCCM4F19-A-08
 YCCM4F19-A-09</t>
  </si>
  <si>
    <t>ZW3CM</t>
  </si>
  <si>
    <t>CDNZWCM</t>
  </si>
  <si>
    <t>ZWCM1102-D-01；2020.6.17机架编号更新为BECZWCM1102-D-01</t>
  </si>
  <si>
    <t>ZWCM1102-D-02
ZWCM1102-D-03</t>
  </si>
  <si>
    <t>ZWCM1102-D-04
ZWCM1102-D-05
ZWCM1102-D-06</t>
  </si>
  <si>
    <t>每100G带宽送160个IP。存量6个机柜，每机柜送16个，共免费512个，收费32个。自2020.5.1开始使用416个IP：120.253.39.160/27;120.253.39.0/25;120.253.63.0/24</t>
  </si>
  <si>
    <t>每100G带宽送160个IP。存量6个机柜，每机柜送16个，共免费512个，收费32个。（160G，乙方每100G互联网接入带宽包含 160  个IPv4地址，赠送256个）：120.253.39.160/27;120.253.39.0/25;120.253.63.0/24</t>
  </si>
  <si>
    <t>银川 YC2CM</t>
  </si>
  <si>
    <t>BECYCCM3F234-C1-06,BECYCCM3F234-C1-07</t>
  </si>
  <si>
    <t>每100G带宽送160个IP。存量6个机柜，每机柜送16个，共免费512个，收费32个。9月11日增量100G，每100G赠送160个IP，新增128个IP，111.51.98.128/25，</t>
  </si>
  <si>
    <t>中卫ZW3CM</t>
  </si>
  <si>
    <t>【边缘计算节点扩容】宁夏中卫移动边缘计算节点扩容（ZW3CM）,新增一个机柜，BECZWCM1102-E-11</t>
  </si>
  <si>
    <t>【BEC退租】BEC银川移动退租信息，11月30退租2个机柜，BECYCCM3F234-C1-06，BECYCCM3F234-C1-07</t>
  </si>
  <si>
    <t>L20221230002</t>
  </si>
  <si>
    <t>银川 YC3CM</t>
  </si>
  <si>
    <t>YC3CM</t>
  </si>
  <si>
    <t>【CDN新建】宁夏银川移动新建100G  2022-12-05 节点正式上线  (YC3CM)，新增三个机柜YC3CM-C1-03,YC3CM-C1-04,YC3CM-C1-05</t>
  </si>
  <si>
    <t>12月1日新增IPV6一段，2409:8C7A:1000:20::0/64</t>
  </si>
  <si>
    <t>【CDN退租】CDN宁夏中卫移动退租信息 (ZW3CM)，退租128个IP地址，时间为2022年11月30日，120.253.63.128/25</t>
  </si>
  <si>
    <t>【BEC退租】BEC银川移动退租信息，退租128个IP地址，时间为2022年11月30日，111.51.98.128/25</t>
  </si>
  <si>
    <t>【CDN新建】宁夏银川移动新建100G  2022-12-05 节点正式上线  (YC3CM)，新增128个IP，111.51.101.0/25</t>
  </si>
  <si>
    <t>中国移动通信集团青海有限公司</t>
  </si>
  <si>
    <t>西宁移动</t>
  </si>
  <si>
    <t>L20221229037</t>
  </si>
  <si>
    <t>XNCM</t>
  </si>
  <si>
    <t>CDNXNCM</t>
  </si>
  <si>
    <t>XNCM1F-103-D15、XNCM1F-103-B14、XNCM1F-103-A05</t>
  </si>
  <si>
    <t>实际使用160个，免费112个，收费48个：111.44.250.0/25;111.12.152.128/27</t>
  </si>
  <si>
    <t>23年新合同，赠送160个IP，实际使用160个，免费112个，收费48个：111.44.250.0/25;111.12.152.128/27</t>
  </si>
  <si>
    <t>中国移动通信集团山西有限公司</t>
  </si>
  <si>
    <t>山西移动</t>
  </si>
  <si>
    <t>L20221229039</t>
  </si>
  <si>
    <t>TY4CM</t>
  </si>
  <si>
    <t>CDNTYCM3</t>
  </si>
  <si>
    <t>9月5日开通计费：TYCM4F-G-05、TYCM4F-G-06、TYCM4F-G-07、TYCM4F-G-08</t>
  </si>
  <si>
    <t>边缘计算，2020年7月1日开通计费：BECTYCM4F-I-18</t>
  </si>
  <si>
    <t>2022.5开始带宽量为160G，每百G送160个，可送256个，使用416个，收费160个。
太原4移动、太原5移动合并计算，存量320G，送512个，退租后剩余太原4移动160G，免费256个，收费160个
合同预审赠送512个免费IP，实际使用416个IP地址，全部赠送,超过免费数量50元/个：183.201.233.0/24;183.201.236.0/27;183.201.216.128/25</t>
  </si>
  <si>
    <t>太原4移动、太原5移动合并计算，存量320G，送512个，退租后剩余太原4移动160G，免费256个，收费160个
合同预审赠送512个免费IP，实际使用416个IP地址，全部赠送,超过免费数量50元/个：183.201.233.0/24;183.201.236.0/27;183.201.216.128/25</t>
  </si>
  <si>
    <t>TY5CM</t>
  </si>
  <si>
    <t>2022/4/30节点退租。合同预审赠送512个免费IP，实际使用288个IP地址，其中96个免费，超过免费数量50元/个:183.201.227.160/27;183.201.220.0/24</t>
  </si>
  <si>
    <t>2022/4/30节点退租。183.201.220.0/24 183.201.227.160/27</t>
  </si>
  <si>
    <t>2022/4/30节点退租。TYCM4F-K-22,TYCM4F-K-21,TYCM4F-K-20,TYCM4F-K-19,TYCM4F-K-18</t>
  </si>
  <si>
    <t>BECTYCM4F-I-21</t>
  </si>
  <si>
    <t>23年新合同免费1288个IP，2022/4/30节点退租。合同预审赠送512个免费IP，实际使用288个IP地址，其中96个免费，超过免费数量50元/个:183.201.227.160/27;183.201.220.0/24</t>
  </si>
  <si>
    <t>【CDN退租】CDN山西太原移动退租信息 (TY4CM)，退租128个IP地址，退租日期为2022年11月30日，183.201.233.128/25</t>
  </si>
  <si>
    <t>阳泉移动</t>
  </si>
  <si>
    <t>182015IDC00020</t>
  </si>
  <si>
    <t xml:space="preserve">A端：山西省阳泉市郊区钢材市场东北(平安路东)，B端：山西太原小店区经济技术开发区泽信街数据中心_，10条10G，单价5833.33，折合成1条100G，单价58333.33 </t>
  </si>
  <si>
    <t>2019-12-01</t>
  </si>
  <si>
    <t>2024-11-30</t>
  </si>
  <si>
    <t>于2021.3.31退租。</t>
  </si>
  <si>
    <t>182015IDC00339</t>
  </si>
  <si>
    <t xml:space="preserve">A端：山西省阳泉市郊区钢材市场东北(平安路东)，B端：山西太原小店区经济技术开发区泽信街数据中心，10条10G，单价5833.33，折合成1条100G，单价58333.33 </t>
  </si>
  <si>
    <t>2020-03-25</t>
  </si>
  <si>
    <t>2025-03-31</t>
  </si>
  <si>
    <t>L20211230024</t>
  </si>
  <si>
    <t>于2021.3.31退租。阳泉移动，2019.12.1开通2048个IP地址，免费256个，收费1792个。自2020.1.1开始计费。</t>
  </si>
  <si>
    <t>L20230201007</t>
  </si>
  <si>
    <t>太原10移动</t>
  </si>
  <si>
    <t>【BEC新建】太原移动新建360G 2023-1-1节点正式上线  (TY10CM)，新增6个机柜
BECTYCM4F-I-05
BECTYCM4F-I-06
BECTYCM4F-I-07
BECTYCM4F-J-08
BECTYCM4F-J-09
BECTYCM4F-K-18</t>
  </si>
  <si>
    <t>【BEC新建】太原移动扩容0G 2023-1-1节点正式上线  (TY10CM)，新增一个机柜BECTYCM4F-I-04,开始计费时间3月21日</t>
  </si>
  <si>
    <t>【BEC新建】太原移动新建360G 2023-1-1节点正式上线  (TY10CM)，新增736个IP
183.201.222.192/26
183.201.193.0/25
183.201.100.0/24
183.201.209.0/25
183.201.209.128/26
183.201.222.128/27
183.201.227.64/26</t>
  </si>
  <si>
    <t>2023年2月28日退租216个IP，183.201.209.0/25
183.201.209.128/26
183.201.193.40/29
183.201.193.48/28</t>
  </si>
  <si>
    <t>L20230327004</t>
  </si>
  <si>
    <t>YQ01-移动</t>
  </si>
  <si>
    <t>YQ01移动出口带宽160G开通，于2023-3-1日开通，183.201.215.0/24，乙方每百G互联网接入带宽包含 160 个IPv4地址</t>
  </si>
  <si>
    <t>YQ01移动出口带宽160G开通，于2023-3-1日开通，2409:8c0c:0310:3400::/56</t>
  </si>
  <si>
    <t>中国移动通信集团西藏有限公司</t>
  </si>
  <si>
    <t>拉萨移动</t>
  </si>
  <si>
    <t>L20221229043</t>
  </si>
  <si>
    <t xml:space="preserve">拉萨 </t>
  </si>
  <si>
    <t>LASCM</t>
  </si>
  <si>
    <t>CDNLASCM</t>
  </si>
  <si>
    <t>LASCM407-O-08</t>
  </si>
  <si>
    <t>使用160个，免费160个：117.180.228.128/27;117.180.234.0/25</t>
  </si>
  <si>
    <t>甘肃铁通</t>
  </si>
  <si>
    <t>L20220422002</t>
  </si>
  <si>
    <t>LZ2CM</t>
  </si>
  <si>
    <t>CDNLZCM2</t>
  </si>
  <si>
    <t>2018/4/18 2018/9/18</t>
  </si>
  <si>
    <t>2022.4.15节点退租。LZ2CM2F-07-02、LZ2CM2F-07-03、LZ2CM2F-07-05、LZ2CM2F-07-06</t>
  </si>
  <si>
    <t>2022.4.15节点退租。20220415退租4个机柜，4月半个月为赔偿，计费截止日期为3月31日，LZ2CM2F-07-06,LZ2CM2F-07-05,LZ2CM2F-07-03,LZ2CM2F-07-02</t>
  </si>
  <si>
    <t>兰州2</t>
  </si>
  <si>
    <t>2022.4.15节点退租。免费256个：117.157.242.0/24;123.81.241.64/27</t>
  </si>
  <si>
    <t>2022.4.15节点退租。20220415退租288个IP，4月半个月为赔偿，计费截止日期为3月31日：117.157.242.0/24;123.81.241.64/27</t>
  </si>
  <si>
    <t>L20221228015</t>
  </si>
  <si>
    <t>光环窦店</t>
  </si>
  <si>
    <t>BJDDTG</t>
  </si>
  <si>
    <t>BJDDTG103B-D-01
BJDDTG103B-D-02
BJDDTG103B-D-03
BJDDTG103B-D-04
BJDDTG103B-D-05
BJDDTG103B-D-06
BJDDTG103B-D-07
BJDDTG103B-D-08
BJDDTG103B-D-09
BJDDTG103B-D-10
BJDDTG103B-E-01
BJDDTG103B-E-02
BJDDTG103B-E-03
BJDDTG103B-E-04
BJDDTG103B-E-05
BJDDTG103B-E-06
BJDDTG103B-E-07
BJDDTG103B-E-08
BJDDTG103B-E-09
BJDDTG103B-E-10</t>
  </si>
  <si>
    <t>BJDDTG103B-E-11</t>
  </si>
  <si>
    <t>西北-lijia</t>
  </si>
  <si>
    <t>中国电信股份有限公司陕西分公司</t>
  </si>
  <si>
    <t>陕西电信</t>
  </si>
  <si>
    <t>182015IDC00019</t>
  </si>
  <si>
    <t>西安开元</t>
  </si>
  <si>
    <t>XAKY</t>
  </si>
  <si>
    <t>202002与运营商核实，11月共开通114个机架。
XAKY1D302-A-02、XAKY1D302-A-03、XAKY1D302-A-04、XAKY1D302-A-05、XAKY1D302-A-06、XAKY1D302-A-07、XAKY1D302-B-02、XAKY1D302-B-03、XAKY1D302-B-04、XAKY1D302-B-05、XAKY1D302-B-06、XAKY1D302-B-07、XAKY1D302-C-03、XAKY1D302-C-04、XAKY1D302-C-05、XAKY1D302-C-06、XAKY1D302-C-07、XAKY1D302-D-03、XAKY1D302-D-04、XAKY1D302-D-05、XAKY1D302-D-06、XAKY1D302-D-07、XAKY1D302-D-08、XAKY1D302-D-09、XAKY1D302-D-10、XAKY1D305-A-15、XAKY1D305-B-14、XAKY1D301-A-02、XAKY1D301-A-03、XAKY1D301-A-04、XAKY1D301-A-05、XAKY1D301-A-06、XAKY1D301-A-07、XAKY1D301-A-08、XAKY1D301-A-09、XAKY1D301-A-10、XAKY1D301-A-11、XAKY1D301-A-12、XAKY1D301-A-13、XAKY1D301-A-14、XAKY1D301-A-15、XAKY1D301-B-15、XAKY1D301-B-06、XAKY1D301-B-07、XAKY1D301-B-08、XAKY1D301-B-09、XAKY1D301-B-10、XAKY1D301-B-11、XAKY1D301-B-12、XAKY1D301-B-13、XAKY1D301-B-14、XAKY1D301-A-16、XAKY1D301-A-17、XAKY1D301-A-18、XAKY1D301-A-19、XAKY1D301-B-16、XAKY1D301-B-17、XAKY1D301-B-18、XAKY1D301-B-19、XAKY1D301-A-01、XAKY1D302-E-01、XAKY1D303-G-01、XAKY1D304-A-09、XAKY1D305-A-16、XAKY1D306-H-19、XAKY1D401-C-01、XAKY1D402-F-01、XAKY1D404-A-09、XAKY1D405-H-11、XAKY1D301-B-01、XAKY1D301-B-03、XAKY1D301-B-05、XAKY1D301-C-02、XAKY1D301-C-04、XAKY1D301-C-06、</t>
  </si>
  <si>
    <t>XAKY1D302-A-01、XAKY1D302-B-01、XAKY1D302-C-01、XAKY1D302-D-01、XAKY1D302-C-02、XAKY1D302-D-02、XAKY1D301-D-18、XAKY1D301-D-19、XAKY1D302-F-16、XAKY1D302-F-17、XAKY1D303-D-18、XAKY1D303-D-19、XAKY1D304-F-01、XAKY1D304-F-02、XAKY1D306-D-01、XAKY1D306-D-02、XAKY1D401-D-18、XAKY1D401-D-19、XAKY1D402-D-18、XAKY1D402-D-19、XAKY1D404-E-01、XAKY1D404-E-02、XAKY1D405-C-01、XAKY1D405-C-02、</t>
  </si>
  <si>
    <t>XAKY1D305-D-06、XAKY1D305-E-06</t>
  </si>
  <si>
    <t>XAKY1D302-A-12、XAKY1D302-A-10、XAKY1D302-B-12、XAKY1D302-B-10、XAKY1D302-C-10、XAKY1D302-C-08、XAKY1D302-D-13、XAKY1D302-D-11、XAKY1D302-A-08、XAKY1D302-B-08、XAKY1D305-D-07、XAKY1D305-E-07、</t>
  </si>
  <si>
    <t>XAKY1D305-D-03</t>
  </si>
  <si>
    <t>XAKY1D305-D-10、XAKY1D305-D-11、XAKY1D305-E-10、XAKY1D305-E-11
运营商账单未包含此机架</t>
  </si>
  <si>
    <t>XAKY1D301-C-17。运营商账单未包含此机架</t>
  </si>
  <si>
    <t>根据SYS Q2盘点结果，XAKY1D301-C-17现场关闭，且不在运营商账单中，关闭机架。前期多计提已冲销</t>
  </si>
  <si>
    <t>XAKY1D301-C-03</t>
  </si>
  <si>
    <t>XAKY1D301-C-08、XAKY1D301-C-09、XAKY1D301-C-10、XAKY1D301-C-11、XAKY1D301-C-12、XAKY1D301-C-13、XAKY1D301-C-14</t>
  </si>
  <si>
    <t>XAKY1D301-D-01、XAKY1D301-D-02、XAKY1D301-D-03、XAKY1D301-D-04、XAKY1D301-D-05、XAKY1D301-D-07</t>
  </si>
  <si>
    <t>XAKY1D301-C-15、XAKY1D301-C-16、XAKY1D301-E-10、XAKY1D301-E-11</t>
  </si>
  <si>
    <t>XAKY1D301-B-02、XAKY1D301-B-04、XAKY1D301-D-06、XAKY1D301-D-08、XAKY1D301-D-09、XAKY1D301-D-10、XAKY1D301-D-11、XAKY1D301-D-12、XAKY1D301-D-13、XAKY1D301-D-14、XAKY1D301-D-15、XAKY1D301-D-16、XAKY1D301-D-17、XAKY1D301-E-02、XAKY1D301-E-03</t>
  </si>
  <si>
    <t>XAKY1D301-C-07、XAKY1D301-E-04、XAKY1D301-E-05、XAKY1D301-E-06、XAKY1D301-E-07、XAKY1D301-E-08、XAKY1D301-E-09</t>
  </si>
  <si>
    <t>XAKY1D301-F-14、XAKY1D301-F-15、XAKY1D301-G-06</t>
  </si>
  <si>
    <t>XAKY1D301-G-07</t>
  </si>
  <si>
    <t>2020/6/1开通，6月整月计费
XAKY1D301-F-16、XAKY1D301-F-17、XAKY1D301-G-02、XAKY1D301-G-03、XAKY1D301-G-04、XAKY1D301-G-05、XAKY1D301-G-19、XAKY1D301-E-12、XAKY1D301-E-13、XAKY1D301-E-14、XAKY1D301-E-15、XAKY1D301-E-16</t>
  </si>
  <si>
    <t>SYS反馈设备上架时间为2019/11/21，暂按2019/12/25作为开始计费时间
XAKY1D305-E-03</t>
  </si>
  <si>
    <t>布线柜从2020/1/1开始计费
XAKY1D302-A-09、XAKY1D302-A-11、XAKY1D302-A-13、XAKY1D302-B-09、XAKY1D302-B-11、XAKY1D302-B-13、XAKY1D302-C-09、XAKY1D302-C-11、XAKY1D302-D-12、XAKY1D302-D-14、XAKY1D305-B-13、XAKY1D305-D-01、XAKY1D305-D-02、XAKY1D305-E-01、XAKY1D305-E-02</t>
  </si>
  <si>
    <t>2020/6/30开通，6月计费1天
XAKY1D305-E-08、XAKY1D305-E-09</t>
  </si>
  <si>
    <t>XAKY1D301-E-17、XAKY1D301-E-18、XAKY1D301-E-19、XAKY1D301-F-01、XAKY1D301-F-02、XAKY1D301-F-03、XAKY1D301-F-04、XAKY1D301-F-05、XAKY1D301-F-06、XAKY1D301-F-07、XAKY1D301-F-08、XAKY1D301-F-09、XAKY1D301-F-11、XAKY1D301-F-12、XAKY1D301-F-13、XAKY1D301-G-01</t>
  </si>
  <si>
    <t>XAKY1D305-B-03</t>
  </si>
  <si>
    <t>XAKY1D301-F-10</t>
  </si>
  <si>
    <t>XAKY1D302-H-01、XAKY1D302-H-02、XAKY1D302-H-03、XAKY1D302-H-04、XAKY1D302-H-05、XAKY1D302-H-06、XAKY1D302-H-07、XAKY1D302-H-08、XAKY1D302-H-09、XAKY1D302-H-10、XAKY1D302-H-11、XAKY1D302-H-12、XAKY1D302-H-14</t>
  </si>
  <si>
    <t>XAKY1D301-G-08、XAKY1D301-G-18</t>
  </si>
  <si>
    <t>XAKY1D301-G-01、XAKY1D301-G-19</t>
  </si>
  <si>
    <t>XAKY1D305-D-08、XAKY1D305-D-09</t>
  </si>
  <si>
    <t>XAKY1D401-C-01</t>
  </si>
  <si>
    <t>XAKY1D401-D-18、XAKY1D401-D-19</t>
  </si>
  <si>
    <t>2020/9/2开通，9月计费29天：XAKY1D301-G-12、XAKY1D301-G-13、XAKY1D301-G-14、XAKY1D301-G-15、XAKY1D301-G-16、XAKY1D301-G-17</t>
  </si>
  <si>
    <t>XAKY
CDNXAIX</t>
  </si>
  <si>
    <t>陕西新建三线，2020/9/10切量上线，9.20开始计费，计费11天。新增17个机架：XAIXXF-A-03、XAIXXF-A-04、XAIXXF-A-05、XAIXXF-A-06、XAIXXF-A-07、XAIXXF-A-08、XAIXXF-A-09、XAIXXF-A-10、XAIXXF-A-11、XAIXXF-A-12、XAIXXF-A-13、XAIXXF-A-14、XAIXXF-A-15、XAIXXF-A-16、XAIXXF-A-17、XAIXXF-A-18、XAIXXF-A-19。此部分机柜实际就在IDC机房中，为了便于CDN管理，故RMS按照CDN规则设置了机架编号和机房名称</t>
  </si>
  <si>
    <t>2020.9.21开通。XAKY1D305-B-04</t>
  </si>
  <si>
    <t>2020/9/28开通机架，9月计费3天。XAKY1D305-D-05</t>
  </si>
  <si>
    <t>2020/9/29开通机架，9月计费2天。XAKY1D303-B-12、XAKY1D303-B-13、XAKY1D303-B-14、XAKY1D303-B-15、XAKY1D303-C-16、XAKY1D303-C-17、XAKY1D303-D-11、XAKY1D303-D-12、XAKY1D303-D-13、XAKY1D303-D-14、XAKY1D303-D-15、XAKY1D303-D-16、XAKY1D303-D-17</t>
  </si>
  <si>
    <t>2020.10.22开通，XAKY1D301-H-01、XAKY1D301-H-02、XAKY1D301-H-04~15</t>
  </si>
  <si>
    <t>2020.11.30开通，XAKY1D301-H-16~19、XAKY1D303-B-02~11</t>
  </si>
  <si>
    <t>2020.12.2开通，XAKY1D303-C-02~06</t>
  </si>
  <si>
    <t>2020.12.10开通，XAKY1D303-A-02</t>
  </si>
  <si>
    <t>2020.12.21开通，XAKY1D303-C-07~15</t>
  </si>
  <si>
    <t>2021.1.15开通，XAKY1D302-H-13~17</t>
  </si>
  <si>
    <t>CDNXAIX</t>
  </si>
  <si>
    <t>2021.1.20开通，XAKY1D303-B-16~18；西安三线边缘计算新增机柜，开通在大机房内（BECCDNXAIX-B-16
BECCDNXAIX-B-17
BECCDNXAIX-B-18）。</t>
  </si>
  <si>
    <t>2021.1.19开通，XAKY1D303-D-02~03</t>
  </si>
  <si>
    <t>2021.2.5开通，XAKY1D303-D-04、XAKY1D303-D-05</t>
  </si>
  <si>
    <t>2021.2.5关闭，XAKY1D302-C-01
XAKY1D302-C-02
XAKY1D302-D-01
XAKY1D302-D-02
XAKY1D404-E-01
XAKY1D404-E-02</t>
  </si>
  <si>
    <t>2021.2.5关闭，
XAKY1D404-A-09</t>
  </si>
  <si>
    <t>2021.2.26开通，XAKY1D301-G-09</t>
  </si>
  <si>
    <t>2021.3.9开通，XAKY1D303-E-16
XAKY1D303-E-17
XAKY1D303-E-18
XAKY1D303-E-19
XAKY1D303-F-02
XAKY1D303-F-03
XAKY1D303-F-04
XAKY1D303-F-05
XAKY1D303-F-06
XAKY1D303-F-07
XAKY1D303-F-09</t>
  </si>
  <si>
    <t>2021.3.16开通，XAKY1D303-D-06
XAKY1D303-D-07
XAKY1D303-D-08
XAKY1D303-D-09
XAKY1D303-F-08
XAKY1D303-F-10
XAKY1D303-F-11
XAKY1D303-F-12
XAKY1D303-F-13
XAKY1D303-F-14
XAKY1D303-F-15</t>
  </si>
  <si>
    <t>2021.3.17开通，XAKY1D303-G-14
XAKY1D303-F-16
XAKY1D303-F-17
XAKY1D303-G-12
XAKY1D303-G-13</t>
  </si>
  <si>
    <t>2021.3.18开通，XAKY1D303-G-15
XAKY1D303-G-16
XAKY1D303-G-17
XAKY1D303-G-18
XAKY1D303-G-19
XAKY1D303-H-01
XAKY1D303-H-02
XAKY1D303-H-03
XAKY1D303-H-04</t>
  </si>
  <si>
    <t>2021.3.20开通，XAKY1D301-G-10
XAKY1D301-G-11
XAKY1D301-H-03
XAKY1D303-A-01
XAKY1D303-C-01
XAKY1D303-E-01
XAKY1D303-H-05
XAKY1D303-H-06
XAKY1D303-H-07
XAKY1D303-H-08
XAKY1D303-H-09
XAKY1D303-H-10</t>
  </si>
  <si>
    <t>2021.3.29开通，XAKY1D303-E-02
XAKY1D303-E-03
XAKY1D303-E-04
XAKY1D303-E-05
XAKY1D303-E-06
XAKY1D303-E-07</t>
  </si>
  <si>
    <t>2021.3.31开通，XAKY1D303-G-02
XAKY1D303-G-03
XAKY1D303-G-04
XAKY1D303-G-05
XAKY1D303-G-06
XAKY1D303-G-07
XAKY1D303-G-08
XAKY1D303-G-09
XAKY1D303-G-10
XAKY1D303-G-11</t>
  </si>
  <si>
    <t>2021.4.16开通，XAKY1D304-A-01
XAKY1D304-A-02
XAKY1D304-A-03
XAKY1D304-A-04
XAKY1D304-A-05
XAKY1D304-A-06
XAKY1D304-A-07
XAKY1D304-A-08
XAKY1D304-B-01
XAKY1D304-B-02
XAKY1D304-B-03
XAKY1D304-B-04
XAKY1D304-B-05
XAKY1D304-B-06
XAKY1D304-B-07
XAKY1D304-B-08
XAKY1D304-B-09
XAKY1D304-B-10
XAKY1D304-C-01
XAKY1D304-C-02
XAKY1D304-C-03
XAKY1D304-C-04
XAKY1D304-C-05
XAKY1D304-C-06</t>
  </si>
  <si>
    <t>2021.4.22开通，XAKY1D303-E-14
XAKY1D303-E-15
XAKY1D303-E-10
XAKY1D303-E-11
XAKY1D303-E-12
XAKY1D303-E-13</t>
  </si>
  <si>
    <t>2021.6.4开通，XAKY1D405-A-02
XAKY1D405-A-03
XAKY1D405-A-04
XAKY1D405-A-05
XAKY1D405-A-06
XAKY1D405-A-07
XAKY1D405-A-08
XAKY1D405-A-09
XAKY1D405-A-10
XAKY1D405-A-11
XAKY1D405-A-12
XAKY1D405-A-13
XAKY1D405-A-14
XAKY1D405-A-15
XAKY1D405-A-16
XAKY1D405-A-17
XAKY1D405-A-18
XAKY1D405-A-19
XAKY1D405-B-02
XAKY1D405-B-03
XAKY1D405-B-04
XAKY1D405-B-05
XAKY1D405-B-06
XAKY1D405-B-07
XAKY1D405-B-08
XAKY1D405-B-09
XAKY1D405-B-10
XAKY1D405-B-11
XAKY1D405-C-03
XAKY1D405-C-04
XAKY1D405-B-12
XAKY1D405-B-13
XAKY1D405-B-14
XAKY1D405-B-15
XAKY1D405-B-16
XAKY1D405-B-17
XAKY1D405-B-18
XAKY1D405-C-05
XAKY1D405-C-06</t>
  </si>
  <si>
    <t>2021.7.17开通,
XAKY1D402-A-01
XAKY1D402-A-02
XAKY1D402-A-03</t>
  </si>
  <si>
    <t>2021.7.20关闭,
XAKY1D402-A-01
XAKY1D402-A-02
XAKY1D402-A-03</t>
  </si>
  <si>
    <t>2021.7.17开通,XAKY1D306-A-11
XAKY1D306-A-12
XAKY1D306-A-13
XAKY1D306-A-14
XAKY1D306-A-15
XAKY1D306-A-16
XAKY1D306-A-17
XAKY1D306-A-18
XAKY1D306-A-19
XAKY1D402-A-04
XAKY1D402-A-05
XAKY1D402-A-06
XAKY1D402-A-07
XAKY1D402-A-08
XAKY1D402-A-09
XAKY1D402-A-10
XAKY1D402-A-11
XAKY1D402-A-12
XAKY1D402-A-13
XAKY1D402-A-14</t>
  </si>
  <si>
    <t>2021.7.20开通,
XAKY1D304-H-14
XAKY1D304-H-15
XAKY1D304-H-16</t>
  </si>
  <si>
    <t>2021.8.20开通,
XAKY1D405-D-01
XAKY1D405-D-02
XAKY1D405-D-03
XAKY1D405-D-04</t>
  </si>
  <si>
    <t>2021.8.31开通,
XAKY1D405-D-05
XAKY1D405-D-06
XAKY1D405-D-07
XAKY1D405-D-08
XAKY1D405-D-09
XAKY1D405-D-10
XAKY1D405-D-11
XAKY1D405-D-12
XAKY1D405-D-13</t>
  </si>
  <si>
    <t>2021.9.22开通,XAKY1D306-D-03
XAKY1D306-D-04
XAKY1D306-D-05
XAKY1D306-D-06
XAKY1D306-D-07
XAKY1D306-D-08
XAKY1D306-D-09
XAKY1D306-D-10
XAKY1D306-D-11
XAKY1D306-D-12
XAKY1D306-D-13
XAKY1D306-D-14
XAKY1D306-D-15
XAKY1D306-D-16
XAKY1D306-D-17
XAKY1D306-D-18
XAKY1D306-E-01
XAKY1D306-E-02
XAKY1D306-E-03
XAKY1D306-E-04
XAKY1D306-E-05
XAKY1D306-E-06
XAKY1D306-E-07
XAKY1D306-E-08
XAKY1D306-E-09
XAKY1D306-E-10
XAKY1D306-E-11
XAKY1D306-E-12
XAKY1D306-E-13
XAKY1D306-E-14
XAKY1D306-E-15
XAKY1D306-E-16
XAKY1D306-E-17
XAKY1D306-E-18
XAKY1D306-E-19
XAKY1D306-F-02
XAKY1D306-F-03
XAKY1D306-F-04
XAKY1D306-F-05
XAKY1D306-F-06
XAKY1D306-F-07
XAKY1D306-F-08
XAKY1D306-F-09
XAKY1D306-F-10</t>
  </si>
  <si>
    <t>2021.9.23开通,XAKY1D306-F-11
XAKY1D306-F-12
XAKY1D306-F-13
XAKY1D306-F-14
XAKY1D306-G-01
XAKY1D306-G-02
XAKY1D306-G-03
XAKY1D306-G-04
XAKY1D306-G-05
XAKY1D306-G-06
XAKY1D306-G-07
XAKY1D306-G-08
XAKY1D306-G-09
XAKY1D306-G-10
XAKY1D306-G-11
XAKY1D306-G-12
XAKY1D306-G-13
XAKY1D306-G-14
XAKY1D306-G-15
XAKY1D306-G-16
XAKY1D306-G-17
XAKY1D306-G-18
XAKY1D306-G-19
XAKY1D306-H-01
XAKY1D306-H-02
XAKY1D306-H-03
XAKY1D306-H-04
XAKY1D306-H-05
XAKY1D306-H-06
XAKY1D306-H-07
XAKY1D306-H-08
XAKY1D306-H-09
XAKY1D306-H-10
XAKY1D306-H-11
XAKY1D306-H-12
XAKY1D306-H-13
XAKY1D306-H-14
XAKY1D306-H-15
XAKY1D306-H-16
XAKY1D306-H-17
XAKY1D306-H-18</t>
  </si>
  <si>
    <t>2021.9.24开通,
XAKY1D306-B-01
XAKY1D306-B-02
XAKY1D306-B-03
XAKY1D306-B-04
XAKY1D306-B-05
XAKY1D306-B-06
XAKY1D306-B-07
XAKY1D306-B-08
XAKY1D306-B-09
XAKY1D306-B-10
XAKY1D306-B-11
XAKY1D306-B-12
XAKY1D306-B-13
XAKY1D306-B-14
XAKY1D306-B-15
XAKY1D306-B-16
XAKY1D306-B-17
XAKY1D306-B-18
XAKY1D306-C-01
XAKY1D306-C-02
XAKY1D306-C-03
XAKY1D306-C-04
XAKY1D306-C-05
XAKY1D306-C-06
XAKY1D306-C-07
XAKY1D306-C-08
XAKY1D306-C-09
XAKY1D306-C-10
XAKY1D306-C-11
XAKY1D306-C-12
XAKY1D306-C-13
XAKY1D306-C-14
XAKY1D306-C-15
XAKY1D405-D-14
XAKY1D405-D-15
XAKY1D405-D-16
XAKY1D405-D-17
XAKY1D405-D-18
XAKY1D405-E-01
XAKY1D405-E-02
XAKY1D405-E-03
XAKY1D405-E-04
XAKY1D405-E-05
XAKY1D405-E-06
XAKY1D405-E-07
XAKY1D405-E-08
XAKY1D405-E-09
XAKY1D405-E-10
XAKY1D405-E-11
XAKY1D405-E-12
XAKY1D405-E-13
XAKY1D405-E-14
XAKY1D405-E-15
XAKY1D405-E-16
XAKY1D405-E-17
XAKY1D405-E-18
XAKY1D405-E-19
XAKY1D405-F-02
XAKY1D405-F-03
XAKY1D405-F-04
XAKY1D405-F-05
XAKY1D405-F-06
XAKY1D405-F-07
XAKY1D405-F-08
XAKY1D405-F-09
XAKY1D405-F-10
XAKY1D405-F-11
XAKY1D405-F-12
XAKY1D405-F-13
XAKY1D405-F-14
XAKY1D405-G-01
XAKY1D405-G-02
XAKY1D405-G-03
XAKY1D405-G-04
XAKY1D405-G-05
XAKY1D405-G-06
XAKY1D405-G-07
XAKY1D405-G-08
XAKY1D405-G-09
XAKY1D405-G-10
XAKY1D405-G-11</t>
  </si>
  <si>
    <t>2021.9.27开通,
XAKY1D304-D-01
XAKY1D304-D-02
XAKY1D304-D-03
XAKY1D304-D-04
XAKY1D304-D-05
XAKY1D304-D-06
XAKY1D304-D-07
XAKY1D304-D-08
XAKY1D304-D-09
XAKY1D304-D-10
XAKY1D304-D-11
XAKY1D304-D-12
XAKY1D304-D-13
XAKY1D304-D-14
XAKY1D304-D-15
XAKY1D304-D-16
XAKY1D304-D-17
XAKY1D304-D-18
XAKY1D304-D-19
XAKY1D304-E-02
XAKY1D304-E-03
XAKY1D304-E-04
XAKY1D304-E-05
XAKY1D304-E-06
XAKY1D304-E-07
XAKY1D304-E-08
XAKY1D304-E-09
XAKY1D304-E-10
XAKY1D304-E-11</t>
  </si>
  <si>
    <t>2021.9.29开通,
XAKY1D302-F-02
XAKY1D302-F-03
XAKY1D302-F-04
XAKY1D302-F-05
XAKY1D302-F-06
XAKY1D302-F-07
XAKY1D302-F-08
XAKY1D302-F-09
XAKY1D302-F-10
XAKY1D302-F-11
XAKY1D302-F-12
XAKY1D302-F-13
XAKY1D302-F-14
XAKY1D302-F-15
XAKY1D302-G-01
XAKY1D302-G-02
XAKY1D302-G-03
XAKY1D302-G-04
XAKY1D302-G-05
XAKY1D302-G-06
XAKY1D302-G-07
XAKY1D302-G-08
XAKY1D302-G-09
XAKY1D302-G-10
XAKY1D302-G-11
XAKY1D302-G-12
XAKY1D302-G-13
XAKY1D302-G-14
XAKY1D302-G-15
XAKY1D302-G-16
XAKY1D302-G-17
XAKY1D302-G-18
XAKY1D302-G-19
XAKY1D304-E-12
XAKY1D304-E-13
XAKY1D304-E-14
XAKY1D304-E-15
XAKY1D304-E-16
XAKY1D304-E-17
XAKY1D304-E-18
XAKY1D304-E-19
XAKY1D304-F-03
XAKY1D304-F-04
XAKY1D304-F-05
XAKY1D304-F-06
XAKY1D304-F-07
XAKY1D304-F-08
XAKY1D304-F-09
XAKY1D304-F-10
XAKY1D304-F-11
XAKY1D304-F-12
XAKY1D304-F-13
XAKY1D304-F-14
XAKY1D304-G-02
XAKY1D304-G-03
XAKY1D304-G-04
XAKY1D304-G-05
XAKY1D304-G-06
XAKY1D304-G-07
XAKY1D304-G-08
XAKY1D304-G-09
XAKY1D304-G-10
XAKY1D304-G-11
XAKY1D304-G-12
XAKY1D304-G-13
XAKY1D301-G-01
XAKY1D302-H-19
XAKY1D303-B-01
XAKY1D303-D-01
XAKY1D303-D-10
XAKY1D303-E-08
XAKY1D303-E-09
XAKY1D303-F-01
XAKY1D304-C-07
XAKY1D304-C-08
XAKY1D304-E-01
XAKY1D304-F-15
XAKY1D304-G-01
XAKY1D304-G-14
XAKY1D304-G-15
XAKY1D304-G-16
XAKY1D304-G-17
XAKY1D304-G-18
XAKY1D304-G-19
XAKY1D304-H-02
XAKY1D304-H-03
XAKY1D304-H-04
XAKY1D304-H-05
XAKY1D304-H-06
XAKY1D304-H-07
XAKY1D304-H-08
XAKY1D304-H-09
XAKY1D304-H-10
XAKY1D304-H-11
XAKY1D304-H-12
XAKY1D304-H-13
XAKY1D304-H-17
XAKY1D304-H-18
XAKY1D304-H-19
XAKY1D306-F-15
XAKY1D405-A-01
XAKY1D405-B-01
XAKY1D405-B-19
XAKY1D405-C-08
XAKY1D405-C-09
XAKY1D405-C-10
XAKY1D405-C-11
XAKY1D405-C-12
XAKY1D405-C-13
XAKY1D405-C-14
XAKY1D405-C-15
XAKY1D405-F-01</t>
  </si>
  <si>
    <t>2021.10.31开通,XAKY1D402-B-01
XAKY1D402-B-02
XAKY1D402-B-03
XAKY1D402-B-04
XAKY1D402-B-05</t>
  </si>
  <si>
    <t>2022.6.22开通,
XAKY1D305-B-05</t>
  </si>
  <si>
    <t>2022.7.14开通,
XAKY1D306-B-19</t>
  </si>
  <si>
    <t>XAKY1D305-B-11
XAKY1D305-B-12</t>
  </si>
  <si>
    <t>11月4日关电，运营商侧终止计费时间为10月31日，XAKY1D301-G-01
XAKY1D302-F-02
XAKY1D302-F-03
XAKY1D302-F-04
XAKY1D302-F-05
XAKY1D302-F-06
XAKY1D302-F-07
XAKY1D302-F-08
XAKY1D302-F-09
XAKY1D302-F-10
XAKY1D302-F-11
XAKY1D302-F-12
XAKY1D302-F-13
XAKY1D302-F-14
XAKY1D302-F-15
XAKY1D302-G-02
XAKY1D302-G-03
XAKY1D302-G-04
XAKY1D302-G-05
XAKY1D302-G-06
XAKY1D302-G-07
XAKY1D302-G-08
XAKY1D302-G-09
XAKY1D302-G-10
XAKY1D302-G-11
XAKY1D302-G-12
XAKY1D302-G-13
XAKY1D302-G-14
XAKY1D302-G-15
XAKY1D302-G-16
XAKY1D302-G-17
XAKY1D302-G-18
XAKY1D302-G-19
XAKY1D302-H-19
XAKY1D303-B-01
XAKY1D303-D-01
XAKY1D303-E-09
XAKY1D303-F-01
XAKY1D304-C-07
XAKY1D304-F-15
XAKY1D304-H-08
XAKY1D304-H-09
XAKY1D304-H-10
XAKY1D304-H-11
XAKY1D304-H-12
XAKY1D304-H-13
XAKY1D304-H-17
XAKY1D304-H-18
XAKY1D304-H-19
XAKY1D306-B-01
XAKY1D306-B-02
XAKY1D306-B-03
XAKY1D306-B-04
XAKY1D306-B-05
XAKY1D306-B-06
XAKY1D306-B-07
XAKY1D306-B-08
XAKY1D306-B-09
XAKY1D306-B-10
XAKY1D306-B-11
XAKY1D306-B-12
XAKY1D306-B-13
XAKY1D306-B-14
XAKY1D306-B-15
XAKY1D306-B-16
XAKY1D306-B-17
XAKY1D306-B-18
XAKY1D306-C-01
XAKY1D306-C-02
XAKY1D306-C-03
XAKY1D306-C-04
XAKY1D306-C-07
XAKY1D306-C-08
XAKY1D306-C-09
XAKY1D306-C-11
XAKY1D306-C-12
XAKY1D306-C-13
XAKY1D306-C-14
XAKY1D306-C-15
XAKY1D306-D-03
XAKY1D306-D-04
XAKY1D306-D-05
XAKY1D306-D-06
XAKY1D306-D-08
XAKY1D306-D-09
XAKY1D306-D-10
XAKY1D306-D-11
XAKY1D306-D-12
XAKY1D306-D-18
XAKY1D306-E-04
XAKY1D306-E-06
XAKY1D306-E-07
XAKY1D306-E-08
XAKY1D306-F-14
XAKY1D306-F-15
XAKY1D405-B-01
XAKY1D405-B-19
XAKY1D405-C-08
XAKY1D405-C-09
XAKY1D405-C-15
XAKY1D405-D-01
XAKY1D405-D-02
XAKY1D405-D-14
XAKY1D405-D-15
XAKY1D405-D-16
XAKY1D405-D-17
XAKY1D405-D-18
XAKY1D405-E-12
XAKY1D405-E-13
XAKY1D405-E-14
XAKY1D405-E-15
XAKY1D405-E-16
XAKY1D405-E-17
XAKY1D405-E-18
XAKY1D405-E-19
XAKY1D405-F-01
XAKY1D405-F-02
XAKY1D405-F-03
XAKY1D405-F-04
XAKY1D405-F-05
XAKY1D405-F-09
XAKY1D405-F-10
XAKY1D405-F-11
XAKY1D405-F-12
XAKY1D405-F-13
XAKY1D405-F-14
XAKY1D405-G-01
XAKY1D405-G-02
XAKY1D405-G-03
XAKY1D405-G-04
XAKY1D405-G-05
XAKY1D405-G-06
XAKY1D405-G-07
XAKY1D405-G-08
XAKY1D405-G-09
XAKY1D405-G-10
XAKY1D405-G-11</t>
  </si>
  <si>
    <t>XAKY1D306-D-17
XAKY1D405-A-01
XAKY1D405-E-01</t>
  </si>
  <si>
    <t>XAKY1D405-E-08
XAKY1D405-E-10
XAKY1D405-E-11</t>
  </si>
  <si>
    <t>XAKY超电流，暂按300A预估计提。除20A业务机柜之外，其他机柜均可能产生超电流费用。公式：(实际用电量-20A)*300；每月正预提</t>
  </si>
  <si>
    <t>L20221027006</t>
  </si>
  <si>
    <t>机架空置费：不足起租计划的机柜按正常价格的30%收取空置费</t>
  </si>
  <si>
    <t>IDCIP代播</t>
  </si>
  <si>
    <t>静态IPV4全球代播1个C</t>
  </si>
  <si>
    <t>陕西电信增加2个C的IP代播计费：
IP地址代播
106.12.253.0/24
106.12.254.0/24</t>
  </si>
  <si>
    <t>陕西电信2021.2.3增加2个C的IP代播计费</t>
  </si>
  <si>
    <t>中国电信股份有限公司西安分公司</t>
  </si>
  <si>
    <t>西安电信</t>
  </si>
  <si>
    <t>182115IDC00476</t>
  </si>
  <si>
    <t>西安-北京</t>
  </si>
  <si>
    <t>陕西电信XAKY机房-北京M1机房/北京KJY机房200G电路费用</t>
  </si>
  <si>
    <t>中国电信股份有限公司咸阳分公司</t>
  </si>
  <si>
    <t>咸阳电信</t>
  </si>
  <si>
    <t>182215IDC00616</t>
  </si>
  <si>
    <t>咸阳-北京</t>
  </si>
  <si>
    <t>A端：西咸新区中国电信陕西云基地
B端：北京朝阳区酒仙桥北路九号恒通国际创新园C12</t>
  </si>
  <si>
    <t>咸阳-山西</t>
  </si>
  <si>
    <t>2020/9/24开通，
A端：西咸新区中国电信陕西云基地
B端：山西省阳泉市开发区白路百度云计算中心</t>
  </si>
  <si>
    <t>咸阳-广州</t>
  </si>
  <si>
    <t>2020/12/11开通，
A端：西咸新区中国电信陕西云基地
B端：山西省阳泉市开发区白路百度云计算中心</t>
  </si>
  <si>
    <t>中国电信股份有限公司云计算（陕西）基地</t>
  </si>
  <si>
    <t>182215IDC00522</t>
  </si>
  <si>
    <t>西安二长</t>
  </si>
  <si>
    <t>西安电信2</t>
  </si>
  <si>
    <t>CDNXACT</t>
  </si>
  <si>
    <t>2015年6月 上线的 100G资源（XA2CT）使用的1 个机柜退租，编号XACT25F-5-08 ，下电时间 20190930</t>
  </si>
  <si>
    <t>西咸</t>
  </si>
  <si>
    <t>西安4电信</t>
  </si>
  <si>
    <t>CBUCDNXACT</t>
  </si>
  <si>
    <t>XA16F-C05-08
XA16F-C05-09
XA16F-C05-10
XA16F-C05-11
XA16F-C05-12
XA16F-C05-13</t>
  </si>
  <si>
    <t>春节扩容160G增加的5个机柜</t>
  </si>
  <si>
    <t>春节扩容160G增加的5个机柜于19.7.1下电4个；19.7.2下电1个，电流应为16A</t>
  </si>
  <si>
    <t>电流应为20A，19.7.9 XA4CT扩容240G增4个机柜，从7.2开始计费，XA4CT405-A-06, XA4CT405-A-07, XA4CT405-A-08, XA4CT405-A-09。</t>
  </si>
  <si>
    <t>10个16A机柜（原合同约定10个机架免费，从1901开始计费）</t>
  </si>
  <si>
    <t>边缘计算节点新建XA2CT，新增2个机柜XACT25F-5-04、XACT25F-5-05</t>
  </si>
  <si>
    <t>云-陕西电信</t>
  </si>
  <si>
    <t>西安3电信</t>
  </si>
  <si>
    <t>XACT3F-2-F08~XACT3F-2-F11</t>
  </si>
  <si>
    <t>XACT3F-2-F12~XACT3F-2-F14</t>
  </si>
  <si>
    <t>2022.5.31 XA3CT退租7个机柜（三线节点赠送）
XACT3F-2-F08
XACT3F-2-F09
XACT3F-2-F10
XACT3F-2-F11
XACT3F-2-F12
XACT3F-2-F13
XACT3F-2-F14</t>
  </si>
  <si>
    <t>西安电信二级</t>
  </si>
  <si>
    <t>XACT304-G-10~XACT304-G-16</t>
  </si>
  <si>
    <t>转移至陕西电信三线节点，免费8个机柜。XACT3F-2-F08、XACT3F-2-F09、XACT3F-2-F10、XACT3F-2-F11、XACT3F-2-F12、XACT3F-2-F13、XACT3F-2-F14、XACT304-G-10</t>
  </si>
  <si>
    <t>转移至陕西电信三线节点，免费6个机柜。
XACT304-G-16 
XA4CT405-A-05 
XA4CT405-A-06
 XA4CT405-A-07
 XA4CT405-A-08 
XA4CT405-A-09</t>
  </si>
  <si>
    <t>XA4CT节点，于2021.5.31退租3个20A机柜</t>
  </si>
  <si>
    <t>XA4CT节点，于2022.5.31退租5个机柜（三线节点赠送）
XA4CT405-A-05,
XA4CT405-A-09,
XA4CT405-A-08,
XA4CT405-A-07,
XA4CT405-A-06</t>
  </si>
  <si>
    <t>2022.4.30XA2CT节点退租3个16A机柜
XACT25F-5-03
XACT25F-6-11
XACT25F-6-12</t>
  </si>
  <si>
    <t>2022.8.6XA2CT节点退租7个16A机柜
XACT25F-5-10
XACT25F-5-11
XACT25F-6-03
XACT25F-6-06
XACT25F-6-07
XACT25F-6-08
XACT25F-6-09</t>
  </si>
  <si>
    <t>2022.8.10XA2CT节点退租1个16A机柜
XACT25F-5-02</t>
  </si>
  <si>
    <t>CDNIP</t>
  </si>
  <si>
    <t>免费赠送3968个IP。
CDN 117.34.37.0/24,117.34.38.0/24,219.144.104.0/27 共544   边缘计算：117.34.21.0/24  共256</t>
  </si>
  <si>
    <t>免费赠送3968个IP。
CDN 36.42.75.0/24,113.137.60.0/24,219.144.79.128/27 共544</t>
  </si>
  <si>
    <t>云自采-西安3电信</t>
  </si>
  <si>
    <t xml:space="preserve">免费赠送3968个IP
CDN 1.81.3.0/24,1.81.4.0/24,219.144.79.224/27  共544
</t>
  </si>
  <si>
    <t xml:space="preserve">XA3CT 2022.5.31退租544个IP
1.81.3.0/24,1.81.4.0/24,219.144.79.224/27  共544
</t>
  </si>
  <si>
    <t>免费赠送3968个IP
CDN  113.137.52.0/24,1.82.219.128/27 共288</t>
  </si>
  <si>
    <t>XA4CT 2022.5.31退租288个IP
113.137.52.0/24,1.82.219.128/27 共288</t>
  </si>
  <si>
    <t>SSL使用1024个（117.34.13.0/24，117.34.61.0/24，117.34.62.0/24，117.34.28.0/24）</t>
  </si>
  <si>
    <t>陕西新建三线，免费8个20A机柜，从西咸机房20A机柜中扣减。
XACT3F-2-F08、XACT3F-2-F09、XACT3F-2-F10、XACT3F-2-F11、XACT3F-2-F12、XACT3F-2-F13、XACT3F-2-F14、XACT304-G-10</t>
  </si>
  <si>
    <t>陕西新建三线，免费6个20A机柜，从西咸机房20A机柜中扣减。
XACT304-G-16 
XA4CT405-A-05 
XA4CT405-A-06
 XA4CT405-A-07
 XA4CT405-A-08 
XA4CT405-A-09</t>
  </si>
  <si>
    <t>XAIXCT</t>
  </si>
  <si>
    <t>陕西新建三线共免费544个（三线160G专项使用），2020/9/10新增544个IP（其中32个IP为灾备IP）；113.142.198.0/24 113.142.199.0/24
1.81.7.192/27</t>
  </si>
  <si>
    <t>陕西新建三线共免费544个，2021/1/22边缘计算新增256个IP：
113.142.208.0/24；新合同自2021.8.1开始免费</t>
  </si>
  <si>
    <t>XA2CT节点2022.8.6退租384个IP
117.34.37.128/25,117.34.38.0/24</t>
  </si>
  <si>
    <t>L20211115001</t>
  </si>
  <si>
    <t>IDCIP</t>
  </si>
  <si>
    <t>XAFJ-电信CDN</t>
  </si>
  <si>
    <t>IDC节点历史使用1024个IP地址（113.133.190.0/24
117.34.84.0/24
113.137.57.0/24
113.137.59.0/24）</t>
  </si>
  <si>
    <t>XAFJ-电信CDN节点，2022.7.23开通224个IP   113.137.52.0/25
113.137.52.128/26
113.137.52.192/27</t>
  </si>
  <si>
    <t>中国联合网络通信有限公司陕西省分公司</t>
  </si>
  <si>
    <t>陕西联通</t>
  </si>
  <si>
    <t>182015IDC00337</t>
  </si>
  <si>
    <t>CDNXAUN2</t>
  </si>
  <si>
    <t xml:space="preserve">陕西西安三级联通2021.4.16扩容80G，运营商赠送2个机柜，从7个收费机柜中减去2个XAUN22F-J-07、XAUN22F-J-06 </t>
  </si>
  <si>
    <t>陕西联通顺延合同，自2021.6.1开始赠送1个机柜
XAUN22F-J-05</t>
  </si>
  <si>
    <t>2022.4.30退租3个收费机柜。
XAUN22F-J-03
XAUN22F-J-02
XAUN22F-J-01</t>
  </si>
  <si>
    <t>2022.4.30退租2个免费机柜。
XAUN22F-J-06
XAUN22F-J-05</t>
  </si>
  <si>
    <t>2022.5.31退租1个免费机柜。
XAUN22F-J-07</t>
  </si>
  <si>
    <t>西安2联通</t>
  </si>
  <si>
    <t>免费赠送1056个,实际使用416(CDN288+BEC128)，超出50元/个/月。CDN：123.138.42.0/24 123.138.66.192/27    边缘计算：123.138.10.0/25</t>
  </si>
  <si>
    <t>2022.5.31退租416个IP
CDN：123.138.42.0/24 123.138.66.192/27    边缘计算：123.138.10.0/25</t>
  </si>
  <si>
    <t>西安2联通边缘计算节点新增1个机架，XAUN22F-J-04</t>
  </si>
  <si>
    <t>边缘计算2022.5.31退租1个机柜
XAUN22F-J-04</t>
  </si>
  <si>
    <t>XAIXUN</t>
  </si>
  <si>
    <t>西安三级联通</t>
  </si>
  <si>
    <t>陕西西安三级联通 增量80G完成业务测试，已于2020-09-10开始正式切流量上线，9.4开始计费。新增256个IP，免费288个IP：124.89.34.0/24</t>
  </si>
  <si>
    <t>陕西西安三级联通 ，边缘计算于2021-1-22开通256个IP地址123.138.124.0/24，运营商确认免费</t>
  </si>
  <si>
    <t>L20220530001</t>
  </si>
  <si>
    <t>XAFJ-CU-ST-1</t>
  </si>
  <si>
    <t>XAFJ-联通CDN</t>
  </si>
  <si>
    <t>经核实，目前在用IP960个，113.200.1.0/24，113.200.2.0/24，113.200.3.0/24，113.201.4.128/26，113.201.4.0/25，带宽量200G，XAFJ-联通IPv4地址每10G最多提供64个地址，免费512个，收费448，收费IP为113.200.3.0/24、113.201.4.128/26、113.200.4.0/25</t>
  </si>
  <si>
    <t xml:space="preserve">XAFJ-联通CDN节点，2022.7.25开通192个IP，收费。
113.201.4.0/25
113.201.4.128/26
</t>
  </si>
  <si>
    <t>经核实，XAFJ-联通IPv4地址每10G最多提供64个地址，目前使用960个，免费512，收费448个，113.200.3.0/24、113.201.4.128/26、113.200.4.0/25，</t>
  </si>
  <si>
    <t>XAFJ</t>
  </si>
  <si>
    <t>2021.5.1XAFJ联通CDN出口开通200G，开通5个C的IPV4免费；4个IPV6免费(113.200.[1-3].0/24
113.201.[1-2].0/24
)</t>
  </si>
  <si>
    <t>经核实，目前在用IP数为1792，113.200.143.0/24、113.200.186.0/24、123.138.159.0/24、123.138.160.0/24、123.138.161.0/24、123.138.225.0/24、106.12.252.0/24，带宽量200G，XAKY-联通IPv4地址每10G最多提供64个地址，免费512，收费1280个，收费为123.138.159.0/24、123.138.160.0/24、123.138.161.0/24、123.138.225.0/24、106.12.252.0/24</t>
  </si>
  <si>
    <t>2021.5.1XAFJ联通CDN出口开通200G，开通5个C的IPV4免费；4个IPV6免费(2408:8770:0000:0500::/56     
2408:8770:0000:0600::/56             
2408:8770:0000:0700::/56   
2408:8770:0000:0800::/56
)</t>
  </si>
  <si>
    <t>182015IDC00388</t>
  </si>
  <si>
    <t>XAKD-云托管（转售）</t>
  </si>
  <si>
    <t>从2020.4.1开始计费。
XAKD1D403-G-15、XAKD1D403-G-16、
XAKD1D403-G-17</t>
  </si>
  <si>
    <t>XAKD1D403-G-14</t>
  </si>
  <si>
    <t>XAKD1D403-G-12、
XAKD1D403-G-13</t>
  </si>
  <si>
    <t>XAKD1D403-G-10</t>
  </si>
  <si>
    <t>XAKD1D403-G-11</t>
  </si>
  <si>
    <t>XAKD1D403-G-09</t>
  </si>
  <si>
    <t>XAKD1D403-G-08</t>
  </si>
  <si>
    <t>XAKD1D403-G-07</t>
  </si>
  <si>
    <t>2020/9/2开通，9月计费29天：XAKD1D403-A-17</t>
  </si>
  <si>
    <t>2020.9.9关闭XAKD1D403-A-17</t>
  </si>
  <si>
    <t>2020/9/17开通，9月计费14天：XAKD1D403-A-17</t>
  </si>
  <si>
    <t>2020/9/23开通，9月计费8天：XAKD1D403-G-06</t>
  </si>
  <si>
    <t>XAKD-自用</t>
  </si>
  <si>
    <t>XAKD1D401-D-02、XAKD1D401-D-03、XAKD1D401-D-04、XAKD1D401-D-05、XAKD1D401-D-06、XAKD1D401-D-07、XAKD1D401-D-08、XAKD1D401-D-09、XAKD1D401-D-10、XAKD1D401-D-11、XAKD1D401-D-12、XAKD1D401-D-13、XAKD1D401-D-14、XAKD1D401-D-15、XAKD1D401-D-16、XAKD1D401-D-17、XAKD1D401-E-02、XAKD1D401-E-03、XAKD1D401-K-02、XAKD1D401-K-03、XAKD1D401-K-04、XAKD1D401-K-05、XAKD1D401-K-06、XAKD1D401-K-07、XAKD1D401-K-08、XAKD1D401-K-09、XAKD1D401-K-10、XAKD1D401-K-11、XAKD1D401-K-12、XAKD1D401-K-13、XAKD1D401-L-02、XAKD1D401-L-03、XAKD1D401-L-04、XAKD1D401-L-05、XAKD1D401-L-06、XAKD1D401-L-07、XAKD1D401-L-08、XAKD1D401-L-09、XAKD1D401-L-10、XAKD1D401-L-11、XAKD1D401-L-12、XAKD1D401-L-13、XAKD1D401-L-14、XAKD1D401-L-15、XAKD1D401-L-16、XAKD1D401-L-17、XAKD1D401-M-02、XAKD1D401-M-03、XAKD1D401-M-04、XAKD1D401-M-05、XAKD1D401-M-06、XAKD1D401-M-07、XAKD1D401-M-08、XAKD1D401-M-09、XAKD1D401-M-10、XAKD1D401-M-11、XAKD1D401-M-12、XAKD1D401-M-13、XAKD1D401-M-14、XAKD1D401-M-15、XAKD1D401-M-16、XAKD1D401-M-17、XAKD1D404-B-05、XAKD1D404-B-06、XAKD1D404-B-11、XAKD1D404-B-12、XAKD1D404-C-05、XAKD1D404-C-06、XAKD1D404-C-09、XAKD1D404-C-10、XAKD1D404-E-06、XAKD1D404-E-07、XAKD1D404-B-07、XAKD1D404-B-08、XAKD1D404-B-09、XAKD1D404-B-10、XAKD1D404-C-07、XAKD1D404-C-08、XAKD1D404-D-05、XAKD1D404-D-06、XAKD1D404-D-07、XAKD1D404-D-08、XAKD1D404-D-09、XAKD1D404-E-05、XAKD1D404-F-07、XAKD1D404-F-08、XAKD1D404-F-09、XAKD1D404-F-10、XAKD1D404-G-07、XAKD1D404-G-08、XAKD1D404-G-09、XAKD1D404-G-10、XAKD1D401-C-14、XAKD1D401-C-15、XAKD1D401-G-16、XAKD1D401-G-17、XAKD1D401-K-14、XAKD1D401-K-15、XAKD1D402-A-16、XAKD1D402-A-17、XAKD1D401-I-01、XAKD1D404-A-15</t>
  </si>
  <si>
    <t>XAKD1D401-E-04、XAKD1D401-E-05、XAKD1D401-E-06、XAKD1D401-E-07、XAKD1D401-E-08、XAKD1D401-E-09、XAKD1D401-E-10、XAKD1D401-E-11、XAKD1D401-G-14、XAKD1D401-G-15、XAKD1D401-I-14、XAKD1D401-I-15、XAKD1D401-J-14、XAKD1D401-J-15、XAKD1D401-J-16、XAKD1D401-J-17</t>
  </si>
  <si>
    <t>XAKD1D404-D-02、XAKD1D404-D-04、XAKD1D404-E-02、XAKD1D404-E-04、XAKD1D404-F-02、XAKD1D404-F-04、XAKD1D404-F-06、XAKD1D404-G-02、XAKD1D404-G-04、XAKD1D404-G-06</t>
  </si>
  <si>
    <t>2020/8/1开通。XAKD1D404-B-01、XAKD1D404-C-01、XAKD1D404-D-01、XAKD1D404-D-03、XAKD1D404-E-01、XAKD1D404-E-03、XAKD1D404-F-01、XAKD1D404-F-03、XAKD1D404-F-05、XAKD1D404-G-01、XAKD1D404-G-03、XAKD1D404-G-05</t>
  </si>
  <si>
    <t>XAKD1D401-E-12、XAKD1D401-E-13、XAKD1D401-E-14</t>
  </si>
  <si>
    <t>XAKD1D401-E-16、XAKD1D401-E-17</t>
  </si>
  <si>
    <t>XAKD1D401-J-12、XAKD1D401-J-13</t>
  </si>
  <si>
    <t>2020/9/30开通，计费1天。XAKD1D403-F-15、XAKD1D403-F-16、XAKD1D403-F-17</t>
  </si>
  <si>
    <t>2020/9/28开通，9月计费3天。
XAKD1D401-H-02、XAKD1D401-H-03、XAKD1D401-H-04、XAKD1D401-H-05、XAKD1D401-H-06、XAKD1D401-H-07、XAKD1D401-H-08、XAKD1D401-H-09、XAKD1D401-H-10、XAKD1D401-H-11、XAKD1D401-H-12、XAKD1D401-H-13、XAKD1D401-H-14、XAKD1D401-H-15</t>
  </si>
  <si>
    <t>2020/10/21开通，计费11天。XAKD1D401-G-02~12、XAKD1D401-J-10、XAKD1D401-J-11</t>
  </si>
  <si>
    <t>2020/10/12开通，计费20天。XAKD1D403-G-05</t>
  </si>
  <si>
    <t>2020/10/23开通，计费8天。XAKD1D403-G-04</t>
  </si>
  <si>
    <t>2020/11/23开通，XAKD1D401-H-16、XAKD1D401-H-17、XAKD1D401-I-02~XAKD1D401-I-13</t>
  </si>
  <si>
    <t>2020/12/1开通，XAKD1D401-F-08~15</t>
  </si>
  <si>
    <t>2020/12/4开通，XAKD1D401-F-02~07</t>
  </si>
  <si>
    <t>2020/12/22开通，XAKD1D403-F-01
XAKD1D403-F-02
XAKD1D403-G-2</t>
  </si>
  <si>
    <t>2020/12/25关闭，XAKD1D403-F-01
XAKD1D403-F-02</t>
  </si>
  <si>
    <t>2020/12/7开通，XAKD1D403-G-03</t>
  </si>
  <si>
    <t>2020/12/23关闭，XAKD1D403-G-05</t>
  </si>
  <si>
    <t>2020/12/24开通，XAKD1D403-F-03、XAKD1D403-F-04</t>
  </si>
  <si>
    <t>2020/12/29开通，XAKD1D403-G-05</t>
  </si>
  <si>
    <t>2021/1/6开通，XAKD1D401-E-15</t>
  </si>
  <si>
    <t>2021/1/18开通，XAKD1D403-G-01</t>
  </si>
  <si>
    <t>2021/1/26开通，XAKD1D403-A-15、XAKD1D403-A-16</t>
  </si>
  <si>
    <t>2021/1/25开通，XAKD1D403-B-16、XAKD1D403-B-17</t>
  </si>
  <si>
    <t>2021/1/28开通，XAKD1D403-F-01</t>
  </si>
  <si>
    <t>2021/1/29开通，XAKD1D401-B-09、XAKD1D401-B-07、XAKD1D401-C-12、XAKD1D401-B-11、XAKD1D401-B-13、XAKD1D401-B-15、XAKD1D401-B-17、XAKD1D401-G-13
XAKD1D401-A-02
XAKD1D401-A-03
XAKD1D401-A-04
XAKD1D401-A-05
XAKD1D401-A-06
XAKD1D401-A-07
XAKD1D401-A-08
XAKD1D401-A-09
XAKD1D401-A-10
XAKD1D401-A-11
XAKD1D401-A-12
XAKD1D401-A-13
XAKD1D401-A-14
XAKD1D401-A-15
XAKD1D401-A-16
XAKD1D401-A-17
XAKD1D401-B-02
XAKD1D401-B-03
XAKD1D401-B-04
XAKD1D401-B-05</t>
  </si>
  <si>
    <t>2021/1/30开通，
XAKD1D201-A-14、XAKD1D201-A-17、XAKD1D201-E-01、XAKD1D201-E-02、XAKD1D201-F-01、XAKD1D201-F-02、XAKD1D401-B-06、XAKD1D401-B-08、XAKD1D401-B-10、XAKD1D401-B-12、XAKD1D401-B-14、XAKD1D401-B-16、XAKD1D401-C-13、XAKD1D201-A-01~04、XAKD1D201-A-06、XAKD1D201-A-07、XAKD1D201-A-09、XAKD1D201-A-10、XAKD1D201-A-15、XAKD1D201-B-01~04、XAKD1D201-B-06、XAKD1D201-B-07、XAKD1D201-B-09、XAKD1D201-B-10、XAKD1D201-B-12、XAKD1D201-B-13、XAKD1D201-B-15、XAKD1D201-B-16、XAKD1D201-C-01~04、XAKD1D201-C-06、XAKD1D201-C-07、XAKD1D201-C-09、XAKD1D201-C-10、XAKD1D201-C-12、XAKD1D201-C-13、XAKD1D201-C-15、XAKD1D201-D-01~04、XAKD1D201-D-06、XAKD1D201-D-07、XAKD1D201-D-09、XAKD1D201-D-10、XAKD1D201-D-12、XAKD1D201-D-13、XAKD1D201-D-15、XAKD1D201-D-16、XAKD1D201-E-03~06、XAKD1D201-E-08、XAKD1D201-E-09、XAKD1D201-E-11、XAKD1D201-E-12、XAKD1D201-E-15、XAKD1D201-E-16、XAKD1D201-F-03、XAKD1D201-F-04、XAKD1D201-F-06、XAKD1D201-F-07、XAKD1D201-F-09、XAKD1D201-F-10、XAKD1D201-F-13、XAKD1D201-F-14、XAKD1D201-G-01、XAKD1D201-G-02</t>
  </si>
  <si>
    <t>2021/1/31开通，XAKD1D201-I-01~05</t>
  </si>
  <si>
    <t>2021/2/5开通,XAKD1D201-C-11、XAKD1D201-D-05、XAKD1D201-D-08、XAKD1D201-D-11、XAKD1D201-D-14</t>
  </si>
  <si>
    <t>2021/2/7开通,XAKD1D201-A-05、XAKD1D201-A-08、XAKD1D201-A-11~13、XAKD1D201-A-16、XAKD1D201-B-05、XAKD1D201-B-08、XAKD1D201-C-05、XAKD1D201-C-08、XAKD1D201-C-14、XAKD1D201-D-17、XAKD1D201-E-07、XAKD1D201-E-10、XAKD1D201-E-17、XAKD1D201-F-05、XAKD1D201-F-08、XAKD1D201-F-15</t>
  </si>
  <si>
    <t>2021/2/24开通,XAKD1D401-C-02、XAKD1D401-C-03、XAKD1D401-C-04、XAKD1D401-C-05</t>
  </si>
  <si>
    <t>2021/3/3开通,
XAKD1D201-B-11
XAKD1D201-B-14
XAKD1D201-B-17
XAKD1D201-E-13
XAKD1D201-E-14
XAKD1D201-F-11
XAKD1D201-F-12</t>
  </si>
  <si>
    <t>2021/3/27开通,XAKD1D403-F-02</t>
  </si>
  <si>
    <t>2021/3/29开通,
XAKD1D401-C-06
XAKD1D401-C-07
XAKD1D401-C-08
XAKD1D401-C-09
XAKD1D401-C-10</t>
  </si>
  <si>
    <t>2021/4/2开通,XAKD1D201-G-03
XAKD1D201-G-04
XAKD1D201-G-05
XAKD1D201-G-06</t>
  </si>
  <si>
    <t>2021/4/6开通,
XAKD1D201-G-07
XAKD1D201-G-08
XAKD1D201-G-09
XAKD1D201-G-10
XAKD1D201-G-11
XAKD1D201-G-12
XAKD1D402-B-16
XAKD1D402-B-17</t>
  </si>
  <si>
    <t>2021/4/7开通,XAKD1D402-A-12
XAKD1D402-A-13
XAKD1D402-A-14
XAKD1D402-A-15
XAKD1D402-B-12
XAKD1D402-B-13
XAKD1D402-B-14
XAKD1D402-B-15</t>
  </si>
  <si>
    <t>2021/4/7开通,XAKD1D403-B-01
XAKD1D403-B-02
XAKD1D403-B-03</t>
  </si>
  <si>
    <t>2021/4/12开通,XAKD1D403-B-04</t>
  </si>
  <si>
    <t>2021/4/14开通，XAKD1D403-C-01
XAKD1D403-C-02</t>
  </si>
  <si>
    <t>2021/4/15开通,
XAKD1D401-J-01
XAKD1D401-J-02
XAKD1D401-J-03
XAKD1D401-J-04
XAKD1D401-J-05
XAKD1D401-J-06
XAKD1D401-J-07
XAKD1D401-J-08
XAKD1D401-J-09
XAKD1D402-A-01
XAKD1D402-A-02
XAKD1D402-A-03
XAKD1D402-A-04
XAKD1D402-A-05
XAKD1D402-A-06
XAKD1D402-A-07
XAKD1D402-A-08
XAKD1D402-A-09</t>
  </si>
  <si>
    <t>2021/4/21开通,XAKD1D401-A-01
XAKD1D401-B-01
XAKD1D401-C-01
XAKD1D401-D-01
XAKD1D401-E-01
XAKD1D401-G-01
XAKD1D401-K-01
XAKD1D401-L-01
XAKD1D402-B-01
XAKD1D402-B-02
XAKD1D402-B-03
XAKD1D402-B-04
XAKD1D402-B-05
XAKD1D402-B-06
XAKD1D402-B-07
XAKD1D402-B-08
XAKD1D402-B-09</t>
  </si>
  <si>
    <t>2021/4/21开通,XAKD1D402-A-10
XAKD1D402-A-11</t>
  </si>
  <si>
    <t>2021/4/21开通XAKD1D403-B-05
XAKD1D403-B-06
XAKD1D403-B-07</t>
  </si>
  <si>
    <t>2021/4/22关闭，XAKD1D403-B-05
XAKD1D403-B-06
XAKD1D403-B-07</t>
  </si>
  <si>
    <t>2021/4/23开通，XAKD1D403-E-01
XAKD1D403-E-02
XAKD1D403-E-03
XAKD1D403-E-04
XAKD1D403-E-05
XAKD1D403-E-06
XAKD1D403-E-07
XAKD1D403-E-08
XAKD1D403-E-09
XAKD1D403-E-10
XAKD1D403-E-11
XAKD1D403-E-12
XAKD1D403-E-13
XAKD1D403-E-14
XAKD1D403-E-15</t>
  </si>
  <si>
    <t>2021/4/26开通，XAKD1D401-F-01</t>
  </si>
  <si>
    <t>2021/4/27开通，XAKD1D403-A-01
XAKD1D403-A-02
XAKD1D403-A-03
XAKD1D403-A-04
XAKD1D403-A-05
XAKD1D403-B-15</t>
  </si>
  <si>
    <t>2021/4/30开通，XAKD1D403-A-07
XAKD1D403-A-08
XAKD1D403-A-06</t>
  </si>
  <si>
    <t>2021/5/6开通，XAKD1D403-B-13
XAKD1D403-B-14</t>
  </si>
  <si>
    <t>2021/5/7开通，XAKD1D403-F-05
XAKD1D403-F-06
XAKD1D403-F-07
XAKD1D403-F-08
XAKD1D403-F-09
XAKD1D403-F-10
XAKD1D403-F-11
XAKD1D403-F-12
XAKD1D403-F-13
XAKD1D403-F-14</t>
  </si>
  <si>
    <t>2021/5/8开通，XAKD1D403-A-09
XAKD1D403-A-10
XAKD1D403-A-11
XAKD1D403-A-12
XAKD1D403-A-13
XAKD1D403-A-14</t>
  </si>
  <si>
    <t>2021/5/10开通，XAKD1D403-B-05
XAKD1D403-B-06
XAKD1D403-B-07
XAKD1D403-B-08</t>
  </si>
  <si>
    <t>2021/5/12开通，XAKD1D403-B-09
XAKD1D403-B-10
XAKD1D403-B-11
XAKD1D403-B-12</t>
  </si>
  <si>
    <t>2021/7/3开通，XAKD1D201-K-14
XAKD1D201-K-15
XAKD1D201-M-01</t>
  </si>
  <si>
    <t>2021/7/3开通，XAKD1D403-C-04
XAKD1D403-C-05
XAKD1D403-C-06
XAKD1D403-C-08
XAKD1D403-C-09
XAKD1D403-C-10
XAKD1D403-C-12
XAKD1D403-C-13
XAKD1D403-C-14
XAKD1D403-D-01
XAKD1D403-D-03
XAKD1D403-D-04
XAKD1D403-D-05
XAKD1D403-D-07
XAKD1D403-D-08
XAKD1D403-D-09
XAKD1D403-D-11
XAKD1D403-D-12
XAKD1D403-D-13
XAKD1D403-C-03
XAKD1D403-C-07
XAKD1D403-C-11
XAKD1D403-C-15
XAKD1D403-D-02
XAKD1D403-D-06
XAKD1D403-D-10
XAKD1D403-D-14</t>
  </si>
  <si>
    <t>2021/8/2开通，XAKD1D201-K-01
XAKD1D201-K-02
XAKD1D201-K-03
XAKD1D201-K-04
XAKD1D201-K-05</t>
  </si>
  <si>
    <t>2021/8/18开通，XAKD1D201-G-13
XAKD1D201-G-14
XAKD1D201-G-15
XAKD1D201-G-16
XAKD1D201-G-17</t>
  </si>
  <si>
    <t>2021/8/31开通，
XAKD1D403-D-15
XAKD1D403-D-16
XAKD1D403-D-17</t>
  </si>
  <si>
    <t>2021/8/31开通，XAKD1D201-L-01
XAKD1D201-L-02
XAKD1D201-L-03
XAKD1D201-L-04
XAKD1D201-L-05
XAKD1D201-L-06</t>
  </si>
  <si>
    <t>2021/11/10关闭，XAKD1D403-B-01
XAKD1D403-B-02
XAKD1D403-B-03
XAKD1D403-B-04
XAKD1D403-B-13
XAKD1D403-B-14
XAKD1D403-B-15
XAKD1D403-B-16
XAKD1D403-B-17</t>
  </si>
  <si>
    <t>2021/12/2开通，XAKD1D403-B-17</t>
  </si>
  <si>
    <t>2021/12/7开通，XAKD1D201-K-08
XAKD1D201-K-09
XAKD1D201-K-10
XAKD1D201-K-11
XAKD1D201-K-12
XAKD1D201-K-13
XAKD1D201-M-09
XAKD1D201-M-10
XAKD1D201-M-11
XAKD1D201-M-12
XAKD1D201-M-13</t>
  </si>
  <si>
    <t>2021/12/31关闭，XAKD1D403-F-05
XAKD1D403-F-06
XAKD1D403-F-07
XAKD1D403-F-08
XAKD1D403-F-09
XAKD1D403-F-10
XAKD1D403-F-11
XAKD1D403-F-12
XAKD1D403-F-13
XAKD1D403-F-14</t>
  </si>
  <si>
    <t>2022/1/11关闭，
XAKD1D403-B-06
XAKD1D403-B-07
XAKD1D403-B-08</t>
  </si>
  <si>
    <t>2022/2/10开通，XAKD1D403-B-02
XAKD1D403-B-03</t>
  </si>
  <si>
    <t>2022/2/14关闭，XAKD1D403-G-06</t>
  </si>
  <si>
    <t>2022/4/20关闭，XAKD1D403-B-05
XAKD1D403-E-05
XAKD1D403-E-06
XAKD1D403-E-07
XAKD1D403-E-08
XAKD1D403-E-09
XAKD1D403-E-10
XAKD1D403-E-11</t>
  </si>
  <si>
    <t>2022/4/25开通，XAKD1D201-H-01
XAKD1D201-H-02
XAKD1D201-H-03
XAKD1D201-H-04
XAKD1D201-H-05
XAKD1D201-H-06
XAKD1D201-H-07
XAKD1D201-H-08
XAKD1D201-H-09
XAKD1D201-H-10
XAKD1D201-H-11
XAKD1D201-H-12
XAKD1D201-H-13
XAKD1D201-I-06
XAKD1D201-I-07
XAKD1D201-I-08
XAKD1D201-I-09
XAKD1D201-I-10
XAKD1D201-I-11
XAKD1D201-I-12
XAKD1D201-I-13
XAKD1D201-I-14
XAKD1D201-I-15
XAKD1D201-J-01
XAKD1D201-J-02
XAKD1D201-J-03
XAKD1D201-J-04
XAKD1D201-J-05
XAKD1D201-J-06
XAKD1D201-J-07</t>
  </si>
  <si>
    <t>2022/4/27开通，
XAKD1D201-H-14
XAKD1D201-H-15
XAKD1D201-H-16
XAKD1D201-H-17
XAKD1D201-J-08
XAKD1D201-J-09
XAKD1D201-J-10
XAKD1D201-J-11
XAKD1D201-J-12
XAKD1D201-J-13
XAKD1D201-J-14
XAKD1D201-J-15
XAKD1D201-J-16
XAKD1D201-J-17</t>
  </si>
  <si>
    <t>2022/7/14开通，
XAKD1D403-E-05
XAKD1D403-E-06
XAKD1D403-E-07
XAKD1D403-F-07
XAKD1D403-F-08
XAKD1D403-F-09
XAKD1D403-F-10
XAKD1D403-F-11
XAKD1D403-F-12
XAKD1D403-F-13
XAKD1D403-F-14</t>
  </si>
  <si>
    <t>2022/7/14关闭，
XAKD1D403-F-13
XAKD1D403-F-14</t>
  </si>
  <si>
    <t>2022/7/15开通，
XAKD1D403-F-05
XAKD1D403-F-06</t>
  </si>
  <si>
    <t>XAKD1D201-H-01
XAKD1D201-H-15
XAKD1D201-H-16
XAKD1D201-J-01
XAKD1D201-J-02
XAKD1D201-J-03</t>
  </si>
  <si>
    <t>XAKD1D201-H-01</t>
  </si>
  <si>
    <t>XAKD1D404-D-08
XAKD1D404-F-07
XAKD1D404-F-08
XAKD1D404-F-09
XAKD1D404-G-07
XAKD1D404-G-08
XAKD1D404-G-09</t>
  </si>
  <si>
    <t>XAKD1D201-E-17
XAKD1D201-H-17</t>
  </si>
  <si>
    <t>XAKD1D201-E-17</t>
  </si>
  <si>
    <t>XAKD1D201-H-14</t>
  </si>
  <si>
    <t>L20221027005</t>
  </si>
  <si>
    <t>机架空置费：模块403,21年5月1日前，起租57个；22年5月1日前，起租103个；不足起租计划的机柜按正常价格的50%收取空置费</t>
  </si>
  <si>
    <t>182015IDC00319</t>
  </si>
  <si>
    <t>1个C</t>
  </si>
  <si>
    <t>XAKY IPv4 静态国内代播1个C，月固定费用5000</t>
  </si>
  <si>
    <t>陕西联通增加2个C的IP代播计费
XAKY IPv4 静态国内代播2个C，月固定费用5000*2</t>
  </si>
  <si>
    <t>陕西联通增加2个C的IP代播计费114.111.0.0/24，114.111.1.0/24</t>
  </si>
  <si>
    <t>陕西联通机房-陕西电信机房</t>
  </si>
  <si>
    <t>2020.9更新开始计费时间。陕西联通403机房-陕西电信205机房</t>
  </si>
  <si>
    <t>陕西联通404机房-陕西电信205机房</t>
  </si>
  <si>
    <t>陕西联通404机房-陕西电信园区光交箱</t>
  </si>
  <si>
    <t>中国联合网络通信有限公司西安市分公司</t>
  </si>
  <si>
    <t>西安联通</t>
  </si>
  <si>
    <t>182115IDC00341</t>
  </si>
  <si>
    <t>西安联通二级</t>
  </si>
  <si>
    <t>自22年8月起不收费，4个22A机柜，自2021.8.1开始计费</t>
  </si>
  <si>
    <t>自22年8月起不收费，2021.10.1扩容2个机柜，自2021.10.9中午12点整开始计费（赠送8.5天），开始计费日期只能选整天，故开始计费日期选择2021.10.10，正预提0.5天。
XAUNCACHE2FD01-L-14
XAUNCACHE2FD01-L-13</t>
  </si>
  <si>
    <t>L20220608004</t>
  </si>
  <si>
    <t>2022.5.7边缘计算新增2个机柜
BECXAUN-J-05，BECXAUN-J-06</t>
  </si>
  <si>
    <t>共使用416个，合同免费832个，2022.5.7新增边缘计算128个IP
113.200.109.0/25；依据合同每100G赠送256个IP，目前使用300G带宽，赠送768个IP，运营商已赠送832个免费IP，故本次扩容128个IP收费。</t>
  </si>
  <si>
    <t>陕西西安联通二级 增量160G、4个22A机柜、288个IP完成业务测试，已于2021-08-02开始正式切流量上线；合同约定赠送10天测试期，自2021.8.11开始计费；第一次运营商免费赠送544个IP，超出按50元/个/月
113.201.145.0/24 113.200.14.32/27</t>
  </si>
  <si>
    <t>中国移动通信集团陕西有限公司商洛分公司</t>
  </si>
  <si>
    <t>商洛移动</t>
  </si>
  <si>
    <t>L20221229036</t>
  </si>
  <si>
    <t>XAIXCM</t>
  </si>
  <si>
    <t>陕西新建三线，2020/9/10切量上线，，并开始计费。增256个IP，合同约定送288个，全部免费：
112.46.4.0/24
112.46.6.224/27</t>
  </si>
  <si>
    <t>2021.1.22</t>
  </si>
  <si>
    <t>陕西移动三线，每百G包含256个免费IPv4地址，不足百G按比例折算取整，共使用260G资源，2021.4.23开始共赠送668个，2021.4.22之前收费32个；自2021.4.23开始无收费（剩余可用免费IP124个）边缘计算2021.1.22开通256个IP：112.46.7.0/24</t>
  </si>
  <si>
    <t>中国移动通信集团陕西有限公司西安分公司</t>
  </si>
  <si>
    <t>西安移动</t>
  </si>
  <si>
    <t>L20221229034</t>
  </si>
  <si>
    <t>CDNXACM</t>
  </si>
  <si>
    <t>XACM节点2022.7.31退租5个机柜
XACM5F-K-06
XACM5F-K-05
XACM5F-K-04
XACM5F-K-03
XACM5F-K-02</t>
  </si>
  <si>
    <t>咸阳移动</t>
  </si>
  <si>
    <t>CDNXYCM</t>
  </si>
  <si>
    <t>咸阳移动2</t>
  </si>
  <si>
    <t>咸阳移动边缘计算节点新增2个机架，XYCM3F-E-09 XYCM3F-E-10</t>
  </si>
  <si>
    <t>咸阳2移动节点2022.5.17退租2个机柜XYCM3F-D-01，XYCM3F-D-03，转给BEC用XYCM3F-F-05，XYCM3F-B-05</t>
  </si>
  <si>
    <t>2022.5.19咸阳移动边缘计算节点新增2个机架，
XYCM3F-F-05
XYCM3F-B-05（2022.5.17CDN退租2个机柜，转让给BEC使用，并更换机柜编号）</t>
  </si>
  <si>
    <t>CDN460G使用IP共1632个，新合同全部免费；202003与SYS核实更新计提表，（西安移动544个111.20.252.160/27;111.20.242.0/24;111.20.243.0/24；</t>
  </si>
  <si>
    <t>XACM节点2022.7.31退租544个IP
111.20.242.0/24 111.20.243.0/24 111.20.252.160/27</t>
  </si>
  <si>
    <t>咸阳移动
咸阳移动2</t>
  </si>
  <si>
    <t>CDN460G使用IP共1632个，新合同全部免费；202003与SYS核实更新计提表，咸阳1088个111.19.220.0/24;111.19.218.0/24;111.19.221.224/27；咸阳2移动111.19.222.0/24;111.19.219.0/24;111.19.226.96/27；咸阳移动</t>
  </si>
  <si>
    <t>咸阳2</t>
  </si>
  <si>
    <t>2022.5.17 XY2CM节点退租128个IP
111.19.220.0/25</t>
  </si>
  <si>
    <t>182015IDC00002</t>
  </si>
  <si>
    <t>西安沣景</t>
  </si>
  <si>
    <t>布线柜，SYS确认在用，但未记录具体开通时间，按普通机柜最早的开通时间作为布线柜的开通时间
XAFJ2D404-A-03、XAFJ2D404-A-09、XAFJ2D404-B-03、XAFJ2D404-B-08、XAFJ2D404-C-01、XAFJ2D404-C-03、XAFJ2D404-C-08、XAFJ2D404-D-01、XAFJ2D404-D-03、XAFJ2D404-D-09、XAFJ2D404-E-01、XAFJ2D404-E-03、XAFJ2D404-F-01、XAFJ2D404-F-03</t>
  </si>
  <si>
    <t xml:space="preserve">202005 XAFJ2D403-G-17 核实为20A,减少个40A的计提数量，增减1个20A的计提数量
不足一个结算周期按实际天数/30天计算
XAFJ2D404-E-05、XAFJ2D404-E-06、XAFJ2D404-E-07、XAFJ2D404-E-08、XAFJ2D404-E-09、XAFJ2D404-E-10、XAFJ2D404-F-05、XAFJ2D404-F-06、XAFJ2D404-F-07、XAFJ2D404-F-08、XAFJ2D404-F-09、XAFJ2D404-F-10、XAFJ2D404-G-03、XAFJ2D404-G-04、XAFJ2D404-G-05、XAFJ2D404-G-13、XAFJ2D405-H-17、XAFJ2D403-G-17 </t>
  </si>
  <si>
    <t xml:space="preserve">202005 XAFJ2D403-G-17 核实为20A,减少个40A的计提数量，增减1个20A的计提数量。4月多计提部分在付款时冲销
不足一个结算周期按实际天数/30天计算
XAFJ2D404-E-11、XAFJ2D404-F-11、XAFJ2D405-B-01、XAFJ2D405-B-02、XAFJ2D405-F-01、XAFJ2D405-F-02、XAFJ2D405-F-03、XAFJ2D405-F-04、XAFJ2D402-A-16、XAFJ2D402-A-17、XAFJ2D402-D-16、XAFJ2D402-D-17、XAFJ2D402-H-01、XAFJ2D403-C-16、XAFJ2D403-C-17、XAFJ2D403-H-01、XAFJ2D403-H-02
运营商账单未体现XAFJ2D402-A-16、XAFJ2D402-A-17、XAFJ2D402-D-16、XAFJ2D402-D-17、XAFJ2D402-H-01、
</t>
  </si>
  <si>
    <t>不足一个结算周期按实际天数/30天计算
XAFJ2D404-A-05、XAFJ2D404-A-06、XAFJ2D404-D-05、XAFJ2D404-D-06</t>
  </si>
  <si>
    <t>核心机柜A第三年起：恢复原价；不足一个结算周期按实际天数/30天计算
XAFJ2D404-A-04、XAFJ2D404-B-04、XAFJ2D404-C-02、XAFJ2D404-C-04、XAFJ2D404-D-02、XAFJ2D404-D-04、XAFJ2D404-E-02、XAFJ2D404-E-04、XAFJ2D404-F-02、XAFJ2D404-F-04</t>
  </si>
  <si>
    <t>XAFJ2D405-A-16、XAFJ2D405-F-05、XAFJ2D405-F-07、XAFJ2D405-F-08</t>
  </si>
  <si>
    <t>XAFJ2D405-F-06、XAFJ2D405-F-09、XAFJ2D405-F-10</t>
  </si>
  <si>
    <t>XAFJ2D405-E-13、XAFJ2D405-E-14、
XAFJ2D405-E-15</t>
  </si>
  <si>
    <t>XAFJ2D405-D-01、XAFJ2D405-D-02、XAFJ2D405-D-03、XAFJ2D405-D-04、XAFJ2D405-D-05、XAFJ2D405-D-06、XAFJ2D405-D-07、XAFJ2D405-D-08、XAFJ2D405-D-09</t>
  </si>
  <si>
    <t>XAFJ2D405-D-10、XAFJ2D405-D-11、XAFJ2D405-D-12、XAFJ2D405-D-13、XAFJ2D405-D-14、XAFJ2D405-D-15、XAFJ2D405-D-16、XAFJ2D405-F-11、XAFJ2D405-F-12</t>
  </si>
  <si>
    <t>不足一个结算周期按实际天数/30天计算
XAFJ2D405-C-01、XAFJ2D405-C-02、XAFJ2D405-C-03、XAFJ2D405-C-04、XAFJ2D405-C-05、XAFJ2D405-C-06、XAFJ2D405-D-17、XAFJ2D405-G-01、XAFJ2D405-G-02、XAFJ2D405-G-03、XAFJ2D405-G-04、XAFJ2D405-G-05、XAFJ2D405-G-06、XAFJ2D405-G-07、XAFJ2D405-G-08、XAFJ2D405-G-09、XAFJ2D405-G-10、XAFJ2D405-G-11、XAFJ2D405-G-12、XAFJ2D405-G-13、XAFJ2D405-G-14、XAFJ2D405-G-15、XAFJ2D405-G-16、XAFJ2D405-G-17、XAFJ2D405-H-02、XAFJ2D405-H-03、XAFJ2D405-H-04、XAFJ2D405-H-05、XAFJ2D405-H-06、XAFJ2D405-H-07、XAFJ2D405-H-08、XAFJ2D405-H-09、XAFJ2D405-H-10、XAFJ2D405-H-11、XAFJ2D405-H-12</t>
  </si>
  <si>
    <t xml:space="preserve">不足一个结算周期按实际天数/30天计算
XAFJ2D405-F-13、XAFJ2D405-F-14、XAFJ2D405-F-15、XAFJ2D405-F-16
</t>
  </si>
  <si>
    <t xml:space="preserve">不足一个结算周期按实际天数/30天计算
XAFJ2D405-H-13
</t>
  </si>
  <si>
    <t>不足一个结算周期按实际天数/30天计算
XAFJ2D405-A-08、XAFJ2D405-A-09、XAFJ2D405-A-10、XAFJ2D405-A-11、XAFJ2D405-A-12、XAFJ2D405-A-13、XAFJ2D405-A-14、XAFJ2D405-A-15、XAFJ2D403-C-10、XAFJ2D403-C-11、XAFJ2D403-C-12、XAFJ2D403-C-13、XAFJ2D403-C-14、XAFJ2D403-C-15</t>
  </si>
  <si>
    <t xml:space="preserve">不足一个结算周期按实际天数/30天计算
XAFJ2D403-D-01、XAFJ2D403-D-02、XAFJ2D403-D-03、XAFJ2D403-D-04、XAFJ2D403-D-05、XAFJ2D403-D-06
</t>
  </si>
  <si>
    <t xml:space="preserve">不足一个结算周期按实际天数/30天计算
XAFJ2D405-E-01、XAFJ2D405-E-02、XAFJ2D405-E-03、XAFJ2D405-E-04
</t>
  </si>
  <si>
    <t xml:space="preserve">不足一个结算周期按实际天数/30天计算
XAFJ2D405-E-05、XAFJ2D405-E-06、XAFJ2D405-E-07、XAFJ2D405-E-08、XAFJ2D405-E-09、XAFJ2D405-A-01、XAFJ2D405-A-02、XAFJ2D405-A-03、XAFJ2D405-A-04、XAFJ2D405-A-05、XAFJ2D405-A-06、XAFJ2D405-A-07、XAFJ2D405-B-03、XAFJ2D405-B-04、XAFJ2D405-B-05、XAFJ2D405-B-06、XAFJ2D405-B-07、XAFJ2D405-B-08、XAFJ2D405-B-09、XAFJ2D403-C-07
</t>
  </si>
  <si>
    <t>不足一个结算周期按实际天数/30天计算
XAFJ2D403-D-07、XAFJ2D405-B-10、XAFJ2D405-B-11、XAFJ2D405-B-12、XAFJ2D405-B-13、XAFJ2D405-B-14、XAFJ2D405-B-15、XAFJ2D405-C-13、XAFJ2D405-C-14、XAFJ2D405-C-15、XAFJ2D405-C-16、XAFJ2D405-C-17</t>
  </si>
  <si>
    <t>不足一个结算周期按实际天数/30天计算
XAFJ2D405-A-17、XAFJ2D405-E-10、XAFJ2D405-E-11、XAFJ2D405-E-12、XAFJ2D405-F-17、XAFJ2D403-D-14、XAFJ2D403-D-15、XAFJ2D403-D-16、XAFJ2D403-D-17、XAFJ2D403-E-01、XAFJ2D403-E-02、XAFJ2D403-E-03、XAFJ2D403-E-04、XAFJ2D403-E-05、XAFJ2D403-E-06、XAFJ2D403-E-07、XAFJ2D403-E-08、XAFJ2D403-E-09、XAFJ2D403-E-10、XAFJ2D403-E-11、XAFJ2D403-E-12、XAFJ2D403-E-13、XAFJ2D403-E-14</t>
  </si>
  <si>
    <t>不足一个结算周期按实际天数/30天计算
XAFJ2D403-E-15、XAFJ2D403-E-16、XAFJ2D403-E-17、XAFJ2D403-F-01、XAFJ2D403-F-02、XAFJ2D403-F-03、XAFJ2D403-F-04、XAFJ2D403-F-05、XAFJ2D403-F-06、XAFJ2D403-F-07、XAFJ2D403-F-08、XAFJ2D403-F-09、XAFJ2D403-A-01、XAFJ2D403-A-02、XAFJ2D403-A-03、XAFJ2D403-A-04、XAFJ2D403-A-05、XAFJ2D403-A-06、XAFJ2D403-A-07、XAFJ2D403-A-08、XAFJ2D403-A-09、XAFJ2D403-A-10、XAFJ2D403-A-11、XAFJ2D403-A-12</t>
  </si>
  <si>
    <t>不足一个结算周期按实际天数/30天计算
XAFJ2D405-C-07、XAFJ2D405-C-08、XAFJ2D405-C-09、XAFJ2D405-C-10、XAFJ2D405-C-11、XAFJ2D403-A-13、XAFJ2D403-A-14、XAFJ2D403-A-15、XAFJ2D403-A-16、XAFJ2D403-A-17、XAFJ2D403-B-01、XAFJ2D403-B-02、XAFJ2D403-B-03、XAFJ2D403-B-04</t>
  </si>
  <si>
    <t>不足一个结算周期按实际天数/30天计算
XAFJ2D405-C-12、XAFJ2D403-C-08、XAFJ2D403-C-09、XAFJ2D403-B-05、XAFJ2D403-B-06、XAFJ2D403-B-07、XAFJ2D403-B-08、XAFJ2D403-B-09、XAFJ2D403-B-10、XAFJ2D403-B-11、XAFJ2D403-B-12、XAFJ2D403-B-13、XAFJ2D403-B-14、XAFJ2D403-B-15、XAFJ2D403-C-01、XAFJ2D403-C-02、XAFJ2D403-C-03、XAFJ2D403-C-04、XAFJ2D403-C-05、XAFJ2D403-C-06</t>
  </si>
  <si>
    <t xml:space="preserve">2020/5/7关闭，冲销整月费用。不足一个结算周期按实际天数/30天计算
XAFJ2D403-A-02、XAFJ2D403-A-12、XAFJ2D403-A-13、XAFJ2D403-A-14、XAFJ2D403-A-15、XAFJ2D403-A-16、XAFJ2D403-A-17、XAFJ2D403-B-01、XAFJ2D403-B-02、XAFJ2D403-B-03、XAFJ2D403-B-04、XAFJ2D403-C-10、XAFJ2D403-C-11、XAFJ2D403-C-12、XAFJ2D403-C-13、XAFJ2D403-C-14、XAFJ2D403-C-15、XAFJ2D403-D-01、XAFJ2D403-D-02、XAFJ2D403-D-03、XAFJ2D403-D-04、XAFJ2D403-D-05、XAFJ2D403-D-06、XAFJ2D403-D-07、XAFJ2D405-A-08、XAFJ2D405-A-09、XAFJ2D405-A-10、XAFJ2D405-A-11、XAFJ2D405-A-12、XAFJ2D405-A-13、XAFJ2D405-A-14、XAFJ2D405-A-15、XAFJ2D405-C-07、XAFJ2D405-C-08、XAFJ2D405-C-09、XAFJ2D405-C-10、XAFJ2D405-C-11、XAFJ2D405-E-13、XAFJ2D405-E-14
</t>
  </si>
  <si>
    <t>2020/5/19关闭，冲销整月费用。不足一个结算周期按实际天数/30天计算
XAFJ2D403-A-05、XAFJ2D403-B-05、XAFJ2D403-B-06、XAFJ2D403-B-07、XAFJ2D403-B-08、XAFJ2D403-B-09、XAFJ2D403-B-10、XAFJ2D403-B-11、XAFJ2D403-B-12、XAFJ2D403-B-13、XAFJ2D403-B-14、XAFJ2D403-B-15、XAFJ2D403-C-01、XAFJ2D403-C-02、XAFJ2D403-C-03、XAFJ2D403-C-04、XAFJ2D405-C-12、XAFJ2D403-C-07、XAFJ2D403-C-08、XAFJ2D403-C-09</t>
  </si>
  <si>
    <t>不足一个结算周期按实际天数/30天计算
XAFJ2D403-G-05、XAFJ2D403-G-06、XAFJ2D403-G-07</t>
  </si>
  <si>
    <t>不足一个结算周期按实际天数/30天计算
XAFJ2D403-G-08、XAFJ2D403-G-09、XAFJ2D403-G-10</t>
  </si>
  <si>
    <t>不足一个结算周期按实际天数/30天计算
XAFJ2D403-H-03、XAFJ2D403-H-04</t>
  </si>
  <si>
    <t>不足一个结算周期按实际天数/30天计算
XAFJ2D403-F-11、XAFJ2D403-F-12、XAFJ2D403-F-13、XAFJ2D405-H-14</t>
  </si>
  <si>
    <t>不足一个结算周期按实际天数/30天计算
XAFJ2D405-H-15</t>
  </si>
  <si>
    <t>XAFJ2D404-A-07、XAFJ2D404-A-08、XAFJ2D404-D-07、XAFJ2D404-D-08
运营商确认从7.1开始计费，不再补提6月2天的费用
不足一个结算周期按实际天数/30天计算</t>
  </si>
  <si>
    <t>XAFJ2D403-F-14、XAFJ2D403-F-17、XAFJ2D403-G-01、XAFJ2D403-G-02、XAFJ2D403-G-04
运营商确认从7.1开始计费，不再补提6月1天的费用
不足一个结算周期按实际天数/30天计算</t>
  </si>
  <si>
    <t>XAFJ2D403-F-15、XAFJ2D403-F-16、XAFJ2D403-G-03</t>
  </si>
  <si>
    <t>202008调整计提表：XAFJ2D402-H-01 2020.8.19SYS更新电流为20A，计提数量由14调整为13
XAFJ2D402-A-16、XAFJ2D402-A-17、XAFJ2D402-D-16、XAFJ2D402-D-17、XAFJ2D402-B-01、XAFJ2D402-B-02、XAFJ2D402-B-03、XAFJ2D402-B-04、XAFJ2D402-B-05、XAFJ2D402-B-06、XAFJ2D402-B-07、XAFJ2D402-B-08、XAFJ2D402-B-09</t>
  </si>
  <si>
    <t>202008调整计提表：XAFJ2D402-H-01 2020.8.19SYS更新电流为20A</t>
  </si>
  <si>
    <t>5个机架在2020Q2盘点时反馈现场为关闭，前期多计提已冲销：XAFJ2D402-A-16、XAFJ2D402-A-17、XAFJ2D402-D-16、XAFJ2D402-D-17、XAFJ2D402-H-01</t>
  </si>
  <si>
    <t>XAFJ2D403-A-02、XAFJ2D403-A-05、XAFJ2D403-A-12、XAFJ2D403-A-13、XAFJ2D403-A-14、XAFJ2D403-A-15、XAFJ2D403-A-16、XAFJ2D403-A-17、XAFJ2D403-B-01、XAFJ2D403-B-02、XAFJ2D403-B-03、XAFJ2D403-B-04、XAFJ2D403-B-05、XAFJ2D403-B-06、XAFJ2D403-B-07、XAFJ2D403-B-08、XAFJ2D403-B-09、XAFJ2D403-B-10、XAFJ2D403-B-11、XAFJ2D403-B-12、XAFJ2D403-B-13、XAFJ2D403-B-14、XAFJ2D403-B-15、XAFJ2D403-C-01、XAFJ2D403-C-02、XAFJ2D403-C-03、XAFJ2D403-C-04、XAFJ2D403-C-07、XAFJ2D403-C-08、XAFJ2D403-C-09、XAFJ2D403-C-13、XAFJ2D405-A-08、XAFJ2D405-A-09、XAFJ2D405-A-10、XAFJ2D405-A-11、XAFJ2D405-A-12、XAFJ2D405-A-13、XAFJ2D405-A-14、XAFJ2D405-A-15、XAFJ2D405-C-07、XAFJ2D405-C-08、XAFJ2D405-C-09、XAFJ2D405-C-10、XAFJ2D405-C-11、XAFJ2D405-C-12</t>
  </si>
  <si>
    <t>XAFJ2D405-E-13、XAFJ2D405-E-14</t>
  </si>
  <si>
    <t>不足一个结算周期按实际天数/30天计算
XAFJ2D405-E-16、XAFJ2D405-E-17</t>
  </si>
  <si>
    <t>2020/9/30开通，计费1天
XAFJ2D402-A-01、XAFJ2D402-A-02、XAFJ2D402-A-03、XAFJ2D402-A-04、XAFJ2D402-A-05、XAFJ2D402-A-06、XAFJ2D402-A-07
不足一个结算周期按实际天数/30天计算</t>
  </si>
  <si>
    <t>2020/10/21开通，计费10天,XAFJ2D403-G-16、XAFJ2D403-H-05~09
XAFJ2D402-A-01、XAFJ2D402-A-02、XAFJ2D402-A-03、XAFJ2D402-A-04、XAFJ2D402-A-05、XAFJ2D402-A-06、XAFJ2D402-A-07
不足一个结算周期按实际天数/30天计算</t>
  </si>
  <si>
    <t>2020/11/2开通，XAFJ2D404-B-07
不足一个结算周期按实际天数/30天计算</t>
  </si>
  <si>
    <t>2020/11/5开通，XAFJ2D404-B-06、XAFJ2D404-C-06
不足一个结算周期按实际天数/30天计算</t>
  </si>
  <si>
    <t>核心机柜A第三年起：恢复原价；2020/11/5开通，XAFJ2D404-A-02、XAFJ2D404-B-02
不足一个结算周期按实际天数/30天计算</t>
  </si>
  <si>
    <t>2020/11/26开通，XAFJ2D403-H-10~XAFJ2D403-H-16
不足一个结算周期按实际天数/30天计算</t>
  </si>
  <si>
    <t>2020/12/31开通，XAFJ2D402-A-08~13
不足一个结算周期按实际天数/30天计算</t>
  </si>
  <si>
    <t>2021/1/12开通，XAFJ2D402-G-01、XAFJ2D402-H-02~05
不足一个结算周期按实际天数/30天计算</t>
  </si>
  <si>
    <t>2021/1/13开通，XAFJ2D402-G-02
不足一个结算周期按实际天数/30天计算</t>
  </si>
  <si>
    <t>2021/1/18开通，XAFJ2D404-G-06~07
不足一个结算周期按实际天数/30天计算</t>
  </si>
  <si>
    <t>2021/1/28开通，XAFJ2D402-A-14
不足一个结算周期按实际天数/30天计算</t>
  </si>
  <si>
    <t>2021/2/5开通，XAFJ2D402-C-01
XAFJ2D402-C-02
XAFJ2D402-C-03
XAFJ2D402-C-04
XAFJ2D402-C-05
XAFJ2D402-D-01
XAFJ2D402-D-02
XAFJ2D402-D-03
XAFJ2D402-D-04
不足一个结算周期按实际天数/30天计算</t>
  </si>
  <si>
    <t>2021/3/17开通，运营商2021/3/23开通，XAFJ2D402-C-09
XAFJ2D402-C-10
XAFJ2D402-C-11
XAFJ2D402-D-08
XAFJ2D402-D-09
XAFJ2D402-D-10
XAFJ2D402-D-11
XAFJ2D402-G-07
XAFJ2D402-G-08
XAFJ2D402-H-06
XAFJ2D402-H-07
XAFJ2D402-H-08
XAFJ2D402-H-09
不足一个结算周期按实际天数/30天计算</t>
  </si>
  <si>
    <t>2021/3/19开通，运营商2021/3/23开通，XAFJ2D402-G-09
XAFJ2D402-G-10
XAFJ2D402-H-10
XAFJ2D402-H-11
不足一个结算周期按实际天数/30天计算</t>
  </si>
  <si>
    <t>2021/3/26开通，运营商2021/3/31开通，XAFJ2D402-B-10
XAFJ2D402-B-11
XAFJ2D402-B-12
XAFJ2D402-B-13
XAFJ2D402-B-14
XAFJ2D402-B-15
不足一个结算周期按实际天数/30天计算</t>
  </si>
  <si>
    <t>2021/3/29开通，运营商2021/3/31开通，XAFJ2D402-C-13
XAFJ2D402-C-12
XAFJ2D402-C-14
XAFJ2D402-C-15
XAFJ2D402-C-16
XAFJ2D402-C-17
XAFJ2D402-D-12
XAFJ2D402-D-13
XAFJ2D402-D-14
XAFJ2D402-D-15
XAFJ2D402-E-01
XAFJ2D402-E-02
XAFJ2D402-E-03
XAFJ2D402-E-04
XAFJ2D402-E-05
XAFJ2D402-E-06
XAFJ2D402-E-07
XAFJ2D402-E-08
XAFJ2D402-E-09
不足一个结算周期按实际天数/30天计算</t>
  </si>
  <si>
    <t>2021/3/30开通，运营商2021/3/31开通，XAFJ2D402-C-06
XAFJ2D402-C-07
XAFJ2D402-C-08
XAFJ2D402-D-07
不足一个结算周期按实际天数/30天计算</t>
  </si>
  <si>
    <t>2021/4/2开通，XAFJ2D403-G-11
XAFJ2D403-G-12
不足一个结算周期按实际天数/30天计算</t>
  </si>
  <si>
    <t>2021/4/4开通，XAFJ2D403-G-13
不足一个结算周期按实际天数/30天计算</t>
  </si>
  <si>
    <t>2021/4/7开通，XAFJ2D402-G-03
XAFJ2D402-G-04
XAFJ2D402-G-05
XAFJ2D402-G-06
不足一个结算周期按实际天数/30天计算</t>
  </si>
  <si>
    <t>2021/4/15开通，XAFJ2D403-C-10
XAFJ2D403-C-11
XAFJ2D403-C-12
XAFJ2D403-C-14
XAFJ2D403-C-15
XAFJ2D403-D-02
XAFJ2D403-D-03
XAFJ2D403-D-04
XAFJ2D403-D-05
XAFJ2D403-D-06
XAFJ2D403-D-07
XAFJ2D403-D-08
XAFJ2D403-D-09
XAFJ2D403-D-10
XAFJ2D403-D-11
XAFJ2D403-D-12
不足一个结算周期按实际天数/30天计算</t>
  </si>
  <si>
    <t>2021/4/20开通，
XAFJ2D305-B-01
XAFJ2D305-B-02
XAFJ2D305-F-01
XAFJ2D305-F-02
XAFJ2D402-D-05
XAFJ2D402-D-06
XAFJ2D403-D-13
不足一个结算周期按实际天数/30天计算</t>
  </si>
  <si>
    <t>2021/4/20开通，XAFJ2D305-H-17
不足一个结算周期按实际天数/30天计算</t>
  </si>
  <si>
    <t>2021/4/23开通，XAFJ2D402-E-10
XAFJ2D402-E-11
XAFJ2D402-E-12
XAFJ2D402-E-13
XAFJ2D402-E-14
XAFJ2D402-E-15
XAFJ2D402-E-16
XAFJ2D402-E-17
XAFJ2D402-F-01
XAFJ2D402-F-02
XAFJ2D402-F-03
XAFJ2D402-F-04
XAFJ2D402-F-05
XAFJ2D402-F-06
XAFJ2D402-F-07
XAFJ2D402-F-08
XAFJ2D402-F-09
XAFJ2D402-F-10
XAFJ2D402-F-11
不足一个结算周期按实际天数/30天计算</t>
  </si>
  <si>
    <t>2021/4/29开通，XAFJ2D305-C-03
XAFJ2D305-C-04
XAFJ2D305-C-05
XAFJ2D305-C-06
XAFJ2D305-C-07
XAFJ2D305-C-08
XAFJ2D305-C-09
XAFJ2D305-C-10
XAFJ2D305-C-11
XAFJ2D305-C-12
XAFJ2D305-C-13
XAFJ2D305-C-14
XAFJ2D305-C-15
XAFJ2D305-C-16
不足一个结算周期按实际天数/30天计算</t>
  </si>
  <si>
    <t>2021/4/30开通，XAFJ2D305-E-01
XAFJ2D305-E-02
XAFJ2D305-E-03
XAFJ2D305-E-04
XAFJ2D305-E-05
XAFJ2D305-E-06
XAFJ2D305-E-07
XAFJ2D305-E-08
XAFJ2D305-E-09
XAFJ2D305-E-10
XAFJ2D305-E-11
XAFJ2D305-E-12
XAFJ2D305-E-13
XAFJ2D305-E-14
XAFJ2D305-E-15
XAFJ2D305-E-16
XAFJ2D305-D-17
不足一个结算周期按实际天数/30天计算</t>
  </si>
  <si>
    <t>2021/5/6开通，XAFJ2D404-H-02
XAFJ2D404-G-01
XAFJ2D404-G-02
XAFJ2D404-H-04
XAFJ2D404-H-05
XAFJ2D404-H-06
XAFJ2D404-H-07
XAFJ2D404-H-08
XAFJ2D404-H-09
XAFJ2D404-H-11
XAFJ2D404-H-12
不足一个结算周期按实际天数/30天计算</t>
  </si>
  <si>
    <t>2021/5/6开通，XAFJ2D404-G-08
XAFJ2D404-G-09
XAFJ2D404-G-10
XAFJ2D404-G-11
不足一个结算周期按实际天数/30天计算</t>
  </si>
  <si>
    <t>2021/5/7开通，XAFJ2D404-H-03
不足一个结算周期按实际天数/30天计算</t>
  </si>
  <si>
    <t>2021/5/10开通，XAFJ2D405-H-16
XAFJ2D403-F-10
XAFJ2D403-G-14
XAFJ2D403-G-15
不足一个结算周期按实际天数/30天计算</t>
  </si>
  <si>
    <t>2021/5/11开通，XAFJ2D305-F-17
XAFJ2D305-G-02
XAFJ2D305-G-03
XAFJ2D305-G-04
XAFJ2D305-G-05
XAFJ2D305-G-06
不足一个结算周期按实际天数/30天计算</t>
  </si>
  <si>
    <t>2021/5/16开通，XAFJ2D402-G-11
XAFJ2D402-G-12
XAFJ2D402-G-13
XAFJ2D402-G-14
XAFJ2D305-D-11
XAFJ2D305-D-13
XAFJ2D305-D-14
XAFJ2D305-D-15
XAFJ2D305-D-16
不足一个结算周期按实际天数/30天计算</t>
  </si>
  <si>
    <t>2021/5/17开通，XAFJ2D305-F-15
不足一个结算周期按实际天数/30天计算</t>
  </si>
  <si>
    <t>2021/5/18开通，XAFJ2D402-F-12
XAFJ2D402-F-13
XAFJ2D402-F-14
XAFJ2D402-F-15
XAFJ2D402-F-16
不足一个结算周期按实际天数/30天计算</t>
  </si>
  <si>
    <t>2021/6/4开通，XAFJ2D305-G-07
XAFJ2D305-G-08
XAFJ2D305-G-09
XAFJ2D305-G-10
XAFJ2D305-G-12
不足一个结算周期按实际天数/30天计算</t>
  </si>
  <si>
    <t>2021/6/10开通，XAFJ2D305-G-01
XAFJ2D305-G-13
XAFJ2D305-G-14
XAFJ2D305-G-15
XAFJ2D305-G-16
XAFJ2D305-H-08
XAFJ2D305-H-09
XAFJ2D305-H-10
XAFJ2D305-H-11
XAFJ2D305-H-12
XAFJ2D305-H-13
XAFJ2D305-H-14
XAFJ2D305-H-15
XAFJ2D305-H-16
XAFJ2D305-H-06
不足一个结算周期按实际天数/30天计算</t>
  </si>
  <si>
    <t>2021/6/10开通，XAFJ2D404-B-05
XAFJ2D404-C-05
不足一个结算周期按实际天数/30天计算</t>
  </si>
  <si>
    <t>182115IDC00287</t>
  </si>
  <si>
    <t>XAFJ-云托管</t>
  </si>
  <si>
    <t>2021/6/21开通，
XAFJ2DJ202-E-23
不足一个结算周期按实际天数/30天计算</t>
  </si>
  <si>
    <t>2021/6/23开通，XAFJ2D401-B-16
XAFJ2D401-B-17
不足一个结算周期按实际天数/30天计算</t>
  </si>
  <si>
    <t>2021/6/23开通，
XAFJ2D401-A-01
不足一个结算周期按实际天数/30天计算</t>
  </si>
  <si>
    <t>2021/6/24开通，XAFJ2D401-D-16
XAFJ2D401-D-17
不足一个结算周期按实际天数/30天计算</t>
  </si>
  <si>
    <t>2021/7/3开通，XAFJ2D401-A-02
XAFJ2D401-A-03
XAFJ2D401-A-04
XAFJ2D401-A-05
XAFJ2D401-A-06
XAFJ2D401-A-07
XAFJ2D401-A-08
XAFJ2D401-A-09
XAFJ2D401-A-10
XAFJ2D401-A-11
XAFJ2D401-A-12
XAFJ2D401-A-13
不足一个结算周期按实际天数/30天计算</t>
  </si>
  <si>
    <t>2021/7/22开通，XAFJ2D402-A-15
不足一个结算周期按实际天数/30天计算</t>
  </si>
  <si>
    <t>2021/7/26开通，
XAFJ2DJ202-E-22
不足一个结算周期按实际天数/30天计算</t>
  </si>
  <si>
    <t>2021/8/2开通，XAFJ2D401-B-07
XAFJ2D401-B-08
XAFJ2D401-B-09
XAFJ2D401-B-10
XAFJ2D401-B-11
XAFJ2D401-B-12
XAFJ2D401-B-13
XAFJ2D401-B-14
XAFJ2D401-B-15
不足一个结算周期按实际天数/30天计算</t>
  </si>
  <si>
    <t>2021/8/20开通，XAFJ2D305-B-03
XAFJ2D305-B-04
XAFJ2D305-B-05
XAFJ2D305-B-06
XAFJ2D305-B-07
XAFJ2D305-B-08
XAFJ2D305-B-09
XAFJ2D305-B-11
XAFJ2D305-B-12
XAFJ2D305-B-13
XAFJ2D305-B-14
XAFJ2D305-B-15
XAFJ2D305-C-01
XAFJ2D305-C-02
XAFJ2D305-D-01
XAFJ2D305-D-02
XAFJ2D305-D-03
XAFJ2D305-D-04
XAFJ2D305-D-05
XAFJ2D305-D-06
XAFJ2D305-D-07
XAFJ2D305-D-08
XAFJ2D305-D-09
XAFJ2D305-D-10
XAFJ2D305-D-12
不足一个结算周期按实际天数/30天计算</t>
  </si>
  <si>
    <t>2021/8/30开通，
XAFJ2D401-B-01
XAFJ2D401-B-02
XAFJ2D401-B-03
XAFJ2D401-B-04
XAFJ2D401-B-05
XAFJ2D401-B-06
不足一个结算周期按实际天数/30天计算</t>
  </si>
  <si>
    <t>2021/9/9开通，
XAFJ2D404-C-07
不足一个结算周期按实际天数/30天计算</t>
  </si>
  <si>
    <t>2021/9/24开通，XAFJ2D404-B-09
XAFJ2D404-C-09
不足一个结算周期按实际天数/30天计算</t>
  </si>
  <si>
    <t>2021/9/6关闭，
XAFJ2DJ202-E-22
不足一个结算周期按实际天数/30天计算</t>
  </si>
  <si>
    <t>2021/9/26开通，
XAFJ2DJ202-E-21
XAFJ2DJ202-E-22
不足一个结算周期按实际天数/30天计算</t>
  </si>
  <si>
    <t>2021/10/14开通，XAFJ2D401-C-03
XAFJ2D401-C-04
XAFJ2D401-C-05
XAFJ2D401-C-06
XAFJ2D401-C-07
XAFJ2D401-C-08
XAFJ2D401-C-09
XAFJ2D401-C-10
XAFJ2D401-C-11
XAFJ2D401-C-12
XAFJ2D401-C-13
XAFJ2D401-C-14
XAFJ2D401-C-15
XAFJ2D401-C-16
XAFJ2D401-C-17
不足一个结算周期按实际天数/30天计算</t>
  </si>
  <si>
    <t>2021/10/28开通，XAFJ2D401-D-01
XAFJ2D401-D-02
XAFJ2D401-D-03
XAFJ2D401-D-04
XAFJ2D401-D-05
XAFJ2D401-D-06
XAFJ2D401-D-07
XAFJ2D401-D-08
XAFJ2D401-D-09
不足一个结算周期按实际天数/30天计算</t>
  </si>
  <si>
    <t>2021/10/29关闭，XAFJ2D402-G-02
不足一个结算周期按实际天数/30天计算</t>
  </si>
  <si>
    <t>2021/10/30关闭，XAFJ2D402-G-05
XAFJ2D402-G-06
XAFJ2D402-G-07
XAFJ2D402-G-08
XAFJ2D402-G-03
XAFJ2D402-G-04
XAFJ2D402-G-11
XAFJ2D402-G-12
XAFJ2D402-G-13
XAFJ2D402-G-14
XAFJ2D402-G-01
不足一个结算周期按实际天数/30天计算</t>
  </si>
  <si>
    <t>2021/11/16开通，
XAFJ2D401-D-10
XAFJ2D401-D-11
XAFJ2D401-D-12
XAFJ2D401-D-13
XAFJ2D401-D-14
XAFJ2D401-D-15
不足一个结算周期按实际天数/30天计算</t>
  </si>
  <si>
    <t>2021/11/22开通，
XAFJ2D401-E-01
XAFJ2D401-E-02
XAFJ2D401-E-03
XAFJ2D401-E-04
XAFJ2D401-E-05
XAFJ2D401-E-06
不足一个结算周期按实际天数/30天计算</t>
  </si>
  <si>
    <t>2021/11/25关闭，
XAFJ2D402-G-09
XAFJ2D402-G-10
XAFJ2D402-H-02
XAFJ2D402-H-03
XAFJ2D402-H-04
XAFJ2D402-H-05
XAFJ2D402-H-06
XAFJ2D402-H-07
XAFJ2D402-H-08
XAFJ2D402-H-09
XAFJ2D402-H-10
不足一个结算周期按实际天数/30天计算</t>
  </si>
  <si>
    <t>2021/12/6开通，
XAFJ2D402-H-12
XAFJ2D402-H-13
不足一个结算周期按实际天数/30天计算</t>
  </si>
  <si>
    <t>2021/12/24开通，
XAFJ2D401-E-07
XAFJ2D401-E-08
XAFJ2D401-E-09
XAFJ2D401-E-10
XAFJ2D401-E-11
XAFJ2D401-E-12
XAFJ2D401-E-13
XAFJ2D401-E-14
XAFJ2D401-E-15
XAFJ2D401-E-16
XAFJ2D401-E-17
不足一个结算周期按实际天数/30天计算</t>
  </si>
  <si>
    <t>2022/2/16开通，
XAFJ2D305-A-01
XAFJ2D305-A-02
XAFJ2D305-A-03
XAFJ2D305-A-04
XAFJ2D305-A-05
XAFJ2D305-A-06
XAFJ2D305-A-07
XAFJ2D305-A-08
XAFJ2D305-A-09
XAFJ2D305-A-10
XAFJ2D305-A-11
XAFJ2D305-A-12
XAFJ2D305-A-13
XAFJ2D305-A-14
XAFJ2D305-A-15
XAFJ2D305-A-16
XAFJ2D305-A-17
不足一个结算周期按实际天数/30天计算</t>
  </si>
  <si>
    <t>2022/5/16开通，
XAFJ2D305-B-10
XAFJ2D305-C-17
不足一个结算周期按实际天数/30天计算</t>
  </si>
  <si>
    <t>2022/8/10开通，
XAFJ2D404-G-12
不足一个结算周期按实际天数/30天计算</t>
  </si>
  <si>
    <t>XAFJ2D404-B-10
XAFJ2D404-C-10</t>
  </si>
  <si>
    <t>陕西西安移动二级节点正式上线  (XACMCACHE)，使用IDC机柜，
XAFJ2D305-F-11
XAFJ2D305-F-12
XAFJ2D305-F-13
XAFJ2D305-F-14</t>
  </si>
  <si>
    <t>XAFJ2D405-G-05
XAFJ2D405-G-06
XAFJ2D405-G-07
XAFJ2D405-G-08
XAFJ2D405-G-09
XAFJ2D405-G-10
XAFJ2D405-G-11
XAFJ2D405-G-12
XAFJ2D405-G-13
XAFJ2D405-G-14
XAFJ2D405-G-15
XAFJ2D405-G-16
XAFJ2D405-G-17
XAFJ2D405-H-02
XAFJ2D405-H-03
XAFJ2D405-H-04
XAFJ2D405-H-05
XAFJ2D405-H-06
XAFJ2D405-H-07
XAFJ2D405-H-08
XAFJ2D405-H-09
XAFJ2D405-H-10
XAFJ2D405-H-11
XAFJ2D405-H-16
XAFJ2D402-F-12
XAFJ2D402-F-13
XAFJ2D402-F-14
XAFJ2D402-F-15
XAFJ2D402-F-16
XAFJ2D403-F-10
XAFJ2D403-G-14
XAFJ2D401-A-05
XAFJ2D401-A-07
XAFJ2D401-A-11
XAFJ2D401-A-13</t>
  </si>
  <si>
    <t>XAFJ2D404-G-08
XAFJ2D404-G-09
XAFJ2D404-G-10
XAFJ2D404-G-11</t>
  </si>
  <si>
    <t>XAFJ2D401-A-04</t>
  </si>
  <si>
    <t>XAFJ2D402-H-11
XAFJ2D401-E-14</t>
  </si>
  <si>
    <t>XAFJ2D401-A-04
XAFJ2D401-C-01
XAFJ2D401-C-02</t>
  </si>
  <si>
    <t>XAFJ2D402-G-17
XAFJ2D402-H-14
XAFJ2D405-H-01</t>
  </si>
  <si>
    <t>XAFJ2D405-H-12
XAFJ2D405-H-13
XAFJ2D405-H-14
XAFJ2D405-H-15</t>
  </si>
  <si>
    <t>L20230328001</t>
  </si>
  <si>
    <t>西安沣景-二期</t>
  </si>
  <si>
    <t>XAFJ5D203-K-07
XAFJ5D203-K-08
XAFJ5D203-K-10
XAFJ5D203-K-11
XAFJ5D203-K-12
XAFJ5D203-K-13
XAFJ5D203-K-14
XAFJ5D203-K-15</t>
  </si>
  <si>
    <t>XAFJ5D203-K-02
XAFJ5D203-K-03</t>
  </si>
  <si>
    <t>XAFJ5D203-A-02
XAFJ5D203-A-03
XAFJ5D203-A-04
XAFJ5D203-A-09
XAFJ5D203-A-10
XAFJ5D203-B-11
XAFJ5D203-B-12
XAFJ5D203-C-11
XAFJ5D203-C-12
XAFJ5D203-D-02
XAFJ5D203-D-03
XAFJ5D203-D-04
XAFJ5D203-D-09
XAFJ5D203-D-10
XAFJ5D203-F-12
XAFJ5D203-J-02</t>
  </si>
  <si>
    <t>XAFJ5D203-K-04
XAFJ5D203-K-05
XAFJ5D203-K-06
XAFJ5D203-K-09</t>
  </si>
  <si>
    <t>XAFJ5D204-F-01
XAFJ5D204-G-01</t>
  </si>
  <si>
    <t>XAFJ5D204-M-13</t>
  </si>
  <si>
    <t>XAFJ5D204-E-02
XAFJ5D204-E-03
XAFJ5D204-E-04
XAFJ5D204-F-02
XAFJ5D204-F-03
XAFJ5D204-F-04
XAFJ5D204-G-03
XAFJ5D204-G-04
XAFJ5D204-G-05
XAFJ5D204-G-07
XAFJ5D204-G-08
XAFJ5D204-G-09
XAFJ5D204-G-12
XAFJ5D204-H-05
XAFJ5D204-H-06
XAFJ5D204-H-07
XAFJ5D204-H-14
XAFJ5D204-I-02
XAFJ5D204-J-05</t>
  </si>
  <si>
    <t>XAFJ5D204-G-10
XAFJ5D204-G-11</t>
  </si>
  <si>
    <t>XAFJ5D204-H-09
XAFJ5D204-H-10
XAFJ5D204-H-11</t>
  </si>
  <si>
    <t>XAFJ5D204-H-02
XAFJ5D204-H-13
XAFJ5D204-H-15</t>
  </si>
  <si>
    <t>暂定从2020/3/1开始计费</t>
  </si>
  <si>
    <t>2020/6/23陕西移动增加2个C的IP代播</t>
  </si>
  <si>
    <t>2020/1/1陕西移动增加2个C的IP代播</t>
  </si>
  <si>
    <t>西咸数据中心</t>
  </si>
  <si>
    <t>移动-电信1.12KM，2020.1.1开始计费</t>
  </si>
  <si>
    <t>移动-电信2.1KM，2020.1.1开始计费</t>
  </si>
  <si>
    <t>3芯</t>
  </si>
  <si>
    <t>移动-电信1.12KM，2020.3.1开始计费</t>
  </si>
  <si>
    <t>移动-电信2.1KM，2020.3.1开始计费</t>
  </si>
  <si>
    <t>移动-电信1.12KM，2020.4.1开始计费</t>
  </si>
  <si>
    <t>移动-电信2.1KM，2020.4.1开始计费</t>
  </si>
  <si>
    <t>移动-联通1.61KM，2020.10.1开始计费</t>
  </si>
  <si>
    <t>中国移动通信集团陕西有限公司汉中分公司</t>
  </si>
  <si>
    <t>汉中移动</t>
  </si>
  <si>
    <t>L20221027007</t>
  </si>
  <si>
    <t>CDN  IP</t>
  </si>
  <si>
    <t>西安 XACM</t>
  </si>
  <si>
    <t>西安移动二级</t>
  </si>
  <si>
    <t>CDNXACM2</t>
  </si>
  <si>
    <t>陕西西安移动二级新建300G2022-09-30节点正式上线  (XACMCACHE)，新增544个IP，111.20.254.0/24 111.20.255.0/24 111.20.255.0/27</t>
  </si>
  <si>
    <t>L20221130004</t>
  </si>
  <si>
    <t>112.46.6.160/27</t>
  </si>
  <si>
    <t>2409:8C70:3A10:0031::/123</t>
  </si>
  <si>
    <t>L20220826004</t>
  </si>
  <si>
    <t>XAFJ-移动CDN节点2022.7.23开通256个IP
111.20.248.0/24</t>
  </si>
  <si>
    <t>广西壮族自治区公众信息产业有限公司</t>
  </si>
  <si>
    <t>广西电信</t>
  </si>
  <si>
    <t>182215IDC00619</t>
  </si>
  <si>
    <t>南宁电信2</t>
  </si>
  <si>
    <t>CDNNNCT</t>
  </si>
  <si>
    <t>NNCT12F-206-12/13  NNCT12F-205-12/13</t>
  </si>
  <si>
    <t>桂林电信</t>
  </si>
  <si>
    <t>CDNGLCT</t>
  </si>
  <si>
    <t>GLCT5F-03-1，GLCT5F-03-2，GLCT5F-03-3，GLCT5F-03-4，GLCT5F-03-5</t>
  </si>
  <si>
    <t>需要注意20201031退租，GLCT5F-03-1，GLCT5F-03-2，GLCT5F-03-3，GLCT5F-03-4，GLCT5F-03-5</t>
  </si>
  <si>
    <t>南宁电信3</t>
  </si>
  <si>
    <t>NNCT10F-108-01，NNCT10F-108-02，NNCT10F-108-03，NNCT10F-108-04，NNCT10F-108-05，NNCT10F-108-06</t>
  </si>
  <si>
    <t>南宁4电信</t>
  </si>
  <si>
    <t>NNCT10F107-07-01，NNCT10F107-07-02，NNCT10F107-07-03，NNCT10F107-07-04，NNCT10F107-07-05，NNCT10F107-07-06，NNCT10F107-07-07</t>
  </si>
  <si>
    <t>南宁5电信</t>
  </si>
  <si>
    <t>CDNNNCT2</t>
  </si>
  <si>
    <t>20201109开始计费，NN5CT2F204-YH101-014、NN5CT2F204-YH101-015、NN5CT2F204-YH101-016</t>
  </si>
  <si>
    <t>NNCT10F-108-06,NNCT10F-108-05,NNCT10F-108-04,NNCT10F-108-02,NNCT10F-108-01,NNCT10F-108-03</t>
  </si>
  <si>
    <t>NN5CT2F204-YH101-014,NN5CT2F204-YH101-015,NN5CT2F204-YH101-016</t>
  </si>
  <si>
    <t>使用256个，免费256个</t>
  </si>
  <si>
    <t>新合同免费，注意历史计提；冲销新增32个IP，BD反馈先计费</t>
  </si>
  <si>
    <t>需要注意20201031退租</t>
  </si>
  <si>
    <t>使用1088，南宁2节点2019年11月30日退租512个。</t>
  </si>
  <si>
    <t>171.107.85.0/24 113.12.82.0/27</t>
  </si>
  <si>
    <t>116.253.62.0/24 113.16.205.192/27</t>
  </si>
  <si>
    <t>使用512，每G送8个，免费80个，收费432</t>
  </si>
  <si>
    <t>-</t>
  </si>
  <si>
    <t xml:space="preserve">在用：IPV6:240e:a5:4200:0100::/56  </t>
  </si>
  <si>
    <t xml:space="preserve">在用：IPV6:240E:A5:4100::/56 </t>
  </si>
  <si>
    <t>桂林</t>
  </si>
  <si>
    <t xml:space="preserve">在用：IPV6:240e:a7:b900:200::/64  </t>
  </si>
  <si>
    <t>周睿HI上确认同时IPV6退租，材料见表二</t>
  </si>
  <si>
    <t xml:space="preserve">在用：IPV6:240E:950:802:0002::/64 </t>
  </si>
  <si>
    <t>在用：240e:0950:0002:0014::/64</t>
  </si>
  <si>
    <t xml:space="preserve">边缘计算新增3个机柜，BECNN4CT-YH111-10（新增），BECNN4CT-YH111-11（新增），BECNN4CT-YH111-12（新增）
</t>
  </si>
  <si>
    <t>使用416，每G送8个，免费320，收费96</t>
  </si>
  <si>
    <t>合同预审，IP免费</t>
  </si>
  <si>
    <t>商务确认8月1日开始计费，为免费资源，边缘计算南宁电信网段扩容开通（CDNNNCT）,新增128个IP，222.216.231.128/25</t>
  </si>
  <si>
    <t>2022.6.30 NN4CT节点退租4个机柜
NNCT10F107-07-01
NNCT10F107-07-05
NNCT10F107-07-06
NNCT10F107-07-07</t>
  </si>
  <si>
    <t>NN4CT节点2022.9.8退租128个IP
171.107.86.128/25</t>
  </si>
  <si>
    <t>NN4CT节点2022.9.8退租1个机柜
NNCT10F107-07-03</t>
  </si>
  <si>
    <t>中国电信股份有限公司昆明分公司</t>
  </si>
  <si>
    <t>昆明电信</t>
  </si>
  <si>
    <t>182215IDC00466</t>
  </si>
  <si>
    <t>昆明4</t>
  </si>
  <si>
    <t>CDNKMCT2</t>
  </si>
  <si>
    <t>KM2CT3F-H-07、KM2CT3F-H-08、KM2CT3F-H-09、KM2CT3F-H-10，每2个万兆赠送1个机柜，自2018年11月15日起，所有机柜均为免费。多付了2个机柜自2018年11月15日至2019年4月30日期间的费用，在对账时予以抵扣；2022.5.1新合同开始机柜全部收费。</t>
  </si>
  <si>
    <t>昆明5</t>
  </si>
  <si>
    <t>CDNKMCT</t>
  </si>
  <si>
    <t>KM5CT1F-C-01、KM5CT1F-C-02、KM5CT1F-C-03、KM5CT1F-C-04，每2个万兆赠送1个机柜，自2018年11月15日起，所有机柜均为免费。多付了2个机柜自2018年11月15日至2019年4月30日期间的费用，在对账时予以抵扣；2022.5.1新合同开始机柜全部收费。</t>
  </si>
  <si>
    <t>BEC昆明电信退租信息（KM5CT），退租一个机柜KM5CT1F-C-03</t>
  </si>
  <si>
    <t>昆明6</t>
  </si>
  <si>
    <t>KM6CT1F-K-01、KM6CT1F-K-02、KM6CT1F-K-03、KM6CT1F-K-04、KM6CT1F-K-05、KM6CT1F-K-06、KM6CT1F-K-07、KM6CT1F-K-08，每2个万兆赠送1个机柜，自2018年11月15日起，所有机柜均为免费。多付了2个机柜自2018年11月15日至2019年4月30日期间的费用，在对账时予以抵扣；2022.5.1新合同开始机柜全部收费。</t>
  </si>
  <si>
    <t>KM6CT1F-K-08
KM6CT1F-K-07
KM6CT1F-K-06
KM6CT1F-K-05
KM6CT1F-K-01</t>
  </si>
  <si>
    <t>KM2CT3F-H-10
KM2CT3F-H-09
KM2CT3F-H-08
KM2CT3F-H-07</t>
  </si>
  <si>
    <t>KM5CT1F-C-01
KM5CT1F-C-02
KM5CT1F-C-04</t>
  </si>
  <si>
    <t>BECKMCT1F-D-6
BECKMCT1F-D-7
BECKMCT1F-D-8
BECKMCT1F-B-16</t>
  </si>
  <si>
    <t>需要注意2019年12月31日退租544个，共使用1600个，免费1408；自2022.5.1起，每10G提供32个IP，超出按50元/月/个收费。</t>
  </si>
  <si>
    <t xml:space="preserve"> IPv6地址3条/64</t>
  </si>
  <si>
    <t>昆明5电信</t>
  </si>
  <si>
    <t>240e:094c:0000:0102::/64</t>
  </si>
  <si>
    <t>240E:094C:0000:012A::/64</t>
  </si>
  <si>
    <t>KMCT1F-B-14
KMCT1F-B-15；2022.5.1新合同开始机柜全部收费。</t>
  </si>
  <si>
    <t>新合同约定机柜单价2083.33，KMCT1F-B-13；2022.5.1新合同开始机柜全部收费。</t>
  </si>
  <si>
    <t>边缘计算使用512个（BEC-KM5CT），116.55.253.128/25,116.55.254.128/25,182.242.136.0/24,；自2022.5.1起，每10G提供32个IP，超出按50元/月/个收费。</t>
  </si>
  <si>
    <t>CDN使用288个（KM6CT），182.242.54.0/24,182.242.139.128/27</t>
  </si>
  <si>
    <t>220.165.10.0/24；自2022.5.1起，每10G提供32个IP，超出按50元/月/个收费。</t>
  </si>
  <si>
    <t>182.242.136.0/24</t>
  </si>
  <si>
    <t>海南</t>
  </si>
  <si>
    <t>中国电信股份有限公司文昌分公司</t>
  </si>
  <si>
    <t>海口电信</t>
  </si>
  <si>
    <t>182215IDC00621</t>
  </si>
  <si>
    <t>海口2</t>
  </si>
  <si>
    <t>需要注意海南2合并至海南3电信，合同共赠送704个，使用288个免费</t>
  </si>
  <si>
    <t>海南2合并至海南3电信时候退租</t>
  </si>
  <si>
    <t>海口3</t>
  </si>
  <si>
    <t>合同共赠送800个ip，使用288个免费</t>
  </si>
  <si>
    <t>海口电信使用416个IP，每万兆带宽赠送 64 个 IPV4 地址，超出部分的 IPV4地址按 50 元/月/个收取，共赠送1024个</t>
  </si>
  <si>
    <t>CDNHKCT3</t>
  </si>
  <si>
    <t>2019年7月25日新增HK3CT5F-28-06，HK3CT5F-28-07，HK3CT5F-29-02，HK3CT5F-29-03</t>
  </si>
  <si>
    <t>HK3CT5F-29-02</t>
  </si>
  <si>
    <t>海口3电信</t>
  </si>
  <si>
    <t>HK3CT5F-29-3,HK3CT5F-29-7,HK3CT5F-29-8</t>
  </si>
  <si>
    <t>中国电信股份有限公司福建分公司</t>
  </si>
  <si>
    <t>福州电信</t>
  </si>
  <si>
    <t>L20220829006</t>
  </si>
  <si>
    <t>福州马尾机房</t>
  </si>
  <si>
    <t>CDNFZCT</t>
  </si>
  <si>
    <t xml:space="preserve">FZCT34F-IDF13-07
FZCT34F-IDF13-08
FZCT34F-IDF13-09
FZCT34F-IDF13-10
FZCT34F-IDF13-11
FZCT34F-IDF14-10
FZCT34F-IDF14-11
FZCT34F-IDF14-12
FZCT34F-IDF14-13
</t>
  </si>
  <si>
    <t>福州电信二级2022.8.31退租6个机柜
FZCT34F-IDF13-7
FZCT34F-IDF13-11
FZCT34F-IDF14-10
FZCT34F-IDF14-11
FZCT34F-IDF14-12
FZCT34F-IDF14-13</t>
  </si>
  <si>
    <t xml:space="preserve">CDNFZCT4F-14-07，CDNFZCT4F-14-08，CDNFZCT4F-14-09
</t>
  </si>
  <si>
    <t xml:space="preserve">SSL节点，2022.7.31退租3个机柜
CDNFZCT4F-14-07
CDNFZCT4F-14-08
CDNFZCT4F-14-09
</t>
  </si>
  <si>
    <t>厦门2电信</t>
  </si>
  <si>
    <t>CDNXMCT</t>
  </si>
  <si>
    <t>20190614正式计费。  XMCT2F01-B-17，XMCT2F01-B-18，XMCT2F01-B-19，XMCT2F01-B-20，XMCT2F01-B-21</t>
  </si>
  <si>
    <t>福州仓科机房</t>
  </si>
  <si>
    <t>福州电信SSL</t>
  </si>
  <si>
    <t>SSL在福州电信资源为1个万兆；1个C段IP；3个机柜，合同中赠送6208个免费IP，均为免费</t>
  </si>
  <si>
    <t>SSL节点，2022.7.31退租256个IP
117.27.149.0/24</t>
  </si>
  <si>
    <t>经SYS核查，该机柜转为边缘计算在用，CDN不再用，XMCT2F01-B-17</t>
  </si>
  <si>
    <t>边缘计算BECXMCT2F01-B-22</t>
  </si>
  <si>
    <t>福州电信二级</t>
  </si>
  <si>
    <t>使用288个，福州免费数量=20*64=1280</t>
  </si>
  <si>
    <t>福州电信二级2022.8.31退租128个IP
106.122.248.128/25</t>
  </si>
  <si>
    <t>使用288个，厦门免费数量=12*64=768</t>
  </si>
  <si>
    <t>边缘计算使用128个27.159.93.128/25</t>
  </si>
  <si>
    <t>边缘计算 BECXMCT2F01-B-17</t>
  </si>
  <si>
    <t>边缘计算使用128个27.159.76.128/25</t>
  </si>
  <si>
    <t>边缘计算BECXMCT2F01-B-16</t>
  </si>
  <si>
    <t xml:space="preserve">运营商侧确认以下资源开通时间5月12日，根据合同约定赠送15天测试期，计费开始时间5月27日。
本次边缘计算新增资源包括2个10A机柜，BECXMCT2F01-B-14（新增），BECXMCT2F01-B-15（新增）
</t>
  </si>
  <si>
    <t>XMCT2F01-B-21
XMCT2F01-B-18
XMCT2F01-B-19</t>
  </si>
  <si>
    <t>边缘计算使用128个27.159.70.128/25（新增）,商务确认免费</t>
  </si>
  <si>
    <t>中国联合网络通信有限公司广西壮族自治区分公司</t>
  </si>
  <si>
    <t>广西联通</t>
  </si>
  <si>
    <t>L20230223004</t>
  </si>
  <si>
    <t>CDNNNUN</t>
  </si>
  <si>
    <t>收费1个NN2UN1F-C-09</t>
  </si>
  <si>
    <t>南宁2</t>
  </si>
  <si>
    <t>免费4个NN2UN1F-C-06、NN2UN1F-C-07、NN2UN1F-C-08、NN2UN1F-C-10</t>
  </si>
  <si>
    <t>sys反馈南宁2使用160个，南宁3使用160个，南宁2&amp;南宁3共免费提供448个，超出部分按35元/个/月</t>
  </si>
  <si>
    <t>合同条款：联通提供IPV6地址地址[2 ]段/64，其中免费[2 ]个/64</t>
  </si>
  <si>
    <t>南宁3</t>
  </si>
  <si>
    <t>南宁3联通</t>
  </si>
  <si>
    <t>广西联通新增边缘计算两个机柜，经商务确认，1个计费，一个免费，BECNN3UNVIP4-C-11，BECNN3UNVIP4-C-12</t>
  </si>
  <si>
    <t>L20220119001</t>
  </si>
  <si>
    <t>BECNN3UNVIP4-C-14</t>
  </si>
  <si>
    <t>广西联通新增边缘计算128个IP，211.97.91.0/25（新增），经商务确认，不计费</t>
  </si>
  <si>
    <t>商务确认8月1日开始计费，边缘计算南宁联通网段扩容开通（CDNNNUN），单价17.5,，新增128个IP，211.97.91.128/25</t>
  </si>
  <si>
    <t>211.97.86.0/25</t>
  </si>
  <si>
    <t>中国联合网络通信有限公司福州市分公司</t>
  </si>
  <si>
    <t>福州联通</t>
  </si>
  <si>
    <t>182015IDC00159</t>
  </si>
  <si>
    <t>CDNFZUN</t>
  </si>
  <si>
    <t>需要注意2020年2月开始共使用3个，每个万兆送一个，免费2个，收费1个。福州联通扩容80G资源，自2019年6月26日开始计费，存量和扩容的所有机架全部自2019年6月26日开始免费</t>
  </si>
  <si>
    <t>实际用7个，一个万兆送一个机柜。目前在用剩余共8个，IDC5 H02
IDC5 H03
IDC5 H04
IDC5 H05
IDC5 H06
长乐首占IDC1 C01
长乐首占IDC1 C02
长乐首占IDC1 C03</t>
  </si>
  <si>
    <t>云-福州</t>
  </si>
  <si>
    <t>CDNFZUN2</t>
  </si>
  <si>
    <t>福州联通扩容80G资源，自2019年6月26日开始计费，存量和扩容的所有机架全部自2019年6月26日开始免费，实际使用2个</t>
  </si>
  <si>
    <t>福州3联通</t>
  </si>
  <si>
    <t xml:space="preserve">实际用3个，一个万兆送一个机柜。其中2020年4月21日开始FZ3UN5FIDC1-C-01，FZ3UN5FIDC1-C-03由CDN业务转换为边缘计算业务BECFZ3UN5FIDC1-C-01,BECFZ3UN5FIDC1-C-03
</t>
  </si>
  <si>
    <t>退租IDC5 F07，IDC5 F08，长乐首占IDC1 C04，长乐首占IDC1 C05</t>
  </si>
  <si>
    <t>退租IDC5 G05，IDC5 G06</t>
  </si>
  <si>
    <t>需要注意2020年1月31日退租5个，FZUN4F-H-02、FZUN4F-H-03、FZUN4F-H-04、FZUN4F-H-05、FZUN4F-H-06</t>
  </si>
  <si>
    <t xml:space="preserve"> CDNFZUN2</t>
  </si>
  <si>
    <t>2020409CDN业务下架FZ3UN5FIDC1-C-01，FZ3UN5FIDC1-C-03替换成边缘计算BECFZ3UN5FIDC1-C-01，BECFZ3UN5FIDC1-C-03</t>
  </si>
  <si>
    <t>20191031退租。免费512个，与原合同合计赠送768个，超出部分按35元/个/月</t>
  </si>
  <si>
    <t>ip共288个，收费32个，免费256个,其中20200420CDN关闭128个ip转为边缘计算</t>
  </si>
  <si>
    <t>边缘计算，202007更新信息：20190420CDN退租128个转为边缘计算128个</t>
  </si>
  <si>
    <t>合同条款：IPV6:联通提供IPV6地址地址[1 ]个/60，其中免费[ 1]个/60，收费[ 0]个/60</t>
  </si>
  <si>
    <t>边缘计算BECFZ3UN5FIDC1-C-04（</t>
  </si>
  <si>
    <t>边缘计算128个</t>
  </si>
  <si>
    <t>中国联合网络通信有限公司海南省分公司</t>
  </si>
  <si>
    <t>海口联通</t>
  </si>
  <si>
    <t>182115IDC00393</t>
  </si>
  <si>
    <t>海南海口</t>
  </si>
  <si>
    <t>CDNHKUN</t>
  </si>
  <si>
    <t>7月25日流量计费，机架自然月结算</t>
  </si>
  <si>
    <t>共使用160个,免费288个，113.59.46.0/25;153.0.192.64/27</t>
  </si>
  <si>
    <t>中国联合网络通信有限公司云南省分公司</t>
  </si>
  <si>
    <t>云南联通</t>
  </si>
  <si>
    <t>182115IDC00367</t>
  </si>
  <si>
    <t>实际使用3个（HKUN4F-B-08-10），超出部分按4000元/个/月。服务起始日不是在当月的首日，则按照月租费×12个月÷365天</t>
  </si>
  <si>
    <t>新合同7月1日开始，预审中，机柜使用3个，赠送1个，超出3000元／个／月，收费2个</t>
  </si>
  <si>
    <t>CDNKMUN</t>
  </si>
  <si>
    <t>赠送256个IP地址，使用256个，新合同182015IDC00338内约定的剩余IP未使用</t>
  </si>
  <si>
    <t>182115IDC00293</t>
  </si>
  <si>
    <t>昆明4联通</t>
  </si>
  <si>
    <t>CDNKMUN3</t>
  </si>
  <si>
    <t>新建节点增加机柜，商务确认实际为28A机柜，KM3UN3FN-DW-3、KM3UN3FN-DW-2、KM3UN3FN-DW-1</t>
  </si>
  <si>
    <t>经商务确认，新增KM4UN节点赠送2个C，180.130.118.0/24， 180.130.126.0/27</t>
  </si>
  <si>
    <t xml:space="preserve">新增边缘计算，BECKM3UN3FN-DW-04、BECKM3UN3FN-DW-05
</t>
  </si>
  <si>
    <t>新增边缘计算，经商务确认，新增KM4UN节点赠送2个C，180.130.126.128/25</t>
  </si>
  <si>
    <t>商务确认计费时间为8月12日，云南昆明联通边缘计算节点扩容（KM4UN），新增机柜BECKM3UN3FN-DW-06，</t>
  </si>
  <si>
    <t>商务确认计费时间为8月12日，与之前免费的2个C不通用，为收费，每个50元，云南昆明联通边缘计算节点扩容（KM4UN），新增128个IP，180.130.122.128/25</t>
  </si>
  <si>
    <t>2022.11.9退租128个IP，180.130.118.128/25</t>
  </si>
  <si>
    <t>昆明5联通</t>
  </si>
  <si>
    <t>CDNKMUN4</t>
  </si>
  <si>
    <t>KM5UN节点，边缘计算新增1个机柜，2022.9.1开始计费</t>
  </si>
  <si>
    <t>23年1月31日KM5UN整节点退租</t>
  </si>
  <si>
    <t>KM5UN节点，边缘计算新增128个IPV4，2022.9.1开始计费
14.204.137.128/25</t>
  </si>
  <si>
    <t>KM5UN节点，2022.9.2边缘计算新增1段IPV6
2408:876C:0080:0120::/60</t>
  </si>
  <si>
    <t>中国移动通信集团海南有限公司</t>
  </si>
  <si>
    <t>海口移动</t>
  </si>
  <si>
    <t>L20221228010</t>
  </si>
  <si>
    <t>海口</t>
  </si>
  <si>
    <t>CDNHKCM</t>
  </si>
  <si>
    <t>HK2CM4F-F-02、HK2CM4F-F-01</t>
  </si>
  <si>
    <t>海口3移动</t>
  </si>
  <si>
    <t>使用288个，运营商不计费，计提0</t>
  </si>
  <si>
    <t>HK3CM4F-F-03、HK3CM4F-F-04</t>
  </si>
  <si>
    <t>边缘计算BECHK3CM4F-F-05</t>
  </si>
  <si>
    <t>HK2CM4F-F-02,HK2CM4F-F-01</t>
  </si>
  <si>
    <t>边缘计算使用128个111.29.44.0/25，合同内共赠送288</t>
  </si>
  <si>
    <t>海口2移动</t>
  </si>
  <si>
    <t>CDN使用160个，合同内共赠送288个</t>
  </si>
  <si>
    <t>111.29.23.0/25 111.29.23.128/27</t>
  </si>
  <si>
    <t>HK3CM节点2022.8.10退租1个机柜
HK3CM4F-F-04</t>
  </si>
  <si>
    <t>HK3CM节点2022.8.10退租128个IP
111.29.34.128/25</t>
  </si>
  <si>
    <t>中国移动通信集团福建有限公司福州分公司</t>
  </si>
  <si>
    <t>福州移动</t>
  </si>
  <si>
    <t>L20221228012</t>
  </si>
  <si>
    <t>CDNFZCM</t>
  </si>
  <si>
    <t>新合同181915IDC00179 2019年6月25日开始生效，合同约定赠送5个。sys已核对我方使用8个（FZ2CM2F-F-06
FZ2CM2F-F-07
FZ2CM2F-F-08
FZ2CM2F-F-09
FZ2CM2F-F-10
FZ2CM2F-F-11
FZCM4F-D-10
FZCM4F-D-11
），计费3个机架</t>
  </si>
  <si>
    <t>新合同约定共赠送2880个，sys反馈使用288</t>
  </si>
  <si>
    <t>福州移动2</t>
  </si>
  <si>
    <t>CDNFZCM2</t>
  </si>
  <si>
    <t>sys已核对我方使用8个（FZ2CM2F-F-06
FZ2CM2F-F-07
FZ2CM2F-F-08
FZ2CM2F-F-09
FZ2CM2F-F-10
FZ2CM2F-F-11
FZCM4F-D-10
FZCM4F-D-11
），计费3个机架</t>
  </si>
  <si>
    <t>新合同8个4.4KW5500，2个3.5kw5000</t>
  </si>
  <si>
    <t>福州2</t>
  </si>
  <si>
    <t>福州3</t>
  </si>
  <si>
    <t>福州3移动</t>
  </si>
  <si>
    <t>福州3+福州2</t>
  </si>
  <si>
    <t>福州3移动+福州2移动</t>
  </si>
  <si>
    <t>新合同约定共赠送2880个，sys反馈使用288+边缘计算128（sys更新2020年7月开通的边缘计算在福州移动2）</t>
  </si>
  <si>
    <t>20200629开通1个FZ2CM2F-F-12</t>
  </si>
  <si>
    <t>FZ2CM2F-F-12,FZ2CM2F-F-11</t>
  </si>
  <si>
    <t>边缘计算1个机柜BECFZ3CM204-F-05</t>
  </si>
  <si>
    <t>合同条款：IPV6赠送：三段::/64位。</t>
  </si>
  <si>
    <t>边缘计算BECFZ3CM204-F-02</t>
  </si>
  <si>
    <t>新合同约定共赠送2880个，边缘计算128个</t>
  </si>
  <si>
    <t>112.49.51.0/24 112.49.52.0/27</t>
  </si>
  <si>
    <t>【边缘计算节点扩容】福建福州移动边缘计算节点扩容（FZ2CM）,新增一个机柜BECFZ3CM204-F-14</t>
  </si>
  <si>
    <t>FZ2CM2F-F-09, FZ2CM2F-F-10</t>
  </si>
  <si>
    <t xml:space="preserve">FZCM,2022.7.31退租2个机柜
FZCM4F-D-11
FZCM4F-D-10
</t>
  </si>
  <si>
    <t xml:space="preserve">FZCM,2022.7.31退租288个IP
112.49.48.0/24 
112.49.26.192/27
</t>
  </si>
  <si>
    <t xml:space="preserve">FZ2CM,2022.7.31退租3个机柜
FZ2CM2F-F-08
FZ2CM2F-F-07
FZ2CM2F-F-06
</t>
  </si>
  <si>
    <t xml:space="preserve">FZ2CM,2022.7.31退租288个IP
112.49.48.0/24 
112.49.26.192/27
</t>
  </si>
  <si>
    <t>L20221230001</t>
  </si>
  <si>
    <t>厦门2</t>
  </si>
  <si>
    <t>厦门2移动</t>
  </si>
  <si>
    <t>CDNXMCM2</t>
  </si>
  <si>
    <t>【BEC新建】厦门移动新建600G 2022-12-3节点正式上线  (XM2CM)，BECXM2CM-D1-22、BECXM2CM-D1-23、BECXM2CM-D1-24</t>
  </si>
  <si>
    <t>112.48.137.0/24
112.48.138.0/24
112.48.152.0/24
112.48.153.0/24
112.48.154.0/24
112.48.163.0/24
112.48.164.0/24
112.48.165.0/24
112.48.166.0/25</t>
  </si>
  <si>
    <t>2409:8C34:22A0:4::/64</t>
  </si>
  <si>
    <t>中国移动通信集团云南有限公司昆明分公司</t>
  </si>
  <si>
    <t>昆明移动</t>
  </si>
  <si>
    <t>L20221228011</t>
  </si>
  <si>
    <t>CDNKMCM3</t>
  </si>
  <si>
    <t>KM3CM3F-G-13</t>
  </si>
  <si>
    <t>昆明3移动</t>
  </si>
  <si>
    <t>sys反馈使用1个C+32个，新合同免费赠送928个</t>
  </si>
  <si>
    <t>39.130.136.0/25 39.130.142.128/25 39.130.142.96/27</t>
  </si>
  <si>
    <t xml:space="preserve">KM3CM3F-G-12
KM3CM3F-G-11
KM3CM3F-G-10
KM3CM3F-G-09
KM3CM3F-G-08
KM3CM3F-G-07
</t>
  </si>
  <si>
    <t>KM3CM3F-G-13,KM3CM3F-G-12,KM3CM3F-G-11,KM3CM3F-G-10,KM3CM3F-G-09,KM3CM3F-G-08,KM3CM3F-G-07</t>
  </si>
  <si>
    <t>昆明4移动</t>
  </si>
  <si>
    <t>CDNKMCM4</t>
  </si>
  <si>
    <t>sys反馈使用2个C+32个，新合同免费赠送928个</t>
  </si>
  <si>
    <t>KM4CM7F-F-4
KM4CM7F-F-3
KM4CM7F-F-2
KM4CM7F-F-1
KM4CM7F-F-14
KM4CM7F-F-7
KM4CM7F-F-6
KM4CM7F-F-5</t>
  </si>
  <si>
    <t>KM4CM7F-F-14(此机柜自2022.5.24开始转让给BEC使用)</t>
  </si>
  <si>
    <t xml:space="preserve">边缘计算BECKM4CM7F-G-05
BECKM4CM7F-G-06
</t>
  </si>
  <si>
    <t>边缘计算使用128个36.147.12.128/25</t>
  </si>
  <si>
    <t>昆明移动(KM4CM)退租资源128个IP，36.147.14.128/25</t>
  </si>
  <si>
    <t>边缘计算新增128个</t>
  </si>
  <si>
    <t>BECKM4CM7F-2-F12</t>
  </si>
  <si>
    <t>商务确认计费时间为8月9日，云南昆明移动边缘计算节点扩容（KM4CM），新增机柜BECKM4CM7F-2-E01</t>
  </si>
  <si>
    <t>昆明移动(KM4CM)退租资源1个机柜，BECKM4CM7F-2-E01</t>
  </si>
  <si>
    <t>12月1日新增IPV6一段，2409:8c6c:550:1c::0/64</t>
  </si>
  <si>
    <t>昆明移动(KM4CM)退租资源1段IPv6,2409:8c6c:550:1c::/64</t>
  </si>
  <si>
    <t xml:space="preserve">KM4CM节点，2022.5.24边缘计算新增1个机柜，由CDN转为BEC，编号BECKMCM47F-F-14（KM4CM7F-F-14（原cdn机柜编号）
</t>
  </si>
  <si>
    <t>KM4CM节点，2022.5.24边缘计算新增128个，免费39.130.157.128/25</t>
  </si>
  <si>
    <t>中国移动通信集团广西有限公司南宁分公司</t>
  </si>
  <si>
    <t>南宁移动</t>
  </si>
  <si>
    <t>L20221228013</t>
  </si>
  <si>
    <t>CDNNNCM</t>
  </si>
  <si>
    <t>NNCM5F-K-06
NNCM5F-K-05
NNCM5F-K-04
NNCM5F-K-03
NNCM5F-K-02
NNCM5F-K-01</t>
  </si>
  <si>
    <t>CDNNNCM3</t>
  </si>
  <si>
    <t xml:space="preserve">CDN的NN3CM802-V-06，NN3CM802-V-05于2022.5.20腾挪至BEC的BECNN3CM802-V-06，BECNN3CM802-V-05使用，
NNCM8F-V-04
NNCM8F-V-03
NNCM8F-V-02
NNCM8F-V-01
</t>
  </si>
  <si>
    <t>CDNNNCM+ 
CDNNNCM3</t>
  </si>
  <si>
    <t>每百G赠送128个IP，剩余20G，免费25个，共使用384个IP，计费359个</t>
  </si>
  <si>
    <t>南宁3移动</t>
  </si>
  <si>
    <t xml:space="preserve">本次CDNNNCM3新增资源包括：2个5KW机柜（实际按3.5kw机柜单价计费），128个IPv4，1段/64 IPv6地址，BECNN3CM802-R-05（新增），BECNN3CM802-R-06（新增）
</t>
  </si>
  <si>
    <t>NNCM5F-K-06,NNCM5F-K-05</t>
  </si>
  <si>
    <t>NNCM5F-K-01, NNCM5F-K-02</t>
  </si>
  <si>
    <t>商务确认8月1日开始计费，边缘计算南宁移动网段扩容开通（CDNNNCM3），新增128个IP36.159.95.0/25，均收费（2022年5月起按合同条款赠送192个，收费768个）</t>
  </si>
  <si>
    <t>南宁移动扩容0G 2022-05-10节点正式上线  (NN3CM)，36.159.89.0/25（2022年5月起按合同条款赠送192个，收费768个）</t>
  </si>
  <si>
    <t>NN3CM节点2022.7.31退租4个机柜
NNCM8F-V-01
NNCM8F-V-02
NNCM8F-V-03
NNCM8F-V-04</t>
  </si>
  <si>
    <t>NN3CM节点2022.7.31退租288个IP
36.159.103.0/24 36.159.114.96/27</t>
  </si>
  <si>
    <t>NNCM节点2022.7.31退租2个机柜 NNCM5F-K-03, NNCM5F-K-04
NNCM5F-K-04</t>
  </si>
  <si>
    <t>NNCM节点2022.7.31退租288个IP
111.12.25.0/25 36.159.107.128/25 36.159.107.0/27</t>
  </si>
  <si>
    <t>中经云数据存储科技（北京）有限公司</t>
  </si>
  <si>
    <t>中经云</t>
  </si>
  <si>
    <t>182315IDC00002</t>
  </si>
  <si>
    <t>CSZJ</t>
  </si>
  <si>
    <t>天地祥云</t>
  </si>
  <si>
    <t>中经云园区东光交箱</t>
  </si>
  <si>
    <t>中经云园区西光交箱</t>
  </si>
  <si>
    <t xml:space="preserve">模块：M388
机柜：A04
</t>
  </si>
  <si>
    <t xml:space="preserve">模块：M388
机柜：A05
</t>
  </si>
  <si>
    <t>自M166模块G11机柜（百度侧）至M388模块A04/A05机柜（爱奇艺侧）8条引纤共计16芯，施工已完成，计费时间为：2021年11月2日</t>
  </si>
  <si>
    <t>华北-WM</t>
  </si>
  <si>
    <t>中国电信股份有限公司北京分公司</t>
  </si>
  <si>
    <t>北京电信</t>
  </si>
  <si>
    <t>181715IDC00162</t>
  </si>
  <si>
    <t xml:space="preserve"> IDC机架</t>
  </si>
  <si>
    <t>JXAI兆维</t>
  </si>
  <si>
    <t>JX</t>
  </si>
  <si>
    <t xml:space="preserve">182215IDC00519 </t>
  </si>
  <si>
    <t>8个万兆端口，其中6个万兆端口收取端口占用费， 3万元/个/月，共计18万元/月（含保底4.8万元/月天翼云服务）；每提高5G保底，可减免一个端口占用费。</t>
  </si>
  <si>
    <t>BGPIP</t>
  </si>
  <si>
    <t>12个C的IP，每个月16万。每月负预提-51.2元。</t>
  </si>
  <si>
    <t>182115IDC00131</t>
  </si>
  <si>
    <t>CQ01次渠</t>
  </si>
  <si>
    <t>CQ01</t>
  </si>
  <si>
    <t>6月关闭13个</t>
  </si>
  <si>
    <t>8月新增：CQ01202-09-10，CQ01202-09-14</t>
  </si>
  <si>
    <t>其他-工位（含电话）</t>
  </si>
  <si>
    <t>2020/6/8关闭</t>
  </si>
  <si>
    <t>2020.6.8关闭</t>
  </si>
  <si>
    <t>2022.8.31关闭</t>
  </si>
  <si>
    <t>其他-库房</t>
  </si>
  <si>
    <t>2019-12-4关闭</t>
  </si>
  <si>
    <t>2021/2/5关闭</t>
  </si>
  <si>
    <t>2021.3.30开通，
CQ01103-01-01
CQ01103-01-04
CQ01103-01-07
CQ01103-01-10
CQ01103-01-11
CQ01103-02-01
CQ01103-02-02
CQ01103-02-03
CQ01103-02-05
CQ01103-02-06
CQ01103-02-07
CQ01103-02-08
CQ01103-03-01
CQ01103-03-02
CQ01103-03-03
CQ01103-03-04
CQ01103-03-05
CQ01103-03-06
CQ01103-04-01
CQ01103-04-07
CQ01103-07-01
CQ01103-07-02
CQ01103-07-03
CQ01103-07-04
CQ01103-07-05
CQ01103-07-06
CQ01103-07-07
CQ01103-07-08
CQ01103-07-09
CQ01103-10-07
CQ01103-10-08
CQ01103-10-09
CQ01103-11-01
CQ01103-11-02
CQ01103-11-03
CQ01103-11-04
CQ01103-12-07
CQ01102-02-01
CQ01102-02-03
CQ01102-02-10
CQ01102-02-11
CQ01102-02-12
CQ01102-03-01
CQ01102-03-02
CQ01102-01-01
CQ01102-01-02
CQ01102-01-03
CQ01102-01-04
CQ01102-01-05
CQ01102-01-06
CQ01102-01-07
CQ01102-01-08
CQ01102-01-09
CQ01102-01-10
CQ01102-01-11
CQ01102-01-12
CQ01101-11-03
CQ01101-11-04
CQ01101-11-05
CQ01101-11-06
CQ01101-11-07
CQ01101-11-08
CQ01101-11-09
CQ01101-11-10
CQ01101-11-11
CQ01101-11-12
CQ01204-08-02
CQ01204-08-03
CQ01204-08-04
CQ01101-09-02
CQ01101-09-03
CQ01101-09-04
CQ01101-09-05
CQ01101-09-06
CQ01101-09-07
CQ01101-09-08
CQ01101-09-09
CQ01101-09-10
CQ01101-09-11
CQ01101-09-12
CQ01101-10-01
CQ01101-10-02
CQ01101-10-03
CQ01101-10-04
CQ01103-12-04
CQ01103-12-05
CQ01103-12-06
CQ01103-13-10
CQ01103-13-01
CQ01103-13-02
CQ01103-13-03
CQ01103-13-04
CQ01103-13-05
CQ01103-13-06
CQ01103-13-07
CQ01103-13-08
CQ01103-13-09
CQ01103-14-01
CQ01103-14-02
CQ01103-14-03</t>
  </si>
  <si>
    <t>2021.4.7开通，CQ01201-15-02
CQ01201-15-03
CQ01201-15-04
CQ01201-15-05
CQ01201-15-06
CQ01103-14-04
CQ01103-14-05
CQ01103-14-06
CQ01103-14-07
CQ01103-14-08
CQ01103-14-09
CQ01103-14-10
CQ01103-14-11
CQ01103-13-11
CQ01204-07-01
CQ01204-07-03
CQ01204-07-07
CQ01204-07-08
CQ01204-07-09
CQ01204-08-01
CQ01204-06-07
CQ01204-04-07
CQ01204-05-01
CQ01204-03-01
CQ01101-04-05
CQ01101-04-07
CQ01101-04-08
CQ01101-04-11
CQ01101-05-02
CQ01101-05-03
CQ01101-05-04
CQ01101-05-05
CQ01101-05-06
CQ01101-05-07
CQ01101-05-08
CQ01101-05-09
CQ01101-03-13
CQ01101-02-01
CQ01101-02-02
CQ01101-02-03
CQ01101-02-04
CQ01101-02-05
CQ01101-02-10
CQ01101-02-11
CQ01101-02-12
CQ01101-03-01
CQ01101-03-02
CQ01101-01-01
CQ01101-01-04
CQ01101-01-05
CQ01101-01-06
CQ01101-01-07
CQ01101-01-10
CQ01101-01-11
CQ01101-01-12
CQ01101-01-13
CQ01101-02-13
CQ01101-03-04
CQ01101-03-05
CQ01101-03-06
CQ01101-03-07
CQ01101-03-08
CQ01101-03-09
CQ01101-03-10
CQ01101-03-11
CQ01101-03-12
CQ01101-04-01
CQ01101-04-02
CQ01101-04-03
CQ01101-05-10
CQ01101-05-11
CQ01101-05-12
CQ01101-06-01
CQ01101-06-02
CQ01101-06-03
CQ01101-06-04
CQ01101-06-05
CQ01101-06-06
CQ01101-06-07
CQ01101-06-08
CQ01101-06-09
CQ01101-06-10
CQ01101-06-11
CQ01101-06-12
CQ01101-05-13
CQ01101-06-13
CQ01101-07-13
CQ01101-07-01
CQ01101-07-02
CQ01101-07-03
CQ01101-07-10
CQ01101-07-11
CQ01101-07-12
CQ01101-08-01
CQ01101-08-02
CQ01101-08-03
CQ01101-08-04
CQ01101-08-05
CQ01101-08-06
CQ01101-08-07
CQ01101-08-08
CQ01101-08-09
CQ01101-08-10
CQ01101-08-11
CQ01101-03-03
CQ01101-09-01
CQ01101-10-05
CQ01101-10-06
CQ01101-10-07
CQ01101-10-08
CQ01101-10-09
CQ01101-10-10
CQ01101-10-12
CQ01101-09-13
CQ01101-10-13
CQ01101-11-13
CQ01101-11-01
CQ01101-11-02
CQ01102-03-03
CQ01102-03-04
CQ01102-03-05
CQ01102-03-06
CQ01102-03-07
CQ01102-03-08
CQ01102-03-09
CQ01102-04-11
CQ01102-05-10
CQ01102-05-13
CQ01102-08-01
CQ01102-08-02
CQ01102-08-03
CQ01102-08-04
CQ01102-08-05
CQ01102-08-06
CQ01102-08-07
CQ01102-08-08
CQ01102-08-10
CQ01102-08-11
CQ01102-09-01
CQ01102-09-05
CQ01102-09-07
CQ01102-09-08
CQ01102-09-09
CQ01102-09-10
CQ01102-09-11
CQ01102-09-12
CQ01102-10-01
CQ01102-10-02
CQ01102-10-03
CQ01102-10-05
CQ01102-10-06
CQ01102-10-07
CQ01102-10-08
CQ01102-10-09
CQ01102-10-12
CQ01102-09-13
CQ01102-10-13
CQ01102-11-13
CQ01102-11-01
CQ01102-11-02
CQ01102-11-03
CQ01102-11-04
CQ01102-11-05
CQ01102-11-06
CQ01102-11-07
CQ01102-11-10
CQ01201-01-01
CQ01201-01-02
CQ01201-01-03
CQ01201-01-07
CQ01201-01-12
CQ01201-01-13
CQ01201-03-13
CQ01201-02-01
CQ01201-02-04
CQ01201-02-05
CQ01201-02-06
CQ01201-02-07
CQ01201-03-01
CQ01201-03-07
CQ01201-03-08
CQ01201-03-09
CQ01201-04-01
CQ01201-04-02
CQ01201-04-03
CQ01201-04-11
CQ01201-05-01
CQ01201-05-10
CQ01201-05-11
CQ01201-05-12
CQ01201-06-03
CQ01201-06-07
CQ01201-06-08
CQ01201-06-09
CQ01201-06-10
CQ01201-06-11
CQ01201-06-12
CQ01201-05-13
CQ01201-06-13
CQ01201-07-13
CQ01201-07-07
CQ01201-07-08
CQ01201-07-09
CQ01201-07-10
CQ01201-07-11
CQ01201-07-12
CQ01201-08-01
CQ01201-08-02
CQ01201-08-03
CQ01201-08-04
CQ01201-08-05
CQ01201-08-06
CQ01201-08-07
CQ01201-08-10
CQ01201-08-11
CQ01201-09-13
CQ01201-09-01
CQ01201-09-02
CQ01201-09-03
CQ01201-09-04
CQ01201-09-05
CQ01201-09-06
CQ01201-09-07
CQ01201-09-08
CQ01201-09-09
CQ01201-09-10
CQ01201-09-11
CQ01201-09-12
CQ01201-10-01
CQ01201-10-02
CQ01201-10-03
CQ01201-10-04
CQ01201-10-05
CQ01201-10-06
CQ01201-10-07
CQ01201-10-08
CQ01201-10-09
CQ01201-10-10
CQ01201-10-11
CQ01201-10-12
CQ01201-11-01
CQ01201-11-02
CQ01201-11-03
CQ01201-11-04
CQ01201-11-05
CQ01201-11-06
CQ01201-11-09
CQ01201-11-10
CQ01201-11-11
CQ01201-11-12
CQ01201-10-13
CQ01201-11-13
CQ01201-12-11
CQ01201-12-02
CQ01201-12-03
CQ01201-12-04
CQ01201-12-05
CQ01201-12-06
CQ01201-12-07
CQ01201-12-08
CQ01201-12-09
CQ01201-12-10
CQ01201-13-01
CQ01201-13-02
CQ01201-13-03
CQ01201-13-04
CQ01201-13-05
CQ01201-13-06
CQ01201-13-07
CQ01201-13-10
CQ01201-14-01
CQ01201-14-02
CQ01201-14-03
CQ01201-14-04
CQ01201-14-07
CQ01201-14-08
CQ01201-14-09
CQ01201-14-10
CQ01201-13-13
CQ01201-14-13
CQ01201-15-13
CQ01201-15-01
CQ01201-15-08
CQ01201-15-09
CQ01203-03-09
CQ01204-13-03
CQ01204-13-04
CQ01204-13-05
CQ01204-13-07
CQ01204-13-08
CQ01204-13-09
CQ01204-14-01
CQ01204-14-04
CQ01204-14-05
CQ01204-14-06
CQ01204-14-07
CQ01204-14-08
CQ01204-14-09
CQ01204-15-01
CQ01204-15-07
CQ01204-14-10
CQ01204-15-10
CQ01204-15-11
CQ01202-03-05
CQ01203-06-07
CQ01204-11-10
CQ01204-13-01</t>
  </si>
  <si>
    <t>2021.4.16开通，CQ01103-08-01
CQ01103-08-02
CQ01103-08-03
CQ01103-08-05
CQ01103-08-06
CQ01103-08-08
CQ01103-09-10
CQ01103-09-01
CQ01103-09-02
CQ01103-09-03
CQ01103-09-04
CQ01103-09-05
CQ01103-09-06
CQ01103-09-07
CQ01103-09-08
CQ01103-09-09
CQ01103-10-11
CQ01103-09-11
CQ01201-15-07
CQ01201-15-10
CQ01201-15-11
CQ01201-15-12
CQ01204-09-01
CQ01204-09-04
CQ01204-10-04
CQ01204-11-04
CQ01204-11-07
CQ01204-11-08
CQ01204-11-09
CQ01204-12-01
CQ01204-12-07
CQ01204-12-08
CQ01204-13-02
CQ01204-13-06
CQ01202-01-01
CQ01202-01-04
CQ01202-01-10
CQ01202-01-12
CQ01202-03-13
CQ01202-02-01
CQ01202-02-12
CQ01202-03-04
CQ01202-03-06
CQ01202-03-07
CQ01202-03-10
CQ01202-03-11
CQ01202-03-12
CQ01202-04-01
CQ01202-04-02
CQ01202-04-03
CQ01202-04-04
CQ01202-04-05
CQ01202-04-06
CQ01202-04-07
CQ01202-04-08
CQ01202-04-11
CQ01202-05-01
CQ01202-07-01
CQ01202-07-02
CQ01202-07-03
CQ01202-07-05
CQ01202-07-06
CQ01202-07-08
CQ01202-07-09
CQ01202-07-11
CQ01202-07-12
CQ01202-07-13
CQ01202-07-14
CQ01202-08-12
CQ01202-08-01
CQ01202-08-07
CQ01202-08-08
CQ01202-08-09
CQ01202-08-10
CQ01202-08-11
CQ01202-09-13
CQ01202-09-01
CQ01202-09-02
CQ01202-09-03
CQ01202-09-05
CQ01202-09-06
CQ01202-09-08
CQ01202-09-09
CQ01202-09-10
CQ01202-09-11
CQ01202-09-12
CQ01202-10-01
CQ01202-10-02
CQ01202-10-03
CQ01202-10-05
CQ01202-10-06
CQ01202-10-08
CQ01202-10-09
CQ01202-10-11
CQ01202-10-12
CQ01202-10-13
CQ01202-10-14
CQ01202-09-14
CQ01203-01-01
CQ01203-01-04
CQ01203-01-05
CQ01203-01-06
CQ01203-01-07
CQ01203-03-04
CQ01203-03-05
CQ01203-03-06
CQ01203-03-07
CQ01203-03-08
CQ01203-04-01
CQ01203-05-01
CQ01203-05-02
CQ01203-05-03
CQ01203-05-05
CQ01203-05-06
CQ01203-05-08
CQ01203-05-09
CQ01203-05-10
CQ01203-06-10
CQ01203-07-10
CQ01203-06-01
CQ01203-06-02
CQ01203-06-03
CQ01203-06-04
CQ01203-06-05
CQ01203-06-06
CQ01203-06-08
CQ01203-06-09
CQ01203-07-01
CQ01203-07-02
CQ01203-07-03
CQ01203-07-04
CQ01203-07-05
CQ01203-07-06
CQ01203-07-07
CQ01203-07-08
CQ01203-07-09
CQ01203-08-01
CQ01203-08-02
CQ01203-08-03
CQ01203-08-04
CQ01203-08-05
CQ01203-08-06
CQ01203-09-01
CQ01203-09-02
CQ01203-09-03
CQ01203-09-04
CQ01203-09-06
CQ01203-09-07
CQ01203-09-08
CQ01203-09-09
CQ01203-09-10
CQ01203-09-11
CQ01203-10-11
CQ01203-10-01
CQ01203-10-02
CQ01203-10-03
CQ01203-10-04
CQ01203-10-05
CQ01203-10-06
CQ01203-10-07
CQ01203-10-08
CQ01203-10-09
CQ01203-11-01
CQ01203-11-02
CQ01203-11-03
CQ01203-11-04
CQ01203-11-05
CQ01203-11-06
CQ01203-11-07
CQ01203-11-08
CQ01203-11-09
CQ01203-11-10
CQ01203-11-11
CQ01203-10-10</t>
  </si>
  <si>
    <t>2022.8.1关闭973个20A机柜
CQ01101-01-01
CQ01101-01-02
CQ01101-01-03
CQ01101-01-04
CQ01101-01-05
CQ01101-01-06
CQ01101-01-07
CQ01101-01-08
CQ01101-01-09
CQ01101-01-10
CQ01101-01-11
CQ01101-01-12
CQ01101-01-13
CQ01101-02-13
CQ01101-03-13
CQ01101-02-01
CQ01101-02-02
CQ01101-02-03
CQ01101-02-04
CQ01101-02-05
CQ01101-02-06
CQ01101-02-07
CQ01101-02-08
CQ01101-02-09
CQ01101-02-10
CQ01101-02-11
CQ01101-02-12
CQ01101-03-01
CQ01101-03-02
CQ01101-03-03
CQ01101-03-04
CQ01101-03-05
CQ01101-03-06
CQ01101-03-07
CQ01101-03-08
CQ01101-03-09
CQ01101-03-10
CQ01101-03-11
CQ01101-03-12
CQ01101-04-01
CQ01101-04-02
CQ01101-04-03
CQ01101-04-04
CQ01101-04-05
CQ01101-04-06
CQ01101-04-07
CQ01101-04-08
CQ01101-04-09
CQ01101-04-10
CQ01101-04-11
CQ01101-05-02
CQ01101-05-03
CQ01101-05-04
CQ01101-05-05
CQ01101-05-06
CQ01101-05-07
CQ01101-05-08
CQ01101-05-09
CQ01101-05-10
CQ01101-05-11
CQ01101-05-12
CQ01101-06-01
CQ01101-06-02
CQ01101-06-03
CQ01101-06-04
CQ01101-06-05
CQ01101-06-06
CQ01101-06-07
CQ01101-06-08
CQ01101-06-09
CQ01101-06-10
CQ01101-06-11
CQ01101-06-12
CQ01101-05-13
CQ01101-06-13
CQ01101-07-13
CQ01101-07-01
CQ01101-07-02
CQ01101-07-03
CQ01101-07-04
CQ01101-07-05
CQ01101-07-06
CQ01101-07-07
CQ01101-07-08
CQ01101-07-09
CQ01101-07-10
CQ01101-07-11
CQ01101-07-12
CQ01101-08-01
CQ01101-08-02
CQ01101-08-03
CQ01101-08-04
CQ01101-08-05
CQ01101-08-06
CQ01101-08-07
CQ01101-08-08
CQ01101-08-09
CQ01101-08-10
CQ01101-08-11
CQ01101-09-01
CQ01101-09-02
CQ01101-09-03
CQ01101-09-04
CQ01101-09-05
CQ01101-09-06
CQ01101-09-07
CQ01101-09-08
CQ01101-09-09
CQ01101-09-10
CQ01101-09-11
CQ01101-09-12
CQ01101-10-01
CQ01101-10-02
CQ01101-10-03
CQ01101-10-04
CQ01101-10-05
CQ01101-10-06
CQ01101-10-07
CQ01101-10-08
CQ01101-10-09
CQ01101-10-10
CQ01101-10-11
CQ01101-10-12
CQ01101-09-13
CQ01101-10-13
CQ01101-11-13
CQ01101-11-01
CQ01101-11-02
CQ01101-11-03
CQ01101-11-04
CQ01101-11-05
CQ01101-11-06
CQ01101-11-07
CQ01101-11-08
CQ01101-11-09
CQ01101-11-10
CQ01101-11-11
CQ01101-11-12
CQ01102-01-01
CQ01102-01-02
CQ01102-01-03
CQ01102-01-04
CQ01102-01-05
CQ01102-01-06
CQ01102-01-07
CQ01102-01-08
CQ01102-01-09
CQ01102-01-10
CQ01102-01-11
CQ01102-01-12
CQ01102-01-13
CQ01102-02-13
CQ01102-03-13
CQ01102-02-01
CQ01102-02-02
CQ01102-02-03
CQ01102-02-04
CQ01102-02-05
CQ01102-02-06
CQ01102-02-07
CQ01102-02-08
CQ01102-02-09
CQ01102-02-10
CQ01102-02-11
CQ01102-02-12
CQ01102-03-01
CQ01102-03-02
CQ01102-03-03
CQ01102-03-04
CQ01102-03-05
CQ01102-03-06
CQ01102-03-07
CQ01102-03-08
CQ01102-03-09
CQ01102-03-10
CQ01102-03-11
CQ01102-03-12
CQ01102-04-01
CQ01102-04-02
CQ01102-04-03
CQ01102-04-04
CQ01102-04-05
CQ01102-04-06
CQ01102-04-07
CQ01102-04-08
CQ01102-04-09
CQ01102-04-10
CQ01102-04-11
CQ01102-05-01
CQ01102-05-02
CQ01102-05-03
CQ01102-05-04
CQ01102-05-05
CQ01102-05-06
CQ01102-05-07
CQ01102-05-08
CQ01102-05-09
CQ01102-05-10
CQ01102-05-11
CQ01102-05-12
CQ01102-06-01
CQ01102-06-02
CQ01102-06-03
CQ01102-06-04
CQ01102-06-05
CQ01102-06-06
CQ01102-06-07
CQ01102-06-08
CQ01102-06-09
CQ01102-06-10
CQ01102-06-11
CQ01102-06-12
CQ01102-05-13
CQ01102-06-13
CQ01102-07-13
CQ01102-07-01
CQ01102-07-02
CQ01102-07-03
CQ01102-07-04
CQ01102-07-05
CQ01102-07-06
CQ01102-07-07
CQ01102-07-08
CQ01102-07-09
CQ01102-07-10
CQ01102-07-11
CQ01102-07-12
CQ01102-08-01
CQ01102-08-02
CQ01102-08-03
CQ01102-08-04
CQ01102-08-05
CQ01102-08-06
CQ01102-08-07
CQ01102-08-08
CQ01102-08-09
CQ01102-08-10
CQ01102-08-11
CQ01102-09-01
CQ01102-09-02
CQ01102-09-03
CQ01102-09-04
CQ01102-09-05
CQ01102-09-06
CQ01102-09-07
CQ01102-09-08
CQ01102-09-09
CQ01102-09-10
CQ01102-09-11
CQ01102-09-12
CQ01102-10-01
CQ01102-10-02
CQ01102-10-03
CQ01102-10-04
CQ01102-10-05
CQ01102-10-06
CQ01102-10-07
CQ01102-10-08
CQ01102-10-09
CQ01102-10-10
CQ01102-10-11
CQ01102-10-12
CQ01102-09-13
CQ01102-10-13
CQ01102-11-13
CQ01102-11-01
CQ01102-11-02
CQ01102-11-03
CQ01102-11-04
CQ01102-11-05
CQ01102-11-06
CQ01102-11-07
CQ01102-11-08
CQ01102-11-09
CQ01102-11-10
CQ01102-11-11
CQ01102-11-12
CQ01103-01-01
CQ01103-01-02
CQ01103-01-03
CQ01103-01-04
CQ01103-01-05
CQ01103-01-06
CQ01103-01-07
CQ01103-01-08
CQ01103-01-09
CQ01103-01-10
CQ01103-01-11
CQ01103-02-02
CQ01103-02-03
CQ01103-02-04
CQ01103-02-05
CQ01103-02-06
CQ01103-02-07
CQ01103-02-08
CQ01103-02-09
CQ01103-03-01
CQ01103-03-02
CQ01103-03-03
CQ01103-03-04
CQ01103-03-05
CQ01103-03-06
CQ01103-03-07
CQ01103-03-08
CQ01103-03-09
CQ01103-03-10
CQ01103-02-11
CQ01103-04-01
CQ01103-04-02
CQ01103-04-03
CQ01103-04-04
CQ01103-04-05
CQ01103-04-06
CQ01103-04-07
CQ01103-04-08
CQ01103-04-09
CQ01103-07-01
CQ01103-07-03
CQ01103-07-04
CQ01103-07-05
CQ01103-07-06
CQ01103-07-07
CQ01103-07-08
CQ01103-07-09
CQ01103-07-10
CQ01103-07-11
CQ01103-06-09
CQ01103-08-01
CQ01103-08-02
CQ01103-08-03
CQ01103-08-04
CQ01103-08-05
CQ01103-08-06
CQ01103-08-07
CQ01103-08-08
CQ01103-09-10
CQ01103-09-01
CQ01103-09-02
CQ01103-09-03
CQ01103-09-04
CQ01103-09-05
CQ01103-09-06
CQ01103-09-07
CQ01103-09-08
CQ01103-09-09
CQ01103-10-01
CQ01103-10-02
CQ01103-10-03
CQ01103-10-04
CQ01103-10-05
CQ01103-10-06
CQ01103-10-07
CQ01103-10-08
CQ01103-10-09
CQ01103-10-10
CQ01103-10-11
CQ01103-09-11
CQ01103-11-01
CQ01103-11-02
CQ01103-11-03
CQ01103-11-04
CQ01103-11-05
CQ01103-11-06
CQ01103-11-07
CQ01103-11-08
CQ01103-11-09
CQ01103-11-10
CQ01103-11-11
CQ01103-12-07
CQ01103-12-01
CQ01103-12-02
CQ01103-12-03
CQ01103-12-04
CQ01103-12-05
CQ01103-12-06
CQ01103-12-08
CQ01103-12-09
CQ01103-13-10
CQ01103-13-01
CQ01103-13-02
CQ01103-13-03
CQ01103-13-04
CQ01103-13-05
CQ01103-13-06
CQ01103-13-07
CQ01103-13-08
CQ01103-13-09
CQ01103-14-01
CQ01103-14-02
CQ01103-14-03
CQ01103-14-04
CQ01103-14-05
CQ01103-14-06
CQ01103-14-07
CQ01103-14-08
CQ01103-14-09
CQ01103-14-10
CQ01103-14-11
CQ01103-13-11
CQ01103-05-08
CQ01103-05-09
CQ01103-06-06
CQ01103-06-07
CQ01103-06-08
CQ01103-05-03
CQ01103-05-06
CQ01103-05-07
CQ01103-06-01
CQ01103-06-02
CQ01204-01-01
CQ01204-01-02
CQ01204-01-03
CQ01204-01-04
CQ01204-01-05
CQ01204-01-06
CQ01204-01-07
CQ01204-01-08
CQ01204-01-09
CQ01204-01-10
CQ01204-01-11
CQ01204-02-01
CQ01204-02-02
CQ01204-02-03
CQ01204-02-04
CQ01204-02-05
CQ01204-02-06
CQ01204-02-07
CQ01204-02-08
CQ01204-02-09
CQ01204-02-10
CQ01204-02-11
CQ01204-03-10
CQ01204-03-01
CQ01204-03-02
CQ01204-03-03
CQ01204-03-04
CQ01204-03-05
CQ01204-03-06
CQ01204-03-07
CQ01204-03-08
CQ01204-03-09
CQ01204-04-02
CQ01204-04-03
CQ01204-04-04
CQ01204-04-05
CQ01204-04-06
CQ01204-04-07
CQ01204-04-08
CQ01204-04-09
CQ01204-05-01
CQ01204-05-02
CQ01204-05-03
CQ01204-05-04
CQ01204-05-05
CQ01204-05-06
CQ01204-05-07
CQ01204-05-08
CQ01204-05-09
CQ01204-06-01
CQ01204-06-02
CQ01204-06-03
CQ01204-06-04
CQ01204-06-05
CQ01204-06-06
CQ01204-06-07
CQ01204-06-08
CQ01204-06-09
CQ01204-05-10
CQ01204-06-10
CQ01204-07-10
CQ01204-07-01
CQ01204-07-02
CQ01204-07-03
CQ01204-07-04
CQ01204-07-05
CQ01204-07-06
CQ01204-07-07
CQ01204-07-08
CQ01204-07-09
CQ01204-08-01
CQ01204-08-02
CQ01204-08-03
CQ01204-08-04
CQ01204-08-05
CQ01204-08-06
CQ01204-08-07
CQ01204-08-08
CQ01204-08-09
CQ01103-07-02
CQ01201-01-01
CQ01201-01-02
CQ01201-01-03
CQ01201-01-04
CQ01201-01-05
CQ01201-01-06
CQ01201-01-07
CQ01201-01-08
CQ01201-01-09
CQ01201-01-10
CQ01201-01-11
CQ01201-01-12
CQ01201-01-13
CQ01201-02-13
CQ01201-03-13
CQ01201-02-01
CQ01201-02-02
CQ01201-02-03
CQ01201-02-04
CQ01201-02-05
CQ01201-02-06
CQ01201-02-07
CQ01201-02-08
CQ01201-02-09
CQ01201-02-10
CQ01201-02-11
CQ01201-02-12
CQ01201-03-01
CQ01201-03-02
CQ01201-03-03
CQ01201-03-04
CQ01201-03-05
CQ01201-03-06
CQ01201-03-07
CQ01201-03-08
CQ01201-03-09
CQ01201-03-10
CQ01201-03-11
CQ01201-03-12
CQ01201-04-01
CQ01201-04-02
CQ01201-04-03
CQ01201-04-04
CQ01201-04-05
CQ01201-04-06
CQ01201-04-07
CQ01201-04-08
CQ01201-04-09
CQ01201-04-10
CQ01201-04-11
CQ01201-05-01
CQ01201-05-02
CQ01201-05-03
CQ01201-05-04
CQ01201-05-05
CQ01201-05-06
CQ01201-05-07
CQ01201-05-08
CQ01201-05-09
CQ01201-05-10
CQ01201-05-11
CQ01201-05-12
CQ01201-06-01
CQ01201-06-02
CQ01201-06-03
CQ01201-06-04
CQ01201-06-05
CQ01201-06-06
CQ01201-06-07
CQ01201-06-08
CQ01201-06-09
CQ01201-06-10
CQ01201-06-11
CQ01201-06-12
CQ01201-05-13
CQ01201-06-13
CQ01201-07-13
CQ01201-07-01
CQ01201-07-02
CQ01201-07-03
CQ01201-07-04
CQ01201-07-05
CQ01201-07-06
CQ01201-07-07
CQ01201-07-08
CQ01201-07-09
CQ01201-07-10
CQ01201-07-11
CQ01201-07-12
CQ01201-08-01
CQ01201-08-02
CQ01201-08-03
CQ01201-08-04
CQ01201-08-05
CQ01201-08-06
CQ01201-08-07
CQ01201-08-08
CQ01201-08-09
CQ01201-08-10
CQ01201-08-11
CQ01201-09-13
CQ01201-09-01
CQ01201-09-02
CQ01201-09-03
CQ01201-09-04
CQ01201-09-05
CQ01201-09-06
CQ01201-09-07
CQ01201-09-08
CQ01201-09-09
CQ01201-09-10
CQ01201-09-11
CQ01201-09-12
CQ01201-10-01
CQ01201-10-02
CQ01201-10-03
CQ01201-10-04
CQ01201-10-05
CQ01201-10-06
CQ01201-10-07
CQ01201-10-08
CQ01201-10-09
CQ01201-10-10
CQ01201-10-11
CQ01201-10-12
CQ01201-11-01
CQ01201-11-02
CQ01201-11-03
CQ01201-11-04
CQ01201-11-05
CQ01201-11-06
CQ01201-11-07
CQ01201-11-08
CQ01201-11-09
CQ01201-11-10
CQ01201-11-11
CQ01201-11-12
CQ01201-10-13
CQ01201-11-13
CQ01201-12-11
CQ01201-12-02
CQ01201-12-03
CQ01201-12-04
CQ01201-12-05
CQ01201-12-06
CQ01201-12-07
CQ01201-12-08
CQ01201-12-09
CQ01201-12-10
CQ01201-13-01
CQ01201-13-02
CQ01201-13-03
CQ01201-13-04
CQ01201-13-05
CQ01201-13-06
CQ01201-13-07
CQ01201-13-08
CQ01201-13-09
CQ01201-13-10
CQ01201-13-11
CQ01201-13-12
CQ01201-14-01
CQ01201-14-02
CQ01201-14-03
CQ01201-14-04
CQ01201-14-05
CQ01201-14-06
CQ01201-14-07
CQ01201-14-08
CQ01201-14-09
CQ01201-14-10
CQ01201-14-11
CQ01201-14-12
CQ01201-13-13
CQ01201-14-13
CQ01201-15-13
CQ01201-15-01
CQ01201-15-02
CQ01201-15-03
CQ01201-15-04
CQ01201-15-05
CQ01201-15-06
CQ01201-15-07
CQ01201-15-08
CQ01201-15-09
CQ01201-15-10
CQ01201-15-11
CQ01201-15-12
CQ01204-09-01
CQ01204-09-02
CQ01204-09-03
CQ01204-09-04
CQ01204-09-05
CQ01204-09-06
CQ01204-09-07
CQ01204-09-08
CQ01204-09-09
CQ01204-10-01
CQ01204-10-02
CQ01204-10-03
CQ01204-10-04
CQ01204-10-05
CQ01204-10-06
CQ01204-10-07
CQ01204-10-08
CQ01204-10-09
CQ01204-10-10
CQ01204-10-11
CQ01204-09-10
CQ01204-11-01
CQ01204-11-02
CQ01204-11-03
CQ01204-11-04
CQ01204-11-05
CQ01204-11-06
CQ01204-11-07
CQ01204-11-08
CQ01204-11-09
CQ01204-11-10
CQ01204-11-11
CQ01204-12-01
CQ01204-12-02
CQ01204-12-03
CQ01204-12-04
CQ01204-12-05
CQ01204-12-06
CQ01204-12-07
CQ01204-12-08
CQ01204-12-09
CQ01204-13-01
CQ01204-13-02
CQ01204-13-03
CQ01204-13-04
CQ01204-13-05
CQ01204-13-06
CQ01204-13-07
CQ01204-13-08
CQ01204-13-09
CQ01204-13-10
CQ01204-13-11
CQ01204-14-11
CQ01204-14-01
CQ01204-14-02
CQ01204-14-03
CQ01204-14-04
CQ01204-14-05
CQ01204-14-06
CQ01204-14-07
CQ01204-14-08
CQ01204-14-09
CQ01204-15-01
CQ01204-15-02
CQ01204-15-03
CQ01204-15-04
CQ01204-15-05
CQ01204-15-06
CQ01204-15-07
CQ01204-15-08
CQ01204-15-09
CQ01204-15-10
CQ01204-15-11
CQ01204-14-10
CQ01202-01-01
CQ01202-01-02
CQ01202-01-03
CQ01202-01-04
CQ01202-01-05
CQ01202-01-06
CQ01202-01-07
CQ01202-01-08
CQ01202-01-09
CQ01202-01-10
CQ01202-01-11
CQ01202-01-12
CQ01202-01-13
CQ01202-02-13
CQ01202-03-13
CQ01202-02-01
CQ01202-02-02
CQ01202-02-03
CQ01202-02-04
CQ01202-02-05
CQ01202-02-06
CQ01202-02-07
CQ01202-02-08
CQ01202-02-09
CQ01202-02-10
CQ01202-02-11
CQ01202-02-12
CQ01202-03-01
CQ01202-03-02
CQ01202-03-03
CQ01202-03-04
CQ01202-03-05
CQ01202-03-06
CQ01202-03-07
CQ01202-03-08
CQ01202-03-09
CQ01202-03-10
CQ01202-03-11
CQ01202-03-12
CQ01202-04-01
CQ01202-04-02
CQ01202-04-03
CQ01202-04-04
CQ01202-04-05
CQ01202-04-06
CQ01202-04-07
CQ01202-04-08
CQ01202-04-09
CQ01202-04-10
CQ01202-04-11
CQ01202-05-01
CQ01202-05-02
CQ01202-05-03
CQ01202-05-04
CQ01202-05-05
CQ01202-05-06
CQ01202-05-07
CQ01202-05-08
CQ01202-05-09
CQ01202-05-10
CQ01202-05-11
CQ01202-05-12
CQ01202-05-13
CQ01202-06-13
CQ01202-06-01
CQ01202-06-02
CQ01202-06-03
CQ01202-06-04
CQ01202-06-05
CQ01202-06-06
CQ01202-06-07
CQ01202-06-08
CQ01202-06-09
CQ01202-06-10
CQ01202-06-11
CQ01202-06-12
CQ01202-07-01
CQ01202-07-02
CQ01202-07-03
CQ01202-07-05
CQ01202-07-06
CQ01202-07-08
CQ01202-07-09
CQ01202-07-11
CQ01202-07-12
CQ01202-07-13
CQ01202-07-14
CQ01202-08-12
CQ01202-08-01
CQ01202-08-07
CQ01202-08-08
CQ01202-08-09
CQ01202-08-10
CQ01202-08-11
CQ01202-09-13
CQ01202-09-01
CQ01202-09-02
CQ01202-09-03
CQ01202-09-05
CQ01202-09-06
CQ01202-09-08
CQ01202-09-09
CQ01202-09-10
CQ01202-09-11
CQ01202-09-12
CQ01202-10-01
CQ01202-10-02
CQ01202-10-03
CQ01202-10-05
CQ01202-10-06
CQ01202-10-08
CQ01202-10-09
CQ01202-10-11
CQ01202-10-12
CQ01202-10-13
CQ01202-10-14
CQ01202-09-14
CQ01203-01-01
CQ01203-01-02
CQ01203-01-03
CQ01203-01-04
CQ01203-01-05
CQ01203-01-06
CQ01203-01-07
CQ01203-01-08
CQ01203-01-09
CQ01203-02-01
CQ01203-02-02
CQ01203-02-03
CQ01203-02-04
CQ01203-02-05
CQ01203-02-06
CQ01203-02-07
CQ01203-02-08
CQ01203-02-09
CQ01203-03-01
CQ01203-03-02
CQ01203-03-03
CQ01203-03-04
CQ01203-03-05
CQ01203-03-06
CQ01203-03-07
CQ01203-03-08
CQ01203-03-09
CQ01203-04-01
CQ01203-04-02
CQ01203-04-03
CQ01203-04-04
CQ01203-04-05
CQ01203-04-06
CQ01203-04-07
CQ01203-04-08
CQ01203-05-01
CQ01203-05-02
CQ01203-05-03
CQ01203-05-05
CQ01203-05-06
CQ01203-05-08
CQ01203-05-09
CQ01203-05-10
CQ01203-06-10
CQ01203-07-10
CQ01203-06-01
CQ01203-06-02
CQ01203-06-03
CQ01203-06-04
CQ01203-06-05
CQ01203-06-06
CQ01203-06-07
CQ01203-06-08
CQ01203-06-09
CQ01203-07-01
CQ01203-07-02
CQ01203-07-03
CQ01203-07-04
CQ01203-07-05
CQ01203-07-06
CQ01203-07-07
CQ01203-07-08
CQ01203-07-09
CQ01203-08-01
CQ01203-08-02
CQ01203-08-03
CQ01203-08-04
CQ01203-08-05
CQ01203-08-06
CQ01203-08-07
CQ01203-08-08
CQ01203-08-09
CQ01203-09-01
CQ01203-09-02
CQ01203-09-03
CQ01203-09-04
CQ01203-09-05
CQ01203-09-06
CQ01203-09-07
CQ01203-09-08
CQ01203-09-09
CQ01203-09-10
CQ01203-09-11
CQ01203-10-11
CQ01203-10-01
CQ01203-10-02
CQ01203-10-03
CQ01203-10-04
CQ01203-10-05
CQ01203-10-06
CQ01203-10-07
CQ01203-10-08
CQ01203-10-09
CQ01203-11-01
CQ01203-11-02
CQ01203-11-03
CQ01203-11-04
CQ01203-11-05
CQ01203-11-06
CQ01203-11-07
CQ01203-11-08
CQ01203-11-09
CQ01203-11-10
CQ01203-11-11
CQ01203-10-10</t>
  </si>
  <si>
    <t>2022.8.1关闭1个27A机柜
CQ01103-06-03</t>
  </si>
  <si>
    <t>2022.8.1关闭1个27A机柜
CQ01201-12-01</t>
  </si>
  <si>
    <t>2022.8.23关闭4个0A机柜，实际关闭2个0A机柜
CQ01101-05-01
CQ01103-05-01未开通
CQ01103-05-02未开通
CQ01204-04-01</t>
  </si>
  <si>
    <t>2022.8.23关闭1个20A机柜
CQ01103-02-01</t>
  </si>
  <si>
    <t>2022.8.23关闭4个50A机柜
CQ01103-05-04
CQ01103-05-05
CQ01103-06-04
CQ01103-06-05</t>
  </si>
  <si>
    <t>YF永丰</t>
  </si>
  <si>
    <t>QYYF</t>
  </si>
  <si>
    <t>YF</t>
  </si>
  <si>
    <t>2021.1.21退租</t>
  </si>
  <si>
    <t>62A</t>
  </si>
  <si>
    <t>2018年1月10日</t>
  </si>
  <si>
    <t>20190612关闭244个</t>
  </si>
  <si>
    <t>20190624开通45个</t>
  </si>
  <si>
    <t>20190625拆机324个</t>
  </si>
  <si>
    <t>对方反馈20190628拆机53个，其中YFB105-08-06我方反馈暂不关闭</t>
  </si>
  <si>
    <t>7月2日关闭117个</t>
  </si>
  <si>
    <t>7月2日关闭4个，实际电流为20A：YFB105-08-09，YFB105-08-10， 
YFB205-08-09，YFB205-08-10</t>
  </si>
  <si>
    <t>7月4日开通43个</t>
  </si>
  <si>
    <t>7月12日开通27个</t>
  </si>
  <si>
    <t>7月15日开通127个</t>
  </si>
  <si>
    <t>YF机房70个，QYYF17个</t>
  </si>
  <si>
    <t>其中6个万兆端口收取端口占用费， 3万元/个/月，共计18万元/月。每提高5G保底，可减免一个端口占用费。</t>
  </si>
  <si>
    <t>IDC机架占用费</t>
  </si>
  <si>
    <t>在2019年对永丰机房进行改造，保留的房间为B103、B104、B203、B204 共485机柜。如甲方未在2020年3月月31日前完成起租，则需要自4月1日起对未起租机柜按照3000元/机柜/月向乙方交纳资源预占费；每月正预提</t>
  </si>
  <si>
    <t>于2022.3.31退租，不再计提。</t>
  </si>
  <si>
    <t>1月28日开通</t>
  </si>
  <si>
    <t>裸光纤（5条）</t>
  </si>
  <si>
    <t>L20221129003</t>
  </si>
  <si>
    <t>BJHW-电信</t>
  </si>
  <si>
    <t>此段IP为兆维机房外拉至华威机房。兆维机房于2021.1.28新增256个IP。220.181.44.0/24
自2022.6.1开始单价降为20元</t>
  </si>
  <si>
    <t>L20201125002</t>
  </si>
  <si>
    <t>CP01昌平 CDN</t>
  </si>
  <si>
    <t>CP01</t>
  </si>
  <si>
    <t>2021-2-5关闭</t>
  </si>
  <si>
    <t>CQ01 次渠  CDN</t>
  </si>
  <si>
    <t>于2021.4.27迁移至CQ01机房。自2022.5.1开始单价降为20元</t>
  </si>
  <si>
    <t>兆维CDN</t>
  </si>
  <si>
    <t>CDNBJCT</t>
  </si>
  <si>
    <t>2014-1-27</t>
  </si>
  <si>
    <t>182215IDC00573</t>
  </si>
  <si>
    <t>百度大厦-阳泉</t>
  </si>
  <si>
    <t xml:space="preserve">北京阳泉 ETN0007NP </t>
  </si>
  <si>
    <t xml:space="preserve">182315IDC00038 </t>
  </si>
  <si>
    <t>QYZJ</t>
  </si>
  <si>
    <t>QYZJ311-E-10，QYZJ311-E-12，QYZJ311-F-10，QYZJ311-F-12</t>
  </si>
  <si>
    <t>QYZJ311-E-14，QYZJ311-F-14</t>
  </si>
  <si>
    <t>QYZJ311-A-02~06，QYZJ311-A-08~10，QYZJ311-A-12~14，QYZJ311-A-16~19，QYZJ311-A-20~22，QYZJ311-B-02~06，QYZJ311-B-08~10，QYZJ311-B-12~14，QYZJ311-B-16~18，QYZJ311-B-20~22，QYZJ311-C-02~12，QYZJ311-C-14~16，QYZJ311-C-18~20，QYZJ311-D-02~07，QYZJ311-D-09~11，QYZJ311-D-13~18，QYZJ311-E-02~07，QYZJ311-E-15~20，QYZJ311-F-02~07，QYZJ311-F-15~20，QYZJ311-G-02~12，QYZJ311-G-14~16，QYZJ311-G-18~20，QYZJ311-H-02~07，QYZJ311-H-09~11，QYZJ311-H-13~18，QYZJ311-I-02~06，QYZJ311-I-08~10，QYZJ311-I-12~14，QYZJ311-I-16~18，QYZJ311-I-20~22，QYZJ311-J-02~06，QYZJ311-J-08~10，QYZJ311-J-12~14，QYZJ311-J-16~18，QYZJ311-J-20~22，QYZJ316-G-02~07，QYZJ316-G-09~11，QYZJ316-G-13~15，QYZJ316-H-01~09，QYZJ316-H-11~13，QYZJ316-H-15~17，QYZJ316-I-01~06，QYZJ316-I-08~10，QYZJ316-I-12~17，QYZJ311-J-23，QYZJ316-G-01</t>
  </si>
  <si>
    <t>QYZJ311-C-01，QYQYZJ311-A-19，ZJ311-D-01，QYZJ311-D-08，QYZJ311-D-12，QYZJ311-D-19，QYZJ311-E-01，QYZJ311-E-08，QYZJ311-E-21，QYZJ311-F-01，QYZJ311-F-08，QYZJ311-F-21，QYZJ311-G-01，QYZJ311-G-13，QYZJ311-G-17，QYZJ311-G-21，QYZJ311-H-01，QYZJ311-H-08，QYZJ311-H-12，QYZJ311-H-19，QYZJ311-I-01，QYZJ311-I-15，QYZJ311-I-19，QYZJ311-A-07，QYZJ311-A-11，QYZJ311-A-15，QYZJ311-A-19，QYZJ311-A-23</t>
  </si>
  <si>
    <t>QYZJ311-A-01，QYZJ311-B-01，QYZJ311-B-07，QYZJ311-B-11，QYZJ311-B-15，QYZJ311-B-19，QYZJ311-B-23，QYZJ311-C-21，QYZJ311-C-17，QYZJ311-C-13 </t>
  </si>
  <si>
    <t>QYZJ316-G-12</t>
  </si>
  <si>
    <t>2022.11.17关闭
QYZJ311-A-07
QYZJ311-A-23
QYZJ311-B-07
QYZJ311-B-11
QYZJ311-B-12
QYZJ311-B-13
QYZJ311-B-14
QYZJ311-B-15
QYZJ311-B-19
QYZJ311-B-20
QYZJ311-B-21
QYZJ311-B-22
QYZJ311-B-23
QYZJ311-G-21
QYZJ311-H-02
QYZJ311-H-03
QYZJ311-H-04
QYZJ311-H-05
QYZJ311-H-06
QYZJ311-H-07
QYZJ311-H-08
QYZJ311-I-16
QYZJ311-I-17
QYZJ311-I-18
QYZJ311-I-19
QYZJ311-I-20
QYZJ311-I-21
QYZJ311-I-22
QYZJ311-I-23
QYZJ311-J-11
QYZJ311-J-19
QYZJ316-H-04
QYZJ316-H-05
QYZJ316-H-06
QYZJ316-H-07
QYZJ316-H-08
QYZJ316-H-09
QYZJ316-I-11
QYZJ316-I-12
QYZJ316-I-13
QYZJ316-I-14
QYZJ316-I-15
QYZJ316-I-16
QYZJ316-I-17</t>
  </si>
  <si>
    <t>2022.12.8关闭
QYZJ311-A-08
QYZJ311-A-09
QYZJ311-A-10
QYZJ311-A-11
QYZJ311-A-12
QYZJ311-A-13
QYZJ311-A-14
QYZJ311-A-15
QYZJ311-A-16
QYZJ311-A-17
QYZJ311-A-18
QYZJ311-A-19
QYZJ311-A-20
QYZJ311-A-21
QYZJ311-A-22
QYZJ311-B-02
QYZJ311-B-03
QYZJ311-B-04
QYZJ311-B-05
QYZJ311-B-06
QYZJ311-B-08
QYZJ311-B-09
QYZJ311-B-10
QYZJ311-F-05
QYZJ311-F-06
QYZJ311-F-07
QYZJ311-F-08
QYZJ316-I-07
QYZJ316-I-08
QYZJ316-I-09
QYZJ316-I-10</t>
  </si>
  <si>
    <t>2023.1.3关闭
QYZJ311-B-16
QYZJ311-B-17
QYZJ311-B-18
QYZJ311-C-14
QYZJ311-C-15
QYZJ311-C-16
QYZJ311-C-17
QYZJ311-C-18
QYZJ311-C-19
QYZJ311-C-20
QYZJ311-C-21
QYZJ311-F-02
QYZJ311-F-03
QYZJ311-F-04
QYZJ311-J-02
QYZJ311-J-03
QYZJ311-J-04
QYZJ311-J-05
QYZJ311-J-06
QYZJ311-J-07
QYZJ311-J-08
QYZJ311-J-09
QYZJ311-J-10</t>
  </si>
  <si>
    <t>2023.2.10关闭
QYZJ311-A-02
QYZJ311-A-03
QYZJ311-A-04
QYZJ311-A-05
QYZJ311-A-06
QYZJ311-C-02
QYZJ311-C-03
QYZJ311-C-04
QYZJ311-C-05
QYZJ311-C-06
QYZJ311-C-07
QYZJ311-C-08
QYZJ311-C-09
QYZJ311-C-10
QYZJ311-C-11
QYZJ311-C-12
QYZJ311-C-13
QYZJ311-D-02
QYZJ311-D-03
QYZJ311-D-04
QYZJ311-D-05
QYZJ311-D-06
QYZJ311-D-07
QYZJ311-D-08
QYZJ311-D-09
QYZJ311-D-10
QYZJ311-D-11
QYZJ311-D-12
QYZJ311-D-13
QYZJ311-D-14
QYZJ311-D-15
QYZJ311-D-16
QYZJ311-D-17
QYZJ311-D-18
QYZJ311-D-19
QYZJ311-E-02
QYZJ311-E-03
QYZJ311-E-04
QYZJ311-E-05
QYZJ311-E-06
QYZJ311-E-07
QYZJ311-E-08
QYZJ311-E-15
QYZJ311-E-16
QYZJ311-E-17
QYZJ311-E-18
QYZJ311-E-19
QYZJ311-E-20
QYZJ311-E-21
QYZJ311-F-15
QYZJ311-F-16
QYZJ311-F-17
QYZJ311-F-18
QYZJ311-F-19
QYZJ311-F-20
QYZJ311-F-21
QYZJ311-G-02
QYZJ311-G-03
QYZJ311-G-04
QYZJ311-G-05
QYZJ311-G-06
QYZJ311-G-07
QYZJ311-G-08
QYZJ311-G-09
QYZJ311-G-10
QYZJ311-G-11
QYZJ311-G-12
QYZJ311-G-13
QYZJ311-G-14
QYZJ311-G-15
QYZJ311-G-16
QYZJ311-G-17
QYZJ311-G-18
QYZJ311-G-19
QYZJ311-G-20
QYZJ311-H-09
QYZJ311-H-10
QYZJ311-H-11
QYZJ311-H-12
QYZJ311-H-13
QYZJ311-H-14
QYZJ311-H-15
QYZJ311-H-16
QYZJ311-H-17
QYZJ311-H-18
QYZJ311-H-19
QYZJ311-I-02
QYZJ311-I-03
QYZJ311-I-04
QYZJ311-I-05
QYZJ311-I-06
QYZJ311-I-07
QYZJ311-I-08
QYZJ311-I-09
QYZJ311-I-10
QYZJ311-I-11
QYZJ311-I-12
QYZJ311-I-13
QYZJ311-I-14
QYZJ311-J-12
QYZJ311-J-13
QYZJ311-J-14
QYZJ311-J-15
QYZJ311-J-16
QYZJ311-J-17
QYZJ311-J-18
QYZJ311-J-20
QYZJ311-J-21
QYZJ311-J-22</t>
  </si>
  <si>
    <t>2023.2.17关闭
QYZJ311-A-01
QYZJ311-B-01
QYZJ311-C-01
QYZJ311-D-01
QYZJ311-E-01
QYZJ311-F-01
QYZJ311-G-01
QYZJ311-H-01
QYZJ311-I-01
QYZJ311-I-15
QYZJ311-J-01
QYZJ311-J-23
QYZJ316-G-01</t>
  </si>
  <si>
    <t>2023.2.17关闭
QYZJ311-E-10，QYZJ311-E-12，QYZJ311-F-10，QYZJ311-F-12</t>
  </si>
  <si>
    <t>2023.2.17关闭
QYZJ311-E-14，QYZJ311-F-14</t>
  </si>
  <si>
    <t>中经云库房</t>
  </si>
  <si>
    <t>其他-工位</t>
  </si>
  <si>
    <t>中经云工位2个</t>
  </si>
  <si>
    <t>中金机房至汇天机房</t>
  </si>
  <si>
    <t>B17558954</t>
  </si>
  <si>
    <t xml:space="preserve">10M IDC管理专线，付款账户3842
</t>
  </si>
  <si>
    <t xml:space="preserve">10M IDC管理专线，付款账户3842；2022.8.25由10M升速至20M
</t>
  </si>
  <si>
    <t>182215IDC00612</t>
  </si>
  <si>
    <t>凉水河</t>
  </si>
  <si>
    <t>BJLSH</t>
  </si>
  <si>
    <t>12月新增</t>
  </si>
  <si>
    <t>2019.8.26开通14个ODF机柜，2021年5月对账时发现，商务确认暂时先从2021年6月开始计提。BJLSH3D201-01-01
BJLSH3D201-01-06
BJLSH3D201-01-08
BJLSH3D201-02-05
BJLSH3D201-02-07
BJLSH3D201-03-05
BJLSH3D201-03-07
BJLSH3D201-03-08
BJLSH3D201-03-10
BJLSH3D201-04-01
BJLSH3D201-04-06
BJLSH3D201-04-08
BJLSH3D201-04-09
BJLSH3D201-04-11</t>
  </si>
  <si>
    <t>202001新增</t>
  </si>
  <si>
    <t>202002新增</t>
  </si>
  <si>
    <t>2020/2/14关闭</t>
  </si>
  <si>
    <t>2020/3/6关闭</t>
  </si>
  <si>
    <t>2020/3/31关闭</t>
  </si>
  <si>
    <t>2020/4/24关闭</t>
  </si>
  <si>
    <t>202006新增</t>
  </si>
  <si>
    <t>202007新增</t>
  </si>
  <si>
    <t>202008新增</t>
  </si>
  <si>
    <t>202009新增</t>
  </si>
  <si>
    <t>2020-10新增，BJLSH3D301-02-13、BJLSH3D301-02-14、BJLSH3D301-02-15</t>
  </si>
  <si>
    <t>2020-10-26新增，BJLSH3D301-02-16~19</t>
  </si>
  <si>
    <t>2020-10-28新增，BJLSH3D301-02-20、BJLSH3D301-02-21、BJLSH3D301-02-22、
BJLSH3D301-02-23</t>
  </si>
  <si>
    <t>2020-11-3新增，BJLSH3D301-03-01~BJLSH3D301-03-06</t>
  </si>
  <si>
    <t>2020-11-7新增，BJLSH3D301-02-24~BJLSH3D301-02-26、BJLSH3D301-03-07~BJLSH3D301-03-12</t>
  </si>
  <si>
    <t>2020-11-13新增，BJLSH3D301-03-13、BJLSH3D301-03-14</t>
  </si>
  <si>
    <t>2020-11-18新增，BJLSH3D301-03-19~BJLSH3D301-03-26</t>
  </si>
  <si>
    <t>2020-11-24新增，BJLSH3D301-03-27~BJLSH3D301-03-29</t>
  </si>
  <si>
    <t>2020-11-25新增，BJLSH3D301-03-30~BJLSH3D301-03-32</t>
  </si>
  <si>
    <t>2020-11-30新增，BJLSH3D301-04-16、BJLSH3D301-04-17</t>
  </si>
  <si>
    <t>2020-12-3新增，BJLSH3D301-04-06</t>
  </si>
  <si>
    <t>2020-12-7新增，BJLSH3D301-04-01</t>
  </si>
  <si>
    <t>2020-12-8新增，BJLSH3D301-04-02</t>
  </si>
  <si>
    <t>2020-12-10新增，BJLSH3D301-04-03~05</t>
  </si>
  <si>
    <t>2020-12-11新增，BJLSH3D301-04-07~09</t>
  </si>
  <si>
    <t>2020-12-16新增，BJLSH3D301-04-10~15、BJLSH3D301-04-18~22</t>
  </si>
  <si>
    <t>2020-12-22新增，BJLSH3D301-04-23~34</t>
  </si>
  <si>
    <t>2020-12-23新增，BJLSH3D301-05-02~09</t>
  </si>
  <si>
    <t>2020-12-31新增，
BJLSH3D301-05-10
BJLSH3D301-05-11
BJLSH3D301-05-12</t>
  </si>
  <si>
    <t>2021-1-8开通，BJLSH3D302-01-01~16、BJLSH3D302-02-01~06</t>
  </si>
  <si>
    <t>2021-1-12关闭，BJLSH3D302-01-01~16、BJLSH3D302-02-01~06</t>
  </si>
  <si>
    <t>2021-1-12新增，BJLSH3D302-05-01~12、BJLSH3D302-06-01~09、BJLSH3D302-07-02~09</t>
  </si>
  <si>
    <t>2021-1-22新增，BJLSH3D301-05-13~27、BJLSH3D301-06-01~12</t>
  </si>
  <si>
    <t>2021-2-5新增，BJLSH3D302-02-09~13</t>
  </si>
  <si>
    <t>2021-2-24新增，BJLSH3D301-07-01~06</t>
  </si>
  <si>
    <t>2021-2-26新增，BJLSH3D301-06-13
BJLSH3D301-06-14
BJLSH3D301-06-15
BJLSH3D301-06-16
BJLSH3D301-06-17
BJLSH3D301-06-18
BJLSH3D301-06-19
BJLSH3D301-06-20
BJLSH3D301-06-21
BJLSH3D301-06-22
BJLSH3D301-06-23
BJLSH3D302-02-01
BJLSH3D302-02-02
BJLSH3D302-02-03
BJLSH3D302-02-04
BJLSH3D302-02-05
BJLSH3D302-03-01
BJLSH3D302-03-02
BJLSH3D302-03-03
BJLSH3D302-03-04
BJLSH3D302-03-05
BJLSH3D302-03-06
BJLSH3D302-03-07
BJLSH3D302-03-08
BJLSH3D302-03-09
BJLSH3D302-03-10
BJLSH3D302-03-11
BJLSH3D302-03-12
BJLSH3D302-03-13
BJLSH3D302-03-14
BJLSH3D302-03-15
BJLSH3D302-03-16
BJLSH3D302-04-03
BJLSH3D302-04-04
BJLSH3D302-04-05
BJLSH3D302-04-06
BJLSH3D302-04-07
BJLSH3D302-04-08
BJLSH3D302-04-09
BJLSH3D302-04-10
BJLSH3D302-04-11
BJLSH3D302-04-12
BJLSH3D302-04-13
BJLSH3D302-04-14
BJLSH3D302-04-15
BJLSH3D302-04-16
BJLSH3D302-04-17</t>
  </si>
  <si>
    <t>2021-3-8新增，BJLSH3D302-01-01
BJLSH3D302-01-02
BJLSH3D302-01-03
BJLSH3D302-01-04
BJLSH3D302-01-05
BJLSH3D302-01-06
BJLSH3D302-01-07
BJLSH3D302-01-08
BJLSH3D302-02-06
BJLSH3D302-02-07
BJLSH3D302-02-08</t>
  </si>
  <si>
    <t>2021-3-15新增，BJLSH3D301-07-07
BJLSH3D301-07-08
BJLSH3D301-07-09</t>
  </si>
  <si>
    <t>2021-3-16新增，BJLSH3D301-07-10
BJLSH3D301-07-11
BJLSH3D301-07-12
BJLSH3D301-07-13
BJLSH3D301-07-14
BJLSH3D301-07-15
BJLSH3D301-07-16
BJLSH3D301-07-17</t>
  </si>
  <si>
    <t>2021-3-23新增，BJLSH3D301-07-18
BJLSH3D301-07-19
BJLSH3D301-07-20
BJLSH3D301-07-21
BJLSH3D301-07-22</t>
  </si>
  <si>
    <t>2021-3-25新增，BJLSH3D301-07-23
BJLSH3D301-07-24
BJLSH3D301-07-25
BJLSH3D301-07-26
BJLSH3D301-07-27
BJLSH3D301-07-28</t>
  </si>
  <si>
    <t>2021-4-2新增，BJLSH3D302-01-09
BJLSH3D302-01-10
BJLSH3D302-01-11
BJLSH3D302-01-12
BJLSH3D302-01-13
BJLSH3D302-01-14
BJLSH3D302-01-15
BJLSH3D302-01-16</t>
  </si>
  <si>
    <t>2021-4-23新增，BJLSH3D301-08-02
BJLSH3D301-08-03
BJLSH3D301-08-08
BJLSH3D301-08-09
BJLSH3D301-08-14
BJLSH3D301-08-20
BJLSH3D301-08-01
BJLSH3D301-08-07
BJLSH3D301-08-13
BJLSH3D301-08-19</t>
  </si>
  <si>
    <t>2021-4-28新增，BJLSH3D301-08-04
BJLSH3D301-08-05
BJLSH3D301-08-06</t>
  </si>
  <si>
    <t>2021-6-3新增，BJLSH3D301-08-15
BJLSH3D301-08-16
BJLSH3D301-08-17
BJLSH3D301-08-18</t>
  </si>
  <si>
    <t>2021-6-11新增，BJLSH3D302-08-04
BJLSH3D302-08-05
BJLSH3D302-08-06
BJLSH3D302-08-07
BJLSH3D302-08-08
BJLSH3D302-08-09
BJLSH3D302-08-10
BJLSH3D302-08-11
BJLSH3D302-08-12
BJLSH3D302-08-13
BJLSH3D302-08-14
BJLSH3D302-08-15</t>
  </si>
  <si>
    <t>2021-6-4新增，BJLSH3D302-08-03</t>
  </si>
  <si>
    <t>2021-9-1新增，BJLSH3D201-08-01
BJLSH3D201-08-02
BJLSH3D201-08-03
BJLSH3D301-07-29
BJLSH3D301-07-30
BJLSH3D301-07-31
BJLSH3D301-07-32
BJLSH3D301-07-33
BJLSH3D301-07-34
BJLSH3D301-08-10
BJLSH3D301-08-11
BJLSH3D301-08-12</t>
  </si>
  <si>
    <t>2021-9-13新增，
BJLSH3D301-08-21
BJLSH3D301-08-22
BJLSH3D301-08-23</t>
  </si>
  <si>
    <t>2021-11-29关闭，BJLSH3D302-08-07
BJLSH3D302-08-09
BJLSH3D302-08-14
BJLSH3D302-08-15</t>
  </si>
  <si>
    <t>2021-11-29关闭，BJLSH3D201-02-02
BJLSH3D201-02-03
BJLSH3D201-03-02
BJLSH3D201-03-03</t>
  </si>
  <si>
    <t>2022-2-15开通，BJLSH3D302-07-14
BJLSH3D302-07-15
BJLSH3D302-07-16
BJLSH3D302-07-17</t>
  </si>
  <si>
    <t>2022-2-16开通，BJLSH3D302-07-12
BJLSH3D302-07-13</t>
  </si>
  <si>
    <t>2022-2-17开通，BJLSH3D302-07-01</t>
  </si>
  <si>
    <t>2022-2-19开通，BJLSH3D302-07-10
BJLSH3D302-07-11</t>
  </si>
  <si>
    <t>2022-2-21开通，BJLSH3D301-08-24
BJLSH3D301-08-25
BJLSH3D301-08-26
BJLSH3D301-08-27
BJLSH3D301-08-28
BJLSH3D301-08-29
BJLSH3D301-08-30
BJLSH3D301-08-31
BJLSH3D301-08-32</t>
  </si>
  <si>
    <t>2022-12-2关闭，BJLSH3D302-08-04
BJLSH3D302-08-05
BJLSH3D302-08-06
BJLSH3D302-08-13</t>
  </si>
  <si>
    <t>凉水河到窦店</t>
  </si>
  <si>
    <t>天地祥云---kddi----太和桥---十三里桥----窦店东交接箱，单价605元/月/公里；自2021年6月开始按390元/月/公里计提，差额部分将计提在光环新网</t>
  </si>
  <si>
    <t>天地祥云---南三环东铁营桥--紫竹桥--窦店西交接箱，单价605元/月/公里；自2021年6月开始按390元/月/公里计提，差额部分将计提在光环新网</t>
  </si>
  <si>
    <t>M1-凉水河</t>
  </si>
  <si>
    <t>凉水河到亦庄</t>
  </si>
  <si>
    <t>科技园到凉水河</t>
  </si>
  <si>
    <t>新增4个C的IP代播，于7月3日开始计费
106.13.244.0/23
106.13.246.0/23</t>
  </si>
  <si>
    <t>182015IDC00224</t>
  </si>
  <si>
    <t>新增288个IP，于7月31日开始计费，科技城256个（于2021.4.27迁移至CQ01机房。），兆维32个
221.100.20.32/27</t>
  </si>
  <si>
    <t>新增288个IP，于7月31日开始计费，科技城256个（于2021.4.27迁移至CQ01机房。），兆维32个
106.38.179.0/24；自2022.5.1开始单价降为20元</t>
  </si>
  <si>
    <t>次渠CDN静态</t>
  </si>
  <si>
    <t>BJDD-电信CDN</t>
  </si>
  <si>
    <t>BJDD-电信CDN节点，于2022.5.1新增8个C的IP，免费3个，收费5个
36.110.192.0/24
36.110.219.0/24
36.110.135.0/24
36.110.147.0/24
36.110.164.0/24
36.110.173.0/24
36.110.171.0/24
36.110.176.0/24
自2022.5.1开始单价降为20元</t>
  </si>
  <si>
    <t>中金机房-北京西城区</t>
  </si>
  <si>
    <t>B131003140</t>
  </si>
  <si>
    <t>自2020/5/1从中金云转至北京电信；电路编号：B131003140中金机房-北京西城区金融大街甲15号3层  182015ITE00001</t>
  </si>
  <si>
    <t>2022.8.8退租。
自2020/5/1从中金云转至北京电信；电路编号：B131003140中金机房-北京西城区金融大街甲15号3层  182015ITE00001</t>
  </si>
  <si>
    <t>中金机房-北京通州区</t>
  </si>
  <si>
    <t>B17553231</t>
  </si>
  <si>
    <t>自2020/5/1从中金云转至北京电信；自2021/1/6升速为10M;电路编号：B17553231中金机房-北京市通州区宋庄镇徐尹路与富壁路交叉口，云端产业园4号楼5层</t>
  </si>
  <si>
    <t>汇天机房-北京海淀区</t>
  </si>
  <si>
    <t>B17553353</t>
  </si>
  <si>
    <t>自2020/5/1从中金云转至北京电信；电路编号：B17553353汇天机房- 北京海淀区巨山东路99号人民银行办公区办公楼二层网络机房</t>
  </si>
  <si>
    <t>B17553605</t>
  </si>
  <si>
    <t>自2020/5/1从中金云转至北京电信；电路编号：B17553605中金机房-北京市西城区右安门内大街新安南里甲一号人行</t>
  </si>
  <si>
    <t>汇天机房-北京朝阳区</t>
  </si>
  <si>
    <t>B17554529</t>
  </si>
  <si>
    <t>电路编号：B17554529汇天机房-北京市朝阳区酒仙桥北路甲10号德信大厦6层    客户编号44157</t>
  </si>
  <si>
    <t>汇天机房-北京西城区</t>
  </si>
  <si>
    <t>B17555135</t>
  </si>
  <si>
    <t>电路编号：B17555135汇天机房-北京市西城区金融街33号通泰大厦B座2层机房（中央国债登记结算有限公司）</t>
  </si>
  <si>
    <t>2022.3.31退租。电路编号：B17555135汇天机房-北京市西城区金融街33号通泰大厦B座2层机房（中央国债登记结算有限公司）</t>
  </si>
  <si>
    <t>中金机房-北京金融大街</t>
  </si>
  <si>
    <t>B17555277</t>
  </si>
  <si>
    <t>电路编号：B17555277中金机房-北京市金融大街甲15号3层机房（司法查冻控接入银监会专线）</t>
  </si>
  <si>
    <t>永丰机房-百度大厦</t>
  </si>
  <si>
    <t>BJ1000963609</t>
  </si>
  <si>
    <t>工信部数据中心：北京海淀区永澄北路永丰产业园C区永丰路28号北京电信永丰IDC F319房间8-1机柜；百度数据中心：北京市海淀区上地十街十号百度大厦</t>
  </si>
  <si>
    <t>中金机房-南京</t>
  </si>
  <si>
    <t>B18637943</t>
  </si>
  <si>
    <t>电路编号：B18637943中金机房-南京市下关区张王庙88号M2-A南京凤凰机房</t>
  </si>
  <si>
    <t>中金机房-上海闸北</t>
  </si>
  <si>
    <t>B18638940</t>
  </si>
  <si>
    <t>电路编号：B18638940中金机房-上海市闸北区江场西路387号数据港大厦2楼VIP04的E01机柜</t>
  </si>
  <si>
    <t>于2020.9.30退租。电路编号：B18638940中金机房-上海市闸北区江场西路387号数据港大厦2楼VIP04的E01机柜</t>
  </si>
  <si>
    <t>中金机房-上海浦东</t>
  </si>
  <si>
    <t>B18639302</t>
  </si>
  <si>
    <t>自2021/5/10降速为4M；电路编号：B18639302中金机房-上海市浦东新区顾唐路1699号2号楼4楼机房</t>
  </si>
  <si>
    <t>中金机房-上海嘉定</t>
  </si>
  <si>
    <t>B18644350</t>
  </si>
  <si>
    <t>自2021/5/6降速为2M；电路编号：B18644350中金机房-嘉定数据中心线路上海市汇旺东路 398 号 6 号楼 1 楼上海票交所</t>
  </si>
  <si>
    <t>182215IDC00058</t>
  </si>
  <si>
    <t>其他-防攻击费</t>
  </si>
  <si>
    <t>云堤防攻击费，自2022.1.1开始计提</t>
  </si>
  <si>
    <t>华南-WM</t>
  </si>
  <si>
    <t>奥飞数据</t>
  </si>
  <si>
    <t>182215IDC00694</t>
  </si>
  <si>
    <t>超跑电量</t>
  </si>
  <si>
    <t>根据上月预估，每月正预提</t>
  </si>
  <si>
    <t>80A</t>
  </si>
  <si>
    <t>2022-12-13开通，BJLSH3D201-02-02
BJLSH3D201-03-02
80A（18KW）按40A结算</t>
  </si>
  <si>
    <t>L20220826002</t>
  </si>
  <si>
    <t>固安聚龙</t>
  </si>
  <si>
    <t>GAJL</t>
  </si>
  <si>
    <t>2022.8.19开通
GAJLD742-E-14
GAJLD742-H-14
GAJLD741-E-01
GAJLD741-F-01
GAJLD731-J-10
GAJLD731-N-10</t>
  </si>
  <si>
    <t>2022.8.19开通
GAJLD741-D-01
GAJLD741-D-02
GAJLD741-D-03
GAJLD741-D-04
GAJLD741-D-05
GAJLD741-D-06
GAJLD741-D-07
GAJLD741-D-08
GAJLD741-E-02
GAJLD741-E-03
GAJLD741-E-04
GAJLD741-E-05
GAJLD741-E-06
GAJLD741-E-07
GAJLD741-E-08
GAJLD741-E-09
GAJLD741-E-10
GAJLD741-E-11
GAJLD741-E-12
GAJLD741-E-13
GAJLD741-F-02
GAJLD741-F-03
GAJLD741-F-04
GAJLD741-F-05
GAJLD741-F-06
GAJLD741-F-07
GAJLD741-F-08
GAJLD741-F-09
GAJLD741-F-10
GAJLD741-F-11
GAJLD742-C-01
GAJLD742-D-01
GAJLD742-E-03
GAJLD742-E-06
GAJLD742-F-01
GAJLD742-F-05
GAJLD742-F-08
GAJLD742-G-01
GAJLD742-G-06
GAJLD742-G-09
GAJLD742-H-06
GAJLD742-H-12
GAJLD731-A-02
GAJLD731-A-03
GAJLD731-A-04
GAJLD731-A-05
GAJLD731-A-06
GAJLD731-B-02
GAJLD731-B-03
GAJLD731-B-04
GAJLD731-C-05
GAJLD731-C-06
GAJLD731-C-07
GAJLD731-C-08
GAJLD731-D-03
GAJLD731-D-04
GAJLD731-D-05
GAJLD731-D-06
GAJLD731-E-11
GAJLD731-F-11
GAJLD731-J-06
GAJLD731-J-07
GAJLD731-J-08
GAJLD731-J-09
GAJLD731-K-02
GAJLD731-K-04
GAJLD731-K-06
GAJLD731-K-07
GAJLD731-M-06
GAJLD731-M-07
GAJLD731-N-06
GAJLD731-N-07
GAJLD731-N-08
GAJLD731-N-09
GAJLD741-A-01
GAJLD741-A-02
GAJLD741-A-03
GAJLD741-A-04
GAJLD741-A-05
GAJLD741-A-06
GAJLD741-A-07
GAJLD741-A-08
GAJLD741-B-01
GAJLD741-B-02
GAJLD741-B-03
GAJLD741-B-04
GAJLD741-B-05
GAJLD741-B-06
GAJLD741-B-07
GAJLD741-B-08
GAJLD741-C-01
GAJLD741-C-02
GAJLD741-C-03
GAJLD741-C-04
GAJLD741-C-05
GAJLD741-C-06
GAJLD741-D-09
GAJLD741-D-10
GAJLD741-H-13
GAJLD741-G-13</t>
  </si>
  <si>
    <t>2022.8.19开通
GAJLD731-K-02
GAJLD731-K-04</t>
  </si>
  <si>
    <t>2022.8.19开通
GAJLD731-K-06
GAJLD731-M-06</t>
  </si>
  <si>
    <t>2022.8.20开通2个ODF机柜，免费
GAJLD742-E-01
GAJLD742-H-01</t>
  </si>
  <si>
    <t>2022.8.26开通
GAJLD731-E-09
GAJLD731-E-10
GAJLD731-F-09
GAJLD731-F-10</t>
  </si>
  <si>
    <t>2022.9.8开通
GAJLD731-G-02
GAJLD731-H-02</t>
  </si>
  <si>
    <t>2022.9.9开通
GAJLD742-A-02
GAJLD742-A-03</t>
  </si>
  <si>
    <t xml:space="preserve">2022.9.10开通2个ODF机柜，免费
GAJLD731-J-01
GAJLD731-N-01 </t>
  </si>
  <si>
    <t>2022.11.2开通
GAJLD731-M-02
GAJLD731-M-04</t>
  </si>
  <si>
    <t>2022.11.2开通
GAJLD742-E-02</t>
  </si>
  <si>
    <t>2022.11.5开通
GAJLD742-F-11
GAJLD742-G-12
GAJLD742-J-02
GAJLD742-J-05
GAJLD742-K-05
GAJLD742-M-02</t>
  </si>
  <si>
    <t>2022.11.17开通
GAJLD742-E-04
GAJLD742-E-05
GAJLD742-E-07
GAJLD742-E-08
GAJLD742-E-09</t>
  </si>
  <si>
    <t>2022.12.8开通
GAJLD732-E-14</t>
  </si>
  <si>
    <t>2022.12.8开通
GAJLD732-F-01
GAJLD732-G-01</t>
  </si>
  <si>
    <t>2022.12.10开通
GAJLD742-F-02
GAJLD742-G-03</t>
  </si>
  <si>
    <t>2022.12.14开通
GAJLD742-F-03
GAJLD742-F-04
GAJLD742-F-06</t>
  </si>
  <si>
    <t>2022.12.15开通
GAJLD742-E-10</t>
  </si>
  <si>
    <t>2023.1.3开通
GAJLD751-F-14</t>
  </si>
  <si>
    <t>2023.1.3开通
GAJLD741-G-10
GAJLD741-G-11
GAJLD741-G-12
GAJLD741-H-10
GAJLD741-H-11
GAJLD741-H-12</t>
  </si>
  <si>
    <t>2022.12.19开通GAJLD742-G-02
GAJLD742-G-04
GAJLD742-G-05</t>
  </si>
  <si>
    <t>2023.1.3开通
GAJLD751-A-01
GAJLD751-A-02
GAJLD751-A-12
GAJLD751-A-13
GAJLD751-A-14
GAJLD751-A-15
GAJLD751-B-01
GAJLD751-B-02
GAJLD751-B-12
GAJLD751-B-13
GAJLD751-B-14
GAJLD751-B-15
GAJLD751-C-01
GAJLD751-C-02
GAJLD751-D-01
GAJLD751-D-02
GAJLD751-D-03
GAJLD751-E-01</t>
  </si>
  <si>
    <t>2023.1.2开通
GAJLD742-D-02
GAJLD742-D-03
GAJLD742-D-04
GAJLD742-D-05
GAJLD742-D-06
GAJLD742-D-07
GAJLD742-D-08
GAJLD742-D-09
GAJLD742-D-10
GAJLD742-D-11
GAJLD742-D-12
GAJLD742-D-13
GAJLD742-D-14
GAJLD751-A-03</t>
  </si>
  <si>
    <t>2023.1.4开通
GAJLD751-A-04
GAJLD751-A-05
GAJLD751-A-06
GAJLD751-A-07
GAJLD751-B-03
GAJLD751-B-04
GAJLD751-B-05
GAJLD751-B-06
GAJLD751-B-07
GAJLD751-B-08
GAJLD751-B-09
GAJLD751-B-10
GAJLD751-B-11</t>
  </si>
  <si>
    <t>2023.1.8开通
GAJLD751-A-08
GAJLD751-A-09
GAJLD751-A-10
GAJLD751-A-11
GAJLD751-C-03
GAJLD751-C-04
GAJLD751-C-05
GAJLD751-C-06
GAJLD751-C-07
GAJLD751-C-08
GAJLD751-C-09
GAJLD751-C-10</t>
  </si>
  <si>
    <t>2023.1.11开通GAJLD742-C-11</t>
  </si>
  <si>
    <t>2023.1.12开通GAJLD742-K-01
GAJLD742-K-02
GAJLD742-K-03</t>
  </si>
  <si>
    <t>2023.1.31开通
GAJLD732-G-14</t>
  </si>
  <si>
    <t>2023.1.31开通
GAJLD732-K-01
GAJLD732-K-02</t>
  </si>
  <si>
    <t>2022.12.23开通
GAJLD751-A-16
GAJLD751-B-16</t>
  </si>
  <si>
    <t>2023.2.1开通
GAJLD751-C-11
GAJLD751-C-12
GAJLD751-C-13
GAJLD751-C-14
GAJLD751-D-04
GAJLD751-D-05
GAJLD751-D-06
GAJLD751-D-07
GAJLD751-D-08
GAJLD751-D-09
GAJLD751-D-10
GAJLD751-D-11
GAJLD751-D-12
GAJLD751-D-13
GAJLD751-D-14
GAJLD751-D-15</t>
  </si>
  <si>
    <t>2023.2.1开通
GAJLD751-D-16</t>
  </si>
  <si>
    <t>2023.2.9开通
GAJLD751-E-02
GAJLD751-E-03
GAJLD751-E-12
GAJLD751-E-13
GAJLD751-E-14
GAJLD751-E-15
GAJLD751-F-01
GAJLD751-F-02
GAJLD751-G-01
GAJLD751-G-02
GAJLD751-H-01
GAJLD751-H-02
GAJLD751-H-12
GAJLD751-H-13
GAJLD751-H-14
GAJLD751-H-15</t>
  </si>
  <si>
    <t>2023.2.10开通
GAJLD751-E-16
GAJLD751-H-16</t>
  </si>
  <si>
    <t>2023.2.15开通GAJLD751-E-04
GAJLD751-E-05
GAJLD751-E-06
GAJLD751-E-07
GAJLD751-E-08
GAJLD751-E-09
GAJLD751-E-10
GAJLD751-E-11
GAJLD751-F-03
GAJLD751-F-04</t>
  </si>
  <si>
    <t>2023.2.17开通GAJLD751-H-10
GAJLD751-H-11</t>
  </si>
  <si>
    <t>2023.2.21开通GAJLD751-F-13
GAJLD751-G-03
GAJLD751-G-04
GAJLD751-G-05
GAJLD751-G-06
GAJLD751-G-08
GAJLD751-G-09
GAJLD751-G-10
GAJLD751-H-08
GAJLD751-H-09</t>
  </si>
  <si>
    <t>2023.2.24开通
GAJLD751-J-01
GAJLD751-J-02
GAJLD751-K-01
GAJLD751-K-02
GAJLD751-M-01
GAJLD751-M-02
GAJLD751-M-12
GAJLD751-M-13
GAJLD751-M-14
GAJLD751-M-15
GAJLD751-M-16
GAJLD751-N-01
GAJLD751-N-02
GAJLD751-N-10
GAJLD751-N-11
GAJLD751-N-12
GAJLD751-N-13
GAJLD751-N-14</t>
  </si>
  <si>
    <t>2023.2.25开通GAJLD751-F-05
GAJLD751-F-06
GAJLD751-F-07
GAJLD751-F-08
GAJLD751-G-07</t>
  </si>
  <si>
    <t>2023.2.28开通GAJLD733-F-01
GAJLD733-G-01</t>
  </si>
  <si>
    <t>2023.2.28开通GAJLD733-F-14</t>
  </si>
  <si>
    <t>2023.3.1开通
GAJLD751-G-11
GAJLD751-G-12</t>
  </si>
  <si>
    <t>2023.3.2开通
GAJLD732-N-11</t>
  </si>
  <si>
    <t>2023.3.3开通
GAJLD751-G-13
GAJLD751-G-14
GAJLD751-G-15
GAJLD751-H-03
GAJLD751-H-04
GAJLD751-H-05
GAJLD751-H-06
GAJLD751-H-07
GAJLD751-J-03
GAJLD751-J-04
GAJLD751-J-05
GAJLD751-J-06
GAJLD733-A-01
GAJLD733-A-13
GAJLD733-A-14
GAJLD733-A-15
GAJLD733-A-16
GAJLD733-B-01
GAJLD733-B-13
GAJLD733-B-14
GAJLD733-B-15
GAJLD733-B-16
GAJLD733-C-01
GAJLD733-D-01</t>
  </si>
  <si>
    <t>2023.3.6开通
GAJLD751-M-03
GAJLD751-M-04
GAJLD751-M-05
GAJLD751-M-06
GAJLD751-M-07
GAJLD751-M-08</t>
  </si>
  <si>
    <t>2023.3.7开通
GAJLD751-J-07
GAJLD751-J-08
GAJLD751-J-09
GAJLD751-J-10
GAJLD751-J-11
GAJLD751-J-12
GAJLD751-J-13
GAJLD751-J-14
GAJLD751-K-03
GAJLD751-K-04
GAJLD751-K-05
GAJLD751-K-06
GAJLD751-K-07
GAJLD751-K-08
GAJLD751-K-09
GAJLD751-K-10
GAJLD751-K-11
GAJLD751-K-12
GAJLD751-K-13
GAJLD751-K-14
GAJLD751-K-15
GAJLD751-K-16
GAJLD751-M-09
GAJLD751-M-10
GAJLD751-M-11</t>
  </si>
  <si>
    <t>2023.3.9开通
GAJLD751-N-03
GAJLD751-N-04
GAJLD751-N-05
GAJLD733-A-02
GAJLD733-A-03
GAJLD733-A-04</t>
  </si>
  <si>
    <t xml:space="preserve">2023.3.14开通
GAJLD742-J-01
GAJLD742-J-03
GAJLD742-J-04
GAJLD742-J-06
GAJLD742-J-07
GAJLD742-J-08 </t>
  </si>
  <si>
    <t>2023.3.15开通
GAJLD733-A-05
GAJLD733-A-06
GAJLD733-A-07
GAJLD733-A-08</t>
  </si>
  <si>
    <t>2023.3.15关闭
GAJLD741-F-08
GAJLD741-F-09
GAJLD741-F-10
GAJLD742-C-11
GAJLD742-D-14</t>
  </si>
  <si>
    <t>2023.3.16开通
GAJLD742-F-07
GAJLD742-G-07
GAJLD742-H-13
GAJLD742-K-04
GAJLD742-K-06
GAJLD742-M-01
GAJLD742-M-13
GAJLD742-M-14
GAJLD742-N-10
GAJLD742-N-11</t>
  </si>
  <si>
    <t>2023.3.17开通
GAJLD741-G-07
GAJLD741-G-08
GAJLD741-G-09
GAJLD741-H-07
GAJLD741-H-08
GAJLD741-H-09
GAJLD742-F-12
GAJLD742-G-10
GAJLD742-G-11
GAJLD742-G-13
GAJLD742-H-02
GAJLD742-H-03
GAJLD742-J-10
GAJLD742-J-11
GAJLD742-K-13
GAJLD742-K-14
GAJLD742-N-12</t>
  </si>
  <si>
    <t>2023.3.19开通
GAJLD733-E-13
GAJLD733-E-14
GAJLD733-E-15
GAJLD733-E-16
GAJLD733-H-13
GAJLD733-H-14
GAJLD733-H-15
GAJLD733-H-16
GAJLD733-M-13
GAJLD733-M-14
GAJLD733-M-15
GAJLD733-N-11
GAJLD733-N-12
GAJLD733-N-13
GAJLD733-N-14</t>
  </si>
  <si>
    <t>2023.3.22开通
GAJLD732-A-01
GAJLD732-A-03
GAJLD733-A-09
GAJLD733-A-10
GAJLD733-A-11
GAJLD733-A-12</t>
  </si>
  <si>
    <t xml:space="preserve">2023.3.25开通
GAJLD752-G-01
</t>
  </si>
  <si>
    <t>2023.3.25开通
GAJLD753-A-01
GAJLD753-A-03
GAJLD753-A-05
GAJLD753-A-07
GAJLD753-A-13
GAJLD753-A-15
GAJLD753-B-01
GAJLD753-B-03
GAJLD753-B-09
GAJLD753-B-11
GAJLD753-B-13
GAJLD753-B-15
GAJLD753-C-01
GAJLD753-C-03
GAJLD753-C-05
GAJLD753-C-11
GAJLD753-C-13
GAJLD753-D-01
GAJLD753-D-03
GAJLD753-D-05
GAJLD753-D-07
GAJLD753-D-09
GAJLD753-D-11
GAJLD753-D-13
GAJLD753-D-15
GAJLD753-E-01
GAJLD753-E-03
GAJLD753-E-05
GAJLD753-E-07
GAJLD753-E-09
GAJLD753-E-11
GAJLD753-E-13
GAJLD753-E-15
GAJLD753-F-01
GAJLD753-F-03
GAJLD753-F-05
GAJLD753-F-07
GAJLD753-F-09
GAJLD753-F-11
GAJLD753-F-13
GAJLD753-G-01
GAJLD753-G-03
GAJLD753-G-13
GAJLD753-G-15
GAJLD753-H-01
GAJLD753-H-03
GAJLD753-H-05
GAJLD753-H-07
GAJLD753-H-13
GAJLD753-H-15
GAJLD753-J-01
GAJLD753-J-03
GAJLD753-J-05
GAJLD753-J-07
GAJLD753-J-11
GAJLD753-J-13
GAJLD753-J-14</t>
  </si>
  <si>
    <t>2023.3.26开通
GAJLD742-B-05
GAJLD742-B-06
GAJLD742-B-07
GAJLD742-B-08
GAJLD742-B-09
GAJLD733-E-02
GAJLD733-F-02
GAJLD733-G-02
GAJLD733-G-03
GAJLD733-G-04
GAJLD733-G-05
GAJLD733-G-06
GAJLD733-G-07
GAJLD733-G-08
GAJLD733-G-09
GAJLD733-G-10
GAJLD733-G-11
GAJLD733-G-12
GAJLD733-G-13
GAJLD733-G-14
GAJLD733-G-15
GAJLD733-H-02
GAJLD733-H-03
GAJLD733-H-04
GAJLD733-H-05
GAJLD733-H-06
GAJLD733-H-07
GAJLD733-H-08
GAJLD733-H-09
GAJLD733-H-10
GAJLD733-H-11
GAJLD733-H-12
GAJLD733-J-01
GAJLD733-K-01
GAJLD733-M-01
GAJLD733-M-08
GAJLD733-M-09
GAJLD733-M-10
GAJLD733-M-11
GAJLD733-M-12
GAJLD733-N-01
GAJLD733-N-02
GAJLD733-N-03
GAJLD733-N-04
GAJLD733-N-05
GAJLD733-N-06
GAJLD733-N-07
GAJLD733-N-08
GAJLD733-N-09
GAJLD733-N-10</t>
  </si>
  <si>
    <t>滴滴聚龙</t>
  </si>
  <si>
    <t>DDJL</t>
  </si>
  <si>
    <t>2022.9.13开通
DDJL743-D-03
DDJL743-D-04</t>
  </si>
  <si>
    <t>2022.9.14开通
DDJL743-A-01
DDJL743-A-02
DDJL743-A-03
DDJL743-A-04
DDJL743-A-05
DDJL743-A-06
DDJL743-A-07
DDJL743-A-08
DDJL743-A-09
DDJL743-A-10
DDJL743-A-11
DDJL743-A-12
DDJL743-A-13
DDJL743-A-14
DDJL743-A-15
DDJL743-B-01
DDJL743-B-02
DDJL743-B-03
DDJL743-B-04
DDJL743-B-05
DDJL743-B-06
DDJL743-B-07
DDJL743-B-08
DDJL743-B-09
DDJL743-B-10
DDJL743-B-11
DDJL743-B-12
DDJL743-B-13
DDJL743-B-14
DDJL743-B-15
DDJL743-C-04
DDJL743-C-05
DDJL743-D-05
DDJL743-E-03
DDJL743-E-04
DDJL743-E-05</t>
  </si>
  <si>
    <t>2022.9.15开通
DDJL743-C-06
DDJL743-C-07
DDJL743-C-08
DDJL743-C-09
DDJL743-C-10
DDJL743-C-11
DDJL743-C-12
DDJL743-D-09
DDJL743-D-10
DDJL743-D-11
DDJL743-D-12
DDJL743-E-09
DDJL743-E-10</t>
  </si>
  <si>
    <t>2022.9.21开通
DDJL743-C-02
DDJL743-C-03
DDJL743-D-01
DDJL743-D-02
DDJL743-E-01
DDJL743-E-02
DDJL743-E-12
DDJL743-E-15
DDJL743-F-02
DDJL743-F-03
DDJL743-F-05
DDJL743-F-08
DDJL743-F-11
DDJL743-G-02
DDJL743-G-05
DDJL743-G-08
DDJL743-G-11
DDJL743-G-14
DDJL743-H-02
DDJL743-H-05
DDJL743-H-08
DDJL743-H-11
DDJL743-H-14
DDJL743-J-02
DDJL743-J-05
DDJL743-J-08
DDJL743-J-11
DDJL743-J-13
DDJL743-K-02
DDJL743-K-05
DDJL743-K-08
DDJL743-K-11
DDJL743-K-14
DDJL743-M-02
DDJL743-M-05
DDJL743-M-08
DDJL743-M-11
DDJL743-M-14
DDJL743-N-02
DDJL743-N-05
DDJL743-N-08
DDJL743-N-11
DDJL743-N-13
DDJL743-D-15</t>
  </si>
  <si>
    <t>L20221101017</t>
  </si>
  <si>
    <t>2022.9.21开通
DDJL743-F-14</t>
  </si>
  <si>
    <t>2022.9.27开通
DDJL743-E-07
DDJL743-D-07</t>
  </si>
  <si>
    <t>2022.11.23开通
DDJL743-D-13
DDJL743-D-14
DDJL743-E-11
DDJL743-E-13
DDJL743-E-14
DDJL743-E-16
DDJL743-D-16</t>
  </si>
  <si>
    <t>2022.12.28开通
DDJL743-F-07
DDJL743-F-10</t>
  </si>
  <si>
    <t>2023.1.30开通
DDJL743-F-04
DDJL743-F-09
DDJL743-F-12</t>
  </si>
  <si>
    <t>石家庄电信</t>
  </si>
  <si>
    <t>182215IDC00605</t>
  </si>
  <si>
    <t>石家庄2</t>
  </si>
  <si>
    <t>CDNSJZCT</t>
  </si>
  <si>
    <t>2020-1-13退租80G，退租机架8个</t>
  </si>
  <si>
    <t>石家庄3</t>
  </si>
  <si>
    <t>石家庄4</t>
  </si>
  <si>
    <t>2021.12.31退租160G，6个机柜，288个IP
SJZCT9F-D-07
SJZCT9F-D-06
SJZCT9F-D-05
SJZCT9F-D-04
SJZCT9F-D-03
SJZCT9F-D-02</t>
  </si>
  <si>
    <t>SJZ3CT节点，于2022.4.30退租4个机柜
SJZCT9F-B-10
SJZCT9F-B-11
SJZCT9F-B-14
SJZCT9F-B-15</t>
  </si>
  <si>
    <t>双方核对一致，共使用576个IP地址，免费。
SJZ3CT
124.236.41.0/24 、124.236.42.224/27 124.236.104.0/24、124.236.105.0/27</t>
  </si>
  <si>
    <t>2021.12.31退租160G，6个机柜，288个IP
124.236.41.0/24 124.236.42.224/27</t>
  </si>
  <si>
    <t>廊坊电信</t>
  </si>
  <si>
    <t>廊坊3</t>
  </si>
  <si>
    <t>CDNLFCT</t>
  </si>
  <si>
    <t>边缘计算新增2个机架</t>
  </si>
  <si>
    <t>廊坊2</t>
  </si>
  <si>
    <t>廊坊2电信使用9个机架</t>
  </si>
  <si>
    <t>2021.3.31退租，廊坊2电信使用9个机架</t>
  </si>
  <si>
    <t>廊坊3电信使用6个机架</t>
  </si>
  <si>
    <t>廊坊3电信新增使用2个机架</t>
  </si>
  <si>
    <t>2021.5.1廊坊3电信新增1个机架,边缘计算BECLF3CT2F-M-11</t>
  </si>
  <si>
    <t>2021.5.1廊坊3电信新增2个机架,边缘计算BECLF3CT2F-M-12、BECLF3CT2F-N-12</t>
  </si>
  <si>
    <t xml:space="preserve">2021.4.9边缘计算新增128个免费IP地址，124.238.249.0/25
</t>
  </si>
  <si>
    <t xml:space="preserve">2021.5.1边缘计算新增256个免费IP地址，124.238.249.128/25
124.238.234.0/25
</t>
  </si>
  <si>
    <t>廊坊2&amp;3&amp;5</t>
  </si>
  <si>
    <t xml:space="preserve">新合同免费，共使用864个IP地址。
LF2CT（2021.3.31退租）
124.239.229.0/24       124.239.253.0/27
LF3CT 
124.238.241.0/24       124.239.253.32/27  
LF5CT （2021.3.31退租）
124.238.234.0/24       124.238.249.128/27
</t>
  </si>
  <si>
    <t>LF2CT节点于2021.3.31退租288个IP
LF2CT（2021.3.31退租）
124.239.229.0/24       124.239.253.0/27</t>
  </si>
  <si>
    <t>廊坊5</t>
  </si>
  <si>
    <t xml:space="preserve">LF5CT节点于2021.3.31退租288个IP
LF5CT （2021.3.31退租）
124.238.234.0/24       124.238.249.128/27
</t>
  </si>
  <si>
    <t>LF3CT节点于2022.7.14退租128个IP
124.238.241.128/25</t>
  </si>
  <si>
    <t>2021.3.31退租，廊坊5电信使用4个机架</t>
  </si>
  <si>
    <t>2022.7.12退租，廊坊3电信7个机柜
LF3CT2F-M-10
LF3CT2F-M-09
LF3CT2F-M-02
LF3CT2F-M-06
LF3CT2F-M-05
LF3CT2F-M-03
LF3CT2F-M-01</t>
  </si>
  <si>
    <t>电信集团</t>
  </si>
  <si>
    <t>181915IDC00155</t>
  </si>
  <si>
    <t>北京-内蒙400G</t>
  </si>
  <si>
    <t>于2020年10月31日退租</t>
  </si>
  <si>
    <t>L20221229005</t>
  </si>
  <si>
    <t>北京-苏州400G</t>
  </si>
  <si>
    <t>北京-苏州 北京-南京</t>
  </si>
  <si>
    <t>于2023.2.28退租。
北京-苏州 北京-南京</t>
  </si>
  <si>
    <t xml:space="preserve">华东-华南 400G </t>
  </si>
  <si>
    <t>2015/7/15&amp;2015/9/11</t>
  </si>
  <si>
    <t>广州-南京 广州-苏州</t>
  </si>
  <si>
    <t>中国电信股份有限公司保定分公司</t>
  </si>
  <si>
    <t>保定电信</t>
  </si>
  <si>
    <t>L20221229006</t>
  </si>
  <si>
    <t xml:space="preserve">科技园-徐水200G </t>
  </si>
  <si>
    <t xml:space="preserve">北京M1-定兴200G </t>
  </si>
  <si>
    <t>唐山电信</t>
  </si>
  <si>
    <t>唐山</t>
  </si>
  <si>
    <t>CDNTSCT</t>
  </si>
  <si>
    <t>双方核对，共使用7个免费机柜。集团集约，所有机柜均需收费，故唐山节点免费的7个机柜未签署在新合同里，关联临时合同</t>
  </si>
  <si>
    <t>2022.6.20退租5个机柜
TSCT9F-N11-7
TSCT9F-N11-6
TSCT9F-N11-5
TSCT9F-N11-2
TSCT9F-N11-1</t>
  </si>
  <si>
    <t>免费288个IP。
TS2CT 
106.117.216.0/24       106.117.217.0/27</t>
  </si>
  <si>
    <t>中国联合网络通信有限公司河北省分公司</t>
  </si>
  <si>
    <t>河北联通</t>
  </si>
  <si>
    <t>L20221229009</t>
  </si>
  <si>
    <t>CDNSJZ</t>
  </si>
  <si>
    <t>SSL机架-1</t>
  </si>
  <si>
    <t>于2021.6.30退租</t>
  </si>
  <si>
    <t>SSL机架-2</t>
  </si>
  <si>
    <t>HBUN5F-D-13、HBUN5F-D-14、HBUN5F-D-15</t>
  </si>
  <si>
    <t>2022.11.30退租
HBUN5F-D-13、HBUN5F-D-14、HBUN5F-D-15</t>
  </si>
  <si>
    <t>SSLIP</t>
  </si>
  <si>
    <t>自2020年6月1日起免费1024个(SSL使用)，超出按35元/个/月，（220.195.21.0/24,220.195.22.0/24，61.182.136.0/24，61.182.137.0/24）</t>
  </si>
  <si>
    <t>石家庄联通SSL</t>
  </si>
  <si>
    <t>于2021.6.30退租512个IP
61.182.136.0/24
61.182.137.0/24</t>
  </si>
  <si>
    <t>2022.11.30退租512个IP（220.195.21.0/24,220.195.22.0/24）</t>
  </si>
  <si>
    <t>CDNCANGZUN</t>
  </si>
  <si>
    <t>沧州节点，2022.8.31退租6个机柜
CANGZUN9F-B-08
CANGZUN9F-D-08
CANGZUN9F-D-01
CANGZUN9F-B-03
CANGZUN9F-B-02
CANGZUN9F-B-01</t>
  </si>
  <si>
    <t>免费512个，超出按30元/个/月
221.195.34.0/24;221.195.66.0/24</t>
  </si>
  <si>
    <t>CDNBDUN</t>
  </si>
  <si>
    <t>2021.12.31退租3个机柜。</t>
  </si>
  <si>
    <t>免费544个，超出按30元/个/月
119.249.50.0/24；CDN
221.194.36.0/27；CDN
119.249.51.0/25；BEC
119.249.51.128/25；BEC</t>
  </si>
  <si>
    <t>边缘计算使用，BECBDUN11F-A-11</t>
  </si>
  <si>
    <t>邯郸</t>
  </si>
  <si>
    <t>CBUCDNHDUN</t>
  </si>
  <si>
    <t>邢台</t>
  </si>
  <si>
    <t>CBUCDNXTUN</t>
  </si>
  <si>
    <t>邯郸&amp;邢台</t>
  </si>
  <si>
    <t>免费512个，超出按30元/个/月
101.28.131.0/24（邯郸）
60.6.196.0/24（邢台）</t>
  </si>
  <si>
    <t>唐山
唐山2</t>
  </si>
  <si>
    <t>CDNTSUN</t>
  </si>
  <si>
    <t>2018/6/20
2018/10/16</t>
  </si>
  <si>
    <t xml:space="preserve">TSUN节点使用7个CDN机柜：
TSUN6F-A5-07
TSUN6F-A5-06
TSUN6F-A5-05
TSUN6F-A5-04
TSUN6F-A5-03
TSUN6F-A5-02
TSUN6F-A5-01
2022.1.20开始TS2UN 7个CDN机柜转边缘使用：TSUN3F-A05-08，
TSUN3F-A05-09，
TSUN3F-A05-10，
TSUN3F-A05-11，
TSUN3F-A05-12，
TSUN3F-A05-13，
TSUN3F-A05-14
</t>
  </si>
  <si>
    <t>唐山联通</t>
  </si>
  <si>
    <t xml:space="preserve">TSUN节点使用7个CDN机柜,2022.5.31退租：
TSUN6F-A5-07
TSUN6F-A5-06
TSUN6F-A5-05
TSUN6F-A5-04
TSUN6F-A5-03
TSUN6F-A5-02
TSUN6F-A5-01
</t>
  </si>
  <si>
    <t>2022.12.8 TS2UN 边缘退租2个机柜：
TSUN3F-A05-08，
TSUN3F-A05-14</t>
  </si>
  <si>
    <t>2022.12.8 TS2UN 边缘关闭5个机柜：
TSUN3F-A05-09，
TSUN3F-A05-10，
TSUN3F-A05-11，
TSUN3F-A05-12，
TSUN3F-A05-13，</t>
  </si>
  <si>
    <t>唐山7联通</t>
  </si>
  <si>
    <t>2022.12.28 TS2UN开通5个机柜；2023.1.1转给TS7UN节点使用：
TSUN3F-A05-09，
TSUN3F-A05-10，
TSUN3F-A05-11，
TSUN3F-A05-12，
TSUN3F-A05-13，</t>
  </si>
  <si>
    <t>唐山
唐山2
唐山7</t>
  </si>
  <si>
    <t>唐山2联通
唐山7联通</t>
  </si>
  <si>
    <t>唐山：免费288个（101.72.196.0/24;
101.72.197.0/27）
唐山2：免费288个（101.72.197.64/27;
101.72.199.0/24），超出部分按30元/个/月；自2022.1.20开始TS2UN节点256个IP转BEC使用（101.72.199.0/24）;自2023.1.1开始TS2UN节点160个IP转TS7UN节点CDN使用（101.72.199.0/25 101.72.199.128/27）</t>
  </si>
  <si>
    <t>2022.5.31</t>
  </si>
  <si>
    <t>2022.5.31唐山退租288个IP
101.72.196.0/24 101.72.197.0/27</t>
  </si>
  <si>
    <t>唐山4</t>
  </si>
  <si>
    <t>2019年2月20日开始计费。</t>
  </si>
  <si>
    <t>唐山6</t>
  </si>
  <si>
    <t>2020年9月1日开始计费。</t>
  </si>
  <si>
    <t>唐山2</t>
  </si>
  <si>
    <t>CDNTSUN2</t>
  </si>
  <si>
    <t>2022.2.14新增1个机柜
TS2UN3F-2-15</t>
  </si>
  <si>
    <t>免费赠送288个IP
101.72.197.128/27;101.72.203.0/24</t>
  </si>
  <si>
    <t>免费赠送288个IP
101.72.249.0/24;101.72.250.0/27</t>
  </si>
  <si>
    <t>CDNLFUN</t>
  </si>
  <si>
    <t>10.11开始计费</t>
  </si>
  <si>
    <t>2022.4.30退租4个机柜
LFUN10F-05-10
LFUN10F-05-11
LFUN10F-05-12
LFUN10F-05-13</t>
  </si>
  <si>
    <t>2022.5.31退租5个机柜
LFUN10F-05-07 LFUN10F-05-08 LFUN10F-05-06 LFUN10F-05-05 LFUN10F-05-09</t>
  </si>
  <si>
    <t>免费544个，超出按30元/个/月</t>
  </si>
  <si>
    <t>2022.5.31退租544个IP，221.194.182.0/24 221.194.183.0/24 221.194.184.0/27</t>
  </si>
  <si>
    <t>边缘计算新增2个机架；BECBDUN11F-A-12
BECBDUN11F-A-13</t>
  </si>
  <si>
    <t>边缘计算新增1个机架,BECBDUN11F-A-14</t>
  </si>
  <si>
    <t xml:space="preserve">CDNIP </t>
  </si>
  <si>
    <t>边缘计算新增128个IP地址，119.249.49.0/25</t>
  </si>
  <si>
    <t>边缘计算新增1个机架,BECBDUN11F-A-15</t>
  </si>
  <si>
    <t>边缘计算新增128个IP地址，119.249.49.128/25</t>
  </si>
  <si>
    <t>边缘计算新增4个机架,BECBDUN11F-A-16
BECBDUN11F-A-17
BECBDUN11F-A-18
BECBDUN11F-A-19</t>
  </si>
  <si>
    <t>保定BDUNCACHE</t>
  </si>
  <si>
    <t>边缘计算新增128个IP地址，
119.249.55.0/25</t>
  </si>
  <si>
    <t>边缘计算新增2个机架,
BECBDUN11F-A-21
BECBDUN11F-A-22</t>
  </si>
  <si>
    <t>保定联通光纤，新增1个机架，于2021.10.1开始计费。BDUN11F-A-20</t>
  </si>
  <si>
    <t>中国移动通信集团河北有限公司</t>
  </si>
  <si>
    <t>河北移动</t>
  </si>
  <si>
    <t>182015IDC00048</t>
  </si>
  <si>
    <t>徐水</t>
  </si>
  <si>
    <t>徐水-百楼一路由于2020.8.28交付</t>
  </si>
  <si>
    <t>徐水-百楼二路由于2020.9.24交付</t>
  </si>
  <si>
    <t>定兴</t>
  </si>
  <si>
    <t>定兴-徐水一路由于2020.9.12交付</t>
  </si>
  <si>
    <t>定兴-徐水二路由于2020.10.12交付；正预提800元</t>
  </si>
  <si>
    <t>定兴-百楼一路由于2020.9.12交付</t>
  </si>
  <si>
    <t>徐水-定兴二路由于2021.4.21交付</t>
  </si>
  <si>
    <t>保定-定兴一路由于2021.4.21交付</t>
  </si>
  <si>
    <t>保定-定兴三路由于2021.8.11交付（保定复兴路-保定东风路-上东区-清苑国公营-徐水北湖渠-定兴李郁庄）</t>
  </si>
  <si>
    <t>保定IDC-徐水二路由于2021.12.1交付（IDC-移动金迪-朝阳北大街-徐水百度）</t>
  </si>
  <si>
    <t>廊坊移动</t>
  </si>
  <si>
    <t>182215IDC00679</t>
  </si>
  <si>
    <t>保定2移动
保定移动二级</t>
  </si>
  <si>
    <t>CDNBDCM</t>
  </si>
  <si>
    <t>2018/8/24、2018/11/7</t>
  </si>
  <si>
    <t>8月24日开通6个，CDN140G对应机柜11月7日加电6个
D24F03-H-01~07（保定移动二级）
D24F03-H-08~12（保定2移动）</t>
  </si>
  <si>
    <t>保定2移动</t>
  </si>
  <si>
    <t>2022-7-21退租，
D24F03-H-11
D24F03-H-12</t>
  </si>
  <si>
    <t>BD2CM节点2022-12-31退租（CDN使用），
D24F03-H-08
D24F03-H-09</t>
  </si>
  <si>
    <t>大白楼河北移动</t>
  </si>
  <si>
    <t xml:space="preserve">共使用1344个IP：
保定移动二级（111.63.52.0/24、111.63.51.0/24、111.63.48.128/27）、
保定2移动（111.63.66.0/24、111.63.48.160/27）、
大白楼河北移动（111.63.70.0/24、111.63.71.0/24），免费640个；于2020.11.30退租60G带宽和512个IP地址(111.63.70.0/24、111.63.71.0/24)，2022.11.1起信息更新为：共使用704个IP，免费赠送1088个
</t>
  </si>
  <si>
    <t>保定移动二级</t>
  </si>
  <si>
    <t>共使用1344个IP：
保定移动二级（111.63.52.0/24、111.63.51.0/24、111.63.48.128/27）、
保定2移动（111.63.66.0/24、111.63.48.160/27）、
大白楼河北移动（111.63.70.0/24、111.63.71.0/24），免费640个；于2020.11.30退租60G带宽和512个IP地址(111.63.70.0/24、111.63.71.0/24)，2022.11.1起信息更新为：共使用704个IP，免费赠送1088个</t>
  </si>
  <si>
    <t>BD2CM节点，2022.7.21退租128个IP
111.63.66.128/25</t>
  </si>
  <si>
    <t>BD2CM节点（CDN使用），2022.12.31退租160个IP
111.63.66.0/25 111.63.48.160/27</t>
  </si>
  <si>
    <t>BDBL</t>
  </si>
  <si>
    <t>本次更新为491个。11月23日下电40个，本月不计费</t>
  </si>
  <si>
    <t>11月27日下电8个</t>
  </si>
  <si>
    <t>11月26日开通16个</t>
  </si>
  <si>
    <t>11月27日开通37个</t>
  </si>
  <si>
    <t>11月28日开通1个</t>
  </si>
  <si>
    <t>11月30日开通2个</t>
  </si>
  <si>
    <t>12月3日开通22个</t>
  </si>
  <si>
    <t>12月17日开通37个</t>
  </si>
  <si>
    <t>12月18日开通8个</t>
  </si>
  <si>
    <t>12月21日开通4个</t>
  </si>
  <si>
    <t>12月24日开通22个</t>
  </si>
  <si>
    <t>功率核实后+2个机柜</t>
  </si>
  <si>
    <t>BDBL402-J-09~11，BDBL402-K-11~13，BDBL304-G-07~10，BDBL304-D-03~04，BDBL304-H-15~16</t>
  </si>
  <si>
    <t>BDBL402-K-14~16</t>
  </si>
  <si>
    <t>BDBL304-A-01~10，BDBL304-C-03~12，</t>
  </si>
  <si>
    <t>BDBL402-H-08~12</t>
  </si>
  <si>
    <t>BDBL304-H-01~14，</t>
  </si>
  <si>
    <t>BDBL304-D-05~06</t>
  </si>
  <si>
    <t>BDBL403-G-13~16</t>
  </si>
  <si>
    <t>BDBL403-G-18~19</t>
  </si>
  <si>
    <t>BDBL304-C-13~16,BDBL404-E-15~16,BDBL402-H-13,BDBL401-L-14~16</t>
  </si>
  <si>
    <t>BDBL304-G-11~12</t>
  </si>
  <si>
    <t>BDBL303-H-01~04,BDBL304-L-02,BDBL303-C-11~14,BDBL304-D-01~02</t>
  </si>
  <si>
    <t>BDBL304-A-11~12,BDBL304-G-01~02,BDBL404-H-14~15,BDBL404-I-09~13</t>
  </si>
  <si>
    <t>BDBL304-F-13~16,BDBL404-J-05~06,BDBL404-H-16,BDBL404-K-12~13,BDBL304-F-14~16,BDBL404-K-09~10</t>
  </si>
  <si>
    <t>不足整月计费规则：使用天数/30</t>
  </si>
  <si>
    <t>6月新增：BDBL302-H-06，BDBL302-H-06，BDBL302-H-10，BDBL302-H-14，BDBL302-H-16，BDBL302-J-02，BDBL302-J-04~10，BDBL302-G-01~06，BDBL302-G-08，BDBL302-G-10，BDBL302-G-12，BDBL302-H-01，BDBL302-H-03，BDBL302-H-05，BDBL302-H-07，BDBL302-H-09，BDBL302-H-13，BDBL302-H-15，BDBL302-F-15~16，BDBL302-G-07，BDBL302-G-09，BDBL302-G-11，BDBL302-H-02，BDBL302-H-04，BDBL302-I-11~16，BDBL302-J-01，BDBL302-J-03</t>
  </si>
  <si>
    <t>6月新增：BDBL403-G-07，BDBL403-H-14~19</t>
  </si>
  <si>
    <t>6月新增：BDBL303-A-05~12，BDBL303-B-01~16，BDBL303-C-01~04</t>
  </si>
  <si>
    <t>6月新增：BDBL403-J-01，BDBL403-G-09</t>
  </si>
  <si>
    <t>7月新增：</t>
  </si>
  <si>
    <t>8月新增：</t>
  </si>
  <si>
    <t>10月反馈：2018年10月29日已开通</t>
  </si>
  <si>
    <t>2020.9新增</t>
  </si>
  <si>
    <t>2020.11新增;BDBL403-G-10（放置机器包含度友-保定，2个服务器）</t>
  </si>
  <si>
    <t>2020.11关闭;BDBL404-H-01、BDBL404-H-02</t>
  </si>
  <si>
    <t>2020.12开通;BDBL404-H-01、BDBL404-H-02</t>
  </si>
  <si>
    <t>2021.1开通;BDBL403-G-11、BDBL403-G-12；SSL节点复用IDC机柜</t>
  </si>
  <si>
    <t>2021.5开通;
BDBL402-L-09
BDBL402-L-10</t>
  </si>
  <si>
    <t>2021.6.11关闭;
BDBL401-H-13
BDBL401-H-14</t>
  </si>
  <si>
    <t>2022-2-21关闭，
BDBL404-I-11
BDBL404-A-05
BDBL404-A-06
BDBL404-A-02
BDBL404-A-01</t>
  </si>
  <si>
    <t>2022-2-22开通，
BDBL404-A-05
BDBL404-A-06
BDBL404-A-02
BDBL404-A-01</t>
  </si>
  <si>
    <t>2022-2-24关闭，
BDBL404-A-03
BDBL404-A-04
BDBL404-B-01
BDBL404-B-02
BDBL404-K-14
实际使用天数/当月天数</t>
  </si>
  <si>
    <t>2022-2-25开通，
BDBL404-A-03
BDBL404-A-04
BDBL404-B-01
BDBL404-B-02</t>
  </si>
  <si>
    <t>2022-5-13开通，
BDBL402-L-03
BDBL402-L-04
BDBL402-L-05
BDBL402-L-06</t>
  </si>
  <si>
    <t>L20221227001</t>
  </si>
  <si>
    <t>2022.12.16开通2个81.8A机柜，按62.5A标准计费。
BDBL403-C-11
BDBL403-D-10</t>
  </si>
  <si>
    <t>2022-12-29关闭，
BDBL404-K-05</t>
  </si>
  <si>
    <t>中国移动通信集团河北有限公司廊坊分公司</t>
  </si>
  <si>
    <t>181818IDC00301
L20230222001</t>
  </si>
  <si>
    <t>保定-北京</t>
  </si>
  <si>
    <t>i. 保定移动数据中心机房—百度北京酒仙桥M1机房2芯路由长度为204.18公里；</t>
  </si>
  <si>
    <t xml:space="preserve"> ii. 百度北京酒仙桥M1机房到百度北京亦庄机房2芯路由长途为58公里；</t>
  </si>
  <si>
    <t xml:space="preserve"> iii. 保定移动数据中心机房—百度北京亦庄机房2芯路由长度为225.51公里；</t>
  </si>
  <si>
    <t>承德移动</t>
  </si>
  <si>
    <t>182115IDC00190</t>
  </si>
  <si>
    <t>承德</t>
  </si>
  <si>
    <t>CDNCHENGDCM</t>
  </si>
  <si>
    <t>2022.6.30退租5个机柜
CHENGDCM1F-C-13
CHENGDCM1F-C-11
CHENGDCM1F-C-10
CHENGDCM1F-C-09
CHENGDCM1F-C-14</t>
  </si>
  <si>
    <t>承德使用288个，关联在河北移动框架合同上，河北移动共赠送12640个IP，未固定分配各地市使用数量。</t>
  </si>
  <si>
    <t>2022.7.31退租288个IP
111.63.59.0/24 111.63.58.96/27</t>
  </si>
  <si>
    <t>2022.7.31退租4个机柜
CHENGDCM1F-C-05
CHENGDCM1F-C-06
CHENGDCM1F-C-07
CHENGDCM1F-C-08</t>
  </si>
  <si>
    <t>中国移动通信集团河北有限公司承德分公司</t>
  </si>
  <si>
    <t>L20230201006</t>
  </si>
  <si>
    <t>承德2
BEC</t>
  </si>
  <si>
    <t>承德2移动</t>
  </si>
  <si>
    <t>承德2移动BEC节点，2023.1.9开通512个IP
(111.63.181.0/24
111.63.59.0/24
)</t>
  </si>
  <si>
    <t>承德2移动BEC节点，2023.1.9开通1个机柜BECCHENGD2CM-2F-C07</t>
  </si>
  <si>
    <t>张家口移动</t>
  </si>
  <si>
    <t>张家口</t>
  </si>
  <si>
    <t>CDNZJKCM</t>
  </si>
  <si>
    <t>张家口使用288个，关联在河北移动框架合同上，河北移动共赠送12640个IP，未固定分配各地市使用数量。</t>
  </si>
  <si>
    <t>2022.7.31节点下线
ZJKCM1F-2-11
ZJKCM1F-1-13
ZJKCM1F-1-12
ZJKCM1F-1-10
ZJKCM1F-1-05
ZJKCM1F-1-04
ZJKCM1F-1-11</t>
  </si>
  <si>
    <t>2022.7.31节点下线</t>
  </si>
  <si>
    <t>保定移动</t>
  </si>
  <si>
    <t>BDBL203-L-01</t>
  </si>
  <si>
    <t>BDBL203-E-01~17，BDBL203-F-01~17，BDBL203-G-01~03</t>
  </si>
  <si>
    <t>BDBL203-G-04~06</t>
  </si>
  <si>
    <t>BDBL203-G-07~15，BDBL203-H-01~15</t>
  </si>
  <si>
    <t>BDBL203-I-04~06</t>
  </si>
  <si>
    <t>6月新增：BDBL203-I-01~03</t>
  </si>
  <si>
    <t>6月新增：BDBL203-I-07~15,BDBL203-J-01~15,BDBL203-K-01~12</t>
  </si>
  <si>
    <t>7月新增：BDBL203-K-13~17，BDBL203-L-02~10</t>
  </si>
  <si>
    <t>7月新增：BDBL203-L-11~17</t>
  </si>
  <si>
    <t xml:space="preserve">10月新增 </t>
  </si>
  <si>
    <t>BDBL-云托管</t>
  </si>
  <si>
    <t>11月新增，
BDBL504-L-16
BDBL504-L-17</t>
  </si>
  <si>
    <t>11月新增</t>
  </si>
  <si>
    <t>边缘计算,2020.4.30关闭BDBL503-H-07、BDBL503-H-08，2020.5.1开通，机柜编号为BECBDCM503-H-07、BECBDCM503-H-08</t>
  </si>
  <si>
    <t>2020-1新增
BDBL503-F-05
BDBL503-F-06</t>
  </si>
  <si>
    <t>2020-1新增
BDBL504-L-18</t>
  </si>
  <si>
    <t>2020-1新增</t>
  </si>
  <si>
    <t>2020-2新增</t>
  </si>
  <si>
    <t>2020-3新增</t>
  </si>
  <si>
    <t>2020-6搬迁</t>
  </si>
  <si>
    <t>2020-6新增</t>
  </si>
  <si>
    <t>2020-7新增</t>
  </si>
  <si>
    <t>2020-8关闭</t>
  </si>
  <si>
    <t>2020-9新增</t>
  </si>
  <si>
    <t>2020-10新增，BDBL503-E-02、BDBL503-E-03</t>
  </si>
  <si>
    <t>2020-10新增，BDBL504-G-14、BDBL504-G-15</t>
  </si>
  <si>
    <t>2020-12关闭，BDBL504-I-09、BDBL504-I-10</t>
  </si>
  <si>
    <t>2021-1开通，BDBL504-G-16、BDBL504-G-17</t>
  </si>
  <si>
    <t>2021-2-3开通，BDBL504-F-01~12</t>
  </si>
  <si>
    <t>2021-2-28开通，BDBL503-D-13
BDBL503-D-14</t>
  </si>
  <si>
    <t>2021-3-2开通，BDBL504-E-01
BDBL504-E-02
BDBL504-E-03
BDBL504-E-04
BDBL504-F-13
BDBL504-F-14
BDBL504-F-15
BDBL504-F-16
BDBL504-F-17
BDBL504-F-18</t>
  </si>
  <si>
    <t>2021-4-30开通，BDBL504-D-05
BDBL504-D-06
BDBL504-D-07
BDBL504-D-08</t>
  </si>
  <si>
    <t>2021-5-1开通，BDBL504-C-11
BDBL504-C-12
BDBL504-C-13
BDBL504-C-14
BDBL504-C-15
BDBL504-C-16
BDBL504-C-17
BDBL504-C-18
BDBL504-D-13
BDBL504-D-14
BDBL504-D-15
BDBL504-E-05
BDBL504-E-06
BDBL504-E-07
BDBL504-E-08
BDBL504-E-09
BDBL504-E-10
BDBL504-E-11
BDBL504-E-12
BDBL504-E-13
BDBL504-E-14
BDBL504-E-15
BDBL504-E-16
BDBL504-E-17
BDBL504-E-18</t>
  </si>
  <si>
    <t>2021-5-24开通，BDBL503-C-03
BDBL503-C-04</t>
  </si>
  <si>
    <t>2021-5-26开通，BDBL504-C-01
BDBL504-C-02</t>
  </si>
  <si>
    <t>2021-5-28开通，BDBL503-C-05
BDBL503-C-06</t>
  </si>
  <si>
    <t>2021-6-4开通，BDBL504-C-03
BDBL504-C-04</t>
  </si>
  <si>
    <t>2021-6-9开通，BDBL504-C-05
BDBL504-C-06</t>
  </si>
  <si>
    <t>2021-6-18开通，BDBL504-C-07
BDBL504-C-08</t>
  </si>
  <si>
    <t>2021-7-2开通，BDBL504-D-09
BDBL504-D-10</t>
  </si>
  <si>
    <t>2021-8-14开通，BDBL504-C-09
BDBL504-C-10
BDBL504-D-11
BDBL504-D-12</t>
  </si>
  <si>
    <t>2021-9-3开通，BDBL504-G-02
BDBL504-G-03
BDBL504-H-01
BDBL504-H-02
BDBL504-H-05
BDBL504-H-06
BDBL504-I-09
BDBL504-I-10</t>
  </si>
  <si>
    <t>2021-9-5开通，BDBL504-B-09
BDBL504-B-10</t>
  </si>
  <si>
    <t>2021-10-25开通，BDBL504-A-01
BDBL504-A-02
BDBL504-A-03
BDBL504-A-04</t>
  </si>
  <si>
    <t xml:space="preserve">2021-10-28开通，BDBL503-B-01
BDBL503-B-02
BDBL503-C-07
BDBL503-C-08
BDBL503-C-09
BDBL503-C-10
BDBL503-C-11
BDBL503-C-12
</t>
  </si>
  <si>
    <t>2021-11-17开通，BDBL504-B-01
BDBL504-B-02
BDBL504-B-03
BDBL504-B-04</t>
  </si>
  <si>
    <t xml:space="preserve">2021-11-23开通，BDBL504-B-05
BDBL504-B-06
BDBL504-B-07
BDBL504-B-08
BDBL504-B-11
BDBL504-B-12
</t>
  </si>
  <si>
    <t>2022-1-5开通，
BDBL503-B-03
BDBL503-B-04
BDBL503-B-05
BDBL503-B-06</t>
  </si>
  <si>
    <t>2022-3-23开通，
BDBL504-B-13
BDBL504-B-14
BDBL504-B-15
BDBL504-B-16
BDBL504-B-17
BDBL504-B-18</t>
  </si>
  <si>
    <t>2022-4-15开通，
BDBL503-B-07
BDBL503-B-08</t>
  </si>
  <si>
    <t>2022-6-20开通，
BDBL503-H-10</t>
  </si>
  <si>
    <t>2022-12-29关闭，
BDBL504-B-09
BDBL504-B-10</t>
  </si>
  <si>
    <t>中国移动通信集团河北有限公司保定分公司</t>
  </si>
  <si>
    <t>L20200330002</t>
  </si>
  <si>
    <t>3月1日新增2个C IP 代播</t>
  </si>
  <si>
    <t>L20221229010</t>
  </si>
  <si>
    <t>保定2移动（含）
BDBL-移动（含）
保定三级移动（含）</t>
  </si>
  <si>
    <t>历史开通
2021/11/26
2021/11/28</t>
  </si>
  <si>
    <t>2020.10月已核实
存量使用640个IP（BEC128+IDC512）（111.63.69.128/25 BEC保定2移动
，2020.11.27开通2个C IP（111.63.72.0/24
111.63.73.0/24），
2020.11.27开通3个C IP（IDC128+CDN384+BEC256）,
（111.63.74.0/24 移动三级CDN
111.63.79.0/24）移动三级BEC
111.63.75.0/25移动三级CDN(分配未使用，不计入开通数量)
（合同约定每1G带宽包含 8 个IPv4地址，共赠送10400个）</t>
  </si>
  <si>
    <t>保定三级移动</t>
  </si>
  <si>
    <t xml:space="preserve">2020.11.27开通3个C IP（IDC128+CDN384+BEC256）
111.63.75.128/25移动三级IDC
</t>
  </si>
  <si>
    <t>2020.10月已核实
存量使用640个IP（BEC128+IDC512）
111.63.96.0/24 IDC  111.63.99.0/24 IDC
（合同约定每1G带宽包含 8 个IPv4地址，共赠送10400个）</t>
  </si>
  <si>
    <t>2020.10月已核实
2021.1.19开通4个C IP（高防512+SSL512）111.63.54.0/24高防
111.63.71.0/24  高防</t>
  </si>
  <si>
    <t>2020.10月已核实
2021.1.19开通4个C IP（高防512+SSL512）
111.63.67.0/24  SSL
111.63.68.0/24  SSL</t>
  </si>
  <si>
    <t xml:space="preserve">保定2移动
BD_CM_ST_1 </t>
  </si>
  <si>
    <t>2021.4.9边缘计算开通128个IP，免费
111.63.103.0/25保定2移动BEC</t>
  </si>
  <si>
    <t>2021.10.9边缘计算开通1个机柜，BECBDCM503-H-09</t>
  </si>
  <si>
    <t>L20220524001</t>
  </si>
  <si>
    <t>2022.5.13边缘计算开通128个IP，免费
111.63.76.0/25
保定2移动BEC</t>
  </si>
  <si>
    <t>2022.5.13边缘计算开通4个机柜，
BECBDCM403-L-03
BECBDCM403-L-04
BECBDCM403-L-05
BECBDCM403-L-06</t>
  </si>
  <si>
    <t>BDBL-移动</t>
  </si>
  <si>
    <t xml:space="preserve">2021.10.1三线节点开通1024个IP，111.63.144.0/24
111.63.145.0/24
111.63.146.0/24
111.63.147.0/24
合同约定：乙方1G互联网接入带宽包含 8 个IPv4地址，超出50元/个/月；本次扩容280G带宽，故赠送2240个IP地址，实际使用1024个。
</t>
  </si>
  <si>
    <t>L20200729002</t>
  </si>
  <si>
    <t>2020年7月1日新增4个C IP 代播</t>
  </si>
  <si>
    <t>182115IDC00119</t>
  </si>
  <si>
    <t>BDDWD</t>
  </si>
  <si>
    <t>保定自建机房（231、232房间）自2020.11.1转签至河北联通246个40A机柜。</t>
  </si>
  <si>
    <t>SYS反馈开通时间未2020.9.1，经与财务、商务沟通，暂从2021.6.1开始计费。
BDDWDD232-B-16
BDDWDD232-B-17
BDDWDD232-H-16
BDDWDD232-H-17
BDDWDD232-L-14
BDDWDD232-L-15</t>
  </si>
  <si>
    <t>SYS反馈开通时间未2020.9.30，经与财务、商务沟通，暂从2021.6.1开始计费。
BDDWDD231-D-01
BDDWDD231-D-02
BDDWDD231-D-03
BDDWDD231-D-04
BDDWDD231-D-05
BDDWDD231-D-06
BDDWDD231-D-07
BDDWDD231-D-08
BDDWDD231-D-09
BDDWDD231-D-10
BDDWDD231-D-11
BDDWDD231-D-12
BDDWDD231-D-13
BDDWDD231-D-14
BDDWDD231-D-15
BDDWDD231-D-16</t>
  </si>
  <si>
    <t>SYS反馈开通时间未2020.10.17，经与财务、商务沟通，暂从2021.6.1开始计费。
BDDWDD231-G-12
BDDWDD231-G-13
BDDWDD231-G-14
BDDWDD231-G-15
BDDWDD231-H-11
BDDWDD231-H-12
BDDWDD231-H-13</t>
  </si>
  <si>
    <t>2021.5开通;BDDWDD232-C-12
BDDWDD232-D-13
BDDWDD232-D-14
BDDWDD232-D-15
BDDWDD232-D-16</t>
  </si>
  <si>
    <t>2021.5开通;BDDWDD232-D-17</t>
  </si>
  <si>
    <t>SYS未反馈开通时间，经与财务、商务沟通，暂从2021.6.1开始计费。
BDDWDD232-F-01
BDDWDD232-L-01
BDDWDD231-B-14
BDDWDD231-B-15
BDDWDD231-F-16
BDDWDD231-F-17
BDDWDD231-J-16
BDDWDD231-J-17
BDDWDD231-F-01
BDDWDD231-L-01
BDDWDD231-A-01
BDDWDD231-A-02
BDDWDD231-A-03
BDDWDD231-A-04
BDDWDD231-A-05
BDDWDD231-A-07
BDDWDD231-A-09
BDDWDD231-A-10
BDDWDD231-A-11
BDDWDD231-A-12
BDDWDD231-A-13
BDDWDD231-A-14
BDDWDD231-A-15
BDDWDD231-A-16
BDDWDD231-B-02
BDDWDD231-B-03
BDDWDD231-B-04
BDDWDD231-B-05
BDDWDD231-B-08
BDDWDD231-B-09
BDDWDD231-B-10
BDDWDD231-B-11
BDDWDD231-D-17
BDDWDD231-F-02
BDDWDD231-F-03
BDDWDD231-F-04
BDDWDD231-F-05
BDDWDD231-F-06
BDDWDD231-F-07
BDDWDD231-F-08
BDDWDD231-F-09
BDDWDD231-F-10
BDDWDD231-F-11
BDDWDD231-F-12
BDDWDD231-F-13
BDDWDD231-F-14
BDDWDD231-F-15
BDDWDD231-G-01
BDDWDD231-G-02
BDDWDD231-G-03
BDDWDD231-G-04
BDDWDD231-G-05
BDDWDD231-G-06
BDDWDD231-G-07
BDDWDD231-G-09
BDDWDD231-G-10
BDDWDD231-J-09
BDDWDD231-J-10
BDDWDD231-J-11
BDDWDD231-J-12
BDDWDD231-J-13
BDDWDD231-J-14
BDDWDD231-J-15
BDDWDD231-K-01
BDDWDD231-K-02
BDDWDD231-L-05
BDDWDD231-L-06
BDDWDD231-L-07
BDDWDD231-L-08
BDDWDD231-L-09
BDDWDD231-L-10
BDDWDD231-L-11
BDDWDD231-L-12
BDDWDD231-L-13
BDDWDD231-L-14
BDDWDD231-L-15
BDDWDD231-L-16
BDDWDD231-L-17</t>
  </si>
  <si>
    <t>2021.6.1开通;
BDDWDD232-C-13
BDDWDD232-C-14
BDDWDD232-C-15
BDDWDD232-K-16</t>
  </si>
  <si>
    <t>2021.6.15开通;
BDDWDD232-K-17</t>
  </si>
  <si>
    <t>2021.9.1开通;
BDDWDD231-B-06
BDDWDD231-C-03
BDDWDD231-C-04，9月对账运营商不收费。</t>
  </si>
  <si>
    <t>2021.9.26开通；
BDDWDD232-K-14
BDDWDD232-L-12
BDDWDD232-L-13</t>
  </si>
  <si>
    <t>2022.11.30关闭；BDDWDD232-C-13
BDDWDD232-C-14</t>
  </si>
  <si>
    <t>保定徐水</t>
  </si>
  <si>
    <t>2021.2.9开通16个C的IP代播。</t>
  </si>
  <si>
    <t>BDDWD-联通</t>
  </si>
  <si>
    <t>BDDWD-联通开通9个C+128个的免费IP，
110.242.68.0 /24；
110.242.69.0/24；
110.242.70.0/24；
110.242.71.0/24回收预留；
110.242.72.0/24回收已分配给云业务使用；
110.242.73.0/24；
119.249.100.0/24；
119.249.101.0/24；
119.249.105.0/24；
119.249.103.128/25</t>
  </si>
  <si>
    <t>保定三级联通</t>
  </si>
  <si>
    <t>BDDWD-联通开通2个C+128个的免费IP，三线节点使用
119.249.102.0/24联通三级CDN
119.249.104.0/24联通三级BEC
119.249.103.0/25联通三级CDN(分配未使用，不计入开通数量)</t>
  </si>
  <si>
    <t>BDDWD-联通CDN</t>
  </si>
  <si>
    <t>BDDWD机房联通CDN出口开通200G带宽和256个IP，于2021-9-30交付;于2021.10.1开始计费。
110.242.74.0/24</t>
  </si>
  <si>
    <t>中国联合网络通信有限公司保定市分公司</t>
  </si>
  <si>
    <t>保定联通</t>
  </si>
  <si>
    <t>182115IDC00495</t>
  </si>
  <si>
    <t xml:space="preserve"> 河北省保定市东风西路10号IDC机房北楼11层—百度徐水大王店数据中心</t>
  </si>
  <si>
    <t>2021.10.1开通2条30公里的2芯光纤。</t>
  </si>
  <si>
    <t>182115IDC00095</t>
  </si>
  <si>
    <t>徐水自建转签</t>
  </si>
  <si>
    <t>保定自建机房（211房间）自2020.12.1转签至河北电信53个40A机柜。</t>
  </si>
  <si>
    <t>SYS反馈开通时间未2020.9.1，经与财务、商务沟通，暂从2021.6.1开始计费。
BDDWDD211-B-16
BDDWDD211-B-17
BDDWDD211-O-16
BDDWDD211-O-17</t>
  </si>
  <si>
    <t>SYS反馈开通时间未2020.9.4，经与财务、商务沟通，暂从2021.6.1开始计费。
BDDWDD211-I-01
BDDWDD211-Q-01</t>
  </si>
  <si>
    <t>SYS反馈开通时间未2020.9.22，经与财务、商务沟通，暂从2021.6.1开始计费。
BDDWDD211-E-06
BDDWDD211-K-01
BDDWDD211-K-02
BDDWDD211-K-03
BDDWDD211-K-04
BDDWDD211-K-05
BDDWDD211-K-06
BDDWDD211-K-07
BDDWDD211-K-08
BDDWDD211-K-09
BDDWDD211-K-10
BDDWDD211-K-11
BDDWDD211-K-12
BDDWDD211-K-13
BDDWDD211-K-14
BDDWDD211-K-15
BDDWDD211-M-01
BDDWDD211-M-02
BDDWDD211-M-03
BDDWDD211-M-04
BDDWDD211-M-05
BDDWDD211-M-06
BDDWDD211-M-07
BDDWDD211-M-08
BDDWDD211-M-09
BDDWDD211-M-10
BDDWDD211-M-11
BDDWDD211-M-12
BDDWDD211-M-13
BDDWDD211-M-14
BDDWDD211-M-15
BDDWDD211-N-01
BDDWDD211-N-02
BDDWDD211-N-03
BDDWDD211-N-04
BDDWDD211-N-05
BDDWDD211-N-06
BDDWDD211-N-07
BDDWDD211-N-08
BDDWDD211-N-09
BDDWDD211-N-10
BDDWDD211-N-11
BDDWDD211-N-12
BDDWDD211-N-13
BDDWDD211-N-14
BDDWDD211-N-15
BDDWDD211-N-16
BDDWDD211-N-17
BDDWDD211-O-01
BDDWDD211-O-02
BDDWDD211-O-03
BDDWDD211-O-04
BDDWDD211-O-05
BDDWDD211-O-06
BDDWDD211-O-07
BDDWDD211-O-08
BDDWDD211-O-09
BDDWDD211-O-10
BDDWDD211-O-11
BDDWDD211-O-12</t>
  </si>
  <si>
    <t>SYS反馈开通时间未2020.9.24，经与财务、商务沟通，暂从2021.6.1开始计费。
BDDWDD211-I-02
BDDWDD211-I-03
BDDWDD211-I-04
BDDWDD211-I-05
BDDWDD211-I-06
BDDWDD211-I-07
BDDWDD211-I-08
BDDWDD211-I-09
BDDWDD211-I-10
BDDWDD211-I-11
BDDWDD211-I-12
BDDWDD211-I-13
BDDWDD211-I-14
BDDWDD211-I-15
BDDWDD211-I-16
BDDWDD211-I-17
BDDWDD211-J-01
BDDWDD211-J-02
BDDWDD211-J-03
BDDWDD211-J-04
BDDWDD211-J-05
BDDWDD211-J-06</t>
  </si>
  <si>
    <t>SYS反馈开通时间未2020.9.27，经与财务、商务沟通，暂从2021.6.1开始计费。
BDDWDD211-E-07
BDDWDD211-E-08
BDDWDD211-E-09
BDDWDD211-E-10
BDDWDD211-E-11
BDDWDD211-E-12
BDDWDD211-E-13
BDDWDD211-E-14
BDDWDD211-E-15
BDDWDD211-F-01
BDDWDD211-F-02
BDDWDD211-H-08
BDDWDD211-H-09
BDDWDD211-H-10
BDDWDD211-H-11
BDDWDD211-H-12
BDDWDD211-H-13
BDDWDD211-O-13
BDDWDD211-O-14
BDDWDD211-O-15
BDDWDD211-P-01
BDDWDD211-P-02
BDDWDD211-P-03
BDDWDD211-P-04
BDDWDD211-P-05
BDDWDD211-P-06
BDDWDD211-P-07
BDDWDD211-P-08
BDDWDD211-P-09
BDDWDD211-P-10
BDDWDD211-P-11
BDDWDD211-P-12
BDDWDD211-P-13
BDDWDD211-P-14
BDDWDD211-P-15
BDDWDD211-Q-02
BDDWDD211-Q-03
BDDWDD211-Q-04
BDDWDD211-Q-05
BDDWDD211-Q-06
BDDWDD211-Q-07
BDDWDD211-Q-08
BDDWDD211-Q-09</t>
  </si>
  <si>
    <t>SYS反馈开通时间未2020.9.30，经与财务、商务沟通，暂从2021.6.1开始计费。
BDDWDD211-L-02
BDDWDD211-L-03
BDDWDD211-Q-10
BDDWDD211-Q-11
BDDWDD211-Q-12
BDDWDD211-Q-13
BDDWDD211-Q-14
BDDWDD211-Q-15
BDDWDD211-Q-16
BDDWDD211-Q-17</t>
  </si>
  <si>
    <t>SYS反馈开通时间未2020.12.28，经与财务、商务沟通，暂从2021.6.1开始计费。
BDDWDD211-L-06
BDDWDD211-L-07
BDDWDD211-L-08</t>
  </si>
  <si>
    <t>SYS反馈开通时间未2020.12.29，经与财务、商务沟通，暂从2021.6.1开始计费。BDDWDD211-H-06
BDDWDD211-H-07</t>
  </si>
  <si>
    <t>SYS反馈开通时间未2021.3.25，经与财务、商务沟通，暂从2021.6.1开始计费。
BDDWDD211-G-13
BDDWDD211-G-14
BDDWDD211-G-15
BDDWDD211-H-01
BDDWDD211-H-02
BDDWDD211-H-03
BDDWDD211-H-04
BDDWDD211-H-05
BDDWDD211-L-09</t>
  </si>
  <si>
    <t>SYS反馈开通时间未2021.4.2，经与财务、商务沟通，暂从2021.6.1开始计费。BDDWDD211-G-07
BDDWDD211-G-08
BDDWDD211-G-09
BDDWDD211-G-10
BDDWDD211-G-11
BDDWDD211-G-12</t>
  </si>
  <si>
    <t>2021.5开通;BDDWDD211-G-01
BDDWDD211-G-02
BDDWDD211-G-03
BDDWDD211-G-04
BDDWDD211-G-05
BDDWDD211-G-06</t>
  </si>
  <si>
    <t>SYS反馈未查到开通时间，经与财务、商务沟通，暂从2021.6.1开始计费。
BDDWDD211-E-16
BDDWDD211-E-17
BDDWDD211-K-16
BDDWDD211-K-17
BDDWDD211-B-01
BDDWDD211-B-02
BDDWDD211-B-08
BDDWDD211-B-09
BDDWDD211-B-10
BDDWDD211-B-11
BDDWDD211-B-12
BDDWDD211-B-13
BDDWDD211-C-07
BDDWDD211-C-08
BDDWDD211-C-09
BDDWDD211-C-10
BDDWDD211-C-11
BDDWDD211-C-12
BDDWDD211-C-13
BDDWDD211-D-02
BDDWDD211-D-03
BDDWDD211-D-04
BDDWDD211-D-05
BDDWDD211-D-06
BDDWDD211-D-07
BDDWDD211-D-08
BDDWDD211-D-09
BDDWDD211-D-10
BDDWDD211-D-11
BDDWDD211-D-12
BDDWDD211-D-13
BDDWDD211-D-14
BDDWDD211-D-15
BDDWDD211-E-01
BDDWDD211-E-02
BDDWDD211-E-03
BDDWDD211-E-04
BDDWDD211-E-05
BDDWDD211-L-04
BDDWDD211-L-05</t>
  </si>
  <si>
    <t>2020.10.27开通8个C的IP地址，免费，超过8个C按照7680元/C/月收取费用
124.237.176.0/21</t>
  </si>
  <si>
    <t>C</t>
  </si>
  <si>
    <t>自建机房转签；2021.1.21开通省内4个C的IP代播，按照2500元/C/月收取费用</t>
  </si>
  <si>
    <t>自建机房转签；2021.1.21开通全球16个C的IP代播，按照2500元/C/月收取费用</t>
  </si>
  <si>
    <t>中国电信集团有限公司河北分公司</t>
  </si>
  <si>
    <t>L20220729011</t>
  </si>
  <si>
    <t>保定三级电信</t>
  </si>
  <si>
    <t>BDDX</t>
  </si>
  <si>
    <t>保定定兴电信，2021.1.1开始计费，使用200G带宽，IPv4地址每万兆免费提供32个，超出部分30个/月；IPv6地址免费提供(CDN768和IDC1280共用，由IDC负责)
IDC使用5个C  IP ：
124.237.208.0/24
124.237.209.0/24
124.237.210.0/24
124.237.211.0/24
124.237.214.0/25 IDC 124.237.214.128/25 IDC</t>
  </si>
  <si>
    <t>保定定兴电信，2021.1.1开始计费，使用200G带宽，IPv4地址每万兆免费提供32个，超出部分30个/月；IPv6地址免费提供(CDN和IDC共用，由IDC负责；新合同赠送4032个IP)
CDN使用768个IP（124.237.212.0/24 cdn三级电信
124.237.213.0/24 cdn  三级电信
124.237.215.0/24  bec 三级电信）</t>
  </si>
  <si>
    <t xml:space="preserve">保定电信三线出口，2021.9.30开通400G带宽和768个IP（2022.6.16邮件确认赠送1280个IP，故768个IP全部免费），2021.11.1开始计费
124.237.224.0/24
124.237.225.0/24回收已分配给云业务使用
124.237.226.0/24回收预留
</t>
  </si>
  <si>
    <t>保定三级，
CDN使用12个机柜，于2020.12.21开通（免费，百度自建机房）BDDXD231A-A-12
BDDXD231A-A-13
BDDXD231A-A-14
BDDXD231A-A-15
BDDXD231A-A-16
BDDXD231A-A-17
BDDXD231A-A-18
BDDXD231A-B-12
BDDXD231A-B-13
BDDXD231A-B-14
BDDXD231A-B-15
BDDXD231A-B-16</t>
  </si>
  <si>
    <t>保定定兴电信，
边缘计算使用2个机柜，于2021.1.20开通（免费，百度自建机房）BDDXD231A-B-17
BDDXD231A-B-18</t>
  </si>
  <si>
    <t>华中-WM</t>
  </si>
  <si>
    <t>中国电信股份有限公司武汉分公司</t>
  </si>
  <si>
    <t>武汉电信</t>
  </si>
  <si>
    <t>L20221229004</t>
  </si>
  <si>
    <t>北京到武汉</t>
  </si>
  <si>
    <t>2020年2月6日升速为200G</t>
  </si>
  <si>
    <t>武汉临空港</t>
  </si>
  <si>
    <t>L20221025004</t>
  </si>
  <si>
    <t>武汉
LKGIDC</t>
  </si>
  <si>
    <t>QYKG</t>
  </si>
  <si>
    <t xml:space="preserve">HB-027-LKGIDC-2-2-08-01
HB-027-LKGIDC-2-2-08-02
</t>
  </si>
  <si>
    <t xml:space="preserve">HB-027-LKGIDC-2-2-08-03
HB-027-LKGIDC-2-2-08-04
HB-027-LKGIDC-2-2-08-05
HB-027-LKGIDC-2-2-08-06
HB-027-LKGIDC-2-2-08-07
HB-027-LKGIDC-2-2-08-08
HB-027-LKGIDC-2-2-08-09
HB-027-LKGIDC-2-2-08-10
HB-027-LKGIDC-2-2-08-11
HB-027-LKGIDC-2-2-08-12
HB-027-LKGIDC-2-2-08-13
HB-027-LKGIDC-2-2-08-14
HB-027-LKGIDC-2-2-08-15
HB-027-LKGIDC-2-2-08-16
HB-027-LKGIDC-2-2-07-19
</t>
  </si>
  <si>
    <t xml:space="preserve">HB-027-LKGIDC-2-2-08-17
HB-027-LKGIDC-2-2-08-18
HB-027-LKGIDC-2-2-08-19
HB-027-LKGIDC-2-2-08-20
HB-027-LKGIDC-2-2-02-01
HB-027-LKGIDC-2-2-02-02
HB-027-LKGIDC-2-2-02-03
HB-027-LKGIDC-2-2-02-04
HB-027-LKGIDC-2-2-02-05
HB-027-LKGIDC-2-2-02-06
HB-027-LKGIDC-2-2-02-07
HB-027-LKGIDC-2-2-02-08
HB-027-LKGIDC-2-2-02-09
HB-027-LKGIDC-2-2-02-10
HB-027-LKGIDC-2-2-02-11
</t>
  </si>
  <si>
    <t xml:space="preserve">HB-027-LKGIDC-2-2-02-12
HB-027-LKGIDC-2-2-02-13
HB-027-LKGIDC-2-2-02-14
HB-027-LKGIDC-2-2-02-15
HB-027-LKGIDC-2-2-02-16
HB-027-LKGIDC-2-2-02-17
HB-027-LKGIDC-2-2-02-18
HB-027-LKGIDC-2-2-02-19
HB-027-LKGIDC-2-2-02-20
HB-027-LKGIDC-2-2-02-21
HB-027-LKGIDC-2-2-02-22
HB-027-LKGIDC-2-2-02-23
HB-027-LKGIDC-2-2-03-01
HB-027-LKGIDC-2-2-03-02
HB-027-LKGIDC-2-2-03-03
HB-027-LKGIDC-2-2-03-04
HB-027-LKGIDC-2-2-03-05
HB-027-LKGIDC-2-2-03-06
HB-027-LKGIDC-2-2-03-07
HB-027-LKGIDC-2-2-03-08
HB-027-LKGIDC-2-2-03-09
HB-027-LKGIDC-2-2-04-13
HB-027-LKGIDC-2-2-04-15
</t>
  </si>
  <si>
    <t xml:space="preserve">HB-027-LKGIDC-2-2-03-10
HB-027-LKGIDC-2-2-03-11
HB-027-LKGIDC-2-2-03-12
HB-027-LKGIDC-2-2-03-13
HB-027-LKGIDC-2-2-03-14
HB-027-LKGIDC-2-2-03-15
HB-027-LKGIDC-2-2-03-16
HB-027-LKGIDC-2-2-03-17
HB-027-LKGIDC-2-2-03-18
HB-027-LKGIDC-2-2-03-19
HB-027-LKGIDC-2-2-03-20
HB-027-LKGIDC-2-2-03-21
HB-027-LKGIDC-2-2-03-22
HB-027-LKGIDC-2-2-03-23
HB-027-LKGIDC-2-2-04-01
HB-027-LKGIDC-2-2-04-02
HB-027-LKGIDC-2-2-04-03
HB-027-LKGIDC-2-2-04-04
HB-027-LKGIDC-2-2-04-05
HB-027-LKGIDC-2-2-04-06
HB-027-LKGIDC-2-2-04-07
HB-027-LKGIDC-2-2-04-08
HB-027-LKGIDC-2-2-04-09
HB-027-LKGIDC-2-2-04-10
HB-027-LKGIDC-2-2-04-11
HB-027-LKGIDC-2-2-04-12
HB-027-LKGIDC-2-2-04-14
</t>
  </si>
  <si>
    <t xml:space="preserve">HB-027-LKGIDC-2-2-04-16
HB-027-LKGIDC-2-2-04-17
HB-027-LKGIDC-2-2-04-18
HB-027-LKGIDC-2-2-04-19
HB-027-LKGIDC-2-2-04-20
HB-027-LKGIDC-2-2-04-22
HB-027-LKGIDC-2-2-04-23
HB-027-LKGIDC-2-2-05-01
HB-027-LKGIDC-2-2-05-02
HB-027-LKGIDC-2-2-05-03
HB-027-LKGIDC-2-2-05-04
HB-027-LKGIDC-2-2-05-05
</t>
  </si>
  <si>
    <t>HB-027-LKGIDC-2-2-04-21</t>
  </si>
  <si>
    <t xml:space="preserve">HB-027-LKGIDC-2-2-05-06
HB-027-LKGIDC-2-2-05-07
HB-027-LKGIDC-2-2-05-08
</t>
  </si>
  <si>
    <t xml:space="preserve">1、 HB-027-LKGIDC-2-4-01-01
2、 HB-027-LKGIDC-2-4-01-02
3、 HB-027-LKGIDC-2-4-01-03
4、 HB-027-LKGIDC-2-4-01-06
5、 HB-027-LKGIDC-2-4-01-11
6、 HB-027-LKGIDC-2-4-01-12
7、 HB-027-LKGIDC-2-4-02-01
8、 HB-027-LKGIDC-2-4-02-02
9、 HB-027-LKGIDC-2-4-02-03
10、 HB-027-LKGIDC-2-4-02-06
11、 HB-027-LKGIDC-2-4-02-11
12、 HB-027-LKGIDC-2-4-02-12
13、 HB-027-LKGIDC-2-4-03-01
14、 HB-027-LKGIDC-2-4-03-02
15、 HB-027-LKGIDC-2-4-03-03
16、 HB-027-LKGIDC-2-4-03-09
17、 HB-027-LKGIDC-2-4-03-10
18、 HB-027-LKGIDC-2-4-04-01
19、 HB-027-LKGIDC-2-4-04-02
20、 HB-027-LKGIDC-2-4-04-03
21、 HB-027-LKGIDC-2-4-04-11
22、 HB-027-LKGIDC-2-4-04-12
23、 HB-027-LKGIDC-2-4-05-01
24、 HB-027-LKGIDC-2-4-05-02
25、 HB-027-LKGIDC-2-4-06-01
26、 HB-027-LKGIDC-2-4-06-02
27、 HB-027-LKGIDC-2-4-06-10
</t>
  </si>
  <si>
    <t xml:space="preserve">QYKG202-06-22
QYKG202-06-23
QYKG202-07-01
QYKG202-07-02
QYKG202-07-03
QYKG202-07-04
QYKG202-07-05
QYKG202-07-06
QYKG202-07-07
QYKG202-07-08
QYKG202-07-09
QYKG202-07-10
QYKG202-07-11
QYKG202-07-12
QYKG202-07-13
QYKG202-07-14
QYKG202-07-15
QYKG202-07-16
QYKG202-07-17
QYKG202-07-18
</t>
  </si>
  <si>
    <t xml:space="preserve">QYKG302-01-04
QYKG302-01-05
QYKG302-01-06
</t>
  </si>
  <si>
    <t>QYKG302-01-01
QYKG302-01-02
QYKG302-01-03
QYKG302-01-07
QYKG302-01-08
QYKG302-01-09
QYKG302-01-10
QYKG302-01-11
QYKG302-01-12</t>
  </si>
  <si>
    <t xml:space="preserve">QYKG-302-01-13
QYKG-302-01-14
QYKG-302-01-15
QYKG-302-01-16
QYKG-302-01-17
QYKG-302-01-18
QYKG-302-01-19
QYKG-302-01-20
QYKG-302-01-21
QYKG-302-01-22
QYKG-302-01-23
QYKG-302-02-01
QYKG-302-02-02
QYKG-302-02-03
QYKG-302-02-04
QYKG-302-02-05
QYKG-302-02-06
QYKG-302-02-07
QYKG-302-02-08
QYKG-302-02-09
QYKG-302-02-10
QYKG-302-02-11
QYKG-302-02-12
QYKG-302-02-13
QYKG-302-02-14
QYKG-302-02-15
QYKG-302-02-16
QYKG-302-02-17
QYKG-302-02-18
QYKG-302-07-19
</t>
  </si>
  <si>
    <t>QYKG302-06-02、QYKG302-06-03、QYKG302-07-03</t>
  </si>
  <si>
    <t>QYKG302-06-04、QYKG302-06-05、QYKG302-06-06</t>
  </si>
  <si>
    <t>QYKG204-06-06、QYKG204-06-07、QYKG204-06-08、QYKG204-06-09</t>
  </si>
  <si>
    <t>QYKG302-06-07~12</t>
  </si>
  <si>
    <t>QYKG302-06-13~18</t>
  </si>
  <si>
    <t>QYKG302-07-04
QYKG302-07-05
QYKG302-07-06
QYKG302-07-07
QYKG302-07-08
QYKG302-07-09
QYKG302-07-10
QYKG302-07-11
QYKG302-07-12
QYKG302-06-19
QYKG302-06-20
QYKG302-06-21
QYKG302-06-22
QYKG302-06-23</t>
  </si>
  <si>
    <t>QYKG302-07-13
QYKG302-07-14
QYKG302-07-15
QYKG302-07-16
QYKG302-07-17
QYKG302-07-18</t>
  </si>
  <si>
    <t>QYKG302-07-01</t>
  </si>
  <si>
    <t>QYKG202-01-04
QYKG202-01-05
QYKG202-01-06
QYKG202-01-07
QYKG202-01-08
QYKG202-01-09
QYKG202-01-10
QYKG202-01-11
QYKG202-01-12
QYKG202-01-13
QYKG202-01-14
QYKG202-01-15
QYKG202-01-16
QYKG202-01-17
QYKG202-01-18
QYKG202-01-19
QYKG202-01-20
QYKG202-01-21
QYKG202-01-22
QYKG202-01-23</t>
  </si>
  <si>
    <t>QYKG302-08-02
QYKG302-08-03
QYKG302-08-04
QYKG302-08-05
QYKG302-08-06
QYKG302-08-07
QYKG302-08-08
QYKG302-08-09
QYKG302-08-10
QYKG302-08-11
QYKG302-08-12
QYKG302-08-13
QYKG302-08-14
QYKG302-08-15
QYKG302-08-16
QYKG302-08-17
QYKG302-08-18
QYKG302-08-19
QYKG302-08-20
QYKG302-08-21
QYKG302-08-22
QYKG302-08-23</t>
  </si>
  <si>
    <t>QYKG302-08-01</t>
  </si>
  <si>
    <t>QYKG202-01-02</t>
  </si>
  <si>
    <t>QYKG204-01-04
QYKG204-01-05
QYKG204-01-07
QYKG204-01-08
QYKG204-01-09
QYKG204-01-10
QYKG204-02-04
QYKG204-02-05
QYKG204-02-07
QYKG204-02-08
QYKG204-02-09
QYKG204-02-10
QYKG204-03-04
QYKG204-03-05
QYKG204-03-06
QYKG204-03-07
QYKG204-03-08
QYKG204-04-04
QYKG204-04-05
QYKG204-04-06
QYKG204-04-07
QYKG204-04-08
QYKG204-04-09
QYKG204-04-10
QYKG204-05-03
QYKG204-05-04
QYKG204-05-05
QYKG204-05-06
QYKG204-05-07
QYKG204-05-08
QYKG204-05-09
QYKG204-05-10
QYKG204-05-11
QYKG204-05-12
QYKG204-06-03
QYKG204-06-04
QYKG204-06-05</t>
  </si>
  <si>
    <t>QYKG202-01-03</t>
  </si>
  <si>
    <t>QYKG202-01-02
QYKG202-01-03
QYKG202-01-04
QYKG202-01-05
QYKG202-01-06
QYKG202-01-07
QYKG202-01-08
QYKG202-01-09
QYKG202-01-10
QYKG202-01-11
QYKG202-01-12
QYKG202-01-13
QYKG202-01-14
QYKG202-01-15
QYKG202-01-16
QYKG202-01-17
QYKG202-01-18
QYKG202-01-19
QYKG202-01-20
QYKG202-01-21
QYKG202-01-22
QYKG202-01-23</t>
  </si>
  <si>
    <t>QYKG204-04-07
QYKG204-04-08
QYKG204-04-09
QYKG204-04-10
QYKG204-05-03
QYKG204-05-04
QYKG204-05-05
QYKG204-05-06
QYKG204-05-07
QYKG204-05-08
QYKG204-05-09
QYKG204-05-10
QYKG204-05-11
QYKG204-05-12
QYKG204-06-03
QYKG204-06-04
QYKG204-06-05</t>
  </si>
  <si>
    <t>181915IDC00271</t>
  </si>
  <si>
    <t>CDNWHCT2</t>
  </si>
  <si>
    <t>WHCT3F-B-01、WHCT3F-B-02 、WHCT3F-B-03、WHCT3F-B-04、WHCT3F-B-05</t>
  </si>
  <si>
    <t>2019/12/31退租160G，退5个机柜，288个IP
WHCT3F-B-01、WHCT3F-B-02 、WHCT3F-B-03、WHCT3F-B-04、WHCT3F-B-05</t>
  </si>
  <si>
    <t>中国电信股份有限公司湖北互联网数据事业部</t>
  </si>
  <si>
    <t>黄石电信</t>
  </si>
  <si>
    <t>182215IDC00269</t>
  </si>
  <si>
    <t>黄石2电信
黄石3电信
黄石电信二级</t>
  </si>
  <si>
    <t>CDNHSCT</t>
  </si>
  <si>
    <t>使用19个机架
黄石2电信：
HS2CT4F-06-07、HS2CT4F-06-08、HS2CT4F-06-09、HS2CT4F-06-10、
黄石3电信
HS3CT4F-10-01、HS3CT4F-10-02、HS3CT4F-10-03、HS3CT4F-10-04、
黄石电信二级：
HSCTCACHE4F-7-01、
HSCTCACHE4F-7-02、
HSCTCACHE4F-7-03、
HSCTCACHE4F-7-04、
HSCT4F-7-05、
HSCT4F-7-06、
HSCT4F-7-07、
HSCT4F-7-08
HSCT4F-6-01、
HSCT4F-6-02、
HSCT4F-6-03</t>
  </si>
  <si>
    <t>SSL使用5个机架
HSCT4F-1-04、HSCT4F-1-05、HSCT4F-1-06、HSCT4F-1-07、HSCT4F-1-08</t>
  </si>
  <si>
    <t>SSL2022.7.19退租2个机柜
HSCT4F-1-07
HSCT4F-1-08</t>
  </si>
  <si>
    <t>黄石3电信</t>
  </si>
  <si>
    <t>HS3CT边缘计算节点新增3个机架，128个IP：BECHSCT-06-05、BECHSCT-06-06、BECHSCT-06-07</t>
  </si>
  <si>
    <t>黄石电信二级</t>
  </si>
  <si>
    <t>2021.10.21黄石电信二级退租4个机柜，
HSCT4F-7-08、
HSCT4F-6-03、
HSCT4F-6-02、
HSCT4F-6-01、</t>
  </si>
  <si>
    <t>2022.8.31黄石电信二级退租3个机柜
HSCT4F-7-07
HSCT4F-7-06
HSCT4F-7-05</t>
  </si>
  <si>
    <t>黄石2电信</t>
  </si>
  <si>
    <t>黄石2电信使用288个免费：
119.100.50.0/24
58.51.194.32/27
历史开通；合同免费赠送IP地址1728 ，超出部分30元/个/；此部分免费</t>
  </si>
  <si>
    <t>黄石3电信HS3CT</t>
  </si>
  <si>
    <t>黄石3电信使用288个，免费：111.174.1.0/24
219.138.64.64/27
历史开通；合同免费赠送IP地址1728 ，超出部分30元/个/；此部分免费</t>
  </si>
  <si>
    <t>黄石电信二级使用512个，免费：
61.136.172.0/24
61.136.173.0/24
历史开通；合同免费赠送IP地址1728 ，超出部分30元/个/；此部分免费</t>
  </si>
  <si>
    <t>2022.8.31黄石电信二级退租256个IP
61.136.172.0/24</t>
  </si>
  <si>
    <t>黄石电信SSL</t>
  </si>
  <si>
    <t>历史开通（2017.2）；SSL使用512个免费IP：
111.174.61.0/24
111.174.63.0/24
历史开通；合同免费赠送IP地址1728 ，超出部分30元/个/；此部分免费</t>
  </si>
  <si>
    <t>黄石3电信边缘计算节点新增3个机架，128个IP：111.174.14.0/25；合同免费赠送IP地址1728 ，超出部分30元/个/；此部分免费</t>
  </si>
  <si>
    <t xml:space="preserve">黄石3电信2022.8.1边缘计算节点新增6个机架，
BECHSCT-08-05
BECHSCT-08-06
BECHSCT-08-07
BECHSCT-08-08
BECHSCT-09-09
BECHSCT-10-10
</t>
  </si>
  <si>
    <t>黄石3电信2022.8.1边缘计算节点新增256个IP：61.184.116.0/24；合同免费赠送IP地址1728 ，超出部分30元/个/；此部分收费；因2022.8.31黄石2电信退租256个IP，故自2022.9.1开始此256个免费。</t>
  </si>
  <si>
    <t>黄石3电信2022.8.1边缘计算节点新增1个IPV6:240e:95d:1903::/64；</t>
  </si>
  <si>
    <t>黄石3电信2022.11.7退租128个IP
111.174.1.128/25</t>
  </si>
  <si>
    <t>襄阳电信</t>
  </si>
  <si>
    <t>云自采-襄阳电信 XIANGYCT</t>
  </si>
  <si>
    <t>CBUCDNXIANGYCT</t>
  </si>
  <si>
    <t>XIANGYCT2F-5-07、XIANGYCT2F-5-08、XIANGYCT2F-5-09、XIANGYCT2F-5-10、XIANGYCT2F-5-11、XIANGYCT2F-5-12、XIANGYCT2F-5-13、XIANGYCT2F-6-08、XIANGYCT2F-6-09、XIANGYCT2F-6-10、XIANGYCT2F-6-11</t>
  </si>
  <si>
    <t>2021.8.13退租6个机柜XIANGYCT2F-5-07、XIANGYCT2F-5-08、XIANGYCT2F-6-08、XIANGYCT2F-6-09、XIANGYCT2F-6-10、XIANGYCT2F-6-11</t>
  </si>
  <si>
    <t>襄阳电信2 XIANGY2CT</t>
  </si>
  <si>
    <t>XIANGYCT7F-07-01、XIANGYCT7F-07-02、XIANGYCT7F-07-05、XIANGYCT7F-07-06、XIANGYCT7F-07-03、XIANGYCT7F-07-04、XIANGYCT7F-07-07</t>
  </si>
  <si>
    <t>XIANGY2CT节点2022.12.10退租3个机柜XIANGYCT7F-07-05、XIANGYCT7F-07-06、XIANGYCT7F-07-07</t>
  </si>
  <si>
    <t>襄阳三级电信 XIANGYIXCT</t>
  </si>
  <si>
    <t>CDNXIANGYIX</t>
  </si>
  <si>
    <t>新建襄阳三级电信160G,增22个机柜19.7.25开始计费：XIANGYIX2F-11-10、XIANGYIX2F-11-11、XIANGYIX2F-11-12、XIANGYIX2F-11-03、XIANGYIX2F-11-04、XIANGYIX2F-11-01、XIANGYIX2F-11-02、XIANGYIX2F-11-07、XIANGYIX2F-11-08、XIANGYIX2F-11-05、XIANGYIX2F-11-06、XIANGYIX2F-11-09、XIANGYIX2F-10-02、XIANGYIX2F-10-03、XIANGYIX2F-10-01、XIANGYIX2F-10-06、XIANGYIX2F-10-07、XIANGYIX2F-10-04、XIANGYIX2F-10-05、XIANGYIX2F-10-08、XIANGYIX2F-10-09、XIANGYIX2F-10-10</t>
  </si>
  <si>
    <t>2021/1/18退租9个机架
XIANGYIX2F-11-03、XIANGYIX2F-11-04、XIANGYIX2F-11-06、XIANGYIX2F-11-07、XIANGYIX2F-11-08、XIANGYIX2F-11-09、XIANGYIX2F-11-10、XIANGYIX2F-11-11、XIANGYIX2F-11-12</t>
  </si>
  <si>
    <t>襄阳电信二级节点2022.9.1新增3个机柜。
XIANGYCT2F-5-06
XIANGYCT2F-5-07
XIANGYCT2F-5-08</t>
  </si>
  <si>
    <t>XIANGYCT 160G 11机柜 544IP（111.177.3.0/24;111.177.4.0/24;111.177.9.32/27）。共使用1376，免费1408，超出收费50</t>
  </si>
  <si>
    <t xml:space="preserve"> XIANGY2CT 160G 7机柜 288IP（111.177.8.0/24;111.177.9.0/27）。共使用1376，免费1408，超出收费50</t>
  </si>
  <si>
    <t>新建襄阳三级电信160G,使用544个IP（111.177.6.0/24，111.177.1.128/27 ，111.177.7.0/24） 。共使用1376，免费1408，超出收费50</t>
  </si>
  <si>
    <t>XIANGYIX节点2022.10.1扩容11个机柜：
XIANGYIX2F-11-03
XIANGYIX2F-11-04
XIANGYIX2F-11-06
XIANGYIX2F-11-07
XIANGYIX2F-11-08
XIANGYIX2F-11-09
XIANGYIX2F-11-10
XIANGYIX2F-11-11
XIANGYIX2F-11-12
XIANGYIX2F-11-13
XIANGYIX2F-12-1</t>
  </si>
  <si>
    <t>182215IDC00273</t>
  </si>
  <si>
    <t>襄阳市樊城区长虹路特88号电信IDC机房—武汉市洪山区书城路</t>
  </si>
  <si>
    <t>2022.7.1开始计费800G电路，襄阳市樊城区长虹路特88号电信IDC机房—武汉市洪山区书城路</t>
  </si>
  <si>
    <t>中国联合网络通信有限公司黄石市分公司</t>
  </si>
  <si>
    <t>黄石联通</t>
  </si>
  <si>
    <t>182215IDC00678</t>
  </si>
  <si>
    <t>黄石BEC</t>
  </si>
  <si>
    <t>HSUN</t>
  </si>
  <si>
    <t>CDNHSUN</t>
  </si>
  <si>
    <t>HSUN节点，2022.10.1新增1个机柜
BECHSUN-B-04</t>
  </si>
  <si>
    <t xml:space="preserve">HSUN节点，2022.10.1新增256个IP，免费。
113.56.146.0/24
</t>
  </si>
  <si>
    <t>中国联合网络通信有限公司武汉市分公司</t>
  </si>
  <si>
    <t>武汉联通</t>
  </si>
  <si>
    <t>L20221229013</t>
  </si>
  <si>
    <t>武汉CDN</t>
  </si>
  <si>
    <t>CDNWHUN</t>
  </si>
  <si>
    <t>19.8.24CDN节点关停下线</t>
  </si>
  <si>
    <t>武汉SSL</t>
  </si>
  <si>
    <t>SSLWHUN</t>
  </si>
  <si>
    <t>WHUN3F-F-09、
WHUN3F-G-10、
WHUN3F-G-11、
WHUN3F-G-12</t>
  </si>
  <si>
    <t>2022.11.30退租4个机柜WHUN3F-F-09、
WHUN3F-G-10、
WHUN3F-G-11、
WHUN3F-G-12</t>
  </si>
  <si>
    <t>原共用1280个，256*3=768免费。CDN退租未来城机房退512个IP，剩余为SSL在鲁巷机房使用的768个IP，免费256个，收费512个（122.190.2.0/24,122.190.3.0/24,122.190.1.0/24）</t>
  </si>
  <si>
    <t>2022.11.30退租768个IP。原共用1280个，256*3=768免费。CDN退租未来城机房退512个IP，剩余为SSL在鲁巷机房使用的768个IP，免费256个，收费512个（122.190.2.0/24,122.190.3.0/24,122.190.1.0/24）</t>
  </si>
  <si>
    <t>武汉BEC</t>
  </si>
  <si>
    <t>WH3UN</t>
  </si>
  <si>
    <t>CDNWHUN2</t>
  </si>
  <si>
    <t xml:space="preserve">WH3UN节点，BEC2022.8.22开始计费5个机柜
BECWH2UN-C-05
BECWH2UN-C-06
BECWH2UN-C-07
BECWH2UN-C-08
BECWH2UN-C-09
</t>
  </si>
  <si>
    <t>WH3UN节点，BEC2022.9.1开始计费256个IP，免费128个，收费128个
58.19.21.0/24</t>
  </si>
  <si>
    <t>WH3UN节点，BEC2022.9.1开通1段IPv6
2408:874E:1000:000C::/64</t>
  </si>
  <si>
    <t>WH4UN</t>
  </si>
  <si>
    <t>CDNWHUN4</t>
  </si>
  <si>
    <t xml:space="preserve">WH4UN节点，2022.10.1开始计费2个机柜
WH4UN7D1FVIP2-3V2-A11
WH4UN7D1FVIP2-3V2-A12
</t>
  </si>
  <si>
    <t>WH4UN节点，2022.10.1新增160个IP，免费122.190.57.0/25 122.190.57.128/27</t>
  </si>
  <si>
    <t>中国联合网络通信有限公司襄阳市分公司</t>
  </si>
  <si>
    <t>襄阳联通</t>
  </si>
  <si>
    <t>182215IDC00333</t>
  </si>
  <si>
    <t>襄阳三线联通</t>
  </si>
  <si>
    <t>免费使用IPV4 288个。同时免费提供IPV6地址 [1]个/56
119.36.164.0/24,119.36.165.0/27;于2022.4.30关闭173个IP转签代理合同。</t>
  </si>
  <si>
    <t>于2022.4.30关闭173个IP转签代理合同。</t>
  </si>
  <si>
    <t>代理</t>
  </si>
  <si>
    <t>橘智科技有限公司</t>
  </si>
  <si>
    <t>橘智科技</t>
  </si>
  <si>
    <t>182215IDC00334</t>
  </si>
  <si>
    <t>XN襄阳三线联通</t>
  </si>
  <si>
    <t>2022.5.1开始关联在代理合同</t>
  </si>
  <si>
    <t>中国移动通信集团湖北有限公司</t>
  </si>
  <si>
    <t>湖北移动</t>
  </si>
  <si>
    <t>L20221229014</t>
  </si>
  <si>
    <t>襄阳2移动</t>
  </si>
  <si>
    <t>CDNXIANGYCM</t>
  </si>
  <si>
    <t>XIANGCM2FB202-A-05
XIANGCM2FB202-A-06
XIANGCM2FB202-A-07
XIANGCM2FB202-A-08
XIANGCM2FB202-A-09
XIANGCM2FB202-A-10
XIANGCM2FB202-A-11
XIANGCM2FB202-A-12</t>
  </si>
  <si>
    <t>边缘计算新增2个机柜，
BECXIANGY2CM2FB202-A-13、
BECXIANGY2CM2FB202-A-14</t>
  </si>
  <si>
    <t>襄阳2移动边缘计算节点新申请5个机架，256个IP V4,接入cdn核心交换机地址为：111.48.86.1于2021-02-26正式开通。运营商反馈从3.1开始计费。
BECXIANGY2CM2FB202-A-B09、BECXIANGY2CM2FB202-A-B10、BECXIANGY2CM2FB202-A-B11、BECXIANGY2CM2FB202-A-B12、BECXIANGY2CM2FB202-A-B13</t>
  </si>
  <si>
    <t>XIANGY2CM</t>
  </si>
  <si>
    <t>襄阳移动边缘计算节点新申请1个机架，2021-04-30正式开通。运营商反馈从5.1开始计费。BECXIANGY2CM2FB202-A-B08</t>
  </si>
  <si>
    <t>襄阳</t>
  </si>
  <si>
    <t>320G节点使用544 个IP；80G节点288个IP；
111.48.51.0/24;111.48.86.192/27;111.48.50.0/24</t>
  </si>
  <si>
    <t>襄阳 XIANGYIXCM</t>
  </si>
  <si>
    <t>襄阳三级移动</t>
  </si>
  <si>
    <t xml:space="preserve">320G节点使用544 个IP；80G节点288个IP
111.47.227.0/24,111.48.86.224/27 </t>
  </si>
  <si>
    <t>边缘计算新增2个机柜，128个IP,2020/6/2开始计费，IP免费:111.48.86.0/25</t>
  </si>
  <si>
    <t xml:space="preserve">襄阳移动边缘计算节点新申请5个机架，256个IP于2021-02-26正式开通。
111.47.231.0/24
2022.5.31退租50G带宽后转收费165个IP。2022.7.26退租384个IP后165个IP转免费，故165个IP7月计费26天
</t>
  </si>
  <si>
    <t>襄阳3移动BEC</t>
  </si>
  <si>
    <t xml:space="preserve">襄阳3移动边缘计算节点新增2个机柜，于2021.10.1开始计费BECXIANGY3CM2F-B-A15、
BECXIANGY3CM2F-B-A14、
</t>
  </si>
  <si>
    <t xml:space="preserve">襄阳3移动BEC于2022.12.31退租2个机柜BECXIANGY3CM2F-B-A15、
BECXIANGY3CM2F-B-A14、
</t>
  </si>
  <si>
    <t xml:space="preserve">襄阳3移动边缘计算节点新增128个IP，于2021.10.1开通111.48.89.128/25
</t>
  </si>
  <si>
    <t xml:space="preserve">（免费IP，未实际退租后续可继续使用）2022.12.31襄阳3移动边缘计算节点退租128个IP。
111.48.89.128/25
</t>
  </si>
  <si>
    <t xml:space="preserve">襄阳2移动节点核对后，目前在用2段IPV6。
2409:8C4D:5200:0100::/64  CDN用
2409:8C4D:5200:0101::/64  BEC用
未关联资源
</t>
  </si>
  <si>
    <t>襄阳2移动BEC</t>
  </si>
  <si>
    <t xml:space="preserve">襄阳2移动边缘计算节点新增1个机柜，于2021.12.10开始计费BECXIANGY2CM2FB202-B-A13
</t>
  </si>
  <si>
    <t xml:space="preserve">襄阳2移动边缘计算节点新增128个IP，于2021.12.10开通111.48.89.0/25；自2022.4.30退租100G带宽后收费12个IP。2022.5.31退租50G带宽后转收费165个IP。2022.7.26退租384个IP后165个IP转免费。
</t>
  </si>
  <si>
    <t xml:space="preserve">襄阳3移动边缘计算节点新增1段IPV6，免费2409:8c4d:5200:42::0/64；合同未录合同行，资源未关联
</t>
  </si>
  <si>
    <t xml:space="preserve">（免费IPV6，未实际退租后续可继续使用）2022.12.31襄阳3移动边缘计算节点退租1段。
2409:8c4d:5200:42:: /64
</t>
  </si>
  <si>
    <t>2022.7.26襄阳2移动退租4个机柜
XIANGCM2FB202-A-09
XIANGCM2FB202-A-10 
XIANGCM2FB202-A-11
XIANGCM2FB202-A-12</t>
  </si>
  <si>
    <t>2022.7.26襄阳2移动退租384个IP
111.48.51.0/24
111.48.50.128/25</t>
  </si>
  <si>
    <t>2023.1.1襄阳2移动CDN开通1个机柜
XIANGCM2FB202-A-09</t>
  </si>
  <si>
    <t>2023.2.26襄阳2移动新增2个机柜
XIANGCM2FB202-A-10
XIANGCM2FB202-A-11</t>
  </si>
  <si>
    <t>2023.2.26襄阳2移动新增128个IP
111.48.50.128/25</t>
  </si>
  <si>
    <t>中国电信集团有限公司大连分公司</t>
  </si>
  <si>
    <t>大连电信</t>
  </si>
  <si>
    <t>181915IDC00324</t>
  </si>
  <si>
    <t xml:space="preserve">需要注意202008-202009不计费，2021.7合同顺延一年，赠送768个IP ，实际使用160个
182.201.240.0/25;42.202.159.64/27
</t>
  </si>
  <si>
    <t>大连2电信</t>
  </si>
  <si>
    <t>CDNDLCT2</t>
  </si>
  <si>
    <t>DL2CT1FIDC-G-02
DL2CT1FIDC-G-01</t>
  </si>
  <si>
    <t>中国电信股份有限公司锦州分公司</t>
  </si>
  <si>
    <t>锦州电信</t>
  </si>
  <si>
    <t>182215IDC00223</t>
  </si>
  <si>
    <t xml:space="preserve"> 
CDNJZCT</t>
  </si>
  <si>
    <t>免费，使用4个
JZCT5F-A-05
JZCT5F-A-04
JZCT5F-A-03
JZCT5F-A-02</t>
  </si>
  <si>
    <t>免费，使用288个，新合同免费512个
42.248.94.0/24
42.248.95.0/27</t>
  </si>
  <si>
    <t>边缘计算使用128个IP，赠送
42.248.95.128/25</t>
  </si>
  <si>
    <t>CDNJZCT</t>
  </si>
  <si>
    <t>边缘计算使用2个机柜，赠送
BECJZCT5F-A-06
BECJZCT5F-A-07</t>
  </si>
  <si>
    <t>L20220328010</t>
  </si>
  <si>
    <t>锦州2电信</t>
  </si>
  <si>
    <t>2022.5.1新增30G带宽、1个机柜、128个IP，免费节点
JZCT5F-C1-15</t>
  </si>
  <si>
    <t>2022.5.31退租1个机柜：
JZCT5F-C1-15</t>
  </si>
  <si>
    <t>2022.6.20退租3个机柜：
JZCT5F-A-05
JZCT5F-A-04
JZCT5F-A-02</t>
  </si>
  <si>
    <t>2022.5.1新增30G带宽、1个机柜、128个IP，免费节点
42.248.149.0/25</t>
  </si>
  <si>
    <t>2022.5.31退租128个IP：
42.248.149.0/25</t>
  </si>
  <si>
    <t>中国电信股份有限公司沈阳分公司</t>
  </si>
  <si>
    <t>沈阳电信</t>
  </si>
  <si>
    <t>L20221229015</t>
  </si>
  <si>
    <t>CDNSYCT</t>
  </si>
  <si>
    <t>免费赠送2个，SYCT4F422-C-06
SYCT4F422-C-07</t>
  </si>
  <si>
    <t>SY2CT</t>
  </si>
  <si>
    <t>免费赠送2个，SY2CT4F422-C-09
SY2CT4F422-C-08</t>
  </si>
  <si>
    <t>使用256，免费320
123.184.220.0/24</t>
  </si>
  <si>
    <t>182215IDC00006</t>
  </si>
  <si>
    <t>沈阳2</t>
  </si>
  <si>
    <t>2021.6.1带宽转低价收费，免费288个IP
123.184.99.0/24 123.184.100.0/27</t>
  </si>
  <si>
    <t>中国电信股份有限公司乌鲁木齐分公司</t>
  </si>
  <si>
    <t>乌鲁木齐电信</t>
  </si>
  <si>
    <t>L20220829004</t>
  </si>
  <si>
    <t>新合同免费
120.71.177.128/27;120.71.177.0/25</t>
  </si>
  <si>
    <t>乌鲁木齐2</t>
  </si>
  <si>
    <t>新合同免费</t>
  </si>
  <si>
    <t>2022.4.30退租110.157.248.0/25 110.157.248.128/27</t>
  </si>
  <si>
    <t>CDNWLMQCT</t>
  </si>
  <si>
    <t>CDNWLMQCT2</t>
  </si>
  <si>
    <t>2022.4.30退租WLMQ2CT5F-IDC-009
WLMQ2CT5F-IDC-010
WLMQ2CT5F-IDC-011</t>
  </si>
  <si>
    <t>中国电信集团有限公司天津分公司</t>
  </si>
  <si>
    <t>天津电信</t>
  </si>
  <si>
    <t>182115IDC00395</t>
  </si>
  <si>
    <t>天津电信（大港机房）</t>
  </si>
  <si>
    <t>天津电信二级</t>
  </si>
  <si>
    <t>CDNTJCT</t>
  </si>
  <si>
    <t>免费9个
TJCT2F-17-17
TJCT2F-11-12
TJCT2F-17-16
TJCT2F-17-15
TJCT2F-11-13
TJCT2F-11-14
TJCT2F-6-15
TJCT2F-6-16
TJCT2F-6-17</t>
  </si>
  <si>
    <t>TJ3CT（武清）</t>
  </si>
  <si>
    <t>CBUCDNTJCT</t>
  </si>
  <si>
    <t>免费2个</t>
  </si>
  <si>
    <t>2022.5.31退租4个机柜
CBUTJCT2F-L-12 CBUTJCT2F-L-11 CBUTJCT2F-L-10 CBUTJCT2F-L-03</t>
  </si>
  <si>
    <t>天津4电信</t>
  </si>
  <si>
    <t>免费5个</t>
  </si>
  <si>
    <t>2022.5.31退租5个机柜
CDNTJCT2F-11-05 CDNTJCT2F-11-03 CDNTJCT2F-11-02 CDNTJCT2F-11-04 CDNTJCT2F-11-06</t>
  </si>
  <si>
    <t>天津电信二级节点，于2022.2.28退租6个机柜
TJCT2F-17-17
TJCT2F-11-12
TJCT2F-17-16
TJCT2F-17-15
TJCT2F-11-13
TJCT2F-11-14</t>
  </si>
  <si>
    <t>SSLTJCT</t>
  </si>
  <si>
    <t>自2022.6.1起机柜免费。因CMS内备注2个收费为SSL，经与崔振沟通同意调整在SSL下，SSL共使用4个，免费的2个。DG02-11-07、DG02-11-08、DG02-11-09、DG02-11-10</t>
  </si>
  <si>
    <t>因CMS内备注2个收费为SSL，经与崔振沟通同意调整在SSL下，SSL共使用4个，免费的2个.DG02-11-07、DG02-11-08、DG02-11-09、DG02-11-10</t>
  </si>
  <si>
    <t>共免费1280，SSL使用512个（42.81.6.0/24,42.81.8.0/24）</t>
  </si>
  <si>
    <t>共免费1280，SSL使用512个（42.81.6.0/24,42.81.8.0/24）（天津3电信、天津4电信退租后，IP数量变动，SSL节点收费的32个IP，正预提调整；2022.10月BD确认IP不收费。）</t>
  </si>
  <si>
    <t>共免费1280，sys反馈CDN使用天津电信256+天津4电信256+天津3电信288
TJ3CT  42.81.118.0/24;42.81.150.0/27
TJ4CT  42.81.84.0/24
TJCTCACHE   42.81.93.0/24</t>
  </si>
  <si>
    <t>2022.5.31退租288个IP
42.81.118.0/24 42.81.150.0/27</t>
  </si>
  <si>
    <t>2022.5.31退租256个IP
42.81.84.0/24</t>
  </si>
  <si>
    <t>中国电信集团有限公司长春分公司</t>
  </si>
  <si>
    <t>长春电信</t>
  </si>
  <si>
    <t>L20220729006</t>
  </si>
  <si>
    <t>长春电信2</t>
  </si>
  <si>
    <t>CDNCCCT2</t>
  </si>
  <si>
    <t>长春4电信</t>
  </si>
  <si>
    <t>赠送，新增业务每2个万兆赠送1个机柜</t>
  </si>
  <si>
    <t>CC2CT 40G节点带宽合并至CC4CT节点，本次CC2CT节点 1个机柜CC2CT3F-7-09变更至CC4CT节点CC4CT3F302-07-09</t>
  </si>
  <si>
    <t>CC2CT 40G节点带宽合并至CC4CT节点，本次CC2CT节点 1个机柜CC2CT3F-7-09变更至CC4CT节点CC4CT3F302-07-09，未绑定</t>
  </si>
  <si>
    <t>CC2CT3F-7-08</t>
  </si>
  <si>
    <t>每个万兆配比提供32个ip地址，另赠送384个IP地址，如再增加ip地址，费用为50元/月/个，在用256个IP（36.104.159.0/24）</t>
  </si>
  <si>
    <t>20200923退租256个；每个万兆配比提供32个ip地址，另赠送384个IP地址，如再增加ip地址，费用为50元/月/个</t>
  </si>
  <si>
    <t>20200923退租IPV6:240e:0910:e000:0100::/64</t>
  </si>
  <si>
    <t>长春6电信</t>
  </si>
  <si>
    <t>长春6电信节点，于2021.8.3开通2个10A机柜，免费2个月。</t>
  </si>
  <si>
    <t>2021.9.30退租。</t>
  </si>
  <si>
    <t>长春6电信节点，于2021.8.3开通160个IP，免费。</t>
  </si>
  <si>
    <t>内蒙</t>
  </si>
  <si>
    <t>中国联合网络通信有限公司阿拉善盟分公司</t>
  </si>
  <si>
    <t>阿拉善联通</t>
  </si>
  <si>
    <t>L20230222002</t>
  </si>
  <si>
    <t>阿盟机房3</t>
  </si>
  <si>
    <t>阿拉善3联通
阿拉善4联通</t>
  </si>
  <si>
    <t>CDNALSUN</t>
  </si>
  <si>
    <t>ALSUN3F-A-05
ALSUN3F-A-04
ALSUN3F-A-03
ALSUN3F-A-06
ALSUN3F-A-07</t>
  </si>
  <si>
    <t>呼市</t>
  </si>
  <si>
    <t>HHHTUN2F-01-17
HHHTUN2F-01-16</t>
  </si>
  <si>
    <t>阿盟机房1</t>
  </si>
  <si>
    <t>ALSUN3F-B-2、ALSUN3F-B-1</t>
  </si>
  <si>
    <t>使用256个，乙方向甲方提供免费业务IP地址256个，互联IP地址10段（20个），超出部分价格为50元/月/个</t>
  </si>
  <si>
    <t>20200930退租256个</t>
  </si>
  <si>
    <t>阿拉善3联通</t>
  </si>
  <si>
    <t>使用288个，乙方向甲方提供免费业务IP地址288个，互联IP地址12段（24个），超出部分价格为50元/月/个。
116.114.98.0/24;116.114.99.0/27</t>
  </si>
  <si>
    <t>L20210726007</t>
  </si>
  <si>
    <t>阿盟机房4</t>
  </si>
  <si>
    <t>阿拉善4联通</t>
  </si>
  <si>
    <t>阿拉善4联通于2021.7.1上线，合同期内免费，开通256个IP
116.114.96.0/24</t>
  </si>
  <si>
    <t>呼和浩特联通2</t>
  </si>
  <si>
    <t>CDNHHHTUN</t>
  </si>
  <si>
    <t>使用256个，乙方向甲方提供免费业务IP地址256个，互联IP地址10段（20个），超出部分价格为50元/月/个
116.95.27.0/24
其中116.95.27.128/25，自2022.7.26日起转BEC使用</t>
  </si>
  <si>
    <t>182115IDC00192</t>
  </si>
  <si>
    <t>2022.8.1边缘计算开通2个机柜
BECHHHTUN-2F-06
BECHHHTUN-2F-07</t>
  </si>
  <si>
    <t>阿盟机房</t>
  </si>
  <si>
    <t>合同条款，IPV6:1个/64免费，IPV6 20200930退租1段</t>
  </si>
  <si>
    <t>合同条款，IPV6:1个/64免费</t>
  </si>
  <si>
    <t>中国联合网络通信有限公司鹤岗市分公司</t>
  </si>
  <si>
    <t>鹤岗联通</t>
  </si>
  <si>
    <t>L20230222003</t>
  </si>
  <si>
    <t>CDNHGUN</t>
  </si>
  <si>
    <t>2018/8/13
2018/9/15</t>
  </si>
  <si>
    <t>20200301机架开始计费：40G资源9.13开始计费，免费2个机柜；
80G资源10.15开始计费，免费4个机柜，超出按3500元/个/月
HG2UN17F-A-11
HG2UN17F-A-10
HG2UN17F-A-09
HG2UN17F-A-08</t>
  </si>
  <si>
    <t>免费512个，使用288个
1.56.97.160/27;113.1.1.0/24</t>
  </si>
  <si>
    <t>合同条款：免费提供64位Ipv6地址2段。</t>
  </si>
  <si>
    <t>L20220224002</t>
  </si>
  <si>
    <t>鹤岗4联通</t>
  </si>
  <si>
    <t>免费节点（3个月后退租）。鹤岗4联通节点增量100G、3个机柜、288个IP，已于2022-02-01开始正式切流量上线
HG4UN17F-E-01
HG4UN17F-E-02
HG4UN17F-E-03</t>
  </si>
  <si>
    <t>2022.4.30退租
HG4UN17F-E-01
HG4UN17F-E-02
HG4UN17F-E-03</t>
  </si>
  <si>
    <t>免费节点（3个月后退租）。鹤岗4联通节点增量100G、3个机柜、288个IP，已于2022-02-01开始正式切流量上线
1.56.80.0/24 60.11.211.160/27</t>
  </si>
  <si>
    <t>2022/4/30退租
1.56.80.0/24 60.11.211.160/27</t>
  </si>
  <si>
    <t>中国联合网络通信有限公司呼和浩特市分公司</t>
  </si>
  <si>
    <t>呼和浩特联通</t>
  </si>
  <si>
    <t>182115IDC00597</t>
  </si>
  <si>
    <t>新合同免费768个，使用288+边缘计算128</t>
  </si>
  <si>
    <t>合同条款：免费提供64位Ipv6地址1段。</t>
  </si>
  <si>
    <t xml:space="preserve">新合同约定：合同期内提供10个机柜（超出部分按照3333.33元/柜/月费用标准执行，机柜功率5KW），HHHTUN2F-01-09
HHHTUN2F-01-08
HHHTUN2F-01-07
HHHTUN2F-01-10
</t>
  </si>
  <si>
    <t>2022.4.30退租1个机柜
HHHTUN2F-01-10</t>
  </si>
  <si>
    <t>新合同约定：合同期内提供10个机柜（超出部分按照3333.33元/柜/月费用标准执行，机柜功率5KW），更新计费开始时间为20200426，BECHHHTUN2F-01-20，BECHHHTUN2F-01-19</t>
  </si>
  <si>
    <t>L20220509002</t>
  </si>
  <si>
    <t>HHHT4UN</t>
  </si>
  <si>
    <t>2022.5.1新增1个机柜，免费节点
HHHTUN2F-01-10</t>
  </si>
  <si>
    <t>HHHT4UN节点2022.7.31退租1个机柜
HHHTUN2F-01-10</t>
  </si>
  <si>
    <t>2022.6.27退租2个机柜
HHHTUN2F-01-08
HHHTUN2F-01-07</t>
  </si>
  <si>
    <t>HHHT3UN2022.7.31退租3个机柜
HHHTUN2F-01-09
BECHHHTUN2F-01-19
BECHHHTUN2F-01-20</t>
  </si>
  <si>
    <t>HHHT3UN2022.7.31退租416个IP
116.136.132.0/24 1.28.144.64/27 1.31.128.0/25</t>
  </si>
  <si>
    <t>2022.5.1新增128个IP，免费节点
116.136.238.0/25</t>
  </si>
  <si>
    <t>HHHT4UN节点2022.7.31退租128个IP
116.136.238.0/25</t>
  </si>
  <si>
    <t>中国联合网络通信有限公司鸡西市分公司</t>
  </si>
  <si>
    <t>鸡西联通</t>
  </si>
  <si>
    <t>L20230222004</t>
  </si>
  <si>
    <t>鸡西</t>
  </si>
  <si>
    <t>CDNJXUN</t>
  </si>
  <si>
    <t>20200301机架开始计费；20191224退租60G，剩余40G</t>
  </si>
  <si>
    <t>使用288个,免费512
113.2.152.128/27;113.2.152.0/25;113.2.153.128/25</t>
  </si>
  <si>
    <t>L20220111002</t>
  </si>
  <si>
    <t>鸡西3</t>
  </si>
  <si>
    <t>CDNJXUN2</t>
  </si>
  <si>
    <t>免费节点。鸡西3联通节点增量60G、2个机柜、288个IP，已于2022-01-01开始正式切流量上线
JX3UN4-B-05
JX3UN4-B-06</t>
  </si>
  <si>
    <t>2022.3.31退租</t>
  </si>
  <si>
    <t>免费节点。鸡西3联通节点增量60G、2个机柜、288个IP，已于2022-01-01开始正式切流量上线
1.191.182.0/24 113.2.152.224/27</t>
  </si>
  <si>
    <t>合同条款：免费提供64位Ipv6地址1段</t>
  </si>
  <si>
    <t>中国联合网络通信有限公司吉林省分公司</t>
  </si>
  <si>
    <t>长春联通</t>
  </si>
  <si>
    <t>182215IDC00032</t>
  </si>
  <si>
    <t>长春2联通</t>
  </si>
  <si>
    <t>新合同免费512个，sys反馈使用416</t>
  </si>
  <si>
    <t>合同条款：联通提供IPV6地址地址[ 2]个/64，收费[0]个/64。</t>
  </si>
  <si>
    <t>CDNCCUN2</t>
  </si>
  <si>
    <t>新合同合同期内免费提供10个机柜，超出部分按照4000元/柜/月费用标准执行，边缘计算20191203新增2个机架</t>
  </si>
  <si>
    <t>新合同合同期内免费提供10个机柜，超出部分按照4000元/柜/月费用标准执行</t>
  </si>
  <si>
    <t>12月28日退租4个机柜，CC2UN2F-A-09、CC2UN2F-A-08、CC2UN2F-A-07、CC2UN2F-A-05</t>
  </si>
  <si>
    <t>2022.6.30退租5个机柜，CC2UN2F-A-04
CC2UN2F-A-03
CC2UN2F-A-06
BECCC2UN2F-A-13
BECCC2UN2F-A-14</t>
  </si>
  <si>
    <t>2022.6.30退租416个IP，139.215.221.0/24 139.215.223.224/27 139.215.223.0/25(BEC IP)</t>
  </si>
  <si>
    <t>中国联合网络通信有限公司沈阳市分公司</t>
  </si>
  <si>
    <t>沈阳联通</t>
  </si>
  <si>
    <t>L20220628003</t>
  </si>
  <si>
    <t>沈阳2联通</t>
  </si>
  <si>
    <t>合同内共免费1696个，SSL使用640个（124.95.191.0/24,124.95.168.128/25,124.95.188.0/24），CDN共使用1056个</t>
  </si>
  <si>
    <t>2022.5.31退租512个IP,
124.95.189.0/24 124.95.190.0/24</t>
  </si>
  <si>
    <t>沈阳3联通</t>
  </si>
  <si>
    <t>2022.5.31退租256个IP
218.60.18.0/24</t>
  </si>
  <si>
    <t>沈阳联通SSL</t>
  </si>
  <si>
    <t>SSL使用640个（124.95.191.0/24,124.95.168.128/25,124.95.188.0/24），CDN共使用1056个；原合同顺延至2022.7.31日，2022.8.1开始10G带宽，IP免费64个，收费576个</t>
  </si>
  <si>
    <t>CDNSYUN、CDNSYUN2</t>
  </si>
  <si>
    <t>CDNSYUN4F-G-04
CDNSYUN4F-G-05
CDNSYUN4F-G-07
CDNSYUN4F-G-08
CDNSYUN4F-G-09
CDNSYUN4F-G-10
CDNSYUN4F-G-11
CDNSYUN4F-G-12
CDNSYUN4F-G-13
CDNSYUN4F-G-03
CDNSYUN4F-G-02
CDNSYUN4F-G-06</t>
  </si>
  <si>
    <t>沈阳3</t>
  </si>
  <si>
    <t>SY2UN20F-J-04
SY2UN20F-J-06
SY2UN20F-J-05</t>
  </si>
  <si>
    <t>SY2UN20F-J-03
SY2UN20F-J-02
SY2UN20F-J-01
SY2UN20F-J-07</t>
  </si>
  <si>
    <t>2022.5.31退租7个机柜
SY2UN20F-J-04 SY2UN20F-J-06 SY2UN20F-J-05 SY2UN20F-J-03 SY2UN20F-J-02 SY2UN20F-J-01 SY2UN20F-J-07</t>
  </si>
  <si>
    <t>沈阳4联通</t>
  </si>
  <si>
    <t>CDNSYUN2</t>
  </si>
  <si>
    <t>SY4UN16F-G-02、SY4UN16F-G-03、SY4UN16F-G-01、SY4UN16F-G-06、SY4UN16F-G-04、SY4UN16F-G-05</t>
  </si>
  <si>
    <t>218.60.33.0/27;124.95.163.0/24</t>
  </si>
  <si>
    <t>SY4UN节点，2022.7.31退租6个机柜
SY4UN16F-G-02、SY4UN16F-G-03、SY4UN16F-G-01、SY4UN16F-G-04、
SY4UN16F-G-05
SY4UN16F-G-06</t>
  </si>
  <si>
    <t>SY4UN节点，2022.7.31退租288个IP218.60.33.0/27;124.95.163.0/24</t>
  </si>
  <si>
    <t>合同条款：IPV6:1个/64免费</t>
  </si>
  <si>
    <t>合同条款：IPV6:1个/58免费</t>
  </si>
  <si>
    <t>合同条款：IPV6:1个/56免费</t>
  </si>
  <si>
    <t xml:space="preserve">12月16日退租9个机柜，CDNSYUN4F-G-04
CDNSYUN4F-G-05
CDNSYUN4F-G-07
CDNSYUN4F-G-08
CDNSYUN4F-G-09
CDNSYUN4F-G-10
CDNSYUN4F-G-11
CDNSYUN4F-G-12
CDNSYUN4F-G-13
</t>
  </si>
  <si>
    <t>2022.5.31退租2个机柜
CDNSYUN4F-G-03
CDNSYUN4F-G-02
CDNSYUN4F-G-06</t>
  </si>
  <si>
    <t>中国联合网络通信有限公司天津市分公司</t>
  </si>
  <si>
    <t>天津联通</t>
  </si>
  <si>
    <t>L20221229016</t>
  </si>
  <si>
    <t>天津3联通</t>
  </si>
  <si>
    <t>2016/5/13
2018/4/28
2018/8/4</t>
  </si>
  <si>
    <t>20191031租256个IP,TJ3UN 用了288个IPv4（218.68.136.0/24;60.28.12.160/27）,TJ5UN 用了288个IPv4</t>
  </si>
  <si>
    <t>2021.4.30TJ5UN，退租10个端口，3个机柜，288个IP</t>
  </si>
  <si>
    <t>TJ3UN使用一段IPv6,TJ5UN使用一段IPv6，合同条款：联通免费提供IPV6地址地址[ 2]个/64，收费[0]个/64。</t>
  </si>
  <si>
    <t>天津
天津2
天津3</t>
  </si>
  <si>
    <t>CDNTJUN2</t>
  </si>
  <si>
    <t>2021.4.30TJ5UN，退租10个端口，3个机柜TJ2UN2F-C-13、TJ2UN2F-C-15、TJ2UN2F-C-14，288个IP；
TJ2UN退租1个机柜、TJ2UN2F-C-16，</t>
  </si>
  <si>
    <t>天津3</t>
  </si>
  <si>
    <t>2022.4.30TJ3UN，退租20个端口，5个机柜
TJ3UN2F-09-12
TJ3UN2F-09-13
TJ3UN2F-09-16
TJ3UN2F-09-17
TJ3UN2F-08-17</t>
  </si>
  <si>
    <t>182315IDC00025</t>
  </si>
  <si>
    <t>天津7
BEC</t>
  </si>
  <si>
    <t>天津7联通</t>
  </si>
  <si>
    <t>CDNTJUN3</t>
  </si>
  <si>
    <t>TJ7UN节点，2023.1.1开通43个机柜
BECTJ7UN102-A-03
BECTJ7UN102-A-05
BECTJ7UN102-A-06
BECTJ7UN102-A-07
BECTJ7UN102-A-08
BECTJ7UN102-A-10
BECTJ7UN102-A-11
BECTJ7UN102-A-12
BECTJ7UN102-B-12
BECTJ7UN102-B-13
BECTJ7UN102-C-05
BECTJ7UN102-C-06
BECTJ7UN102-C-07
BECTJ7UN102-C-09
BECTJ7UN102-C-10
BECTJ7UN102-C-11
BECTJ7UN102-H-01
BECTJ7UN102-H-02
BECTJ7UN102-H-03
BECTJ7UN102-H-04
BECTJ7UN102-H-05
BECTJ7UN102-H-06
BECTJ7UN102-H-07
BECTJ7UN102-H-08
BECTJ7UN102-H-09
BECTJ7UN102-H-10
BECTJ7UN102-H-11
BECTJ7UN102-H-12
BECTJ7UN102-H-13
BECTJ7UN102-H-14
BECTJ7UN102-H-15
BECTJ7UN102-H-16
BECTJ7UN102-H-17
BECTJ7UN102-K-02
BECTJ7UN102-K-03
BECTJ7UN102-K-04
BECTJ7UN102-K-05
BECTJ7UN102-K-06
BECTJ7UN102-K-07
BECTJ7UN102-K-08
BECTJ7UN102-K-09
BECTJ7UN102-K-10
BECTJ7UN102-K-11</t>
  </si>
  <si>
    <t>TJ7UN节点，2023.1.1退租6个机柜
BECTJ7UN102-A-10
BECTJ7UN102-A-11
BECTJ7UN102-A-12
BECTJ7UN102-C-09
BECTJ7UN102-C-10
BECTJ7UN102-C-11</t>
  </si>
  <si>
    <t>TJ7UN节点，2023.1.1开通1984个免费IP（125.39.113.0/24
111.161.19.0/24
111.161.20.0/24
111.161.22.0/24
60.28.125.0/24
60.28.124.0/24
220.194.76.128/25
220.194.68.0/24
117.8.229.160/26），合同赠送2752个。</t>
  </si>
  <si>
    <t>天津联通SSL</t>
  </si>
  <si>
    <t>2021.7.14开通3个机柜
TJ2UN2F-C08-11,TJ2UN2F-C08-12,TJ2UN2F-C08-16</t>
  </si>
  <si>
    <t>125.39.174.0/24,125.39.238.0/24,125.39.239.0/24</t>
  </si>
  <si>
    <t>CDNTJUN</t>
  </si>
  <si>
    <t>TJUN1F-H-11,TJUN1F-H-12,TJUN1F-H-13</t>
  </si>
  <si>
    <t>于2021.6.30退租，迁移至CDN机房
TJUN1F-H-11,TJUN1F-H-12,TJUN1F-H-13</t>
  </si>
  <si>
    <t>中国联合网络通信有限公司新疆维吾尔自治区分公司</t>
  </si>
  <si>
    <t>新疆联通</t>
  </si>
  <si>
    <t>L20221129002</t>
  </si>
  <si>
    <t>乌鲁木齐联通</t>
  </si>
  <si>
    <t>提供160个IP地址，其中免费64个，超出赠送部分单价60元/个/月</t>
  </si>
  <si>
    <t>CDNWLMQUN</t>
  </si>
  <si>
    <t>自2019年6月10日开始计费
WLMQUN4F-A-E13
WLMQUN4F-A-E12</t>
  </si>
  <si>
    <t>边缘计算于2021.12.20新增128个IP，2022.2.1开始计费。116.178.67.0/25</t>
  </si>
  <si>
    <t>边缘计算于2021.12.20新增1个机柜，2022.2.1开始计费。BECWLMQUN4F-E-11</t>
  </si>
  <si>
    <t>中国移动通信集团黑龙江有限公司</t>
  </si>
  <si>
    <t>黑龙江移动</t>
  </si>
  <si>
    <t>L20221229017</t>
  </si>
  <si>
    <t>哈尔滨2移动</t>
  </si>
  <si>
    <t>哈尔滨2移动288个，新合同共赠送1408个IP，超出按50元/个/月；
111.40.186.0/24;
111.40.185.64/27</t>
  </si>
  <si>
    <t>合同条款：IPV6地址免费；（边缘计算2021.12.1开通1段IPV6
2409:801A:3006:44::0/64）合同未录IPV6合同行，故资源未关联</t>
  </si>
  <si>
    <t>CDNHEBCM</t>
  </si>
  <si>
    <t>XACDNHEBCM</t>
  </si>
  <si>
    <t>HRB2CM1F-A-06</t>
  </si>
  <si>
    <t>CDNHEBCM2</t>
  </si>
  <si>
    <t>经与SYS确认，关闭两个机柜CDNHEBCM（HEBCM1F-206-B11、HEBCM1F-206-B12），新增两个机柜CDNHEBCM2（HEB2CM1F-A-07、HEB2CM1F-A-08），前期sys反馈此（CDNHEBCM-HEBCMF1-B01-12F04）机柜为空，一直未使用</t>
  </si>
  <si>
    <t>202102新增两个边缘计算，BECHEB2CM-A-09、BECHEB2CM-A-10，128个IP，机柜加电时间20210220，开始计费时间2021.3.1，IP为赠送</t>
  </si>
  <si>
    <t>2021.3.1新增128个边缘计算IP，免费：111.40.188.0/25;</t>
  </si>
  <si>
    <t>HEB2CM1F-A-08于2021.7.14退租。</t>
  </si>
  <si>
    <t>2021.8.20新增128个边缘计算IP，111.43.177.0/25;</t>
  </si>
  <si>
    <t>2021.10.1新增1个边缘计算，BECHEB2CM-A-08；2022.12.8转CDN；2023.2.10核对仍未BEC机柜</t>
  </si>
  <si>
    <t>哈尔滨BEC</t>
  </si>
  <si>
    <t>2021.10.1新增128个边缘计算IP，111.43.177.128/25
2022.12.8转CDN</t>
  </si>
  <si>
    <t>（免费IP，未实际退租后续可继续使用）2022.12.31退租128个边缘计算IP，111.43.177.128/25</t>
  </si>
  <si>
    <t xml:space="preserve">2022.1.1新增2个边缘计算机柜，
BECHEB2CM-D-11,
BECHEB2CM-D-12
</t>
  </si>
  <si>
    <t xml:space="preserve">2022.1.1新增128个边缘计算IP，
111.43.179.0/25
</t>
  </si>
  <si>
    <t xml:space="preserve">（免费IP，未实际退租后续可继续使用）2022.12.31退租128个边缘计算IP，
111.43.179.0/25
</t>
  </si>
  <si>
    <t>合同条款：IPV6地址免费；（边缘计算2022.1.1开通1段IPV6
2409:801A:3006:45::/64）合同未录IPV6合同行，故资源未关联</t>
  </si>
  <si>
    <t xml:space="preserve">2022.3.31新增128个边缘计算IP，
111.40.169.128/25
</t>
  </si>
  <si>
    <t xml:space="preserve">HRB2CM节点2022.8.4退租4个机柜
HEB2CM1F-A-07
HEB2CM1F-A-06
HEB2CM1F-A-05
HEB2CM1F-A-02
</t>
  </si>
  <si>
    <t>2022.12.9新增1个机柜，
HEB2CM1F-A-05</t>
  </si>
  <si>
    <t>2022.12.27新增1个机柜，
HEB2CM1F-A-06</t>
  </si>
  <si>
    <t>中国移动通信集团吉林有限公司松原分公司</t>
  </si>
  <si>
    <t>松原移动</t>
  </si>
  <si>
    <t>L20221229018</t>
  </si>
  <si>
    <t>松原</t>
  </si>
  <si>
    <t xml:space="preserve"> CDNCCCM</t>
  </si>
  <si>
    <t>CDNCCCM</t>
  </si>
  <si>
    <t>20200701开始用182015IDC00219</t>
  </si>
  <si>
    <t>L20211227017</t>
  </si>
  <si>
    <t>松原BEC</t>
  </si>
  <si>
    <t>CC2CM</t>
  </si>
  <si>
    <t>XACDNCCCM</t>
  </si>
  <si>
    <t>2022.1.1边缘计算新增40G带宽、2个机柜、128个IP
BECCC2CM-2F-D11
BECCC2CM-2F-D12</t>
  </si>
  <si>
    <t>2022.5.31退租2个机柜
CCCM2F125IDC-E-15 CCCM2F125IDC-E-16</t>
  </si>
  <si>
    <t>实际使用160个，赠送160个。
111.26.151.0/25,111.26.37.0/27</t>
  </si>
  <si>
    <t>新合同共免费512个IP</t>
  </si>
  <si>
    <t>2022.5.31退租160个IP
111.26.40.0/25 111.26.40.128/27</t>
  </si>
  <si>
    <t>2022.1.1边缘计算新增40G带宽、2个机柜、128个IP
36.135.10.0/25</t>
  </si>
  <si>
    <t>2022.1.1边缘计算新增1段IPV6
2409:8c18:700:1003::/64</t>
  </si>
  <si>
    <t>CC2CM节点，2022.8.3退租1个机柜
 CCCM2F-E-20</t>
  </si>
  <si>
    <t>CC2CM节点，2022.8.3退租128个IP
 111.26.151.128/25</t>
  </si>
  <si>
    <t>中国移动通信集团辽宁有限公司</t>
  </si>
  <si>
    <t>辽宁移动</t>
  </si>
  <si>
    <t>L20221229019</t>
  </si>
  <si>
    <t>沈阳3移动</t>
  </si>
  <si>
    <t>544个IP：新合同每百G赠送1504个IP，共赠送9024个</t>
  </si>
  <si>
    <t>SY3CM节点2022.7.31退租544个IP
221.180.224.0/24 221.180.225.0/24 221.180.214.160/27</t>
  </si>
  <si>
    <t>CDNSYCM、CDNSYCM2</t>
  </si>
  <si>
    <t>SYCM6F02-G-01
SYCM6F02-G-02
SYCM6F02-G-04
SYCM6F02-G-05
SYCM6F02-G-03</t>
  </si>
  <si>
    <t>2022.4.30退租SYCM6F02-G-01
SYCM6F02-G-02
SYCM6F02-G-04
SYCM6F02-G-05
SYCM6F02-G-03</t>
  </si>
  <si>
    <t>SY2CM2F-D-06
SY2CM2F-D-07
SY2CM2F-D-08
SY2CM2F-D-04
SY2CM2F-D-03
SY2CM2F-D-02
SY2CM2F-D-01
SY2CM2F-D-05
SYCMBEC2F-E-08
SYCMBEC2F-E-09</t>
  </si>
  <si>
    <t>CDNSYCM2</t>
  </si>
  <si>
    <t>SY2CM2F-E-13
SY2CM2F-E-12
SY2CM2F-E-11
SY2CM2F-E-10
SY2CM2F-D-12
SY2CM2F-D-11
SY2CM2F-D-10
SY2CM2F-D-09
SY2CM2F-D-13</t>
  </si>
  <si>
    <t>边缘计算新增一个机柜，机柜加电时间12月13日，开始计费时间2021/1/1,
SYCMBEC2F-E-14</t>
  </si>
  <si>
    <t>SY2CM2F-E-13于2021.7.10退租</t>
  </si>
  <si>
    <t xml:space="preserve">2022.5.31退租3个机柜
 SY2CM2F-E-10
SY2CM2F-D-10
SY2CM2F-D-09
</t>
  </si>
  <si>
    <t xml:space="preserve">2022.5.27退租2个机柜
SY2CM2F-E-12
SY2CM2F-E-11；转至BEC使用。
</t>
  </si>
  <si>
    <t xml:space="preserve">2022.5.28CDN2个机柜转至BEC使用
 SYCMBEC2F-E-11（原机柜编号：SY2CM2F-E-11）
SYCMBEC2F-E-12（原机柜编号：SY2CM2F-E-12）
</t>
  </si>
  <si>
    <t xml:space="preserve">SY3CM节点2022.7.31退3个机柜
SY2CM2F-D-11
SY2CM2F-D-12
SY2CM2F-D-13
</t>
  </si>
  <si>
    <t>SY2CM</t>
  </si>
  <si>
    <t>2021.8.10退租，SY2CM2F-D-06、SY2CM2F-D-07、SY2CM2F-D-08</t>
  </si>
  <si>
    <t>沈阳移动</t>
  </si>
  <si>
    <t>使用288：新合同每百G赠送1504个IP，共赠送9024个</t>
  </si>
  <si>
    <t>2022.4.30退租288个IP
221.180.244.0/24 221.180.198.224/27</t>
  </si>
  <si>
    <t>沈阳2移动</t>
  </si>
  <si>
    <t>使用CDN288（221.180.216.0/24,221.180.214.32/27）+BEC384(2019.11.11开通128个120.201.100.128/25；2020.12.11开通256个221.180.223.0/24)：新合同每百G赠送1504个IP，共赠送9024个</t>
  </si>
  <si>
    <t>合同条款：2段IPV6地址免费</t>
  </si>
  <si>
    <t>沈阳6移动</t>
  </si>
  <si>
    <t>SY6CM</t>
  </si>
  <si>
    <t xml:space="preserve">2023.2.1SY6CM边缘计算节点，新增8个机柜
3L102-C-BEC01
3L102-C-BEC02
3L102-C-BEC03
3L102-C-BEC04
3L102-C-BEC05
3L102-C-BEC06
3L102-C-BEC07
3L102-C-BEC08
</t>
  </si>
  <si>
    <t>2023.2.1SY6CM边缘计算节点，新增832个IP
36.131.216.0/24
36.131.217.0/24
36.131.218.0/24
36.131.219.0/26</t>
  </si>
  <si>
    <t>2023.2.1SY6CM边缘计算节点，新增3段IPv6
2409:8C14:0F2C:1101::/64  2409:8C14:0F2C:1102::/64  2409:8C14:0F2C:1103::/64</t>
  </si>
  <si>
    <t>中国移动通信集团内蒙古有限公司包头分公司</t>
  </si>
  <si>
    <t>包头移动</t>
  </si>
  <si>
    <t>L20221229020</t>
  </si>
  <si>
    <t>呼和浩特3移动</t>
  </si>
  <si>
    <t>CDNHHHTCM</t>
  </si>
  <si>
    <t>包头核对账款</t>
  </si>
  <si>
    <t>呼和浩特3</t>
  </si>
  <si>
    <t>2018/12/25
2020/7/1</t>
  </si>
  <si>
    <t xml:space="preserve">呼和浩特3移动使用288个免费IP，
117.161.76.0/24 117.161.75.32/27 </t>
  </si>
  <si>
    <t>呼和浩特4</t>
  </si>
  <si>
    <t>呼和浩特4移动</t>
  </si>
  <si>
    <t>呼和浩特4移动，使用288个IP</t>
  </si>
  <si>
    <t>呼和浩特4移动，使用288个IP；于2019.10.31退租</t>
  </si>
  <si>
    <t>中国移动通信集团内蒙古有限公司呼和浩特分公司</t>
  </si>
  <si>
    <t>呼和浩特移动</t>
  </si>
  <si>
    <t>182115IDC00134</t>
  </si>
  <si>
    <t>呼和浩特2</t>
  </si>
  <si>
    <t>呼和浩特移动2</t>
  </si>
  <si>
    <t>边缘计算使用128个，合同约定每1G赠送8个IP，共赠送320个</t>
  </si>
  <si>
    <t>9月新增2个机架</t>
  </si>
  <si>
    <t>更新计费开始时间为20200426，BECHHHTCM2F-A-06、BECHHHTCM2F-A-07，边缘计算2个</t>
  </si>
  <si>
    <t>2022.4.30退租
HHHTCM2F-B-11
HHHTCM2F-B-12
BECHHHTCM2F-A-06
BECHHHTCM2F-A-07</t>
  </si>
  <si>
    <t>更新计费开始时间为20200426，边缘计算使用128个，合同约定每1G赠送8个IP，共赠送320个IP</t>
  </si>
  <si>
    <t>2022.4.30退租
117.161.25.128/25
117.161.5.0/25</t>
  </si>
  <si>
    <t>中国移动通信集团天津有限公司</t>
  </si>
  <si>
    <t>天津移动</t>
  </si>
  <si>
    <t>L20221229025</t>
  </si>
  <si>
    <t>乙方每百G互联网接入带宽包含 224  个IPv4地址，超出部分40元/个/月，共使用128（40G）+160（60G）,送224个，收费64个</t>
  </si>
  <si>
    <t>TJ2CM 节点2022.5.31退租288个IP111.32.163.0/25 111.32.139.128/27 111.32.132.0/25</t>
  </si>
  <si>
    <t>天津移动SSL</t>
  </si>
  <si>
    <t>共使用768个（111.132.134.0/24,111.32.135.0/24,111.32.136.0/24）
正预提224个IP</t>
  </si>
  <si>
    <t>CDNTJCM</t>
  </si>
  <si>
    <t>SSL节点2021.9.24原地搬迁，2021.10.1开始更新机柜为：
TJCM3F-K-08、TJCM3F-K-09</t>
  </si>
  <si>
    <t>SSL节点2021.9.24原地搬迁，扩容一个机柜于2021.10.1开始计费
TJCM3F-K-10</t>
  </si>
  <si>
    <t>边缘计算使用机柜BECTJCM3F-J-14、BECTJCM3F-J-15为CDN之前存量机柜TJCM3F-J-14，TJCM3F-J-15</t>
  </si>
  <si>
    <t>边缘计算新增2个机柜,边缘计算使用机柜BECTJCM3F-J-14、BECTJCM3F-J-15为CDN之前存量机柜TJCM3F-J-14，TJCM3F-J-15</t>
  </si>
  <si>
    <t>TJ2CM</t>
  </si>
  <si>
    <t>边缘计算新增1个机柜,BECTJCM3F-J-16</t>
  </si>
  <si>
    <t>2022.5.31退租4个机柜：
TJCM3F-J-18
TJCM3F-J-13
BECTJCM3F-J-14
BECTJCM3F-J-15</t>
  </si>
  <si>
    <t>天津BEC</t>
  </si>
  <si>
    <t>2022.5.31退租4个机柜经核实，以下2个机柜实际未退租，再次操作开通：
BECTJCM3F-J-14
BECTJCM3F-J-15</t>
  </si>
  <si>
    <t>2022.5.31退租288个IP经核实，以下128个IP实际未退租转BEC使用，再次操作开通：
111.32.132.0/25</t>
  </si>
  <si>
    <t>中国移动通信集团新疆有限公司</t>
  </si>
  <si>
    <t>新疆移动</t>
  </si>
  <si>
    <t>L20221229023</t>
  </si>
  <si>
    <t>实际使用160个，每10G 送32个
36.189.229.128/27;36.189.229.0/25</t>
  </si>
  <si>
    <t>KLMY4CM</t>
  </si>
  <si>
    <t>2021.12.29边缘计算使用128个IP，于2022.1.1开始计费。免费96个，收费32个
36.189.230.128/25</t>
  </si>
  <si>
    <t>2022.3.31BEC退租128个IP：36.189.230.128/25</t>
  </si>
  <si>
    <t>CDNKLMYCM</t>
  </si>
  <si>
    <t>KLMY4CM107-C-07</t>
  </si>
  <si>
    <t>KLMY4CM107-C-06</t>
  </si>
  <si>
    <t>2021.12.29边缘计算使用1个机柜，于2022.1.1开始计费
BECKLMY4CM107-C-08</t>
  </si>
  <si>
    <t>2022.3.31退租
BECKLMY4CM107-C-08</t>
  </si>
  <si>
    <t>边缘计算。112.48.229.0/24</t>
  </si>
  <si>
    <t>边缘计算。2409:8C34:D00:303::/64</t>
  </si>
  <si>
    <t>20230321有120.206.186.128/25 转给BEC</t>
  </si>
  <si>
    <t>120.206.186.128/25 转给BEC</t>
  </si>
  <si>
    <t>边缘计算。2409:8C38:C50:609::/64</t>
  </si>
  <si>
    <t>边缘计算。240E:0692:6A00:0006::/64</t>
  </si>
  <si>
    <t>L20230329002</t>
  </si>
  <si>
    <t>CDN带宽</t>
  </si>
  <si>
    <t>银川YC4CM</t>
  </si>
  <si>
    <t>银川4移动</t>
  </si>
  <si>
    <t>80G</t>
  </si>
  <si>
    <t>【CDN新建】宁夏银川移动新建80G  2023-03-01 节点正式上线  (YC4CM),该节点不计费，为赠送节点</t>
  </si>
  <si>
    <t>YC4CM3F234-G1-CDN09,YC4CM3F234-G1-CDN10,YC4CM3F234-G1-CDN11,YC4CM3F234-G1-CDN12</t>
  </si>
  <si>
    <t>111.51.110.0/25 111.51.110.128/27</t>
  </si>
  <si>
    <t>中卫ZW4CM</t>
  </si>
  <si>
    <t>中卫4移动</t>
  </si>
  <si>
    <t>【CDN新建】宁夏中卫移动新建200G  2023-03-01 节点正式上线  (ZW4CM)</t>
  </si>
  <si>
    <t>ZW4CM1FIDC1102-D-CDN07,ZW4CM1FIDC1102-D-CDN08,ZW4CM1FIDC1102-D-CDN013,ZW4CM1FIDC1102-D-CDN014,ZW4CM1FIDC1102-D-CDN015</t>
  </si>
  <si>
    <t>111.51.130.0/25 111.51.130.128/27</t>
  </si>
  <si>
    <t>补202301，计提按照25天，实际按整月收费，补6天</t>
  </si>
  <si>
    <t>广州博浩互联网服务有限公司</t>
  </si>
  <si>
    <t>L20230329003</t>
  </si>
  <si>
    <t>成都珉田</t>
  </si>
  <si>
    <t>CDMT</t>
  </si>
  <si>
    <t>CDMT1D603-F-15、CDMT1D603-F-16、CDMT1D603-F-17、CDMT1D603-F-18</t>
  </si>
  <si>
    <t>GZNJ303-A-03
GZNJ303-A-04
GZNJ303-A-07
GZNJ303-B-09
GZNJ303-B-10</t>
  </si>
  <si>
    <t>GZXJ1D402-A-16</t>
  </si>
  <si>
    <t>GZXJ1D402-C-01 GZXJ1D402-C-02</t>
  </si>
  <si>
    <t>BJDDM141-H-08</t>
  </si>
  <si>
    <t>BJDDM342-H-13
BJDDM342-H-15
BJDDM342-I-01
BJDDM342-I-19</t>
  </si>
  <si>
    <t>BJDDM433-B-05
BJDDM433-B-07
BJDDM433-B-13
BJDDM433-C-07</t>
  </si>
  <si>
    <t>BJDDM443-B-04
BJDDM443-E-04
BJDDM443-E-05
BJDDM443-E-06
BJDDM443-F-05</t>
  </si>
  <si>
    <t>BJDDM532-D-09</t>
  </si>
  <si>
    <t>BJDDM532-K-07
BJDDM532-K-08
BJDDM532-K-10</t>
  </si>
  <si>
    <t>XAFJ2D402-H-13
XAFJ2D403-G-15
XAFJ2D401-A-12</t>
  </si>
  <si>
    <t>2023.3.10开通
GAJLD751-N-06
GAJLD751-N-07
GAJLD751-N-08</t>
  </si>
  <si>
    <t>2023.3.18开通
GAJLD742-H-04
GAJLD742-H-05
GAJLD742-H-07
GAJLD742-H-08
GAJLD742-H-09
GAJLD742-H-10
GAJLD742-J-12
GAJLD742-K-07
GAJLD742-K-08
GAJLD742-K-09
GAJLD742-K-10
GAJLD742-K-11
GAJLD742-K-12</t>
  </si>
  <si>
    <t xml:space="preserve">2023.3.20开通
GAJLD742-M-07
GAJLD742-M-08
GAJLD742-M-09
</t>
  </si>
  <si>
    <t>2023.3.21开通
GAJLD742-A-01</t>
  </si>
  <si>
    <t>2023.3.26开通
GAJLD733-H-01</t>
  </si>
  <si>
    <t>2023.3.27开通
GAJLD733-M-02
GAJLD733-M-03
GAJLD733-M-04
GAJLD733-M-05
GAJLD733-M-06
GAJLD753-C-02
GAJLD753-C-04
GAJLD753-C-06
GAJLD753-C-07
GAJLD753-C-08
GAJLD753-C-09
GAJLD753-D-02
GAJLD753-D-04
GAJLD753-D-06
GAJLD753-D-08
GAJLD753-D-10
GAJLD753-E-02
GAJLD753-E-04
GAJLD753-E-06</t>
  </si>
  <si>
    <t xml:space="preserve">2023.3.28开通
GAJLD732-A-07
GAJLD732-A-08
GAJLD732-A-09
GAJLD732-A-10
GAJLD732-A-11
GAJLD732-A-12
GAJLD732-A-13
GAJLD732-A-14
GAJLD732-B-01
GAJLD732-B-02
GAJLD732-B-03
GAJLD732-B-04
GAJLD732-B-05
GAJLD732-B-06
GAJLD732-B-07
GAJLD732-B-08
GAJLD732-B-09
GAJLD732-B-10
GAJLD752-F-05
GAJLD752-F-06
GAJLD752-F-07
GAJLD752-F-08
</t>
  </si>
  <si>
    <t xml:space="preserve">2023.3.30开通
GAJLD733-J-02
GAJLD733-J-03
GAJLD733-J-04
GAJLD733-J-05
GAJLD733-J-06
GAJLD733-J-07
GAJLD733-J-08
GAJLD733-J-09
GAJLD733-J-10
GAJLD733-J-11
GAJLD733-J-12
GAJLD733-J-13
GAJLD733-J-14
GAJLD733-K-02
GAJLD733-K-03
GAJLD733-K-04
GAJLD733-K-05
GAJLD733-K-06
GAJLD733-K-07
GAJLD733-K-08
GAJLD733-K-09
GAJLD733-K-10
GAJLD733-K-11
GAJLD733-K-12
GAJLD733-K-13
GAJLD733-K-14
GAJLD733-K-15
GAJLD733-K-16
GAJLD733-M-07
</t>
  </si>
  <si>
    <t xml:space="preserve">2023.3.17关闭
DDJL743-D-07
DDJL743-E-07
DDJL743-G-02
DDJL743-G-05
DDJL743-G-08
DDJL743-G-11
DDJL743-G-14
DDJL743-H-02
DDJL743-H-05
DDJL743-H-08
DDJL743-H-11
DDJL743-H-14
DDJL743-J-02
DDJL743-J-05
DDJL743-J-08
DDJL743-J-11
DDJL743-J-13
DDJL743-K-02
DDJL743-K-05
DDJL743-K-08
DDJL743-K-11
DDJL743-K-14
DDJL743-M-02
DDJL743-M-05
DDJL743-M-08
DDJL743-M-11
DDJL743-M-14
DDJL743-N-02
DDJL743-N-05
DDJL743-N-08
DDJL743-N-11
DDJL743-N-13
</t>
  </si>
  <si>
    <t xml:space="preserve">2023-3-30关闭，
BDBL504-C-11
BDBL504-C-12
BDBL504-C-15
BDBL504-C-16
BDBL504-D-11
BDBL504-D-12
BDBL504-D-13
BDBL504-D-14
BDBL504-D-15
BDBL504-E-09
BDBL504-E-10
BDBL504-E-11
BDBL504-E-12
BDBL504-E-15
BDBL504-E-16
BDBL504-G-02
BDBL504-G-03
BDBL504-H-01
BDBL504-H-02
BDBL504-H-05
BDBL504-H-06
</t>
  </si>
  <si>
    <t>2023.3.29开通；
BDDWDD232-E-16
BDDWDD232-E-17</t>
  </si>
  <si>
    <t>SZTH2D-D1-05、SZTH2D-D1-06、SZTH2D-D1-07、SZTH2D-D1-08、SZTH2D-D1-09、SZTH2D-D1-10、SZTH2D-D1-11、SZTH2D-D1-12、SZTH2D-D1-13、SZTH2D-D1-14、SZTH2D-D1-15、SZTH2D-D1-16、SZTH2D-D1-19、SZTH2D-D1-21、SZTH2D-D1-22、SZTH2D-D1-23、SZTH2D-D1-24、SZTH2D-D2-01、SZTH2D-D2-02、SZTH2D-D2-03、SZTH2D-D2-04、SZTH2D-D2-05、SZTH2D-D2-06、SZTH2D-D2-07、SZTH2D-D2-08、SZTH2D-D2-09、SZTH2D-D2-10、SZTH2D-D2-11、SZTH2D-D2-12、SZTH2D-D2-13、SZTH2D-D2-14、SZTH2D-D2-15、SZTH2D-D2-16、SZTH2D-D2-17、SZTH2D-D2-18、SZTH2D-D2-19、SZTH2D-D2-20、SZTH2D-D2-21、SZTH2D-D2-22、SZTH2D-D2-23、SZTH2D-D2-24、SZTH2D-D3-01、SZTH2D-D3-02、SZTH2D-D3-03、SZTH2D-D3-04、SZTH2D-D3-05、SZTH2D-D3-06、SZTH2D-D3-07、SZTH2D-D3-08、SZTH2D-D3-09、SZTH2D-D3-10、SZTH2D-D3-11、SZTH2D-D3-12、SZTH2D-D3-13、SZTH2D-D3-14、SZTH2D-D3-15、SZTH2D-D3-16、SZTH2D-D3-17、SZTH2D-D3-18、SZTH2D-D3-19、SZTH2D-D3-20、SZTH2D-D4-01、SZTH2D-D4-02、SZTH2D-D4-03、SZTH2D-D4-04、SZTH2D-D4-05、SZTH2D-D4-06、SZTH2D-D4-07、SZTH2D-D4-08、SZTH2D-D4-09、SZTH2D-D4-10、SZTH2D-D4-11、SZTH2D-D4-12、SZTH2D-D4-13、SZTH2D-D4-14、SZTH2D-D4-15、SZTH2D-D4-16、SZTH2D-D4-17、SZTH2D-D4-18、SZTH2D-D4-19、SZTH2D-D4-20、SZTH2D-D5-01、SZTH2D-D5-02、SZTH2D-D5-03、SZTH2D-D5-04、SZTH2D-D5-05、SZTH2D-D5-06、SZTH2D-D5-07、SZTH2D-D5-08、SZTH2D-D5-09、SZTH2D-D5-10、SZTH2D-D5-11、SZTH2D-D5-12、SZTH2D-D5-13、SZTH2D-D5-14、SZTH2D-D5-15、SZTH2D-D5-16、SZTH2D-D5-17、SZTH2D-D5-18、SZTH2D-D5-19、SZTH2D-D5-20、SZTH2D-D5-21、SZTH2D-D5-22、SZTH2D-D5-23、SZTH2D-D5-24、SZTH2D-D6-01、SZTH2D-D6-02、SZTH2D-D6-03、SZTH2D-D6-04、SZTH2D-D6-05、SZTH2D-D6-06、SZTH2D-D6-07、SZTH2D-D6-08、SZTH2D-D6-09、SZTH2D-D6-10、SZTH2D-D6-11、SZTH2D-D6-12、SZTH2D-D6-13、SZTH2D-D6-14、SZTH2D-D6-15、SZTH2D-D6-16、SZTH2D-D6-17、SZTH2D-D6-18、SZTH2D-D6-19、SZTH2D-D6-20、SZTH2D-D6-21、SZTH2D-D6-22、SZTH2D-D6-23、SZTH2D-D6-24、SZTH2D-D7-01、SZTH2D-D7-02、SZTH2D-D7-03、SZTH2D-D7-04、SZTH2D-D7-05、SZTH2D-D7-06、SZTH2D-D7-07、SZTH2D-D7-08、SZTH2D-D7-09、SZTH2D-D7-10、SZTH2D-D7-11、SZTH2D-D7-12、SZTH2D-D7-13、SZTH2D-D7-14、SZTH2D-D7-15、SZTH2D-D7-16、SZTH2D-D7-17、SZTH2D-D7-18、SZTH2D-D7-19、SZTH2D-D7-20</t>
  </si>
  <si>
    <t>SZTH5D4A-08-02、SZTH5D4A-08-03、SZTH5D4A-08-04</t>
  </si>
  <si>
    <t>SZWG301-E-21、SZWG301-E-22</t>
  </si>
  <si>
    <t>ZZJG304-H-01、ZZJG304-H-02</t>
  </si>
  <si>
    <t>ZZJG204-C-01、ZZJG204-C-02、ZZJG204-C-03、ZZJG204-C-04、ZZJG204-C-05、ZZJG204-C-06、ZZJG204-C-07、ZZJG204-C-08、ZZJG204-C-09、ZZJG204-C-10</t>
  </si>
  <si>
    <t>ZZJG304-G-09、ZZJG304-G-10</t>
  </si>
  <si>
    <t>合同号</t>
  </si>
  <si>
    <t>本月预提是否关联正式合同</t>
  </si>
  <si>
    <t>原因</t>
  </si>
  <si>
    <t>客户名称</t>
  </si>
  <si>
    <t>我方签约公司</t>
  </si>
  <si>
    <t>申请理由</t>
  </si>
  <si>
    <t>申请人</t>
  </si>
  <si>
    <t>执行人</t>
  </si>
  <si>
    <t>合同类别</t>
  </si>
  <si>
    <t>产品线</t>
  </si>
  <si>
    <t>费用类型</t>
  </si>
  <si>
    <t>合同金额</t>
  </si>
  <si>
    <t>合同申请日期</t>
  </si>
  <si>
    <t>合同开始时间</t>
  </si>
  <si>
    <t>合同号状态</t>
  </si>
  <si>
    <t>合同状态</t>
  </si>
  <si>
    <t>状态变更原因</t>
  </si>
  <si>
    <t>涉及安全条款</t>
  </si>
  <si>
    <t>合同返回时间</t>
  </si>
  <si>
    <t>审批单返回时间</t>
  </si>
  <si>
    <t>关联合同</t>
  </si>
  <si>
    <t>支付境外客户(含港澳台)</t>
  </si>
  <si>
    <t>所属BG</t>
  </si>
  <si>
    <t>变更合同</t>
  </si>
  <si>
    <t>变更类型</t>
  </si>
  <si>
    <t>合同属性</t>
  </si>
  <si>
    <t>申请部门</t>
  </si>
  <si>
    <t>执行部门</t>
  </si>
  <si>
    <t>合同性质</t>
  </si>
  <si>
    <t>范本名称</t>
  </si>
  <si>
    <t>关联性质</t>
  </si>
  <si>
    <t>关联交易</t>
  </si>
  <si>
    <t>履约方式</t>
  </si>
  <si>
    <t>乙方:北京火山引擎科技有限公司_IDC(待审核);</t>
  </si>
  <si>
    <t>甲方:北京百度网讯科技有限公司;</t>
  </si>
  <si>
    <t>1、月度需求在2023年1月和2023年3月。
2、新建裸金属节点：湖北武汉移动100G、湖南长沙移动120G、陕西咸阳移动120G、重庆移动80G、云南昆明移动140G；带宽单价5000元/G/月，签约0%保底（实际默认移动40%），95计费。相比集约6740元/G/月，降幅25.8%；
3、提供三种云主机，按需使用，弹性供应：1.32xlarge：2970 元/月/架、1.12xlarge：2120元/月/架、1.10xlarge： 1020元/月/架。
4、IPv4：每个集群赠送64个，超出部分50元/个/月。
5、预估金额=带宽（100+120+120+80+140）*45%*单价5000元*36个月+云主机预估47台104739元/年*3年。
6、云主机数量以实际使用数量为准。</t>
  </si>
  <si>
    <t>吴蕊</t>
  </si>
  <si>
    <t>IDC/ITE合同</t>
  </si>
  <si>
    <t>付款</t>
  </si>
  <si>
    <t>【付款】：45674217 [人民币];</t>
  </si>
  <si>
    <t>2023-03-24</t>
  </si>
  <si>
    <t>2023-01-01</t>
  </si>
  <si>
    <t>2025-12-31</t>
  </si>
  <si>
    <t>生效</t>
  </si>
  <si>
    <t>否</t>
  </si>
  <si>
    <t>2023-03-29</t>
  </si>
  <si>
    <t>百度</t>
  </si>
  <si>
    <t>IDC战略合作部-国内-CDN</t>
  </si>
  <si>
    <t>中后台组</t>
  </si>
  <si>
    <t>基础资源商务组</t>
  </si>
  <si>
    <t>非范本合同</t>
  </si>
  <si>
    <t>乙方:北京中瑞云祥信息科技发展有限公司_IDC(待审核);</t>
  </si>
  <si>
    <t>此供应商已签署框架协议（合同号182215IDC00247），在框架协议下增加廊坊电信的资源订单，具体资源情况如下： 
按照需求，河北廊坊电信-存量440G降价-代理
1.月度需求审批信息在2023年1月，2023年2月
2.带宽：30%保底，95计费。2023年2月1日-2023年2月28日单价为7916.67元/G/月，相比集约9500元/G/月，降幅17%。2023年3月1日起单价为6250元/G/月，相比原价降幅21%，相比集约9500元/G/月，降幅34%。按照95计费45%利用率，相比集约节约(9500-7916.67)*1*440*45%/10000+(9500-6250)*11*440*45%/10000= 739.20 万元/年
3.机柜：单价4000元，免费22个，在用12个（13A），以实际开通为准 
4.IP：IPV4 单价50元，免费704个，在用544个；IPV6 免费2段/64，以实际开通为准 
5.预估金额：7916.67*440*30%+6250*440*30%*11= 10,120,000.44 元</t>
  </si>
  <si>
    <t>林加</t>
  </si>
  <si>
    <t>【付款】：10120000.44 [人民币];</t>
  </si>
  <si>
    <t>2023-03-22</t>
  </si>
  <si>
    <t>2023-02-01</t>
  </si>
  <si>
    <t>2024-01-31</t>
  </si>
  <si>
    <t xml:space="preserve">182215IDC00247 </t>
  </si>
  <si>
    <t>框架下订单</t>
  </si>
  <si>
    <t>11722315PCK01193</t>
  </si>
  <si>
    <t>海外合同</t>
  </si>
  <si>
    <t>乙方:中国聯通日本オペレーション株式会社(待审核);</t>
  </si>
  <si>
    <t>甲方:フレックステック株式会社;</t>
  </si>
  <si>
    <t>日本网盘业务的H3C品牌交换机需求，基于已经审批通过的采购报告，与H3C品牌的代理商 日本联通 签署项目采购协议。日本网络设备需求，首次走集采流程，需求交付紧急，业务部门指定品牌指定供应商。厂商侧是日本当地团队对接商务流程，本次无法在短时间内对百度国内合同版本进行快速审阅并修订，鉴于项目紧急程度复用供应商的订单协议模板（日本网盘业务自采时已签署过的订单协议版本），此协议只针对本项目有效。协议内容已经通过法务亚兰、海外财务如意、日本网盘业务侧姜宝琦以及供应链玮哥的确认，确认邮件见附件。合同金额为：533,500日元(折合RMB约：27,219.17元)，日元付款。请您审批此合同。感谢支持！</t>
  </si>
  <si>
    <t>李晨</t>
  </si>
  <si>
    <t>采购合同</t>
  </si>
  <si>
    <t>【付款】：533500 [日圆];</t>
  </si>
  <si>
    <t>2024-03-21</t>
  </si>
  <si>
    <t>是</t>
  </si>
  <si>
    <t>采购框架类合同-采购框架合同</t>
  </si>
  <si>
    <t>采购部</t>
  </si>
  <si>
    <t>182315IDC00098</t>
  </si>
  <si>
    <t>带宽合同</t>
  </si>
  <si>
    <t>乙方:有帮信息科技（北京）有限公司_IDC(待审核);</t>
  </si>
  <si>
    <t>1、月度需求在2023年2月。
2、与有帮新签商业CDN合同，承载作业帮三网业务，采购价格8533元/G/月，进制1000，月95计费，包头系数1，三年合同期保底金额分别为：2023年全年500万元，2024年全年650万元，2025年全年820万元。
3、合同预估金额=500万+650万+820万</t>
  </si>
  <si>
    <t>王冬雨</t>
  </si>
  <si>
    <t>【付款】：19700000 [人民币];</t>
  </si>
  <si>
    <t>2023-03-21</t>
  </si>
  <si>
    <t>2023-03-28</t>
  </si>
  <si>
    <t>182315IDC00100</t>
  </si>
  <si>
    <t>框架合同</t>
  </si>
  <si>
    <t>乙方:深圳万象天地科技有限公司_IDC(待审核);</t>
  </si>
  <si>
    <t>1.CDN框架合同，无月度需求审批信息
2.合同概要：本合同为框架合同，不涉及资源数量及价格，无需月度需求审批。具体资源数量及价格以各节点订单为准
3.预估金额=0</t>
  </si>
  <si>
    <t>2022-10-01</t>
  </si>
  <si>
    <t>2023-09-30</t>
  </si>
  <si>
    <t>2023-03-27</t>
  </si>
  <si>
    <t>范本合同</t>
  </si>
  <si>
    <t>IDC-SA合同正本-2</t>
  </si>
  <si>
    <t>乙方:上海恩晴信息技术有限公司_IDC;</t>
  </si>
  <si>
    <t>此供应商已签署框架协议（合同号182315IDC00024），在框架协议下增加上海联通的资源订单，具体资源情况如下： 
按照需求，上海联通-存量80G续约-代理
1.月度需求审批信息在2023年1月
2.带宽：7000元/G/月，30%保底，95计费。相比集约10000元/G/月，降幅30%。按照95计费45%利用率，相比集约节约（10000-7000）*12*80*45%/10000= 129.6万元/年 
3.机柜：单价6150元，在用2个（20A），以实际开通为准 
4.IP：IPV4 单价50元，免费256个，在用160个；IPV6 免费/64，以实际开通为准 
5.预估金额：（7000*80*30%+6150*2）*12=  2,163,600.00 元</t>
  </si>
  <si>
    <t>【付款】：2163600.00 [人民币];</t>
  </si>
  <si>
    <t>2023-03-20</t>
  </si>
  <si>
    <t xml:space="preserve">182315IDC00024 </t>
  </si>
  <si>
    <t>乙方:江苏恒杰网络科技有限公司_IDC(待审核);</t>
  </si>
  <si>
    <t>此供应商已签署框架协议（合同号182215IDC00272），在框架协议下增加郑州电信的资源订单，具体资源情况如下： 
按照需求，河南郑州电信-存量100G降价+扩容160G-代理
1.月度需求审批信息在2023年1月
2.带宽：30%保底，95计费。扩容后共计260G自2023年1月1日起单价由7083.33元/G/月调整为6000元/G/月，相比原价降幅15.3%，相比集约9500元/G/月，降幅37%。按照95计费45%利用率，相比集约节约（9500-6000）*12*260*45%/10000= 491.4万元/年 
3.机柜：单价4000元，在用5个（16A），以实际开通为准 
4.IP：IPV4 单价50元，免费352个，在用160个；IPV6 免费/64，以实际开通为准 
5.预估金额：（6000*260*30%+4000*5）*12=   5,856,000.00 元</t>
  </si>
  <si>
    <t>【付款】：5856000 [人民币];</t>
  </si>
  <si>
    <t>2023-12-31</t>
  </si>
  <si>
    <t xml:space="preserve">182215IDC00272 </t>
  </si>
  <si>
    <t>乙方:泰州云下科技有限公司_IDC(待审核);</t>
  </si>
  <si>
    <t>供应商已签署框架协议（合同号182215IDC00509），在框架协议下增加泰州电信的资源订单，具体资源情况如下：
按照需求，江苏泰州电信-新增2个机柜-代理
1.月度需求在2022年7月
2.机柜：单价3500元，在用2个，以实际开通为准
4.预估金额：3500*2*7= 49,000.00 元</t>
  </si>
  <si>
    <t>【付款】：49000 [人民币];</t>
  </si>
  <si>
    <t>2023-03-15</t>
  </si>
  <si>
    <t>2023-01-13</t>
  </si>
  <si>
    <t>2023-07-31</t>
  </si>
  <si>
    <t xml:space="preserve">182215IDC00509 </t>
  </si>
  <si>
    <t>182315IDC00091</t>
  </si>
  <si>
    <t>乙方:厦门琪珑网络科技有限公司_IDC(待审核);</t>
  </si>
  <si>
    <t>1、月度需求在2022年12月。
2、与琪珑新签XCDN汇聚资源合同，移动2200元/G/月、电联3200元/G/月，进制1000，包头系数1，日95月均计费，与存量最低价持平。
3、预估金额=12月*（2200元*200G+3200元*200G）</t>
  </si>
  <si>
    <t>【付款】：12960000 [人民币];</t>
  </si>
  <si>
    <t>2022-12-01</t>
  </si>
  <si>
    <t>2023-11-30</t>
  </si>
  <si>
    <t>2023-03-17</t>
  </si>
  <si>
    <t>40123401PCF00020</t>
  </si>
  <si>
    <t>甲方:百度株式会社（バイドゥ株式会社）;</t>
  </si>
  <si>
    <t>国际化GPU服务器采购所需的交换机设备采购。包含边缘交换机3台，以及管理网交换机3台。 
PR申请已获审批。PO已经过日本法务check。邮件请参阅附件。
谢谢！</t>
  </si>
  <si>
    <t>杨雪</t>
  </si>
  <si>
    <t>【付款】：2948001 [日圆];</t>
  </si>
  <si>
    <t>2023-06-30</t>
  </si>
  <si>
    <t>采购类合同-自主采购合同</t>
  </si>
  <si>
    <t>国际化基础架构与服务部</t>
  </si>
  <si>
    <t>乙方:中国移动通信集团浙江有限公司金华分公司_IDC(待审核);</t>
  </si>
  <si>
    <t xml:space="preserve">1.月度需求在2023年1月
2.合同概要：浙江省金华移动合同续签至2023年6月30日，商务条件与2022年集约价格保持不变
1）带宽80G，单价6740元/G/月，保底40%，95计费
2）机柜单价4300元/个/月，收费3个，以实际开通为准
3）IP：IPV4单价50元/个/月，免费160个，在用160个；IPV6 赠送1段/64，以实际开通为准
3.预估金额：（6740*80*40%+4300*3）*6=  1,371,480.00 元
</t>
  </si>
  <si>
    <t>【付款】：1371480 [人民币];</t>
  </si>
  <si>
    <t>2023-03-14</t>
  </si>
  <si>
    <t xml:space="preserve">182315IDC00026 182115IDC00193 </t>
  </si>
  <si>
    <t>182315IDC00090</t>
  </si>
  <si>
    <t>乙方:浙江宁波本电网络科技有限公司_IDC(待审核);</t>
  </si>
  <si>
    <t xml:space="preserve">1、月度需求在2023年2月。
2、与本电续签PCDN汇聚资源合同，承载网盘业务，移动2100元/G/月、电联3100元/G/月，移动降幅12.5%、电联原价续约（低价资源）。
3、预估金额=12月*（2100元*400G+3100元*800G）
</t>
  </si>
  <si>
    <t>【付款】：39840000 [人民币];</t>
  </si>
  <si>
    <t xml:space="preserve">182215IDC00499 182215IDC00168 </t>
  </si>
  <si>
    <t>,GoodsUpdate,</t>
  </si>
  <si>
    <t>182315IDC00088</t>
  </si>
  <si>
    <t>乙方:上海七牛信息技术有限公司_IDC(待审核);</t>
  </si>
  <si>
    <t>1、月度需求在2023年1月。
2、与七牛新签XCDN合同，汇聚资源，移动2300元/G/月、电联3300元/G/月，进制1000，日95月均计费，包头系数1.0，此价格处于存量低价水平，可有效提升XCDN汇聚资源供应能力。
3、预估金额=12月*2300元*300G+12月*3300元*300G</t>
  </si>
  <si>
    <t>【付款】：20160000 [人民币];</t>
  </si>
  <si>
    <t>乙方:中国移动通信集团广东有限公司广州分公司_IDC(待审核);</t>
  </si>
  <si>
    <t xml:space="preserve">1.月度需求在2023年2月
2.合同概要：百度使用广州移动云甲业务，由于与集团已签署和盾业务，故依照业务需求，云甲业务续签至2023年2月28日止。具体续签商务条件如下：保底费用按照1个IP进行收费，20000元/月/IP，256个IP以内20000元封顶。如激活数量超过256个IP，按每个IP地址100元/月收费。
3.预估金额：20000*14= 280,000.00 元
</t>
  </si>
  <si>
    <t>【付款】：280000 [人民币];</t>
  </si>
  <si>
    <t>2023-03-13</t>
  </si>
  <si>
    <t>2021-12-21</t>
  </si>
  <si>
    <t>2023-02-28</t>
  </si>
  <si>
    <t>终止</t>
  </si>
  <si>
    <t>2023-03-16</t>
  </si>
  <si>
    <t xml:space="preserve">1820202IDC00399 </t>
  </si>
  <si>
    <t>,PeriodChange,</t>
  </si>
  <si>
    <t>IDC战略合作部-国内-IDC-非机房</t>
  </si>
  <si>
    <t>乙方:中国联合网络通信有限公司上海市分公司_IDC(待审核);</t>
  </si>
  <si>
    <t xml:space="preserve">1、月度需求在2022年8月。
2、上海联通搜索在用30M电路续约，原合同182215IDC00135，2022-05-20到期，资费4320元/月，自2022/11/1降为2880元/月。
3、预估金额=4320元/月*6个月+2880元/月*6个月
</t>
  </si>
  <si>
    <t>【付款】：43200 [人民币];</t>
  </si>
  <si>
    <t>2022-05-21</t>
  </si>
  <si>
    <t>2023-05-20</t>
  </si>
  <si>
    <t xml:space="preserve">182215IDC00135 </t>
  </si>
  <si>
    <t>,PeriodChange,GoodsUpdate,</t>
  </si>
  <si>
    <t>乙方:中国移动通信集团湖南有限公司长沙分公司_IDC(待审核);</t>
  </si>
  <si>
    <t>1.月度需求在2023年1月
2.合同概要：湖南省长沙移动&amp;湘潭移动合同续签至2023年6月30日，商务条件与2022年集约价格保持不变
1）带宽：长沙移动480G，长沙三级移动260G，湘潭移动40G；单价6740元/G/月，保底40%，95计费
2）机柜单价5000元/个/月，收费25个，以实际开通为准
3）IP：IPV4单价50元/个/月，免费6240个，在用1536个；IPV6 每1G出口带宽赠送/56地址（含/64），以实际开通为准
3.预估金额：（780*6740*40%+5000*25）*6= 13,367,280.00 元</t>
  </si>
  <si>
    <t>【付款】：13367280 [人民币];</t>
  </si>
  <si>
    <t xml:space="preserve">182315IDC00026 </t>
  </si>
  <si>
    <t>乙方:中国移动通信集团贵州有限公司贵阳分公司_IDC(待审核);</t>
  </si>
  <si>
    <t>1.月度需求在2023年1月
2.合同概要：贵州省贵阳移动合同续签至2023年6月30日，商务条件与2022年集约价格保持不变
1）带宽100G，单价6740元/G/月，保底40%，95计费
2）机柜单价5850元/个/月，收费5个，以实际开通为准
3）IP：IPV4单价50元/个/月，免费416个，在用416个；IPV6 赠送2段/64，以实际开通为准
3.预估金额：（6740*100*40%+5850*5）*6=  1,793,100.00 元</t>
  </si>
  <si>
    <t>【付款】：1793100 [人民币];</t>
  </si>
  <si>
    <t>乙方:中国移动通信集团广东有限公司东莞分公司_IDC(待审核);</t>
  </si>
  <si>
    <t>1.月度需求在2022年11月
2.合同概要：广东省东莞移动合同续签至2023年6月30日，商务条件与2022年集约价格保持不变
1）带宽80G，单价10000元/G/月，保底40%，95计费
2）机柜单价4091元/个/月，收费4个，以实际开通为准
3）IP：IPV4单价50元/个/月，免费160个，在用160个；IPV6 赠送257段/64，以实际开通为准
3.预估金额：(10000*80*40%+4091*4)*6=  2,018,184.00 元</t>
  </si>
  <si>
    <t>【付款】：2018184 [人民币];</t>
  </si>
  <si>
    <t>乙方:涿州登云信息科技有限公司_IDC(待审核);</t>
  </si>
  <si>
    <t>1、决策会项目，无月度需求。
2、基于度小满客户需求，为保障保定度小满私有云第二AZ建设交付需求，新建涿州博浩机房约460柜40A，单价8200/40A，按照河北历史签约最低价11200元/机柜/月计算，降幅26.8%。
3、资源情况：ODF柜14个不收费；4.4KW 5个，单价4100元/月；8.8KW 453个，单价8200元/月；24KW 12个，单价15841元/月；
4、预估金额=（20A 5个*4100元+40A 453个*8200元+109A 12个*15841元）*60月。
5、决策及采购需求数量、功率为预估，以实际开通为准</t>
  </si>
  <si>
    <t>【付款】：235511520 [人民币];</t>
  </si>
  <si>
    <t>2023-03-09</t>
  </si>
  <si>
    <t>2022-08-01</t>
  </si>
  <si>
    <t>2027-07-31</t>
  </si>
  <si>
    <t>IDC战略合作部-国内-IDC-机房</t>
  </si>
  <si>
    <t>乙方:中国移动通信集团山东有限公司青岛分公司_IDC(待审核);</t>
  </si>
  <si>
    <t>1、月度需求在2023年1月。
2、合同概要：山东省青岛市移动合同续签至2023年6月30日，商务条件与2022年集约价格保持不变。
     带宽500G，保底40%，95计费，6740元/G/月；机柜收费9个，5000元/柜/月；IP免费576个，超出50元/个/月。
3、预估金额=（机柜9个*单价5000元+带宽500G*保底40%*单价6740元）*6个月</t>
  </si>
  <si>
    <t>【付款】：8358000 [人民币];</t>
  </si>
  <si>
    <t>乙方:中国移动通信集团山东有限公司济南分公司_IDC(待审核);</t>
  </si>
  <si>
    <t>1、CDN 500G月度需求在2023年1月，BEC 200G月度需求在2022年10月。
2、合同概要：山东省济南市移动合同续签至2023年6月30日，商务条件与2022年集约价格保持不变。
     带宽700G，保底40%，95计费，6740元/G/月；机柜收费14个，5000元/柜/月；IP免费1782个，使用1440个，超出30元/个/月；
3、预估金额=（机柜14个*单价5000元+带宽700G*保底40%*单价6740元）*6个月</t>
  </si>
  <si>
    <t>【付款】：11743200 [人民币];</t>
  </si>
  <si>
    <t>乙方:中国移动通信集团江西有限公司南昌分公司_IDC(待审核);</t>
  </si>
  <si>
    <t>1.月度需求在2023年1月
2.合同概要：江西省南昌移动合同续签至2023年6月30日，商务条件与2022年集约价格保持不变
1）带宽20G，单价6740元/G/月，保底40%，95计费
2）机柜单价5500元/个/月，收费3个，以实际开通为准
3）IP：IPV4单价50元/个/月，免费256个；IPV6 赠送1段/56，以实际开通为准
3.预估金额：（6740*20*40%+5500*3）*6=  422,520.00 元</t>
  </si>
  <si>
    <t>【付款】：422520 [人民币];</t>
  </si>
  <si>
    <t>2023-03-07</t>
  </si>
  <si>
    <t>乙方:中国电信股份有限公司南京分公司_IDC(待审核);</t>
  </si>
  <si>
    <t>1、月度需求在2021年10月。
2、新建南京电信本地光纤：资费：400元/公里/对芯/月，总计长度258.5KM，NJXG-NJJS计费推迟，节省26.9万元。
3、资源情况：
NJXG-NJ03 长度总计90.2KM（=49.2KM+41KM）开通时间5月16日，计费时间5月16日；
NJXG-NJJS长度总计168.3KM（=93.8KM+74.5KM）开通时间5月26日，计费时间10月1日。5月26日至10月1日免费。
4、合同预估金额=90.2KM*400元/月/KM*17月+168.3KM*400元/月/KM*12月</t>
  </si>
  <si>
    <t>【付款】：1421200 [人民币];</t>
  </si>
  <si>
    <t>2022-05-16</t>
  </si>
  <si>
    <t>2023-03-10</t>
  </si>
  <si>
    <t>152315IDC00072</t>
  </si>
  <si>
    <t>语音</t>
  </si>
  <si>
    <t>乙方:中国电信股份有限公司广州分公司_IDC(待审核);</t>
  </si>
  <si>
    <t>甲方:百度在线网络技术（北京）有限公司;</t>
  </si>
  <si>
    <t>1） 为配合MEG业务发展，正常续约DID语音业务，主合同编号为【151915PC09007】，根据运营商要求需要签署补充协议进行续约。 2） 预估金额=业务预估金额59.35万元。</t>
  </si>
  <si>
    <t>王玉伟</t>
  </si>
  <si>
    <t>【付款】：593500 [人民币];</t>
  </si>
  <si>
    <t xml:space="preserve">151915PC09007 152115IDC00662 </t>
  </si>
  <si>
    <t>IDC战略合作部-国内-其他</t>
  </si>
  <si>
    <t>平行关联</t>
  </si>
  <si>
    <t>乙方:广东华云世纪科技有限公司_IDC(待审核);</t>
  </si>
  <si>
    <t>此供应商已签署框架协议（合同号182215IDC00450），在框架协议下增加天津移动的资源订单，具体资源情况如下： 
按照需求，天津移动-新建200G-代理
1.月度需求审批信息在2022年12月
2.带宽：4800元/G/月，40%保底，95计费。相比集约6740元/G/月，降幅28.8%。按照95计费45%利用率，相比集约节约（6740-4800）*12*200*45%/10000=209.52万元/年
3.机柜：单价5000元，在用4个，以实际开通为准 
4.IP：IPV4 单价50元，免费320个，在用288个；IPV6免费提供，以实际开通为准
5.预估金额：5000*4*3/31+5000*4*12+4800*200*40%*12= 4,849,935.48 元</t>
  </si>
  <si>
    <t>【付款】：4849935.48 [人民币];</t>
  </si>
  <si>
    <t>2023-03-06</t>
  </si>
  <si>
    <t>2022-12-29</t>
  </si>
  <si>
    <t xml:space="preserve">182215IDC00450 </t>
  </si>
  <si>
    <t>此供应商已签署框架协议（合同号182215IDC00450 ），在框架协议下增加中山移动的资源订单，具体资源情况如下： 
按照需求，广东中山移动-新增机柜-代理
1.月度需求审批信息在2022年1月，2022年10月
2.机柜：单价4800元，本次新增4个，以实际开通为准
3.IP：IPV4单价50元，免费128个，在用128个；IPV6按需赠送，以实际开通为准
4.预估金额：4800*4*7/31+4800*4*8= 157,935.48 元</t>
  </si>
  <si>
    <t>【付款】：157935.48 [人民币];</t>
  </si>
  <si>
    <t>2022-12-25</t>
  </si>
  <si>
    <t>2023-08-31</t>
  </si>
  <si>
    <t>182315IDC00065</t>
  </si>
  <si>
    <t>乙方:北京睿伍行至科技有限公司_IDC(待审核);</t>
  </si>
  <si>
    <t>1、合同概要：为支持ACG语音类业务发展，增加号码认证资源储备，与供应商北京睿伍行至科技有限公司签约，该供应商在运营商二三要素资源上具有价格优势。
2、预估金额=预估月度消费金额*12=1,200,000.00元</t>
  </si>
  <si>
    <t>【付款】：1200000 [人民币];</t>
  </si>
  <si>
    <t>2023-03-03</t>
  </si>
  <si>
    <t>2024-03-09</t>
  </si>
  <si>
    <t>语音号码验证服务采购合同</t>
  </si>
  <si>
    <t>182315IDC00063</t>
  </si>
  <si>
    <t>乙方:北京朗玛峰科技有限公司_IDC(待审核);</t>
  </si>
  <si>
    <t>1、月度需求在2022年10月。
2、与朗玛峰新签商业CDN合同，承载快手广东电信业务，合同价格5300元/G/月，结合补贴测算的采购价格是4250元/G/月、1000进制、月95计费、包头系数1，商务条件优于存量最低价。
3、预估金额=150G*12月*单价5300</t>
  </si>
  <si>
    <t>【付款】：9540000 [人民币];</t>
  </si>
  <si>
    <t>2023-02-27</t>
  </si>
  <si>
    <t>乙方:江苏云工场信息技术有限公司_IDC(待审核);</t>
  </si>
  <si>
    <t>此供应商已签署框架协议（合同号182215IDC00237），在框架协议下增加济南移动的资源订单，具体资源情况如下： 
按照需求，山东济南移动-存量400G-续约-代理
1.月度需求审批信息在2022年11月
2.带宽：5500元/G/月，30%保底，95计费。相比集约6740元/G/月，降幅18.4%。按照95计费45%利用率，相比集约节约（6740-5500）*12*400*45%/10000=267.84万元/年
3.机柜：单价5000元，在用9个，以实际开通为准 
4.IP：IPV4 单价50元，赠送640个，在用576个；IPV6 3^/64免费提供，以实际开通为准
5.预估金额：(5500*400*30%+5000*9)*12= 8,460,000.00  元</t>
  </si>
  <si>
    <t>【付款】：8460000 [人民币];</t>
  </si>
  <si>
    <t>2023-03-08</t>
  </si>
  <si>
    <t xml:space="preserve">182215IDC00237 </t>
  </si>
  <si>
    <t>乙方:广东奥飞数据科技股份有限公司_IDC(待审核);</t>
  </si>
  <si>
    <t xml:space="preserve">1.月度需求在2021年12月
2.合同概要：包电模式，机柜单价9825元/柜/月；合同期内，官方电费单价上浮20%至下降20%以内，机柜单价不做调整，官方电费单价上浮超过20%或下降超过20%，则按照官方电价变更。起租进度按照5-4-1执行。按照甲方技术要求定制一期  794 个IDC机柜，其中615个业务机柜，和179个核心配套机柜（4个30KW，2个24KW,  114个8.8KW，8个4.4KW，51个0KW）。以实际开通为准
3.预估金额：(9825*729+4900*8+16747*2+22330*4+2310*51)*6= 44,653,494.00 元
4.月度需求为预估金额&amp;数量，以实际开通为准
</t>
  </si>
  <si>
    <t>【付款】：44653494 [人民币];</t>
  </si>
  <si>
    <t>2022-09-01</t>
  </si>
  <si>
    <t>2027-08-31</t>
  </si>
  <si>
    <t>乙方:广西阳晨伟业科技有限公司_IDC(待审核);</t>
  </si>
  <si>
    <t xml:space="preserve">此供应商已签署框架协议（合同号182315IDC00023），在框架协议下增加南宁移动的资源订单，具体资源情况如下： 
按照需求，广西南宁移动-存量100G（包端口）-续约-代理 
1.月度需求审批信息在2023年1月
2.带宽：4200元/G/月，包端口计费。折算成95峰值计费价格是5250元，相比集约6740元/G/月，降幅22%。按照95计费45%利用率，相比集约节约（6740-4200/0.8）*12*100*45%/10000= 80.46万元/年
3.机柜：单价4200元，在用5个，以实际开通为准 
4.IP：IPV4 单价50元，免费128个，在用128个；IPV6 免费/64，以实际开通为准 
5.预估金额：（4200*100*100%+4200*5）*12= 5,292,000.00 元
</t>
  </si>
  <si>
    <t>【付款】：5292000.00 [人民币];</t>
  </si>
  <si>
    <t xml:space="preserve">182315IDC00023 </t>
  </si>
  <si>
    <t>182315IDC00061</t>
  </si>
  <si>
    <t>乙方:金山云（深圳）边缘计算科技有限公司_IDC(待审核);</t>
  </si>
  <si>
    <t>1、月度需求在2022年12月。
2、与金山边缘签订补充协议，落实融合XCDN存量优化+续签，存量价格3300元/G/月，优化价格3100元/G/月，降幅6.06%，其余商务条件不变。
3、预估金额=3100元*300G*12月</t>
  </si>
  <si>
    <t>【付款】：11160000 [人民币];</t>
  </si>
  <si>
    <t>2022-11-01</t>
  </si>
  <si>
    <t>2023-10-31</t>
  </si>
  <si>
    <t xml:space="preserve">182215IDC00343 </t>
  </si>
  <si>
    <t>乙方:青岛燚汇信达通讯科技有限公司_IDC(待审核);</t>
  </si>
  <si>
    <t>此供应商已签署框架协议（合同号182215IDC00262），在框架协议下增加青岛联通的资源订单，具体资源情况如下： 
按照需求，山东青岛联通-新建300G-代理
1.月度需求审批信息在2023年1月
2.带宽：5417元/G/月，30%保底，95计费。相比集约9000元/G/月，降幅39.8%，按照95计费45%利用率，相比集约节约（9000-5417）*12*300*45%/10000=580.45万元/年
3.机柜：单价5000元，在用4个，以实际开通为准 
4.IP：IPV4 单价50元，免费960个，在用448个；IPV6免费提供2组/64，以实际开通为准
5.预估金额：（5417*300*30%+5000*4）*12=  6,090,360.00 元</t>
  </si>
  <si>
    <t>【付款】：6090360 [人民币];</t>
  </si>
  <si>
    <t xml:space="preserve">182215IDC00262 </t>
  </si>
  <si>
    <t>乙方:广州大一互联网络科技有限公司_IDC;</t>
  </si>
  <si>
    <t xml:space="preserve">此供应商已签署框架协议（合同号182215IDC00709），在框架协议下增加东莞移动的资源订单，具体资源情况如下： 
按照需求，广东东莞移动-存量200G-续约-代理 
1.月度需求审批信息在2022年11月
2.带宽：5000元/G/月，40%保底，95计费。 相比集约6740元/G/月，降幅25.8%。按照95计费45%利用率，相比集约节约（6740-5000）*12*200*45%/10000=187.92万元/年
3.机柜：单价5000元，在用5个，以实际开通为准 
4.IP：IPV4 单价50元，免费256个，在用160个；IPV6 免费/56，以实际开通为准 
5.预估金额：（5000*200*40%+5000*5）*12= 5,100,000.00 元
</t>
  </si>
  <si>
    <t>【付款】：5100000.00 [人民币];</t>
  </si>
  <si>
    <t xml:space="preserve">182215IDC00709 </t>
  </si>
  <si>
    <t>此供应商已签署框架协议（合同号182215IDC00450），在框架协议下增加北海移动的资源订单，具体资源情况如下： 
按照需求，广西北海移动-新建100G（平移京东）-代理
1.月度需求审批信息在2023年1月
2.带宽：5200元/G/月，40%保底，95计费。相比集约6740元/G/月，降幅22.9%。按照95计费45%利用率，相比集约节约（6740-5200）*12*100*45%/10000=83.16万元/年
3.机柜：单价5000元，在用2个，以实际开通为准 
4.IP：IPV4 单价50元，在用288个，免费160个，收费128个；IPV6按需赠送，以实际开通为准
5.预估金额：（5200*100*40%+5000*2)*12+(50*160*11/31)= 2,618,838.71 元</t>
  </si>
  <si>
    <t>【付款】：2618838.71 [人民币];</t>
  </si>
  <si>
    <t>2023-02-25</t>
  </si>
  <si>
    <t>乙方:杭州优云科技有限公司_IDC(待审核);</t>
  </si>
  <si>
    <t>此供应商已签署框架协议（合同号182215IDC00385），在框架协议下增加台州移动的资源订单，具体资源情况如下： 
按照需求，浙江台州移动-存量200G-续约-代理
1.月度需求审批信息在2023年1月
2.带宽：5500元/G/月，30%保底，95计费。相比集约6740元/G/月，降幅18.4%。按照95计费45%利用率，相比集约节约（6740-5500）*12*200*45%/10000= 133.92万元/年
3.机柜：单价4166.67元，在用5个，以实际开通为准 
4.IP：IPV4 单价50元，免费320个，在用288个；IPV6按需赠送，以实际开通为准
5.预估金额：(5500*200*30%+4166.67*5)*12=  4,210,000.20 元</t>
  </si>
  <si>
    <t>【付款】：4210000.2 [人民币];</t>
  </si>
  <si>
    <t xml:space="preserve">182215IDC00385 </t>
  </si>
  <si>
    <t>乙方:南通云数网络科技有限公司_IDC(待审核);</t>
  </si>
  <si>
    <t xml:space="preserve">此供应商已签署框架协议（合同号182215IDC00448），在框架协议下增加常州移动的资源订单，具体资源情况如下： 
按照需求，江苏常州移动-存量80G-续约-代理 
1.月度需求审批信息在2022年11月
2.带宽：4800元/G/月，30%保底，95计费。 相比集约6740元/G/月，降幅28.8%。按照95计费45%利用率，相比集约节约（6740-4800）*12*80*45%/10000= 83.81万元/年
3.机柜：单价4300元，在用5个，以实际开通为准 
4.IP：IPV4 单价30元，免费288个，在用288个；IPV6 免费/64，以实际开通为准 
5.预估金额：（4800*80*30%+4300*5）*12= 1,640,400.00 元
</t>
  </si>
  <si>
    <t>【付款】：1640400 [人民币];</t>
  </si>
  <si>
    <t xml:space="preserve">182215IDC00448 </t>
  </si>
  <si>
    <t>乙方:杭州云之盟科技有限公司_IDC(待审核);</t>
  </si>
  <si>
    <t>此供应商已签署框架协议（合同号182215IDC00228），在框架协议下增加舟山移动的资源订单，具体资源情况如下：
按照需求，浙江舟山移动-新增200G-代理
1.月度需求审批信息在2023年1月
2.带宽：5000元/G/月，40%保底，95计费。相比集约6740元/G/月，降幅25.8%。按照95计费45%利用率，相比集约节约（6740-5000）*12*200*45%/10000=187.92万元/年
3.机柜：单价4166.67元，在用7个，以实际开通为准 
4.IP：IPV4 单价50元，免费288个，在用288个；IPV6免费提供/64，以实际开通为准
5.预估金额：（5000*200*40%+4166.67）*12= 404,166.67 元</t>
  </si>
  <si>
    <t>【付款】：404166.67 [人民币];</t>
  </si>
  <si>
    <t xml:space="preserve">182215IDC00228 </t>
  </si>
  <si>
    <t>此供应商已签署框架协议（合同号182215IDC00237），在框架协议下增加济南移动的资源订单，具体资源情况如下： 
按照需求，山东济南移动-存量200G-续约-代理
1.月度需求审批信息在2022年11月
2.带宽：5500元/G/月，30%保底，95计费。相比集约6740元/G/月，降幅18.4%。按照95计费45%利用率，相比集约节约（6740-5500）*12*200*45%/10000=133.92万元/年
3.机柜：单价5000元，在用3个，以实际开通为准 
4.IP：IPV4 单价50元，赠送320个，在用288个；IPV6 2^/64免费提供，以实际开通为准
5.预估金额：(5500*200*30%+5000*3)*12= 4,140,000.00 元</t>
  </si>
  <si>
    <t>【付款】：4140000 [人民币];</t>
  </si>
  <si>
    <t xml:space="preserve">此供应商已签署框架协议（合同号182215IDC00228），在框架协议下增加天津联通的资源订单，具体资源情况如下： 
按照需求，天津联通-存量200G-续约-代理 
1.月度需求审批信息 在2022年11月
2.带宽：7083.33元/G/月，40%保底，95计费。 相比集约9000元/G/月，降幅21.3%。按照95计费45%利用率，相比集约节约（9000-7083.33）*12*200*45%/10000= 207万元/年
3.机柜：单价4166.67元，在用7个，以实际开通为准 
4.IP：IPV4 单价50元，免费288个，在用288个；IPV6 免费/64，以实际开通为准 
5.预估金额：（7083.33*200*40%+4166.67*7）*12= 7,149,997.08 元
</t>
  </si>
  <si>
    <t>【付款】：7149997.08 [人民币];</t>
  </si>
  <si>
    <t>此供应商已签署框架协议（合同号182215IDC00237），在框架协议下增加潍坊移动的资源订单，具体资源情况如下： 
按照需求，山东潍坊移动-存量200G-续约-代理
1.月度需求审批信息在2023年1月
2.带宽：5500元/G/月，30%保底，95计费。相比集约6740元/G/月，降幅18.4%。按照95计费45%利用率，相比集约节约（6740-5500）*12*200*45%/10000= 133.92万元/年
3.机柜：单价5000元，在用4个，以实际开通为准 
4.IP：IPV4 单价50元，免费320个，在用288个；IPV6赠送2^64个IPV6，以实际开通为准
5.预估金额：（5500*200*30%+5000*4）*12=  4,200,000.00 元</t>
  </si>
  <si>
    <t>【付款】：4200000 [人民币];</t>
  </si>
  <si>
    <t>乙方:山西卡伏科技有限公司_IDC(待审核);</t>
  </si>
  <si>
    <t>此供应商已签署框架协议（合同号182215IDC00708），在框架协议下增加太原移动的资源订单，具体资源情况如下： 
按照需求，山西太原移动-存量300G-续约-代理
1.月度需求审批信息在2022年11月
2.带宽：5400元/G/月，40%保底，95计费。 相比集约6740元/G/月，降幅19.9%。按照95计费45%利用率，相比集约节约（6740-5400）*12*300*45%/10000=217.08万元/年
3.机柜：单价5000元，在用6个，以实际开通为准 
4.IP：IPV4 单价50元，免费544个；IPV6 免费赠送，以实际开通为准 
5.预估金额：（5400*300*40%+5000*6）*12=  8,136,000.00 元</t>
  </si>
  <si>
    <t>【付款】：8136000 [人民币];</t>
  </si>
  <si>
    <t xml:space="preserve">182215IDC00708 </t>
  </si>
  <si>
    <t xml:space="preserve">此供应商已签署框架协议（合同号182215IDC00448 ），在框架协议下增加无锡移动的资源订单，具体资源情况如下： 
按照需求，江苏无锡移动-存量160G-续约-代理
1.月度需求审批信息在2022年11月
2.带宽：4800元/G/月，40%保底，95计费。相比集约6740元/G/月，降幅28.8%。按照95计费45%利用率，相比集约节约（6740-4800）*12*160*45%/10000= 167.62万元/年
3.机柜：单价5000元，在用4个，以实际开通为准
4.IP：IPV4单价50元，在用160个，2023年1月1日-2023年1月5日免费48个，收费112个；2023年1月6日开始免费64个IP，收费96个；IPV6赠送/56，以实际开通为准
5.预估金额：4800*160*40%*12+5000*3*12+5000*1*26/31+5000*1*11+50*5/31*112+50*96*26/31+50*96*11= 3,983,322.58 元
</t>
  </si>
  <si>
    <t>【付款】：3983322.58 [人民币];</t>
  </si>
  <si>
    <t>乙方:上海云瑞智通实业有限公司_IDC(待审核);</t>
  </si>
  <si>
    <t>此供应商已签署框架协议（合同号182215IDC00242 ），在框架协议下增加南通电信的资源订单，具体资源情况如下： 
按照需求，江苏南通电信-存量200G（平均流量）-续约-代理
1.月度需求审批信息在2023年1月
2.带宽：15250元/G/月，25%保底，平均流量。按照2.4系数折算95计费6354.17元/G/月，较集约价9500元/G/月，降价33%。按照95计费45%利用率，相比集约节约（9500-15250/2.4）*12*200*45%/10000= 339.75万元/年
3.机柜：单价4000元，在用5个，以实际开通为准 
4.IP：IPV4 单价50元，在用160个，其中免费80个，收费80个；IPV6免费提供/64，以实际开通为准
5.预估金额：(15250*200*25%+4000*5+50*80)*12=  9,438,000.00 元</t>
  </si>
  <si>
    <t>【付款】：9438000 [人民币];</t>
  </si>
  <si>
    <t xml:space="preserve">182215IDC00242 </t>
  </si>
  <si>
    <t>乙方:中信网络有限公司_IDC(待审核);</t>
  </si>
  <si>
    <t>1、月度需求在2023年1月。
2、合同概要：骨干网二平面线路华东-华南6.4T，开通时间2022年11月1日，双路由共计4345.49公里，机柜69个；阳泉-西安1.6T，路由1开通时间2022年10月1日，路由2开通时间2023年1月1日，双路由共计2319.72公里，机柜31个。合规后单公里438元/月，中继8000元/个。
3、价格逻辑：月租费=供应商价格/1.06（光纤税率）*1.09（专线税率）*1.15（城域网合规加成）=3,719,361.98/月；合同预估总额=华东-华南 月租2455324.62*21月+阳泉-西安东线 月租692836.04*22月+阳泉-西安西线月租571201.32*19月。
4、月度需求 采购需求传输长度为预估值，以实际开通为准。</t>
  </si>
  <si>
    <t>【付款】：77657034.98 [人民币];</t>
  </si>
  <si>
    <t>2023-02-17</t>
  </si>
  <si>
    <t>2019-08-05</t>
  </si>
  <si>
    <t>2024-08-04</t>
  </si>
  <si>
    <t>2023-03-01</t>
  </si>
  <si>
    <t xml:space="preserve">181915IDC00189 </t>
  </si>
  <si>
    <t>,GoodsAdd,</t>
  </si>
  <si>
    <t>182315IDC00042</t>
  </si>
  <si>
    <t>免费合同</t>
  </si>
  <si>
    <t>乙方:广州宏云互联网络科技有限公司_IDC(待审核);</t>
  </si>
  <si>
    <t xml:space="preserve">1.免费合同，无月度需求审批信息
2.合同概要：按照供应商要求在2023月2月1日起更换主体，故将合同182215IDC00699 ，182215IDC00698，182215IDC00024  结束日期调为2023年1月31日 
</t>
  </si>
  <si>
    <t>2023-02-16</t>
  </si>
  <si>
    <t xml:space="preserve">182215IDC00699 182215IDC00698 182215IDC00024 </t>
  </si>
  <si>
    <t>,PeriodChange,TerminalContract,</t>
  </si>
  <si>
    <t>182315IDC00040</t>
  </si>
  <si>
    <t>乙方:北京羽乐创新科技有限公司_IDC(待审核);</t>
  </si>
  <si>
    <t>前期与供应商【羽乐创新】签署的《号码认证服务协议》于2023年12月30日到期，现进行续约。此合同为ACG AI应用产品部提供企业号码认证资源，本次续约价格保持不变。</t>
  </si>
  <si>
    <t>2023-02-14</t>
  </si>
  <si>
    <t>2023-12-30</t>
  </si>
  <si>
    <t>182315IDC00039</t>
  </si>
  <si>
    <t>乙方:北京微呼科技有限公司_IDC(待审核);</t>
  </si>
  <si>
    <t>1、合同概要：为配合ACG AI部门语音业务发展，持续优化供应商池，与合作中语音线路资源供应商，续签语音线路采购协议。 2、预估金额=1200000元</t>
  </si>
  <si>
    <t>2023-02-13</t>
  </si>
  <si>
    <t>2023-02-20</t>
  </si>
  <si>
    <t>2024-02-19</t>
  </si>
  <si>
    <t>2023-03-02</t>
  </si>
  <si>
    <t>语音线路采购协议</t>
  </si>
  <si>
    <t>1、月度需求在2023年1月。
2、合同概要：城域网合规线路协议。涉及业务为华东-华南一平面扩容产生的联络缆及机柜费用。
3、预估金额=预估金额=月租费*18个月=2131171.2元。月租费价格逻辑=供应商价格/1.06（光纤税率）*1.09（专线税率）/0.9（城域网合规加成）。
4、采购需求 月度需求中传输长度为预估值，以实际开通为准。</t>
  </si>
  <si>
    <t>【付款】：2131171.2 [人民币];</t>
  </si>
  <si>
    <t>2023-02-06</t>
  </si>
  <si>
    <t>2022-07-01</t>
  </si>
  <si>
    <t>1、</t>
  </si>
  <si>
    <t>问题</t>
  </si>
  <si>
    <t>三家CDN机架：3月线上预提显示3.1新开通机柜，且和2月预提机柜资源编号不一致，但线下表起始日期不体现本月新增信息</t>
  </si>
  <si>
    <t>中台反馈</t>
  </si>
  <si>
    <t>中间有过搬迁，机柜编号变化，但是实物机柜没有变化。这种都是CDN机柜，没有IDC机柜，本月李佳负责部分涉及的机柜编号变化如下（三家供应商）：</t>
  </si>
  <si>
    <t>‘（1）</t>
  </si>
  <si>
    <t>2023.3系统预提资源截图</t>
  </si>
  <si>
    <t>2023.2系统预提资源截图</t>
  </si>
  <si>
    <t>(2)</t>
  </si>
  <si>
    <t>中国移动通信集团陕西有限公司西安分公司-CDN机架</t>
  </si>
  <si>
    <t>(3)</t>
  </si>
  <si>
    <t>蕊姐负责部分也出现问题1同样情况，但业务备注有注明调整前后的机柜编码，故不一一列示。</t>
  </si>
  <si>
    <t>比如中国移动通信集团江苏有限公司无锡分公司：</t>
  </si>
  <si>
    <t>2023年3月当期</t>
  </si>
  <si>
    <t>线上金额合计</t>
  </si>
  <si>
    <t>非带宽表</t>
  </si>
  <si>
    <t>博睿&amp;听云表</t>
  </si>
  <si>
    <t>线下金额合计</t>
  </si>
  <si>
    <t>核对</t>
  </si>
</sst>
</file>

<file path=xl/styles.xml><?xml version="1.0" encoding="utf-8"?>
<styleSheet xmlns="http://schemas.openxmlformats.org/spreadsheetml/2006/main">
  <numFmts count="16">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0.00_);[Red]\(#,##0.00\)"/>
    <numFmt numFmtId="177" formatCode="#,##0.00_ "/>
    <numFmt numFmtId="178" formatCode="yyyy/m/d;@"/>
    <numFmt numFmtId="179" formatCode="#,##0.0000_ "/>
    <numFmt numFmtId="180" formatCode="#,##0.00_ ;[Red]\-#,##0.00\ "/>
    <numFmt numFmtId="181" formatCode="0.00_);[Red]\(0.00\)"/>
    <numFmt numFmtId="182" formatCode="0_);[Red]\(0\)"/>
    <numFmt numFmtId="183" formatCode="0.000_);[Red]\(0.000\)"/>
    <numFmt numFmtId="184" formatCode="#,##0.00000_ ;[Red]\-#,##0.00000\ "/>
    <numFmt numFmtId="185" formatCode="_ * #,##0.0000_ ;_ * \-#,##0.0000_ ;_ * &quot;-&quot;????_ ;_ @_ "/>
    <numFmt numFmtId="186" formatCode="0.000000_);[Red]\(0.000000\)"/>
    <numFmt numFmtId="187" formatCode="#,##0.000_ ;[Red]\-#,##0.000\ "/>
  </numFmts>
  <fonts count="38">
    <font>
      <sz val="11"/>
      <color theme="1"/>
      <name val="等线"/>
      <charset val="134"/>
      <scheme val="minor"/>
    </font>
    <font>
      <sz val="11"/>
      <color theme="1"/>
      <name val="等线"/>
      <charset val="134"/>
      <scheme val="minor"/>
    </font>
    <font>
      <b/>
      <sz val="11"/>
      <color theme="1"/>
      <name val="等线"/>
      <charset val="134"/>
      <scheme val="minor"/>
    </font>
    <font>
      <b/>
      <sz val="10"/>
      <name val="微软雅黑"/>
      <charset val="134"/>
    </font>
    <font>
      <sz val="10"/>
      <name val="微软雅黑"/>
      <charset val="134"/>
    </font>
    <font>
      <sz val="10"/>
      <color rgb="FFFF0000"/>
      <name val="微软雅黑"/>
      <charset val="134"/>
    </font>
    <font>
      <sz val="11"/>
      <color indexed="8"/>
      <name val="等线"/>
      <charset val="134"/>
      <scheme val="minor"/>
    </font>
    <font>
      <b/>
      <sz val="11"/>
      <name val="宋体"/>
      <charset val="134"/>
    </font>
    <font>
      <sz val="11"/>
      <color indexed="8"/>
      <name val="等线"/>
      <charset val="134"/>
      <scheme val="minor"/>
    </font>
    <font>
      <sz val="11"/>
      <color theme="1"/>
      <name val="等线"/>
      <charset val="134"/>
    </font>
    <font>
      <b/>
      <sz val="10"/>
      <color theme="8" tint="0.399975585192419"/>
      <name val="微软雅黑"/>
      <charset val="134"/>
    </font>
    <font>
      <b/>
      <sz val="10"/>
      <color theme="4"/>
      <name val="微软雅黑"/>
      <charset val="134"/>
    </font>
    <font>
      <b/>
      <sz val="10"/>
      <color theme="8"/>
      <name val="微软雅黑"/>
      <charset val="134"/>
    </font>
    <font>
      <b/>
      <sz val="10"/>
      <color rgb="FF00B0F0"/>
      <name val="微软雅黑"/>
      <charset val="134"/>
    </font>
    <font>
      <sz val="10"/>
      <color rgb="FF00B0F0"/>
      <name val="微软雅黑"/>
      <charset val="134"/>
    </font>
    <font>
      <sz val="11"/>
      <color theme="1"/>
      <name val="等线"/>
      <charset val="134"/>
      <scheme val="minor"/>
    </font>
    <font>
      <sz val="12"/>
      <name val="宋体"/>
      <charset val="134"/>
    </font>
    <font>
      <sz val="11"/>
      <color theme="1"/>
      <name val="等线"/>
      <charset val="0"/>
      <scheme val="minor"/>
    </font>
    <font>
      <sz val="11"/>
      <color rgb="FF3F3F76"/>
      <name val="等线"/>
      <charset val="0"/>
      <scheme val="minor"/>
    </font>
    <font>
      <sz val="11"/>
      <color rgb="FF9C0006"/>
      <name val="等线"/>
      <charset val="0"/>
      <scheme val="minor"/>
    </font>
    <font>
      <sz val="11"/>
      <color theme="0"/>
      <name val="等线"/>
      <charset val="0"/>
      <scheme val="minor"/>
    </font>
    <font>
      <u/>
      <sz val="11"/>
      <color rgb="FF0000FF"/>
      <name val="等线"/>
      <charset val="0"/>
      <scheme val="minor"/>
    </font>
    <font>
      <sz val="12"/>
      <color rgb="FF000000"/>
      <name val="等线"/>
      <charset val="134"/>
    </font>
    <font>
      <u/>
      <sz val="11"/>
      <color rgb="FF800080"/>
      <name val="等线"/>
      <charset val="0"/>
      <scheme val="minor"/>
    </font>
    <font>
      <b/>
      <sz val="11"/>
      <color theme="3"/>
      <name val="等线"/>
      <charset val="134"/>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rgb="FF3F3F3F"/>
      <name val="等线"/>
      <charset val="0"/>
      <scheme val="minor"/>
    </font>
    <font>
      <b/>
      <sz val="11"/>
      <color rgb="FFFA7D00"/>
      <name val="等线"/>
      <charset val="0"/>
      <scheme val="minor"/>
    </font>
    <font>
      <b/>
      <sz val="11"/>
      <color rgb="FFFFFFFF"/>
      <name val="等线"/>
      <charset val="0"/>
      <scheme val="minor"/>
    </font>
    <font>
      <sz val="11"/>
      <color rgb="FFFA7D00"/>
      <name val="等线"/>
      <charset val="0"/>
      <scheme val="minor"/>
    </font>
    <font>
      <b/>
      <sz val="11"/>
      <color theme="1"/>
      <name val="等线"/>
      <charset val="0"/>
      <scheme val="minor"/>
    </font>
    <font>
      <sz val="11"/>
      <color rgb="FF006100"/>
      <name val="等线"/>
      <charset val="0"/>
      <scheme val="minor"/>
    </font>
    <font>
      <sz val="11"/>
      <color rgb="FF9C6500"/>
      <name val="等线"/>
      <charset val="0"/>
      <scheme val="minor"/>
    </font>
    <font>
      <sz val="11"/>
      <color rgb="FF000000"/>
      <name val="等线"/>
      <charset val="134"/>
    </font>
  </fonts>
  <fills count="38">
    <fill>
      <patternFill patternType="none"/>
    </fill>
    <fill>
      <patternFill patternType="gray125"/>
    </fill>
    <fill>
      <patternFill patternType="solid">
        <fgColor theme="9" tint="0.799981688894314"/>
        <bgColor indexed="64"/>
      </patternFill>
    </fill>
    <fill>
      <patternFill patternType="solid">
        <fgColor theme="5" tint="0.799981688894314"/>
        <bgColor indexed="64"/>
      </patternFill>
    </fill>
    <fill>
      <patternFill patternType="solid">
        <fgColor rgb="FFFFFF00"/>
        <bgColor indexed="64"/>
      </patternFill>
    </fill>
    <fill>
      <patternFill patternType="solid">
        <fgColor theme="9" tint="0.799981688894314"/>
        <bgColor rgb="FF000000"/>
      </patternFill>
    </fill>
    <fill>
      <patternFill patternType="solid">
        <fgColor theme="5" tint="0.799981688894314"/>
        <bgColor rgb="FF000000"/>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14">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indexed="8"/>
      </left>
      <right style="thin">
        <color indexed="8"/>
      </right>
      <top style="thin">
        <color indexed="8"/>
      </top>
      <bottom style="thin">
        <color indexed="8"/>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66">
    <xf numFmtId="0" fontId="0" fillId="0" borderId="0"/>
    <xf numFmtId="42" fontId="15" fillId="0" borderId="0" applyFont="0" applyFill="0" applyBorder="0" applyAlignment="0" applyProtection="0">
      <alignment vertical="center"/>
    </xf>
    <xf numFmtId="0" fontId="16" fillId="0" borderId="0">
      <protection locked="0"/>
    </xf>
    <xf numFmtId="0" fontId="17" fillId="7" borderId="0" applyNumberFormat="0" applyBorder="0" applyAlignment="0" applyProtection="0">
      <alignment vertical="center"/>
    </xf>
    <xf numFmtId="0" fontId="18" fillId="8" borderId="6" applyNumberFormat="0" applyAlignment="0" applyProtection="0">
      <alignment vertical="center"/>
    </xf>
    <xf numFmtId="44" fontId="15" fillId="0" borderId="0" applyFont="0" applyFill="0" applyBorder="0" applyAlignment="0" applyProtection="0">
      <alignment vertical="center"/>
    </xf>
    <xf numFmtId="0" fontId="1" fillId="0" borderId="0">
      <alignment vertical="center"/>
    </xf>
    <xf numFmtId="41" fontId="15" fillId="0" borderId="0" applyFont="0" applyFill="0" applyBorder="0" applyAlignment="0" applyProtection="0">
      <alignment vertical="center"/>
    </xf>
    <xf numFmtId="0" fontId="17" fillId="9" borderId="0" applyNumberFormat="0" applyBorder="0" applyAlignment="0" applyProtection="0">
      <alignment vertical="center"/>
    </xf>
    <xf numFmtId="0" fontId="19" fillId="10" borderId="0" applyNumberFormat="0" applyBorder="0" applyAlignment="0" applyProtection="0">
      <alignment vertical="center"/>
    </xf>
    <xf numFmtId="43" fontId="0" fillId="0" borderId="0" applyFont="0" applyFill="0" applyBorder="0" applyAlignment="0" applyProtection="0">
      <alignment vertical="center"/>
    </xf>
    <xf numFmtId="0" fontId="20" fillId="11" borderId="0" applyNumberFormat="0" applyBorder="0" applyAlignment="0" applyProtection="0">
      <alignment vertical="center"/>
    </xf>
    <xf numFmtId="0" fontId="21" fillId="0" borderId="0" applyNumberFormat="0" applyFill="0" applyBorder="0" applyAlignment="0" applyProtection="0">
      <alignment vertical="center"/>
    </xf>
    <xf numFmtId="0" fontId="22" fillId="0" borderId="0">
      <protection locked="0"/>
    </xf>
    <xf numFmtId="9" fontId="15" fillId="0" borderId="0" applyFont="0" applyFill="0" applyBorder="0" applyAlignment="0" applyProtection="0">
      <alignment vertical="center"/>
    </xf>
    <xf numFmtId="0" fontId="23" fillId="0" borderId="0" applyNumberFormat="0" applyFill="0" applyBorder="0" applyAlignment="0" applyProtection="0">
      <alignment vertical="center"/>
    </xf>
    <xf numFmtId="0" fontId="15" fillId="12" borderId="7" applyNumberFormat="0" applyFont="0" applyAlignment="0" applyProtection="0">
      <alignment vertical="center"/>
    </xf>
    <xf numFmtId="0" fontId="8" fillId="0" borderId="0">
      <alignment vertical="center"/>
    </xf>
    <xf numFmtId="0" fontId="20" fillId="13" borderId="0" applyNumberFormat="0" applyBorder="0" applyAlignment="0" applyProtection="0">
      <alignment vertical="center"/>
    </xf>
    <xf numFmtId="0" fontId="24"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8" fillId="0" borderId="8" applyNumberFormat="0" applyFill="0" applyAlignment="0" applyProtection="0">
      <alignment vertical="center"/>
    </xf>
    <xf numFmtId="0" fontId="29" fillId="0" borderId="8" applyNumberFormat="0" applyFill="0" applyAlignment="0" applyProtection="0">
      <alignment vertical="center"/>
    </xf>
    <xf numFmtId="0" fontId="20" fillId="14" borderId="0" applyNumberFormat="0" applyBorder="0" applyAlignment="0" applyProtection="0">
      <alignment vertical="center"/>
    </xf>
    <xf numFmtId="0" fontId="24" fillId="0" borderId="9" applyNumberFormat="0" applyFill="0" applyAlignment="0" applyProtection="0">
      <alignment vertical="center"/>
    </xf>
    <xf numFmtId="0" fontId="20" fillId="15" borderId="0" applyNumberFormat="0" applyBorder="0" applyAlignment="0" applyProtection="0">
      <alignment vertical="center"/>
    </xf>
    <xf numFmtId="0" fontId="30" fillId="16" borderId="10" applyNumberFormat="0" applyAlignment="0" applyProtection="0">
      <alignment vertical="center"/>
    </xf>
    <xf numFmtId="0" fontId="31" fillId="16" borderId="6" applyNumberFormat="0" applyAlignment="0" applyProtection="0">
      <alignment vertical="center"/>
    </xf>
    <xf numFmtId="0" fontId="32" fillId="17" borderId="11" applyNumberFormat="0" applyAlignment="0" applyProtection="0">
      <alignment vertical="center"/>
    </xf>
    <xf numFmtId="0" fontId="17" fillId="18" borderId="0" applyNumberFormat="0" applyBorder="0" applyAlignment="0" applyProtection="0">
      <alignment vertical="center"/>
    </xf>
    <xf numFmtId="0" fontId="20" fillId="19" borderId="0" applyNumberFormat="0" applyBorder="0" applyAlignment="0" applyProtection="0">
      <alignment vertical="center"/>
    </xf>
    <xf numFmtId="0" fontId="33" fillId="0" borderId="12" applyNumberFormat="0" applyFill="0" applyAlignment="0" applyProtection="0">
      <alignment vertical="center"/>
    </xf>
    <xf numFmtId="0" fontId="34" fillId="0" borderId="13" applyNumberFormat="0" applyFill="0" applyAlignment="0" applyProtection="0">
      <alignment vertical="center"/>
    </xf>
    <xf numFmtId="0" fontId="35" fillId="20" borderId="0" applyNumberFormat="0" applyBorder="0" applyAlignment="0" applyProtection="0">
      <alignment vertical="center"/>
    </xf>
    <xf numFmtId="0" fontId="36" fillId="21" borderId="0" applyNumberFormat="0" applyBorder="0" applyAlignment="0" applyProtection="0">
      <alignment vertical="center"/>
    </xf>
    <xf numFmtId="0" fontId="17" fillId="22" borderId="0" applyNumberFormat="0" applyBorder="0" applyAlignment="0" applyProtection="0">
      <alignment vertical="center"/>
    </xf>
    <xf numFmtId="0" fontId="20" fillId="23" borderId="0" applyNumberFormat="0" applyBorder="0" applyAlignment="0" applyProtection="0">
      <alignment vertical="center"/>
    </xf>
    <xf numFmtId="0" fontId="17" fillId="24" borderId="0" applyNumberFormat="0" applyBorder="0" applyAlignment="0" applyProtection="0">
      <alignment vertical="center"/>
    </xf>
    <xf numFmtId="0" fontId="17" fillId="25" borderId="0" applyNumberFormat="0" applyBorder="0" applyAlignment="0" applyProtection="0">
      <alignment vertical="center"/>
    </xf>
    <xf numFmtId="0" fontId="17" fillId="26" borderId="0" applyNumberFormat="0" applyBorder="0" applyAlignment="0" applyProtection="0">
      <alignment vertical="center"/>
    </xf>
    <xf numFmtId="0" fontId="17" fillId="27" borderId="0" applyNumberFormat="0" applyBorder="0" applyAlignment="0" applyProtection="0">
      <alignment vertical="center"/>
    </xf>
    <xf numFmtId="0" fontId="20" fillId="28" borderId="0" applyNumberFormat="0" applyBorder="0" applyAlignment="0" applyProtection="0">
      <alignment vertical="center"/>
    </xf>
    <xf numFmtId="0" fontId="16" fillId="0" borderId="0">
      <protection locked="0"/>
    </xf>
    <xf numFmtId="0" fontId="20" fillId="29" borderId="0" applyNumberFormat="0" applyBorder="0" applyAlignment="0" applyProtection="0">
      <alignment vertical="center"/>
    </xf>
    <xf numFmtId="0" fontId="17" fillId="30" borderId="0" applyNumberFormat="0" applyBorder="0" applyAlignment="0" applyProtection="0">
      <alignment vertical="center"/>
    </xf>
    <xf numFmtId="0" fontId="17" fillId="31" borderId="0" applyNumberFormat="0" applyBorder="0" applyAlignment="0" applyProtection="0">
      <alignment vertical="center"/>
    </xf>
    <xf numFmtId="0" fontId="20" fillId="32" borderId="0" applyNumberFormat="0" applyBorder="0" applyAlignment="0" applyProtection="0">
      <alignment vertical="center"/>
    </xf>
    <xf numFmtId="0" fontId="16" fillId="0" borderId="0">
      <protection locked="0"/>
    </xf>
    <xf numFmtId="0" fontId="17" fillId="33" borderId="0" applyNumberFormat="0" applyBorder="0" applyAlignment="0" applyProtection="0">
      <alignment vertical="center"/>
    </xf>
    <xf numFmtId="0" fontId="20" fillId="34" borderId="0" applyNumberFormat="0" applyBorder="0" applyAlignment="0" applyProtection="0">
      <alignment vertical="center"/>
    </xf>
    <xf numFmtId="0" fontId="20" fillId="35" borderId="0" applyNumberFormat="0" applyBorder="0" applyAlignment="0" applyProtection="0">
      <alignment vertical="center"/>
    </xf>
    <xf numFmtId="0" fontId="0" fillId="0" borderId="0"/>
    <xf numFmtId="0" fontId="37" fillId="0" borderId="0">
      <protection locked="0"/>
    </xf>
    <xf numFmtId="0" fontId="17" fillId="36" borderId="0" applyNumberFormat="0" applyBorder="0" applyAlignment="0" applyProtection="0">
      <alignment vertical="center"/>
    </xf>
    <xf numFmtId="0" fontId="20" fillId="37" borderId="0" applyNumberFormat="0" applyBorder="0" applyAlignment="0" applyProtection="0">
      <alignment vertical="center"/>
    </xf>
    <xf numFmtId="0" fontId="0" fillId="0" borderId="0"/>
    <xf numFmtId="0" fontId="6" fillId="0" borderId="0">
      <alignment vertical="center"/>
    </xf>
    <xf numFmtId="43" fontId="0" fillId="0" borderId="0" applyFont="0" applyFill="0" applyBorder="0" applyAlignment="0" applyProtection="0">
      <alignment vertical="center"/>
    </xf>
    <xf numFmtId="0" fontId="0" fillId="0" borderId="0">
      <alignment vertical="center"/>
    </xf>
    <xf numFmtId="0" fontId="22" fillId="0" borderId="0">
      <protection locked="0"/>
    </xf>
    <xf numFmtId="0" fontId="37" fillId="0" borderId="0">
      <protection locked="0"/>
    </xf>
    <xf numFmtId="0" fontId="16" fillId="0" borderId="0">
      <protection locked="0"/>
    </xf>
    <xf numFmtId="43" fontId="0" fillId="0" borderId="0" applyFont="0" applyFill="0" applyBorder="0" applyAlignment="0" applyProtection="0">
      <alignment vertical="center"/>
    </xf>
    <xf numFmtId="43" fontId="0" fillId="0" borderId="0" applyFont="0" applyFill="0" applyBorder="0" applyAlignment="0" applyProtection="0">
      <alignment vertical="center"/>
    </xf>
  </cellStyleXfs>
  <cellXfs count="576">
    <xf numFmtId="0" fontId="0" fillId="0" borderId="0" xfId="0"/>
    <xf numFmtId="0" fontId="1" fillId="0" borderId="0" xfId="0" applyFont="1"/>
    <xf numFmtId="0" fontId="2" fillId="0" borderId="0" xfId="0" applyFont="1" applyFill="1"/>
    <xf numFmtId="0" fontId="2" fillId="0" borderId="0" xfId="0" applyFont="1"/>
    <xf numFmtId="177" fontId="2" fillId="0" borderId="0" xfId="0" applyNumberFormat="1" applyFont="1" applyFill="1"/>
    <xf numFmtId="4" fontId="0" fillId="0" borderId="0" xfId="0" applyNumberFormat="1"/>
    <xf numFmtId="177" fontId="1" fillId="0" borderId="0" xfId="0" applyNumberFormat="1" applyFont="1" applyFill="1"/>
    <xf numFmtId="43" fontId="0" fillId="0" borderId="0" xfId="10" applyFont="1" applyAlignment="1"/>
    <xf numFmtId="0" fontId="3" fillId="0" borderId="0" xfId="0" applyFont="1" applyFill="1" applyBorder="1" applyAlignment="1"/>
    <xf numFmtId="0" fontId="4" fillId="2" borderId="0" xfId="0" applyFont="1" applyFill="1" applyBorder="1" applyAlignment="1"/>
    <xf numFmtId="0" fontId="4" fillId="3" borderId="0" xfId="0" applyFont="1" applyFill="1" applyBorder="1" applyAlignment="1"/>
    <xf numFmtId="0" fontId="0" fillId="0" borderId="0" xfId="0" applyFill="1"/>
    <xf numFmtId="0" fontId="3" fillId="0" borderId="1" xfId="0" applyFont="1" applyFill="1" applyBorder="1" applyAlignment="1">
      <alignment horizontal="center" vertical="center"/>
    </xf>
    <xf numFmtId="0" fontId="3" fillId="0" borderId="1" xfId="57" applyFont="1" applyFill="1" applyBorder="1" applyAlignment="1">
      <alignment horizontal="center" vertical="center"/>
    </xf>
    <xf numFmtId="0" fontId="3" fillId="0" borderId="1" xfId="0" applyFont="1" applyFill="1" applyBorder="1" applyAlignment="1">
      <alignment horizontal="left" vertical="center"/>
    </xf>
    <xf numFmtId="0" fontId="3" fillId="0" borderId="1" xfId="49" applyFont="1" applyFill="1" applyBorder="1" applyAlignment="1" applyProtection="1">
      <alignment vertical="top"/>
    </xf>
    <xf numFmtId="0" fontId="4" fillId="2" borderId="1" xfId="53" applyFont="1" applyFill="1" applyBorder="1" applyAlignment="1" applyProtection="1">
      <alignment horizontal="center" vertical="center"/>
      <protection locked="0"/>
    </xf>
    <xf numFmtId="0" fontId="4" fillId="2" borderId="1" xfId="53" applyFont="1" applyFill="1" applyBorder="1" applyAlignment="1">
      <alignment horizontal="center" vertical="center"/>
    </xf>
    <xf numFmtId="0" fontId="4" fillId="2" borderId="1" xfId="53" applyFont="1" applyFill="1" applyBorder="1" applyAlignment="1" applyProtection="1">
      <alignment horizontal="left" vertical="center"/>
      <protection locked="0"/>
    </xf>
    <xf numFmtId="0" fontId="4" fillId="2" borderId="1" xfId="49" applyFont="1" applyFill="1" applyBorder="1" applyAlignment="1">
      <alignment vertical="center"/>
      <protection locked="0"/>
    </xf>
    <xf numFmtId="0" fontId="3" fillId="0" borderId="1" xfId="61" applyFont="1" applyFill="1" applyBorder="1" applyAlignment="1" applyProtection="1">
      <alignment horizontal="center" vertical="center"/>
    </xf>
    <xf numFmtId="14" fontId="3" fillId="0" borderId="1" xfId="61" applyNumberFormat="1" applyFont="1" applyFill="1" applyBorder="1" applyAlignment="1" applyProtection="1">
      <alignment horizontal="center" vertical="center"/>
    </xf>
    <xf numFmtId="177" fontId="3" fillId="0" borderId="1" xfId="10" applyNumberFormat="1" applyFont="1" applyFill="1" applyBorder="1" applyAlignment="1" applyProtection="1">
      <alignment horizontal="right" vertical="center"/>
    </xf>
    <xf numFmtId="0" fontId="4" fillId="2" borderId="1" xfId="0" applyFont="1" applyFill="1" applyBorder="1" applyAlignment="1">
      <alignment horizontal="left" vertical="center"/>
    </xf>
    <xf numFmtId="0" fontId="4" fillId="2" borderId="1" xfId="63" applyFont="1" applyFill="1" applyBorder="1" applyAlignment="1">
      <alignment horizontal="center" vertical="center"/>
      <protection locked="0"/>
    </xf>
    <xf numFmtId="49" fontId="4" fillId="2" borderId="1" xfId="53" applyNumberFormat="1" applyFont="1" applyFill="1" applyBorder="1" applyAlignment="1" applyProtection="1">
      <alignment horizontal="center" vertical="center"/>
      <protection locked="0"/>
    </xf>
    <xf numFmtId="0" fontId="4" fillId="2" borderId="1" xfId="2" applyFont="1" applyFill="1" applyBorder="1" applyAlignment="1" applyProtection="1">
      <alignment horizontal="center" vertical="center"/>
    </xf>
    <xf numFmtId="14" fontId="4" fillId="4" borderId="1" xfId="61" applyNumberFormat="1" applyFont="1" applyFill="1" applyBorder="1" applyAlignment="1" applyProtection="1">
      <alignment horizontal="center" vertical="center"/>
    </xf>
    <xf numFmtId="14" fontId="4" fillId="2" borderId="1" xfId="61" applyNumberFormat="1" applyFont="1" applyFill="1" applyBorder="1" applyAlignment="1" applyProtection="1">
      <alignment horizontal="center" vertical="center"/>
    </xf>
    <xf numFmtId="177" fontId="4" fillId="2" borderId="1" xfId="64" applyNumberFormat="1" applyFont="1" applyFill="1" applyBorder="1" applyAlignment="1" applyProtection="1">
      <alignment horizontal="center" vertical="center"/>
      <protection locked="0"/>
    </xf>
    <xf numFmtId="180" fontId="3" fillId="0" borderId="1" xfId="10" applyNumberFormat="1" applyFont="1" applyFill="1" applyBorder="1" applyAlignment="1" applyProtection="1">
      <alignment vertical="center"/>
    </xf>
    <xf numFmtId="180" fontId="3" fillId="0" borderId="1" xfId="10" applyNumberFormat="1" applyFont="1" applyFill="1" applyBorder="1" applyAlignment="1" applyProtection="1">
      <alignment horizontal="left" vertical="center"/>
    </xf>
    <xf numFmtId="180" fontId="3" fillId="0" borderId="2" xfId="10" applyNumberFormat="1" applyFont="1" applyFill="1" applyBorder="1" applyAlignment="1" applyProtection="1">
      <alignment horizontal="center" vertical="center"/>
    </xf>
    <xf numFmtId="180" fontId="3" fillId="0" borderId="1" xfId="10" applyNumberFormat="1" applyFont="1" applyFill="1" applyBorder="1" applyAlignment="1" applyProtection="1">
      <alignment horizontal="center" vertical="center"/>
    </xf>
    <xf numFmtId="0" fontId="3" fillId="0" borderId="1" xfId="49" applyFont="1" applyFill="1" applyBorder="1" applyAlignment="1" applyProtection="1">
      <alignment horizontal="center" vertical="center"/>
    </xf>
    <xf numFmtId="177" fontId="4" fillId="2" borderId="1" xfId="64" applyNumberFormat="1" applyFont="1" applyFill="1" applyBorder="1" applyAlignment="1" applyProtection="1">
      <alignment horizontal="right" vertical="center"/>
    </xf>
    <xf numFmtId="177" fontId="4" fillId="2" borderId="1" xfId="64" applyNumberFormat="1" applyFont="1" applyFill="1" applyBorder="1" applyAlignment="1" applyProtection="1">
      <alignment horizontal="right" vertical="center"/>
      <protection locked="0"/>
    </xf>
    <xf numFmtId="0" fontId="4" fillId="2" borderId="1" xfId="63" applyFont="1" applyFill="1" applyBorder="1" applyAlignment="1">
      <alignment horizontal="right" vertical="center"/>
      <protection locked="0"/>
    </xf>
    <xf numFmtId="14" fontId="4" fillId="2" borderId="1" xfId="61" applyNumberFormat="1" applyFont="1" applyFill="1" applyBorder="1" applyAlignment="1" applyProtection="1">
      <alignment horizontal="left" vertical="center"/>
    </xf>
    <xf numFmtId="0" fontId="4" fillId="2" borderId="1" xfId="53" applyFont="1" applyFill="1" applyBorder="1" applyAlignment="1">
      <alignment vertical="center"/>
    </xf>
    <xf numFmtId="43" fontId="4" fillId="2" borderId="1" xfId="10" applyFont="1" applyFill="1" applyBorder="1" applyAlignment="1" applyProtection="1">
      <alignment horizontal="center" vertical="center"/>
      <protection locked="0"/>
    </xf>
    <xf numFmtId="43" fontId="4" fillId="2" borderId="1" xfId="64" applyFont="1" applyFill="1" applyBorder="1" applyAlignment="1" applyProtection="1">
      <alignment horizontal="center" vertical="center"/>
      <protection locked="0"/>
    </xf>
    <xf numFmtId="0" fontId="4" fillId="3" borderId="1" xfId="53" applyFont="1" applyFill="1" applyBorder="1" applyAlignment="1" applyProtection="1">
      <alignment horizontal="center" vertical="center"/>
      <protection locked="0"/>
    </xf>
    <xf numFmtId="0" fontId="4" fillId="3" borderId="1" xfId="53" applyFont="1" applyFill="1" applyBorder="1" applyAlignment="1">
      <alignment horizontal="center" vertical="center"/>
    </xf>
    <xf numFmtId="0" fontId="4" fillId="3" borderId="1" xfId="53" applyFont="1" applyFill="1" applyBorder="1" applyAlignment="1" applyProtection="1">
      <alignment horizontal="left" vertical="center"/>
      <protection locked="0"/>
    </xf>
    <xf numFmtId="0" fontId="4" fillId="3" borderId="1" xfId="49" applyFont="1" applyFill="1" applyBorder="1" applyAlignment="1">
      <alignment vertical="center"/>
      <protection locked="0"/>
    </xf>
    <xf numFmtId="0" fontId="3" fillId="4" borderId="1" xfId="49" applyFont="1" applyFill="1" applyBorder="1" applyAlignment="1" applyProtection="1">
      <alignment vertical="top"/>
    </xf>
    <xf numFmtId="0" fontId="4" fillId="3" borderId="1" xfId="0" applyFont="1" applyFill="1" applyBorder="1" applyAlignment="1">
      <alignment horizontal="left" vertical="center"/>
    </xf>
    <xf numFmtId="0" fontId="4" fillId="3" borderId="1" xfId="63" applyFont="1" applyFill="1" applyBorder="1" applyAlignment="1">
      <alignment horizontal="center" vertical="center"/>
      <protection locked="0"/>
    </xf>
    <xf numFmtId="49" fontId="4" fillId="3" borderId="1" xfId="53" applyNumberFormat="1" applyFont="1" applyFill="1" applyBorder="1" applyAlignment="1" applyProtection="1">
      <alignment horizontal="center" vertical="center"/>
      <protection locked="0"/>
    </xf>
    <xf numFmtId="0" fontId="4" fillId="3" borderId="1" xfId="2" applyFont="1" applyFill="1" applyBorder="1" applyAlignment="1" applyProtection="1">
      <alignment horizontal="center" vertical="center"/>
    </xf>
    <xf numFmtId="14" fontId="4" fillId="3" borderId="1" xfId="61" applyNumberFormat="1" applyFont="1" applyFill="1" applyBorder="1" applyAlignment="1" applyProtection="1">
      <alignment horizontal="center" vertical="center"/>
    </xf>
    <xf numFmtId="177" fontId="4" fillId="3" borderId="1" xfId="64" applyNumberFormat="1" applyFont="1" applyFill="1" applyBorder="1" applyAlignment="1" applyProtection="1">
      <alignment horizontal="center" vertical="center"/>
      <protection locked="0"/>
    </xf>
    <xf numFmtId="177" fontId="4" fillId="3" borderId="1" xfId="64" applyNumberFormat="1" applyFont="1" applyFill="1" applyBorder="1" applyAlignment="1" applyProtection="1">
      <alignment horizontal="right" vertical="center"/>
    </xf>
    <xf numFmtId="177" fontId="4" fillId="3" borderId="1" xfId="64" applyNumberFormat="1" applyFont="1" applyFill="1" applyBorder="1" applyAlignment="1" applyProtection="1">
      <alignment horizontal="right" vertical="center"/>
      <protection locked="0"/>
    </xf>
    <xf numFmtId="0" fontId="4" fillId="3" borderId="1" xfId="63" applyFont="1" applyFill="1" applyBorder="1" applyAlignment="1">
      <alignment horizontal="right" vertical="center"/>
      <protection locked="0"/>
    </xf>
    <xf numFmtId="14" fontId="4" fillId="3" borderId="1" xfId="61" applyNumberFormat="1" applyFont="1" applyFill="1" applyBorder="1" applyAlignment="1" applyProtection="1">
      <alignment horizontal="left" vertical="center"/>
    </xf>
    <xf numFmtId="0" fontId="4" fillId="3" borderId="1" xfId="53" applyFont="1" applyFill="1" applyBorder="1" applyAlignment="1">
      <alignment vertical="center"/>
    </xf>
    <xf numFmtId="43" fontId="4" fillId="3" borderId="1" xfId="10" applyFont="1" applyFill="1" applyBorder="1" applyAlignment="1" applyProtection="1">
      <alignment horizontal="center" vertical="center"/>
      <protection locked="0"/>
    </xf>
    <xf numFmtId="43" fontId="4" fillId="3" borderId="1" xfId="64" applyFont="1" applyFill="1" applyBorder="1" applyAlignment="1" applyProtection="1">
      <alignment horizontal="center" vertical="center"/>
      <protection locked="0"/>
    </xf>
    <xf numFmtId="0" fontId="4" fillId="3" borderId="1" xfId="0" applyFont="1" applyFill="1" applyBorder="1" applyAlignment="1" applyProtection="1">
      <alignment horizontal="center" vertical="center"/>
      <protection locked="0"/>
    </xf>
    <xf numFmtId="0" fontId="4" fillId="3" borderId="1" xfId="57" applyFont="1" applyFill="1" applyBorder="1" applyAlignment="1" applyProtection="1">
      <alignment horizontal="center" vertical="center"/>
      <protection locked="0"/>
    </xf>
    <xf numFmtId="0" fontId="4" fillId="3" borderId="1" xfId="0" applyFont="1" applyFill="1" applyBorder="1" applyAlignment="1">
      <alignment horizontal="center" vertical="center"/>
    </xf>
    <xf numFmtId="0" fontId="4" fillId="3" borderId="1" xfId="0" applyFont="1" applyFill="1" applyBorder="1" applyAlignment="1" applyProtection="1">
      <alignment horizontal="left" vertical="center"/>
      <protection locked="0"/>
    </xf>
    <xf numFmtId="14" fontId="0" fillId="0" borderId="0" xfId="0" applyNumberFormat="1"/>
    <xf numFmtId="0" fontId="4" fillId="3" borderId="1" xfId="49" applyFont="1" applyFill="1" applyBorder="1" applyAlignment="1" applyProtection="1">
      <alignment horizontal="center" vertical="center"/>
    </xf>
    <xf numFmtId="0" fontId="4" fillId="3" borderId="1" xfId="49" applyFont="1" applyFill="1" applyBorder="1" applyAlignment="1">
      <alignment horizontal="center" vertical="center"/>
      <protection locked="0"/>
    </xf>
    <xf numFmtId="177" fontId="4" fillId="3" borderId="1" xfId="63" applyNumberFormat="1" applyFont="1" applyFill="1" applyBorder="1" applyAlignment="1">
      <alignment horizontal="right" vertical="center"/>
      <protection locked="0"/>
    </xf>
    <xf numFmtId="177" fontId="4" fillId="3" borderId="1" xfId="10" applyNumberFormat="1" applyFont="1" applyFill="1" applyBorder="1" applyAlignment="1" applyProtection="1">
      <alignment horizontal="right" vertical="center"/>
    </xf>
    <xf numFmtId="177" fontId="4" fillId="3" borderId="1" xfId="10" applyNumberFormat="1" applyFont="1" applyFill="1" applyBorder="1" applyAlignment="1" applyProtection="1">
      <alignment horizontal="right" vertical="center"/>
      <protection locked="0"/>
    </xf>
    <xf numFmtId="0" fontId="4" fillId="3" borderId="1" xfId="63" applyFont="1" applyFill="1" applyBorder="1" applyAlignment="1">
      <alignment vertical="center"/>
      <protection locked="0"/>
    </xf>
    <xf numFmtId="40" fontId="5" fillId="3" borderId="1" xfId="61" applyNumberFormat="1" applyFont="1" applyFill="1" applyBorder="1" applyAlignment="1" applyProtection="1">
      <alignment horizontal="left" vertical="center"/>
    </xf>
    <xf numFmtId="40" fontId="4" fillId="3" borderId="1" xfId="61" applyNumberFormat="1" applyFont="1" applyFill="1" applyBorder="1" applyAlignment="1" applyProtection="1">
      <alignment horizontal="left" vertical="center"/>
    </xf>
    <xf numFmtId="14" fontId="4" fillId="3" borderId="1" xfId="0" applyNumberFormat="1" applyFont="1" applyFill="1" applyBorder="1" applyAlignment="1">
      <alignment vertical="center"/>
    </xf>
    <xf numFmtId="0" fontId="6" fillId="0" borderId="0" xfId="58">
      <alignment vertical="center"/>
    </xf>
    <xf numFmtId="0" fontId="6" fillId="0" borderId="0" xfId="58" applyFill="1">
      <alignment vertical="center"/>
    </xf>
    <xf numFmtId="0" fontId="7" fillId="0" borderId="3" xfId="58" applyFont="1" applyFill="1" applyBorder="1" applyAlignment="1">
      <alignment horizontal="center"/>
    </xf>
    <xf numFmtId="0" fontId="8" fillId="0" borderId="0" xfId="17" applyFont="1">
      <alignment vertical="center"/>
    </xf>
    <xf numFmtId="0" fontId="8" fillId="0" borderId="0" xfId="17" applyFont="1" applyFill="1">
      <alignment vertical="center"/>
    </xf>
    <xf numFmtId="177" fontId="4" fillId="2" borderId="0" xfId="0" applyNumberFormat="1" applyFont="1" applyFill="1" applyBorder="1" applyAlignment="1"/>
    <xf numFmtId="0" fontId="4" fillId="2" borderId="0" xfId="0" applyFont="1" applyFill="1" applyBorder="1"/>
    <xf numFmtId="177" fontId="4" fillId="3" borderId="0" xfId="0" applyNumberFormat="1" applyFont="1" applyFill="1" applyBorder="1" applyAlignment="1"/>
    <xf numFmtId="177" fontId="5" fillId="2" borderId="0" xfId="0" applyNumberFormat="1" applyFont="1" applyFill="1" applyBorder="1" applyAlignment="1"/>
    <xf numFmtId="0" fontId="4" fillId="2" borderId="0" xfId="0" applyFont="1" applyFill="1" applyBorder="1" applyAlignment="1">
      <alignment horizontal="left"/>
    </xf>
    <xf numFmtId="0" fontId="5" fillId="2" borderId="0" xfId="0" applyFont="1" applyFill="1" applyBorder="1" applyAlignment="1"/>
    <xf numFmtId="0" fontId="9" fillId="3" borderId="0" xfId="0" applyFont="1" applyFill="1" applyBorder="1" applyAlignment="1"/>
    <xf numFmtId="0" fontId="9" fillId="2" borderId="0" xfId="0" applyFont="1" applyFill="1" applyBorder="1" applyAlignment="1"/>
    <xf numFmtId="0" fontId="9" fillId="2" borderId="0" xfId="0" applyFont="1" applyFill="1" applyBorder="1"/>
    <xf numFmtId="0" fontId="4" fillId="0" borderId="0" xfId="0" applyFont="1" applyFill="1" applyBorder="1" applyAlignment="1">
      <alignment horizontal="center"/>
    </xf>
    <xf numFmtId="0" fontId="4" fillId="0" borderId="0" xfId="0" applyFont="1" applyFill="1" applyBorder="1" applyAlignment="1">
      <alignment horizontal="left"/>
    </xf>
    <xf numFmtId="0" fontId="4" fillId="0" borderId="0" xfId="0" applyFont="1" applyFill="1" applyBorder="1" applyAlignment="1">
      <alignment vertical="top"/>
    </xf>
    <xf numFmtId="177" fontId="4" fillId="0" borderId="0" xfId="10" applyNumberFormat="1" applyFont="1" applyFill="1" applyBorder="1" applyAlignment="1">
      <alignment horizontal="right"/>
    </xf>
    <xf numFmtId="0" fontId="4" fillId="0" borderId="0" xfId="0" applyFont="1" applyFill="1" applyBorder="1" applyAlignment="1"/>
    <xf numFmtId="14" fontId="4" fillId="0" borderId="0" xfId="0" applyNumberFormat="1" applyFont="1" applyFill="1" applyBorder="1" applyAlignment="1"/>
    <xf numFmtId="0" fontId="4" fillId="2" borderId="1" xfId="0" applyFont="1" applyFill="1" applyBorder="1" applyAlignment="1">
      <alignment horizontal="center" vertical="center"/>
    </xf>
    <xf numFmtId="0" fontId="4" fillId="2" borderId="1" xfId="58" applyFont="1" applyFill="1" applyBorder="1" applyAlignment="1">
      <alignment horizontal="center" vertical="center"/>
    </xf>
    <xf numFmtId="0" fontId="4" fillId="2" borderId="1" xfId="0" applyFont="1" applyFill="1" applyBorder="1" applyAlignment="1" applyProtection="1">
      <alignment horizontal="center" vertical="center"/>
      <protection locked="0"/>
    </xf>
    <xf numFmtId="0" fontId="4" fillId="2" borderId="1" xfId="0" applyFont="1" applyFill="1" applyBorder="1" applyAlignment="1">
      <alignment vertical="center"/>
    </xf>
    <xf numFmtId="0" fontId="4" fillId="2" borderId="1" xfId="57" applyFont="1" applyFill="1" applyBorder="1" applyAlignment="1" applyProtection="1">
      <alignment horizontal="center" vertical="center"/>
      <protection locked="0"/>
    </xf>
    <xf numFmtId="0" fontId="4" fillId="2" borderId="1" xfId="49" applyFont="1" applyFill="1" applyBorder="1" applyAlignment="1">
      <alignment horizontal="center" vertical="center"/>
      <protection locked="0"/>
    </xf>
    <xf numFmtId="0" fontId="4" fillId="2" borderId="1" xfId="49" applyFont="1" applyFill="1" applyBorder="1" applyAlignment="1" applyProtection="1">
      <alignment vertical="center"/>
    </xf>
    <xf numFmtId="0" fontId="4" fillId="3" borderId="1" xfId="58" applyFont="1" applyFill="1" applyBorder="1" applyAlignment="1">
      <alignment horizontal="center" vertical="center"/>
    </xf>
    <xf numFmtId="0" fontId="4" fillId="3" borderId="1" xfId="0" applyFont="1" applyFill="1" applyBorder="1" applyAlignment="1">
      <alignment vertical="center"/>
    </xf>
    <xf numFmtId="0" fontId="4" fillId="3" borderId="1" xfId="58" applyFont="1" applyFill="1" applyBorder="1" applyAlignment="1" applyProtection="1">
      <alignment horizontal="center" vertical="center"/>
      <protection locked="0"/>
    </xf>
    <xf numFmtId="0" fontId="4" fillId="2" borderId="1" xfId="58" applyFont="1" applyFill="1" applyBorder="1" applyAlignment="1" applyProtection="1">
      <alignment horizontal="center" vertical="center"/>
      <protection locked="0"/>
    </xf>
    <xf numFmtId="0" fontId="4" fillId="2" borderId="1" xfId="0" applyFont="1" applyFill="1" applyBorder="1" applyAlignment="1" applyProtection="1">
      <alignment horizontal="left" vertical="center"/>
      <protection locked="0"/>
    </xf>
    <xf numFmtId="14" fontId="4" fillId="2" borderId="1" xfId="0" applyNumberFormat="1" applyFont="1" applyFill="1" applyBorder="1" applyAlignment="1">
      <alignment horizontal="center" vertical="center"/>
    </xf>
    <xf numFmtId="177" fontId="4" fillId="2" borderId="1" xfId="10" applyNumberFormat="1" applyFont="1" applyFill="1" applyBorder="1" applyAlignment="1">
      <alignment horizontal="right" vertical="center"/>
    </xf>
    <xf numFmtId="40" fontId="4" fillId="2" borderId="1" xfId="61" applyNumberFormat="1" applyFont="1" applyFill="1" applyBorder="1" applyAlignment="1" applyProtection="1">
      <alignment horizontal="center" vertical="center"/>
    </xf>
    <xf numFmtId="0" fontId="4" fillId="2" borderId="1" xfId="61" applyFont="1" applyFill="1" applyBorder="1" applyAlignment="1" applyProtection="1">
      <alignment horizontal="center" vertical="center"/>
    </xf>
    <xf numFmtId="177" fontId="4" fillId="2" borderId="1" xfId="61" applyNumberFormat="1" applyFont="1" applyFill="1" applyBorder="1" applyAlignment="1" applyProtection="1">
      <alignment horizontal="right" vertical="center"/>
    </xf>
    <xf numFmtId="14" fontId="4" fillId="3" borderId="1" xfId="0" applyNumberFormat="1" applyFont="1" applyFill="1" applyBorder="1" applyAlignment="1">
      <alignment horizontal="center" vertical="center"/>
    </xf>
    <xf numFmtId="177" fontId="4" fillId="3" borderId="1" xfId="10" applyNumberFormat="1" applyFont="1" applyFill="1" applyBorder="1" applyAlignment="1">
      <alignment horizontal="right" vertical="center"/>
    </xf>
    <xf numFmtId="49" fontId="4" fillId="3" borderId="1" xfId="0" applyNumberFormat="1" applyFont="1" applyFill="1" applyBorder="1" applyAlignment="1" applyProtection="1">
      <alignment horizontal="center" vertical="center"/>
      <protection locked="0"/>
    </xf>
    <xf numFmtId="49" fontId="4" fillId="2" borderId="1" xfId="0" applyNumberFormat="1" applyFont="1" applyFill="1" applyBorder="1" applyAlignment="1" applyProtection="1">
      <alignment horizontal="center" vertical="center"/>
      <protection locked="0"/>
    </xf>
    <xf numFmtId="177" fontId="4" fillId="2" borderId="1" xfId="65" applyNumberFormat="1" applyFont="1" applyFill="1" applyBorder="1" applyAlignment="1">
      <alignment horizontal="right" vertical="center"/>
    </xf>
    <xf numFmtId="177" fontId="4" fillId="2" borderId="1" xfId="0" applyNumberFormat="1" applyFont="1" applyFill="1" applyBorder="1" applyAlignment="1">
      <alignment horizontal="right" vertical="center"/>
    </xf>
    <xf numFmtId="0" fontId="4" fillId="2" borderId="1" xfId="63" applyFont="1" applyFill="1" applyBorder="1" applyAlignment="1">
      <alignment vertical="center"/>
      <protection locked="0"/>
    </xf>
    <xf numFmtId="14" fontId="4" fillId="2" borderId="1" xfId="0" applyNumberFormat="1" applyFont="1" applyFill="1" applyBorder="1" applyAlignment="1">
      <alignment vertical="center"/>
    </xf>
    <xf numFmtId="177" fontId="4" fillId="2" borderId="1" xfId="10" applyNumberFormat="1" applyFont="1" applyFill="1" applyBorder="1" applyAlignment="1" applyProtection="1">
      <alignment horizontal="right" vertical="center"/>
      <protection locked="0"/>
    </xf>
    <xf numFmtId="177" fontId="4" fillId="2" borderId="1" xfId="10" applyNumberFormat="1" applyFont="1" applyFill="1" applyBorder="1" applyAlignment="1" applyProtection="1">
      <alignment horizontal="right" vertical="center"/>
    </xf>
    <xf numFmtId="40" fontId="4" fillId="2" borderId="1" xfId="61" applyNumberFormat="1" applyFont="1" applyFill="1" applyBorder="1" applyAlignment="1" applyProtection="1">
      <alignment horizontal="left" vertical="center"/>
    </xf>
    <xf numFmtId="181" fontId="4" fillId="2" borderId="1" xfId="49" applyNumberFormat="1" applyFont="1" applyFill="1" applyBorder="1" applyAlignment="1">
      <alignment horizontal="center" vertical="center"/>
      <protection locked="0"/>
    </xf>
    <xf numFmtId="0" fontId="4" fillId="2" borderId="1" xfId="0" applyFont="1" applyFill="1" applyBorder="1" applyAlignment="1"/>
    <xf numFmtId="177" fontId="4" fillId="3" borderId="1" xfId="0" applyNumberFormat="1" applyFont="1" applyFill="1" applyBorder="1" applyAlignment="1">
      <alignment horizontal="right" vertical="center"/>
    </xf>
    <xf numFmtId="0" fontId="4" fillId="3" borderId="1" xfId="0" applyNumberFormat="1" applyFont="1" applyFill="1" applyBorder="1" applyAlignment="1">
      <alignment horizontal="left" vertical="center"/>
    </xf>
    <xf numFmtId="43" fontId="4" fillId="3" borderId="1" xfId="10" applyFont="1" applyFill="1" applyBorder="1" applyAlignment="1">
      <alignment vertical="center"/>
    </xf>
    <xf numFmtId="0" fontId="4" fillId="2" borderId="1" xfId="0" applyNumberFormat="1" applyFont="1" applyFill="1" applyBorder="1" applyAlignment="1">
      <alignment horizontal="left" vertical="center"/>
    </xf>
    <xf numFmtId="43" fontId="4" fillId="2" borderId="1" xfId="10" applyFont="1" applyFill="1" applyBorder="1" applyAlignment="1">
      <alignment vertical="center"/>
    </xf>
    <xf numFmtId="0" fontId="4" fillId="2" borderId="1" xfId="57" applyFont="1" applyFill="1" applyBorder="1" applyAlignment="1">
      <alignment horizontal="center" vertical="center"/>
    </xf>
    <xf numFmtId="0" fontId="4" fillId="2" borderId="1" xfId="57" applyFont="1" applyFill="1" applyBorder="1" applyAlignment="1">
      <alignment horizontal="left" vertical="center"/>
    </xf>
    <xf numFmtId="177" fontId="4" fillId="2" borderId="1" xfId="59" applyNumberFormat="1" applyFont="1" applyFill="1" applyBorder="1" applyAlignment="1" applyProtection="1">
      <alignment horizontal="right" vertical="center"/>
    </xf>
    <xf numFmtId="40" fontId="4" fillId="2" borderId="1" xfId="61" applyNumberFormat="1" applyFont="1" applyFill="1" applyBorder="1" applyAlignment="1" applyProtection="1">
      <alignment vertical="center"/>
    </xf>
    <xf numFmtId="0" fontId="4" fillId="2" borderId="1" xfId="57" applyFont="1" applyFill="1" applyBorder="1" applyAlignment="1"/>
    <xf numFmtId="14" fontId="4" fillId="2" borderId="1" xfId="61" applyNumberFormat="1" applyFont="1" applyFill="1" applyBorder="1" applyAlignment="1" applyProtection="1">
      <alignment vertical="center"/>
    </xf>
    <xf numFmtId="0" fontId="4" fillId="3" borderId="1" xfId="57" applyFont="1" applyFill="1" applyBorder="1" applyAlignment="1">
      <alignment horizontal="center" vertical="center"/>
    </xf>
    <xf numFmtId="0" fontId="4" fillId="3" borderId="1" xfId="57" applyFont="1" applyFill="1" applyBorder="1" applyAlignment="1">
      <alignment horizontal="left" vertical="center"/>
    </xf>
    <xf numFmtId="0" fontId="4" fillId="3" borderId="1" xfId="49" applyFont="1" applyFill="1" applyBorder="1" applyAlignment="1" applyProtection="1">
      <alignment vertical="center"/>
    </xf>
    <xf numFmtId="0" fontId="4" fillId="3" borderId="1" xfId="61" applyFont="1" applyFill="1" applyBorder="1" applyAlignment="1" applyProtection="1">
      <alignment horizontal="center" vertical="center"/>
    </xf>
    <xf numFmtId="40" fontId="4" fillId="3" borderId="1" xfId="61" applyNumberFormat="1" applyFont="1" applyFill="1" applyBorder="1" applyAlignment="1" applyProtection="1">
      <alignment horizontal="center" vertical="center"/>
    </xf>
    <xf numFmtId="177" fontId="4" fillId="3" borderId="1" xfId="59" applyNumberFormat="1" applyFont="1" applyFill="1" applyBorder="1" applyAlignment="1" applyProtection="1">
      <alignment horizontal="right" vertical="center"/>
    </xf>
    <xf numFmtId="177" fontId="4" fillId="3" borderId="1" xfId="61" applyNumberFormat="1" applyFont="1" applyFill="1" applyBorder="1" applyAlignment="1" applyProtection="1">
      <alignment horizontal="right" vertical="center"/>
    </xf>
    <xf numFmtId="40" fontId="4" fillId="3" borderId="1" xfId="61" applyNumberFormat="1" applyFont="1" applyFill="1" applyBorder="1" applyAlignment="1" applyProtection="1">
      <alignment vertical="center"/>
    </xf>
    <xf numFmtId="0" fontId="4" fillId="3" borderId="1" xfId="57" applyFont="1" applyFill="1" applyBorder="1" applyAlignment="1"/>
    <xf numFmtId="177" fontId="4" fillId="3" borderId="1" xfId="59" applyNumberFormat="1" applyFont="1" applyFill="1" applyBorder="1" applyAlignment="1" applyProtection="1">
      <alignment horizontal="right" vertical="center"/>
      <protection locked="0"/>
    </xf>
    <xf numFmtId="182" fontId="4" fillId="3" borderId="1" xfId="49" applyNumberFormat="1" applyFont="1" applyFill="1" applyBorder="1" applyAlignment="1">
      <alignment vertical="center"/>
      <protection locked="0"/>
    </xf>
    <xf numFmtId="181" fontId="4" fillId="3" borderId="1" xfId="49" applyNumberFormat="1" applyFont="1" applyFill="1" applyBorder="1" applyAlignment="1">
      <alignment horizontal="center" vertical="center"/>
      <protection locked="0"/>
    </xf>
    <xf numFmtId="0" fontId="4" fillId="2" borderId="1" xfId="57" applyFont="1" applyFill="1" applyBorder="1" applyAlignment="1" applyProtection="1">
      <alignment horizontal="left" vertical="center"/>
      <protection locked="0"/>
    </xf>
    <xf numFmtId="49" fontId="4" fillId="2" borderId="1" xfId="57" applyNumberFormat="1" applyFont="1" applyFill="1" applyBorder="1" applyAlignment="1" applyProtection="1">
      <alignment horizontal="center" vertical="center"/>
      <protection locked="0"/>
    </xf>
    <xf numFmtId="0" fontId="4" fillId="2" borderId="1" xfId="61" applyFont="1" applyFill="1" applyBorder="1" applyAlignment="1" applyProtection="1">
      <alignment horizontal="left" vertical="center"/>
    </xf>
    <xf numFmtId="0" fontId="10" fillId="2" borderId="1" xfId="61" applyFont="1" applyFill="1" applyBorder="1" applyAlignment="1" applyProtection="1">
      <alignment horizontal="left" vertical="center"/>
    </xf>
    <xf numFmtId="0" fontId="4" fillId="2" borderId="1" xfId="61" applyFont="1" applyFill="1" applyBorder="1" applyAlignment="1">
      <alignment horizontal="center" vertical="center"/>
      <protection locked="0"/>
    </xf>
    <xf numFmtId="0" fontId="4" fillId="2" borderId="1" xfId="49" applyFont="1" applyFill="1" applyBorder="1" applyAlignment="1" applyProtection="1">
      <alignment horizontal="center" vertical="center"/>
    </xf>
    <xf numFmtId="49" fontId="4" fillId="2" borderId="1" xfId="49" applyNumberFormat="1" applyFont="1" applyFill="1" applyBorder="1" applyAlignment="1">
      <alignment horizontal="center" vertical="center"/>
      <protection locked="0"/>
    </xf>
    <xf numFmtId="14" fontId="4" fillId="2" borderId="1" xfId="63" applyNumberFormat="1" applyFont="1" applyFill="1" applyBorder="1" applyAlignment="1">
      <alignment horizontal="center" vertical="center"/>
      <protection locked="0"/>
    </xf>
    <xf numFmtId="0" fontId="4" fillId="2" borderId="1" xfId="2" applyFont="1" applyFill="1" applyBorder="1" applyAlignment="1">
      <alignment horizontal="center" vertical="center"/>
      <protection locked="0"/>
    </xf>
    <xf numFmtId="177" fontId="4" fillId="2" borderId="1" xfId="59" applyNumberFormat="1" applyFont="1" applyFill="1" applyBorder="1" applyAlignment="1">
      <alignment horizontal="right" vertical="center"/>
    </xf>
    <xf numFmtId="14" fontId="4" fillId="2" borderId="1" xfId="63" applyNumberFormat="1" applyFont="1" applyFill="1" applyBorder="1" applyAlignment="1">
      <alignment horizontal="left" vertical="center"/>
      <protection locked="0"/>
    </xf>
    <xf numFmtId="0" fontId="4" fillId="2" borderId="1" xfId="54" applyFont="1" applyFill="1" applyBorder="1" applyAlignment="1">
      <alignment horizontal="left" vertical="center"/>
      <protection locked="0"/>
    </xf>
    <xf numFmtId="14" fontId="4" fillId="2" borderId="1" xfId="63" applyNumberFormat="1" applyFont="1" applyFill="1" applyBorder="1" applyAlignment="1">
      <alignment horizontal="left" vertical="center" wrapText="1"/>
      <protection locked="0"/>
    </xf>
    <xf numFmtId="0" fontId="4" fillId="3" borderId="1" xfId="57" applyFont="1" applyFill="1" applyBorder="1" applyAlignment="1" applyProtection="1">
      <alignment horizontal="left" vertical="center"/>
      <protection locked="0"/>
    </xf>
    <xf numFmtId="0" fontId="4" fillId="3" borderId="1" xfId="61" applyFont="1" applyFill="1" applyBorder="1" applyAlignment="1">
      <alignment horizontal="center" vertical="center"/>
      <protection locked="0"/>
    </xf>
    <xf numFmtId="49" fontId="4" fillId="3" borderId="1" xfId="61" applyNumberFormat="1" applyFont="1" applyFill="1" applyBorder="1" applyAlignment="1">
      <alignment horizontal="center" vertical="center"/>
      <protection locked="0"/>
    </xf>
    <xf numFmtId="14" fontId="4" fillId="3" borderId="1" xfId="61" applyNumberFormat="1" applyFont="1" applyFill="1" applyBorder="1" applyAlignment="1">
      <alignment horizontal="center" vertical="center"/>
      <protection locked="0"/>
    </xf>
    <xf numFmtId="49" fontId="4" fillId="3" borderId="1" xfId="49" applyNumberFormat="1" applyFont="1" applyFill="1" applyBorder="1" applyAlignment="1">
      <alignment horizontal="center" vertical="center"/>
      <protection locked="0"/>
    </xf>
    <xf numFmtId="14" fontId="4" fillId="3" borderId="1" xfId="63" applyNumberFormat="1" applyFont="1" applyFill="1" applyBorder="1" applyAlignment="1">
      <alignment horizontal="center" vertical="center"/>
      <protection locked="0"/>
    </xf>
    <xf numFmtId="0" fontId="4" fillId="3" borderId="1" xfId="54" applyFont="1" applyFill="1" applyBorder="1" applyAlignment="1">
      <alignment horizontal="left" vertical="center"/>
      <protection locked="0"/>
    </xf>
    <xf numFmtId="0" fontId="4" fillId="3" borderId="1" xfId="54" applyFont="1" applyFill="1" applyBorder="1" applyAlignment="1">
      <alignment vertical="center"/>
      <protection locked="0"/>
    </xf>
    <xf numFmtId="0" fontId="4" fillId="3" borderId="1" xfId="61" applyFont="1" applyFill="1" applyBorder="1" applyAlignment="1">
      <alignment horizontal="left" vertical="center"/>
      <protection locked="0"/>
    </xf>
    <xf numFmtId="0" fontId="4" fillId="3" borderId="1" xfId="61" applyFont="1" applyFill="1" applyBorder="1" applyAlignment="1">
      <alignment vertical="center"/>
      <protection locked="0"/>
    </xf>
    <xf numFmtId="14" fontId="4" fillId="3" borderId="1" xfId="63" applyNumberFormat="1" applyFont="1" applyFill="1" applyBorder="1" applyAlignment="1">
      <alignment horizontal="left" vertical="center"/>
      <protection locked="0"/>
    </xf>
    <xf numFmtId="177" fontId="4" fillId="3" borderId="1" xfId="59" applyNumberFormat="1" applyFont="1" applyFill="1" applyBorder="1" applyAlignment="1">
      <alignment horizontal="right" vertical="center"/>
    </xf>
    <xf numFmtId="0" fontId="4" fillId="3" borderId="1" xfId="2" applyFont="1" applyFill="1" applyBorder="1" applyAlignment="1">
      <alignment horizontal="center" vertical="center"/>
      <protection locked="0"/>
    </xf>
    <xf numFmtId="177" fontId="4" fillId="2" borderId="1" xfId="59" applyNumberFormat="1" applyFont="1" applyFill="1" applyBorder="1" applyAlignment="1" applyProtection="1">
      <alignment horizontal="right" vertical="center"/>
      <protection locked="0"/>
    </xf>
    <xf numFmtId="177" fontId="4" fillId="2" borderId="1" xfId="59" applyNumberFormat="1" applyFont="1" applyFill="1" applyBorder="1" applyAlignment="1">
      <alignment horizontal="right" vertical="center" wrapText="1"/>
    </xf>
    <xf numFmtId="0" fontId="4" fillId="2" borderId="1" xfId="0" applyFont="1" applyFill="1" applyBorder="1" applyAlignment="1">
      <alignment horizontal="left"/>
    </xf>
    <xf numFmtId="0" fontId="10" fillId="2" borderId="1" xfId="0" applyFont="1" applyFill="1" applyBorder="1" applyAlignment="1">
      <alignment horizontal="left"/>
    </xf>
    <xf numFmtId="0" fontId="4" fillId="2" borderId="1" xfId="57" applyFont="1" applyFill="1" applyBorder="1" applyAlignment="1">
      <alignment horizontal="left"/>
    </xf>
    <xf numFmtId="14" fontId="4" fillId="3" borderId="1" xfId="49" applyNumberFormat="1" applyFont="1" applyFill="1" applyBorder="1" applyAlignment="1">
      <alignment horizontal="center" vertical="center"/>
      <protection locked="0"/>
    </xf>
    <xf numFmtId="177" fontId="4" fillId="3" borderId="1" xfId="61" applyNumberFormat="1" applyFont="1" applyFill="1" applyBorder="1" applyAlignment="1">
      <alignment horizontal="right" vertical="center"/>
      <protection locked="0"/>
    </xf>
    <xf numFmtId="14" fontId="4" fillId="2" borderId="1" xfId="63" applyNumberFormat="1" applyFont="1" applyFill="1" applyBorder="1" applyAlignment="1">
      <alignment vertical="center"/>
      <protection locked="0"/>
    </xf>
    <xf numFmtId="177" fontId="4" fillId="3" borderId="1" xfId="49" applyNumberFormat="1" applyFont="1" applyFill="1" applyBorder="1" applyAlignment="1">
      <alignment horizontal="right" vertical="center"/>
      <protection locked="0"/>
    </xf>
    <xf numFmtId="0" fontId="4" fillId="3" borderId="1" xfId="0" applyFont="1" applyFill="1" applyBorder="1" applyAlignment="1"/>
    <xf numFmtId="176" fontId="4" fillId="3" borderId="1" xfId="10" applyNumberFormat="1" applyFont="1" applyFill="1" applyBorder="1" applyAlignment="1">
      <alignment horizontal="center" vertical="center"/>
    </xf>
    <xf numFmtId="0" fontId="4" fillId="2" borderId="1" xfId="61" applyFont="1" applyFill="1" applyBorder="1" applyAlignment="1">
      <alignment horizontal="left" vertical="center"/>
      <protection locked="0"/>
    </xf>
    <xf numFmtId="0" fontId="4" fillId="2" borderId="1" xfId="61" applyFont="1" applyFill="1" applyBorder="1" applyAlignment="1">
      <alignment vertical="center"/>
      <protection locked="0"/>
    </xf>
    <xf numFmtId="0" fontId="4" fillId="2" borderId="1" xfId="49" applyFont="1" applyFill="1" applyBorder="1" applyAlignment="1">
      <alignment vertical="top"/>
      <protection locked="0"/>
    </xf>
    <xf numFmtId="14" fontId="4" fillId="3" borderId="1" xfId="44" applyNumberFormat="1" applyFont="1" applyFill="1" applyBorder="1" applyAlignment="1" applyProtection="1">
      <alignment horizontal="center" vertical="center"/>
    </xf>
    <xf numFmtId="0" fontId="4" fillId="2" borderId="1" xfId="57" applyFont="1" applyFill="1" applyBorder="1" applyAlignment="1">
      <alignment horizontal="center" vertical="center" wrapText="1"/>
    </xf>
    <xf numFmtId="49" fontId="4" fillId="2" borderId="1" xfId="61" applyNumberFormat="1" applyFont="1" applyFill="1" applyBorder="1" applyAlignment="1">
      <alignment horizontal="center" vertical="center"/>
      <protection locked="0"/>
    </xf>
    <xf numFmtId="14" fontId="4" fillId="2" borderId="1" xfId="61" applyNumberFormat="1" applyFont="1" applyFill="1" applyBorder="1" applyAlignment="1">
      <alignment horizontal="center" vertical="center"/>
      <protection locked="0"/>
    </xf>
    <xf numFmtId="14" fontId="4" fillId="2" borderId="1" xfId="44" applyNumberFormat="1" applyFont="1" applyFill="1" applyBorder="1" applyAlignment="1">
      <alignment horizontal="center" vertical="center"/>
      <protection locked="0"/>
    </xf>
    <xf numFmtId="0" fontId="10" fillId="2" borderId="1" xfId="61" applyFont="1" applyFill="1" applyBorder="1" applyAlignment="1">
      <alignment horizontal="left" vertical="center"/>
      <protection locked="0"/>
    </xf>
    <xf numFmtId="14" fontId="4" fillId="2" borderId="1" xfId="44" applyNumberFormat="1" applyFont="1" applyFill="1" applyBorder="1" applyAlignment="1" applyProtection="1">
      <alignment horizontal="center" vertical="center"/>
    </xf>
    <xf numFmtId="0" fontId="4" fillId="3" borderId="1" xfId="49" applyFont="1" applyFill="1" applyBorder="1" applyAlignment="1">
      <alignment vertical="top"/>
      <protection locked="0"/>
    </xf>
    <xf numFmtId="0" fontId="4" fillId="2" borderId="1" xfId="0" applyFont="1" applyFill="1" applyBorder="1" applyAlignment="1" applyProtection="1">
      <alignment vertical="center"/>
      <protection locked="0"/>
    </xf>
    <xf numFmtId="177" fontId="4" fillId="3" borderId="1" xfId="59" applyNumberFormat="1" applyFont="1" applyFill="1" applyBorder="1" applyAlignment="1">
      <alignment horizontal="right" vertical="center" wrapText="1"/>
    </xf>
    <xf numFmtId="0" fontId="4" fillId="2" borderId="1" xfId="44" applyFont="1" applyFill="1" applyBorder="1" applyAlignment="1">
      <alignment horizontal="center" vertical="center"/>
      <protection locked="0"/>
    </xf>
    <xf numFmtId="177" fontId="4" fillId="2" borderId="1" xfId="0" applyNumberFormat="1" applyFont="1" applyFill="1" applyBorder="1" applyAlignment="1" applyProtection="1">
      <alignment horizontal="right" vertical="center"/>
      <protection locked="0"/>
    </xf>
    <xf numFmtId="14" fontId="4" fillId="2" borderId="1" xfId="2" applyNumberFormat="1" applyFont="1" applyFill="1" applyBorder="1" applyAlignment="1">
      <alignment horizontal="center" vertical="center"/>
      <protection locked="0"/>
    </xf>
    <xf numFmtId="177" fontId="4" fillId="2" borderId="1" xfId="44" applyNumberFormat="1" applyFont="1" applyFill="1" applyBorder="1" applyAlignment="1">
      <alignment horizontal="right" vertical="center"/>
      <protection locked="0"/>
    </xf>
    <xf numFmtId="181" fontId="4" fillId="2" borderId="1" xfId="49" applyNumberFormat="1" applyFont="1" applyFill="1" applyBorder="1" applyAlignment="1">
      <alignment horizontal="left" vertical="center"/>
      <protection locked="0"/>
    </xf>
    <xf numFmtId="14" fontId="4" fillId="2" borderId="1" xfId="61" applyNumberFormat="1" applyFont="1" applyFill="1" applyBorder="1" applyAlignment="1">
      <alignment horizontal="left" vertical="center"/>
      <protection locked="0"/>
    </xf>
    <xf numFmtId="40" fontId="4" fillId="3" borderId="1" xfId="61" applyNumberFormat="1" applyFont="1" applyFill="1" applyBorder="1" applyAlignment="1">
      <alignment horizontal="left" vertical="center"/>
      <protection locked="0"/>
    </xf>
    <xf numFmtId="40" fontId="4" fillId="3" borderId="1" xfId="61" applyNumberFormat="1" applyFont="1" applyFill="1" applyBorder="1" applyAlignment="1">
      <alignment vertical="center"/>
      <protection locked="0"/>
    </xf>
    <xf numFmtId="14" fontId="4" fillId="3" borderId="1" xfId="60" applyNumberFormat="1" applyFont="1" applyFill="1" applyBorder="1" applyAlignment="1" applyProtection="1">
      <alignment horizontal="center" vertical="center"/>
      <protection locked="0"/>
    </xf>
    <xf numFmtId="0" fontId="4" fillId="3" borderId="1" xfId="62" applyFont="1" applyFill="1" applyBorder="1" applyAlignment="1">
      <alignment horizontal="left" vertical="center"/>
      <protection locked="0"/>
    </xf>
    <xf numFmtId="0" fontId="4" fillId="3" borderId="1" xfId="62" applyFont="1" applyFill="1" applyBorder="1" applyAlignment="1">
      <alignment vertical="center"/>
      <protection locked="0"/>
    </xf>
    <xf numFmtId="14" fontId="4" fillId="3" borderId="1" xfId="49" applyNumberFormat="1" applyFont="1" applyFill="1" applyBorder="1" applyAlignment="1">
      <alignment horizontal="left" vertical="center"/>
      <protection locked="0"/>
    </xf>
    <xf numFmtId="40" fontId="11" fillId="3" borderId="1" xfId="61" applyNumberFormat="1" applyFont="1" applyFill="1" applyBorder="1" applyAlignment="1">
      <alignment horizontal="left" vertical="center"/>
      <protection locked="0"/>
    </xf>
    <xf numFmtId="14" fontId="4" fillId="2" borderId="1" xfId="49" applyNumberFormat="1" applyFont="1" applyFill="1" applyBorder="1" applyAlignment="1">
      <alignment horizontal="center" vertical="center"/>
      <protection locked="0"/>
    </xf>
    <xf numFmtId="14" fontId="4" fillId="2" borderId="1" xfId="60" applyNumberFormat="1" applyFont="1" applyFill="1" applyBorder="1" applyAlignment="1" applyProtection="1">
      <alignment horizontal="center" vertical="center"/>
      <protection locked="0"/>
    </xf>
    <xf numFmtId="40" fontId="4" fillId="2" borderId="1" xfId="61" applyNumberFormat="1" applyFont="1" applyFill="1" applyBorder="1" applyAlignment="1">
      <alignment horizontal="left" vertical="center"/>
      <protection locked="0"/>
    </xf>
    <xf numFmtId="40" fontId="4" fillId="2" borderId="1" xfId="61" applyNumberFormat="1" applyFont="1" applyFill="1" applyBorder="1" applyAlignment="1">
      <alignment vertical="center"/>
      <protection locked="0"/>
    </xf>
    <xf numFmtId="0" fontId="4" fillId="2" borderId="1" xfId="57" applyFont="1" applyFill="1" applyBorder="1" applyAlignment="1" applyProtection="1">
      <alignment vertical="center"/>
      <protection locked="0"/>
    </xf>
    <xf numFmtId="0" fontId="4" fillId="2" borderId="1" xfId="54" applyFont="1" applyFill="1" applyBorder="1" applyAlignment="1">
      <alignment vertical="center"/>
      <protection locked="0"/>
    </xf>
    <xf numFmtId="0" fontId="4" fillId="2" borderId="1" xfId="62" applyFont="1" applyFill="1" applyBorder="1" applyAlignment="1">
      <alignment horizontal="left" vertical="center"/>
      <protection locked="0"/>
    </xf>
    <xf numFmtId="0" fontId="4" fillId="2" borderId="1" xfId="62" applyFont="1" applyFill="1" applyBorder="1" applyAlignment="1">
      <alignment vertical="center"/>
      <protection locked="0"/>
    </xf>
    <xf numFmtId="179" fontId="4" fillId="2" borderId="1" xfId="2" applyNumberFormat="1" applyFont="1" applyFill="1" applyBorder="1" applyAlignment="1">
      <alignment horizontal="center" vertical="center"/>
      <protection locked="0"/>
    </xf>
    <xf numFmtId="14" fontId="4" fillId="3" borderId="1" xfId="63" applyNumberFormat="1" applyFont="1" applyFill="1" applyBorder="1" applyAlignment="1">
      <alignment horizontal="center" vertical="center" wrapText="1"/>
      <protection locked="0"/>
    </xf>
    <xf numFmtId="14" fontId="4" fillId="2" borderId="1" xfId="63" applyNumberFormat="1" applyFont="1" applyFill="1" applyBorder="1" applyAlignment="1">
      <alignment horizontal="center" vertical="center" wrapText="1"/>
      <protection locked="0"/>
    </xf>
    <xf numFmtId="0" fontId="10" fillId="2" borderId="1" xfId="54" applyFont="1" applyFill="1" applyBorder="1" applyAlignment="1">
      <alignment horizontal="left" vertical="center"/>
      <protection locked="0"/>
    </xf>
    <xf numFmtId="14" fontId="4" fillId="3" borderId="1" xfId="54" applyNumberFormat="1" applyFont="1" applyFill="1" applyBorder="1" applyAlignment="1">
      <alignment horizontal="left" vertical="center"/>
      <protection locked="0"/>
    </xf>
    <xf numFmtId="0" fontId="4" fillId="2" borderId="1" xfId="57" applyFont="1" applyFill="1" applyBorder="1" applyAlignment="1">
      <alignment vertical="center"/>
    </xf>
    <xf numFmtId="14" fontId="4" fillId="5" borderId="1" xfId="61" applyNumberFormat="1" applyFont="1" applyFill="1" applyBorder="1" applyAlignment="1" applyProtection="1">
      <alignment horizontal="center" vertical="center" wrapText="1"/>
    </xf>
    <xf numFmtId="177" fontId="4" fillId="5" borderId="1" xfId="59" applyNumberFormat="1" applyFont="1" applyFill="1" applyBorder="1" applyAlignment="1" applyProtection="1">
      <alignment horizontal="right" vertical="center"/>
      <protection locked="0"/>
    </xf>
    <xf numFmtId="43" fontId="4" fillId="2" borderId="1" xfId="59" applyFont="1" applyFill="1" applyBorder="1" applyAlignment="1">
      <alignment horizontal="center" vertical="center"/>
    </xf>
    <xf numFmtId="14" fontId="4" fillId="2" borderId="1" xfId="57" applyNumberFormat="1" applyFont="1" applyFill="1" applyBorder="1" applyAlignment="1">
      <alignment horizontal="center" vertical="center"/>
    </xf>
    <xf numFmtId="14" fontId="4" fillId="2" borderId="1" xfId="61" applyNumberFormat="1" applyFont="1" applyFill="1" applyBorder="1" applyAlignment="1">
      <alignment vertical="center"/>
      <protection locked="0"/>
    </xf>
    <xf numFmtId="177" fontId="4" fillId="5" borderId="1" xfId="59" applyNumberFormat="1" applyFont="1" applyFill="1" applyBorder="1" applyAlignment="1" applyProtection="1">
      <alignment horizontal="right" vertical="center"/>
    </xf>
    <xf numFmtId="183" fontId="4" fillId="2" borderId="1" xfId="49" applyNumberFormat="1" applyFont="1" applyFill="1" applyBorder="1" applyAlignment="1">
      <alignment horizontal="center" vertical="center"/>
      <protection locked="0"/>
    </xf>
    <xf numFmtId="14" fontId="4" fillId="2" borderId="1" xfId="57" applyNumberFormat="1" applyFont="1" applyFill="1" applyBorder="1" applyAlignment="1">
      <alignment horizontal="left" vertical="center"/>
    </xf>
    <xf numFmtId="14" fontId="4" fillId="2" borderId="1" xfId="57" applyNumberFormat="1" applyFont="1" applyFill="1" applyBorder="1" applyAlignment="1">
      <alignment vertical="center"/>
    </xf>
    <xf numFmtId="182" fontId="4" fillId="2" borderId="1" xfId="49" applyNumberFormat="1" applyFont="1" applyFill="1" applyBorder="1" applyAlignment="1">
      <alignment vertical="center"/>
      <protection locked="0"/>
    </xf>
    <xf numFmtId="0" fontId="4" fillId="3" borderId="1" xfId="2" applyFont="1" applyFill="1" applyBorder="1" applyAlignment="1">
      <alignment horizontal="center" vertical="center" wrapText="1"/>
      <protection locked="0"/>
    </xf>
    <xf numFmtId="0" fontId="4" fillId="3" borderId="1" xfId="53" applyFont="1" applyFill="1" applyBorder="1" applyAlignment="1"/>
    <xf numFmtId="0" fontId="4" fillId="3" borderId="1" xfId="0" applyFont="1" applyFill="1" applyBorder="1" applyAlignment="1">
      <alignment horizontal="left"/>
    </xf>
    <xf numFmtId="177" fontId="4" fillId="3" borderId="1" xfId="10" applyNumberFormat="1" applyFont="1" applyFill="1" applyBorder="1" applyAlignment="1">
      <alignment horizontal="right" vertical="center" wrapText="1"/>
    </xf>
    <xf numFmtId="14" fontId="5" fillId="2" borderId="1" xfId="63" applyNumberFormat="1" applyFont="1" applyFill="1" applyBorder="1" applyAlignment="1">
      <alignment horizontal="left" vertical="center"/>
      <protection locked="0"/>
    </xf>
    <xf numFmtId="177" fontId="4" fillId="2" borderId="1" xfId="63" applyNumberFormat="1" applyFont="1" applyFill="1" applyBorder="1" applyAlignment="1">
      <alignment horizontal="right" vertical="center"/>
      <protection locked="0"/>
    </xf>
    <xf numFmtId="0" fontId="4" fillId="2" borderId="1" xfId="0" applyFont="1" applyFill="1" applyBorder="1"/>
    <xf numFmtId="177" fontId="4" fillId="2" borderId="1" xfId="0" applyNumberFormat="1" applyFont="1" applyFill="1" applyBorder="1"/>
    <xf numFmtId="43" fontId="4" fillId="2" borderId="1" xfId="10" applyFont="1" applyFill="1" applyBorder="1" applyAlignment="1" applyProtection="1">
      <alignment horizontal="left" vertical="center"/>
    </xf>
    <xf numFmtId="0" fontId="4" fillId="2" borderId="1" xfId="53" applyFont="1" applyFill="1" applyBorder="1" applyAlignment="1"/>
    <xf numFmtId="40" fontId="4" fillId="2" borderId="1" xfId="61" applyNumberFormat="1" applyFont="1" applyFill="1" applyBorder="1" applyAlignment="1" applyProtection="1">
      <alignment vertical="center" wrapText="1"/>
    </xf>
    <xf numFmtId="40" fontId="10" fillId="2" borderId="1" xfId="61" applyNumberFormat="1" applyFont="1" applyFill="1" applyBorder="1" applyAlignment="1" applyProtection="1">
      <alignment horizontal="left" vertical="center"/>
    </xf>
    <xf numFmtId="0" fontId="4" fillId="3" borderId="1" xfId="61" applyFont="1" applyFill="1" applyBorder="1" applyAlignment="1" applyProtection="1">
      <alignment horizontal="left" vertical="center"/>
    </xf>
    <xf numFmtId="0" fontId="4" fillId="3" borderId="1" xfId="53" applyFont="1" applyFill="1" applyBorder="1" applyAlignment="1" applyProtection="1">
      <alignment vertical="center"/>
      <protection locked="0"/>
    </xf>
    <xf numFmtId="0" fontId="4" fillId="2" borderId="1" xfId="53" applyFont="1" applyFill="1" applyBorder="1" applyAlignment="1" applyProtection="1">
      <alignment vertical="center"/>
      <protection locked="0"/>
    </xf>
    <xf numFmtId="43" fontId="4" fillId="2" borderId="1" xfId="10" applyFont="1" applyFill="1" applyBorder="1" applyAlignment="1" applyProtection="1">
      <alignment horizontal="center" vertical="center"/>
    </xf>
    <xf numFmtId="181" fontId="4" fillId="2" borderId="1" xfId="0" applyNumberFormat="1" applyFont="1" applyFill="1" applyBorder="1" applyAlignment="1">
      <alignment horizontal="right"/>
    </xf>
    <xf numFmtId="0" fontId="4" fillId="2" borderId="1" xfId="53" applyFont="1" applyFill="1" applyBorder="1" applyAlignment="1" applyProtection="1">
      <alignment horizontal="center" vertical="center" wrapText="1"/>
      <protection locked="0"/>
    </xf>
    <xf numFmtId="14" fontId="4" fillId="2" borderId="1" xfId="61" applyNumberFormat="1" applyFont="1" applyFill="1" applyBorder="1" applyAlignment="1" applyProtection="1">
      <alignment horizontal="center" vertical="center" wrapText="1"/>
    </xf>
    <xf numFmtId="0" fontId="4" fillId="3" borderId="1" xfId="57" applyFont="1" applyFill="1" applyBorder="1" applyAlignment="1">
      <alignment horizontal="center" vertical="center" wrapText="1"/>
    </xf>
    <xf numFmtId="181" fontId="4" fillId="3" borderId="1" xfId="0" applyNumberFormat="1" applyFont="1" applyFill="1" applyBorder="1" applyAlignment="1">
      <alignment horizontal="right"/>
    </xf>
    <xf numFmtId="0" fontId="10" fillId="2" borderId="1" xfId="57" applyFont="1" applyFill="1" applyBorder="1" applyAlignment="1">
      <alignment horizontal="left"/>
    </xf>
    <xf numFmtId="0" fontId="4" fillId="3" borderId="1" xfId="57" applyFont="1" applyFill="1" applyBorder="1" applyAlignment="1">
      <alignment horizontal="left"/>
    </xf>
    <xf numFmtId="0" fontId="10" fillId="3" borderId="1" xfId="57" applyFont="1" applyFill="1" applyBorder="1" applyAlignment="1">
      <alignment horizontal="left"/>
    </xf>
    <xf numFmtId="0" fontId="4" fillId="2" borderId="2" xfId="0" applyFont="1" applyFill="1" applyBorder="1" applyAlignment="1"/>
    <xf numFmtId="181" fontId="4" fillId="3" borderId="1" xfId="49" applyNumberFormat="1" applyFont="1" applyFill="1" applyBorder="1" applyAlignment="1">
      <alignment horizontal="right" vertical="center"/>
      <protection locked="0"/>
    </xf>
    <xf numFmtId="184" fontId="4" fillId="2" borderId="2" xfId="10" applyNumberFormat="1" applyFont="1" applyFill="1" applyBorder="1" applyAlignment="1" applyProtection="1">
      <alignment horizontal="right" vertical="center"/>
      <protection locked="0"/>
    </xf>
    <xf numFmtId="43" fontId="4" fillId="3" borderId="1" xfId="10" applyFont="1" applyFill="1" applyBorder="1" applyAlignment="1" applyProtection="1">
      <alignment horizontal="right" vertical="center"/>
      <protection locked="0"/>
    </xf>
    <xf numFmtId="14" fontId="4" fillId="2" borderId="0" xfId="0" applyNumberFormat="1" applyFont="1" applyFill="1" applyBorder="1" applyAlignment="1"/>
    <xf numFmtId="0" fontId="4" fillId="3" borderId="4" xfId="0" applyFont="1" applyFill="1" applyBorder="1" applyAlignment="1">
      <alignment horizontal="center" vertical="center"/>
    </xf>
    <xf numFmtId="0" fontId="4" fillId="3" borderId="4" xfId="49" applyFont="1" applyFill="1" applyBorder="1" applyAlignment="1">
      <alignment vertical="center"/>
      <protection locked="0"/>
    </xf>
    <xf numFmtId="0" fontId="4" fillId="2" borderId="4" xfId="0" applyFont="1" applyFill="1" applyBorder="1" applyAlignment="1">
      <alignment horizontal="center" vertical="center"/>
    </xf>
    <xf numFmtId="177" fontId="4" fillId="3" borderId="1" xfId="10" applyNumberFormat="1" applyFont="1" applyFill="1" applyBorder="1" applyAlignment="1" applyProtection="1">
      <alignment horizontal="center" vertical="center"/>
      <protection locked="0"/>
    </xf>
    <xf numFmtId="14" fontId="4" fillId="3" borderId="1" xfId="2" applyNumberFormat="1" applyFont="1" applyFill="1" applyBorder="1" applyAlignment="1">
      <alignment horizontal="center" vertical="center"/>
      <protection locked="0"/>
    </xf>
    <xf numFmtId="177" fontId="4" fillId="2" borderId="1" xfId="10" applyNumberFormat="1" applyFont="1" applyFill="1" applyBorder="1" applyAlignment="1" applyProtection="1">
      <alignment horizontal="center" vertical="center"/>
      <protection locked="0"/>
    </xf>
    <xf numFmtId="176" fontId="4" fillId="2" borderId="1" xfId="10" applyNumberFormat="1" applyFont="1" applyFill="1" applyBorder="1" applyAlignment="1">
      <alignment horizontal="center" vertical="center"/>
    </xf>
    <xf numFmtId="177" fontId="4" fillId="3" borderId="1" xfId="10" applyNumberFormat="1" applyFont="1" applyFill="1" applyBorder="1" applyAlignment="1" applyProtection="1">
      <alignment horizontal="center" vertical="center"/>
    </xf>
    <xf numFmtId="14" fontId="4" fillId="3" borderId="1" xfId="0" applyNumberFormat="1" applyFont="1" applyFill="1" applyBorder="1" applyAlignment="1" applyProtection="1">
      <alignment horizontal="center" vertical="center"/>
      <protection locked="0"/>
    </xf>
    <xf numFmtId="43" fontId="3" fillId="3" borderId="1" xfId="10" applyFont="1" applyFill="1" applyBorder="1" applyAlignment="1" applyProtection="1">
      <alignment horizontal="center" vertical="center"/>
    </xf>
    <xf numFmtId="177" fontId="4" fillId="2" borderId="1" xfId="10" applyNumberFormat="1" applyFont="1" applyFill="1" applyBorder="1" applyAlignment="1" applyProtection="1">
      <alignment horizontal="center" vertical="center"/>
    </xf>
    <xf numFmtId="14" fontId="4" fillId="2" borderId="1" xfId="0" applyNumberFormat="1" applyFont="1" applyFill="1" applyBorder="1" applyAlignment="1" applyProtection="1">
      <alignment horizontal="center" vertical="center"/>
      <protection locked="0"/>
    </xf>
    <xf numFmtId="185" fontId="3" fillId="3" borderId="1" xfId="10" applyNumberFormat="1" applyFont="1" applyFill="1" applyBorder="1" applyAlignment="1" applyProtection="1">
      <alignment horizontal="center" vertical="center"/>
    </xf>
    <xf numFmtId="178" fontId="4" fillId="3" borderId="1" xfId="0" applyNumberFormat="1" applyFont="1" applyFill="1" applyBorder="1" applyAlignment="1">
      <alignment horizontal="center" vertical="center"/>
    </xf>
    <xf numFmtId="43" fontId="4" fillId="3" borderId="1" xfId="10" applyFont="1" applyFill="1" applyBorder="1" applyAlignment="1" applyProtection="1">
      <alignment horizontal="center" vertical="center"/>
    </xf>
    <xf numFmtId="0" fontId="3" fillId="3" borderId="1" xfId="0" applyNumberFormat="1" applyFont="1" applyFill="1" applyBorder="1" applyAlignment="1">
      <alignment horizontal="left" vertical="center"/>
    </xf>
    <xf numFmtId="0" fontId="4" fillId="2" borderId="1" xfId="10" applyNumberFormat="1" applyFont="1" applyFill="1" applyBorder="1" applyAlignment="1" applyProtection="1">
      <alignment horizontal="left" vertical="center"/>
      <protection locked="0"/>
    </xf>
    <xf numFmtId="49" fontId="4" fillId="2" borderId="1" xfId="2" applyNumberFormat="1" applyFont="1" applyFill="1" applyBorder="1" applyAlignment="1">
      <alignment horizontal="center" vertical="center"/>
      <protection locked="0"/>
    </xf>
    <xf numFmtId="49" fontId="4" fillId="2" borderId="1" xfId="0" applyNumberFormat="1" applyFont="1" applyFill="1" applyBorder="1" applyAlignment="1">
      <alignment horizontal="center" vertical="center"/>
    </xf>
    <xf numFmtId="40" fontId="4" fillId="3" borderId="1" xfId="49" applyNumberFormat="1" applyFont="1" applyFill="1" applyBorder="1" applyAlignment="1">
      <alignment horizontal="center" vertical="center"/>
      <protection locked="0"/>
    </xf>
    <xf numFmtId="40" fontId="4" fillId="2" borderId="1" xfId="49" applyNumberFormat="1" applyFont="1" applyFill="1" applyBorder="1" applyAlignment="1">
      <alignment horizontal="center" vertical="center"/>
      <protection locked="0"/>
    </xf>
    <xf numFmtId="0" fontId="4" fillId="2" borderId="1" xfId="2" applyNumberFormat="1" applyFont="1" applyFill="1" applyBorder="1" applyAlignment="1">
      <alignment horizontal="center" vertical="center"/>
      <protection locked="0"/>
    </xf>
    <xf numFmtId="14" fontId="4" fillId="2" borderId="1" xfId="10" applyNumberFormat="1" applyFont="1" applyFill="1" applyBorder="1" applyAlignment="1">
      <alignment vertical="center"/>
    </xf>
    <xf numFmtId="14" fontId="4" fillId="2" borderId="1" xfId="10" applyNumberFormat="1" applyFont="1" applyFill="1" applyBorder="1" applyAlignment="1">
      <alignment horizontal="center" vertical="center"/>
    </xf>
    <xf numFmtId="177" fontId="4" fillId="2" borderId="4" xfId="10" applyNumberFormat="1" applyFont="1" applyFill="1" applyBorder="1" applyAlignment="1" applyProtection="1">
      <alignment horizontal="center" vertical="center"/>
    </xf>
    <xf numFmtId="0" fontId="4" fillId="2" borderId="4" xfId="63" applyFont="1" applyFill="1" applyBorder="1" applyAlignment="1">
      <alignment horizontal="center" vertical="center"/>
      <protection locked="0"/>
    </xf>
    <xf numFmtId="0" fontId="4" fillId="2" borderId="4" xfId="10" applyNumberFormat="1" applyFont="1" applyFill="1" applyBorder="1" applyAlignment="1" applyProtection="1">
      <alignment horizontal="left" vertical="center"/>
      <protection locked="0"/>
    </xf>
    <xf numFmtId="43" fontId="4" fillId="2" borderId="4" xfId="10" applyFont="1" applyFill="1" applyBorder="1" applyAlignment="1" applyProtection="1">
      <alignment horizontal="center" vertical="center"/>
      <protection locked="0"/>
    </xf>
    <xf numFmtId="14" fontId="4" fillId="2" borderId="4" xfId="10" applyNumberFormat="1" applyFont="1" applyFill="1" applyBorder="1" applyAlignment="1">
      <alignment vertical="center"/>
    </xf>
    <xf numFmtId="14" fontId="4" fillId="2" borderId="4" xfId="10" applyNumberFormat="1" applyFont="1" applyFill="1" applyBorder="1" applyAlignment="1">
      <alignment horizontal="center" vertical="center"/>
    </xf>
    <xf numFmtId="14" fontId="4" fillId="2" borderId="4" xfId="0" applyNumberFormat="1" applyFont="1" applyFill="1" applyBorder="1" applyAlignment="1">
      <alignment horizontal="center" vertical="center"/>
    </xf>
    <xf numFmtId="14" fontId="4" fillId="3" borderId="1" xfId="10" applyNumberFormat="1" applyFont="1" applyFill="1" applyBorder="1" applyAlignment="1" applyProtection="1">
      <alignment horizontal="center" vertical="center"/>
      <protection locked="0"/>
    </xf>
    <xf numFmtId="14" fontId="4" fillId="2" borderId="1" xfId="10" applyNumberFormat="1" applyFont="1" applyFill="1" applyBorder="1" applyAlignment="1" applyProtection="1">
      <alignment horizontal="center" vertical="center"/>
      <protection locked="0"/>
    </xf>
    <xf numFmtId="0" fontId="4" fillId="3" borderId="1" xfId="10" applyNumberFormat="1" applyFont="1" applyFill="1" applyBorder="1" applyAlignment="1" applyProtection="1">
      <alignment horizontal="center" vertical="center"/>
      <protection locked="0"/>
    </xf>
    <xf numFmtId="177" fontId="4" fillId="2" borderId="1" xfId="10" applyNumberFormat="1" applyFont="1" applyFill="1" applyBorder="1" applyAlignment="1">
      <alignment horizontal="center" vertical="center"/>
    </xf>
    <xf numFmtId="0" fontId="4" fillId="2" borderId="1" xfId="0" applyNumberFormat="1" applyFont="1" applyFill="1" applyBorder="1" applyAlignment="1">
      <alignment horizontal="center" vertical="center"/>
    </xf>
    <xf numFmtId="177" fontId="4" fillId="3" borderId="1" xfId="10" applyNumberFormat="1" applyFont="1" applyFill="1" applyBorder="1" applyAlignment="1">
      <alignment horizontal="center" vertical="center"/>
    </xf>
    <xf numFmtId="0" fontId="4" fillId="2" borderId="1" xfId="2" applyFont="1" applyFill="1" applyBorder="1" applyAlignment="1">
      <alignment vertical="center"/>
      <protection locked="0"/>
    </xf>
    <xf numFmtId="0" fontId="4" fillId="2" borderId="1" xfId="61" applyNumberFormat="1" applyFont="1" applyFill="1" applyBorder="1" applyAlignment="1" applyProtection="1">
      <alignment horizontal="center" vertical="center"/>
    </xf>
    <xf numFmtId="0" fontId="3" fillId="2" borderId="1" xfId="0" applyNumberFormat="1" applyFont="1" applyFill="1" applyBorder="1" applyAlignment="1">
      <alignment horizontal="left" vertical="center"/>
    </xf>
    <xf numFmtId="43" fontId="4" fillId="2" borderId="1" xfId="65" applyFont="1" applyFill="1" applyBorder="1" applyAlignment="1" applyProtection="1">
      <alignment horizontal="center" vertical="center"/>
      <protection locked="0"/>
    </xf>
    <xf numFmtId="14" fontId="4" fillId="3" borderId="4" xfId="0" applyNumberFormat="1" applyFont="1" applyFill="1" applyBorder="1" applyAlignment="1">
      <alignment horizontal="center" vertical="center"/>
    </xf>
    <xf numFmtId="177" fontId="4" fillId="3" borderId="4" xfId="10" applyNumberFormat="1" applyFont="1" applyFill="1" applyBorder="1" applyAlignment="1">
      <alignment horizontal="center" vertical="center"/>
    </xf>
    <xf numFmtId="14" fontId="4" fillId="3" borderId="1" xfId="49" applyNumberFormat="1" applyFont="1" applyFill="1" applyBorder="1" applyAlignment="1" applyProtection="1">
      <alignment horizontal="center" vertical="center"/>
    </xf>
    <xf numFmtId="0" fontId="4" fillId="3" borderId="4" xfId="0" applyNumberFormat="1" applyFont="1" applyFill="1" applyBorder="1" applyAlignment="1">
      <alignment horizontal="left" vertical="center"/>
    </xf>
    <xf numFmtId="43" fontId="4" fillId="3" borderId="4" xfId="10" applyFont="1" applyFill="1" applyBorder="1" applyAlignment="1" applyProtection="1">
      <alignment horizontal="center" vertical="center"/>
      <protection locked="0"/>
    </xf>
    <xf numFmtId="14" fontId="4" fillId="3" borderId="1" xfId="2" applyNumberFormat="1" applyFont="1" applyFill="1" applyBorder="1" applyAlignment="1" applyProtection="1">
      <alignment horizontal="center" vertical="center"/>
    </xf>
    <xf numFmtId="43" fontId="4" fillId="3" borderId="1" xfId="10" applyFont="1" applyFill="1" applyBorder="1" applyAlignment="1">
      <alignment horizontal="center" vertical="center"/>
    </xf>
    <xf numFmtId="14" fontId="4" fillId="2" borderId="1" xfId="2" applyNumberFormat="1" applyFont="1" applyFill="1" applyBorder="1" applyAlignment="1" applyProtection="1">
      <alignment horizontal="center" vertical="center"/>
    </xf>
    <xf numFmtId="0" fontId="10" fillId="2" borderId="1" xfId="0" applyNumberFormat="1" applyFont="1" applyFill="1" applyBorder="1" applyAlignment="1">
      <alignment horizontal="left" vertical="center" wrapText="1"/>
    </xf>
    <xf numFmtId="0" fontId="4" fillId="2" borderId="4" xfId="49" applyFont="1" applyFill="1" applyBorder="1" applyAlignment="1">
      <alignment vertical="center"/>
      <protection locked="0"/>
    </xf>
    <xf numFmtId="0" fontId="4" fillId="3" borderId="1" xfId="60" applyFont="1" applyFill="1" applyBorder="1" applyAlignment="1" applyProtection="1">
      <alignment horizontal="center" vertical="center"/>
      <protection locked="0"/>
    </xf>
    <xf numFmtId="0" fontId="4" fillId="3" borderId="1" xfId="60" applyFont="1" applyFill="1" applyBorder="1" applyAlignment="1" applyProtection="1">
      <alignment horizontal="left" vertical="center"/>
      <protection locked="0"/>
    </xf>
    <xf numFmtId="49" fontId="4" fillId="3" borderId="1" xfId="60" applyNumberFormat="1" applyFont="1" applyFill="1" applyBorder="1" applyAlignment="1" applyProtection="1">
      <alignment horizontal="center" vertical="center"/>
      <protection locked="0"/>
    </xf>
    <xf numFmtId="177" fontId="4" fillId="2" borderId="1" xfId="10" applyNumberFormat="1" applyFont="1" applyFill="1" applyBorder="1" applyAlignment="1">
      <alignment vertical="center"/>
    </xf>
    <xf numFmtId="0" fontId="10" fillId="2" borderId="1" xfId="0" applyFont="1" applyFill="1" applyBorder="1" applyAlignment="1">
      <alignment vertical="center"/>
    </xf>
    <xf numFmtId="0" fontId="10" fillId="2" borderId="1" xfId="0" applyNumberFormat="1" applyFont="1" applyFill="1" applyBorder="1" applyAlignment="1">
      <alignment horizontal="left" vertical="center"/>
    </xf>
    <xf numFmtId="177" fontId="4" fillId="3" borderId="4" xfId="10" applyNumberFormat="1" applyFont="1" applyFill="1" applyBorder="1" applyAlignment="1" applyProtection="1">
      <alignment horizontal="center" vertical="center"/>
    </xf>
    <xf numFmtId="43" fontId="4" fillId="2" borderId="1" xfId="10" applyFont="1" applyFill="1" applyBorder="1" applyAlignment="1">
      <alignment horizontal="center" vertical="center"/>
    </xf>
    <xf numFmtId="14" fontId="4" fillId="3" borderId="1" xfId="10" applyNumberFormat="1" applyFont="1" applyFill="1" applyBorder="1" applyAlignment="1">
      <alignment horizontal="center" vertical="center"/>
    </xf>
    <xf numFmtId="177" fontId="4" fillId="3" borderId="1" xfId="10" applyNumberFormat="1" applyFont="1" applyFill="1" applyBorder="1" applyAlignment="1">
      <alignment vertical="center"/>
    </xf>
    <xf numFmtId="177" fontId="4" fillId="3" borderId="4" xfId="10" applyNumberFormat="1" applyFont="1" applyFill="1" applyBorder="1" applyAlignment="1" applyProtection="1">
      <alignment horizontal="center" vertical="center"/>
      <protection locked="0"/>
    </xf>
    <xf numFmtId="43" fontId="4" fillId="3" borderId="4" xfId="10" applyFont="1" applyFill="1" applyBorder="1" applyAlignment="1">
      <alignment vertical="center"/>
    </xf>
    <xf numFmtId="43" fontId="4" fillId="3" borderId="4" xfId="10" applyFont="1" applyFill="1" applyBorder="1" applyAlignment="1">
      <alignment horizontal="center" vertical="center"/>
    </xf>
    <xf numFmtId="0" fontId="4" fillId="2" borderId="1" xfId="57" applyNumberFormat="1" applyFont="1" applyFill="1" applyBorder="1" applyAlignment="1">
      <alignment horizontal="left" vertical="center"/>
    </xf>
    <xf numFmtId="0" fontId="3" fillId="2" borderId="1" xfId="57" applyNumberFormat="1" applyFont="1" applyFill="1" applyBorder="1" applyAlignment="1">
      <alignment horizontal="left" vertical="center"/>
    </xf>
    <xf numFmtId="49" fontId="4" fillId="3" borderId="1" xfId="0" applyNumberFormat="1" applyFont="1" applyFill="1" applyBorder="1" applyAlignment="1">
      <alignment horizontal="center" vertical="center"/>
    </xf>
    <xf numFmtId="43" fontId="4" fillId="2" borderId="1" xfId="0" applyNumberFormat="1" applyFont="1" applyFill="1" applyBorder="1" applyAlignment="1">
      <alignment horizontal="center" vertical="center"/>
    </xf>
    <xf numFmtId="180" fontId="4" fillId="2" borderId="1" xfId="10" applyNumberFormat="1" applyFont="1" applyFill="1" applyBorder="1" applyAlignment="1" applyProtection="1">
      <alignment horizontal="center" vertical="center"/>
      <protection locked="0"/>
    </xf>
    <xf numFmtId="180" fontId="4" fillId="3" borderId="1" xfId="10" applyNumberFormat="1" applyFont="1" applyFill="1" applyBorder="1" applyAlignment="1" applyProtection="1">
      <alignment horizontal="center" vertical="center"/>
      <protection locked="0"/>
    </xf>
    <xf numFmtId="0" fontId="4" fillId="2" borderId="1" xfId="0" applyNumberFormat="1" applyFont="1" applyFill="1" applyBorder="1" applyAlignment="1">
      <alignment vertical="center"/>
    </xf>
    <xf numFmtId="0" fontId="4" fillId="2" borderId="1" xfId="10" applyNumberFormat="1" applyFont="1" applyFill="1" applyBorder="1" applyAlignment="1" applyProtection="1">
      <alignment horizontal="center" vertical="center"/>
      <protection locked="0"/>
    </xf>
    <xf numFmtId="180" fontId="4" fillId="2" borderId="1" xfId="63" applyNumberFormat="1" applyFont="1" applyFill="1" applyBorder="1" applyAlignment="1">
      <alignment horizontal="center" vertical="center"/>
      <protection locked="0"/>
    </xf>
    <xf numFmtId="43" fontId="3" fillId="2" borderId="1" xfId="10" applyFont="1" applyFill="1" applyBorder="1" applyAlignment="1" applyProtection="1">
      <alignment horizontal="center" vertical="center"/>
    </xf>
    <xf numFmtId="14" fontId="4" fillId="3" borderId="1" xfId="57" applyNumberFormat="1" applyFont="1" applyFill="1" applyBorder="1" applyAlignment="1">
      <alignment horizontal="center" vertical="center"/>
    </xf>
    <xf numFmtId="49" fontId="4" fillId="3" borderId="1" xfId="57" applyNumberFormat="1" applyFont="1" applyFill="1" applyBorder="1" applyAlignment="1" applyProtection="1">
      <alignment horizontal="center" vertical="center"/>
      <protection locked="0"/>
    </xf>
    <xf numFmtId="0" fontId="4" fillId="3" borderId="1" xfId="57" applyNumberFormat="1" applyFont="1" applyFill="1" applyBorder="1" applyAlignment="1">
      <alignment horizontal="left" vertical="center"/>
    </xf>
    <xf numFmtId="177" fontId="4" fillId="3" borderId="1" xfId="10" applyNumberFormat="1" applyFont="1" applyFill="1" applyBorder="1" applyAlignment="1" applyProtection="1">
      <alignment vertical="center"/>
      <protection locked="0"/>
    </xf>
    <xf numFmtId="177" fontId="4" fillId="2" borderId="1" xfId="10" applyNumberFormat="1" applyFont="1" applyFill="1" applyBorder="1" applyAlignment="1" applyProtection="1">
      <alignment vertical="center"/>
      <protection locked="0"/>
    </xf>
    <xf numFmtId="40" fontId="4" fillId="3" borderId="1" xfId="0" applyNumberFormat="1" applyFont="1" applyFill="1" applyBorder="1" applyAlignment="1">
      <alignment horizontal="center" vertical="center"/>
    </xf>
    <xf numFmtId="177" fontId="4" fillId="3" borderId="1" xfId="0" applyNumberFormat="1" applyFont="1" applyFill="1" applyBorder="1" applyAlignment="1">
      <alignment vertical="center"/>
    </xf>
    <xf numFmtId="40" fontId="4" fillId="2" borderId="1" xfId="0" applyNumberFormat="1" applyFont="1" applyFill="1" applyBorder="1" applyAlignment="1">
      <alignment horizontal="center" vertical="center"/>
    </xf>
    <xf numFmtId="186" fontId="4" fillId="2" borderId="1" xfId="10" applyNumberFormat="1" applyFont="1" applyFill="1" applyBorder="1" applyAlignment="1">
      <alignment vertical="center"/>
    </xf>
    <xf numFmtId="186" fontId="4" fillId="3" borderId="1" xfId="10" applyNumberFormat="1" applyFont="1" applyFill="1" applyBorder="1" applyAlignment="1">
      <alignment vertical="center"/>
    </xf>
    <xf numFmtId="177" fontId="4" fillId="3" borderId="1" xfId="10" applyNumberFormat="1" applyFont="1" applyFill="1" applyBorder="1" applyAlignment="1" applyProtection="1">
      <alignment vertical="center"/>
    </xf>
    <xf numFmtId="177" fontId="4" fillId="2" borderId="1" xfId="10" applyNumberFormat="1" applyFont="1" applyFill="1" applyBorder="1" applyAlignment="1" applyProtection="1">
      <alignment vertical="center"/>
    </xf>
    <xf numFmtId="0" fontId="4" fillId="3" borderId="1" xfId="0" applyNumberFormat="1" applyFont="1" applyFill="1" applyBorder="1" applyAlignment="1">
      <alignment horizontal="center" vertical="center"/>
    </xf>
    <xf numFmtId="40" fontId="4" fillId="3" borderId="1" xfId="0" applyNumberFormat="1" applyFont="1" applyFill="1" applyBorder="1" applyAlignment="1">
      <alignment vertical="center"/>
    </xf>
    <xf numFmtId="187" fontId="3" fillId="3" borderId="1" xfId="0" applyNumberFormat="1" applyFont="1" applyFill="1" applyBorder="1" applyAlignment="1">
      <alignment horizontal="center" vertical="center"/>
    </xf>
    <xf numFmtId="14" fontId="4" fillId="3" borderId="1" xfId="0" applyNumberFormat="1" applyFont="1" applyFill="1" applyBorder="1" applyAlignment="1">
      <alignment horizontal="left" vertical="center"/>
    </xf>
    <xf numFmtId="40" fontId="4" fillId="3" borderId="1" xfId="0" applyNumberFormat="1" applyFont="1" applyFill="1" applyBorder="1" applyAlignment="1">
      <alignment horizontal="left" vertical="center"/>
    </xf>
    <xf numFmtId="40" fontId="4" fillId="2" borderId="1" xfId="0" applyNumberFormat="1" applyFont="1" applyFill="1" applyBorder="1" applyAlignment="1">
      <alignment horizontal="left" vertical="center"/>
    </xf>
    <xf numFmtId="179" fontId="4" fillId="3" borderId="1" xfId="0" applyNumberFormat="1" applyFont="1" applyFill="1" applyBorder="1" applyAlignment="1">
      <alignment horizontal="center" vertical="center"/>
    </xf>
    <xf numFmtId="181" fontId="4" fillId="3" borderId="1" xfId="0" applyNumberFormat="1" applyFont="1" applyFill="1" applyBorder="1" applyAlignment="1">
      <alignment horizontal="center" vertical="center"/>
    </xf>
    <xf numFmtId="14" fontId="4" fillId="2" borderId="1" xfId="0" applyNumberFormat="1" applyFont="1" applyFill="1" applyBorder="1" applyAlignment="1">
      <alignment horizontal="left" vertical="center"/>
    </xf>
    <xf numFmtId="181" fontId="4" fillId="2" borderId="1" xfId="0" applyNumberFormat="1" applyFont="1" applyFill="1" applyBorder="1" applyAlignment="1">
      <alignment horizontal="center" vertical="center"/>
    </xf>
    <xf numFmtId="177" fontId="4" fillId="2" borderId="1" xfId="0" applyNumberFormat="1" applyFont="1" applyFill="1" applyBorder="1" applyAlignment="1">
      <alignment horizontal="center" vertical="center"/>
    </xf>
    <xf numFmtId="179" fontId="4" fillId="2" borderId="1" xfId="0" applyNumberFormat="1" applyFont="1" applyFill="1" applyBorder="1" applyAlignment="1">
      <alignment horizontal="center" vertical="center"/>
    </xf>
    <xf numFmtId="0" fontId="4" fillId="2" borderId="4" xfId="0" applyFont="1" applyFill="1" applyBorder="1" applyAlignment="1">
      <alignment vertical="center"/>
    </xf>
    <xf numFmtId="177" fontId="4" fillId="3" borderId="4" xfId="10" applyNumberFormat="1" applyFont="1" applyFill="1" applyBorder="1" applyAlignment="1">
      <alignment horizontal="right" vertical="center"/>
    </xf>
    <xf numFmtId="181" fontId="4" fillId="3" borderId="4" xfId="0" applyNumberFormat="1" applyFont="1" applyFill="1" applyBorder="1" applyAlignment="1">
      <alignment horizontal="center" vertical="center"/>
    </xf>
    <xf numFmtId="177" fontId="4" fillId="2" borderId="1" xfId="0" applyNumberFormat="1" applyFont="1" applyFill="1" applyBorder="1" applyAlignment="1">
      <alignment vertical="center"/>
    </xf>
    <xf numFmtId="177" fontId="4" fillId="2" borderId="1" xfId="59" applyNumberFormat="1" applyFont="1" applyFill="1" applyBorder="1" applyAlignment="1" applyProtection="1">
      <alignment horizontal="center" vertical="center"/>
      <protection locked="0"/>
    </xf>
    <xf numFmtId="177" fontId="4" fillId="3" borderId="1" xfId="59" applyNumberFormat="1" applyFont="1" applyFill="1" applyBorder="1" applyAlignment="1" applyProtection="1">
      <alignment horizontal="center" vertical="center"/>
      <protection locked="0"/>
    </xf>
    <xf numFmtId="43" fontId="4" fillId="2" borderId="1" xfId="0" applyNumberFormat="1" applyFont="1" applyFill="1" applyBorder="1" applyAlignment="1">
      <alignment horizontal="right" vertical="center"/>
    </xf>
    <xf numFmtId="43" fontId="4" fillId="3" borderId="1" xfId="0" applyNumberFormat="1" applyFont="1" applyFill="1" applyBorder="1" applyAlignment="1">
      <alignment horizontal="center" vertical="center"/>
    </xf>
    <xf numFmtId="177" fontId="4" fillId="2" borderId="1" xfId="64" applyNumberFormat="1" applyFont="1" applyFill="1" applyBorder="1" applyAlignment="1" applyProtection="1">
      <alignment horizontal="center" vertical="center"/>
    </xf>
    <xf numFmtId="43" fontId="4" fillId="2" borderId="1" xfId="59" applyFont="1" applyFill="1" applyBorder="1" applyAlignment="1">
      <alignment vertical="center"/>
    </xf>
    <xf numFmtId="14" fontId="4" fillId="2" borderId="1" xfId="64" applyNumberFormat="1" applyFont="1" applyFill="1" applyBorder="1" applyAlignment="1" applyProtection="1">
      <alignment horizontal="center" vertical="center"/>
      <protection locked="0"/>
    </xf>
    <xf numFmtId="177" fontId="4" fillId="3" borderId="1" xfId="64" applyNumberFormat="1" applyFont="1" applyFill="1" applyBorder="1" applyAlignment="1" applyProtection="1">
      <alignment horizontal="center" vertical="center"/>
    </xf>
    <xf numFmtId="43" fontId="4" fillId="3" borderId="1" xfId="59" applyFont="1" applyFill="1" applyBorder="1" applyAlignment="1">
      <alignment vertical="center"/>
    </xf>
    <xf numFmtId="14" fontId="4" fillId="3" borderId="1" xfId="64" applyNumberFormat="1" applyFont="1" applyFill="1" applyBorder="1" applyAlignment="1" applyProtection="1">
      <alignment horizontal="center" vertical="center"/>
      <protection locked="0"/>
    </xf>
    <xf numFmtId="14" fontId="3" fillId="2" borderId="1" xfId="61" applyNumberFormat="1" applyFont="1" applyFill="1" applyBorder="1" applyAlignment="1" applyProtection="1">
      <alignment horizontal="left" vertical="center"/>
    </xf>
    <xf numFmtId="177" fontId="4" fillId="2" borderId="1" xfId="59" applyNumberFormat="1" applyFont="1" applyFill="1" applyBorder="1" applyAlignment="1" applyProtection="1">
      <alignment horizontal="center" vertical="center"/>
    </xf>
    <xf numFmtId="177" fontId="3" fillId="2" borderId="1" xfId="59" applyNumberFormat="1" applyFont="1" applyFill="1" applyBorder="1" applyAlignment="1" applyProtection="1">
      <alignment horizontal="center" vertical="center"/>
    </xf>
    <xf numFmtId="177" fontId="3" fillId="2" borderId="1" xfId="59" applyNumberFormat="1" applyFont="1" applyFill="1" applyBorder="1" applyAlignment="1" applyProtection="1">
      <alignment horizontal="right" vertical="center"/>
      <protection locked="0"/>
    </xf>
    <xf numFmtId="14" fontId="3" fillId="2" borderId="1" xfId="61" applyNumberFormat="1" applyFont="1" applyFill="1" applyBorder="1" applyAlignment="1" applyProtection="1">
      <alignment horizontal="left" vertical="center" wrapText="1"/>
    </xf>
    <xf numFmtId="14" fontId="10" fillId="2" borderId="1" xfId="61" applyNumberFormat="1" applyFont="1" applyFill="1" applyBorder="1" applyAlignment="1" applyProtection="1">
      <alignment horizontal="left" vertical="center"/>
    </xf>
    <xf numFmtId="14" fontId="10" fillId="2" borderId="1" xfId="61" applyNumberFormat="1" applyFont="1" applyFill="1" applyBorder="1" applyAlignment="1" applyProtection="1">
      <alignment horizontal="left" vertical="center" wrapText="1"/>
    </xf>
    <xf numFmtId="14" fontId="3" fillId="3" borderId="1" xfId="61" applyNumberFormat="1" applyFont="1" applyFill="1" applyBorder="1" applyAlignment="1" applyProtection="1">
      <alignment horizontal="left" vertical="center"/>
    </xf>
    <xf numFmtId="0" fontId="4" fillId="3" borderId="1" xfId="57" applyFont="1" applyFill="1" applyBorder="1" applyAlignment="1">
      <alignment vertical="center"/>
    </xf>
    <xf numFmtId="0" fontId="4" fillId="3" borderId="1" xfId="53" applyFont="1" applyFill="1" applyBorder="1" applyAlignment="1" applyProtection="1">
      <alignment horizontal="center"/>
      <protection locked="0"/>
    </xf>
    <xf numFmtId="0" fontId="4" fillId="3" borderId="1" xfId="53" applyFont="1" applyFill="1" applyBorder="1" applyAlignment="1">
      <alignment horizontal="center"/>
    </xf>
    <xf numFmtId="0" fontId="4" fillId="3" borderId="1" xfId="53" applyFont="1" applyFill="1" applyBorder="1" applyAlignment="1" applyProtection="1">
      <alignment horizontal="left"/>
      <protection locked="0"/>
    </xf>
    <xf numFmtId="0" fontId="4" fillId="2" borderId="1" xfId="57" applyFont="1" applyFill="1" applyBorder="1" applyAlignment="1">
      <alignment horizontal="center"/>
    </xf>
    <xf numFmtId="177" fontId="4" fillId="2" borderId="1" xfId="59" applyNumberFormat="1" applyFont="1" applyFill="1" applyBorder="1" applyAlignment="1">
      <alignment horizontal="center" vertical="center"/>
    </xf>
    <xf numFmtId="0" fontId="4" fillId="3" borderId="1" xfId="57" applyFont="1" applyFill="1" applyBorder="1" applyAlignment="1">
      <alignment horizontal="center"/>
    </xf>
    <xf numFmtId="177" fontId="4" fillId="3" borderId="1" xfId="59" applyNumberFormat="1" applyFont="1" applyFill="1" applyBorder="1" applyAlignment="1" applyProtection="1">
      <alignment horizontal="center" vertical="center"/>
    </xf>
    <xf numFmtId="14" fontId="4" fillId="2" borderId="1" xfId="53" applyNumberFormat="1" applyFont="1" applyFill="1" applyBorder="1" applyAlignment="1">
      <alignment horizontal="center" vertical="center"/>
    </xf>
    <xf numFmtId="14" fontId="4" fillId="3" borderId="1" xfId="53" applyNumberFormat="1" applyFont="1" applyFill="1" applyBorder="1" applyAlignment="1">
      <alignment horizontal="center" vertical="center"/>
    </xf>
    <xf numFmtId="0" fontId="4" fillId="2" borderId="1" xfId="53" applyNumberFormat="1" applyFont="1" applyFill="1" applyBorder="1" applyAlignment="1">
      <alignment horizontal="left" vertical="center"/>
    </xf>
    <xf numFmtId="0" fontId="10" fillId="3" borderId="1" xfId="53" applyNumberFormat="1" applyFont="1" applyFill="1" applyBorder="1" applyAlignment="1">
      <alignment horizontal="left" vertical="center"/>
    </xf>
    <xf numFmtId="0" fontId="4" fillId="3" borderId="1" xfId="53" applyFont="1" applyFill="1" applyBorder="1" applyAlignment="1">
      <alignment horizontal="left" vertical="center"/>
    </xf>
    <xf numFmtId="177" fontId="4" fillId="3" borderId="1" xfId="61" applyNumberFormat="1" applyFont="1" applyFill="1" applyBorder="1" applyAlignment="1" applyProtection="1">
      <alignment horizontal="center" vertical="center"/>
    </xf>
    <xf numFmtId="14" fontId="3" fillId="2" borderId="1" xfId="61" applyNumberFormat="1" applyFont="1" applyFill="1" applyBorder="1" applyAlignment="1" applyProtection="1">
      <alignment horizontal="left" vertical="top"/>
    </xf>
    <xf numFmtId="43" fontId="4" fillId="2" borderId="1" xfId="64" applyFont="1" applyFill="1" applyBorder="1" applyAlignment="1">
      <alignment vertical="center"/>
    </xf>
    <xf numFmtId="43" fontId="4" fillId="3" borderId="1" xfId="64" applyFont="1" applyFill="1" applyBorder="1" applyAlignment="1">
      <alignment vertical="center"/>
    </xf>
    <xf numFmtId="0" fontId="4" fillId="3" borderId="1" xfId="53" applyNumberFormat="1" applyFont="1" applyFill="1" applyBorder="1" applyAlignment="1">
      <alignment horizontal="left" vertical="center"/>
    </xf>
    <xf numFmtId="0" fontId="4" fillId="2" borderId="1" xfId="53" applyFont="1" applyFill="1" applyBorder="1" applyAlignment="1">
      <alignment horizontal="left" vertical="center"/>
    </xf>
    <xf numFmtId="177" fontId="4" fillId="3" borderId="1" xfId="53" applyNumberFormat="1" applyFont="1" applyFill="1" applyBorder="1" applyAlignment="1" applyProtection="1">
      <alignment horizontal="center" vertical="center"/>
      <protection locked="0"/>
    </xf>
    <xf numFmtId="177" fontId="4" fillId="2" borderId="1" xfId="49" applyNumberFormat="1" applyFont="1" applyFill="1" applyBorder="1" applyAlignment="1" applyProtection="1">
      <alignment horizontal="center" vertical="center"/>
    </xf>
    <xf numFmtId="177" fontId="4" fillId="3" borderId="1" xfId="53" applyNumberFormat="1" applyFont="1" applyFill="1" applyBorder="1" applyAlignment="1" applyProtection="1">
      <alignment horizontal="right" vertical="center"/>
      <protection locked="0"/>
    </xf>
    <xf numFmtId="43" fontId="4" fillId="2" borderId="2" xfId="64" applyFont="1" applyFill="1" applyBorder="1" applyAlignment="1" applyProtection="1">
      <alignment horizontal="center" vertical="center"/>
      <protection locked="0"/>
    </xf>
    <xf numFmtId="43" fontId="4" fillId="3" borderId="2" xfId="64" applyFont="1" applyFill="1" applyBorder="1" applyAlignment="1" applyProtection="1">
      <alignment horizontal="center" vertical="center"/>
      <protection locked="0"/>
    </xf>
    <xf numFmtId="43" fontId="4" fillId="3" borderId="2" xfId="64" applyFont="1" applyFill="1" applyBorder="1" applyAlignment="1">
      <alignment vertical="center"/>
    </xf>
    <xf numFmtId="43" fontId="4" fillId="3" borderId="0" xfId="64" applyFont="1" applyFill="1" applyBorder="1" applyAlignment="1" applyProtection="1">
      <alignment horizontal="center" vertical="center"/>
      <protection locked="0"/>
    </xf>
    <xf numFmtId="177" fontId="4" fillId="2" borderId="1" xfId="49" applyNumberFormat="1" applyFont="1" applyFill="1" applyBorder="1" applyAlignment="1" applyProtection="1">
      <alignment horizontal="right" vertical="center"/>
    </xf>
    <xf numFmtId="177" fontId="4" fillId="2" borderId="1" xfId="53" applyNumberFormat="1" applyFont="1" applyFill="1" applyBorder="1" applyAlignment="1" applyProtection="1">
      <alignment horizontal="right" vertical="center"/>
      <protection locked="0"/>
    </xf>
    <xf numFmtId="177" fontId="4" fillId="2" borderId="1" xfId="61" applyNumberFormat="1" applyFont="1" applyFill="1" applyBorder="1" applyAlignment="1" applyProtection="1">
      <alignment horizontal="center" vertical="center"/>
    </xf>
    <xf numFmtId="177" fontId="4" fillId="3" borderId="1" xfId="6" applyNumberFormat="1" applyFont="1" applyFill="1" applyBorder="1" applyAlignment="1">
      <alignment horizontal="center" vertical="center"/>
    </xf>
    <xf numFmtId="43" fontId="4" fillId="3" borderId="1" xfId="64" applyFont="1" applyFill="1" applyBorder="1" applyAlignment="1" applyProtection="1">
      <alignment horizontal="center" vertical="center"/>
    </xf>
    <xf numFmtId="43" fontId="4" fillId="2" borderId="1" xfId="53" applyNumberFormat="1" applyFont="1" applyFill="1" applyBorder="1" applyAlignment="1"/>
    <xf numFmtId="177" fontId="4" fillId="3" borderId="1" xfId="64" applyNumberFormat="1" applyFont="1" applyFill="1" applyBorder="1" applyAlignment="1">
      <alignment horizontal="right" vertical="center"/>
    </xf>
    <xf numFmtId="177" fontId="4" fillId="3" borderId="1" xfId="6" applyNumberFormat="1" applyFont="1" applyFill="1" applyBorder="1" applyAlignment="1">
      <alignment horizontal="right" vertical="center"/>
    </xf>
    <xf numFmtId="177" fontId="4" fillId="3" borderId="1" xfId="53" applyNumberFormat="1" applyFont="1" applyFill="1" applyBorder="1" applyAlignment="1">
      <alignment horizontal="center" vertical="center"/>
    </xf>
    <xf numFmtId="177" fontId="4" fillId="3" borderId="1" xfId="53" applyNumberFormat="1" applyFont="1" applyFill="1" applyBorder="1" applyAlignment="1">
      <alignment horizontal="right" vertical="center"/>
    </xf>
    <xf numFmtId="177" fontId="4" fillId="2" borderId="1" xfId="53" applyNumberFormat="1" applyFont="1" applyFill="1" applyBorder="1" applyAlignment="1">
      <alignment horizontal="center" vertical="center"/>
    </xf>
    <xf numFmtId="176" fontId="4" fillId="3" borderId="1" xfId="64" applyNumberFormat="1" applyFont="1" applyFill="1" applyBorder="1" applyAlignment="1">
      <alignment horizontal="center" vertical="center"/>
    </xf>
    <xf numFmtId="43" fontId="4" fillId="3" borderId="1" xfId="10" applyNumberFormat="1" applyFont="1" applyFill="1" applyBorder="1" applyAlignment="1">
      <alignment vertical="center"/>
    </xf>
    <xf numFmtId="177" fontId="4" fillId="2" borderId="1" xfId="64" applyNumberFormat="1" applyFont="1" applyFill="1" applyBorder="1" applyAlignment="1">
      <alignment horizontal="right" vertical="center"/>
    </xf>
    <xf numFmtId="177" fontId="4" fillId="2" borderId="1" xfId="53" applyNumberFormat="1" applyFont="1" applyFill="1" applyBorder="1" applyAlignment="1">
      <alignment horizontal="right" vertical="center"/>
    </xf>
    <xf numFmtId="0" fontId="4" fillId="3" borderId="1" xfId="49" applyFont="1" applyFill="1" applyBorder="1" applyAlignment="1">
      <alignment horizontal="center" vertical="center" wrapText="1"/>
      <protection locked="0"/>
    </xf>
    <xf numFmtId="14" fontId="3" fillId="2" borderId="1" xfId="61" applyNumberFormat="1" applyFont="1" applyFill="1" applyBorder="1" applyAlignment="1" applyProtection="1">
      <alignment horizontal="center" vertical="center"/>
    </xf>
    <xf numFmtId="14" fontId="3" fillId="3" borderId="1" xfId="61" applyNumberFormat="1" applyFont="1" applyFill="1" applyBorder="1" applyAlignment="1" applyProtection="1">
      <alignment horizontal="center" vertical="center"/>
    </xf>
    <xf numFmtId="0" fontId="4" fillId="3" borderId="1" xfId="57" applyFont="1" applyFill="1" applyBorder="1" applyAlignment="1" applyProtection="1">
      <alignment horizontal="center" vertical="center" wrapText="1"/>
      <protection locked="0"/>
    </xf>
    <xf numFmtId="49" fontId="4" fillId="3" borderId="1" xfId="57" applyNumberFormat="1" applyFont="1" applyFill="1" applyBorder="1" applyAlignment="1" applyProtection="1">
      <alignment horizontal="center" vertical="center" wrapText="1"/>
      <protection locked="0"/>
    </xf>
    <xf numFmtId="0" fontId="4" fillId="3" borderId="1" xfId="2" applyFont="1" applyFill="1" applyBorder="1" applyAlignment="1" applyProtection="1">
      <alignment horizontal="center" vertical="center" wrapText="1"/>
    </xf>
    <xf numFmtId="14" fontId="4" fillId="3" borderId="1" xfId="61" applyNumberFormat="1" applyFont="1" applyFill="1" applyBorder="1" applyAlignment="1" applyProtection="1">
      <alignment horizontal="center" vertical="center" wrapText="1"/>
    </xf>
    <xf numFmtId="177" fontId="4" fillId="3" borderId="1" xfId="63" applyNumberFormat="1" applyFont="1" applyFill="1" applyBorder="1" applyAlignment="1">
      <alignment horizontal="center" vertical="center" wrapText="1"/>
      <protection locked="0"/>
    </xf>
    <xf numFmtId="14" fontId="10" fillId="3" borderId="1" xfId="61" applyNumberFormat="1" applyFont="1" applyFill="1" applyBorder="1" applyAlignment="1" applyProtection="1">
      <alignment horizontal="left" vertical="center"/>
    </xf>
    <xf numFmtId="14" fontId="10" fillId="3" borderId="1" xfId="61" applyNumberFormat="1" applyFont="1" applyFill="1" applyBorder="1" applyAlignment="1" applyProtection="1">
      <alignment horizontal="left" vertical="center" wrapText="1"/>
    </xf>
    <xf numFmtId="182" fontId="4" fillId="3" borderId="1" xfId="49" applyNumberFormat="1" applyFont="1" applyFill="1" applyBorder="1" applyAlignment="1">
      <alignment vertical="center" wrapText="1"/>
      <protection locked="0"/>
    </xf>
    <xf numFmtId="14" fontId="4" fillId="3" borderId="1" xfId="61" applyNumberFormat="1" applyFont="1" applyFill="1" applyBorder="1" applyAlignment="1" applyProtection="1">
      <alignment vertical="top"/>
    </xf>
    <xf numFmtId="0" fontId="4" fillId="3" borderId="1" xfId="54" applyFont="1" applyFill="1" applyBorder="1" applyAlignment="1">
      <alignment vertical="center" wrapText="1"/>
      <protection locked="0"/>
    </xf>
    <xf numFmtId="181" fontId="4" fillId="3" borderId="1" xfId="49" applyNumberFormat="1" applyFont="1" applyFill="1" applyBorder="1" applyAlignment="1">
      <alignment horizontal="center" vertical="center" wrapText="1"/>
      <protection locked="0"/>
    </xf>
    <xf numFmtId="177" fontId="3" fillId="2" borderId="1" xfId="64" applyNumberFormat="1" applyFont="1" applyFill="1" applyBorder="1" applyAlignment="1" applyProtection="1">
      <alignment horizontal="center" vertical="center"/>
      <protection locked="0"/>
    </xf>
    <xf numFmtId="177" fontId="3" fillId="2" borderId="1" xfId="64" applyNumberFormat="1" applyFont="1" applyFill="1" applyBorder="1" applyAlignment="1" applyProtection="1">
      <alignment horizontal="right" vertical="center"/>
    </xf>
    <xf numFmtId="177" fontId="3" fillId="2" borderId="1" xfId="64" applyNumberFormat="1" applyFont="1" applyFill="1" applyBorder="1" applyAlignment="1" applyProtection="1">
      <alignment horizontal="right" vertical="center"/>
      <protection locked="0"/>
    </xf>
    <xf numFmtId="0" fontId="4" fillId="3" borderId="1" xfId="61" applyFont="1" applyFill="1" applyBorder="1" applyAlignment="1" applyProtection="1">
      <alignment horizontal="center" vertical="center" wrapText="1"/>
    </xf>
    <xf numFmtId="14" fontId="4" fillId="3" borderId="1" xfId="0" applyNumberFormat="1" applyFont="1" applyFill="1" applyBorder="1" applyAlignment="1">
      <alignment horizontal="center" vertical="center" wrapText="1"/>
    </xf>
    <xf numFmtId="176" fontId="4" fillId="3" borderId="1" xfId="61" applyNumberFormat="1" applyFont="1" applyFill="1" applyBorder="1" applyAlignment="1" applyProtection="1">
      <alignment horizontal="center" vertical="center" wrapText="1"/>
    </xf>
    <xf numFmtId="40" fontId="4" fillId="3" borderId="1" xfId="61" applyNumberFormat="1" applyFont="1" applyFill="1" applyBorder="1" applyAlignment="1" applyProtection="1">
      <alignment horizontal="left" vertical="top"/>
    </xf>
    <xf numFmtId="181" fontId="4" fillId="3" borderId="1" xfId="61" applyNumberFormat="1" applyFont="1" applyFill="1" applyBorder="1" applyAlignment="1">
      <alignment horizontal="center" vertical="center"/>
      <protection locked="0"/>
    </xf>
    <xf numFmtId="0" fontId="4" fillId="2" borderId="1" xfId="0" applyFont="1" applyFill="1" applyBorder="1" applyAlignment="1" applyProtection="1">
      <alignment horizontal="center" vertical="center" wrapText="1"/>
      <protection locked="0"/>
    </xf>
    <xf numFmtId="0" fontId="4" fillId="2" borderId="1" xfId="61" applyFont="1" applyFill="1" applyBorder="1" applyAlignment="1">
      <alignment horizontal="center" vertical="center" wrapText="1"/>
      <protection locked="0"/>
    </xf>
    <xf numFmtId="0" fontId="4" fillId="2" borderId="1" xfId="49" applyFont="1" applyFill="1" applyBorder="1" applyAlignment="1">
      <alignment horizontal="center" vertical="center" wrapText="1"/>
      <protection locked="0"/>
    </xf>
    <xf numFmtId="0" fontId="4" fillId="2" borderId="1" xfId="2" applyFont="1" applyFill="1" applyBorder="1" applyAlignment="1" applyProtection="1">
      <alignment horizontal="center" vertical="center" wrapText="1"/>
    </xf>
    <xf numFmtId="14" fontId="4" fillId="2" borderId="1" xfId="61" applyNumberFormat="1" applyFont="1" applyFill="1" applyBorder="1" applyAlignment="1">
      <alignment horizontal="center" vertical="center" wrapText="1"/>
      <protection locked="0"/>
    </xf>
    <xf numFmtId="177" fontId="4" fillId="2" borderId="1" xfId="61" applyNumberFormat="1" applyFont="1" applyFill="1" applyBorder="1" applyAlignment="1">
      <alignment horizontal="center" vertical="center" wrapText="1"/>
      <protection locked="0"/>
    </xf>
    <xf numFmtId="43" fontId="4" fillId="2" borderId="1" xfId="10" applyNumberFormat="1" applyFont="1" applyFill="1" applyBorder="1" applyAlignment="1">
      <alignment vertical="center"/>
    </xf>
    <xf numFmtId="43" fontId="4" fillId="2" borderId="1" xfId="10" applyNumberFormat="1" applyFont="1" applyFill="1" applyBorder="1" applyAlignment="1">
      <alignment horizontal="left" vertical="center"/>
    </xf>
    <xf numFmtId="43" fontId="4" fillId="2" borderId="1" xfId="53" applyNumberFormat="1" applyFont="1" applyFill="1" applyBorder="1" applyAlignment="1">
      <alignment horizontal="right" vertical="center"/>
    </xf>
    <xf numFmtId="177" fontId="4" fillId="2" borderId="1" xfId="10" applyNumberFormat="1" applyFont="1" applyFill="1" applyBorder="1" applyAlignment="1" applyProtection="1">
      <alignment horizontal="right" vertical="center" wrapText="1"/>
      <protection locked="0"/>
    </xf>
    <xf numFmtId="182" fontId="4" fillId="2" borderId="1" xfId="49" applyNumberFormat="1" applyFont="1" applyFill="1" applyBorder="1" applyAlignment="1">
      <alignment vertical="center" wrapText="1"/>
      <protection locked="0"/>
    </xf>
    <xf numFmtId="0" fontId="4" fillId="2" borderId="1" xfId="61" applyFont="1" applyFill="1" applyBorder="1" applyAlignment="1">
      <alignment horizontal="left" vertical="center" wrapText="1"/>
      <protection locked="0"/>
    </xf>
    <xf numFmtId="181" fontId="4" fillId="2" borderId="1" xfId="49" applyNumberFormat="1" applyFont="1" applyFill="1" applyBorder="1" applyAlignment="1">
      <alignment horizontal="center" vertical="center" wrapText="1"/>
      <protection locked="0"/>
    </xf>
    <xf numFmtId="0" fontId="4" fillId="3" borderId="1" xfId="0" applyFont="1" applyFill="1" applyBorder="1" applyAlignment="1" applyProtection="1">
      <alignment horizontal="center" vertical="center" wrapText="1"/>
      <protection locked="0"/>
    </xf>
    <xf numFmtId="0" fontId="4" fillId="3" borderId="1" xfId="61" applyFont="1" applyFill="1" applyBorder="1" applyAlignment="1">
      <alignment horizontal="center" vertical="center" wrapText="1"/>
      <protection locked="0"/>
    </xf>
    <xf numFmtId="14" fontId="4" fillId="3" borderId="1" xfId="61" applyNumberFormat="1" applyFont="1" applyFill="1" applyBorder="1" applyAlignment="1">
      <alignment horizontal="center" vertical="center" wrapText="1"/>
      <protection locked="0"/>
    </xf>
    <xf numFmtId="177" fontId="4" fillId="3" borderId="1" xfId="61" applyNumberFormat="1" applyFont="1" applyFill="1" applyBorder="1" applyAlignment="1">
      <alignment horizontal="center" vertical="center" wrapText="1"/>
      <protection locked="0"/>
    </xf>
    <xf numFmtId="177" fontId="4" fillId="2" borderId="1" xfId="0" applyNumberFormat="1" applyFont="1" applyFill="1" applyBorder="1" applyAlignment="1" applyProtection="1">
      <alignment horizontal="center" vertical="center"/>
      <protection locked="0"/>
    </xf>
    <xf numFmtId="177" fontId="4" fillId="3" borderId="1" xfId="10" applyNumberFormat="1" applyFont="1" applyFill="1" applyBorder="1" applyAlignment="1" applyProtection="1">
      <alignment horizontal="right" vertical="center" wrapText="1"/>
      <protection locked="0"/>
    </xf>
    <xf numFmtId="0" fontId="4" fillId="3" borderId="1" xfId="61" applyFont="1" applyFill="1" applyBorder="1" applyAlignment="1">
      <alignment horizontal="left" vertical="center" wrapText="1"/>
      <protection locked="0"/>
    </xf>
    <xf numFmtId="14" fontId="4" fillId="2" borderId="1" xfId="0" applyNumberFormat="1" applyFont="1" applyFill="1" applyBorder="1" applyAlignment="1">
      <alignment horizontal="center" vertical="center" wrapText="1"/>
    </xf>
    <xf numFmtId="14" fontId="4" fillId="2" borderId="5" xfId="61" applyNumberFormat="1" applyFont="1" applyFill="1" applyBorder="1" applyAlignment="1">
      <alignment horizontal="center" vertical="center"/>
      <protection locked="0"/>
    </xf>
    <xf numFmtId="14" fontId="4" fillId="3" borderId="5" xfId="61" applyNumberFormat="1" applyFont="1" applyFill="1" applyBorder="1" applyAlignment="1">
      <alignment horizontal="center" vertical="center"/>
      <protection locked="0"/>
    </xf>
    <xf numFmtId="0" fontId="3" fillId="2" borderId="1" xfId="61" applyFont="1" applyFill="1" applyBorder="1" applyAlignment="1">
      <alignment horizontal="left" vertical="center"/>
      <protection locked="0"/>
    </xf>
    <xf numFmtId="0" fontId="3" fillId="2" borderId="1" xfId="61" applyFont="1" applyFill="1" applyBorder="1" applyAlignment="1">
      <alignment horizontal="left" vertical="center" wrapText="1"/>
      <protection locked="0"/>
    </xf>
    <xf numFmtId="181" fontId="3" fillId="2" borderId="1" xfId="49" applyNumberFormat="1" applyFont="1" applyFill="1" applyBorder="1" applyAlignment="1">
      <alignment horizontal="center" vertical="center" wrapText="1"/>
      <protection locked="0"/>
    </xf>
    <xf numFmtId="176" fontId="4" fillId="2" borderId="1" xfId="0" applyNumberFormat="1" applyFont="1" applyFill="1" applyBorder="1" applyAlignment="1" applyProtection="1">
      <alignment horizontal="center" vertical="center"/>
      <protection locked="0"/>
    </xf>
    <xf numFmtId="0" fontId="4" fillId="2" borderId="1" xfId="49" applyFont="1" applyFill="1" applyBorder="1" applyAlignment="1" applyProtection="1">
      <alignment horizontal="center" vertical="center" wrapText="1"/>
    </xf>
    <xf numFmtId="49" fontId="4" fillId="3" borderId="1" xfId="61" applyNumberFormat="1" applyFont="1" applyFill="1" applyBorder="1" applyAlignment="1">
      <alignment horizontal="center" vertical="center" wrapText="1"/>
      <protection locked="0"/>
    </xf>
    <xf numFmtId="177" fontId="4" fillId="3" borderId="1" xfId="0" applyNumberFormat="1" applyFont="1" applyFill="1" applyBorder="1" applyAlignment="1" applyProtection="1">
      <alignment horizontal="center" vertical="center"/>
      <protection locked="0"/>
    </xf>
    <xf numFmtId="0" fontId="3" fillId="3" borderId="1" xfId="61" applyFont="1" applyFill="1" applyBorder="1" applyAlignment="1">
      <alignment horizontal="left" vertical="center" wrapText="1"/>
      <protection locked="0"/>
    </xf>
    <xf numFmtId="0" fontId="4" fillId="2" borderId="1" xfId="13" applyFont="1" applyFill="1" applyBorder="1" applyAlignment="1">
      <alignment horizontal="center" vertical="center" wrapText="1"/>
      <protection locked="0"/>
    </xf>
    <xf numFmtId="0" fontId="10" fillId="3" borderId="1" xfId="61" applyFont="1" applyFill="1" applyBorder="1" applyAlignment="1">
      <alignment horizontal="left" vertical="center"/>
      <protection locked="0"/>
    </xf>
    <xf numFmtId="0" fontId="10" fillId="3" borderId="1" xfId="61" applyFont="1" applyFill="1" applyBorder="1" applyAlignment="1">
      <alignment horizontal="left" vertical="top"/>
      <protection locked="0"/>
    </xf>
    <xf numFmtId="0" fontId="4" fillId="3" borderId="1" xfId="0" applyFont="1" applyFill="1" applyBorder="1" applyAlignment="1" applyProtection="1">
      <alignment vertical="center"/>
      <protection locked="0"/>
    </xf>
    <xf numFmtId="0" fontId="4" fillId="3" borderId="1" xfId="0" applyFont="1" applyFill="1" applyBorder="1" applyAlignment="1">
      <alignment horizontal="center" vertical="center" wrapText="1"/>
    </xf>
    <xf numFmtId="0" fontId="4" fillId="2" borderId="1" xfId="2" applyFont="1" applyFill="1" applyBorder="1" applyAlignment="1">
      <alignment horizontal="center" vertical="center" wrapText="1"/>
      <protection locked="0"/>
    </xf>
    <xf numFmtId="177" fontId="4" fillId="2" borderId="1" xfId="2" applyNumberFormat="1" applyFont="1" applyFill="1" applyBorder="1" applyAlignment="1">
      <alignment horizontal="center" vertical="center" wrapText="1"/>
      <protection locked="0"/>
    </xf>
    <xf numFmtId="0" fontId="4" fillId="3" borderId="1" xfId="49" applyFont="1" applyFill="1" applyBorder="1" applyAlignment="1" applyProtection="1">
      <alignment horizontal="center" vertical="center" wrapText="1"/>
    </xf>
    <xf numFmtId="177" fontId="4" fillId="3" borderId="1" xfId="61" applyNumberFormat="1" applyFont="1" applyFill="1" applyBorder="1" applyAlignment="1" applyProtection="1">
      <alignment horizontal="center" vertical="center" wrapText="1"/>
    </xf>
    <xf numFmtId="177" fontId="4" fillId="3" borderId="1" xfId="49" applyNumberFormat="1" applyFont="1" applyFill="1" applyBorder="1" applyAlignment="1" applyProtection="1">
      <alignment horizontal="center" vertical="center" wrapText="1"/>
    </xf>
    <xf numFmtId="14" fontId="4" fillId="2" borderId="1" xfId="0" applyNumberFormat="1" applyFont="1" applyFill="1" applyBorder="1" applyAlignment="1" applyProtection="1">
      <alignment horizontal="center" vertical="center" wrapText="1"/>
      <protection locked="0"/>
    </xf>
    <xf numFmtId="0" fontId="4" fillId="2" borderId="1" xfId="54" applyFont="1" applyFill="1" applyBorder="1" applyAlignment="1">
      <alignment vertical="center" wrapText="1"/>
      <protection locked="0"/>
    </xf>
    <xf numFmtId="181" fontId="4" fillId="2" borderId="2" xfId="49" applyNumberFormat="1" applyFont="1" applyFill="1" applyBorder="1" applyAlignment="1">
      <alignment horizontal="center" vertical="center" wrapText="1"/>
      <protection locked="0"/>
    </xf>
    <xf numFmtId="177" fontId="4" fillId="3" borderId="1" xfId="10" applyNumberFormat="1" applyFont="1" applyFill="1" applyBorder="1" applyAlignment="1" applyProtection="1">
      <alignment horizontal="right" vertical="center" wrapText="1"/>
    </xf>
    <xf numFmtId="14" fontId="4" fillId="2" borderId="5" xfId="0" applyNumberFormat="1" applyFont="1" applyFill="1" applyBorder="1" applyAlignment="1">
      <alignment horizontal="center" vertical="center"/>
    </xf>
    <xf numFmtId="0" fontId="4" fillId="2" borderId="1" xfId="0" applyFont="1" applyFill="1" applyBorder="1" applyAlignment="1">
      <alignment horizontal="center" vertical="center" wrapText="1"/>
    </xf>
    <xf numFmtId="0" fontId="4" fillId="2" borderId="1" xfId="61" applyFont="1" applyFill="1" applyBorder="1" applyAlignment="1" applyProtection="1">
      <alignment horizontal="center" vertical="center" wrapText="1"/>
    </xf>
    <xf numFmtId="177" fontId="4" fillId="2" borderId="1" xfId="61" applyNumberFormat="1" applyFont="1" applyFill="1" applyBorder="1" applyAlignment="1" applyProtection="1">
      <alignment horizontal="center" vertical="center" wrapText="1"/>
    </xf>
    <xf numFmtId="177" fontId="4" fillId="2" borderId="1" xfId="10" applyNumberFormat="1" applyFont="1" applyFill="1" applyBorder="1" applyAlignment="1" applyProtection="1">
      <alignment horizontal="right" vertical="center" wrapText="1"/>
    </xf>
    <xf numFmtId="40" fontId="4" fillId="2" borderId="1" xfId="61" applyNumberFormat="1" applyFont="1" applyFill="1" applyBorder="1" applyAlignment="1" applyProtection="1">
      <alignment horizontal="center" vertical="center" wrapText="1"/>
    </xf>
    <xf numFmtId="0" fontId="4" fillId="2" borderId="1" xfId="0" applyFont="1" applyFill="1" applyBorder="1" applyAlignment="1">
      <alignment vertical="center" wrapText="1"/>
    </xf>
    <xf numFmtId="14" fontId="4" fillId="2" borderId="5" xfId="0" applyNumberFormat="1" applyFont="1" applyFill="1" applyBorder="1" applyAlignment="1">
      <alignment horizontal="center" vertical="center" wrapText="1"/>
    </xf>
    <xf numFmtId="0" fontId="4" fillId="2" borderId="1" xfId="0" applyFont="1" applyFill="1" applyBorder="1" applyAlignment="1">
      <alignment horizontal="left" vertical="center" wrapText="1"/>
    </xf>
    <xf numFmtId="0" fontId="4" fillId="3" borderId="1" xfId="0" applyFont="1" applyFill="1" applyBorder="1" applyAlignment="1">
      <alignment horizontal="left" vertical="center" wrapText="1"/>
    </xf>
    <xf numFmtId="49" fontId="4" fillId="2" borderId="1" xfId="0" applyNumberFormat="1" applyFont="1" applyFill="1" applyBorder="1" applyAlignment="1">
      <alignment horizontal="center" vertical="center" wrapText="1"/>
    </xf>
    <xf numFmtId="49" fontId="4" fillId="3" borderId="1" xfId="0" applyNumberFormat="1" applyFont="1" applyFill="1" applyBorder="1" applyAlignment="1">
      <alignment horizontal="center" vertical="center" wrapText="1"/>
    </xf>
    <xf numFmtId="40" fontId="3" fillId="2" borderId="1" xfId="61" applyNumberFormat="1" applyFont="1" applyFill="1" applyBorder="1" applyAlignment="1" applyProtection="1">
      <alignment horizontal="center" vertical="center"/>
    </xf>
    <xf numFmtId="40" fontId="4" fillId="3" borderId="1" xfId="61" applyNumberFormat="1" applyFont="1" applyFill="1" applyBorder="1" applyAlignment="1" applyProtection="1">
      <alignment horizontal="center" vertical="center" wrapText="1"/>
    </xf>
    <xf numFmtId="0" fontId="4" fillId="3" borderId="1" xfId="54" applyFont="1" applyFill="1" applyBorder="1" applyAlignment="1">
      <alignment vertical="top"/>
      <protection locked="0"/>
    </xf>
    <xf numFmtId="181" fontId="4" fillId="3" borderId="1" xfId="49" applyNumberFormat="1" applyFont="1" applyFill="1" applyBorder="1" applyAlignment="1">
      <alignment vertical="center" wrapText="1"/>
      <protection locked="0"/>
    </xf>
    <xf numFmtId="177" fontId="4" fillId="3" borderId="1" xfId="2" applyNumberFormat="1" applyFont="1" applyFill="1" applyBorder="1" applyAlignment="1">
      <alignment horizontal="center" vertical="center" wrapText="1"/>
      <protection locked="0"/>
    </xf>
    <xf numFmtId="0" fontId="4" fillId="3" borderId="1" xfId="63" applyFont="1" applyFill="1" applyBorder="1" applyAlignment="1">
      <alignment horizontal="center" vertical="center" wrapText="1"/>
      <protection locked="0"/>
    </xf>
    <xf numFmtId="181" fontId="4" fillId="3" borderId="2" xfId="49" applyNumberFormat="1" applyFont="1" applyFill="1" applyBorder="1" applyAlignment="1">
      <alignment horizontal="center" vertical="center" wrapText="1"/>
      <protection locked="0"/>
    </xf>
    <xf numFmtId="14" fontId="4" fillId="3" borderId="5" xfId="0" applyNumberFormat="1" applyFont="1" applyFill="1" applyBorder="1" applyAlignment="1">
      <alignment horizontal="center" vertical="center"/>
    </xf>
    <xf numFmtId="0" fontId="4" fillId="2" borderId="1" xfId="57" applyFont="1" applyFill="1" applyBorder="1" applyAlignment="1" applyProtection="1">
      <alignment horizontal="center" vertical="center" wrapText="1"/>
      <protection locked="0"/>
    </xf>
    <xf numFmtId="49" fontId="4" fillId="2" borderId="1" xfId="57" applyNumberFormat="1" applyFont="1" applyFill="1" applyBorder="1" applyAlignment="1" applyProtection="1">
      <alignment horizontal="center" vertical="center" wrapText="1"/>
      <protection locked="0"/>
    </xf>
    <xf numFmtId="177" fontId="4" fillId="2" borderId="1" xfId="63" applyNumberFormat="1" applyFont="1" applyFill="1" applyBorder="1" applyAlignment="1">
      <alignment horizontal="center" vertical="center"/>
      <protection locked="0"/>
    </xf>
    <xf numFmtId="177" fontId="4" fillId="3" borderId="1" xfId="63" applyNumberFormat="1" applyFont="1" applyFill="1" applyBorder="1" applyAlignment="1">
      <alignment horizontal="center" vertical="center"/>
      <protection locked="0"/>
    </xf>
    <xf numFmtId="14" fontId="4" fillId="3" borderId="1" xfId="63" applyNumberFormat="1" applyFont="1" applyFill="1" applyBorder="1" applyAlignment="1">
      <alignment vertical="center"/>
      <protection locked="0"/>
    </xf>
    <xf numFmtId="0" fontId="4" fillId="2" borderId="1" xfId="57" applyFont="1" applyFill="1" applyBorder="1"/>
    <xf numFmtId="14" fontId="4" fillId="3" borderId="1" xfId="61" applyNumberFormat="1" applyFont="1" applyFill="1" applyBorder="1" applyAlignment="1" applyProtection="1">
      <alignment vertical="center"/>
    </xf>
    <xf numFmtId="0" fontId="4" fillId="3" borderId="1" xfId="57" applyFont="1" applyFill="1" applyBorder="1"/>
    <xf numFmtId="40" fontId="4" fillId="3" borderId="1" xfId="61" applyNumberFormat="1" applyFont="1" applyFill="1" applyBorder="1" applyAlignment="1" applyProtection="1">
      <alignment horizontal="center" vertical="top"/>
    </xf>
    <xf numFmtId="40" fontId="4" fillId="2" borderId="1" xfId="61" applyNumberFormat="1" applyFont="1" applyFill="1" applyBorder="1" applyAlignment="1" applyProtection="1">
      <alignment horizontal="center" vertical="top"/>
    </xf>
    <xf numFmtId="0" fontId="4" fillId="3" borderId="1" xfId="57" applyFont="1" applyFill="1" applyBorder="1" applyAlignment="1" applyProtection="1">
      <alignment vertical="center"/>
      <protection locked="0"/>
    </xf>
    <xf numFmtId="0" fontId="4" fillId="3" borderId="1" xfId="49" applyFont="1" applyFill="1" applyBorder="1" applyAlignment="1" applyProtection="1">
      <alignment horizontal="left" vertical="center"/>
    </xf>
    <xf numFmtId="0" fontId="3" fillId="2" borderId="1" xfId="2" applyFont="1" applyFill="1" applyBorder="1" applyAlignment="1" applyProtection="1">
      <alignment horizontal="center" vertical="center"/>
    </xf>
    <xf numFmtId="177" fontId="4" fillId="6" borderId="1" xfId="10" applyNumberFormat="1" applyFont="1" applyFill="1" applyBorder="1" applyAlignment="1" applyProtection="1">
      <alignment horizontal="right" vertical="center"/>
    </xf>
    <xf numFmtId="177" fontId="4" fillId="6" borderId="1" xfId="59" applyNumberFormat="1" applyFont="1" applyFill="1" applyBorder="1" applyAlignment="1" applyProtection="1">
      <alignment horizontal="right" vertical="center"/>
      <protection locked="0"/>
    </xf>
    <xf numFmtId="40" fontId="10" fillId="3" borderId="1" xfId="61" applyNumberFormat="1" applyFont="1" applyFill="1" applyBorder="1" applyAlignment="1" applyProtection="1">
      <alignment horizontal="left" vertical="center"/>
    </xf>
    <xf numFmtId="0" fontId="12" fillId="2" borderId="1" xfId="0" applyFont="1" applyFill="1" applyBorder="1" applyAlignment="1">
      <alignment vertical="center" wrapText="1"/>
    </xf>
    <xf numFmtId="0" fontId="12" fillId="2" borderId="1" xfId="57" applyNumberFormat="1" applyFont="1" applyFill="1" applyBorder="1" applyAlignment="1">
      <alignment horizontal="left" vertical="center"/>
    </xf>
    <xf numFmtId="0" fontId="4" fillId="6" borderId="1" xfId="57" applyFont="1" applyFill="1" applyBorder="1" applyAlignment="1" applyProtection="1">
      <alignment horizontal="center" vertical="center"/>
      <protection locked="0"/>
    </xf>
    <xf numFmtId="0" fontId="4" fillId="6" borderId="1" xfId="57" applyFont="1" applyFill="1" applyBorder="1" applyAlignment="1" applyProtection="1">
      <alignment horizontal="left" vertical="center"/>
      <protection locked="0"/>
    </xf>
    <xf numFmtId="0" fontId="4" fillId="6" borderId="1" xfId="61" applyFont="1" applyFill="1" applyBorder="1" applyAlignment="1">
      <alignment horizontal="center" vertical="center"/>
      <protection locked="0"/>
    </xf>
    <xf numFmtId="0" fontId="4" fillId="5" borderId="1" xfId="57" applyFont="1" applyFill="1" applyBorder="1" applyAlignment="1" applyProtection="1">
      <alignment horizontal="center" vertical="center"/>
      <protection locked="0"/>
    </xf>
    <xf numFmtId="0" fontId="4" fillId="5" borderId="1" xfId="57" applyFont="1" applyFill="1" applyBorder="1" applyAlignment="1" applyProtection="1">
      <alignment horizontal="left" vertical="center"/>
      <protection locked="0"/>
    </xf>
    <xf numFmtId="0" fontId="4" fillId="5" borderId="1" xfId="61" applyFont="1" applyFill="1" applyBorder="1" applyAlignment="1">
      <alignment horizontal="center" vertical="center"/>
      <protection locked="0"/>
    </xf>
    <xf numFmtId="0" fontId="4" fillId="5" borderId="1" xfId="0" applyFont="1" applyFill="1" applyBorder="1" applyAlignment="1" applyProtection="1">
      <alignment horizontal="center" vertical="center"/>
      <protection locked="0"/>
    </xf>
    <xf numFmtId="0" fontId="4" fillId="5" borderId="1" xfId="57" applyFont="1" applyFill="1" applyBorder="1" applyAlignment="1">
      <alignment horizontal="center" vertical="center"/>
    </xf>
    <xf numFmtId="0" fontId="4" fillId="5" borderId="1" xfId="0" applyFont="1" applyFill="1" applyBorder="1" applyAlignment="1">
      <alignment horizontal="center" vertical="center"/>
    </xf>
    <xf numFmtId="0" fontId="4" fillId="5" borderId="1" xfId="53" applyFont="1" applyFill="1" applyBorder="1" applyAlignment="1" applyProtection="1">
      <alignment horizontal="left" vertical="center"/>
      <protection locked="0"/>
    </xf>
    <xf numFmtId="0" fontId="4" fillId="5" borderId="1" xfId="53" applyFont="1" applyFill="1" applyBorder="1" applyAlignment="1" applyProtection="1">
      <alignment horizontal="center" vertical="center"/>
      <protection locked="0"/>
    </xf>
    <xf numFmtId="0" fontId="4" fillId="5" borderId="1" xfId="61" applyFont="1" applyFill="1" applyBorder="1" applyAlignment="1" applyProtection="1">
      <alignment horizontal="center" vertical="center"/>
    </xf>
    <xf numFmtId="0" fontId="3" fillId="3" borderId="1" xfId="2" applyFont="1" applyFill="1" applyBorder="1" applyAlignment="1" applyProtection="1">
      <alignment horizontal="center" vertical="center"/>
    </xf>
    <xf numFmtId="0" fontId="4" fillId="6" borderId="1" xfId="63" applyFont="1" applyFill="1" applyBorder="1" applyAlignment="1">
      <alignment horizontal="center" vertical="center"/>
      <protection locked="0"/>
    </xf>
    <xf numFmtId="0" fontId="4" fillId="6" borderId="1" xfId="57" applyFont="1" applyFill="1" applyBorder="1" applyAlignment="1">
      <alignment horizontal="center" vertical="center"/>
    </xf>
    <xf numFmtId="49" fontId="4" fillId="6" borderId="1" xfId="49" applyNumberFormat="1" applyFont="1" applyFill="1" applyBorder="1" applyAlignment="1">
      <alignment horizontal="center" vertical="center"/>
      <protection locked="0"/>
    </xf>
    <xf numFmtId="0" fontId="4" fillId="6" borderId="1" xfId="2" applyFont="1" applyFill="1" applyBorder="1" applyAlignment="1" applyProtection="1">
      <alignment horizontal="center" vertical="center"/>
    </xf>
    <xf numFmtId="14" fontId="4" fillId="6" borderId="1" xfId="49" applyNumberFormat="1" applyFont="1" applyFill="1" applyBorder="1" applyAlignment="1">
      <alignment horizontal="center" vertical="center"/>
      <protection locked="0"/>
    </xf>
    <xf numFmtId="14" fontId="4" fillId="6" borderId="1" xfId="61" applyNumberFormat="1" applyFont="1" applyFill="1" applyBorder="1" applyAlignment="1">
      <alignment horizontal="center" vertical="center"/>
      <protection locked="0"/>
    </xf>
    <xf numFmtId="0" fontId="4" fillId="5" borderId="1" xfId="63" applyFont="1" applyFill="1" applyBorder="1" applyAlignment="1">
      <alignment horizontal="center" vertical="center"/>
      <protection locked="0"/>
    </xf>
    <xf numFmtId="49" fontId="4" fillId="5" borderId="1" xfId="49" applyNumberFormat="1" applyFont="1" applyFill="1" applyBorder="1" applyAlignment="1">
      <alignment horizontal="center" vertical="center"/>
      <protection locked="0"/>
    </xf>
    <xf numFmtId="0" fontId="4" fillId="5" borderId="1" xfId="2" applyFont="1" applyFill="1" applyBorder="1" applyAlignment="1" applyProtection="1">
      <alignment horizontal="center" vertical="center"/>
    </xf>
    <xf numFmtId="14" fontId="4" fillId="5" borderId="1" xfId="63" applyNumberFormat="1" applyFont="1" applyFill="1" applyBorder="1" applyAlignment="1">
      <alignment horizontal="center" vertical="center"/>
      <protection locked="0"/>
    </xf>
    <xf numFmtId="0" fontId="4" fillId="5" borderId="1" xfId="2" applyFont="1" applyFill="1" applyBorder="1" applyAlignment="1">
      <alignment horizontal="center" vertical="center"/>
      <protection locked="0"/>
    </xf>
    <xf numFmtId="177" fontId="4" fillId="5" borderId="1" xfId="59" applyNumberFormat="1" applyFont="1" applyFill="1" applyBorder="1" applyAlignment="1">
      <alignment horizontal="right" vertical="center"/>
    </xf>
    <xf numFmtId="0" fontId="4" fillId="5" borderId="1" xfId="49" applyFont="1" applyFill="1" applyBorder="1" applyAlignment="1" applyProtection="1">
      <alignment horizontal="center" vertical="center"/>
    </xf>
    <xf numFmtId="14" fontId="4" fillId="5" borderId="1" xfId="61" applyNumberFormat="1" applyFont="1" applyFill="1" applyBorder="1" applyAlignment="1" applyProtection="1">
      <alignment horizontal="center" vertical="center"/>
    </xf>
    <xf numFmtId="0" fontId="4" fillId="5" borderId="1" xfId="49" applyFont="1" applyFill="1" applyBorder="1" applyAlignment="1">
      <alignment horizontal="center" vertical="center"/>
      <protection locked="0"/>
    </xf>
    <xf numFmtId="177" fontId="4" fillId="5" borderId="1" xfId="61" applyNumberFormat="1" applyFont="1" applyFill="1" applyBorder="1" applyAlignment="1" applyProtection="1">
      <alignment horizontal="right" vertical="center"/>
    </xf>
    <xf numFmtId="0" fontId="13" fillId="3" borderId="1" xfId="57" applyNumberFormat="1" applyFont="1" applyFill="1" applyBorder="1" applyAlignment="1">
      <alignment horizontal="left" vertical="center"/>
    </xf>
    <xf numFmtId="0" fontId="13" fillId="3" borderId="1" xfId="57" applyNumberFormat="1" applyFont="1" applyFill="1" applyBorder="1" applyAlignment="1">
      <alignment horizontal="left" vertical="center" wrapText="1"/>
    </xf>
    <xf numFmtId="0" fontId="13" fillId="2" borderId="1" xfId="57" applyNumberFormat="1" applyFont="1" applyFill="1" applyBorder="1" applyAlignment="1">
      <alignment horizontal="left" vertical="center"/>
    </xf>
    <xf numFmtId="0" fontId="13" fillId="2" borderId="1" xfId="57" applyNumberFormat="1" applyFont="1" applyFill="1" applyBorder="1" applyAlignment="1">
      <alignment horizontal="left" vertical="center" wrapText="1"/>
    </xf>
    <xf numFmtId="0" fontId="4" fillId="6" borderId="1" xfId="63" applyFont="1" applyFill="1" applyBorder="1" applyAlignment="1">
      <alignment vertical="center"/>
      <protection locked="0"/>
    </xf>
    <xf numFmtId="40" fontId="4" fillId="6" borderId="1" xfId="61" applyNumberFormat="1" applyFont="1" applyFill="1" applyBorder="1" applyAlignment="1">
      <alignment horizontal="left" vertical="center"/>
      <protection locked="0"/>
    </xf>
    <xf numFmtId="0" fontId="4" fillId="6" borderId="0" xfId="0" applyFont="1" applyFill="1" applyBorder="1" applyAlignment="1"/>
    <xf numFmtId="14" fontId="4" fillId="6" borderId="0" xfId="0" applyNumberFormat="1" applyFont="1" applyFill="1" applyBorder="1" applyAlignment="1"/>
    <xf numFmtId="177" fontId="4" fillId="5" borderId="1" xfId="10" applyNumberFormat="1" applyFont="1" applyFill="1" applyBorder="1" applyAlignment="1" applyProtection="1">
      <alignment horizontal="right" vertical="center"/>
    </xf>
    <xf numFmtId="0" fontId="4" fillId="5" borderId="1" xfId="63" applyFont="1" applyFill="1" applyBorder="1" applyAlignment="1">
      <alignment vertical="center"/>
      <protection locked="0"/>
    </xf>
    <xf numFmtId="0" fontId="14" fillId="5" borderId="1" xfId="57" applyFont="1" applyFill="1" applyBorder="1" applyAlignment="1">
      <alignment horizontal="left"/>
    </xf>
    <xf numFmtId="0" fontId="4" fillId="5" borderId="1" xfId="57" applyFont="1" applyFill="1" applyBorder="1" applyAlignment="1"/>
    <xf numFmtId="14" fontId="4" fillId="5" borderId="1" xfId="0" applyNumberFormat="1" applyFont="1" applyFill="1" applyBorder="1" applyAlignment="1">
      <alignment vertical="center"/>
    </xf>
    <xf numFmtId="14" fontId="13" fillId="5" borderId="1" xfId="63" applyNumberFormat="1" applyFont="1" applyFill="1" applyBorder="1" applyAlignment="1">
      <alignment horizontal="left" vertical="center"/>
      <protection locked="0"/>
    </xf>
    <xf numFmtId="14" fontId="4" fillId="5" borderId="1" xfId="63" applyNumberFormat="1" applyFont="1" applyFill="1" applyBorder="1" applyAlignment="1">
      <alignment horizontal="left" vertical="center"/>
      <protection locked="0"/>
    </xf>
    <xf numFmtId="182" fontId="4" fillId="5" borderId="1" xfId="49" applyNumberFormat="1" applyFont="1" applyFill="1" applyBorder="1" applyAlignment="1">
      <alignment vertical="center"/>
      <protection locked="0"/>
    </xf>
    <xf numFmtId="40" fontId="4" fillId="5" borderId="1" xfId="61" applyNumberFormat="1" applyFont="1" applyFill="1" applyBorder="1" applyAlignment="1" applyProtection="1">
      <alignment horizontal="center" vertical="center"/>
    </xf>
    <xf numFmtId="181" fontId="4" fillId="5" borderId="1" xfId="49" applyNumberFormat="1" applyFont="1" applyFill="1" applyBorder="1" applyAlignment="1">
      <alignment horizontal="center" vertical="center"/>
      <protection locked="0"/>
    </xf>
    <xf numFmtId="0" fontId="0" fillId="0" borderId="0" xfId="0" quotePrefix="1"/>
  </cellXfs>
  <cellStyles count="66">
    <cellStyle name="常规" xfId="0" builtinId="0"/>
    <cellStyle name="货币[0]" xfId="1" builtinId="7"/>
    <cellStyle name="常规 2 2 2 2" xfId="2"/>
    <cellStyle name="20% - 强调文字颜色 3" xfId="3" builtinId="38"/>
    <cellStyle name="输入" xfId="4" builtinId="20"/>
    <cellStyle name="货币" xfId="5" builtinId="4"/>
    <cellStyle name="常规 13 2" xfId="6"/>
    <cellStyle name="千位分隔[0]" xfId="7" builtinId="6"/>
    <cellStyle name="40% - 强调文字颜色 3" xfId="8" builtinId="39"/>
    <cellStyle name="差" xfId="9" builtinId="27"/>
    <cellStyle name="千位分隔" xfId="10" builtinId="3"/>
    <cellStyle name="60% - 强调文字颜色 3" xfId="11" builtinId="40"/>
    <cellStyle name="超链接" xfId="12" builtinId="8"/>
    <cellStyle name="常规 5 7" xfId="13"/>
    <cellStyle name="百分比" xfId="14" builtinId="5"/>
    <cellStyle name="已访问的超链接" xfId="15" builtinId="9"/>
    <cellStyle name="注释" xfId="16" builtinId="10"/>
    <cellStyle name="常规 6" xfId="17"/>
    <cellStyle name="60% - 强调文字颜色 2" xfId="18" builtinId="36"/>
    <cellStyle name="标题 4" xfId="19" builtinId="19"/>
    <cellStyle name="警告文本" xfId="20" builtinId="11"/>
    <cellStyle name="标题" xfId="21" builtinId="15"/>
    <cellStyle name="解释性文本" xfId="22" builtinId="53"/>
    <cellStyle name="标题 1" xfId="23" builtinId="16"/>
    <cellStyle name="标题 2" xfId="24" builtinId="17"/>
    <cellStyle name="60% - 强调文字颜色 1" xfId="25" builtinId="32"/>
    <cellStyle name="标题 3" xfId="26" builtinId="18"/>
    <cellStyle name="60% - 强调文字颜色 4" xfId="27" builtinId="44"/>
    <cellStyle name="输出" xfId="28" builtinId="21"/>
    <cellStyle name="计算" xfId="29" builtinId="22"/>
    <cellStyle name="检查单元格" xfId="30" builtinId="23"/>
    <cellStyle name="20% - 强调文字颜色 6" xfId="31" builtinId="50"/>
    <cellStyle name="强调文字颜色 2" xfId="32" builtinId="33"/>
    <cellStyle name="链接单元格" xfId="33" builtinId="24"/>
    <cellStyle name="汇总" xfId="34" builtinId="25"/>
    <cellStyle name="好" xfId="35" builtinId="26"/>
    <cellStyle name="适中" xfId="36" builtinId="28"/>
    <cellStyle name="20% - 强调文字颜色 5" xfId="37" builtinId="46"/>
    <cellStyle name="强调文字颜色 1" xfId="38" builtinId="29"/>
    <cellStyle name="20% - 强调文字颜色 1" xfId="39" builtinId="30"/>
    <cellStyle name="40% - 强调文字颜色 1" xfId="40" builtinId="31"/>
    <cellStyle name="20% - 强调文字颜色 2" xfId="41" builtinId="34"/>
    <cellStyle name="40% - 强调文字颜色 2" xfId="42" builtinId="35"/>
    <cellStyle name="强调文字颜色 3" xfId="43" builtinId="37"/>
    <cellStyle name="常规 3 2" xfId="44"/>
    <cellStyle name="强调文字颜色 4" xfId="45" builtinId="41"/>
    <cellStyle name="20% - 强调文字颜色 4" xfId="46" builtinId="42"/>
    <cellStyle name="40% - 强调文字颜色 4" xfId="47" builtinId="43"/>
    <cellStyle name="强调文字颜色 5" xfId="48" builtinId="45"/>
    <cellStyle name="常规 2 2" xfId="49"/>
    <cellStyle name="40% - 强调文字颜色 5" xfId="50" builtinId="47"/>
    <cellStyle name="60% - 强调文字颜色 5" xfId="51" builtinId="48"/>
    <cellStyle name="强调文字颜色 6" xfId="52" builtinId="49"/>
    <cellStyle name="常规 2 3" xfId="53"/>
    <cellStyle name="常规 10" xfId="54"/>
    <cellStyle name="40% - 强调文字颜色 6" xfId="55" builtinId="51"/>
    <cellStyle name="60% - 强调文字颜色 6" xfId="56" builtinId="52"/>
    <cellStyle name="常规 2" xfId="57"/>
    <cellStyle name="常规 3" xfId="58"/>
    <cellStyle name="千位分隔 2" xfId="59"/>
    <cellStyle name="常规 4" xfId="60"/>
    <cellStyle name="常规 5" xfId="61"/>
    <cellStyle name="常规 9 2" xfId="62"/>
    <cellStyle name="普通 3" xfId="63"/>
    <cellStyle name="千位分隔 2 2" xfId="64"/>
    <cellStyle name="千位分隔 4" xfId="65"/>
  </cellStyles>
  <dxfs count="7">
    <dxf>
      <border>
        <left style="thin">
          <color auto="1"/>
        </left>
        <right style="thin">
          <color auto="1"/>
        </right>
        <top style="thin">
          <color auto="1"/>
        </top>
        <bottom style="thin">
          <color auto="1"/>
        </bottom>
      </border>
    </dxf>
    <dxf>
      <font>
        <u val="none"/>
      </font>
      <border>
        <left style="thin">
          <color auto="1"/>
        </left>
        <right style="thin">
          <color auto="1"/>
        </right>
        <top style="thin">
          <color auto="1"/>
        </top>
        <bottom style="thin">
          <color auto="1"/>
        </bottom>
      </border>
    </dxf>
    <dxf>
      <font>
        <color rgb="FF9C0006"/>
      </font>
      <fill>
        <patternFill patternType="solid">
          <bgColor rgb="FFFFC7CE"/>
        </patternFill>
      </fill>
    </dxf>
    <dxf>
      <font>
        <color rgb="FF000000"/>
      </font>
      <fill>
        <patternFill patternType="solid"/>
      </fill>
    </dxf>
    <dxf>
      <border>
        <left style="thin">
          <color auto="1"/>
        </left>
        <right style="thin">
          <color auto="1"/>
        </right>
        <top style="thin">
          <color auto="1"/>
        </top>
        <bottom style="thin">
          <color auto="1"/>
        </bottom>
      </border>
    </dxf>
    <dxf>
      <font>
        <name val="宋体"/>
        <scheme val="none"/>
        <charset val="134"/>
        <b val="0"/>
        <i val="0"/>
        <strike val="0"/>
        <u val="none"/>
        <sz val="12"/>
        <color rgb="FF9C0006"/>
      </font>
      <fill>
        <patternFill patternType="solid">
          <bgColor rgb="FFFFC7CE"/>
        </patternFill>
      </fill>
    </dxf>
    <dxf>
      <font>
        <u val="none"/>
      </font>
      <border>
        <left style="thin">
          <color auto="1"/>
        </left>
        <right style="thin">
          <color auto="1"/>
        </right>
        <top style="thin">
          <color auto="1"/>
        </top>
        <bottom style="thin">
          <color auto="1"/>
        </bottom>
      </border>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7" Type="http://schemas.openxmlformats.org/officeDocument/2006/relationships/image" Target="../media/image7.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9.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30</xdr:col>
      <xdr:colOff>304800</xdr:colOff>
      <xdr:row>30</xdr:row>
      <xdr:rowOff>0</xdr:rowOff>
    </xdr:from>
    <xdr:to>
      <xdr:col>30</xdr:col>
      <xdr:colOff>609600</xdr:colOff>
      <xdr:row>31</xdr:row>
      <xdr:rowOff>123825</xdr:rowOff>
    </xdr:to>
    <xdr:sp>
      <xdr:nvSpPr>
        <xdr:cNvPr id="4098" name="AutoShape 2" descr="data:image/jpg;base64,/9j/4AAQSkZJRgABAQEAYABgAAD/2wBDAAMCAgMCAgMDAwMEAwMEBQgFBQQEBQoHBwYIDAoM%0aDAsKCwsNDhIQDQ4RDgsLEBYQERMUFRUVDA8XGBYUGBIUFRT/2wBDAQMEBAUEBQkFBQkUDQs%0aNFBQUFBQUFBQUFBQUFBQUFBQUFBQUFBQUFBQUFBQUFBQUFBQUFBQUFBQUFBQUFBQUFBT/wA%0aARCAMTB/oDASIAAhEBAxEB/8QAHwAAAQUBAQEBAQEAAAAAAAAAAAECAwQFBgcICQoL/8QAt%0aRAAAgEDAwIEAwUFBAQAAAF9AQIDAAQRBRIhMUEGE1FhByJxFDKBkaEII0KxwRVS0fAkM2Jy%0aggkKFhcYGRolJicoKSo0NTY3ODk6Q0RFRkdISUpTVFVWV1hZWmNkZWZnaGlqc3R1dnd4eXq%0aDhIWGh4iJipKTlJWWl5iZmqKjpKWmp6ipqrKztLW2t7i5usLDxMXGx8jJytLT1NXW19jZ2u%0aHi4+Tl5ufo6erx8vP09fb3+Pn6/8QAHwEAAwEBAQEBAQEBAQAAAAAAAAECAwQFBgcICQoL/%0a8QAtREAAgECBAQDBAcFBAQAAQJ3AAECAxEEBSExBhJBUQdhcRMiMoEIFEKRobHBCSMzUvAV%0aYnLRChYkNOEl8RcYGRomJygpKjU2Nzg5OkNERUZHSElKU1RVVldYWVpjZGVmZ2hpanN0dXZ%0a3eHl6goOEhYaHiImKkpOUlZaXmJmaoqOkpaanqKmqsrO0tba3uLm6wsPExcbHyMnK0tPU1d%0abX2Nna4uPk5ebn6Onq8vP09fb3+Pn6/9oADAMBAAIRAxEAPwD6S/Z/1/S/ip8UbDxrfS3c2%0apQNqdpaxaf8N9R0K1a6LpDcXV1dSSXEUkpSzSNd0qso+Rl3/KvQftGaDB+0Z470b4MQXMya%0aVZJ/wkHim7tHZTaxhXWxgLKRiSSY+aFyDtt89CK9S8L/AAsk+HPwrm8I+ENdntL/ABdSwa5%0arEC3souZ5XlknkjXykc75GbaNq9OMcVe+F/wt0j4U6HcWOnS3eoXt7cNe6lq+pSCW81G5bG%0a6aZwACcAAAAKoACgAYq2k7Re0fxf6Wd36qNrW0E2m5Ldt/JefdtWXzk3frhfs/eONV8V+CD%0apfijbF448NzHR9eh7tcRgbbgD+5PGUmU9MSY7GuP+O2ifFVfg/8QZLjxn4Ol0waFqDSW8fh%0aG7SZovIkyglOpkBtvG7YRnnaeld54t+FU2peO9N8aeGta/4RnxJBGtnfyNai5ttVsg27yLi%0aLchLKSxjkVgyFm+8rMp6Px/4W/wCE58CeI/Df2r7F/bGm3Gn/AGny/M8nzYmTftyN2N2cZG%0acdRWdfmqU5P7TT9L9+1n+Gq2saUXGnUivspp+ivt30/FWe9z5q1bwP8S7r4F+CPFU3jnwpF%0aa+DNOt/E9lZr4UuVMrQWEgWKaQ6lgrtkOWVV5AOAOK3tS13xx8SPAunwaN4T8EaJq/jjw3a%0aveeIvEjxva6ndSWTS/ZYLJd8twqDeCZ2AjUswScKyn0S+/Z18L+IvDOl6N4huNc1S3tNKg0%0ame3tvEGo2NldxRxhD5lpDcLEwbnIZWyDgkgVB8ZfhH4m+I1ro9h4f8SaD4W03Sbm0v7Pz/D%0a0t5c211bybkeKRLyFEQqPLKGM5VnGcNgdNaUZ1J9nJv5Nu776rldvKzMKKcIR7qK+9JWX33%0aV/O6PBPD3gjxfo2va+fDw8KaL4s0OaB/GWt634mvtRW+tnjWQfa7WTS7eKWNYUJh8iSFYtr%0aIjIpkRvpH4H+Lrvxd4JsZpPCVv4X0pLaBtLfS7uOfTbu0eMNC1r8kUqKE2gpLBEVJwAwGa8%0az8b/s1eO/Hd3rN1d+OPCVlc65DaWesSWHhO+j/tG0t5GdLaVTqxXY290YqFcoxXeAcV6Xff%0aCl/iF4RXQ/idNpXilIb+G/tjollc6RHE0RVoiV+1yuWVwTneAQQNvGTKd173l/wWvlstt+9%0axtJP3f600v+r3tbtZeiUVxF78FvBuo+IfFeu3GjeZqvinTV0jWLj7VMPtVqqFBHtD7U+ViN%0ayBW561v+D/COk+AfC2leHNBtPsOjaXbpaWlt5jyeVEowq7nJY4HckmoW2v8AW/8AwPvfbWn%0avp/W363+5PrZbFeYftN/8kD8bf9g9v/Qlr0+sTxt4SsvHnhHVvD2oGRbPUrd7eR4jh0BHDL%0a7g4IzxxQtwDwR/yJegf9g+3/8ARa1t143p/wAK/ijpFhbWNp8XoVtLaNYYVl8LwO4RRhQze%0aaNxwBz3qx/wrv4tf9Fgtf8AwlIP/j1O3mAS/wDJ2lr/ANiRN/6XxV2vxL+HekfFXwVqXhnW%0ao3NpeINk8J2zW0qndHPE38MkbhXVh0Kiud8A/CjVfD/jK88WeJ/FcnizX5bEabDKtillDBb%0a7xIVEas2SWAJOe1XPiT8O9a+I1zZ2H/CYXnh7wnt/4mWn6ND5N9fnOfLN7vLQwkcMIkWQ84%0alUEipmrqy/y+ffttre1iouzv8A1/l9+m99D5eXxH4l1n48X+sWviiJNFTQ4Phe/wAQIbJdv%0a9tsxne5SHds2+biDG4qJpEUZwa918b+AvDnwu+DejeH9G+HjfEGXTLqMaLpNzbC7L6i5Yrd%0a3EzgrF87ySSXD4xuYjkgH0Nfhp4VTwF/whC+H7BfCX2U2X9jrABb+Seq7f1z1zznPNczoXw%0a98deD9M1LTNH+IEGo2GE/slvFOkPqF1YgFd0ck8dzA1ygUMFLjzAWy8kmMFys4uP47X1bt5%0aayk1ba/eKZK0al+HbS3z0STvv6No+NbaPUn+D+gWmoRwC90b4Y+OtOuVtSfKjEFzFbrtzzt%0a+QAewr3/wDZ78baNqXx+8fWGm30d0uo6LplyAI2jZbizMtldxkMATsZYOehDggkEGrXgv8A%0aY1tNA8KeLdJ1nxpq2uXviHRX0N9Tjgit5LSCZ5Jrvylw6jzriaWQ5BIUouTs3HV8GfsgeGv%0ah34m0PXfD/iLxJBf6bfyXskt9fC7e7WW2jhuYZHkUsyTNDFKwJO11ymwYAuDs/ee/bu07/J%0aOxM1e7j8vRPT79UeH+O9A0jWP2n/i42paHoGrOj6UEfWfhXqHjBkH2FMhZbV1EA/2W5bqOl%0aaPwx0Hw/wCFf2i/AOqxWvh7w6s1vqOlRQaR8KdX8IteXEscciIZJ1kimwsErAM8ZUZwG3HH%0avEnwF1dfiZ4y8W6b8S9f8NJ4ja0Z9P0ax08qhggEQLPdW85YnGfl2AZwQ3Wo7/4A6zqfjHw%0aXrmo/FHxHr8PhvU21JdP1ix03ypWNvLDgNa2tu6sPOJyS4wCNuSCFSfJ7Py3/APJk/wAx1f%0aeU7fL/AMlt+KMf9sKOPxT4N8K/D2N2e+8ZeJdOshBDIUmNtDOl1dSKQQV2RQElgQRkYOSK5%0aj9qf4Z6f8NfgH4u8ReHfEPjjT9ctIYls7k+Otbl8uR544wdr3bKfv8A8QI9a9d8O/CAWfxT%0a1j4ga/rEviHXJo2sdIjeAQ22jWBIJhhTc2ZHYAyTE5fCgBFG2qHir4C/8J5eInibx54p1zw%0a8NQj1A+G5l06Gxdo5BLFE7Q2iTvGrqp2tKc7BuLc5mGlvNpv/AMlVvXlT8ru22rtuzuuisv%0aN6u/3tL0Rh/Hrxhd/C/wAXfCrxTcape2vhuPUbnSdZt45j5MqT2kjRSSJnDFJYEw3Ub2x1O%0afF4rv4i/F34Rw/CezsbLUNf8QeGbXxff634n8QXMZtRd38sqWyRi1lLCNYlQDcgUYAHHP1D%0a8R/hf/ws23fT7/xRrmn+Hrm3a01HQ9O+ypb6jC2Q6SyNA06BlJQmGWM4PBB5rhof2Yn0b4g%0at4i8M/EPxT4Wtf7Fh0f7LBNFqc7COeaUM1zqSXTFf3uAihdu3qQcBwdn73d//ACS/8mSfpo%0a7Ihq0Uo9El+n38rd/PUl0/4keI/Htt8WfBut+F7HSNc8P6ZGoXRtUk1KO7+1W0roFL20DBh%0atAxtOSePfyb4SfDDwvY/Czwfbaz+yRPqOrw6RaR3l5c6N4bEs8whUO7ie8WUMWyT5iq+T8w%0aByK9Guv2XNVvW8dR3fxM1jUYPGUunR6pcXVhbR3j2VurpNarJbrCi+cr7N6xAqufvE5HReJ%0aP2ddJ1/xdq2oLdLa6HrXhVvC2q6ILfcl1GrH7PNv3cPEryoMqxIccjbzL0TklrZfelJ/i2l%0a667F6O0W9E3+PKvwV3+G5598IPA8GhftPXOp6L8Hrr4V6E3g97aT/iX6fBBc3H22Nh89jLL%0aGX2DozB8DOMc19O15ToXwRvNG1H4b6w/iq4ufEPhfTP7G1K/NuVTXbTytpSaPzDtYSqkqvl%0atpDjB3kj1atJW0Sd7XX4tp/NPbpt65q71a3t+Vn+W/XR+SK8W8K/8nYeOf8AsAWP/oRr2mv%0aLvGXwf1jUfHkni/wl4wfwnq91ZJY3ok06O+huI0Ysh2uy7WGcZB6Dp1zKKPUa5f4pf8ky8X%0af9ge8/9EvXF/8ACu/i1/0WC1/8JSD/AOPVU1f4RfEzxFpd3pep/F1JNNvImguY7bw1BDI8T%0aDDKr+adpIJGcd6LeYHY/BVFl+CvgNHUOjeH7AFWGQR9mTg18X/EbT/B9r4v+J/jHQfDvhPX%0adB0+yjsrDT9W+Eura1bW8unwyRTQJcokNvax+Ym0srSLxklQvP3t4e0O18M6Bpuj2Kstlp9%0atFaQK5yRHGgRcnucAVxKfBTTtO+Ffi/wTpmoXUMHiL+1JHu7sLM0Et80ryEKoQFVaU4XIOA%0aAWzzWU+b3pR3s7ev8Aw34mkGrpS2ur+n9fgfJHw70nwavj/wCH3inX/D3hbR/D+p6dJpd3p%0a+l/CTVtDtrm5vzbLbwyzSxzW9ynmAqrM0ajdkbg3y+nfFaXwzJ+128fiA+MDBD4ItwB4MGt%0aecjtfTYEv9l/OFIU4Eny5HHNes33wDj1vT/B+nap4v1ybR/Dg06RdFto7OKzubizKPFM5MD%0aXAy6KxVZwPlA9c7fgr4Vx+FviB428Y3epy6trHiWaBFaSPYtlZwR7YbaMZOQGaVy3G5pDwM%0aV0zcef3fhTnb0e35t+SVtznimo3e7Ub+t9fwXzfkfKHwZ/4V3/AGp8Uftn/C3tv/CV3H2b+%0azv+Ex3eV9mt8ef5HPm53Z8795jbn5dtYMF94U074F/s1z+NW2+FF8O64L7JIkKGwYAJ/F5h%0aYqEx828rjnFfWWl/CjxR4OPi+bwr4q0i0u/EfiGXW5n1jQpbyOFHgii8lVju4SWBiDby2Oc%0abO9YejfsraPp+m/B3T7+9t9cs/h3FMFh1DTkkW+meEIsoBYiIo48xeHIwOcjdWSV4uLdrqC%0a+7mv8AddWfe3a5s3abktdZP7+W3327PT7j5BWfxZ4f+El08p8QwftGNqtymrQiOKa7vtOur%0aFWkbClUMcdpBCytztuLYKOWwfefgR4M+HfjVfi9plho2k+I/AiNos2k21/aJcweUuiW3kvs%0akUjeFPUjcCTnnNfSWv8AgyO81aXxFpS2Vp4wTT306z1TULeS6it4mcOymFZY8hmVS21kLbV%0ay2FArzfwR+y/o+mWPimDxZ/Zevw+INUt9SuNL0fTZNK0oeRAkUcRtBPKJEOwu6SOyOxyU4F%0aEv3inHbmi16XslbyVubp71310le7KMuzT/ABbf/wAit/dsntr87fs9zeBm0T9mGHwlaaXFq%0aaagTrtzpVksayXZ0W9ys0yKFknXncpYum5dwG5c+x/sffDbSX+HGmeJzd6+NSGr6u3kDxFq%0aAscjULlP+PMT/Z8Y7eXjPzdea7nxj+z4nivxJoGq23jrxL4Zh8OyCXRdL0W30tLTTm+ztbn%0ay1lspGIMbuNrswG75QMLhPht8ALr4W2thYaT8TfGE+i2l1JdHSryHSWhmaSVpZVd1sFl2s7%0asTtdSM4BGBjTn5pSlte/yu0/yRLjokulvyl+svwPW6KKKzKPEfizBrcmpXEej3kWn3JnVnu%0aJrcT/u9pOFQkAknYOT03Y5xWFf+Ip7UmCHTbu7vNo2lI9kBYjvITgAHr1I9DXs3jDwiPEUQ%0algdYr2MYVn+649Djkex9zXml34Q8Sw3BiTRZZvSRJo9h987v51+JZzkWJpYyc403KMm2mk3%0au72dtdPP5H6HlmMw1SlFTaUkrNN22/Qy9NtEtnjitokheQgCOLhQxJOFHuzH8/eve763kut%0aOuIEdFlkiZFaVC6AkYyVDKSPYEH3HWvItP+H/irStY0/U2t7a5jhlWRrWKcbwAcnlsDPpg1%0a65qVo+o6ZdWsd1Pp8k8LRrdW2zzoCykB03Ky7lzkZBGRyCOK+v4XwVXDUq6r03Fu2jVrqz6%0a697eXU8fO61Oc6TpTUkr6p3s7r+vM/N7xz4X8M+A/jJ4Y+EdjYfC9pLSAXeoX+k/CG41q6D%0aIu+OxlT7TdTTNLGHkdtySKiht/NdvP4C+H/irxDpfga40z4b6RrfiHzEsLa4+A+taNcT+WN%0a7tFO13EU2gZLq4x3IzXtZ/ZKlvfB2peCLvxRaWvg27u5b9n0zQ0bW7i6diftFzf3st0ss/O%0a4zJDFIGVCjRquypfBH7LOtfCLW7zWvBXxJvdS1jUlMeo3/xD0uHXbm4UBBGBcxNa3ICiPAR%0a5njAJwgPNfoMXa3M/O/f/Kzt30V92fKS1vy/1/nfX56bHJ/FHw9pes/tX29vr/wvT4seT4F%0agP2OOy06Vbd/t0oMoS/njVQeR8rM3ODkc1k/F/wAA+C7X4TeNJrf9lD+xLiPRb149T/srwy%0av2RhA5E2Y71nGw/NlAW44BOK9r8RfA7WfEHxRt/G9v8QtU8MXw0CPRbiPQNPs/37LM0pkzd%0ax3AVSW4QLkYGXPSq/i/4C+JfFvhPWtDm+NPjMxanZTWbi4sNEeMiRCh3KmnoxXnkK6nHRlP%0aIwqJuk4re0vxcn09V5mlNqNSLey5fwUf8vQ82+IelWXiTwl+zVo15ocXiiKV1u5dEljhkF7%0aFFolwXj2TMsZyWRRvIXLLuKjmvnef4dfDny/indz+DfEPhqCx1OeS+srjQfA9qmgrMFWGMr%0afTPOIyeY3R0STI8rBO4/cP/Chrct4cvYvFGs6brug6DHoNjqOnrbEWyZjM00cM8UyCSURIr%0aFg2FUBcHJOXffsj/D3X9YtNd8RJr/iXxTbYaLxBqHiK+S8ifeX3QGGWNLbLEnbbrEgzgKBx%0aW9a06lRraTm//ApafglvtfTqY0bwhBPoor7lr+L6dtehD+yN4M8J6D8GfDOp+HvA7eEby60%0a2C2uri/0O30vUtQ8kbBPcJEzn5yGkAZ2OHz3yfba5Dwt4J1Xwit9/xWWu+JYmi8uzsteNq0%0adrjO0CWK3SZ+wLSvIxAySWJJyf2e/hhc/B/wCEWg+GNQnt7vV4FludRubXJjlu5pWmmZSQC%0aV3yMASASAMgU5y9pOUv61b0+W+mmtkTCPJFL+tt/wBNddNT0Wvn79vdQ/7Jfj1TnBjtBwcH%0a/j8g7ive72B7qznhiuJbOSSNkW4hCl4iRgOodWXI6jcCOOQRxXjPj39mi8+J3hO/8M+Jvi3%0a451LRL4ILi18jRYt+11dfmj05WGGVTwR0rLdq/dP7mn+SN4vld/62f+Z0ui/Anw3pd1Y30O%0apeMnmt3SZFufG+tTxFlIIDxPdsjrkcqwKkcEEcV5Vq3jzUvB37U3xGtNB8Man4p8Ran4d0O%0aGwtbWBltI3VtQPmXd0R5dvEOMljvbkRo7cV6evwj8UIoUfGnxyABgf6HoP/AMrK6LQ/hzYa%0aF471rxal5e3Wravp9lp119oaPyylsZijqqouGYzvu5xwMBe7esk76a/ijJaU+W2vu/g7/wD%0aB89j56t/DXxA/Zz8Aaro+tFviD4d8Rw31xqGqaVYlbrSNTuVeSZ3RRmazeVmIkI3xA/OSmN%0anEeNb7wrp3wr/Zpn8bsF8Kr4Pvxf4JDlDo0YAjxz5hYqExzvK45xX1v8RfAF78QLD7DB4y1%0a3wtZyQywXMOjRWLC6Rxghzc20xGBkDYV+8c54xy2sfs5+HtV1P4U7lt59E+H8ckdppeo2i3%0aYn/0dYYWLsfleMorhtpOQMbTzStzJp6apeiSkvwTXL12vtc0T5Wmtd36t8v52d9Lb2Wtj4o%0aWfxZ4f+El08p8QwftGNqtymrQiOKa7vtOurFWkbClUMcdpBCytztuLYKOWwfp39kVfDSeKf%0aiivg1on8KCXQxpbRfdNt/Y1r5Z55ztxnPOc55r27X/AAZHeatL4i0pbK08YJp76dZ6pqFvJ%0adRW8TOHZTCsseQzKpbayFtq5bCgVyvwU+DMnwpufFl9dX2l3d/4hvYruWHQ9I/suxt1jt44%0aVSKAzTEE7CzEucljwO+sZ+9JtWun/wC2pJeVld7e82+plKOit3/zbf42W/upLoen1zPxOXd%0a8NfFg9dIux/5BeumrG8Z6dLrHg/XbCAbp7qwngjHqzRso/U15+Mi5YWrGKu3GX/pMhy+Fnj%0af7K+hxaR4B1zUp5FtvPcYnfgIuMHmqWj/CPwVo2rjVNT8SR3aRyebsjbOWBzzxXTar4X1Hw%0a98CYdCsrC4uLyUtHNDBCzvgknJAGce9eLW/w58RrjPh7VR/25Sf/E1+J5ti3k1DB4KWA9u4%0aQUr2m1GTd38MWn31PPl7ijHlvY9B8U+Obfxz8V/CwsAf7PstQt1iJ7/vVyR+Qrd/bM8JXfi%0ab9n/X77S4vM17wy8PiXTGUkMk9nIJsrjnJRZF4/vVx3gD4fa6ni3SJptIvbWK3uopnkuLd0%0aUKrgnkj2r6avbODUbOe0uYlntp42ilicZV0YYIPsQTX0nBGJx+Ohjcbi4OFSdSLV4uK92Ol%0ak0nZNJbdzqwsrtyqLR7+jVn+DZ8FS/FxNQ+OumftFJfXMfgWLUbbwMy4Jj+yTWJuJJcYzgX%0akkS5P9zv0Dfhv4fvNU1D4E+GPFkTRaB8SrnXPG/iDTnOItXvHAuLa3nwBvjWN42MTfKxQBl%0aOK+rU/Zm+Gkfwcf4Vr4YQeAnfzG0n7Zcct53nZ87zPNz5nP3/AG6cV0fiv4UeE/G3hnT9A1%0afR459N014ZdPEMslvNYyRY8qS3mjZZIXUDAdGVsZGcE1+r3jF+6tE9F5atr/wJ3W+yNvea1%0aerWr81ZRf8A4DdP1du54SPDmn/Cb9qm18MeBbSDQfDOu+D7/UtZ8O6ZEIbGGeKSOOC7WFcJ%0aHI4JjLKBuCDOSMjyP4O/DXw1pP8AwTW1zxVFo9rL4nvfCWsLLrM8SyXYiLzjyUlI3JEAi4j%0aUhc5OMkk/Z3g34ReFvAb6rNpVhO99qoVb7UtSv7jUL24VV2qj3NxJJKUUfdTftXJIAJOYtL%0a+C/g3RvhS/w2s9H8nwU9pNYNpn2qZswSljInmlzJyXbndkZ4I4rCcXKlOCerVr/wDb0pfck%0a0l8+lkbRklUjNrRO9v+3UvvbV/u66nyv+yHb2nxa8Z6Vc/ElFh8W+CdD05fC3hG5Xdb2tg1%0atFt1eFjxPJMwA3gAwlApAbaa+3q4C/8AgP4G1HUPBd/JorRah4OiWDQ7y1vbiCe1iVQnlGS%0aORWljKqAUkLKwJyDk57+umpNTba7v8W3f1d7vz2drJc8IuKs+y/BJW9FbTyeut2yvL/ivrF%0azYaWy2Ul1b3bTEJc2p5hHQsfUc+n5V6hXH6rp8t3czhrWV08xipEZ9eoqVB1IyinZ23G6ns%0apxna9nsfnd8TvF2s+B/jP4K8X+NPEV9e3Ol3BubFr6wVYJNiNlIniU5D5B5ycjB5ya+zPAX%0ax9sPEl1pdjqXkaZfalBFLaRO+HkZx/qyp5DjgFRkjDE8c1U+JnwLXx3aWcKW7xwQz+dNaGA%0aFJjxtPzAgFSN2MYbAz0FWfCfwoh0zXl1iHSby0ukkLNNcIHkmGMbDkZCBvmXnjPGMkV5uGw%0amJoVXeStfXXfz8j6bHZlg8wwtPnp2nCLWmltbpW2tfXRM9seJ7zSmiiuZLSSWHatxAFLxEr%0aw6h1ZcjqNwI45BHFfJOj/DBta+JnjyHwt4SuNS1bQ7m20jVfFGqfFPW9Iv9Xf7NHcK8qWdu%0ayEKJ9oGQq4wiqoVR9d2QIs4AwKsI1yCMEcV5HbfALWLHx1418Rab8T/EXh6LxLfxXzado9j%0apvlxFLaKD5mura4ZyfKzkFBggbcgk99rVL+T+/S36/r0PnL3hbzX63/T9DyfUfh3NonxK8B%0aWHirwpcWF/rl1dabpXiPT/AIp63rN5pEotZLhpYY7yBUXcLcKcHDA7XVkLKcP4z/2b4b8Q/%0aHzWNZ0TQfGtxoOieGZ4P+Ex02G9tmm/0iIzyRgIoba7k7Ng5OMDivdZvgJrF34+8E+JNS+J%0a/iLxFF4avp71dO1ix00RymS1mt/le1toGQjzs5YuCBjaCdw3rf4N6dL8QPHHiHVja63p3ii%0a0061l0e9slkijFr5uCxYkSbjIDgqNpQdewul/73/ttvvtLVf8Ed7N27R/OV//AG3+mz5m8C%0a2/w2Hxx8BeH9Jh+AfjqPVXvJpZvBfhK2t73TXt4DNFKHW9uNuXAwSo+7wc9MDxF4X8PP8As%0aA+DPGeqaTY3+r+HkWGxudQtra6S2iutViiuSIbsNbFjGMB5lITrleTX2v40sPFt/b2y+E9c%0a0XRJgzee+s6PNqKuuOAgjurfYQc5JLZ9BXnF3+zYJv2bNL+E9v4mms5LIWTHXo7NWdpYbuO%0a5eRYWYqu50OASwXcM78YLvdfOP4Tu/wDyW67u7Qtmn6/+ktfi7eR8Y6n/AMKW/s67/s/yPt%0a/lP9n+0/8ACrPK8zB279vO3OM45xX1B8Jvhf4Tn+AEuv8Agy+0rwv4k1fQbaHX9X8Bf2c9v%0aPc28LmWPYkctoD5kkoZo0BORhuFx6b/AMKl8U/9Fp8c/wDgFoP/AMrKo+Bv2edO8P8AgPVP%0aCviTVrzxjZ6hrt5rdxLcZszdGeZpTFcJAyRzIdxDoVEUnOYwPlEzXtKc6d7XWnz0/J387JF%0aQlyVITtdJ3+7X81ZdrtnzZ8MdI06f4c/BLVv+FreNW1Tw/wCH132vhjwtHrc+nC5sbfFsWt%0arCZYFChWAuUeR1bIbjNTfseaJbeILL4NarL4s8b3k+hRal5Okaj4OmTS1MyyofLv0sokXjk%0amSaQE/KNp4r6guPg0dPit7Lwf4u1f4c6DbxlItC8LabpEVlGxZmZ1SaxlYMxYk4bGecZJzj%0a/D39ny9+GWjaVoui/FPxmND00/udNuINHeNlLlyjP/Z4kIJY9HB54Irf2l5yn31X3yf6/wD%0aDbmKhywUL7f5HhHxm+GvhvxL8U9fOgfB6713WtSVp9b8U6x9g1G9WCKQIf7P0/Vr1BGuQ6L%0ac+V5S7F2RzIyleb+CviZfgxL4au/gv8ItYvPA2o6LFqOvafdzaS/iC7tixEWpRiK9kuJSSX%0aXyDEseQwTYSa+o7T9nmw0ewuv7E8V+ItG17UX36v4mT7Fd6nqvy7Qs8t1bTBY1H3Y4ljROi%0aKo4p9x+zb4OfwR4X8PWqXumXXhe1S20XxFYTiLVbHbGELpOF53ADejKY36MhGBWVN+zsvT5%0a73+Wui0d7vezNJ++/v/S3z031srLufPmqeHvDtj+0nrWoT+FfGXhLw7/aMS2esXGow2el3H%0aiC9RlbUoodRuVjkmiQ7IxbwSHdvJVjsWuTsfBWrWXg698Dab8RPEM3gPVviNL4IlhlstJle%0a8tJYC13M87WReS4Nx5y+aW/h6bhmvr/AFT4F+G76XUr+0a70jxLqQMd14os3RtXaFiDJAl1%0aKjvDEwGAkRQJnMflkAiPX/gJ4a1PwL4b8K6TJeeE7Lw3eQahpFxozRma0ni3bXHnpKkhO99%0axkVyxcsfm5pRSikmrpWVu65rv/Jf5JDbbd07Pe/Z8rS/4P/BZo/B3R28MeBrbw9J4v/4TeX%0aRJZdOOqSFDcBY2OyG4KsQ00aFFdjtLEbioJrt65H4Y/DWx+Fvh+602zv7/AFaa91C51S81H%0aUzEbi6uZ5DJI7+VHHGOSAAqKAFAxXXVUm5O7d3+tlf8b+u/UiKUVZKy/Tp/Xy6HkHx//wCR%0ai+DH/Y923/pDfV8WfFvV/DX7H2seMfCvwv1/U7vxfreyC+1CQqo0W13GQW8TL96Y7hlz91c%0afxdPtH9pBL60i+HOuWmj6nrdvoXi231G9t9HtHu7hYBa3UZdYkBZsNKmcDvXxf8afgXZ/Er%0a4qa14p0q3+IGlWWsXBu7i1u/h9qMskMpADbCoAZSRkZxjOOetfsHCMqHs6ccXNqjyzvHRxl%0aJVFKKkr30XvJWs9m2tH5mK5rvlWun5dDzbw18c9d8dfD3VPhb4y8WTjSNVure4s9Z1iWS4W%0axlSQMUlblzA/c87CAcYzX2x8Dvhxc/CT4s/DjwnealFq9xp3w91MPeW+fKffqtrIAmedqhw%0ao9gK+Orz9lGQ6hBHBceOJdNcgTyy/DnU0nVT97Yg3KTjplhX3B8Mb1/FPx20PUdM8NeKNI8%0aPaD4Jm0Q3fiPR5tPLym6tWjVRKAXOyFiSOBivb4pr4V4eSwEkqco1JSSUUuZxjFPdO8tuVJ%0ap2voY4ZS5vf30+7Uyf2zdPn1Xxf8ArS11O60a4m8cRIl/ZLE00B+zzfMglR4yR/tIw9q9L8%0aVfAKz+Ifw51jwb408VeIPF1nqDpNFf3osra7sJEIaOS3e1toVVlYBgWVucg5UkHrvFvw68P%0aeOdR8O3+uaf8Abbvw9fjU9Mk86SP7PchSofCMA3DEYbI56Vc8V+EdJ8baQ2m6zam6ti6yoy%0aSvDLDIpyksUqFXikU8q6MrKeQRX4CtKbj/AHm/v5LfNcv5anut3mpdkl93N+HvfnoeB+APE%0a/xC+FHxf0H4Q+P9VtviLoHiKwuptD8TtCINQRbZAZYL6IErJ8roomGCxyWyWO3lfF3hvxZ+%0awvoc/ibwVrJ8T/B+C9Q33gfWjm40pLicJu06667Q8iAQSAjG45LOWH0L4U+CvhHwdrF3q1n%0aY3d/q91a/YZNR13VLvVrkW+SxgSW7lldIyxyUUhWOCQSBWbbfs5+ArfULC5bTdQvINPnW5s%0atLv9bvrrTLSRQRGYrGWdrePy8/IFjAjwNgXAxadpRk9+r7rmvZrrppfTV306w7WkradF2dr%0aXT6a6210012Xnvwjk/sT9sb44WGqs8epa3Y6NqmlCcbfPsYoGhk8vnkRzEq2OhYetdh+1ho%0aeo+I/gRr+n6Tp91ql/LcWDJa2ULTSuFvoGYhVBJwqkn0AJ7V2Hj74VeFviaunt4h0oXV3ps%0ahmsNQtp5bS9snONxguYWSWLdtAbY43AYORWFdfBWDSvD+pWXhHWtQ8PavqflwXXiLULq41n%0aUltQx3RQz3cztGQGcpkskbOz+WSTmU2ox7xt87NNennv3Wug7Xk3ff9VZ+vlt22Vz5X+E3j%0avSvBXxK1r4h3ry3HhexufGUE11Yxmf/AEqbWbU29oNuQbiYDMcecsCCOOa7r4P+FfEaftR+%0aKtZ8SvFb+K/FfgePUbiwuV+0W2mBrtooLTYGXescaIHwRvcyEEBhj1fwt+y34I8A+JNE1fw%0avYR6UNOtlglspIluIbuSNGWC6k35YXUe+QCdSHZZJFYkEbdPwZ8K/EGn/ABJ1Txx4q8S6dr%0aOsXOkRaLbJoujvp0FvAk0krMVkubgu7M45yAAn3Tk04pRUYvW0XH5ctvvk18o6PW9yTbk5L%0aS7T+53X3L73qtLW+cPi9Y6smg6D4Y+IPgXxV4k0OXWLXSdJ8KeHE0TQNDu2VtsJhWO+nvoy%0aiK8oAmRP3ah1iXcRueEtE1H4M+LtF8PeBdH8Y/DC28XaxMYtP8WW2j65pMt19leSZ5Gg1D+%0a0C5WAvva4ZQRjbggD6D8L/BnR/D+v/wDCR319qfinxd5TwJ4g12dZriBG6rBEiJBbAjaGEE%0aUe/aC+85Jp6R8FHh8aaL4l1/xz4m8ZXeiic6dbauLCG3tpJU8t5QlpawF32FkBcsAHbAyc0%0a4uzV/n5+Xm9E7vTtohS1Tt029e/ktX599WeXftQ3/jmL4buviFfh/oegafqmm3zeINS8S3d%0ap9oa3uop9othYS+WZDEVCCaUru6vjml8UPFPjfUfiv8ACKPUrT4b6NrNtf3Wp6Vps3jW7Zt%0aWBtJLZkjf+ygFI+1Kw+8WwQAeSPTG/Zy0vW/jA/xB8X6zqHjK7sJg/hzStSCLY6ENq5aKFA%0aFeXfuImcFgBGPvRhz13xT+FPhj4z+Dbvwx4t0yPU9KuMOA3yyQSDO2WJxyki5OGHqRyCQYT%0ask+t72+VvS/4dO7KdpNx6Wav6tP7vx66aJ+c/G7wN8Tfi98IU0S307w14f8SnWLO83Q+IJp%0aoYYbeeOdXSV9POZS0e3a0JUZ3EvjYfJ/H2vfHTwBcWunzeJdT1zX7yNpbPQtC1yxu7ydQwU%0auVXwrtij3MqmWZo4wSMuK9y8Ofs3eGD4S0nS/iBbWHxa1XTEkt7fXvGGk2t3eCAuTHGXZCT%0atUgFiSWILHrgcT4R/Yp8JWvj2XxH4r8OfDvWLZdONhbaNo3geHTrNGMoczyJJPOJJcKEDfL%0ahS3qaaSUmk9Hr+CX36W+9iv7qbWq0/H8uv3LucNrngzxR4G/wCCdvjPS/GmnGx8QyQ6le3V%0alJdQ3Mg+0X8kwDyRKsTMRIM7AF54C9B5H4n0DUYPGuvad4A8NN8K9b/4TbRjpOmLbaen2W6%0a/sG9aNjHC01vh3wTyeHOcN0+wvF37LHgPVvDk2j+G/Dnh/wADx31zanU7jRNEt4Jr20inSZ%0a7UsgQhXMagnnHoa5TXP2XPFevaxfeJX+IWm2fjC48QWeupfWnht/skP2axltI41t3vGJbEx%0afe0hGVA2YzTVnO+223SyS0+7r2b6j+ylvu9e7bbv/wO9jy/9nbSrTUPiboS+AdZiklu/DU+%0aoeNY7rwzo0CW1zJmKCyn+x2dvN5guFuHeJpAcW/J+bNL8XrHVk0HQfDHxB8C+KvEmhy6xa6%0aTpPhTw4miaBod2ytthMKx3099GURXlAEyJ+7UOsS7iPdfBH7Nsfwn1n+0vA/irUtPm1KZJf%0aEia0P7SXWpPm8y5YsytDdMW+/GRFxgwsAu3qvC/wAGdH8P6/8A8JHfX2p+KfF3lPAniDXZ1%0amuIEbqsESIkFsCNoYQRR79oL7zkmm03F226fO9l5LaLey/vErRNd9u+1rvze8rbvTa58+eE%0atE1H4M+LtF8PeBdH8Y/DC28XaxMYtP8AFlto+uaTLdfZXkmeRoNQ/tAuVgL72uGUEY24IA7%0abSL/xh4H/AGhfiHqDfD/xF4wh1HSNEj/tPQorO0tXmiS4Euz7ZdxZ5cfKjSFeAx5BPoOkfB%0aR4fGmi+Jdf8c+JvGV3oonOnW2riwht7aSVPLeUJaWsBd9hZAXLAB2wMnNelVN7JeV/uskl8%0akvy7De7XR2+9Ntv56b+Z8f/ALLvxG8QabP8Yfs3ws8W6sbjx/qk8gs7rSF+yuyw5hk82/TL%0arjkpuTkYY84k+EekeNo/h58FfCcmleIPDNhp1jqWua+8sMtqP3Zljt7KVuAS7ziQxnqsOeR%0aXvXwh+E3/AAqqXxu/9q/2p/wkviS78Q4+z+T9m88IPJ++2/bs+9xnPQV6BJGs0bI6hkYFWU%0a9CD2rOa5qTit3FL5qLX4N/gUnabfS7f3tfovxPDP2PtHsNW/ZZ+Ez31jbXr2emw3Ns1xCsh%0agmG9RImR8rAMw3DnDH1qn+zVBdab4p8ZL4ZkOtfB/WbmXWNC1Vpjus75p3jv7PZKRLsMyPK%0arbdnzv8AMc1ueF/2dLzwN4btfDvhz4r+N9G0CzRorPT4YtHlW2iJJEayS6e8hAzgFnJxjmv%0aQvh14B0n4W+B9G8KaFHJHpelW4ghMz75H5JZ3bjLsxZmOBkseBXTOanUlUXXp62vf0srefk%0aZKPLBQ7Pf0va3rfXy8zo688/aL/wCTfPif/wBivqn/AKSS16HXE/G/Rb3xJ8FvH+k6bbvd6%0ajf+H9Qtba3j+9LK9tIqKPcsQPxrowElHGUJSdkpw/8AS4hP4H6P8mfJXx20nwF8EPEPg34x%0aXd/e3vjm40m1fTPDabfInuYrRIUuZW+8kSKVyB94gAdTXzn8Pf2uviB4X8b3ur634k1XXtN%0a1ZJYNTsZrlmQpIpXfChO2N0yCu3A42ng17l+0P4NtfjtpPgq5t9D+IWga7oelx6bPHc+BdQ%0anglQBScMi5DKwbkZBB7Yrx3UP2U5UskaxuPG814fvR3Xw41OOIfRl3E/8AfIr+h8neWPAqn%0amkuepJOL5knyxUpOMYtN2S0aad29W9EjwqvtOe9PRHr/wAGfg+vw5+EXh/XrTxVY+KNL8Se%0aP/C8lq9gkiLEIb3axkV+VlJfDL22Dk19S/tjf8msfFP/ALF+7/8ARZrwL4c+Hm8P/DL4e/D%0anRfDnje/1K38aabrt/qWp+FbvTrONEu0lmbfKMKqouBk5OPfFfY/jHwhpHj/wrqvhvXrT7f%0aouqW72t5beY8fmxMMMu5CGGR3BBr8g4yqVMXVvOfM3KpZ6K8eaCi2ot2uo+V7Xtrp7GAapS%0aUraK35P/M+XNS/5LR+xx/2A9V/9NcFdn+14/wDb2ofB/wAI6bLu8TX/AI20/UrWGNd7x21o%0aWlubgjsiJgE+rgd69G8VfALwT4yPhR9Q0+/in8KwPbaNc6ZrN7YT2cbxpG6rLbzI5ykaqdx%0aJwD6nOl4I+EXhT4eahf6jo+nStq9+At1q+p3s+oX8yAKFja6uXklMY2jCb9oPIAJNfHzmpV%0aObpzyl983JLy6X+dty4Rcaaj15VH/yVxb/ABdvl2PJP2RX/sjxF8cPDupO6+Jbfx3falcxz%0aDEj2tysbWswGfuNGpCnp8hHavRf2h/h5dfE34QeINH0xxDr8ca3+j3I4aC/t2E1u6t1U+Yi%0agkc4JrR8bfBnwj8QNasta1bTZ4tds4zBBrOk39zpt+sRzmL7TbSRymPLE+WWK5OcZ5qmfg5%0aBpWlpZeFfFHiDwc7zNPeX9nLb6heag5UKpuLjUYbmSTaqhVJbIUKudqqBztNwUb2aSV/SyT%0a/BP1v3N07Tct023r57rz3a9H5HyVrHiK88XfC79rbWtR0u50PUdQ0HSbm50y9iaOa1lbRoi%0a8TqwBBViRyB0r134beBNZ+I9z8RvF+qaRBbS3tjb+FdBsvE+kNcwtp1sgaZ3tmkh82O4neR%0aly6hlWM5xWxq37H1trsPjaK++KPjmdPGkccWvDZo6/bFSEQoONPHl4jAX93t9evNd3ofwo1%0a/RIhD/wALY8Y3tuls1tFDc2ujbYsoVVwU09SWThhuJUkDcGGQburO2miS8rKSdvvSXlcjVc%0avWzfz1i1+V38j5n+IttfeM/GfgbRPid8PfiD421i8uLi4sNEtr/RNFtLERxZlubQWd+1wNo%0a8tNtxdFP3p+fdsU9d8KLDxB8N/GGj/DPwWniH4faXJY3up2eg+ONK0nVbGC2S4iLi3l0++S%0a4Vg9wBuuHmLBs5ypJ9z8OfBnR/CkerXen32pnxVqtv8AZ7vxbezrd6m3HBVpkeONQ2XEKRr%0aArE4iA4png74Pr4a8aT+LNV8Wa/4y11rD+zILjW/siLaW5k8x1ijtbeBMuyoWZlZj5agEAY%0aLi+V/ffs+3421e+vkKSuvut5f5aX0Xl5nx5+0P4X+GXgT9o7UNJ1XSbHTdN1PRl1+WWO28L%0aG5ub+4vLnz5HuNeBLKQq4jibC44VQawvBGn/B7V/ir4QsUh8KXHhq6muINYh8U/8IBh1aBx%0aAsH9mf6R5hmMY+WvsrxT8ENS1/4u3HjnTfiBrPhN5tEg0Z7TRrOydpBHPNLvaS6gnGP32Nq%0aopGMljnAyPHv7Omv+PPDw0m9+MHiu8tvtlpdvb6lp+kPBL5FzHOFYQWcEnJjABWRcHBO4Aq%0aZpJKMIy22fpzNfhF/gkVUbfM472/G3+a/Fnn/x38AWfgLxl8DLbTvHWq+B/CelX09nbRo1g%0abfSYINJuv3yy3VvIxOxNrGZ3XaSQA2GHk/xJsLLwpq/h37B8QfiPcQan8Sl1nFr4FljtoTK%0asxMttI+myfapf7ux3RwxZYsDI+1Nc+EHhDxL4nXxFq2iW2ra5D5bWd5qY+2f2e6crJaRzb4%0a7d8hWLRKpYqpbdtGOK8Tfs5aj4wk0d9X+Lvjm7bSNQj1SyP2fRE8q5jDBJPl00bsB24bI55%0aFEG1JN97v5tP1vp/Vgkk9uyX3KX/yX4eZzfw+8FaDbfBv4iWeqXPjXxxpniHW7m8vIrrQL3%0aQ9VumuBCvkBFjtmIYhQ0qLFFhn37EVyPm4/CT4ealqng9te+Al9Z+FLnUGsPDOi+Fn0Gcal%0aLHHO26+1QagZ7glI2fZvjjVkKM05AJ+zdR+B9x4k0abR/E/xF8YeJtIuJVa5sriSxshcRBW%0aDQO9lawSGJtwLKGG7YFJ2llZB8AtLbxT4e1KXXNUfRfDty11o/hWK3sLfS7BzA8AEaw2ySl%0aVSV8K0rDJ5BwKa+Lm9PuS/Pt21fZg9Ytev4/1r30S6ng/gvxvrHjL4JeJ/B/xE+FGoeI/Bs%0aWly3WgXXhRLd7bWrOCRfJtQumXEqW1wGEYVYn2kIxG3YQfNNX8LWifs+a9c3mo+LPDPxJ0S%0aay8RXtjrWo6ZqFxqepz7E0+K6t5Zbu4aGD92kUVx5bdGIZwSv2X/AMKB8Kw65rV7YHUdGsN%0acRv7W0TSr17SwvpmZGNw0ceCkp2bWaNk8xWYSCQYwtt8AfB9lruh3lvYLaaToUhudJ8NWUU%0aVrpNldEtuult4kQPMdxw0hcIclAjFiXFrmUn5X7+673827LX0b2YPay6X9NVt6avT7ulvCN%0aN8F63q3x68S634g+L2q2s/w1utOhsdQ1e202K3mtb2GKS7t7ryIIN6yEBU+cBG2MAzDn6+r%0ayDxr+zRonjfxRrOrT+Itf0+y1yfT7nWNEsntfsmoPZsrQ+YZLd5kH7tFYRyICB6kk+v0k/c%0aSe/8AV383b89xWtK+/wDwLW/X7+wV8j/EP4XeGvipqn7Qln4s1qXw7pOl65pOrHVIgG+ztF%0ao8ILFT94FXYY6nIxzivrivk74l2UY8R/Hbwv4h8NeM5dL8aPYSWOq+HfD1xqUQVLCCItmME%0aZWWI5UkZA9819Xw5OcK9R0puMrQd1a6tUg20m0m1G7t+DOauk4q67/kz42+In7SmuSPoPh/%0a4e65rfhrwV4Xt0tNJjjumhuLgr1uZ9hALsSSEOVUcYzmvYPgp9r/AGtv2gvBnji78T2eleJ%0avDUdlJqelyo4lu0tnJMtsR8u2TcA68bCx4IIrzaz/AGUi/nG8u/HURBPl/Z/htqT7vTduK4%0a/DNem/su/DeL4FfEw+L9a0zx5q8ltby29na6f4D1JAfMADPIzp2AwFGeuc8Yr9xzKrllPAV%0af7OaVaMZKL5U5S5/iTba5ua7bbej1W1jx6aqOa9ptf8j61/ZL/5Idp//YW1r/063dfPnxw1%0a3V7f48wx+Ndd8K+HPEdro39o+G9Qn8byaBa6GjXLxssUj2kovZ5RGhlEsYjKDy/LIBZ/o79%0al3SNR0T4J6PBqunXWk3kt5qV2bO+iMU8aTahcTR70PKsUkU4PIzVLxb8L/Hl18dj448K+IP%0aDui2T+HI9GlXWNLn1GR5FuXmyscdxbhVww+YuxzkbR1r+ds3almdeSenNPVem6a89Lr9T36%0aTtSt5L81+nT/I+U7zxFoepavPP4l8T+EvFWv+Or/TNF1b/hXvxgvIXMkqRWJuIdNgto0dQu%0aJGWV5O4zt+Wu6+Mnwl067+NXhPwPa+E77xPp+l+B4tsmmaJ4au9SYQXCwRtNPq0W3YE42xk%0afMchQM1698RPhP8WPHtnoFnqHjHwbfWFjr+matcW9t4bu7CV47a7jmYJM19cANhDgGPBPG5%0ac5Gv8AEv8AZy0f4mfEX/hLtVtfD+szQaA+j2WneJdBTU7WCcziUXJVpFzgZXYpUkE/OOleY%0a3dLyb+7ldvxb/4Y0Wjt3X48y/8AbUv+HPlPwFdeHdA1fwnd63ea54H8SzeI/EOnWut6aNPi%0avLeOyjjtIbI6fDazWk8zxCKLbbxbi0SbC3Ar6C8F+CfFI8J+MZIPBz+I38Y3hfUZPiNrkWn%0a3l/aG0jgUyRWNi6Qjam0QlFYKcuVcsit8K/so6n4Bs/Clz4Z8U6LpmvaFqWr36k+G2/sopq%0aDZeGKzju0aJYwqBP3zYCnIORjoNM/ZwutQn8T3fi3xpf3134mv47rV4vDMTaNbXcMdtHBFb%0aEiSW4RFCFj5dwhYuwbKkqW7SjyvtZ/+SX+9qV9ttm2mpXutPzv+MvTbS2/ySPmnxl8Z/GXg%0azxr8LvCi+ENO8T6P4JublZtUh8TzXyNcW9oyOJbr+zY5PMtYnZ5RDHJkEo4LgrXuOgeA/Gk%0aHwJ8S+FNL8L+GZdO1vRNRlj1fT/GEup3mq3l1C7Cd2ksLeORpncEyeYqgEYG0AD0DWvg+E+%0aIHwq1Lw7baZo/hzweNQR9OgTyQqT23lRrDGibcBuSCV46ZPFPv/gpJpB1KfwB4p1HwFPepL%0ausbaKO70sTPn9+tpKCInBd5P3DRK8h3SrLyDNT34Si9ea9/O9vz367a3Kg+SUZR05eXTpp/%0al+ultD4a0wWvg2TxF4+1XTdJ1KH4f3up291HdyW939g1j+ztItbH90Cz7jc20gDopwY2IPA%0aJ7+Xx7aWOg+H/AIR29tdW9toeu+ELvSJ9R0a+0y6v1fUIxeSyJdojOftCO+9VCkTKOWBr6l%0a8H/s7eEvAWqeGNT0L7fYaloltNaSXiXOZdWjlLPIL4kfvyZnacE4KyElcBmU0/E/wm8YeP/%0aEOhN4n8X6LN4Y0jW4dai0zSfD0trdTPAWa3jkuZLyVdquUZisSltmBtBIrXnvJX73fb4ub1%0a3u0t7aN9TNxSjJLs0u+sWvy0fTqvPiP2h28aeAdIgj8LfFPxZd+NvEt//Z/hzQGtdGNuZ3J%0aZmfOnGT7PBGGd2LZ2oAWywNbttoep2PirS/BerftBeLv+EzudO+3i1j0zRYEukU7ZXhDaaw%0aIDAnyw7MqkE8cna8Vfs9/8JJ8Vv+Fg2/xA8WaHrcdj/Z1rDZLps1tZwEqZFhS5s5ShdlBZ8%0a7j0ztAUYXxC/ZYu/iVZ2Cax8W/G095pdyt9pl6LbRopbO5X7siSQ6fHIP8AaVXXcODxWMdI%0aq/fX02SX5u+70utzWWr07fjvr5dFbZa67Fz4qfDvxn4y8FXHgiXSdJ8baNNCpOv674mbStU%0aFwr70mVLXS3ijeNghR0x90ZXrnwtvB3xA+JHxx+LHhvU/Duhzi40nw6ur2sXjO5tkureM3R%0aETTppZaRJsMJUCRccBiGOPtPRLW9stGsLfUb4anqEMCR3F6sIhFxIFAaTYCQm45O0HAziuR%0a8OfC/8AsD4veMvHP9p+f/wkVjp9n9g8jb9n+y+d83mbju3ed02jG3qc8Va0+61++1l+Xba1%0ayW70+z9387v/AD332PL/AI66ONQ/Z48WT/FH4f6RJoPhuzGoWnh/w14tvUguhApKxyPHbWx%0aRVIXau2RcgHAKis6D4J+JNQhiOq/DHwx4qsiodNP8XfFLW9ctFOOHFve6fLEHAJAcLuAJAI%0aBOfbPjD8Pv+FsfC3xR4O/tD+yv7b0+Wx+2+T53kb1xv2bl3Y9Mj61gQ/CHxTDDHGPjT44wi%0aheLLQscf9wyknrJvq1+Tu/W9tRvaKXn+at8rXPPvgX4J8Oz/FTxHPaeAdF+F/iTwXcLpt5B%0a4KvFNhq0V1axzqJwLS3MgTepXcmVYHBwTn6Qrzf4UfCG7+GviHxtq174sv8Axbc+Jby3u2u%0aNStbeGeLyrZIArGBI434QEFY0wMA7jlj6RVN+7FeSv663/H5diEtW/P8ADS36hXLfEzxlpP%0agXwZqWqay0ZtEiKmJ/+WpPAUDvnNdTXxb8b9N+IPx9+JVpoNt4Z1nS/C1tNtW5u7KaKJx/F%0aIWKgDjgDPUV6OX4WOJrfvJKMI6t3tp5eZ4ec4+eBw37mDnUlpFJN6vq7J6LzseDeH/Ed/4Z%0a8Xv4/sdC8vQmvHHlFMxBWbmMHp04r9Jfh1410vx94R0/WNJkRraaMZROPLYcFSO2CDXOt8D%0aPD5+E/wDwgghUWHl/6zb/AMtcf63Hrnmvnj4FWHxB+A3xIu/D154Z1nU/C1zMVa6tbGaWJP%0a7sgYKQeOoz1Ne/jKtDOKUpU/dnT2u/ij83ufI5dh8Vw3XhCtedKt8TSvyT+Sfu/h9x9n18i%0a/B3wdq/if8AaM/aKk03x1r/AIRSLXrBXi0aDT5FmJskwzfarScgjp8pUc8g19dV5je/s4eB%0a7zxTrniKKLX9L1fW5kn1GbRvFOq6ct1IqBFZo7e5RMhQB92vjI6T5vJr7+X/ACZ+mt3hy+a%0af3c3+Z4P+2PrF/wDAbxb4e+IvgEpe/ES/0u90rUrBrbzH1HT4rcytfSrGAM2rojZwNwfYMD%0aAqj/whXhuz1z9nr4W2F9Jq3w38Uw6h4i1S9dyB4qvUgSdDdnrKrs5laNyQwVFIIQCvqHRPg%0a/4V0DxZJ4ngsbm6199Mj0c6hqeo3N9KLRMERAzyPgEgMxGC7fM5YnNY0X7N3w6h8A2fgtPD%0axHh2xvf7RsLf7dcmXT7jfvElrP5nm25DEkeU643MBgMQai+XfXW/yvL3fRNqa6c11a1rKWu%0a2mlvnZK/rZcnfld73PEf2zPhf4Z8J/CDwlofhrSofC2mah480bzLfQh9jSJmkKGSFY8LE+M%0aHcgByAevNW9Y8G+HPgl+2H8KIPBmkWfhXTvEGhaxb6xbaXCIYr1LaNJonlVRh5FYsfMbLHJ%0aBJr2u5+AHgi/wBCttJv9OvdVtbfVINZSXU9Yvbu5N3DjyZGuJZmlcJgYRmK44xiug1j4deH%0ate8a+H/F1/p/n+IdBjuIdOvPOkXyEnULMNgYI24AD5gcdsUJuOqet2/l7Nxt97WnZeliVpa%0aNaWt8+dSv934/O/5//FzxHqHjL4Qx/Gfwj8LfDfgOztvEttfWHjXVdWafxLqkJuxErpsi3K%0aHL7THNOwEasqqVCEe16N8MPDHxJ/bl+L6+KtHtvENjZaHorR6bqUYns2kaNx5jwNlHdQCFZ%0agSu98YzXqt/+yD8J9T0+fTrvwzPPpMly15HpT6xfGxtZ2m85pLa28/yrZi+eYVQ4d1+67A+%0agaX8OvD2i+Odc8YWen+T4j1qCC2v73zpG86OEERLsLFF2hjyqgnPOacOWKStor/jCMfzTei%0aS7ahO8r+dvwm5fk7atu9+h8J6Zr2qW/wJs/AI1S+s/B03xil8EXUqXLrJb6J5xItBKDvRG4%0aiyCMIdvQ4r1D4j/CrwT8NP2vv2dW8JeH9M8MSXk2tLcWekQrbQzBLE7ZGhTClxvYeZjcQQC%0aSAoHs3iz4J+FdK+Gvifw/pfgGHxPpGvalLquraG+otHJdTSsGmlhklbCzZVWRd8ShgMPH1r%0azTwb8ArrXvj74R8dSeD9a8G6Z4TtrrZP4t8Qf2zq+pTzxmJYg/2q68q2iUyMAZuXkOIxlmK%0apN80b7qzb72pqL/8AJk7b35tr3YqivGVuqkkvWTf5PXa1t7aHlPgT4feLP2k/BnxB8QX/AI%0aL8I6z4yvta1DTrfxLrfiO5t9S8Oy28rLbRWsaWEptlgOxwI5gXJLMfmOPtv4fWGvaX4E8O2%0aXim9g1LxLb6fBFqd5bEmKe5WNRK65VThmBI+Udegrl9V/Z38B6v4i1PW20u9sL3VWVtSTSd%0aYvdPt9RYZ5ube3mSKckMQxkRiwOGyOK9Et7eKzt4oIIkggiUJHFGoVUUDAAA4AA7UR92mo+%0aS/BWv89XtfXVtq45+9Ny83+Lvb5bb200Suz89PBzfEDT/ANnD4tX2jX9nN4LHjLW49d07Tr%0aBk1tdPNwReS2l08rw+YIySEa3+6Gw27bXtXxG8WeEJdI+Dnw88GfDux+LVjrViLjR9N1HUl%0attJg02CKNPtVxvSRZdgdCFMTsCGKgOAG9+8FfDTw18PNI1LS9A0xbKw1G9uNRu4HlkmWWed%0at0zHzGbhj/CPlHYCuQh/Zd+G1poGhaNZ6JeadaaDcT3WkyWGtX1tc6e0wImWC4jnWWONwTm%0aJXCf7PFTHSMYvZcn/AJLBRa9Lq667rqmqk7ylJbtz/wDJpNp+tnZ/Ls0/kfRfC9xJ8D/2sf%0aBvibQ/DL23hm4uNS0vRtFRrrTtHnksXl/0TzUBjKHk7VQK5kKqoOK6bxdo48PfC/8AZu8De%0aFvDWi2Xh3xuYJdfsknOkWurzrpySJBdTwQSMRMw+cGNjJ5YQkAk19VeDPgP4D+H9n4ktdC8%0aOw2tt4jC/wBrxSzS3C3xEZjLSCVm3Myk726uWZmLMSTTh/Zy+H8fw9j8Dy6Nc33hmGWOa1t%0aNQ1W8u3snjULGbaaWVpLfYFAXymTbk7cZOaTtZP8AuX8+VNPe+901e+sVfyl63t/ft5c1rP%0aptrtbd2ffh/gh8GvF3w5+Luv6zHonhPwL4C1XS40k8KeF9TmuoP7SRwBdpG1nbpDuh+Rgg+%0aYopOTyML9r/AE241f4pfs9Wdpqt3olxN4pnVNQsFhaeA/ZH+ZBNHJGT2+ZGHPSvdvBnw00H%0awHNdT6YmoT3l0qpLe6vqt1qd0UXJWMTXUskgjBZiEDBQWY4ySTV+I3wf8LfFZ9Fk8R2d3Pc%0aaLcNd6dc2Gp3VhPbSldpdJLeSNwdpI696L+9Tf8rT+5t/r+myQltNfzJr70l+n9M8O8FWF5%0a8Mv2ovG/hO91WTxjceJ/Cg8RN4h1RUGpwCCQWy2r+UqQiDLM6COKPBZ87jzXhXgv4a+GtJ/%0awCCXus+KotHtZfE974evVl1meJZLsRG7YeSkpG5IgEXEakLnJxkkn7m8F/B/wAJ+AJNXn0j%0aTpjf6vtGoalqN9cX99dKqhFR7m4kklZFUYVd+1cnAGTmrb/AvwPa/CNvhhFom3wM1u9odK+%0a1znMTuXZfN3+ZyzE53Z5rKcW6coLdxS+6Un+TS89b+esJJVIyeyd//JUvzV/LS3l80+NPhf%0a4R8SftJfs3tq/hLRdUj1fw7qP9oG902GYXrQ2MHleduU+YY+Nu7O3tirDeG/FHir4u/tfaL%0a4H1M6J4pu7DQotNvI5DEY5PsBwFccoSAVDjld2R0r6T8XfBfwh44tvDsWqafcrJ4dJOk3en%0a6ldWN3Z5j8phHcQSJKAyfKw3YbAznAp0nwX8HS6n4v1FtIJvvFiWyaxcfa5w9x9nTZAynf8%0aAunQYKvHtYMA2dwBreq1UlPs/af8Ak8lJfcrp/wCTZjSTpxjfdKH/AJKrP5Pf+keI/sl+Lf%0aCtj4nvfAc/wlm+DvxL07SY59S06K3jFpqdusnli5juIcJdYbH7xxkGR1Vn+c19SVwWh/Azw%0aboMetiLT7y+uNaszp99favq13qN5LakEGAXFxLJKkfzMdisACScZ5qOx+AfgTTh4EFvoZT/%0aAIQZZE8PZvbhvsQdBGw5kPmZUAfvN2O2Kcpc7Tlv1+93sunTTbe1kkKMeVNL+tFa766313t%0abd3PQaK5jwR8NfDfw5fX38O6d/Z7a9qk2s6ifPkl8+7lx5knzs23O0fKuFGOAK6esywrxX4%0aw63qdtZQw6Ne3Wl37I+L6EAxpx8oZTweR3x9a9qrhrvSZb1dstnK3GOYj/AIVXs3VpyjGVn%0a3JVb2FWNTl5rdD891+I2ofCb9pS38VeJtU1HVfELWMtvDa3+nhJbmOUqgjiMS7WC847HOcg%0aV9xeCfjHp3ijWJNEnmtYNZUF0t4pd/nIFDF174HOeMDgE5rl/HPwIHiTX9H1RLeZrfTm8xb%0aLyR8kgJPmISDzjK44xkleSa2vAXwvh8L3zalZ6VdWLyIyusyB5Jsn5XkOM7lGV65xwSQAa4%0aMJhcRQqWk1y377+fkfRZpmODzCjCo4Wmo20022Vu3ouu5614l0aXxDoN7psGq32hy3MZjGo%0aaYYxcw56mMyI6g4yMlTjORg4I+S/h18NZ/FQ8Sav4J8AjTLF9cvrK5uJPjB4i064v57aZrd%0a7meOCB1Mj+VksXZjnkk19j14p4O/Z317wbbatb2Pxc8U6bbX2rX2qraaXp+lLBD9puHmKD7%0aRZzyEjfgkyckZAUcDsjpJvy/G6/T5fM8Bv3UvP9H+tv6ueeeGfh+9j8c9P0HV9DvvCniy90%0aObUrPxZpHxD1PX7qOC2uIVa1ZdQtwnlObnJRldCQCV3KjLwXjeTw7pNr8QNU1vQvA1+83xZ%0a/sj+1fHejx6haaZBcWtr5s2Hkj2gbFJ/eKOOfb6U8OfA/U9F+Lmn+ONS+IOteK2s9GutISz%0a1mzsUZBNNBIXR7WCAADyMFWRicghlwQdTwX8G9O8NX/iq51E2uvjWfEreJrdLqyX/QZvKij%0aTYWLZdfKJEg2kbuAMZLXS/Z/+lJ/jFdPzvcbtzW/u/wDpMk/uk1/wx8jrH4Dubz4j6Jodj8%0aGfE62Xw91PWYfEHw+8M29lcWVxtaHyjIl1cYyjseCp59OvQaz8MZLm+8J+Lr3wtpVp4Jg8L%0a6PJrus+JPHU+k6ZrEiRosFvcWypNG8UJbdtkjQO7qNxAZX+l/jH4F8YfEXw7qnh/QvFGi+H%0atI1XTp9PvPt+gy39ziVGRnidbyFUIVuAyPyM8jirmh/BjwhoupaTqjaRFqWsaVaw2lhqGpM%0a11JZJHEIh9m8wsLfco+fyQm88tk81cZWafZr8pf5r1td7Il7Nd/8A7X/J+nQ+VfiykGs654%0a212Pw18KfFVxpPiTTNAutR1r4biczy3UsEQUXX9os0z28c0YfKICQFGP4eltLLSLD4D/EW/%0anj0yHQvB91qJ1XwV4L0U+Eob64t4iJIb0x3FyzpIgidTG6K6MokWRTsHsuo/s46FeJpWn2+%0as61p3hax1GPV38NwSW72t5eJdG686eaWF7l2aYhmHngHaBjGc6fxB+CWjeMvC/xF0+w26Jq%0a3jfTjYajqiI024iFoY5DEXCkqrY42lgACeBjBpqk4re35cvy1fN+D3bS0TTqRb2v+r+e1vy%0a6XPGfDHwN8UWHhzTING8EwaVpKW8f2Wytfjd4ohigi2gqiolrtUAcYHArU+A3w90vXZvHOn%0aLY6z4Gn0nWp9L1vT9E8Z31/Bq80kEFz9qe6mSO4WUGcDzIzHIQoV2dAqj0PT/g34osLC2tl%0a+NPjfbDEsY2WWhAYAA4B00nHHcn6mnfDr4K6h4B03x1AfHWr6jqPifVjqn9uNZ2cd7asbeC%0aHGBCbd2AgznyQMNgqSNx3k1zya21/NW/C+/52MYp+zjf4rq/3O/42t/w58a+HE8FW9v498J%0a6zf+DINGtfFmr2seh698ZNT8OrHAt67In9mwxtEqAjIYfePzHmuq+HXh7wt8WP2pvDEE2r2%0aerx6V4b1G+t5vC3xZ1fxE9tP59rHuM7mJ7fKO67FJWQE7h8or6Z0r4FaxoUVxHpvxa8X6fH%0acTyXUyWumeH4hJNI26SRguljLsxJLHkk5NSR/A/Vh4gtNam+Kviy61K2jaCO5m03QfNELMr%0aPEJBpgcIxRCQrDO0HqAQqb5XC72S+9R5b/fr3Kn70Zpdf/kk/0t8z53+J/hfRvCOh/tg6fo%0aWkWGjWB8P6dN9l0+2S3iLvZzs7bUAGWJJJxkk80tx4K/4V/wDGDTJv+Fe+Cfh153gHxDJv8%0aHXXmfadotTumP2K22lc8ff+83I7+8X/AOzB4c8T+PfHviTxTd3mv2/iu3isX0YTSW1nb26W%0a4hPyxuC8xDS/vSQVWQqoXLF8zxX+y/ZImo23w6sfAPw5tdS0uXS7u8tPBKS6lslBWQx3Edx%0aCqgrtwrxuNy5O7oMHFuDj1at/5JUjr5e+n12tbY35lzp9E7/+TU5f+2Ptq9zr/wBmy2+yfs%0a8fDGEIY9nhrThsbOR/o0frXpFZnhnw/aeEvDek6HYBxY6ZaRWVuJG3MI40CLk9zhRzWnXXW%0akp1Zzjs23+LOSlFwpxi90keJ/tipct8CtUMBj8hLyza6EoYoYvtCZ3Acld20n2BrzSOz+Ln%0a/DRiKdY8If8ACSS+FQbe4NvP9je0+1ElEHXzN+Cf9nFfU/iHQbHxToV/o+pwC50++ge3nib%0ajcjDB57HngjkHmvlHxt4N+K3wtv8AwtdaXpEvjaPwrMy6Tq9kc3Mli4CvZ3UI+ZvlA2yKDj%0ab0yeIj2NCz8V7D4vr41+GsOqat4Rm1h9Yc6X9itrgbGETeY0mesYXGcc8iuz/Zoj15fiL8X%0am1240+5n/tGzjlk0lHS1NysLedsDcg8xhv9oH2rh7fVPi38Vvim/iWw8C3XhprWybT9GuPE%0aIMMOlrJxPcsjANLKwG0BVwBjIOOfoz4W/Dmz+F/hGHRraeS9uGke6vb+b/WXly5zJK3uT+Q%0aAGTjND0VgPlD9u7w/pmp+ONGsdcsLvU7LWNHvCLp7C2kjsI4NhkSGaPQtQu0YrI8pYOioEY%0a5XiuV/Z08Dah40bWrj4fW2keHDpTWZh8T6h4esmsl8yOYPPB/xIdOmkurdCrKGfy/9IBYsC%0aVb7B+IXwN0bx++sXKalqfh3WNXs/wCzL3WNLMEl09kVZWtUa5imWGJi25hEqEsobOeTj69+%0ay34H16ysrEpqenaYlta2Wo2OnXz28WtW1tE0UEN7t+aVFVz3UsAqsWVQtZ0/cTXX/Prp0S0%0a6N3fqXUam18vw9e/3K3yPmX4uaba+If2ZvFcHgBLm0+H+manFd3/i67nEt34yulnjDzCTG6%0aRPtBO+VsK/lqsXyfd5v9pC0vtH8VfEqHwpc69onhbXvJu9c8NWNha6fPf2FvGUvZYI5YJJo%0a4siVmvJvs8LMdiLcmUMPuD4r/Ci2+JHwl1PwJZXEXh6zuoIbeCSC1Dx20cciMqrEGQbQECg%0aAgAfTFea+Jf2WdR1a51G40/xD4fshfX017Np9x4Zaaxkkb/V3E0SXcbXV0pw3m3UkyBlVo4%0aoiOW2024/j10S16W0Wi0WlttWmrK//Da39b6vXd/cjhvhk9n8Ute8beJfD+seL/GdnpfhGb%0aQrTUvEMNlZNIbmKK5SKCwgsoJihTyiJpMBt2I1dTvHHfGnxV4nsP2AIvDeqfC7xboptNA0i%0a1n1G/k0xIY2jktgS0YvDOuSuApiDAkblXnH078Pv2dvD3w0vfCt9ol9qdreaJoseh3BjmVY%0a9XgjTETXce3DvGSzIy7Su9hkqdtafx6+FH/C7/hNr3gn+1P7F/tRYR9u+z+f5WyZJfublzn%0aZj7w659quVlL3XdXX4Tvf53b/AA1M6WlubS36xSt8rfjpseW/E/XvFnj3WvhTbf8ACrPF+i%0a21j4wsb651C9bTriGKJIpgWcWt5M6j5h8zIFHdgSAeK8Rt4j1nx98PPE3iNdVsRq/xVddL0%0anU/Mj+x2FvYXVvEVhb/AFfmmN5jgDd5qnnivsWNPLjVc52gDNcZ8UfhXYfFOz0RLjU9S0PU%0aNF1KPVtO1TSTCLi2uEV0BAmjkjYFZHBVkIIP0pRlyzjJLaV/xV/wS/ElK9Plemlvwf6v8jk%0aP2kvB3hPV/h3qNhf3sfhXWvEWo2cGma1aROk51kMBp8jtEu5ikiR8twFXqAMju/hdqXifVv%0ah7oF1400lND8WPaqNTsYpo5UjnHDlWRmXaxG4AE4DAHkGuTPwGbVfEHh7U/FHj/wAU+ModC%0avhqdlpuqx6bDbLdKjpHKwtbOF2Kb2KgtjOCQcV6rSWkWu7+62i+/W/SyXUt6teX6/pt879A%0aooopAFFFFABRRRQAUUUUAFFFFAHOfEHxhoPgXwlqGreJJo49JSMpJHIoczlgQIlQ/fZum3v%0a34zXl3wB0y9+GXgXxHr3iVx4V8J3Nw2oaboN5KXOj2xySGc8gvlT5f8JH95iK7fVvhNbeJv%0aiVaeKtd1CTVbXTI1/snRpIwtvZzfxznk+ZIeNpIG3Hc4IPH3wnt/iT4i0SfW9RluPDem5mb%0aw8IwIbu5z8kkzZ+dVHSMjBPJOMgvTYDgv2dtDv7vxV4p8ZaXZS+GfAOuESadoMw5nkyM3oT%0a/liHAOEH3gwPRVz71SKoVQqgAAYAHalobuAV8xf8FB/+SMaL/wBh+H/0mua+na8D/bT8Aa7%0a8QvhDb23h+wl1O8sdUivZLWAbpXjEUqHYvViDIpwOcA0R3A98r5i/aw/5LP8As/8A/YfP/p%0aTZVxvhP4zfHnUFvRr2l65oxhg3WzQ+CJ7o3En91sFNn+9z16Vzmgp8afjb8Yfh7d+L/DGoW%0aNl4e1OO9+0XGlPZRRxiWOSQlnA3EiJQBnr25NWlZiL/AO21dvqPxp+HWk+HNO17xDqltq9n%0aearZWXiq90+DdIkyWdvEFmEVvNJ5c7eaqo4CAlsPzpRWXgO5iSU/BT4TKZFDEeKdSnXVhnn%0a/AE0PpMri4/56BpJDv3Zdj8x+hvit8K5vGmp+Db3SE0+zn0vxTZ67qMsoMb3MUMUkeAVUl5%0aMMgG7AwuMjArg7/wCDd7c31zMf2fPg1dGSRn8+41ZhJJkk7m/4kx+Y9TyeT1NKjN042Tad3%0atfy7NafPo31HUSm7vsv1/H/AICPoeivx2/4Wj4z/wChu13/AMGU3/xVH/C0fGf/AEN2u/8A%0agym/+Kr2f7Kn/OvxPF/tOH8r/A/Ymivx2/4Wj4z/AOhu13/wZTf/ABVH/C0fGf8A0N2u/wD%0agym/+Ko/sqf8AOvxD+04fyv8AA/Ymivx2/wCFo+M/+hu13/wZTf8AxVH/AAtHxn/0N2u/+D%0aKb/wCKo/sqf86/EP7Th/K/wP2Jor8dv+Fo+M/+hu13/wAGU3/xVH/C0fGf/Q3a7/4Mpv8A4%0aqj+yp/zr8Q/tOH8r/A/Ymivx2/4Wj4z/wChu13/AMGU3/xVH/C0fGf/AEN2u/8Agym/+Ko/%0asqf86/EP7Th/K/wP2Jor8dv+Fo+M/wDobtd/8GU3/wAVR/wtHxn/ANDdrv8A4Mpv/iqP7Kn%0a/ADr8Q/tOH8r/AAP2Jor8dv8AhaPjP/obtd/8GU3/AMVR/wALR8Z/9Ddrv/gym/8AiqP7Kn%0a/OvxD+04fyv8D9iaK/Hb/haPjP/obtd/8ABlN/8VR/wtHxn/0N2u/+DKb/AOKo/sqf86/EP%0a7Th/K/wP2Jor8dv+Fo+M/8Aobtd/wDBlN/8VR/wtHxn/wBDdrv/AIMpv/iqP7Kn/OvxD+04%0afyv8D9iaK/Hb/haPjP8A6G7Xf/BlN/8AFUf8LR8Z/wDQ3a7/AODKb/4qj+yp/wA6/EP7Th/%0aK/wAD9iaK/Hb/AIWj4z/6G7Xf/BlN/wDFUf8AC0fGf/Q3a7/4Mpv/AIqj+yp/zr8Q/tOH8r%0a/A/Ymivx2/4Wj4z/6G7Xf/AAZTf/FUf8LR8Z/9Ddrv/gym/wDiqP7Kn/OvxD+04fyv8D9ia%0aK/Hb/haPjP/AKG7Xf8AwZTf/FUf8LR8Z/8AQ3a7/wCDKb/4qj+yp/zr8Q/tOH8r/A/Ymivx%0a2/4Wj4z/AOhu13/wZTf/ABVH/C0fGf8A0N2u/wDgym/+Ko/sqf8AOvxD+04fyv8AA/Ymivx%0a2/wCFo+M/+hu13/wZTf8AxVH/AAtHxn/0N2u/+DKb/wCKo/sqf86/EP7Th/K/wP2Jor8dv+%0aFo+M/+hu13/wAGU3/xVH/C0fGf/Q3a7/4Mpv8A4qj+yp/zr8Q/tOH8r/A/Ymivx2/4Wj4z/%0awChu13/AMGU3/xVH/C0fGf/AEN2u/8Agym/+Ko/sqf86/EP7Th/K/wP2Jor8dv+Fo+M/wDo%0abtd/8GU3/wAVR/wtHxn/ANDdrv8A4Mpv/iqP7Kn/ADr8Q/tOH8r/AAP2Jor8dv8AhaPjP/o%0abtd/8GU3/AMVR/wALR8Z/9Ddrv/gym/8AiqP7Kn/OvxD+04fyv8D9iaK/Hb/haPjP/obtd/%0a8ABlN/8VR/wtHxn/0N2u/+DKb/AOKo/sqf86/EP7Th/K/wP2Jor8dv+Fo+M/8Aobtd/wDBl%0aN/8VR/wtHxn/wBDdrv/AIMpv/iqP7Kn/OvxD+04fyv8D9iaK/Hb/haPjP8A6G7Xf/BlN/8A%0aFUf8LR8Z/wDQ3a7/AODKb/4qj+yp/wA6/EP7Th/K/wAD9iaK/Hb/AIWj4z/6G7Xf/BlN/wD%0aFUf8AC0fGf/Q3a7/4Mpv/AIqj+yp/zr8Q/tOH8r/A/Ymivx2/4Wj4z/6G7Xf/AAZTf/FUf8%0aLR8Z/9Ddrv/gym/wDiqP7Kn/OvxD+04fyv8D9iaK/Hb/haPjP/AKG7Xf8AwZTf/FUf8LR8Z%0a/8AQ3a7/wCDKb/4qj+yp/zr8Q/tOH8r/A/Ymivx2/4Wj4z/AOhu13/wZTf/ABVH/C0fGf8A%0a0N2u/wDgym/+Ko/sqf8AOvxD+04fyv8AA/Ymivx2/wCFo+M/+hu13/wZTf8AxVH/AAtHxn/%0a0N2u/+DKb/wCKo/sqf86/EP7Th/K/wP2Jor8dv+Fo+M/+hu13/wAGU3/xVH/C0fGf/Q3a7/%0a4Mpv8A4qj+yp/zr8Q/tOH8r/A/Ymivx2/4Wj4z/wChu13/AMGU3/xVH/C0fGf/AEN2u/8Ag%0aym/+Ko/sqf86/EP7Th/K/wP2Jor8dv+Fo+M/wDobtd/8GU3/wAVR/wtHxn/ANDdrv8A4Mpv%0a/iqP7Kn/ADr8Q/tOH8r/AAP2Jor8dv8AhaPjP/obtd/8GU3/AMVR/wALR8Z/9Ddrv/gym/8%0aAiqP7Kn/OvxD+04fyv8D9iaK/Hb/haPjP/obtd/8ABlN/8VR/wtHxn/0N2u/+DKb/AOKo/s%0aqf86/EP7Th/K/wP2Jor8dv+Fo+M/8Aobtd/wDBlN/8VR/wtHxn/wBDdrv/AIMpv/iqP7Kn/%0aOvxD+04fyv8D9iaK/Hb/haPjP8A6G7Xf/BlN/8AFUf8LR8Z/wDQ3a7/AODKb/4qj+yp/wA6%0a/EP7Th/K/wAD9iaK/Hb/AIWj4z/6G7Xf/BlN/wDFUf8AC0fGf/Q3a7/4Mpv/AIqj+yp/zr8%0aQ/tOH8r/A/Ymivx2/4Wj4z/6G7Xf/AAZTf/FUf8LR8Z/9Ddrv/gym/wDiqP7Kn/OvxD+04f%0ayv8D9iaK/Hb/haPjP/AKG7Xf8AwZTf/FUf8LR8Z/8AQ3a7/wCDKb/4qj+yp/zr8Q/tOH8r/%0aA/Ymivx2/4Wj4z/AOhu13/wZTf/ABVH/C0fGf8A0N2u/wDgym/+Ko/sqf8AOvxD+04fyv8A%0aA/Ymivx2/wCFo+M/+hu13/wZTf8AxVH/AAtHxn/0N2u/+DKb/wCKo/sqf86/EP7Th/K/wP2%0aJor8dv+Fo+M/+hu13/wAGU3/xVH/C0fGf/Q3a7/4Mpv8A4qj+yp/zr8Q/tOH8r/A/Ymivx2%0a/4Wj4z/wChu13/AMGU3/xVH/C0fGf/AEN2u/8Agym/+Ko/sqf86/EP7Th/K/wP2Jor8dv+F%0ao+M/wDobtd/8GU3/wAVR/wtHxn/ANDdrv8A4Mpv/iqP7Kn/ADr8Q/tOH8r/AAP2Jor8dv8A%0ahaPjP/obtd/8GU3/AMVR/wALR8Z/9Ddrv/gym/8AiqP7Kn/OvxD+04fyv8D9iaK/Hb/haPj%0aP/obtd/8ABlN/8VR/wtHxn/0N2u/+DKb/AOKo/sqf86/EP7Th/K/wP2Jor8dv+Fo+M/8Aob%0atd/wDBlN/8VR/wtHxn/wBDdrv/AIMpv/iqP7Kn/OvxD+04fyv8D9iaK/Hb/haPjP8A6G7Xf%0a/BlN/8AFUf8LR8Z/wDQ3a7/AODKb/4qj+yp/wA6/EP7Th/K/wAD9iaK/Hb/AIWj4z/6G7Xf%0a/BlN/wDFUf8AC0fGf/Q3a7/4Mpv/AIqj+yp/zr8Q/tOH8r/A/Ymivx2/4Wj4z/6G7Xf/AAZ%0aTf/FUf8LR8Z/9Ddrv/gym/wDiqP7Kn/OvxD+04fyv8D9iaK/Hb/haPjP/AKG7Xf8AwZTf/F%0aUf8LR8Z/8AQ3a7/wCDKb/4qj+yp/zr8Q/tOH8r/A/Ymivx2/4Wj4z/AOhu13/wZTf/ABVH/%0aC0fGf8A0N2u/wDgym/+Ko/sqf8AOvxD+04fyv8AA/Ymivx2/wCFo+M/+hu13/wZTf8AxVH/%0aAAtHxn/0N2u/+DKb/wCKo/sqf86/EP7Th/K/wP2Jor8dv+Fo+M/+hu13/wAGU3/xVH/C0fG%0af/Q3a7/4Mpv8A4qj+yp/zr8Q/tOH8r/A/Ymivx2/4Wj4z/wChu13/AMGU3/xVH/C0fGf/AE%0aN2u/8Agym/+Ko/sqf86/EP7Th/K/wP2Jor8dv+Fo+M/wDobtd/8GU3/wAVR/wtHxn/ANDdr%0av8A4Mpv/iqP7Kn/ADr8Q/tOH8r/AAP2Jor8dv8AhaPjP/obtd/8GU3/AMVR/wALR8Z/9Ddr%0av/gym/8AiqP7Kn/OvxD+04fyv8D9iaK/Hb/haPjP/obtd/8ABlN/8VR/wtHxn/0N2u/+DKb%0a/AOKo/sqf86/EP7Th/K/wP2Jor8dv+Fo+M/8Aobtd/wDBlN/8VR/wtHxn/wBDdrv/AIMpv/%0aiqP7Kn/OvxD+04fyv8D9iaK/Hb/haPjP8A6G7Xf/BlN/8AFUf8LR8Z/wDQ3a7/AODKb/4qj%0a+yp/wA6/EP7Th/K/wAD9iaK/Hb/AIWj4z/6G7Xf/BlN/wDFUf8AC0fGf/Q3a7/4Mpv/AIqj%0a+yp/zr8Q/tOH8r/A/Ymivx2/4Wj4z/6G7Xf/AAZTf/FUf8LR8Z/9Ddrv/gym/wDiqP7Kn/O%0avxD+04fyv8D9iaK/Hb/haPjP/AKG7Xf8AwZTf/FUf8LR8Z/8AQ3a7/wCDKb/4qj+yp/zr8Q%0a/tOH8r/A/Ymivx2/4Wj4z/AOhu13/wZTf/ABVH/C0fGf8A0N2u/wDgym/+Ko/sqf8AOvxD+%0a04fyv8AA/Ymivx2/wCFo+M/+hu13/wZTf8AxVH/AAtHxn/0N2u/+DKb/wCKo/sqf86/EP7T%0ah/K/wP2Jor8dv+Fo+M/+hu13/wAGU3/xVH/C0fGf/Q3a7/4Mpv8A4qj+yp/zr8Q/tOH8r/A%0a/Ymivx2/4Wj4z/wChu13/AMGU3/xVH/C0fGf/AEN2u/8Agym/+Ko/sqf86/EP7Th/K/wP2J%0aor8dv+Fo+M/wDobtd/8GU3/wAVR/wtHxn/ANDdrv8A4Mpv/iqP7Kn/ADr8Q/tOH8r/AAP2J%0aor8dv8AhaPjP/obtd/8GU3/AMVR/wALR8Z/9Ddrv/gym/8AiqP7Kn/OvxD+04fyv8D9iaK/%0aHb/haPjP/obtd/8ABlN/8VR/wtHxn/0N2u/+DKb/AOKo/sqf86/EP7Th/K/wP2Jor8dv+Fo%0a+M/8Aobtd/wDBlN/8VR/wtHxn/wBDdrv/AIMpv/iqP7Kn/OvxD+04fyv8D9iaK/Hb/haPjP%0a8A6G7Xf/BlN/8AFUf8LR8Z/wDQ3a7/AODKb/4qj+yp/wA6/EP7Th/K/wAD9iaK/Hb/AIWj4%0az/6G7Xf/BlN/wDFUf8AC0fGf/Q3a7/4Mpv/AIqj+yp/zr8Q/tOH8r/A/Ymivx2/4Wj4z/6G%0a7Xf/AAZTf/FUf8LR8Z/9Ddrv/gym/wDiqP7Kn/OvxD+04fyv8D9iaK/Hb/haPjP/AKG7Xf8%0aAwZTf/FUf8LR8Z/8AQ3a7/wCDKb/4qj+yp/zr8Q/tOH8r/A/Ymivx2/4Wj4z/AOhu13/wZT%0af/ABVH/C0fGf8A0N2u/wDgym/+Ko/sqf8AOvxD+04fyv8AA/Ymivx2/wCFo+M/+hu13/wZT%0af8AxVH/AAtHxn/0N2u/+DKb/wCKo/sqf86/EP7Th/K/wP2Jor8dv+Fo+M/+hu13/wAGU3/x%0aVH/C0fGf/Q3a7/4Mpv8A4qj+yp/zr8Q/tOH8r/A/Ymivx2/4Wj4z/wChu13/AMGU3/xVH/C%0a0fGf/AEN2u/8Agym/+Ko/sqf86/EP7Th/K/wP2Jor8dv+Fo+M/wDobtd/8GU3/wAVR/wtHx%0an/ANDdrv8A4Mpv/iqP7Kn/ADr8Q/tOH8r/AAP2Jor8dv8AhaPjP/obtd/8GU3/AMVR/wALR%0a8Z/9Ddrv/gym/8AiqP7Kn/OvxD+04fyv8D9iaK/Hb/haPjP/obtd/8ABlN/8VR/wtHxn/0N%0a2u/+DKb/AOKo/sqf86/EP7Th/K/wP2Jor8dv+Fo+M/8Aobtd/wDBlN/8VR/wtHxn/wBDdrv%0a/AIMpv/iqP7Kn/OvxD+04fyv8D9iaK/Hb/haPjP8A6G7Xf/BlN/8AFUf8LR8Z/wDQ3a7/AO%0aDKb/4qj+yp/wA6/EP7Th/K/wAD9iaK/Hb/AIWj4z/6G7Xf/BlN/wDFUf8AC0fGf/Q3a7/4M%0apv/AIqj+yp/zr8Q/tOH8r/A/Ymivx2/4Wj4z/6G7Xf/AAZTf/FUf8LR8Z/9Ddrv/gym/wDi%0aqP7Kn/OvxD+04fyv8D9iaK/Hb/haPjP/AKG7Xf8AwZTf/FUf8LR8Z/8AQ3a7/wCDKb/4qj+%0ayp/zr8Q/tOH8r/A/Ymivx2/4Wj4z/AOhu13/wZTf/ABVH/C0fGf8A0N2u/wDgym/+Ko/sqf%0a8AOvxD+04fyv8AA/Ymivx2/wCFo+M/+hu13/wZTf8AxVH/AAtHxn/0N2u/+DKb/wCKo/sqf%0a86/EP7Th/K/wP2Jor8dv+Fo+M/+hu13/wAGU3/xVH/C0fGf/Q3a7/4Mpv8A4qj+yp/zr8Q/%0atOH8r/A/Ymivx2/4Wj4z/wChu13/AMGU3/xVH/C0fGf/AEN2u/8Agym/+Ko/sqf86/EP7Th%0a/K/wP2Jor8dv+Fo+M/wDobtd/8GU3/wAVR/wtHxn/ANDdrv8A4Mpv/iqP7Kn/ADr8Q/tOH8%0ar/AAP2Jor8dv8AhaPjP/obtd/8GU3/AMVR/wALR8Z/9Ddrv/gym/8AiqP7Kn/OvxD+04fyv%0a8D9iaK/Hb/haPjP/obtd/8ABlN/8VR/wtHxn/0N2u/+DKb/AOKo/sqf86/EP7Th/K/wP2Jo%0ar8dv+Fo+M/8Aobtd/wDBlN/8VR/wtHxn/wBDdrv/AIMpv/iqP7Kn/OvxD+04fyv8D9iaK/H%0ab/haPjP8A6G7Xf/BlN/8AFUf8LR8Z/wDQ3a7/AODKb/4qj+yp/wA6/EP7Th/K/wAD9iaK/H%0ab/AIWj4z/6G7Xf/BlN/wDFUf8AC0fGf/Q3a7/4Mpv/AIqj+yp/zr8Q/tOH8r/A/Ymivx2/4%0aWj4z/6G7Xf/AAZTf/FUf8LR8Z/9Ddrv/gym/wDiqP7Kn/OvxD+04fyv8D9iaK/Hb/haPjP/%0aAKG7Xf8AwZTf/FUf8LR8Z/8AQ3a7/wCDKb/4qj+yp/zr8Q/tOH8r/A/Ymivx2/4Wj4z/AOh%0au13/wZTf/ABVH/C0fGf8A0N2u/wDgym/+Ko/sqf8AOvxD+04fyv8AA/Ymivx2/wCFo+M/+h%0au13/wZTf8AxVH/AAtHxn/0N2u/+DKb/wCKo/sqf86/EP7Th/K/wP2Jor8dv+Fo+M/+hu13/%0awAGU3/xVH/C0fGf/Q3a7/4Mpv8A4qj+yp/zr8Q/tOH8r/A/Ymivx2/4Wj4z/wChu13/AMGU%0a3/xVH/C0fGf/AEN2u/8Agym/+Ko/sqf86/EP7Th/K/wP2Jor8dv+Fo+M/wDobtd/8GU3/wA%0aVR/wtHxn/ANDdrv8A4Mpv/iqP7Kn/ADr8Q/tOH8r/AAP2Jor8dv8AhaPjP/obtd/8GU3/AM%0aVR/wALR8Z/9Ddrv/gym/8AiqP7Kn/OvxD+04fyv8D9iaK/Hb/haPjP/obtd/8ABlN/8VR/w%0atHxn/0N2u/+DKb/AOKo/sqf86/EP7Th/K/wP2Jor8dv+Fo+M/8Aobtd/wDBlN/8VR/wtHxn%0a/wBDdrv/AIMpv/iqP7Kn/OvxD+04fyv8D9iaK/Hb/haPjP8A6G7Xf/BlN/8AFUf8LR8Z/wD%0aQ3a7/AODKb/4qj+yp/wA6/EP7Th/K/wAD9iaK/Hb/AIWj4z/6G7Xf/BlN/wDFUf8AC0fGf/%0aQ3a7/4Mpv/AIqj+yp/zr8Q/tOH8r/A/Ymivx2/4Wj4z/6G7Xf/AAZTf/FUf8LR8Z/9Ddrv/%0agym/wDiqP7Kn/OvxD+04fyv8D9iaK/Hb/haPjP/AKG7Xf8AwZTf/FUf8LR8Z/8AQ3a7/wCD%0aKb/4qj+yp/zr8Q/tOH8r/A/Ymivx2/4Wj4z/AOhu13/wZTf/ABVH/C0fGf8A0N2u/wDgym/%0a+Ko/sqf8AOvxD+04fyv8AA/Ymivx2/wCFo+M/+hu13/wZTf8AxVH/AAtHxn/0N2u/+DKb/w%0aCKo/sqf86/EP7Th/K/wP2Jor8dv+Fo+M/+hu13/wAGU3/xVH/C0fGf/Q3a7/4Mpv8A4qj+y%0ap/zr8Q/tOH8r/A/Ymivx2/4Wj4z/wChu13/AMGU3/xVH/C0fGf/AEN2u/8Agym/+Ko/sqf8%0a6/EP7Th/K/wP2Jor8dv+Fo+M/wDobtd/8GU3/wAVR/wtHxn/ANDdrv8A4Mpv/iqP7Kn/ADr%0a8Q/tOH8r/AAP2Jor8dv8AhaPjP/obtd/8GU3/AMVR/wALR8Z/9Ddrv/gym/8AiqP7Kn/Ovx%0aD+04fyv8D9iaK/Hb/haPjP/obtd/8ABlN/8VR/wtHxn/0N2u/+DKb/AOKo/sqf86/EP7Th/%0aK/wP2Jor8dv+Fo+M/8Aobtd/wDBlN/8VR/wtHxn/wBDdrv/AIMpv/iqP7Kn/OvxD+04fyv8%0aD9iaK/Hb/haPjP8A6G7Xf/BlN/8AFUf8LR8Z/wDQ3a7/AODKb/4qj+yp/wA6/EP7Th/K/wA%0aD9iaK/Hb/AIWj4z/6G7Xf/BlN/wDFUf8AC0fGf/Q3a7/4Mpv/AIqj+yp/zr8Q/tOH8r/A/Y%0amivx2/4Wj4z/6G7Xf/AAZTf/FUf8LR8Z/9Ddrv/gym/wDiqP7Kn/OvxD+04fyv8D9iaK/Hb%0a/haPjP/AKG7Xf8AwZTf/FUf8LR8Z/8AQ3a7/wCDKb/4qj+yp/zr8Q/tOH8r/A/Ymivx2/4W%0aj4z/AOhu13/wZTf/ABVH/C0fGf8A0N2u/wDgym/+Ko/sqf8AOvxD+04fyv8AA/Ymivx2/wC%0aFo+M/+hu13/wZTf8AxVH/AAtHxn/0N2u/+DKb/wCKo/sqf86/EP7Th/K/wP2Jor8dv+Fo+M%0a/+hu13/wAGU3/xVH/C0fGf/Q3a7/4Mpv8A4qj+yp/zr8Q/tOH8r/A/Ymivx2/4Wj4z/wChu%0a13/AMGU3/xVH/C0fGf/AEN2u/8Agym/+Ko/sqf86/EP7Th/K/wP2Jor8dv+Fo+M/wDobtd/%0a8GU3/wAVR/wtHxn/ANDdrv8A4Mpv/iqP7Kn/ADr8Q/tOH8r/AAP2Jor8dv8AhaPjP/obtd/%0a8GU3/AMVR/wALR8Z/9Ddrv/gym/8AiqP7Kn/OvxD+04fyv8D9iaK/Hb/haPjP/obtd/8ABl%0aN/8VR/wtHxn/0N2u/+DKb/AOKo/sqf86/EP7Th/K/wOYooor6Q+eCiiigAooooAKKKKACii%0aigAooooAKKKKACiiigAoq1pemzavfw2kABklOAT0A6kn6Cu6uvhbALE/Z7uVrsLkbwNjH0x%0a1H5muStiqVCSjUerOmlh6tZOUFojzuitbw74dm1/VPsgbyQgLSuRnaAcdPXNdL4g+HEdjp0%0alzYTyyvEu545cHcB1xgD8qJ4qlTmqcnqxww1WpB1IrRHCUUUV1nKFFFFABRRRQAUUUUAFFF%0aFABRRRQAUUUUAFFFFABRRRQAUUUUAFFFFABRRRQAUUUUAFFFFABRRRQAUUUUAFFFFABRRRQ%0aAUUUUAFFFFABRRRQAUUUUAFFFFABRRRQAUUUUAFFFFABRRRQAUUUUAFFFFABRRRQAUUUUAF%0aFFFABRRRQAUUUUAFFFFABRRRQAUUUUAFFFFABRRRQAUUUUAFFFFABRRRQAUUUUAFFFFABRR%0aRQAUUUUAFFFFABRRRQAUUUUAFFFFABRRRQAUUUUAFFFFABRRRQAUUUUAFFFFABRRRQAUUUU%0aAFFFFABRRRQAUUUUAFFFFABRRRQAUUUUAFFFFABRRRQAUUUUAFFFFABRRRQAUUUUAFFFFAB%0aRRRQAUUUUAFFFFABRRRQAUUUUAFFFFABRRRQAUUUUAFFFFABRRRQAUUUUAFFFFABRRRQAUU%0aUUAFFFFABRRRQAUUUUAFFFFABRRRQAUUUUAFFFFABRRRQAUUUUAFFFFABRRRQAUUUUAFFFF%0aABRRRQAUUUUAFFFFABRRRQAUUUUAFFFFABRRRQAUVuaJ4QvtaAkAFvbH/AJayDr9B3rrrT4%0ae6ZAo85pblu+W2j8h/jXBWxtGi+Vu78jtpYStVV0rLzPNaK9TbwPorDAtCp9RK/wDU1k6j8%0aN4mUtY3LI/ZJuQfxHT9axhmVCTs7r1NZZfWirqzOCoq1qOl3Wk3Bhuomiftnow9Qe9Va9NS%0aUleLujz2nF2YUUUVRIUUUUAFFFFABRRRQAUUUUAFFFFABRRRQAUUUUAFFFFABRRRQAUUUUA%0aFFFFABRRRQAUUUUAFFFFABRRRQAUUUUAFOjieaRUjRnduAqjJP4U2vSfhhpsSafcXxUGd5D%0aGG7hQAf1J/QVy4musPTdRq504ei69RQvY5/wACA6Z4piju4mgkkRkUSqVIY9Ov0Ir1YkAEk%0a4A7mua+IGnx3Xh+W4I2z2xDxuOo5AIz+P6CvP017XNYjGnpcz3IcbfLUZZh7nGcfWvDlSeY%0a2rp8ttH8uqPYjVWAvRavfVHTeAr+CbxNrG3A+0M0kf03k4H5j8q7fUbmKzsLieYgRIhZs9x%0ajpXkzeFNe0cLeLayxGP5t8TqzL+AOabHq+o+Jr6zsby8kkhlmRCowo5IGcDGa2rYONep7WE%0a1yq1+uy/yRlSxUqMPZzg+Z7fP/AIcyUsbmSAzpbytCvWRUJUfj0qGvfILeO2gSGJFSJF2qg%0aHAHpXj/AI106LTPEVzFCAsTYkVR0XI5H55rrwmOWJm4ctuxzYnBvDwU73MOiiivVPMCiiig%0aAooooAKKKKACiiigAooooAKKKKACiiigAooooAKKKKACiiigAooooAKKKKACiiigAooooAK%0aKKKACiiigAooooAKKKKACiiigAooooAKKKKACiiigAooooAKKKKACiiigAooooAKKKKACii%0aigAooooAKKKKACiiigAooooAKKKKACiiigAooooAKKKKACiiigAooooAKKKKACiiigAoooo%0aAKKKKACiiigAooooAKKKKACiiigAooooAKKKKACiiigAooooAKKKKACiiigAooooAKKKKAC%0aiiigAooooAKKKKACiiigAooooAKKKKACiiigAooooAKKKKACiiigAooooAKKKKACiiigAoo%0aooAKKKKACiiigAooooAKKKKACiiigAooooAKKKKACiiigAooooAKKKKACiiigAooooAKKKK%0aACiiigAooooAKKKKACiiigAooooAKKKKACiiigAooooAKKKKACiiigAooooAKKKKACiiigA%0aooooAKKKKACiiigAooooAKKKKACiiigAooooAKKKKACur8F+FV1Rvtt2ubVDhIz/wAtCPX2%0aH61zNpbNeXUMCfflcIPqTivZ7K0jsLSG3iGI4lCivJzDEOjBQhu/yPTwNBVZuUtl+ZLgKoA%0aAAHQCoJruK3OHb5v7o5NNvrgwQ5U/O3A9vesfOeSck+tfLpX3PpG7GmNUiJ5VwPXFWopkmG%0a5GDD+VYVPgmMEgde3Ueo9KfKLmNLVtJt9as2t7hcg8qw+8h9RXk2r6VNo1/JazcsvIYdGHY%0aivZEO4AjoeRXK/EPSxcaYl4o/eW7AE+qk4/nj9a9PL8S6dRU3s/zPOx1BVIOot1+R5zRRRX%0a1R80W7eKwaIGe5uY5O6x26uPzLj+VXtT0nTtLvJLaW+uWkQKSUtFxyAR/wAtPes+1vIreMr%0aJYwXJJzulaQEe3ysBW54svoU1u5Q6fbSNtT94zS7v9Wvo4HH0rkk5+0UVe2vVeXkdUVHkbd%0ar6d/MqWPhuS80qS5DRmV5EjgUXMYDE5yDk9cY44PPSiPwtMzWqSXdtBNcsVjik3kkhtpGVU%0ajqPWtTwrEt9Z2wUFDYXBnZD0ncj5AD/AHsqBj8c9qs21leXM/hmYW0ziN2MriMkIfNOdx7f%0ajXNOvOMpLm7/AJO35G0aUJQUkr6fqr/df+rGNpvhu3ut63WpQ2TKzDJaIg447yBgT7rVl/D%0aOmSozx6n5GxR+7lkt2Zz32kSgD6H8zVvRXmsP7UkMcwS5lYxyRHHEZYvwJEboexq/FrkUVy%0aPLuJ76MpktEZCg3AqNxe4IXk/xL/Q1nOrW5nyt/h5f1qbQpUkveX593/WhwVzD9nnkj3Bwp%0awGVgQfxBI/Imtmy8MC6vbK0kujFPcRGZ1Ee7y1wSvcZJAzjjGRWNcW8lpO8MyGOVDhlYcg1%0a2tpk/EZmUZVoyycZBUxcV2V6kox919G/ut/nc46UFKXvLqlb1f8ASOZutIiXShqFrcPNCJv%0aJdZYvLZWxkYwzAj8akj0a1u4rr7JftPNbxGZleDYjKPvbWyTx7gZrSuoLmfw80eowi0uRcK%0aLSLyhAXJwH+QAAjp82PbNSX+m3OhWtzY2Gm3U0jpsuL9oWII7qnHC+/f8AKsvbP4ebW/la2%0anXr8uvoa+yV78ultd7316f13MbSNJttVlht/tjR3c2QiCHKA84DNkEZx2B6iq9ra2hZxd3b%0a25D7AIofMPuTyOPzPtWx4agv4p7Zvsy/2fIS0tzsChU/izMOVwAeNw9Mc1V063vUvJpNKth%0aeQibarGFZSAD8pOQSufXj68Vq6j5pLm09V59enozNQXLF8uvz7fj8ivdaG9rq89g9xChi6y%0ayNtXGARx1J5HABNSy+HJR4hfSY5Vd1ODKw2jAXcTjntR4gS3TxBJ9mfzELKWPmF/mIG75iS%0aTznnNX9bubm08c3Elnj7QJQEDYw2VAwc+vSpU6jtZ7xb+eg3CCck1s19zuZ0mixz2rT6fcN%0adqkqxOkkYjYFvukDccgnI7H2qabw5Gsl5bxXnm3toheWIxbUO0fMEbOSR7gZrQu7uTTPD1x%0aHLZRaZc3U6PHDGGVwFOS5DEkDIAHQdcCrFve3NsmpX+oWEFq8lu0X2jaytcOwwNvJU56kqO%0a3vWTq1LXT66ba7ff12NVTp3Sa9d9Fr93R6/qczqWmiyjtpo5fPt7hN6SbdpyDhlIyeQapVt%0aXfy+E9PD/ea5lZP93Cg/rWLXdTk5J36No46iSat1SYUUUVqZBRRRQAUUUUAFFFFAHpvgfQt%0aOvvDkE1xZQzSlnBd0BJ+Y1MZvBxGMWH/AHx/9arPw9/5Fa2/3n/9CNYf/CqP+op/5L//AGV%0afKuUHWqKrUcbPS1z6VRmqNN0qalprexo3vgnRtdsTNppSFyPklhYlCfQj/JrzGeB7aeSGQb%0aZI2KMPQg4Nex6NpMPhDRpUDyXCqTM7KmWJwBwo9gK860bxNb2Gt399c2n2hbkswTj5SWz3r%0atwVap+85bzitr7nJi6UPc5rRb37HPUV6B/wsPSv+gP+if4Vqatpmm+JfC738NssMnktLG4U%0aKwIzwcdRxiul4ydNr2tNxTdr3RzLCRmn7Oom1rszC0mXwyPDsYuhB9v8tt25W3bucf0qj4L%0a8Xp4eMtvcoz2srb8pyUbpnHcdPyrrfDlnbv4KhdoI2fyHO4oCerd68utbWW9uYoIULyyMFV%0aR3JrKiqdf20J3tfq/Xbsa1XOh7KcLXt0Xpv3O38U+M4tftBpmmRSyvOwDMVwTzkKB9a29A0%0auz8E6QJ7+RI7iUgSykZweyjHb+tU4bHT/h3pi3dwv2rUJPlBHUnuF9B6n/9VYfirxLqOs6W%0aqXGlSWdqZFdZWVsHg4GSAK5VT9slRoq1O+rvq/Q6XP2TdWs71LaK2iPTopUniSSM7kdQyn1%0aB6V59418NSaXfLrOnphFcSSIo+44Od2PQ962JPEsukyeH7FIUkS7jiVnYnK5wOPzq9r/iB9%0aK1XTLIQJKl7II2LHoCwH9a4qCq4eqnBXTvp3Svf8jrrOlXptSdmrfJu1vzM2L4m6abQPJFO%0as+OYgoIz7HPSuY0/VNJ1rW76814bUkA8pRv+XHAHy+1aHjbwRHZRSajp67YRzLAOi+6+3t2%0arH8BwR3PiW3jljSVCr5V1BH3T2NepSp4dUJ1qN1p31XWx5tWdd1o0qtt+2j8zprKy8FajdR%0a21tH5s0hwqgzjPfvVjVdC8JaI0a3sPkmQEqN8rZx16E+tLrPifTPDGq+QNLXzlUMJIlVev4%0aVQuPiLpd2wafSTMwGAZArEfmK5IxxE2pw5+V/3lc6nKhBOMuXm/wALsVtR/wCEL/s+5+y/8%0afXlN5X+u+/g7evHXHWptD0HRf8AhErfUr6ye4kJIby3fcxMhVQAGHtVzxVFZXPgv7db2cNu%0aZRG67Y1DAEjjIFRWty9n8MIbiPAkicSLkZGRcZFa88pUlyyldztq9fvRnyxVR8yjpG+i/Rl%0au2s9G0lUvYtCvVDDAJQyHn/ZLH+VRyW+h61eF20K+aZhyfLaIYH/AgK1rbVJtR0Kzljv7a2%0avJEV3aQBh05GMin6fPdRXAa71izuIcH5EQIc/XdXE5yV5NvmV18Uv8v1Ovki7JWs/KP+Z57%0a4ytNPs5beOxsLixYFxJ5+7DfdxgkkHHPT1rnK6HxvrkuratJCZEkt7Z2WJkHY4zz36Vz1fT%0aYZSVKPPv63PnsQ4urLl2+463StCsbnwRfahJBuu42YJJvYYxjHGcd6XwDodhrCai19B54hC%0aFcOy4zuz0I9BV7Q/+Sbal/vP/AOy0fDD/AI99Z/3Y/wCT15lWpNUqzUnpLT8D0KcIOpRTS1%0aj/AJlRdQ8GSHadNu4s/wAZZuP/AB80mseDLWXTG1PRLk3NuoLNGxyQB1x9PQ81x9dz8Lblz%0ad31qTmFoxJtPTIOP5H9K6K8JYaDq05vTdN3TRjRnHET9lOK16pWscfpunzarfQ2tuu6WVsD%0aPQepPsK7O60nw34TVItQEmo3pGSidvwyAB9TR8PrCOHxJqhAz9nDRpnt82M/p+tchrd097q%0a95NIcs8rHnsM8D8qcnLEVnTUmopJ6aN3ElGhSVRpOTbWvSx18GjeHfFsUiaZvsL5V3CNyef%0aqMkY+hribmymtLyS1kQieNihQc80Wd7Pp9ws9tK0My5AdeoyMGnrqVyNQS9eV5blXEnmOck%0akdP5V0U6VSk2lK8el97+vYwqVIVEm42fW21vTuafhTR4tR8Qx2V9E4TDbozlSCAT9a0vDvh%0a6x1DxbqdjPGzW0Hm7FDkEbZABz9DXQx2qSeM9L1WAfuL63Zv+BBP8CPyNUPCH/I/63/23/8%0aARq15tTESnGcou3uL5O9md8KEYShFq/vP5q10cFHBJKrskbOqDLFQSFHvV/QvD934guxFbo%0aQgP7yUj5UHv7+1b9j/AMU94FuLk/Ldak3lp6hOR/Ld+YpNF0zUrrw55S6raWemzMSwd8P6E%0aHjp7ZrtniHyycbKzsm7/PRHJCguaKd3pdpfgX9d8JaFZpb2xv006dVy8kqM7S+/3gB36VTs%0aPANlqm/7LrizhPvFbc4H47q21l05dAeLULg+IIbbrJFFzGPTdn9c5qvfX2ma5pqWenaxDpN%0auBhrdotm72LEj9OvevNhVrpcqlLfe11+XN8j0JUqLd3FbbXs/zt8ziI9Ilu9YfT7Nhct5rR%0apIOFYAn5vYYGa7Cbwhok1o8EV7surEf6XJGjSMT/u56DnoDWJFpsHhjxBp0lxfQXEG7ezwE%0attA7nH9PSumuI4IQLiKx0WOzuATDLcSmIyL15BH04rpxFWbceSTtbfa767rt0t5nPQpRSlz%0axV7+tl8vzv5GRpfhnRkle+nvvtWkxR/MzxtGWc8AAdSBkHI7kU3VPCejac8bz6w0Ec48yLb%0abs6lfZhnPbvWtPfpcwwxSxeHpI4RiNWuwQg9Bx7Ul8LC00uR9Ts9OgEsTC0e2DSBjjscYHU%0ac1gqtXnTcnrpZW/wAt+r/4Bs6VPlaSWnr/AJ7djC0Dwpp+t2m/+1DHcKhklhEWdgB9c1NZe%0aGdFe01G7kvbm5tbUqBJbgLuyBngg9zV34f6Ri2urr7VB/pFu6eVu+dPmxlh2HH61b8Mafc6%0aVpWsW9p9m1G5V0KAENG5IBxyRV1a8oymlN6NeW711t/XmRSoxcYNwWqfn000uZd1oHhuz0y%0a1v5J9S8i5JCYKZ49RisrxFoNro/iFLFJ3S2bZumlwxUHqeMZxXe3p1r+xrLydKs5bzJ86Bw%0auyP02/N/U1xnxH/wCRmf8A65J/Knha06lTlcr/ABdU/Tp/w4YmlCFPmUe3Rr16/wDDE9r4R%0a0a7nSCHXTPM3RYrcnP5HiptS8J6BosojvdXlWQjPlogLfjgHH41qeGtRtrizMGm6NPbxMuJ%0aboSeWAe/z9fy5qld3PhjSb9PssC396WxvlmJhVierMcg/rUe1rOo4ty06e7f5vZFezpKCla%0aOvr+C3Zi6tYaBa2T/AGa4v2uyoaLzowEcZ6/dBxjNJ4S0W2vmurzUAf7OtYyX5I3MRwAR+f%0a5etHjSTVX1FRqZUoATC0Q/dlT/AHT37dea3vDF1pur6ENOntJY7e2Uz3M27bGSM8kg5OfT2%0a9q6pznDDqV277tO9l5benqc8IRnX5bJW6Wtd+e/r6HP6d4Rutcia5tGgigZ2VI5ZfmHPTpW%0a/rHw/D2NiLNbe2u1XFwHmbaxwORnPcH86u6HbJ4k1C410RxP5JMVpbZ2gEDgvx15B74/AVD%0aZ+F7i61K9u9dezuIpFKPIJjmE9scYGPf/APXyzxM+fWduXpbW76edvz2OiGHhyaRvzdelu/%0al/lucVrWiT6FOkVw8Ts67wYm3DGcVn1o6/ok2gai9rKdy/ejkHR1PQ1nV7VOXNBSvfzPIqL%0alm1awUUUVqZhRRRQAUUUUAFFFFABRRRQAUUUUAFFFFABRRRQAUUUUAFFFFABRRRQAUUUUAF%0aFFFABRRRQAUUUUAFFFFABRRRQAUUUUAFFFFABRRRQAUUUUAFFFFABRRRQAUUUUAFFFFABRR%0aRQAUUUUAFFFFABRRRQAUUUUAFFaGmW1kZYnvLqIQnIePEm8dRnhSM9+tWzpNlY+aLq8hdpI%0ag1uuJBwejNheOOcVjKrGLt+hrGm5K5iUVfgtIDN5QSTUXYZX7GxXHrwyZNaTaDGlhHP/Zuo%0amV3K+SHyQoH3j+7459qUq0Y6P8Ar8UONKUtv6/M56irmoQx25WP7Jc2svUi4fOR9NoqnWqf%0aMrmbXK7BRRWto2jrfwSTSBmQOECozBs4J6CN88fSlOaguZjjFzdkZNFdSfDNp5CsFuDKXKm%0aPc+RgA5x5Oe/pj3rOvtCWGeAJIsKTBgokMjsWBwRgRg9/TtWMcRCTsjWVCcVdmPRW3pmkWk%0a8V6Xu4JjHAXUqJBsOR8x+UZH5/SopbKxuriEQ3MMIYhWSPzZCecfKCmfwzVe1jdrsT7N2uZ%0aNFdbNottqdxCItPvLbP7sh18pVAHDEiM5z7nOfaoNU0y18oSR6df5izGVVPLG1Rw+fLOc9T%0ak5rNYmLaVvy/zNHh5K7v+f8AkczRW5FpthNBp7+XcqbuYxf65TtwQM/c561cHhyzIU7ZObn%0ayP+P2Lp6/d6/7PWqeIhHe5KoSaujl6KmvYFtr24hUkrHIyAnrgHFQ10J3VzBqzswooras9J%0aja0svMRfPuZtw3ybMRA4OMkZJJ+vHFROagrsqMXJ2Ri0V0J0BP+JvxD+6P7j/SV+T58c/Nx%0ax/e/nVK10ZZrCS5kkl+SUxFLeIS9FyWzuAx71CrQav6fiaOjNO3r+Bl0Vt3lvYPY2GBcRMy%0asqypbofO+b0EnUHiqTWlnFO0Us91EwOCHtgCPqN/FONRPoyZU2upRoroToll5504vOt2jFz%0ac+UNnl4zk/PjHfNVtLs7CS+TD3N0I8uYRbAl8dhhm/Xj3qfbRabVynRknZmPRXXLodtd3zT%0aixvI41XzmjdNg4P3Aojwe3fofrVDV7G1hY3A0++WN/nfP7pYyT93Hl4+nNTHERk+VL8v8AM%0ap0JRV7/AJ/5GBRXRR6LYS3MUSrcDfa/actOoHTO3Ozj61I/hyz2JgSAvbtNn7XG2CAeAAuW%0aHHUUPEQW9wVCb2/rb/M5miiiuo5goorVsrG3s4Vu9SQtGwzFbA7Wl9/ZffvUSkoouMXJ6GV%0aRV7U7BYT9otj5llKx2OP4T12N6Efr1q9Jo0UcduY7G+vDJCkjPC42gsM4+4f51DqxST7/AN%0aeRSpyba7GHRW9a6NHNdQxzabqNvG7hDK8gwuTjvGKqWtjFewzQpC6zxNn7RuHl4zjD54HsR%0aS9rH+v+HH7KX9f8MZlFdA2h2d5BNcWsk4gtwqMywbvMbuy5cfU9MCoTpdtbNc/fv7VAAbmD%0aAMTYz93JBHQE9Pekq8WP2MkYtFdImgWYljEoljg2oXuHuo0AYpuwFK8/nVKfSA8ltFBbyI9%0aw+2OQ3KSqcdfujtn1oVeDdgdGSV/6/rUyKK6BtLs5NQdoba+ltopNjRxW5dW28H5t+eevtm%0aqd/pMdrHJKI7+JM/KJ7XavsC27+lNVotpf1+YOlJXZl0V0FvodpbxxvczeYZrcOqbo02Fhw%0aeZFJx9Oagm0GJbG5uI7vzDCASuIznJx/DI2PypKvBuwexnYxqKKK6DAKKVGCupZd6g5Kk4y%0aPStsafZRs1xNHNDBLH+5t2+aQu390AglR1ycZ4rOU1DcuMHLYw6K3b3w5DYq3nXckbeT5qh%0a4QNx/uD5+W9cdKdHpNrI7JNbT280Ns0rRpICsmMYZWOevPqKz9vBq6NPYzTszAoron0G2RU%0aj8lzeM5U232+Hcvpn5ep9BUunadZmzljazu5GmYjzEi3+TtP3d+3uepUVLxEUrr+vxKVCTd%0amcxRXXW+hWsNmBNZXYN0OqqZGhx6nywVyeOAelZdtp1pLePbzWl5bMsTSYeUAnAJ6GMdcUL%0aERle3T+u4OhJW8/67GLRXSafoNjfR2bhZkW4L5BuYwV2+gK5b8OlZ2r6bDZ2tnNEGUzb9ym%0aZZQMEYwygDvVRrRlLl6/1/kS6MlHm6GZRRRXQYBRWnpGkJqcc7ySvCsW3LAR7RnpkvIv9a6%0aZ/CWlieVRJjbZB9vmR/K+B8/8Arc/gfl561y1MTTpvlf8AW3+Z006E6iujhqK3F0C1Gt6dZ%0arei5iuSu9oim5MnGPlZhn8e9OsrLSrx75fs94n2WF5v+PlDu2kDH+r461TrxSvr3/G3kSqM%0am7af0r/kYNFb1vpOn6hp63EIuLU/aktz5jibhgTkBUBJ44Fbdx4ftNYurcQaVf2ef3RWRDC%0aigDhyRE2c9yTnPtzWcsTCDs0+v9blxw8pK6f9fccNRXYazo9n5Ili0nUgYcxMqp5SlFHEmf%0aLOc9Tk5/CqUGk6ZPbaZIIrtWvZzB/x8KQmCoz/AKvnrTjiYyjzWf4evcJYeUZct1/XyOcor%0ash4T08hTtl5u/s3/IRg6cfN93r/ALHWuV1G3W01C5gQkpFKyAt1wCRzV068KrtEipRnSV5F%0aeiilVS7BVBLE4AHU10GAlFb2oaZDbW0UMjLELZR58qIGdpH52DkZ2getJc2unLotk/myrue%0aQeYtuu5unB+ft9TXOqydrLc39k9U30MKiuk0fS7W4tpIRHJdPOCwlRR+6A+6GOGClsH6cVY%0as9Ege2SCTT7yNrglt7DLRY4ALbOATnoPSoliYxbT6f13KjQlJJpnJ0VeOnNdSzfZoTEkGBJ%0a9onUbTnHUhfyq7/AGH/AMSPzf3H2n7Tt3/aU27NucZ3Yzn8a1dWKtczVOTvYxKKsXenzWSx%0aNKF2SAlGSRXBxweVJq5Y6X5h+zzx7JrmLzLWTd37Dr3wRz7VTnFLmuJQk3Yy6Ke8MkaK7Iy%0ao+drEYBx1xTKsjYKKKKYgorcttNsrSERaiTHd3A+Tk/6OMcMw9zjj0rIurWWzneGZSkinkf%0a1+lZRqKTaX/D+hpKm4q7IqK0vDlgmo6tFDKnmRYZmXJGQAfT3xWaRg4PWqUk5OPYnlfLzBR%0aV+PRbjdCZBCiyBXAe4jUlT0OC2au6t4fddXmgs1hCbgI4zcJu6DjBbNQ6sE7XL9nJq9jDoq%0aa2s5ru5W3iTfMxIC5A6deT9Kt3Fkk1jaXNqhyxEEkYyT5nYj/eFW5pNJkqDdzOopWUoxVgV%0aYHBBGCDSVZIUUVvaNokF7AzuAzCGRmBmTAOPlOAwI/His5zVNc0i4Qc3yowaK3To9rHZ3Ur%0aSKilkihllbeN/Vv9XuHQdOetLa6BDFcX0FzcwPJDA7YXzPkYYwx+XkDPv9Kz9vCzf9dP8AM%0av2MtP6/rYwaK6FtAgU2yRRvdSSxLJlbyOPJIzwrLnFQXelW9uLJkgnmNwr/ALqK4RzkHAwy%0aqQfyoVeD0X9f1YHRktX/AF/VzForp7Kw0qO3vFuElWRY8uolWUxDcBnIUYP0zxnvxWdNZJC%0a8Rt7GeVmYGJ/NEscmD0wEGeB0yCO9CrKTasDotK9zJorpI7W3W4nuE0+aSZl2/YAuWjYj5m%0axg4UZGMjv04qtDpdvJM0Mtne2j+U8imWQc7VJ6bBnpQq8e35f5h7F7J/19xiUUUV0GAUUUU%0aAbXgyMSeJrEHoGZvyUn+lesV5D4XuhZ+ILGRjhfM2k/73H9a9er5jNE/axfl+p9FlrXs5Lz%0a/QztWHyxHtkis6r2q58yPnjB4/GqNeUtj03uFJS0CmSb1uNsUYPUKP5VS8RRiTQdQB6CB2/%0aIZ/pVqxz9liycnbWf4suha+Hr1ifvJ5Y9y3H9aKSbqxS7r8wqtKnJvs/yPJKKKK+7PjC7Dr%0aeo28SxxX91FGowqJMwAHsM0/8A4SHVf+gnef8AgQ/+NUYonmfbGjSN/dUZNNrP2cG/hX3L/%0aI055pbv72WbjU7q6jjjlmZkjJZR0+YnJY46n3PNSPrd9JNbSvcM8tsS0TuASDnOST159c1X%0aks7iKISPBIkZ6OyED86IbOe5UmKCSUDglEJx+VLlp22X4Bed+pIdTvPOSUXUyyRlijK5GzP%0aXbjpnPanXOsX95EYp725njPJSSVmB/AmoI7aSZpFVclFLMDxgDrSRQSTCQou7Yu5sdh60+W%0aG9lp6BzT7vUZVq71CS9gto5VQtAnlrIAdxXsDzjjtxUVtay3kwihQyOecCpk0i9fdi1lBUb%0asMhBx7Z60ScL+89hRUradSpRU40+5M6wmF0kYZCuNvHrzSRWNzOgeO3lkQ/xIhIquaPcXK+%0axDRTpYZIHKSI0bjqrjBptPcWwUUUUxBRRRQBav8AUZNQ8kMqRRwoI44o87VH4k8k8k1Vooq%0aUlFWRTbbuwoooqiQooooAKKKKACiiigD1z4e/8itbf7z/APoRri8+Lv8AqJf+PU/QPHsmha%0aZHZrZrMELHeZMZyc9MVo/8LVl/6Byf9/T/AIV4Co4inVqSjTUlJ9bHturQqU4RlNppdLnSe%0aC/7V/st/wC1d/meYfL837+3Hf8AHPWqug6JYjxHrVyI45GjmVUBGdhKhmwPqSPwrm774n38%0a8RS3t4rYn+MkuR9O36ViaJ4pvdCvJp4mExmOZVlyQ59fryfzqFg8RJVJaRcui9S3i6EXCOs%0alHqzsL/4iXVnfTwDSmIjcoCzkE4PXpW+motq3hSa7eLyWlt5CY85xwR/SuR/4Wpdf8+MP/f%0aZqK7+Jl1d2s0BsolEqMhIY8ZGKiWDqPl5aSTTWt7lRxcFzc1Ru99LHU+Gv+RGh/wCuEn82r%0ahfADRr4ptfM6kOFz/e2n/69Taf48uNP0ZNPW1jdFRk3ljnnP+Nc1BNJbTJLExSRGDKw6gjo%0aa76OGmlWjLTmvb8Tjq4iDdJx15d/wPS/iRYXE1vY3kMXnJauxkXGeDt5I9Pl/WsTxZ42s/E%0aOjJbRQTxTeYrneBtGAe+c9/StHTfijD5Krf2sglAwXgwQ3vgkYqO8+I2mklodJ85j3mCr/I%0aGuOjSrU+WM6Tbi9GnY6qtSlPmlCpZS3ViHxQzWL+GNQaNnt4Y4yxUdxtbH1IqLVPE1r4k8S%0aaC1tHMgiuEDeaAM5demCfSpE+KL/cl0yJoemxZMYH5Vcg+IeijDPpkkbjkeXGhwfrkVahWg%0alzUm2rpWa636fMlzpSb5aiSdm7p9Lf5HX6wyJpN6ZceWIX3Z6Y2mvL/h5/yNNv8A7j/+gmp%0a/FHjyXXLdrS3iNtasfnLHLv7ewrF0DWG0HU47xYhMUBGwtjORjrV4bCVKeHqRktZdPkRiMT%0aTqV4SjtHqeh+JPGs+ham1rHYfaFCht+4jr+FZf/Czbr/oE/wDj5/8Aiaj/AOFqy/8AQOT/A%0aL+n/Cj/AIWrL/0Dk/7+n/CsIYWUYpSoJv8AxG0sTFybjWaX+E1vF921/wCBftLx+U0oicp/%0adyRxWfGwX4VKSNwBBI9f9IrD8ReOrnX7L7L9njt4SwZsEsTjoM0tv42NvpFnp62SNFAysxZ%0a878NuIIx3NawwtWNKMeXXmva/QyniaUqknzfZte3U6/T5ND121ZtMsNPe5UZMFxCqMB74B/%0aMZFSW9jawQSXGq6NpenQJ3wjk/+O4/rXLy/EqdImWz0+3tWPVvvfpxUFh8R9TtwVulivoz1%0aEi7T9Mjj9KyeExDTstPOWv33t95r9aoXV3r6afda5neLL/T9Q1QPpkCwWyRhPkjCBjkndgf%0aUdfSsWtrxH4iTX/s+2yis/K3Z8s53Zx14HTH61i17lBONNRatbzv+J41ZqVRtO/yt+B3mh/%0a8k21L/ef/ANlo+GAzBrP+7H/J65S31+9tdKl06ORRaykll2gk5x3/AApdG8Q32g+d9jkWPz%0acb8oGzjOOv1NcM8LOUKsVb3ndfh/kdkMRCM6cn9lWf4ldNKvZWCpZzux7LExP8q77wnpZ8I%0aaVeanqQEMjqAsZPIA6D6k44rm/+Fha3/wA/Kf8Afpf8Kx9S1m+1dw15cvOR0DHCj6AcCtKl%0aKviFyTso9bXbIp1KNB88LuXS9kjc8Ea8tj4jeS4YLHd5V2PQMTkH8+PxpPGPha60/VJ7iGB%0a5bOZjIrxrkLnkg+lcxW3pnjTVtKiWKK58yJeAkoDAfQ9audGcantaNtrNP8CYVYSp+yq33u%0ami94O8IzanqCzXlsyWMeS3mArvOOAP89qx9ejsxrNxFpqH7MrbUAJbOOpHtnNW9S8a6tqkL%0aQy3PlxNwyxLtyPQnrWZp2oz6Vex3VswSaPO0kA9QQePoacIVuZ1JvW2iT0+ZM5UuVU4Lrq+%0ap13gbVr2bUNP06VALaDzHVih3ZKt3/E1b8Ixuvj3WmKsFPnYJHB/erWD/wALD1v/AJ+E/wC%0a/S/4Uf8LD1v8A5+E/79L/AIVx1MNWm52ilzK2/ne+x1wxFKKheTfK77eVrbmfqeqX+rQWkU%0a8fyWybIwke0Y+n4D8qdoWpx2e6E6VBqUsjDb5ilmHsAKvf8LD1v/n4T/v0v+FRaN4wuND09%0are2trfziSRcMnzYPb3/ABrqcans3HkXon/wxzKUOdS5381/w51mpalD4d8NJ9o0u1huLtub%0aJR8pA7t9OPzFZXhvVbHXNYgs30KyjSTcWdUyRhSf6CuXOs3UuqR39w/2mdHDfveQQD0x6ew%0ardf4iXio32eys7WRhjzEjO4fTmuV4WcIOMVeTvrdqz+/Wx0rEwlJOTsl0snf/AIcwtdSOPW%0a79IUWOJJ3VVToAGIGK9AZ0Xwxou86WP3Ix/aabh0H3f615k7tI7MxLMxySepNdJ/wnEqabZ%0a2i2Nq4t0Cbp18zPHYdq6MRRnONNR1t/lYwoVoQc3LS/+dzb82D+94V/78n/ABqj4yjvJ9Es%0abmSTT3skkMcIsFYDkH14wNuOKzf+Ezn/AOgfpv8A4DD/ABpuseLZNZ0eCwe0hg8qXzN0Pyq%0afvcBe33qxhQqxqRlbZ+X+ZrOtTlCUb9PM2fh9pN4v26ZoHWGe1ZI3YYDEkdKz7XT7HQ5JrX%0aWLu9tbpSCEs3G3aQCM8daxV1q/S2S3S8nSBBhY0kKgfgK0LLxjeWVskIt7SUJ/HNFuY89zn%0amtZ0a3NKV97babbatP8jONWlyxj2767+St+Z12py6QPDmmGa91BLQlvKljYeY3XO7iuJ1V7%0aQ6pA2ly3N2uFObobmL5PGMcjpWi3xB1B41RreyKL0Uw8D6DNVZvGF9Je210kdvby2+7b5Me%0a0NnGQfXpWdCjVpXuu/VW1+X6l1q1Kpaz7dHfT5nXavr+qWGhpPeW2nQl2AWymVmZl9cZxxx%0ax/+qm6jrj22i6PeRwWME122Hd4fkT39RXHWXiSeHVJL67jTUZJEKlbgZHUdB2xjtRr3ia51%0a9YEljighhHyRQrgCoWDalFOKtu38trX/FlvFpxk1J32S+e97fkdT4rutRi0qeO9trfUrKQA%0a295bjasR9SBnHtzj3PSq/h3ULyLQEsY/Dj3sTks0rfKkmTkE5GD2HXtXL2evX1hZT2kNwy2%0a8ylWTqBnrj0pU8RanFbR28d9PFDGMKsblcD8K1+qyVP2dlvfqvnZdfw6mf1mLnz3e1uj/AB%0afT8eh1Wg6bdL4xa8uLGPTYLaIyPHHjYgKbRyO55NV4bj7X4J8RTj/lrdh/zdDWReeL7+80e%0aLTmYJGBiSQffl9Nx/zmotD8UXegxTRQpDNDKQWjnTcM+vBFJ0KrXO0rrlsr9Iu+/mP29NPl%0aTdne782rbeRFq+mXFlDY3FxMJvtUIkTJJZV4wDms2r+ta3c67dLNcbFKKERI1wqj0AqhXoU%0a+ZQXPucFTl5nybBRRRWpmFFFFABRRRQAUUUUAFFFFABRRRQAUUUUAFFFFABRRRQAUUUUAFF%0aFFABRRRQAUUUUAFFFFABRRRQAUUUUAFFFFABRRRQAUUUUAFFFFABRRRQAUUUUAFFFFABRRR%0aQAUUUUAFFFFABRRRQAUUUUAFFFFABRRRQB0Ph52TSNQKO6HfHylwsB7/wAR4qzbXMxuYgbi%0a5I3jg6xE3f0xz9KwbTVJrK2mgjWJllKljJGH6Zxwcjv6U6PWbiN1cR2uVIP/AB6xj+S1wyo%0aylKTtv/kdUaqUUv63NLzUh8Tak0jqikTjLHHJU4FQQ6TNP4dEkdt5kzT7wVALmMDBIHXGTV%0aNtUL3M9w1tA80rF9zqWCk+ik4P4g1DNf3Fxcid5nMy/dcHBX0xjp+FaKnPS2m34IJVItvrd%0av8AEt63Kkv2DY6vttI1bac4IzkH3rNqzeahJfKnnKjSr1mC4dh/tEdfqefeq1bQTjGzMJtS%0aldBWnosKyeZILYzNFyzNNGiKDwMh1I61mVatL/7LaXkGzd9oVV3Zxtwc/jRUTcbIcGlJNnT%0ay25S2iAgV2w0z25ntgsa8AP8AcxyMc4/nWHfQSRX0P2e2liu3xKnlypICOxUIoHbtUY1uUy%0aszxoVaAWzBcg7BjoecHjr+lMv9UN08fkh7eNIBBt8zJZR6kAZ/KuWnTnB6nROpCUTobCW3F%0azqVzMsZka2Jnt4DuHUbju6ZPXAz9ax9Y3aelrDaki0GJY7hTzK/ds9iOmO341Vh1Rre0lgi%0aghjMqbHlG4uRnPc4H4CoEvZo7V7cPmBzkowBGfUZ6H3FVCjKMub+tv6sTKqnG3r/AF/mdNP%0aBH5Nm3mwRM9ujtvgt2ZmI5Yl2DEmqeqoV0+OW22boSwmnh8lCQ3ABEbH3rPk1y4kSFTHb4i%0ajWMbrdHOAOMlgTTX1ieS0mtikASUqSUhVDwcj7oH61MaU00/6/qxbqwd/6/rU21muhomm3A%0aW3iVJWcySwqqjBGMYGecfw8mpPtzDSluPtdhu+2F932Y7M7QcY8vOffr71zIvpvPMzOJpCM%0abplEn/oQNWP7cuvK8rFv5e7ds+zRYz6429aHQfluCrK3ysVbuUz3c0hZWLuzEoCFOT2zzj6%0a1FSu5kdmOAWOTtAA/ADgUldqVlY427u4KQGGRkdxXUX91Ddf2PcSCSLAzHDbxh+A+AvUdgB%0aXL1oxa7cQQRRxrGjxIY0lC/OoJySDng84z6VhVg5NNdP8AI1pyUbp7P/M15I4UOt5W7/eMP%0aNxCh8rLbu0nNGjTx2VnZ4LNFLfkDeoUspTaTjJ/vetc9ZX01hcrPC5WRfyPqD6irM+tzSsm%0a2K3iRAQsQhVkGSSSA2cdf5VjKjK3Luv+BY2VaO+z1/F3NqwjhR47aZvn025llIx/yzAzn0+%0a8Bx71V0W9Lx6vdSSyxFgrs8Jw4y/OKzo9cu4lcJ5CBxtYLbRDcPQ/LzTP7Vm8q4j2RAToEb%0abGEwAc8BcCj2Mne/W353fQPaxumun/AAbfmdWL4nXfsf225wUCeVg7cbd33/Mzu/2sfhis3%0aUroyNo7xzTOkgZS0rfOymTGG5544rKHiDUDMHe6ldehj8xlUjGMYUj9KjuNUknktmEccSW4%0aAjjTO0c57knr71MMO4tPy/R+Q5VlKLX9dPPyOhv7eKO9nVJrWJQ5AT7NafKM9OXB/MVm62Z%0aLZ4JoFWO3kRVOzy9krr1JVCV6noaqT65cXE7ytHahnYsf9GjP6lSfzNNuNZuLiG3T5IjAxZ%0aHhQRkE4/u4Hb0qoUpxav8A1oE6sJc1jfv7m6s3tJHNrbK1oqEzwj7xXkYVd2BnpjbSaheNb%0awWTLdWI32hU7oGG4HIypCZA9uPpXNQ3ssDOw8t2c5YyxLIc/wDAgasSa5dShA/kOEG1Q1tE%0ado9B8tL6u01sCrrX+u3+RQooorvOIfBO9tMksZAdTkFlDYP0Nb19qJ06VIjcalIxjSQst7t%0aGWUE8bT61z1aE2uXEzKTHbfKioM26McAY6sCawqQ5mna/9ejNqc+VPUvy3zy6S95HcXe5ZR%0aCY7mcTIwIJOQVA7CrRs4rt0MkUcpi0yN0WVyi546nI9fWsObV57iyNqyQiMuJMxxKhyBj+E%0aAd6hvL170wlwo8qJYl2jsOmfesvYy6ab/p6eZq6sfXb836+Rv2MFvHdaW4jtobo3QDJbz+Z%0a8vGD95u+ar2VzjT7+SWKO4W0dGiikB2ZZiCSARuP1zWbp+pf2c6SJbQyTI25ZJN2R+AYD9K%0abDqHkRnbbW7Sn/ltIhc9c9CSv6UOlK76/8P8A0hKpG39drf16HQPPK91pEk1qgS4K7GQyoI%0agWxhMPgcYPAFUSslze6pOZGh+zKwVoQELMWwAcDnOTnuaoLrV8sskn2l2Mmd6t8yNxjlTwe%0aPapoNektndora2QO6OyhTglckcZ45OcD0pKlOOyX9O/X7inVjLd/wBW8vPU6KcedLLZAFAk%0a8MfnNAkqZ8sLjDEc59Af1qub57K/0mBE+bzCvnGBIwVZ1ztCkgdCD35rCh1y4jnjlkCXDRs%0aXQSAgKxOS2FIyc+tRRapcRPGd4cJMJwrDjf61msPLZ/07FOvHoaT20ebu4mSz8v7U8Ye4M2%0a7PXGE4xUVxYrcWm+1js3/erFm3M27c2cD5+O1VxrlwsMkQSArJMZzviD/MR23ZGKQ65dfZz%0aEvlxZcSB4Y1jYEAjquPWtlCov8AhyHOm39/6/8AAN6W/ns0tkkkiit4iLRpI5pj8yrycKyj%0aH6/Wo/tV9qFle23lxyo5MayLcu4Zlw2FDM2cj6f0rBh1W5giaIMjxlt5WWNZBu9fmBps+pX%0aFwIgzqgiO5BEixhT64UDngc1Cw7XRf1qV7dd2VqKKK7jiHwTNbypKmA6nIJUEZ+hrq4ZmXV%0aLa1ggi825hWV7l97S5K5OGDAjp2Irko2COrFA4ByVbOD7cc1bk1WUxNFDHFaxMu1lhXBYZ6%0aFjliPbOK5qtNz2N6c+Tf+v62NP7W8ej3ji3S2lWdUeM7nUkg5yrlhngc4zU9rbnT7ORzLIy%0aiwDFGOQrSMMADtkCsZtYuJojHclbtcEAzjcy+4b7w+mce1TzeI7uQfKsUR3q+UTuq4Uc54H%0aX61k6U9kuv+XzNVUj1f8AWp0bktqJvdrgrOM25soTJ93d97dnoPrmsrSHW9h1J3ZQqENEZk%0aRxHufnAchRn61lSarK9qkKqseJPOMilt7PjG4kk8/TFLDrNxD9rOIna5IMhkjDcg56Hj9KS%0aoSUWvT8GN1otp/1sbttHCJcO9tchgVEQhtEJJGByHz1qp4fa8GpT27J5rxQyIQyCQrhSAoJ%0aBwM8Y6Vmxa1cRSI4jtcqQR/osY/ktQXF9NcvMWcqsshlaNSdu498VSoyaafUl1YpprozptF%0au5Wv7O3lnsQ0Rk/dxxZbJBJwwXaP+AkViardtPb20RntZhEWx9miZMZx1BVR27VHBrV1alG%0ai8hGUYDC3j3Dt125qG4vpLlArrCADn93AiH81AqoUnGfNb+tRSqpw5f66Feiiius5TovBk0%0acN25M12rhWlMMMnlo4RSw3MDk9xjHfOe1aEniC5Fk2qbtSEFxI0W0XwwvfgeVhfYg54NctZ%0aXq2e4m0guH6q0wY7fwyAfxBqwviPUklV0u3i2gARxAJHj02Abce2K4KlBzqOVvv/AOGO2nW%0a5Ict/u/4f1OnubuW58dWFkM+TZzfIXdnYggMxLMST0pmk3tzI+qE+IPPAtZGX95OfL+YYbl%0ae3tzzXORa9NbzvPDBbwzvEYmkjTb1wCwAOAcccAdTxVay1CSwFyI1U+fC0LbgeFJB49+Kj6%0as3G3ZJdO92WsQlK/d369rI6G7urg+FpJG1Q38iXkZWVXkJQ7T0LgEfhV24t4vs9g/nW0LyW%0ascj+Zb2rszEcsTI4Yk/SuXuNXMun/Y47aC2hMgkbyt5LMBgZLMfXtUsviO6lSBDHa4hiWJS%0a1tG5IUYGSwJpuhPS2mr7dl8gVeHXsu/d/M1NajZNMimtPL3wFlnubfyIyVfAVSInPuOatpc%0aXg8O6TdBbWBI5ndpZoEVAAV24wucnB+7ycH0rnZNeuZbGe0aO2EcxUsY4EjPynI+6Bn8c1X%0aXUbgXP2h3E8xGC1wolyPowNNUJONnbR/wBfmyXXipXXVWOv/tFhoyXX27TN/wBvL7/sjeXn%0aaDjHlZz/ALXX3rjr+Uz3txKWRy8jMWjBCnJzxnnH1q5/wkd75Pk4tfK3b/L+xw7d2MZxs61%0anzztcytI4QM3URoEX8AAAK0oUnTbbW5FaqqiST/rUZQpwwOSMdxRSqxRgykhgcgjqK7DkOu%0aCtqU+nqX1CNBgJPNIInOerLkkvn26DFVNP1H7fqMVr9o1OPe23f9uzj8NlYUN9PBdi6WVvt%0aAbd5jfMc+vPWrEev6lFIHF9OWBzhpCw/I8VwuhKzStt+P3HZ7Zdf6X3m54ftJprS5ieGRmm%0alV0eWMlWA3ZO4xuP0/Gr1nYEXCv9mCiMhyTbgHAPb/Rhk+wOa5C11GSzDmJEWZs/vyCXUHq%0aBzgfXGeetMtL17LztgU+bE0Tbh0B6496mdCcnJp7lRrQikrf1ubErxW7axHeedbC6cPFmE7%0amG8nIBx+pFL5dl/wAIvj7RP5X2z73kLuzs6Y39PfP4Vz9WPt0n9nfYsL5Xm+dnHzZxj8q2d%0aJ6WfVfhoZKqru66P8TZh1Gxto7BknZ2tIpWUSRFSZCflBxkd85z2qr4gJMGlEnJNov8zWRV%0axNXuVhjiJikSMbU82FHIGc4ywJp+y5ZKUdQ9reLi9P6X+Rckc2/h5IbkbxMfNtSp5jIbDZ9%0aiPSsep7u9mvnVpmDFFCKFUKFHoAAAKgrWEXFO+7Mpyva3QKsWV89g7SRJGZcfLI67ih9R2z%0a9RVeiraTVmQm07o2tMkaXRtcd2LuyxksxySd1Z7ajLJZi3lCzIv+rZx80fsp9PY5FJbahJa%0a2l1boqlLgKHJByMHIxUVvMLedJDGkwU52SAlT9cGsVCzk2uun3GzndRSfe/3mvp0j6Fpz32%0aNl1cfu7cHqFzlmx6dAKra3bKJ1vIR/ot1mRD/dP8Sn3BqneXs1/OZp33uRj0AHYAdhUtpqU%0alpDJDtSaCTlopRlc+o7g+4pKEk+fr19O3y/zHzxa5On69zQuZ7C8lsCbmYPHBFGypAGAI6j%0aJYfyq9qEtja+LWnmuJkZJVZgIQVHA77s/pXLoxR1YdQc1PqF7JqN5LcyhVeQ5IQcdKl0dbX%0a0s19/yD2ujutdPwOg0G8h+1afbwvud5pZpuCMHaQo/Ln8a5/ToJrm+git22TM4CNnGD61Hb%0aXMlnOk0LlJUOVYdqtLrd1G25PJjfn547eNWGfQhcin7OUW3Hr/wQdRTSUu47XbqK9vzLGmy%0aQqBNj7pkHBI9jxWfRRW8YqMVFGMpc0nJhXXaVM1po0M0LzJ5p8lVt4AQHPBZjvySc4GSPpX%0aI1p2muPpkQFjEtvMwAknY72b6A8Ae2M+9YV4OpFJGtGahK7NyBf7TvrvTJZY5EgkSVSkexf%0alP7zgZ5O41S0y6gubrV7lleSSSGV/LPC7cg4JHP8v8ACi2vvEgFnClkzMJJHjJJdgc9+i+1%0aKuvCG4lmhsoEkmXEhYswOcbgBkAA46e55rBUp2atv/wL/fY6Pawunf8ArW33XN5pv7OvbKe%0aeW2gtokWEq0O6TIQEgHaSMbh3rKV7q2uNPYXEDQ3Egw1rEItwDAENhVJHsapNr108RRlhfM%0ajSlpIVcktjP3gQOnakl1u4lSFTHb/ulZV/cIRyc/dIx+QFONGS3S/q/wCrJlVi1a/9f8Mjd%0av7iYX1wBcXAAkbAGrxoByf4SOPp2qp4hu5xpmnp582yRZN6tciXdhuMsvDf0rJ/taf/AJ52%0av/gJF/8AE02XUpZoyjJb7T12W8an8woNONBxcW1t/XYUqyalZ7nSTQGXUdZHkSzq1vGAkXD%0aMQI+AcH27U4R/Z4rYeVLbhLC4zHKcsvJ68D+Vc5f6xd6jKzyykBl2eWhIUL6Y9KItTNvbyR%0aw28MTyR+W8o3FiO/ViBn2FT7Cdlf8ArSxSrRT08/zT/QpUUUV6BwhRRRQAAkEEHBHevXPDO%0asrrelRykjzkGyUejDv+PWvI6v6JrVxoV4J4DkHh4z0cen/168/GYb6zTst1sd2ExHsJ3ez3%0aPWb6ASwMcfMoyKx+tX9H16z1uENbyDfj5om+8v4f1qrdRiK5kVfug8V8pyyg3GSs0fTc0Zp%0aSi7oiqS2i86dEPQnn6VHWhpcahHkPXOMnsKT0QLVmgihQFAwAMCuB+IetC4nj0+JsrEd8pH%0a97sPwH860vE3jaKyje2sHWW5PBlXlY/p6mvPGYuxZiWYnJJOSTXt5fhJKSrVFbt/meRjsVF%0ar2UH6/5CUUUV9CeEbOjb7K1lu02CVmEcfmOqDAOW6n6CpEskt9ZuHRVdRC1xCOCCccfXBz+%0aVZE9288MERCqkIIUL3yckn3qQanOq2wUhWt87HA5wexrmdOTbff+l/XmdCnFJLt/X9ehD58%0akkrM0rZk4ds8ke9X9XXdqT2xlWCCEbYw2doGB6A9etVZb1ZFfFrBGzdWQH9ASQPwFOOpNIi%0aCeCK4ZBgPJuDY9CQRn8atp3TSIurNXNjTbWa2uL9bmaP5YyDKyB8kqD1IyQB2p0LMtqA1/N%0atVsu0IO1m6CNDkdvQYrJTVXee6lnJYzRuoCjgEgAcfgKk/tgwmJ4gZJ0AAklUBU9lUcD6/y%0arndObevl+RuqkUtPMs2zzNqzwzyEqQXK+YWK4BYKWyDwe2eoqyJ4lcspgRi/mEoyr83rxP8%0aA5zWXBe2sN2ZUjdFYZ6sWRu4BDrx7mrUfiZzeeY8ZWIk/Ksjkjjjjdj9KUqcm9F0HGcVu+o%0a9IEXU9SjWDMYBJZZAgVepGTxzwKLuOS+tLd5baa5fdJk2zDavI4yFb/IrMfUN8rSG3hMh/i%0abc/Pr8zHP41LPqFtcwxJJbSDy8kFJFXOevATFXySTT/AK2I54u6DXRtvwNpXESDa3UfKODW%0afVrULtLyVXSNoyFCkM+7OBgdhVWuiCaikzCbTldBRRRWhAUUUUAFFFFABRRRQAUUUUAFFFF%0aABRRRQAUUUUAFFFFABRRRQAUUUUAFFFFABRRRQAUUUUAFFFFABRRRQAUUUUAFFFFABRRRQA%0aUUUUAFFFFABRRRQAUUUUAFFFFABRRRQAUUUUAFFFFABRRRQAUUUUAFFFFABRRRQAUUUUAFF%0aFFABRRRQAUUUUAFFFFABRRRQAUUUUAFFFFABRRRQAUUUUAFFFFABRRRQAUUUUAFFFFABRRR%0aQAUUUUAFFFFABRRRQAUUUUAFFFFABRRRQAUUUUAFFFFABRRRQAUUUUAFFFFABRRRQAUUUUA%0aFFFFABRRRQAUUUUAFFFFABRRRQAUUUUAFFFFABRRRQAUUUUAFFFFABRRRQAUUUUAFFFFABR%0aRRQAUUUUAFFFFABRRRQAUUUUAFFFFABRRRQAUUUUAFFFFABRRRQAUUUUAFFFFABRRRQAUUU%0aUAFFFFABRRRQAUUUUAFFFFABRRRQAUUUUAFFFFABRXSeFvGX/CNW00P2JbjzH37/M2EcYx0%0aORx/Otz/AIWv/wBQv/yY/wDsa4p1a8ZNQpXXe6OyFKjKKcqln6M8/or0D/ha/wD1C/8AyY/%0a+xo/4Wv8A9Qv/AMmP/saz9vif+fP/AJMi/Y4f/n7+DPP6K9A/4Wv/ANQv/wAmP/saP+Fr/w%0aDUL/8AJj/7Gj2+J/58/wDkyD2OH/5+/gzz+ivQP+Fr/wDUL/8AJj/7Gj/ha/8A1C//ACY/+%0axo9vif+fP8A5Mg9jh/+fv4M8/or0D/ha/8A1C//ACY/+xri9Z1L+19TuLzylg81s+WvIHGP%0a6VvSqVZu1SHKvVMxq06UVeE+b5WKdFFFdRzBRRRQAUUUUAFFFFABRRRQAUUUUAFFFFABRRR%0aQAUUUUAFFFFABRRRQAUUUUAFFFFABRRRQAUUUUAFFFFABRRRQAUUUUAFFFFABRRRQA6OV4X%0aDxuyOvIZTgitWHxXqMZy8on95Vyfz61kUVlOnCp8auaQqTp/C7G6fGN8RgRwD3Cn/GqN3r1%0a/exmOW5fyj1jX5VP1A61QoqI4elB3jFFyr1Zq0pMKKKK6DAKKKKACiiigAooooAKKKKACii%0aigAooooAKKKKACiiigAooooAKKKKAPYP+EB0H/nx/wDI0n/xVH/CA6D/AM+P/kaT/wCKroK%0aK+E+s1v5397PtPq9H+Rfcc/8A8IDoP/Pj/wCRpP8A4qj/AIQHQf8Anx/8jSf/ABVdBRR9Zr%0afzv72H1ej/ACL7jn/+EB0H/nx/8jSf/FUf8IDoP/Pj/wCRpP8A4qugoo+s1v5397D6vR/kX%0a3HP/wDCA6D/AM+P/kaT/wCKo/4QHQf+fH/yNJ/8VXQUUfWa387+9h9Xo/yL7jn/APhAdB/5%0a8f8AyNJ/8VR/wgOg/wDPj/5Gk/8Aiq6Cij6zW/nf3sPq9H+Rfcc//wAIDoP/AD4/+RpP/iq%0aP+EB0H/nx/wDI0n/xVdBRR9Zrfzv72H1ej/IvuOf/AOEB0H/nx/8AI0n/AMVR/wAIDoP/AD%0a4/+RpP/iq6Cij6zW/nf3sPq9H+Rfcc/wD8IDoP/Pj/AORpP/iqP+EB0H/nx/8AI0n/AMVXQ%0aUUfWa387+9h9Xo/yL7jn/8AhAdB/wCfH/yNJ/8AFUf8IDoP/Pj/AORpP/iq6Cij6zW/nf3s%0aPq9H+Rfcc/8A8IDoP/Pj/wCRpP8A4qj/AIQHQf8Anx/8jSf/ABVdBRR9Zrfzv72H1ej/ACL%0a7jn/+EB0H/nx/8jSf/FUf8IDoP/Pj/wCRpP8A4qugoo+s1v5397D6vR/kX3HP/wDCA6D/AM%0a+P/kaT/wCKo/4QHQf+fH/yNJ/8VXQUUfWa387+9h9Xo/yL7jn/APhAdB/58f8AyNJ/8VR/w%0agOg/wDPj/5Gk/8Aiq6Cij6zW/nf3sPq9H+Rfcc//wAIDoP/AD4/+RpP/iqP+EB0H/nx/wDI%0a0n/xVdBRR9Zrfzv72H1ej/IvuOf/AOEB0H/nx/8AI0n/AMVR/wAIDoP/AD4/+RpP/iq6Cij%0a6zW/nf3sPq9H+Rfcc/wD8IDoP/Pj/AORpP/iqP+EB0H/nx/8AI0n/AMVXQUUfWa387+9h9X%0ao/yL7jn/8AhAdB/wCfH/yNJ/8AFUf8IDoP/Pj/AORpP/iq6Cij6zW/nf3sPq9H+Rfcc/8A8%0aIDoP/Pj/wCRpP8A4qj/AIQHQf8Anx/8jSf/ABVdBRR9Zrfzv72H1ej/ACL7jn/+EB0H/nx/%0a8jSf/FUf8IDoP/Pj/wCRpP8A4qugoo+s1v5397D6vR/kX3HP/wDCA6D/AM+P/kaT/wCKo/4%0aQHQf+fH/yNJ/8VXQUUfWa387+9h9Xo/yL7jn/APhAdB/58f8AyNJ/8VR/wgOg/wDPj/5Gk/%0a8Aiq6Cij6zW/nf3sPq9H+Rfcc//wAIDoP/AD4/+RpP/iqP+EB0H/nx/wDI0n/xVdBRR9Zrf%0azv72H1ej/IvuOf/AOEB0H/nx/8AI0n/AMVR/wAIDoP/AD4/+RpP/iq6Cij6zW/nf3sPq9H+%0aRfcc/wD8IDoP/Pj/AORpP/iqP+EB0H/nx/8AI0n/AMVXQUUfWa387+9h9Xo/yL7jn/8AhAd%0aB/wCfH/yNJ/8AFUf8IDoP/Pj/AORpP/iq6Cij6zW/nf3sPq9H+Rfcc/8A8IDoP/Pj/wCRpP%0a8A4qkPgLQR/wAuP/kaT/4qt9mxUbSelH1mt/O/vYfV6P8AIvuMM+BNB/58P/I0n/xVJ/wgm%0ag/8+I/7/Sf/ABVbJkpplAo+s1v5397D6vR/kX3GR/wgugj/AJcv/I0n/wAVSf8ACC6D/wA+%0aP/kWT/4qtfzh60ecPWj6zW/nf3sPq9H+RfcZH/CC6D/z4/8AkWT/AOKo/wCEF0H/AJ8f/Is%0an/wAVWv5w9aPOHrR9Zrfzv72H1ej/ACL7jI/4QXQf+fH/AMiyf/FUf8ILoP8Az4/+RZP/AI%0aqtfzh60ecPWj6zW/nf3sPq9H+RfcZH/CC6D/z4/wDkWT/4qj/hBdB/58f/ACLJ/wDFVr+cP%0aWjzh60fWa387+9h9Xo/yL7jI/4QXQf+fH/yLJ/8VR/wgug/8+P/AJFk/wDiq1/OHrR5w9aP%0arNb+d/ew+r0f5F9xkf8ACC6D/wA+P/kWT/4qj/hBdB/58f8AyLJ/8VWv5w9aPOHrR9Zrfzv%0a72H1ej/IvuMj/AIQXQf8Anx/8iyf/ABVH/CC6D/z4/wDkWT/4qtfzh60ecPWj6zW/nf3sPq%0a9H+RfcZH/CC6D/AM+P/kWT/wCKo/4QXQf+fH/yLJ/8VWv5w9aPOHrR9Zrfzv72H1ej/IvuM%0aj/hBdB/58f/ACLJ/wDFUf8ACC6D/wA+P/kWT/4qtfzh60ecPWj6zW/nf3sPq9H+RfcZH/CC%0a6D/z4/8AkWT/AOKo/wCEF0H/AJ8f/Isn/wAVWv5w9aPOHrR9Zrfzv72H1ej/ACL7jI/4QXQ%0af+fH/AMiyf/FUf8ILoP8Az4/+RZP/AIqtfzh60ecPWj6zW/nf3sPq9H+RfcZH/CC6D/z4/w%0aDkWT/4qj/hBdB/58f/ACLJ/wDFVr+cPWjzh60fWa387+9h9Xo/yL7jI/4QXQf+fH/yLJ/8V%0aR/wgug/8+P/AJFk/wDiq1/OHrR5w9aPrNb+d/ew+r0f5F9xkf8ACC6D/wA+P/kWT/4qj/hB%0adB/58f8AyLJ/8VWv5w9aPOHrR9Zrfzv72H1ej/IvuMj/AIQXQf8Anx/8iyf/ABVH/CC6D/z%0a4/wDkWT/4qtfzh60ecPWj6zW/nf3sPq9H+RfcZH/CC6D/AM+P/kWT/wCKo/4QXQf+fH/yLJ%0a/8VWv5w9aPOHrR9Zrfzv72H1ej/IvuMj/hBdB/58f/ACLJ/wDFUf8ACC6D/wA+P/kWT/4qt%0afzh60ecPWj6zW/nf3sPq9H+RfcZH/CC6D/z4/8AkWT/AOKo/wCEF0H/AJ8f/Isn/wAVWv5w%0a9aPOHrR9Zrfzv72H1ej/ACL7jI/4QXQf+fH/AMiyf/FUf8ILoP8Az4/+RZP/AIqtfzh60ec%0aPWj6zW/nf3sPq9H+RfcZH/CC6D/z4/wDkWT/4qj/hBdB/58f/ACLJ/wDFVr+cPWjzh60fWa%0a387+9h9Xo/yL7jI/4QXQf+fH/yLJ/8VR/wgug/8+P/AJFk/wDiq1/OHrR5w9aPrNb+d/ew+%0ar0f5F9xkf8ACC6D/wA+P/kWT/4qj/hBdB/58f8AyLJ/8VWv5w9aPOHrR9Zrfzv72H1ej/Iv%0auMj/AIQXQf8Anx/8iyf/ABVH/CC6D/z4/wDkWT/4qtfzh60ecPWj6zW/nf3sPq9H+RfcZH/%0aCC6D/AM+P/kWT/wCKo/4QXQf+fH/yLJ/8VWv5w9aPOHrR9Zrfzv72H1ej/IvuMj/hBdB/58%0af/ACLJ/wDFUf8ACC6D/wA+P/kWT/4qtfzh60ecPWj6zW/nf3sPq9H+RfcZH/CC6D/z4/8Ak%0aWT/AOKo/wCEF0H/AJ8f/Isn/wAVWv5w9aPOHrR9Zrfzv72H1ej/ACL7jI/4QXQf+fH/AMiy%0af/FUf8ILoP8Az4/+RZP/AIqtfzh60ecPWj6zW/nf3sPq9H+RfcZH/CC6D/z4/wDkWT/4qj/%0ahBdB/58f/ACLJ/wDFVr+cPWjzh60fWa387+9h9Xo/yL7jI/4QXQf+fH/yLJ/8VR/wgug/8+%0aP/AJFk/wDiq1/OHrR5w9aPrNb+d/ew+r0f5F9xkf8ACC6D/wA+P/kWT/4qj/hBdB/58f8Ay%0aLJ/8VWv5w9aPOHrR9Zrfzv72H1ej/IvuMj/AIQXQf8Anx/8iyf/ABVH/CC6D/z4/wDkWT/4%0aqtfzh60ecPWj6zW/nf3sPq9H+RfcZH/CC6D/AM+P/kWT/wCKo/4QXQf+fH/yLJ/8VWv5w9a%0aPOHrR9Zrfzv72H1ej/IvuMj/hBdB/58f/ACLJ/wDFUf8ACC6D/wA+P/kWT/4qtfzh60ecPW%0aj6zW/nf3sPq9H+RfcZH/CC6D/z4/8AkWT/AOKo/wCEF0H/AJ8f/Isn/wAVWv5w9aPOHrR9Z%0arfzv72H1ej/ACL7jI/4QXQf+fH/AMiyf/FUf8ILoP8Az4/+RZP/AIqtfzh60ecPWj6zW/nf%0a3sPq9H+RfcZH/CC6D/z4/wDkWT/4qj/hBdB/58f/ACLJ/wDFVr+cPWjzh60fWa387+9h9Xo%0a/yL7jI/4QXQf+fH/yLJ/8VR/wgug/8+P/AJFk/wDiq1/OHrR5w9aPrNb+d/ew+r0f5F9xkf%0a8ACC6D/wA+P/kWT/4qj/hBdB/58f8AyLJ/8VWv5w9aPOHrR9Zrfzv72H1ej/IvuMj/AIQXQ%0af8Anx/8iyf/ABVH/CC6D/z4/wDkWT/4qtfzh60ecPWj6zW/nf3sPq9H+RfcZH/CC6D/AM+P%0a/kWT/wCKo/4QXQf+fH/yLJ/8VWv5w9aPOHrR9Zrfzv72H1ej/IvuMj/hBdB/58f/ACLJ/wD%0aFUf8ACC6D/wA+P/kWT/4qtfzh60ecPWj6zW/nf3sPq9H+RfcZH/CC6D/z4/8AkWT/AOKo/w%0aCEF0H/AJ8f/Isn/wAVWv5w9aPOHrR9Zrfzv72H1ej/ACL7jI/4QXQf+fH/AMiyf/FUf8ILo%0aP8Az4/+RZP/AIqtfzh60ecPWj6zW/nf3sPq9H+RfcZH/CC6D/z4/wDkWT/4qj/hBdB/58f/%0aACLJ/wDFVr+cPWjzh60fWa387+9h9Xo/yL7jI/4QXQf+fH/yLJ/8VR/wgug/8+P/AJFk/wD%0aiq1/OHrR5w9aPrNb+d/ew+r0f5F9xkf8ACC6D/wA+P/kWT/4qj/hBdB/58f8AyLJ/8VWv5w%0a9aPOHrR9Zrfzv72H1ej/IvuMj/AIQXQf8Anx/8iyf/ABVH/CC6D/z4/wDkWT/4qtfzh60ec%0aPWj6zW/nf3sPq9H+RfcZH/CC6D/AM+P/kWT/wCKo/4QXQf+fH/yLJ/8VWv5w9aPOHrR9Zrf%0azv72H1ej/IvuMj/hBdB/58f/ACLJ/wDFUf8ACC6D/wA+P/kWT/4qtfzh60ecPWj6zW/nf3s%0aPq9H+RfcZH/CC6D/z4/8AkWT/AOKo/wCEF0H/AJ8f/Isn/wAVWv5w9aPOHrR9Zrfzv72H1e%0aj/ACL7jI/4QXQf+fH/AMiyf/FUf8ILoP8Az4/+RZP/AIqtfzh60ecPWj6zW/nf3sPq9H+Rf%0acZH/CC6D/z4/wDkWT/4qj/hBdB/58f/ACLJ/wDFVr+cPWjzh60fWa387+9h9Xo/yL7jI/4Q%0aXQf+fH/yLJ/8VR/wgug/8+P/AJFk/wDiq1/OHrR5w9aPrNb+d/ew+r0f5F9xkf8ACC6D/wA%0a+P/kWT/4qj/hBdB/58f8AyLJ/8VWv5w9aPOHrR9Zrfzv72H1ej/IvuMj/AIQXQf8Anx/8iy%0af/ABVH/CC6D/z4/wDkWT/4qtfzh60ecPWj6zW/nf3sPq9H+RfcZH/CC6D/AM+P/kWT/wCKo%0a/4QXQf+fH/yLJ/8VWv5w9aPOHrR9Zrfzv72H1ej/IvuMj/hBdB/58f/ACLJ/wDFUf8ACC6D%0a/wA+P/kWT/4qtfzh60ecPWj6zW/nf3sPq9H+RfcZH/CC6D/z4/8AkWT/AOKo/wCEF0H/AJ8%0af/Isn/wAVWv5w9aPOHrR9Zrfzv72H1ej/ACL7jI/4QXQf+fH/AMiyf/FUf8ILoP8Az4/+RZ%0aP/AIqtfzh60ecPWj6zW/nf3sPq9H+RfcZH/CC6D/z4/wDkWT/4qj/hBdB/58f/ACLJ/wDFV%0ar+cPWjzh60fWa387+9h9Xo/yL7jI/4QXQf+fH/yLJ/8VR/wgug/8+P/AJFk/wDiq1/OHrR5%0aw9aPrNb+d/ew+r0f5F9xkf8ACC6D/wA+P/kWT/4qj/hBdB/58f8AyLJ/8VWv5w9aPOHrR9Z%0arfzv72H1ej/IvuMj/AIQXQf8Anx/8iyf/ABVH/CC6D/z4/wDkWT/4qtfzh60ecPWj6zW/nf%0a3sPq9H+RfcZH/CC6D/AM+P/kWT/wCKo/4QXQf+fH/yLJ/8VWv5w9aPOHrR9Zrfzv72H1ej/%0aIvuMj/hBdB/58f/ACLJ/wDFUf8ACC6D/wA+P/kWT/4qtfzh60ecPWj6zW/nf3sPq9H+RfcZ%0aH/CC6D/z4/8AkWT/AOKo/wCEF0H/AJ8f/Isn/wAVWv5w9aPOHrR9Zrfzv72H1ej/ACL7jI/%0a4QXQf+fH/AMiyf/FUf8ILoP8Az4/+RZP/AIqtfzh60ecPWj6zW/nf3sPq9H+RfcZH/CC6D/%0az4/wDkWT/4qj/hBdB/58f/ACLJ/wDFVr+cPWjzh60fWa387+9h9Xo/yL7jI/4QXQf+fH/yL%0aJ/8VR/wgug/8+P/AJFk/wDiq1/OHrR5w9aPrNb+d/ew+r0f5F9xkf8ACC6D/wA+P/kWT/4q%0aj/hBdB/58f8AyLJ/8VWv5w9aPOHrR9Zrfzv72H1ej/IvuMj/AIQXQf8Anx/8iyf/ABVH/CC%0a6D/z4/wDkWT/4qtfzh60ecPWj6zW/nf3sPq9H+RfcZH/CC6D/AM+P/kWT/wCKo/4QXQf+fH%0a/yLJ/8VWv5w9aPOHrR9Zrfzv72H1ej/IvuMj/hBdB/58f/ACLJ/wDFUf8ACC6D/wA+P/kWT%0a/4qtfzh60ecPWj6zW/nf3sPq9H+RfcZH/CC6D/z4/8AkWT/AOKo/wCEF0H/AJ8f/Isn/wAV%0aWv5w9aPOHrR9Zrfzv72H1ej/ACL7jI/4QXQf+fH/AMiyf/FUf8ILoP8Az4/+RZP/AIqtfzh%0a60ecPWj6zW/nf3sPq9H+RfcZH/CC6D/z4/wDkWT/4qj/hBdB/58f/ACLJ/wDFVr+cPWjzh6%0a0fWa387+9h9Xo/yL7jI/4QXQf+fH/yLJ/8VR/wgug/8+P/AJFk/wDiq1/OHrR5w9aPrNb+d%0a/ew+r0f5F9xkf8ACC6D/wA+P/kWT/4qj/hBdB/58f8AyLJ/8VWv5w9aPOHrR9Zrfzv72H1e%0aj/IvuMj/AIQXQf8Anx/8iyf/ABVH/CC6D/z4/wDkWT/4qtfzh60ecPWj6zW/nf3sPq9H+Rf%0acZP8Awgugn/ly/wDI0n/xVH/CCaD/AM+I/wC/0n/xVa3nD1pRKDR9Zrfzv72H1ej/ACL7jJ%0aHgTQf+fD/yNJ/8VSjwFoJ/5cf/ACNJ/wDFVriSpFk9aPrNb+d/ew+r0f5F9xi/8IDoP/Pj/%0awCRpP8A4qj/AIQHQf8Anx/8jSf/ABVbytmnUfWa387+9h9Xo/yL7jn/APhAdB/58f8AyNJ/%0a8VR/wgOg/wDPj/5Gk/8Aiq6Cij6zW/nf3sPq9H+Rfcc//wAIDoP/AD4/+RpP/iqP+EB0H/n%0ax/wDI0n/xVdBRR9Zrfzv72H1ej/IvuOf/AOEB0H/nx/8AI0n/AMVR/wAIDoP/AD4/+RpP/i%0aq6Cij6zW/nf3sPq9H+Rfcc/wD8IDoP/Pj/AORpP/iqP+EB0H/nx/8AI0n/AMVXQUUfWa387%0a+9h9Xo/yL7jn/8AhAdB/wCfH/yNJ/8AFUf8IDoP/Pj/AORpP/iq6Cij6zW/nf3sPq9H+Rfc%0ac/8A8IDoP/Pj/wCRpP8A4qj/AIQHQf8Anx/8jSf/ABVdBRR9Zrfzv72H1ej/ACL7jn/+EB0%0aH/nx/8jSf/FUf8IDoP/Pj/wCRpP8A4qugoo+s1v5397D6vR/kX3HP/wDCA6D/AM+P/kaT/w%0aCKo/4QHQf+fH/yNJ/8VXQUUfWa387+9h9Xo/yL7jn/APhAdB/58f8AyNJ/8VR/wgOg/wDPj%0a/5Gk/8Aiq6Cij6zW/nf3sPq9H+Rfcc//wAIDoP/AD4/+RpP/iqP+EB0H/nx/wDI0n/xVdBR%0aR9Zrfzv72H1ej/IvuOf/AOEB0H/nx/8AI0n/AMVR/wAIDoP/AD4/+RpP/iq6Cij6zW/nf3s%0aPq9H+Rfcc/wD8IDoP/Pj/AORpP/iqP+EB0H/nx/8AI0n/AMVXQUUfWa387+9h9Xo/yL7jn/%0a8AhAdB/wCfH/yNJ/8AFUf8IDoP/Pj/AORpP/iq6Cij6zW/nf3sPq9H+Rfcc/8A8IDoP/Pj/%0awCRpP8A4qj/AIQHQf8Anx/8jSf/ABVdBRR9Zrfzv72H1ej/ACL7jn/+EB0H/nx/8jSf/FUf%0a8IDoP/Pj/wCRpP8A4qugoo+s1v5397D6vR/kX3HP/wDCA6D/AM+P/kaT/wCKo/4QHQf+fH/%0ayNJ/8VXQUUfWa387+9h9Xo/yL7jn/APhAdB/58f8AyNJ/8VR/wgOg/wDPj/5Gk/8Aiq6Cij%0a6zW/nf3sPq9H+Rfcc//wAIDoP/AD4/+RpP/iqP+EB0H/nx/wDI0n/xVdBRR9Zrfzv72H1ej%0a/IvuOf/AOEB0H/nx/8AI0n/AMVR/wAIDoP/AD4/+RpP/iq6Cij6zW/nf3sPq9H+RfcFFFFc%0a5uFFFFABRRRQAUhIAJJwB3NVtS1O10exlvL2dLa2iGXkc8D/ABPoBya5wWN942YSajHLp2h%0adU09vlmuvebH3U/6Zjk/xelAG5o/iHTfECztp17DeCF/Lk8ps7T/gex6HtWjWFq/hSG8aC6%0a0+T+ytTtk8uC5gQYCf883Xoyf7J6dsGm6L4lee7/svVYF0/WVBIiBzFcKOrwsfvDuR95e47%0a0Ab9FFFABRRXM+IPiFpnhtZzdW2qyGF1jYw6XcMhLMFGJNmw9R0bnoMnigDpqK5C0+KeiXW%0ao3Fm0ep2zwzxWxkuNMuEQvIF2Akp8mSwHz7fbIwa09T8Z6ZpWptp0xvJbxYlmaK0sLi5Kox%0aIBJjRgMlT19KANyiuTHxR8P8A2L7YZNQWzBwbltJuxEDu28uYsDnjr1p2vfErRvDviG20a5%0aN1LdzDJ+yWzziIkEorBAW3MFYgAHhSeBQB1VFcZ/wtnQv7ZXTfK1XzmQspGlXBywwWj2BN+%0a4KVY5XGGU55rQk8f6RDfQWcg1GO5nXfGjaVdDcvGTnysADcuf7uecUeYHR0VyA+K/hxoxIJ%0atQMZgN0HGk3eDCOsmfK+5yPm6V1cE6XUEc0Tbo5FDq2MZBGRQBJRRRQAUVS1LVoNKVGnS5c%0aOSB9mtZZz+IjVsfjWT/wsDRfsSXgkvGtH4E66dcFM7iuCRHwdwxg80AdHRWHc+L7K20u4vz%0aDe+TAyKyy2ckLEswUYEgXPJ5xUt54q0+xvpbN/tctxEqtIltYzz7Q2cZKIQM4NAGvRWVB4l%0asbrTXvoTcywJIYmVLSYyhgcEGPbv4PtVQ+OtKW5W3K6iLhlLrEdKut5UEAkDy84BI59xQB0%0aFFVNP1SDUoHmiW4jRTtP2m2kgPTPSRVOPfpWMfiBo8S6W1zOLJNQjeWJ7p0jARejMS38WRj%0aGSc9sHAB0lFZ2m+ItK1iVorDU7O+kVdzJbXCSED1IBPFKmuWsmrXGnoWeW3iEs8gH7uLPRW%0absxHOPQZ7jIBoUUyKVJ4klidZI3UMrochgehB7in0AFFFIx2gk5wOeBmgBaK5n/hYuii8S0%0aYaml1IjSJDJpF2ruq43FQYstjI6eop1l8QdI1G5aC3XU5JElELj+yLsCNzg4cmLC8EHnGAc%0a0BsdJRWA/jfTIINXnuDPBDpd0tnM3kmQtIwQrsVNzNnzFHTOe1Fp430u81C2sQL+C5uSywr%0ad6Zc26uQpYgNJGozgE9e1C12DY36K56Lx5o02qDT1muPtDXD2gY2U4iMyglkEpTYSNrfxdq%0agtPiVoN8tpJDLfGC6kSKG4fTLpIXZjtUCQxheScZziha7BsdRRWDqPjPTtKvdQgufOWKwt1%0aubq5SPfHEGOFQ4yxc4zgA8fUZp/8LN0BZpInk1CJ4nRJPN0q7QRlyAm8mIBc5GM4oWuwPQ6%0aqiiigApCcClprnFAEUjUtlZXWrX0FlY28t3eTuI4oIULO7HoAByaikOBXt/7GVpDefFy8kl%0ajDyW2kzSxMR9xjJEmR/wF2H40Acyv7MXxPnjV18LthhkBr62U/iDJkU0/sufFLt4X/wDKha%0a//AB2v0EooA/Pr/hlz4p/9Cv8A+VC1/wDjtH/DLnxT/wChX/8AKha//Ha/QWigD8+v+GXPi%0an/0K/8A5ULX/wCO0f8ADLnxT/6Ff/yoWv8A8dr9BaKAPz6/4Zc+Kf8A0K//AJULX/47R/wy%0a58U/+hX/APKha/8Ax2v0FooA/Pr/AIZc+Kf/AEK//lQtf/jtH/DLnxT/AOhX/wDKha//AB2%0av0FooA/Pr/hlz4p/9Cv8A+VC1/wDjtH/DLnxT/wChX/8AKha//Ha/QWigD8+v+GXPin/0K/%0a8A5ULX/wCO0f8ADLnxT/6Ff/yoWv8A8dr9BaKAPz6/4Zc+Kf8A0K//AJULX/47R/wy58U/+%0ahX/APKha/8Ax2v0FooA/Pr/AIZc+Kf/AEK//lQtf/jtH/DLnxT/AOhX/wDKha//AB2v0Foo%0aA/Pr/hlz4p/9Cv8A+VC1/wDjtH/DLnxT/wChX/8AKha//Ha/QWigD8+v+GXPin/0K/8A5UL%0aX/wCO0f8ADLnxT/6Ff/yoWv8A8dr9BaKAPz6/4Zc+Kf8A0K//AJULX/47R/wy58U/+hX/AP%0aKha/8Ax2v0FooA/Pr/AIZc+Kf/AEK//lQtf/jtH/DLnxT/AOhX/wDKha//AB2v0FooA/Pr/%0ahlz4p/9Cv8A+VC1/wDjtH/DLnxT/wChX/8AKha//Ha/QWigD8+v+GXPin/0K/8A5ULX/wCO%0a0f8ADLnxT/6Ff/yoWv8A8dr9BaKAPz6/4Zc+Kf8A0K//AJULX/47R/wy58U/+hX/APKha/8%0aAx2v0FooA/Pr/AIZc+Kf/AEK//lQtf/jtH/DLnxT/AOhX/wDKha//AB2v0FooA/Pr/hlz4p%0a/9Cv8A+VC1/wDjtH/DLnxT/wChX/8AKha//Ha/QWigD8+v+GXPin/0K/8A5ULX/wCO0f8AD%0aLnxT/6Ff/yoWv8A8dr9BaKAPz6/4Zc+Kf8A0K//AJULX/47R/wy58U/+hX/APKha/8Ax2v0%0aFooA/Pr/AIZc+Kf/AEK//lQtf/jtH/DLnxT/AOhX/wDKha//AB2v0FooA/Pr/hlz4p/9Cv8%0aA+VC1/wDjtH/DLnxT/wChX/8AKha//Ha/QWigD8+v+GXPin/0K/8A5ULX/wCO0f8ADLnxT/%0a6Ff/yoWv8A8dr9BaKAPz6/4Zc+Kf8A0K//AJULX/47R/wy58U/+hX/APKha/8Ax2v0FooA/%0aPr/AIZc+Kf/AEK//lQtf/jtH/DLnxT/AOhX/wDKha//AB2v0FooA/Pr/hlz4p/9Cv8A+VC1%0a/wDjtH/DLnxT/wChX/8AKha//Ha/QWigD8+v+GXPin/0K/8A5ULX/wCO0f8ADLnxT/6Ff/y%0aoWv8A8dr9BaKAPz6/4Zc+Kf8A0K//AJULX/47R/wy58U/+hX/APKha/8Ax2v0FooA/Pr/AI%0aZc+Kf/AEK//lQtf/jtH/DLnxT/AOhX/wDKha//AB2v0FooA/Pr/hlz4p/9Cv8A+VC1/wDjt%0aH/DLnxT/wChX/8AKha//Ha/QWigD8+v+GXPin/0K/8A5ULX/wCO0f8ADLnxT/6Ff/yoWv8A%0a8dr9BaKAPz6/4Zc+Kf8A0K//AJULX/47R/wy58U/+hX/APKha/8Ax2v0FooA/Pr/AIZc+Kf%0a/AEK//lQtf/jtH/DLnxT/AOhX/wDKha//AB2v0FooA/Pr/hlz4p/9Cv8A+VC1/wDjtH/DLn%0axT/wChX/8AKha//Ha/QWigD8+v+GXPin/0K/8A5ULX/wCO0f8ADLnxT/6Ff/yoWv8A8dr9B%0aaKAPz6/4Zc+Kf8A0K//AJULX/47R/wy58U/+hX/APKha/8Ax2v0FooA/Pr/AIZc+Kf/AEK/%0a/lQtf/jtH/DLnxT/AOhX/wDKha//AB2v0FooA/Pr/hlz4p/9Cv8A+VC1/wDjtH/DLnxT/wC%0ahX/8AKha//Ha/QWigD8+v+GXPin/0K/8A5ULX/wCO0f8ADLnxT/6Ff/yoWv8A8dr9BaKAPz%0a6/4Zc+Kf8A0K//AJULX/47R/wy58U/+hX/APKha/8Ax2v0FooA/Pr/AIZc+Kf/AEK//lQtf%0a/jtH/DLnxT/AOhX/wDKha//AB2v0FooA/Pr/hlz4p/9Cv8A+VC1/wDjtH/DLnxT/wChX/8A%0aKha//Ha/QWigD8+v+GXPin/0K/8A5ULX/wCO0f8ADLnxT/6Ff/yoWv8A8dr9BaKAPz6/4Zc%0a+Kf8A0K//AJULX/47R/wy58U/+hX/APKha/8Ax2v0FooA/Pr/AIZc+Kf/AEK//lQtf/jtH/%0aDLnxT/AOhX/wDKha//AB2v0FooA/Pr/hlz4p/9Cv8A+VC1/wDjtH/DLnxT/wChX/8AKha//%0aHa/QWigD8+v+GXPin/0K/8A5ULX/wCO0f8ADLnxT/6Ff/yoWv8A8dr9BaKAPz6/4Zc+Kf8A%0a0K//AJULX/47R/wy58U/+hX/APKha/8Ax2v0FooA/Pr/AIZc+Kf/AEK//lQtf/jtH/DLnxT%0a/AOhX/wDKha//AB2v0FooA/Pr/hlz4p/9Cv8A+VC1/wDjtH/DLnxT/wChX/8AKha//Ha/QW%0aigD8+v+GXPin/0K/8A5ULX/wCO0f8ADLnxT/6Ff/yoWv8A8dr9BaKAPz6/4Zc+Kf8A0K//A%0aJULX/47R/wy58U/+hX/APKha/8Ax2v0FooA/Pr/AIZc+Kf/AEK//lQtf/jtH/DLnxT/AOhX%0a/wDKha//AB2v0FooA/Pr/hlz4p/9Cv8A+VC1/wDjtH/DLnxT/wChX/8AKha//Ha/QWigD8+%0av+GXPin/0K/8A5ULX/wCO0f8ADLnxT/6Ff/yoWv8A8dr9BaKAPz6/4Zc+Kf8A0K//AJULX/%0a47R/wy58U/+hX/APKha/8Ax2v0FooA/Pr/AIZc+Kf/AEK//lQtf/jtH/DLnxT/AOhX/wDKh%0aa//AB2v0FooA/Pr/hlz4p/9Cv8A+VC1/wDjtH/DLnxT/wChX/8AKha//Ha/QWigD8+v+GXP%0ain/0K/8A5ULX/wCO0f8ADLnxT/6Ff/yoWv8A8dr9BaKAPz6/4Zc+Kf8A0K//AJULX/47R/w%0ay58U/+hX/APKha/8Ax2v0FooA/Pr/AIZc+Kf/AEK//lQtf/jtH/DLnxT/AOhX/wDKha//AB%0a2v0FooA/Pr/hlz4p/9Cv8A+VC1/wDjtH/DLnxT/wChX/8AKha//Ha/QWigD8+v+GXPin/0K%0a/8A5ULX/wCO0f8ADLnxT/6Ff/yoWv8A8dr9BaKAPz6/4Zc+Kf8A0K//AJULX/47R/wy58U/%0a+hX/APKha/8Ax2v0FooA/Pr/AIZc+Kf/AEK//lQtf/jtH/DLnxT/AOhX/wDKha//AB2v0Fo%0aoA/Pr/hlz4p/9Cv8A+VC1/wDjtH/DLnxT/wChX/8AKha//Ha/QWigD8+v+GXPin/0K/8A5U%0aLX/wCO0f8ADLnxT/6Ff/yoWv8A8dr9BaKAPz6/4Zc+Kf8A0K//AJULX/47R/wy58U/+hX/A%0aPKha/8Ax2v0FooA/Pr/AIZc+Kf/AEK//lQtf/jtH/DLnxT/AOhX/wDKha//AB2v0FooA/Pr%0a/hlz4p/9Cv8A+VC1/wDjtH/DLnxT/wChX/8AKha//Ha/QWigD8+v+GXPin/0K/8A5ULX/wC%0aO0f8ADLnxT/6Ff/yoWv8A8dr9BaKAPz6/4Zc+Kf8A0K//AJULX/47R/wy58U/+hX/APKha/%0a8Ax2v0FooA/Pr/AIZc+Kf/AEK//lQtf/jtH/DLnxT/AOhX/wDKha//AB2v0FooA/Pr/hlz4%0ap/9Cv8A+VC1/wDjtH/DLnxT/wChX/8AKha//Ha/QWigD8+v+GXPin/0K/8A5ULX/wCO0f8A%0aDLnxT/6Ff/yoWv8A8dr9BaKAPz6/4Zc+Kf8A0K//AJULX/47R/wy58U/+hX/APKha/8Ax2v%0a0FooA/Pr/AIZc+Kf/AEK//lQtf/jtH/DLnxT/AOhX/wDKha//AB2v0FooA/Pr/hlz4p/9Cv%0a8A+VC1/wDjtH/DLnxT/wChX/8AKha//Ha/QWigD8+v+GXPin/0K/8A5ULX/wCO0f8ADLnxT%0a/6Ff/yoWv8A8dr9BaKAPz6/4Zc+Kf8A0K//AJULX/47R/wy58U/+hX/APKha/8Ax2v0FooA%0a/Pr/AIZc+Kf/AEK//lQtf/jtKP2XPil38L/+VC1/+O1+glFAH5+t+zF8T4I2dvC7YUZIW+t%0amP4ASZNed3tldaTfT2V9by2l5A5jlgmQq6MOoIPIr9Rq+I/2zbSGz+LlnJFGEkudJhllYD7%0a7CSVMn/gKKPwoA8UjapgciqsZyKsoc0AOooooAKKKKACiiigAooooAKKKKACiiigAooooAK%0aKKKACiiigAooooAKKKKACiiigAooooAKKKKACiiigAooooAKKKKACiiigAooooAKKKKACii%0aigAooooAw/FHh2bXxpz292lnPZXIuY2kg85SdrLyuR/eyDnqKr+GvEbTeDV1fVpkXyhM08q%0aIQoVJHXO0ZPRenNdJXmLWXieHwbfeHU8NtL5q3ES3YvoguJHchtuc/wAXSgDtNK8Y6TrV/w%0aDYrW4kN15ZlEctvJESoIBI3qM8kViS6df+LdfuDLfQw2OkapE0VuLXc7FI45M+Zu4zvI6VZ%0a1+11O28X6dq1lpr6lDHZzW7pHNHGyszoQfnIyPlPSrnhG2vY21i5vrJrB7y+89IXkRyF8mJ%0aMkqSOqGgDfYZUgHacdR2rzvQvHeo/wBtQ6VHcWnjOHKJLqGkRNG0Bw2TKfmhP3RnEiHnhDw%0aK9EZQwIIBB4IPeo7a2hs7eOC3iSCCJQkcUahVRRwAAOAB6ULe4PaxLXhnjfw3beKvHckNpp%0aerXjTMLu+kazslYJHtRVh+0or7SyDJ3bSM4DBjj3Oua1PwxqOralNM+sR2Ns8ZiB0+yRLoo%0af4GmkL/AC9T8qqc4IIxyrapj6NHj9n4Lkg8QWL6PZPby6tMJbO9v7bSvJhEcYYsvkRy7idp%0aI2eUM45Jya7bWroRfE/VGXU9Y0/bptqjHSNON2WO+U4f9xLt45HTOe/bpLbwEujS2LaPqE1%0atDaECK0vh9siRdu1tjOfNQ7eAFkCjH3Tk52NK8P22kXup3kRkkutQmE08spBPChVUcDCqBw%0aPc+tV28r/5E9/l+dzw2W93fCmeP+2PEL5kf/RpNJ22rf6SfvS/Zhj1P7wYPHHSug+K9naaD%0a4htXEzRJrDvcziW9aGJZIRCEKqLq2Td0OWZmyox047m4+HlvPo8OkjVNQj0tGLSWq+SVnzK%0aZDvYxlhycfKV4/OtHXfC/wDbOo2N/Fqd7pl3ZpLGkloIjlZNu4ESRuP4F6AVPb+ulvzKfX+%0aup4n4Zt9K1DWdM0tr+3tbEySGN7fWvKlt5mVgrQqupT5cs2Puc7j1ya9D8SWmqweO9DWPUr%0aNbZNPuwpubVmcIog8ze/mgFj1DYAXnIatu58ET6gYFvvEur3sEM8Vx5EiWiqzRuHXJSBWxl%0aR0Iq1qvgjStXvHvbiJ5L7H7m4mbz/szcfPDHLvjjb5Qchecc5oaurev5W/US3/rufP8bQJB%0aBZHUNJ88eH3tyf8AhMJQnmfKNuR8gP8A0xB8s+uBX0joWP7E0/DK4+zx4ZGDKflHII4I9xW%0aAfAdydUXUT4q1r7asJtxL5dn/AKssGIx9nx1A5xmuns4HtrWKKS4lu5EGDPMFDufU7VVc/Q%0aCrvo/67/5itqcn448SXHhm8t54Nb06FpFRF0a9hZ5LkmQDMRizIGIOOEkHA4HJre8N6tc63%0ao8F5d6bPpU8g5tpzlh7jocH/aCt6qKvC0gF0bkQxi5KCMzbRvKgkhc9cZJOPepqlbDe5yPx%0aQs7m78I3zQzQRRwxNI3mRMz5A4KMrrsPXsc5xjGc8hqUt3PFLHqUTKtjaf6LawtPaROyXIj%0aify1kBBOARz6EV6L4o0a68QaXJYQXcVnDOpSZngMjFT2X51Cn3IP0qrqXg2DXtRafVZFu7V%0aUCRWiR+WMdf3jZLOQeQMhRwduRmhaMbOI8VW8P/CNa/bS202ptb6msds92zT/Z1xATmSQkq%0aDuI6knd0IziPV9Cs4NRuri90mdBEsFuYdPtdOeKIliqbVlZ2CsWGPlX1I9Owu/BFxNptxps%0aWpqLGe4SZzPbeZPgFTt8wONx+UAMwY44OcZqtqnw6m1K3uidXb7TezJLeCaDzLeYKwZF8ot%0a8oAVV4bkZznsL+vuS/wAxP+vvNDwFpUmh6VPZtZ3VqgneVPtKQJkMScAQuyjH0Uegou/+Sj%0aaZ/wBgy4/9GRVJpvhe5sLKS2ivbbS1MgkB0XT47YHjB3LJ5oOeOQAeKY/g2aTUYr9vEWqm7%0ajiaFJNlrwjEEjHk46qPypvdP+trC6Nf1umSePVvZPCt/FY4R5InWSYkfuo9pLMB3JA2jHdg%0ae1czq1j/AGb4RsNRkvIknmn08i4uV/dwRqybVI3DKglmPIyWPIrsf7DnbTb60n1W6vftMTR%0aB7lIv3eQRkCNEz17+namXXh37To+m2P2jb9jkt5PM2Z3+UynGM8Z2/hnvS/4A/wDgmZDqtx%0arGk6klr4p0iadIwwudOtt5txzlivnPk4HHTp36ViaHeNaabFBDqt8lo3737Rp/h26E0zNyX%0aaSUSht2ck7cnjkCvQL22+2Wc9vu2ebGybsZxkYzWHp/hS9sLC2tV8TanthiWMbIrUDAAHAM%0aJOOO5P1NHcCp4FtRaG5TT9QmvdIDuGivYDDNb3GQWVU8tAEIbO3aMHp1OOh1suuj3pjv10t%0axC5F66qywYH3yG4IHU5/Sq3h3Qn0KK9WS9kv3ublrgyyoqtyFGDtAB+71AH0rRurWG+t5Le%0a5hjuIJBteKVQysPQg8EUPVAtzjPCHjm+1vV3sTFb61ZLv/AOJ3pSSR2wK44YSfKTyR+7kk5%0aHIUdO2kDmNhGyq5B2swyAe2RkZ/OlAwKGzg4IB7EjND2BHg+qnXfDOreNDbPbvvgkE91ZWc%0asJtsWzTBo381vKzI/wB3PJJIwc1t21nDpXiBRYvewQpr0VrJ/wATC6lW4D2vmSeYjyMrHce%0auOwrrk8F6k9vrP2jVrSS51eZDcumnDy1hWMIUSN5HG4gZ3PuHP3TSQfDOx0q4srnS55La6h%0alEsz3P+kLdtn5nkVj/AK3lsSLtYZxyvy0LS1/IJa3t5nmcfh+1voPFy2/h6LT7CbVIoFkht%0arVLmJf9HcRlZnRFRiBhCWJaTlQVIbX8J+GrePxTZ6hpuiaujaZdyW9xvs9JhUMYypBaBo2w%0aA4bjcD2GenUj4ZXF891/aetO8d1etqEq6dC1qfPCIkRVjI5ATZuxzlsE8DBj0j4ZXelazLq%0aMt5oupXUl19pN5eaIGuxwBhZVlAU4XqFAyScY4ojpb+ulv8wlrf8Ar+uhz0JvLfU7S4murb%0a+zE8U3hEPkMJVYRzksZC+0jGeNg+tY/h+4P/CG+DoTqmuSf6ZYsLOfTNlmAZlIxN9nGRzkH%0azDn3r0nWvhZoeqeY0NnbWU9zcNNd3aQK1zMrZ3osp+ZN2cEjoMgYzkW9a8L32rXFhAl/aWm%0ajWlxBOtpHZMZT5TBgvmeZtAyB/B0ojpb5fhYJa3t5/jf/M838XeHdQtrTxXNeWWqGy8yW4s%0aprmW1eBZG4aY7GWQ5B2IrBtq9xnCy+IbbXEvPFpudR0+ZFudM+0LFYPGZPnTbsJmbZjvkNn%0a2r0LVvhvoWs214lxas1zchlN88hluYweqxySbmRevyrgDJwBmq118K9DufNYSapHLLJFJJJ%0a/alzIZDGwK7g7srYxj5gcDpiiHu2v0t+n+QS1v8/wBTsKKKKACo5OhqSo5OhoAqzHg17r+x%0aOc/FnVv+wJL/AOj4K8Jn6V7p+xN/yVnVv+wJN/6PgoA+26KKKAEJABJOAO9LXjH7UUnivUv%0aAz+GdA+En/C2dJ1+Cez1ey/4SODRzbxFVCkPIMsWy2CpBUrnuK+VvCnx8/aR+BPhfwt8INQ%0a+EF5rvjnXotRh8LarrvjLT7iQxwJ5irN5aBZPJjaPJd1MmDgjOBCle6tr083rdfhfs1fsU1%0aa2vr5Lv/n1Wnc/Q8EN0IPbilr47/Yw0n4wfCWx03wb4n+Cd1pdrqd5c6n4i8cXvjSyvpri+%0alUvJObaMbsO6ogVT8oIJJIYn5W+MviC78Ban+0LZXHx1+M9t4i8K6gieGrS11W/mspFkgil%0aIuJYoGijAaRgAzx4UL9Tb0moLW6v9zimu+8tNrpXFBc6v5pffzWfb7Ou9ro/WzIzjPPpQCD%0a0Oa/OXx1rHxU/ZO8ar8Q9O+HPiTxDoNhp6+HLzxDrnjqzuH8TebcAWFxdxGLzA8ckzIpADb%0aGClgoOfVv2UNK+N3wu8AeLLbX/g1EPGd/dSa5d6vqXjK1Ka7qE8yiVT5McptkSL7owwxGF6%0asTTSvd9vzvt/4D73e3QzUrqLX2rfc1e/36dvM+w0kSTdtZW2nacHOD6GnV+f37O3xQ+Imqe%0aD/wBo3UbbwhpmmaRL4i8RXV5rth4nMs2m3sdko8uCMWy+cA8aYlDp97O35eePbwN4r8Mfsq%0a/C34wxfGz4rX3iLV7zQHu9PvvFMkmnuLq6hSVPK2hiu1yAC5980QXNKK6Pk1/xtJfne/bUq%0ab5VJ9uf/wAkXM/w6d9D9L5JFijZ3YIigszMcAAdSTTLa5hvbeK4t5UnglUPHLEwZXU8ggjg%0ag+tfP/7c1x4g0T4A+JvEOjfEWbwDa6Vp1093HDpltef2r5kflxW2ZlJjLOwUMnzZf2FeF/D%0aaz+MP7P8ArPwJ8F6r8ULzV9D1jwpqMk/huXQbGAaZ9i01GjiE6R+a2ySRBuZsnZznJrJzSj%0aOT+z/8jOX5Qf620vqoNyhFby/zivzkr/hd3PvmivzHi+KmuWn7Kng34kW/7R3iPUPiHfyaW%0a114Zk1XTHhzNdxxzJ9nW3EwARmON+R1PFfpxXRKDjzX6O34J/kzCM1K1uqv+LX6BRRRWZYU%0aUUUAFFFFABRWdqHiLStI1HTdPvtTs7K/1OR4rG1uLhI5bt1Qu6xKSC5CKzEKDgAnoK0aACi%0aiqWk63p2v2jXWl39rqVss0lu01pMsqCWNzHIhZSRuV1ZWHUFSDyKALtFUtX1vTvD9l9s1S/%0atdNtPMjh+0XkyxR75HWONNzEDczsqgdSWAHJFXaACiqFjr2mapqGo2FnqNpd32mukV7awTq%0a8tq7oHRZVByhZGVgGxkEEcGnaZrena39r/s6/tb/wCyXD2lx9lmWTyZkxvifaTtdcjKnkZ5%0aoAu0UVlKZtZkcrI0FgpKgxnDzEdTnsv05NAGrRWd/wAI9pnexgZv77IC/wD30ef1qKaKbRh%0a50DvNaLzJA7Fio/vKTzx6flQBrUU1HWRFdSGVhkEdxTqACiqesazp/h3SrzVNVvrbTNMs4m%0anub28mWKGCNRlnd2ICqACSScCpNO1G11fT7a/sLmG9sbqJZ4Lm3kEkc0bAMrowyGUgggjgg%0a0AWKKzpvEWk22u2uiTanZxazdQyXNvpz3CC4miQqHkSMncyqXUFgMAsM9RWjQAUUUUAFFFV%0ar+8FjbmTaZHJCpGOrsegFAFmisyPSDdqH1F/tMh58oEiJfYL3+ppx8P2C8w262j9ntv3ZH/%0afPX8aANGis6zuZ7e6+x3bCRmBaGfGPMA6gj+8P1rRoAKKKKACiiigAooooAKKzJZZ9SupLe%0a3kMFtEdssy/eZv7q+mO5p3/CPaaeXs4p2/vzL5jfm2TQBo0Vly2EunL5unsxVeWtXYlWHou%0afun9Kv2tyl5bxzRnKOMj/CgCWiiigAooooAKKKKACiiigAooooAKKKKACiiigAooooAKKKK%0aACiiigAooooAKKKKACiiigAooooAKKKKACiiigAooooAKKKKACiiigAooooAKKKKACiiigA%0aooooAKKKKACiiigAooooAKKKKACiiigAooooAKKKKACiiigAooooAKKKKACiiigAooooAKK%0aKKACiiigAooooAKKKKACiiigAooooAKKKKACiiigAooooAKKKKACiiigAooooAKKKKACiii%0agAooooAKKKKACio54hPBJEWdA6ld0bbWGR1B7H3rwLTvGWrfs56ydC8ZXV1q/gq5Z20vxA6%0atLLAeW8ibGST6H8uMhAD6BorxL4eHxR8XfF9r461Oa78P+FLPd/Y2jo5R7sMCDNPjqCDwPy%0a45b22gAr4m/bYOPizpP8A2BIv/R89fbNfEn7bP/JWdJ/7AkP/AKPnoA8MhPAq1H0FVIOlW4%0a+goAkooooAKKKKACiiigAooooAKKKKACiiigAooooAKKKKACiiigAooooAKKKKACiiigAoo%0aooAKKKKACiiigAooooAKKKKACiiigAooooAKKKKACiiigAooooAKKKKACiiigAooooAKKKK%0aACiiigAooooAKKKKACiiigAooooAKKKKACiiigAooooAKKKKACiiigAooooAKKKKACiiigA%0aooooAKKKKACiiigAooooAKik6fjUtRSdPxoAqz9K90/Ym/wCSs6t/2BJv/R8FeFz9K90/Ym%0a/5Kzq3/YEm/wDR8FAH23RRRQB5Z8TvhV428a+IIr/w78Xte8CWK26xNpmmaZYXETuCxMhae%0aF3yQQMZx8o461+enx61Xx/YftGWGsaV8WfFPjbw98JF/wCKn8WW2kacZdAa+YQTpDHHb7Jm%0aSNQ8gZW2hW+6VNfd3xz+FXxV+LXiC20bQviXD8Pvh1Lbj+0n0SxP9vXEm4hoo7l2KQoVwRI%0aihwcjDA12vwr+CHgv4MfD+PwX4V0OCy0HD+fDKPNe8dxiSSdmyZWfoS2eMDgAARFNWmumyf%0aV+fZavZ3d+iVnUmn7r67vsvLu9t1ZWd7t6ebeCPhL471dND8RWf7SfiPxNoE5hvYxHpOkG3%0avoCQ2PMS2B2uvGVIODwc18XftF63f6af2wYI/iX4c8L6ddarbxyeGdTso5L3WG+w23FvK1w%0ajIccYWOTpX1v4c/Y/wBe+DfxEtNT+DvxIvPBvgS6vhcax4C1G1GoacULZk+x7zuti3PC8ZP%0aXaoSj4tfsGfDPXPg94y8PeBPAPhLQ/FesW0i2mtX1kHlgmdgS/wBoKvKg6/d9elU/iU1tZq%0a3XV0/k17vz7JlU3ZqMu6d+min809fl3aPmj9sW88R+NfgroOoeAvjTrPxIt/F2u/8AEl8L2%0aum2HkOtm73EvlusAkZYDbgZJIJ253A8+9aHJ8Tbr4DzfEXwD8VNf+Lt34g0dIdD0i/0/Tra%0aKC4uXjiFxI8EKMDblnZ1JwPLcEccej/C39nXU9E+Ler/ABM8eeI4vFfifyX0vQLe1tjb2Oh%0a6bu4jhjLMTLIADJITk/dHHWX4Ufs33HwV+LPifWPCvime0+Hevh72bwPJbq8FpqTuC9xbS5%0azEjDdmIDGTnOAoVpRacHtLX00tyv1jpdaqTte2pzU+aMYO2sUl67O/ylbTZpPTWx8d/Br4B%0aaX8H/hN8evEUHi7WtMPgy98QaLqMMVzutNbgGmxbRPE+4B/PYyK6YfLlckEY9K+JuhTeGf+%0aCdfwa025Ro7iCfwgJUfqrG6tWI/Akiuw8V/sc+LvG1l4n8M33ijTbDwP4q+IU/ijXrO0SVr%0aq900xwmK0DkKEYywDeMEbSCG+Uq3tH7RHwQHx1+E9x4OtNbbwrdLc2l7Y6nDaLci1mtpklj%0aJhLKHXKAbciqU3aM3/ADU3byi4yl+N7Ly6XRpKKcpRT6VNfOUXFfhq359Tyb9oLULb4veOt%0aFs/DPgfV/i1P8PdZaTWPD1rrsGk2FvfeVFLatcrcAC6Kh96CNiqkEODnFfJXxu+Ml/8JPiR%0adajo/wAEdZ0D4l3d5bpql0fF0XiJobG7ul86xWHdNHZtdfcQKEfH3OAa+udE/Y+8d6T4e1O%0axT47axY6n4l1yfWfFetaLotvZ3WpK8UcaQ2zFn+x7FiHzpuJyelavj79j/Srb4SeHfBXw2s%0a9P0RbHxVpniC+utSmkaa+MFyss0s0213lncA4L8dBlQBjOMPhTfVX+bjzf9u2vvdtJr4Xrc%0apfE0ujt8lJx/wC3r2tayTad7pW+ePh34c8N/Ev4YaO/hD9ivRtS8ORNGba/s/F2mR38UkMg%0acLLc7xdLIrKA6yPu4KuOor9CPD97e6loWnXepac2j6jPbxy3OntMsxtpCoLRF0+V9pJG5eD%0ajIrxf4lfsnad4j8U3fjPwD4q1n4S+PLoh7rV/DjKbXUXH3Te2T5huSMnkgMc8scAV7bpVpP%0aYaXZ211ey6lcwwpHLezoiSTsAAZGVFVQWPJCqBzwAK15uaLvvf9N1/wUmZ8tpabf8AB6/8B%0a2LdZviLxJpHhDRbvWNe1Sy0TSLRd9xf6jcJb28K5Ay8jkKoyQMk960qxPGmqazo3hfULvw9%0aoo8Q63HHiz01rlLZJpCQBvlfhEGdzEAttU7VZsKcpOyui0rvU/Krwh8P/B0mnXk2qeMvgeL%0au41O/uP8AiaeMvCj3DRyXUrxljL4evn5RlIDXMhAIHyfcX6N/Y71HwH4I0L4t+HtR1nwT4n%0attUvRex+HfBmoadr5v7IWMEU2yy060t/MUsHVkFmmechwd7bOvfss/F2LwhbeGoNa8NeMLC%0a58S23i/ULy61O+8PX8d6JfOuoYrm1imZo3fiKQeVJCoVcyYBHr/AMGfAvjTwV4jmbVPDttY%0a6ZdRFZrmX4o654mlQjlRHb39qqLk8FldTj+90qqcVGPJ05eXv0j8t42vs7XtqhVHzS5/Pm/%0a8ml89nfutujZ8c/EnQfgd8RZ/Dt5aJ8D/AIaWVn4isjN4dtrvw5/aZtVmP2ibUJNxjAVQMW%0akLODg73k3eUn0B+y1N8O9I8eTaN4b8M/DrxBfw2pig+JHwx0yxEE6Y3Nb6gtruaynYJuGT5%0aM20lCjfuV3vgTpPxx+Gvwr0Xw23w+8GN9hNwFbUfGtxBOVa4kdS8cOmTxqcMOFlf65yB1Xw%0aY8MeO7T4vfE7xN418PaXoKa1BpMNkNH1g6lBKII7gSHe8EEgIMi5DRAc8FucVTdvub+bUfn%0au2vk1a2ymr/J2/GXy6J/Na3Vz51+DnhNfH/gjw14s1/4Y/GXxr4jha98jxNYfEP7OhDzujm%0a3V9cheFWVFUqI487BkYxXp3wQudY0r9obxVosGi+OfD1inhG1vYND8eeLH1cSXJu5085HF9%0aeiJWCqhwQflJ2HjPG/Cr9lvWND8C6fZ6/8As3fBnXNXSS4afUfEOqob+43TyMrTbNIuF3bW%0aXpM/GOew9B+B/wAENa8CfHDxLrn/AArXwf8ADHQr7wzbafEPAt5HPby3K3Mzs7qbS2IkCun%0aJiZcBfmPKiaeiS/uvy15F+N/x1KqauT/vfhzv9PwOG8E6FZeJ/iBqFjovwa+D/wAPvElnq0%0a1jF4q0HWrU6v5sSxNeXOnJLoh854PP8t94UeZuUkD5qwfgRN418JaP8JXtPiNruoaV4z8de%0aILO70q7tNNSCa18zU7j7RG6WaTK7NCkpKybcuQqhSFHo/ir9iu8tvB2iWnhH4h+KG8V6RqH%0anaZ4g1zVQv8AZsUzOLyQW9tBHDczOk853zJ5jNJzMFGK6ey+BWv2fxA+FdjYadoOhfDX4bm%0aeTTTDqU1zqN+zWTWsYkhNtGkOPNlZmEsm444BJwQS0T8k+1t36LpbTXba6mpdptebXe+y/w%0aA73797P44+L3jvwlZ/D/4ieHr+707Xn8N39xoU2n+P/jtrn9paw1vKqG4k0qMJG4kPzhUdV%0aBBIwFxXuPwJ8QaD41+OWj+H9J8SF59P0241z7V4N+NOqeLrJ1jZLf7LeW13GI1VvtIkXAzm%0aEc4yDv8AxV/ZI8YH4WfFTT/C/wARfEN7ceKdWvNZg8M2lrpdvZM9xMjmJpLiB5SQBywnQHA%0awq8g+seGPgNqmifFi28a6v8R9f8ZeTod1oqWmt2dhE8YmmglLpJZ29vj/AFGCGVjyCGXBBU%0aG+W8t7L7+R9v733FVEnfl87enOv/bbnxT4S+LNjB8Wv2gNMm1v4o+O9VudRjTQ9O0cLZHxF%0adW1rBCD9s0yC3kQpt3EI6R/ZwZHVyC1dX+zzB4Uj8bWy3CeO9Ijh1SPSPEXi3xD4y1HzvEn%0aiM7VgtbeOw1Oa3lWJEcSM7SiOOJY36O49Tv/ANnrXNFl+Kuk6T4a1geFNa1bRoNL0fQddt9%0aLiv7CDTILZ4rq5Ja4gtVeMrJ5I89lXCrIrMrauh/Abx18N/Gng7x7bx6L4puNPg/sWXwTpd%0avHYad4f06Zk3vo5YqBLGRmV5sNcRghfJ2pGbo2j7O/aK7dH92u/ROzlpFJxV1UrdW3+X9d9%0a0tXeP0rrEz22kX0sf344HZceoUkVxfxp8Q33gP4O69qWjEre2lqkcEijJj3Ose8e6hi34V3%0assazRPG4yjgqR6g1jx29tqen3GhapClyjRNBJDMMrcREYzjuCOD71JR+Z2n+L9c0vXV1q11%0aa8i1ZX8z7YJmMjHOfmJPze4OQe9fpp4O1afxB4Q0PU7uIQ3N7YwXM0WMbHeNWZcexJFeU6f%0a8AsffDyw11dR8jULmJX3rp9xchrcYOQCNu4j2LHPfNewahfLYxJDCoe5cbYYV/n7KO9ADNB%0a401U/hjkliX/dWRlX9AKvyMUjZghcgEhVxk+wzxUNhaCxs4oAd2xcFv7x7n8TmrFJgfHPxo%0a8S+MNalv/EPxc+FXic/CPw3G2rN4Y0S80e6gvREPMWbVGkvo3l8vG77HFG8W9QxluMKF6f4%0aTXPxD+G/iGLSfDfwn8TQfCu4Jmj0rW9Q0dLnRWd1+SxaG/lEtvlmfyJfLMSh/LkceXAMr48%0a/s4+IvjPpHjGBvgj8G08Q63azWkPi691mSXUYmKeXFcE/2Nv3qApAEvG0ANwDXW/DD4Rat8%0aPfE2nX+mfAT4O+EZQFt7nWfDusul8kDYEhQLo0W8kDOwyKGIALDrTo6b/8AD31d/nbV6rpb%0aZqrrt5/LZK3yv3T6+Xh/xM+DPjnxN408Q6jZfDD4q3U0l/FceH9en+IMUdz4fWXMWofZIhr%0agTBjUNECE5mZHASNVPMal4B8K6z461W78W/D5tO0MfEbTrXWvFOvpbajq+iwQ6Tpz2lrPee%0aZNIFnujGkk6yuoDPuYebuHcfEv9lrxX4o0746snwR+HfijVfEd/qU+i+Itd1OKPWFSS0jjh%0aaAfYZVUq6sUD3EXzZz5Y+Y9n4Y/Zs8fa/onjvwzrGp6d4X8J+IdUsJb23k077bfXlvFp2nR%0aSeRcR3apbkvbSx5khkPG4DBGSh7vK3pbl/8AbX+Fvm0tx1/e5l3v/wC3L8b/AHN7H1nRRRQ%0aAVnXf7zWtPjb7qxyyj/eGxR+jtWjVDVYpAIbqFDJLbsW2Dq6kYZR/P6gUAX6KhtbqK9gWaF%0aw6N3Hb2PvU1AGdrXyxWso+/HdRbf8AgThD+jGtGstpRquoRpF81tavveQdGkHAUfTqfcCtS%0agDyz9p/xBo2ifAfxtbaxruj6A2r6Pe6XYy61qUFhDPdS20ojiEszogZsHqRwCegNfnX4X+H%0aHga28NaTDd+MfgIl3HaQpMs/jDwi0gcIAwYnwrKSc5yTJJ/vv94/pb8Yo/GGo+Em0bwRBHF%0aq+sObB9ammCR6NC6NvvNuQ8roBhI06yMm4qu5h85al+y78UbK9+HukW//AAjviLwt4Ds7vT%0atLu7bxZqvhTUrq2ligSMTtY28pDx+S25kkCy7gTHGRioivebfW34X/AM16302Zcn7qXq/yS%0a++z9LXe6O3/AGCtT0K0+Aun+FLDxH4Z1nV9Fur5r208N61ZajHaxzX1xJAS1oFjVXQgriOM%0aYBGxMFV+kK8x+CPhjxT4QsdR0/XtEttLtHkE8Eq+O9U8UTyORhg0l/bxvEgCrhVZhkscA5J%0a9Orabu7+n5JfoYxVrrzf5t/qFFFFQWZ3h7nRbOQ/eljEr/wC83zH9Sa0ay7CUadcNp8vyKW%0aLW7Hoyk52j3Hp6YrUoAKztJ+SXUYh9yO6O3/gSI5/VjVi/v49Ph3vlmJwka/eduwApml2r2%0a1r+9x58rGWTH9484/DgfhQBcr5C/aE1H4O6t8SLzSPEHhX4ZeHdeuQov/HPxNsNOt3KKFT/%0aAEOG7AmvnCAKshAtlx/rJTG0J+va8M8beHPiPp/7RsHi7wf4X0TXdKbwoNKmn1zXn0yNJvt%0ahl2r5Vtcux24PKKv+1nipteSv5/l/wLfMpO0XbfT81/w/yPj34P8AhX4QeAPCWhb7T4MfF3%0aUZbieC98HKugXfiGTN5MY57GaNttzI0Txn7IwGQAsTRlRE/wClOj3NveaTZXFpDJbWssCSR%0aQzW7W7xoVBVWicBoyBgFWAI6EAivAviTovxl+IF34FttQ8C+E7PTNO8WaXqt5c6R4unvJ4o%0aIJw7sIptPt1YAdcSbvRW6V9E1on7ln3/ACUf+D+PTRQ17112/V/1919dWUUUVIwooooAKKK%0aKACiiigAooooAKKKKACiiigAooooAKKKKACiiigAooooAKKKKACiiigAooooAKKKKACiiig%0aAooooAKKKKACiiigAooooAKKKKACiiigAooooAKKKKACiiigAooooAKKKKACiiigAooooAK%0aKKKACiiigAooooAKKKKACiiigAooooAKKKKACiiigAooooAKKKKACiiigAooooAKKKKACii%0aigAooooAKKKKACiiigAooooAKKKKACiiigCOeUQQSSlXcIpbbGu5jgdAO59q8C07wbq37Rm%0asnXfGVrdaR4KtmddL8PuzRSznlfPmxgg+g/LjJf6BooA8S+Hg8UfCLxfa+BdThu/EHhS83f%0a2NrCIXe0Cgkwz46AAcH8uOF9toooAK+JP22f8AkrOk/wDYEh/9Hz19t18Sfts/8lZ0n/sCQ%0a/8Ao+egDwuDpVqPp+NVYOlWo+n40AS0UUUAFFFFABRRRQAUUUUAFFFFABRRRQAUUUUAFFFF%0aABRRRQAUUUUAFFFFABRRRQAUUUUAFFFFABRRRQAUUUUAFFFFABRRRQAUUUUAFFFFABRRRQA%0aUUUUARyk5QBiuWwSPoaPLb/nq/wCQ/wAKJPvxf739DUlAEflt/wA9X/If4UeW3/PV/wAh/h%0aUlFAEflt/z1f8AIf4UeW3/AD1f8h/hUlFAEflt/wA9X/If4UeW3/PV/wAh/hUlFAEflt/z1%0af8AIf4UeW3/AD1f8h/hUlFAEflt/wA9X/If4UeW3/PV/wAh/hUlFAEflt/z1f8AIf4UeW3/%0aAD1f8h/hUlFAEflt/wA9X/If4UeW3/PV/wAh/hUlFAEflt/z1f8AIf4UeW3/AD1f8h/hUlF%0aAEflt/wA9X/If4UeW3/PV/wAh/hUlFAEflt/z1f8AIf4UeW3/AD1f8h/hUlFAEflt/wA9X/%0aIf4UeW3/PV/wAh/hUlFAEflt/z1f8AIf4UeW3/AD1f8h/hUlFAEflt/wA9X/If4UeW3/PV/%0awAh/hUlFAEflt/z1f8AIf4UeW3/AD1f8h/hUlFAEflt/wA9X/If4UeW3/PV/wAh/hUlFAEf%0alt/z1f8AIf4UeW3/AD1f8h/hUlFAEflt/wA9X/If4UeW3/PV/wAh/hUlFAEflt/z1f8AIf4%0aUeW3/AD1f8h/hUlFAEflt/wA9X/If4UeW3/PV/wAh/hUlFAEflt/z1f8AIf4UeW3/AD1f8h%0a/hUlFAEflt/wA9X/If4VHJG2P9a/X0H+FWKik6fjQBSnjbH+tb8h/hXuv7Eilfi1q2XLf8S%0aSbg4/57wV4bP0r3T9ib/krOrf8AYEm/9HwUAfbdFFFABRRRQAUUUUAFFFFABRRRQAUUUUAF%0aFFFABRRRQAUUUUAFFFFABRRRQAUUUUAFFFFABRRRQAVBd2MF6gWZN2DlWBwyn1BHIqeigDO%0a/smUcLqd4qf3cxn9Smf1qe006CyLNGpaRvvSyMWdvqTVqigAooooAKKKKACiiigAooooAKK%0aKKAKM+kwyStLE8lrM3V4G27vqOh/EUw6OZeLi+u7lP7jMqA/XYq5rRooAZFCkEaxxosaKMB%0aVGAKfRRQAUUUUAFFFFABRRRQBFc2sV5EY5o1kQ9iKp/2S6cRajeRJ/c3I/6spP61o0UAU7X%0aS4LaTzfnmnxjzZm3N+Hp+GKuUUUAFFFFABRRRQAUUUUAFFFFABRRRQAUUUUAFFFFABRRRQA%0aUUUUAFFFFABRRRQAUUUUAFFFFABRRRQAUUUUAFFFFABRRRQAUUUUAFFFFABRRRQAUUUUAFF%0aFFABRRRQAUUUUAFFFFABRRRQAUUUUAFFFFABRRRQAUUUUAFFFFABRRRQAUUUUAFFFFABRRR%0aQAUUUUAFFFFABRRRQAUUUUAFFFFABRRRQAUUUUAFFFFABRRRQAUUUUAFFFFABRRRQAUUUUA%0aFFFFABRRRQAUUUUAFFFFABRRRQAV8RfttqW+LWk4cr/xJIeBj/nvPX27XxJ+2z/yVnSf+wJ%0aD/wCj56APCII2x/rW/If4VajjbH+tfr6D/CoIOlWo+n40AL5bf89X/If4UeW3/PV/yH+FSU%0aUAR+W3/PV/yH+FHlt/z1f8h/hUlFAEflt/z1f8h/hR5bf89X/If4VJRQBH5bf89X/If4UeW%0a3/PV/yH+FSUUAR+W3/PV/yH+FHlt/z1f8h/hUlFAEflt/z1f8h/hR5bf89X/If4VJRQBH5b%0af89X/If4UeW3/PV/yH+FSUUAR+W3/PV/yH+FHlt/z1f8h/hUlFAEflt/z1f8h/hR5bf89X/%0aIf4VJRQBH5bf89X/If4UeW3/PV/yH+FSUUAR+W3/PV/yH+FHlt/z1f8h/hUlFAEflt/z1f8%0ah/hR5bf89X/If4VJRQBH5bf89X/If4UeW3/PV/yH+FSUUAR+W3/PV/yH+FHlt/z1f8h/hUl%0aFAEflt/z1f8h/hR5bf89X/If4VJRQBH5bf89X/If4UeW3/PV/yH+FSUUAR+W3/PV/yH+FHl%0at/z1f8h/hUlFAEflt/z1f8h/hR5bf89X/If4VJRQBH5bf89X/If4UeW3/PV/yH+FSUUAFFF%0aFABRRRQAUUUUARyffi/3v6GpK5v4hf8irdf7yf+hCqfwv/wCQBcf9fTf+gJXUqF6Dr32drH%0aM61q6o23VzsKKjuJ0tYJJpMiONS7bVLHAGTgDk/QVxcfxW0tvEMtkVuBaLbLKsws5y5csQV%0aKbMgYA5xiuXrY6fM7iiuH1/4raXptis1otxcSmWNCktlPGNpYAnJQDIBzjvXTaf4i0/U7M3%0aUM5SAP5e64ieA7sZxhwDQBpUVzvizxhb+HtAutQgkt7uWELth80fNlgO31rWGr2JAP2y3/7%0a+r/jQBcorG8UeJI/Dnh+fU1QXZXaIolfHmuxAVQeepNYur/FTRNP0q4mhv7K5v4kz9j+0bd%0azDqobHXr25pXHY7OiuWsvib4ZvY4CNYtUklCkRM43An+E+/arupeMtN0rUm0+U3Ut2sYlaO%0a2tJZiFJIBOxTjoab0EtTcorkdJ+IcV1YpLf6ZqdjcktmAafcSbRk45EeORg/jW/omuWfiGw%0aW9sZGkt2ZkBdGQ5U4IIYAjkUAX6KKKACiiigAooooAKKKKACiiigAooooAKKKKACiiigAoo%0aooAKKKKACiiigAooooAKKKKACiiigAqKTp+NS1FJ0/GgCrP0r3T9ib/krOrf9gSb/ANHwV4%0aXP0r3T9ib/AJKzq3/YEm/9HwUAfbdFFFABRRRQAUUUUAFFFFABRRRQAUUUUAFFFFABRRRQA%0aUUUUAFFFFABRRRQAUUUUAFFFFABRRRQAUUUUAFFFFABRRRQAUUUUAFFFFABRRRQAUUUUAFF%0aFFABRRRQAUUUUAFFFFABRRRQAUUUUAFFFFABRRRQAUUUUAFFFFABRRRQAUUUUAFFFFABRRR%0aQAUUUUAFFFFABRRRQAUUUUAFFFFABRRRQAUUUUAFFFFABRRRQAUUUUAFFFFABRRRQAUUUUA%0aFFFFABRRRQAUUUUAFFFFABRRRQAUUUUAFFFFABRRRQAUUUUAFFFFABRRRQAUUUUAFFFFABR%0aRRQAUUUUAFFFFABRRRQAUUUUAFFFFABRRRQAUUUUAFFFFABRRRQAUUUUAFFFFABRRRQAUUU%0aUAFFFFABRRRQAUUUUAFFFFABRRRQAUUUUAFfEn7bP/JWdJ/7AkP/AKPnr7br4k/bZ/5KzpP%0a/AGBIf/R89AHhcHSrUfT8aqwdKtR9PxoAlooooAKKKKACiiigAooooAKKKKACiiigAooooA%0aKKKKACiiigAooooAKKKKACiiigAooooAKKKKACiiigAooooAKKKKACiiigAooooAKKKKACi%0aiigAooooA5v4hf8irdf7yf+hCqfwv8A+QBcf9fTf+gJVz4hf8irdf7yf+hCqfwv/wCQBcf9%0afTf+gJXqx/3CX+JHmy/32P8AhOpvr63020lurqVYLeJdzyOcBR6mvHfEXibSNT8fy3VtqVp%0aJbf2fHH5p1OazXcHYkbolJY4I4Newai9xFYXD2ixPcqhMazMVQtjjcQCcV5NZ+IrKPVP7Xu%0afGWnTaq0ew+bpsskcAJOVhw64HQZIyccnnFeR19D0+hjeItY09rS3K39nJtuoHIj166uiAJ%0aASfLkQKcDuTxXr9veeHvHNq6obHWreBwSrosqo2Dg4I4OM15JpGt2Wr+GdOg1TxVbWdxbyt%0aKj/YpTdQneeVl8zHI/2SMEAg4ru7BPEHivwuI4PENlJDLP5Z1K1t3jleAcMQDwshPHAwOxq%0a+jX9dCev9eZxvxI0rSdWsdTXRtLsbOy0kr9pvLa2RDLOWCiJWA6KGJb3wK6vwloGgpNNoGp%0a6HpjarZKCsklnHm6h/hlHy8ns3oQfWs3xxoGq+HvAOoWNq+lxaJDtCRJbyeeV8xcEuXwWzg%0ak4556Vu6l4O1rxF5U1/f2Fre2q77K9063kSWKTjqWchkIyCvektE/66f1p28xvWxk+Mrif/%0aAITPwvpNvZC20SzvYdxCBY3lIYoqjphQp6dCas6/e6nFrN2kGpaxBCH+WO38PieNRj+GTad%0aw96u+LY7mJ/BaXkyXF0uqRCWWNNis3lvkgdq5q+1TTn8XeIotY8R63p/k3KLBDYzzhAnlqT%0awgIHOaXl5v9P8AMPP0/U2vDl5qU2tWqXGo6xPCWO6O50AW8bcHrJtG2sbxlLJF8SLzyxISb%0aCHPl6v/AGf/ABP/ABfxfTtS6Xqmnp418PQ6R4h1rUY5ZJhcQ3087IVETFeHAB5+tP1SUOLH%0axBrmm2scd5qv2ZzqFopaCzG4IHDD5TkZzx1FPqvn+OgbXXp+r/Qpfarn0uv/AAs66/4PEnw%0aTETnP2m46vvP+tb+L+L6965iW58JeH11u5Wbw7rNuymaxtRDC86ynP7r5V5TOMdxk+ldh4N%0asdS0W7lsmsYrfRp4RdwCLC/ZZGxvgI6nkkg/X2pr+vzE/6/I62iiikMKKKKACiiigAooooA%0aKKKKACiiigAooooAKKKKACiiigAooooAKKKKACiiigAooooAKKKKACopOn41LUUnT8aAKs/%0aSvdP2Jv+Ss6t/wBgSb/0fBXhc/SvdP2Jv+Ss6t/2BJv/AEfBQB9t0UUUAYd9PNe380CyvDb%0awEK3lsVZ2Khuo5AwR0qL7Cv8Az3u//AuX/wCKp6/8hLU/+u6/+io6moArfYV/573f/gXL/w%0aDFUfYV/wCe93/4Fy//ABVWaKAK32Ff+e93/wCBcv8A8VR9hX/nvd/+Bcv/AMVVXXvE+jeFb%0aVLnWtWsdHtpH8tJr+5SBGbBO0FyATgE49qwv+FyeAP+h48N/wDg3t//AIugDp/sK/8APe7/%0aAPAuX/4qj7Cv/Pe7/wDAuX/4qkuNVsrQWhnvLeEXcgit/MlVfOcgsFTJ+YkAnA7A1XtPEen%0aX2ranpkNyGvdMETXcZRlEQkUsh3EYOQCeCcd8UBuWfsK/897v/wAC5f8A4qj7Cv8Az3u//A%0auX/wCKpbC/tdVsobyyuYby0nUPFPBIHjkU9CrDgj3FWKAK32Ff+e93/wCBcv8A8VR9hXtcX%0aYPr9rlP/s1WaKAJNGupnee1nfzJIQrLJ3ZWzjPvlTWpWPpX/IXvf+uEP/oUtbFABRRRQAUU%0aUUAFFFFABRRRQAUUUUAFFFFABRRRQAUUUUAFFFFABRRRQAUUUUAFFFFABRRRQAUUUUAFFFF%0aABRRRQAUUUUAFFFFABRRRQAUUUUAFFFFABRRRQAUUUUAFFFFABRRRQAUUUUAFFFFABRRRQA%0aUUUUAFFFFABRRRQAUUUUAFFFFABRRRQAUUUUAFFFFABRRRQAUUUUAFFFFABRRRQAUUUUAFF%0aFFABRRRQAUUUUAFFFFABRRRQAUUUUAFFFFABRRRQAUUUUAFFFFABRRRQAUUUUAFFFFABRRR%0aQAUUUUAFFFFABRRRQAUUUUAFFFFABRRRQAUUUUAFFFFABRRRQAUUUUAFFFFABRRRQAUUUUA%0aFFFFABRRRQAUUUUAFFFFABRRRQAV8Sfts/wDJWdJ/7AkP/o+evtuviT9tn/krOk/9gSH/AN%0aHz0AeFwdKtR9PxqrB0q1H0/GgCWiiigAooooAKKKKACiiigAooooAKKKKACiiigAooooAKK%0aKKACiiigAooooAKKKKACiiigAooooAKKKKACiiigAooooAKKKKACiiigAooooAKKKKACiii%0agDP1vS4tasTZzs6RSsMmMgNxz3B9KboOg2/h2ze2tnldGkMhMpBOSAOwHpV6T78X+9/Q1JW%0antJqHs76diOSPNz21CiiisywooooAiurSC+gaC5hjuIW+9HKoZT35BqXpRRQBDcWdvdtC08%0aEczQv5kZkQMUb+8ueh5PIohs7e2lmkhgjikmbdK6IAZDjGWI6nHHNTUUAQy2dvcTwzSwRyT%0aQEmKR0BaMkYJU9sjjipJI1lQo6h0IwVYZBp1FAFaPTbSFw8drCjjoyxgEfpVmiigAooooAK%0aKKKACiiigAooooAKKKKACiiigAooooAKKKKACiiigAooooAKKKKACiiigAooooAKKKKACop%0aOn41LUUnT8aAKs/SvdP2Jv+Ss6t/2BJv/AEfBXhc/SvdP2Jv+Ss6t/wBgSb/0fBQB9t0UUU%0aAYK/8AIS1P/ruv/oqOpqhX/kJan/13X/0VHU1ABRRRQB47+0BrNhZT+FSfEFvpeo6dqQvmg%0aj1Cxt7zyTDNHviW7YRn5mA+bjG7HIrzjxh8WdN1Hwvqdjc+NvEskF7A1myi/wDC84/ejy/m%0aSKQOV+bnay4GTuUDI+m9a0pNb0u4sXuLq0SZdpmsp2hmTnOVdeQeK5XxP4G1zxJaWWlyeIr%0adtHiltZpzc6bvvZ2hmSXPmpKka7iijiHjn8JS+y+r/wAr/kNu3vLdfpexwWnS6p408J+Dbu%0a21zQNU1e08QSXlvZTapEqGGOOVVtlkt0lDSJG6M2A+Pm+YjBqTw7eeNJPiV8Rlh0DQnu5Ib%0aBZ4m1yZUj/cuF2N9kO/IznIXHv1r0Lxx4L1DxJq/h3VdL1W20y+0aeaaP7ZZNdRyeZEYyCq%0ayxkYDE53ViaZ4A8aaV4k1zW4fFWgtd6usCzo/h+YovlKVXaBe5GQxzkn8KcveUk+vN+KS/G%0aworktbpb8G3+GljU+Cto9h8J/CtrI8EksFhHFIbedJo9yjDAOhKtggjIJHFdtXJ/Crwpe+B%0a/h/o2h6jLBPe2cbLLJaljGxLs3y7gD37iusrSbvJsmKsrf11CiiioKDSv+Qve/9cIf/Qpa2%0aKx9K/5C97/1wh/9ClrYoAKKKKACiiigAooooAKKKKACiiigAooooAKKKKACiiigAooooAKK%0aKKACiiigAooooAKKKKACiiigAooooAKKKKACiiigAooooAKKKKACiiigAooooAKKKKACiii%0agAooooAKKKKACiiigAooooAKKKKACiiigAooooAKKKKACiiigAooooAKKKKACiiigAooooA%0aKKKKACiiigAooooAKKKKACiiigAooooAKKKKACiiigAooooAKKKKACiiigAooooAKKKKACi%0aiigAooooAKKKKACiiigAooooAKKKKACiiigAooooAKKKKACiiigAooooAKKKKACiiigAooo%0aoAKKKKACiiigAooooAKKKKACiiigAooooAKKKKACiiigAooooAKKKKACviT9tn/krOk/9gS%0aH/wBHz19t18Sfts/8lZ0n/sCQ/wDo+egDwuDpVqPp+NVYOlWo+n40AS0UUUAFFFFABRRRQA%0aUUUUAFFFFABRRRQAUUUUAFFFFABRRRQAUUUUAFFFFABRRRQAUUUUAFFFFABRRRQAUUUUAFF%0aFFABRRRQAUUUUAFFFFABRRRQAUUUUARyffi/wB7+hqSo5Pvxf739DUlABRRRQAUUUUAFFFF%0aABRRRQAUUUUAFFFFABRXE/FTxVcaHoS6dpW6TxDqzfZLCGNsOGP3pPYIOc9uKyvFi69pPg3%0aS7vSNZl1nUPD00balBFIC14FUeYj7RnIBzg9RyQTg0rrd7f1f7tL+o7a26/1+fQ9Lorjr3x%0aDJ4m0PTNR8PNq9xa3KmTz9HNlkdtri5PBBzwoyCDmswDxIThpfGECnrLKNGKJ7naCcD2BPt%0aQ/dvfoJa2seiUV5H4N+IPiTVfhjp13Haza34iv5Z4Y5vICwQhWI8yUooVQo6Dqx4GTXOaN8%0aRL/wz4M36f4qi8S6vNdtBFpuo6fPJfSTZxsx9oyqjqPlxz03HFU9G0G6/rz/AMj3+ivMviD%0a4h13Qvhf/AGhqF9LpOviAs40m1MkAc8BHZkk2AZA3blyehrEbVNRsJrDWxq97oPhzTbONfO%0a1iK7uhe3ExIYtGZFchTjBbgZBAwQaXVrt/X/A9WHRPue0UVyngPWdf1c6yNctY7dLW8a3tZ%0aY7WS3+0RqP9Ztd2OCTwQcV1dABRWfrstxb6bLNbX1nppi+eS5v4TJEiDqSBImPru4rzqf4m%0aTx69a6fH418ISW8kEk0t59nISIqVCp/x94LNuJxkYCnrS62Dpc9VorjYvFdzZ+GdX1w6vo/%0aiS1soHkVdKiMQ3qu4qz+dKOmO3Ge9c1qPxSu7m/ht7bV/CWnTWkqSXMc2uFkmjO4GPc1sAG%0a4/hbKkDIwcF9bB0uer0V51H8UZdQ8La1qli+hTyWVq08aWeovdMGBwPMjMUTKvHXPP61Wtf%0aH2p3N/ZWZ1zTIZ7jKuJNElxbSB9gilIu/lYvlR1BI4PIydbBsrnp1Feb6J48vtWi8Qx3mra%0afp8Frbo1tqz2n2eNWaSaLeVeZwy7owVyRnPTkVYuPEfieS38PXEF3o0UerTpb7BavcrGfKd%0ay6yJOA6kxnHA4YZ5HItdvL8Q2v/Wx6BRXN+Ctb1DVxrMOpNbST6ffvaCS1haJXUIjZ2s7kH%0a5j3o8Ravd2PijwvaQS7Le9nnSdNoO8LCzKMkZHIB4xR28w7+R0lFVtQuJ7WzkktrVr2cYCQ%0aI6puJOOSxAAHU9TgHAJwDzXhnxje6p4W1bVbyyjFzY3F1F9ls2Z93lMQFDEAsTjrgZ9B0pX%0aSTfbUdrtLuddRXA+G/GmsXd74c+3Ppl3ba7byTxpp6Or2u1Q/wAzF2Ei87S2FwxHHNd9VNN%0abkp3CiiikMKKKKACopOn41LUUnT8aAKs/SvdP2Jv+Ss6t/wBgSb/0fBXhc/SvdP2Jv+Ss6t%0a/2BJv/AEfBQB9t0UUUAYd9BNZX806xPNbzkM3lqWZGCheg5IwB0qL7cv8Azwu//ASX/wCJr%0aoaKAOe+3L/zwu//AAEl/wDiaPty/wDPC7/8BJf/AImuhooA577cv/PC7/8AASX/AOJo+3L/%0aAM8Lv/wEl/8Aia6GigDnvty/88Lv/wABJf8A4mj7cv8Azwu//ASX/wCJroaKAOe+3L/zwu/%0a/AAEl/wDiaPty/wDPC7/8BJf/AImuhooA577cv/PC7/8AASX/AOJo+3L2t7sn0+ySj/2Wuh%0aooAy9GtZkee6nTy5JgqrH3VVzjPvljWpRRQAUUUUAFFFFABRRRQAUUUUAFFFFABRRRQAUUU%0aUAFFFFABRRRQAUUUUAFFFFABRRRQAUUUUAFFFFABRRRQAUUUUAFFFFABRRRQAUUUUAFFFFA%0aBRRRQAUUUUAFFFFABRRRQAUUUUAFFFFABRRRQAUUUUAFFFFABRRRQAUUUUAFFFFABRRRQAU%0aUUUAFFFFABRRRQAUUUUAFFFFABRRRQAUUUUAFFFFABRRRQAUUUUAFFFFABRRRQAUUUUAFFF%0aFABRRRQAUUUUAFFFFABRRRQAUUUUAFFFFABRRRQAUUUUAFFFFABRRRQAUUUUAFFFFABRRRQ%0aAUUUUAFFFFABRRRQAUUUUAFFFFABRRRQAUUUUAFFFFABRRRQAUUUUAFFFFABRRRQAUUUUAF%0afEn7bP8AyVnSf+wJD/6Pnr7br4k/bZ/5KzpP/YEh/wDR89AHhcHSrUfT8aqwdKtR9PxoAlo%0aoooAKKKKACiiigAooooAKKKKACiiigAooooAKKKKACiiigAooooAKKKKACiiigAooooAKKK%0aKACiiigAooooAKKKKACiiigAooooAKKKKACiiigAooooAjk+/F/vf0NSVHJ9+L/e/oakoAK%0aKKKACiiigAooooAKKKKACiiigAooooA4j4p+L9M+HuiSa7LbW8uslDa2TNGDIzHnbu6hBjc%0aeccepFeceEfG+h/CjQLa9u7q117VtZuTPq91Y30MksBbJUbA258EnOBjJY56A+/U10WRSrA%0aMrDBBGQRSV1d/1bt83uN2dl/X9LoeS/E7TLHX/AOiv4W0uPU9Om1WC6MGl2wKyL828lQAB6%0aHdjB4OKLbwfNF8R7DWrDwl/wAI3pFvp88U5ItY90hBwdsMjZ4wM16xBBHbQxwwxrFFGoRI0%0aUKqqBgAAdAKqatoGma/HHHqenWmoxxnciXcCyhT6gMDihrRpdb/AJW/IE9r/wBa3PCfDOp+%0aI/D37Ptvqeh3ltYJbtPLM81v5kpHnYXy8/LzyDkHjpzV7wzovg7QoX1+2+IAi8QXVsJZ5Z7%0a6xml8wrllHmRsy8kggHPY17XJo9hNpn9myWNs+nBBH9kaJTFsHRdmMYGBxjtVhLeKOBYFjR%0aYVXYIwoChcYxjpjHanLXma6/5W/wAhR0tf+tbnz34luvEPxB/Z/wBP1S71EPsee4v22KhlV%0aHcRrhQBjIXjHoe1Znjnw1fro2tand/bXtLW30+w0+S8O4yI0iyPtbGSFbCgnJ9STX0ZHoGl%0aw6UdLj020TTCCpslgUQkE5I2YxyeelNvPDmk6jLay3el2V1JaY+zvNbo5hxjGwkfL0HT0FP%0aRSbXdP8v8vxFraz7P9f6foc18MvDmo+FF17T7mAR6cdQkuNPcOGLRPhiMDkYORz7121FFLs%0aCVjmfib/yTvxJ/2D5//QDXNWHjfZY26/8ACwPByYjUbWt+Rx0P+mda9GurWG9t5be4hjuIJ%0aVKSRSqGV1PUEHgipFVUUKoCqBgADAAoWl/kN9Dxm11MXfgPxuovbXUptT1Z7KG4shthmeWO%0aJAV+ZsAAkn5jgKTmqfiTULi68RXV/ps7a3A8Kot54Xtr2b5UJ2xTGG8jj3jdxgknJJCgjPt%0atvZ29o0zQQRwtM5llMaBS7kAFmx1OAOT6VNSt/XysP+vxueRJqdv/AMKa1rTjf6VNe21lKz%0aWWmSuzW6E8CRZHaQPkndu6E47ZKR+E9c1yDVb9reG0tfFCmO9ivUCSWEKcRS7ccv5YbIPRy%0ah6A169RTet33/r/AC+4XZHlHwwuI3vdahjnsrqKw0u2shc2EySQyBHuArZUkAlNrFTyCTWB%0a4YtNO8Q+HPAkiNqylbuG1lkF5cwwsRbS58oBwBgrgsgHO4ZOTXukkaTRtHIqujAqysMgg9Q%0aRUH9nWnl20f2WHZakGBfLGISFKgoP4cAkcdjin1u/L8G3+omtNPP8kv0OF8KXq+G/FupaAk%0aEkhvNRklEks7OyRC1iYOS2S+WBXJOc561p+Lf+R28E/wDXzc/+k7107abaNqC35tYDfLH5S%0a3JjHmhM52hsZxnnFVtR0G31PVNLv5XkWbTneSJUICsXQod3HPB7YpdvIb+15mlXnegaXrUP%0agHxRb2MUtnq817qDWnmgxMS0jFGBPrkEHp0NeiUUrXv5q343Gna3keW6NZI+q+GjoGjahpF%0a4j+ZrFxc2kluskflkMszuALiQuQQwLkEM2QDk+pUUVTd/6/rQlKwUUUUhhRRRQAVFJ0/Gpa%0aik6fjQBVn6V7p+xN/yVnVv+wJN/wCj4K8Ln6V7p+xN/wAlZ1b/ALAk3/o+CgD7booooAKKK%0aKACiiigAooooAKKKKACiiigAooooAKKKKACiiigAooooAKKKKACiiigAooooAKKKKACiiig%0aAooooAKKKKACiiigAooooAKKKKACiiigAooooAKKKKACiiigAooooAKKKKACiiigAooooAK%0aKKKACiiigAooooAKKKKACiiigAooooAKKKKACiiigAooooAKKKKACiiigAooooAKKKKACii%0aigAooooAKKKKACiiigAooooAKKKKACiiigAooooAKKKKACiiigAooooAKKKKACiiigAornP%0aiB8QNF+GXhe617Xrr7NYwcBVGZJnOdsaL/ExwcD2JOACR4Z/wAN9/D7/oD+Jv8AwFt//j9e%0a1gslzLMabq4OhKcU7XS0v82j6HLuHs2zak62Aw0qkU7XS0v2u2vwufS1FfNP/Dffw+/6A/i%0ab/wABbf8A+P0f8N9/D7/oD+Jv/AW3/wDj9eh/qrnn/QJP7l/8ker/AKk8Sf8AQDP7l/8AJH%0a0tRXzT/wAN9/D7/oD+Jv8AwFt//j9H/Dffw+/6A/ib/wABbf8A+P0f6q55/wBAk/uX/wAkH%0a+pPEn/QDP7l/wDJH0tRXzT/AMN9/D7/AKA/ib/wFt//AI/R/wAN9/D7/oD+Jv8AwFt//j9H%0a+quef9Ak/uX/AMkH+pPEn/QDP7l/8kfS1FfNP/Dffw+/6A/ib/wFt/8A4/R/w338Pv8AoD+%0aJv/AW3/8Aj9H+quef9Ak/uX/yQf6k8Sf9AM/uX/yR9LUV80/8N9/D7/oD+Jv/AAFt/wD4/R%0a/w338Pv+gP4m/8Bbf/AOP0f6q55/0CT+5f/JB/qTxJ/wBAM/uX/wAkfS1FfNP/AA338Pv+g%0aP4m/wDAW3/+P0f8N9/D7/oD+Jv/AAFt/wD4/R/qrnn/AECT+5f/ACQf6k8Sf9AM/uX/AMkf%0aS1FfNP8Aw338Pv8AoD+Jv/AW3/8Aj9H/AA338Pv+gP4m/wDAW3/+P0f6q55/0CT+5f8AyQf%0a6k8Sf9AM/uX/yR9LUV80/8N9/D7/oD+Jv/AW3/wDj9H/Dffw+/wCgP4m/8Bbf/wCP0f6q55%0a/0CT+5f/JB/qTxJ/0Az+5f/JH0tRXzT/w338Pv+gP4m/8AAW3/APj9H/Dffw+/6A/ib/wFt%0a/8A4/R/qrnn/QJP7l/8kH+pPEn/AEAz+5f/ACR9LUVznw/+IGi/E3wva69oN19psZ+CrDEk%0aLjG6N1/hYZGR7gjIIJ6OvmqtKpQqSpVYuMouzT3TPj61GrhqsqNaLjKLs09Gmt00FFFFZGI%0aUUUUAFFFFABRRRQAUUUUAFFFFABRRRQAUUUUAFFFFABRRRQAUUUUAFFFFABRRRQAUUUUAFF%0aFFABRRRQAV8Sfts/8AJWdJ/wCwJD/6Pnr7br4k/bZ/5KzpP/YEh/8AR89AHhcHSrUfT8aqw%0adKtR9PxoAlooooAKKKKACiiigAooooAKKKKACiiigAooooAKKKKACiiigAooooAKKKKACii%0aigAooooAKKKKACiiigAooooAKKKKACiiigAooooAKKKKACiiigAooooAjk+/F/vf0NSVHJ9%0a+L/e/oakoAKKKKACiiigAooooAKKKKACiiigAooooAKKKKACiiigAooooAKKKKACiiigAoo%0aooAKKKKACiiigAooooAKKKKACiiigAooooAKKKKACiiigAqKTp+NS1FJ0/GgCrP0r3T9ib/%0akrOrf8AYEm/9HwV4XP0r3T9ib/krOrf9gSb/wBHwUAfbdFFFAGbPe3AuZkjMSojADchJ+6D%0a6j1pn227/vw/9+z/APFUyX/j9uv98f8AoC0UAP8Att3/AH4f+/Z/+Ko+23f9+H/v2f8A4qm%0aUUAP+23f9+H/v2f8A4qj7bd/34f8Av2f/AIqmUUAP+23f9+H/AL9n/wCKpsWo3cik7oRhiP%0a8AVnsSP73tSVDbf6tv99//AEI0AWftt3/fh/79n/4qj7bd/wB+H/v2f/iqZRQA/wC23f8Af%0ah/79n/4qj7bd/34f+/Z/wDiqZRQA/7bd/34f+/Z/wDiqPtt3/fh/wC/Z/8AiqZRQA/7bd/3%0a4f8Av2f/AIqj7bd/34f+/Z/+KplFAD/tt3/fh/79n/4qmpqN27SDdCNjY/1Z54B/ve9JUMP%0a+sn/3x/6CtAFn7bd/34f+/Z/+Ko+23f8Afh/79n/4qmUUAP8Att3/AH4f+/Z/+Ko+23f9+H%0a/v2f8A4qmUUAP+23f9+H/v2f8A4qj7bd/34f8Av2f/AIqmUUAP+23f9+H/AL9n/wCKo+23f%0a9+H/v2f/iqZRQA/7bd/34f+/Z/+Ko+23f8Afh/79n/4qmUUAP8Att3/AH4f+/Z/+Ko+23f9%0a+H/v2f8A4qmUUAP+23f9+H/v2f8A4qj7bd/34f8Av2f/AIqmUUAP+23f9+H/AL9n/wCKpp1%0aG7Eqpuh5UnPlntj/a96SoW/4+4/8Acb+a0AWftt3/AH4f+/Z/+Ko+23f9+H/v2f8A4qmUUA%0aP+23f9+H/v2f8A4qj7bd/34f8Av2f/AIqmUUAP+23f9+H/AL9n/wCKo+23f9+H/v2f/iqZR%0aQA/7bd/34f+/Z/+Ko+23f8Afh/79n/4qmUUAKNRuzKyboeFBz5Z75/2vanfbbv+/D/37P8A%0a8VVZf+PuT/cX+bVNQA/7bd/34f8Av2f/AIqj7bd/34f+/Z/+KplFAD/tt3/fh/79n/4qj7b%0ad/wB+H/v2f/iqZRQA/wC23f8Afh/79n/4qj7bd/34f+/Z/wDiqZRQA/7bd/34f+/Z/wDiqP%0att3/fh/wC/Z/8AiqZRQA/7bd/34f8Av2f/AIqj7bd/34f+/Z/+KplFAD/tt3/fh/79n/4qj%0a7bd/wB+H/v2f/iqZRQA/wC23f8Afh/79n/4qj7bd/34f+/Z/wDiqZRQA/7bd/34f+/Z/wDi%0aqPtt3/fh/wC/Z/8AiqZRQA/7bd/34f8Av2f/AIqj7bd/34f+/Z/+KplFACzajdxRO+6E7VJ%0ax5Z5/8ep3227/AL8P/fs//FVWu/8Aj0m/3G/lU1AD/tt3/fh/79n/AOKo+23f9+H/AL9n/w%0aCKplFAD/tt3/fh/wC/Z/8AiqPtt3/fh/79n/4qmUUAP+23f9+H/v2f/iqPtt3/AH4f+/Z/+%0aKplFAD/ALbd/wB+H/v2f/iqPtt3/fh/79n/AOKplFAD/tt3/fh/79n/AOKo+23f9+H/AL9n%0a/wCKplFAD/tt3/fh/wC/Z/8AiqPtt3/fh/79n/4qmUUAP+23f9+H/v2f/iqa+o3aNGN0J3t%0aj/Vnjgn+97UlQzf6yD/fP/oLUAWftt3/fh/79n/4qj7bd/wB+H/v2f/iqZRQA/wC23f8Afh%0a/79n/4qj7bd/34f+/Z/wDiqZRQA/7bd/34f+/Z/wDiqPtt3/fh/wC/Z/8AiqZRQA/7bd/34%0af8Av2f/AIqj7bd/34f+/Z/+KplFAD/tt3/fh/79n/4qj7bd/wB+H/v2f/iqZRQA/wC23f8A%0afh/79n/4qmxajdyKTuhGGI/1Z7Ej+97UlQ23+rb/AH3/APQjQBZ+23f9+H/v2f8A4qj7bd/%0a34f8Av2f/AIqmUUAP+23f9+H/AL9n/wCKo+23f9+H/v2f/iqZRQA/7bd/34f+/Z/+Ko+23f%0a8Afh/79n/4qmUUAP8Att3/AH4f+/Z/+Ko+23f9+H/v2f8A4qmUUAP+23f9+H/v2f8A4qj7b%0ad/34f8Av2f/AIqmUUAP+23f9+H/AL9n/wCKo+23f9+H/v2f/iqZRQA/7bd/34f+/Z/+Ko+2%0a3f8Afh/79n/4qmUUAP8Att3/AH4f+/Z/+Ko+23f9+H/v2f8A4qmUUAfOn7d1xPL8ItIErRl%0af7chPyIQc/Z7j3NYP7Pv7PngLxr8HPD+u614eiv8AU7tpxNO13dIWxcyRrwkyqMKoHAHT15%0arc/bs/5JHpH/Ych/8ASe4rqf2VP+TePCf+/cf+lstfqMcXiMHwhRqYao4SdaSvFtO1npofs%0a8cdisBwHh6uEqypyeImrxbi7Wel10H/APDJnwt/6FWH/wADr3/4/R/wyZ8Lf+hVh/8AA69/%0a+P17DRXxX9u5t/0F1P8AwOX+Z+ef6y53/wBBtX/wZL/M8e/4ZM+Fv/Qqw/8Agde//H6P+GT%0aPhb/0KsP/AIHXv/x+vYaKP7dzb/oLqf8Agcv8w/1lzv8A6Dav/gyX+Z49/wAMmfC3/oVYf/%0aA69/8Aj9H/AAyZ8Lf+hVh/8Dr3/wCP17DRR/bubf8AQXU/8Dl/mH+sud/9BtX/AMGS/wAzx%0a7/hkz4W/wDQqw/+B17/APH6P+GTPhb/ANCrD/4HXv8A8fr2Gij+3c2/6C6n/gcv8w/1lzv/%0aAKDav/gyX+Z49/wyZ8Lf+hVh/wDA69/+P0f8MmfC3/oVYf8AwOvf/j9ew0Uf27m3/QXU/wD%0aA5f5h/rLnf/QbV/8ABkv8zx7/AIZM+Fv/AEKsP/gde/8Ax+j/AIZM+Fv/AEKsP/gde/8Ax+%0avYaKP7dzb/AKC6n/gcv8w/1lzv/oNq/wDgyX+Z49/wyZ8Lf+hVh/8AA69/+P0f8MmfC3/oV%0aYf/AAOvf/j9ew0Uf27m3/QXU/8AA5f5h/rLnf8A0G1f/Bkv8zx7/hkz4W/9CrD/AOB17/8A%0aH6an7J/wtdpB/wAIpCNjY/4/r3ngH/nv717HUMP+sn/3x/6CtH9u5t/0F1P/AAOX+Yf6y53%0a/ANBtX/wZL/M8k/4ZM+Fv/Qqw/wDgde//AB+vOf2hv2ePAXgX4PeINc0Xw/FY6na/Z/JnW6%0aunK7riNG4eZlOVYjkHr619T15D+1r/AMm++Kv+3T/0rhr2cmznM6uZ4anUxM3FzgmnOTTTk%0atHqe/w/xBnFbOMHSq4ypKMqkE05yaacldNX1TOS/YRuJ4vhFq4iaML/AG5MfnQk5+z2/uK+%0ajvtt3/fh/wC/Z/8Aiq+b/wBhP/kker/9hyb/ANJ7evo2uTir/keYv/G/yicXG3/JSY7/ABv%0a8oj/tt3/fh/79n/4qj7bd/wB+H/v2f/iqZRXyp8SP+23f9+H/AL9n/wCKo+23f9+H/v2f/i%0aqZRQA/7bd/34f+/Z/+Ko+23f8Afh/79n/4qmUUAP8Att3/AH4f+/Z/+Ko+23f9+H/v2f8A4%0aqmUUAP+23f9+H/v2f8A4qj7bd/34f8Av2f/AIqmUUAK+o3aNGN0J3tj/Vnjgn+97U77bd/3%0a4f8Av2f/AIqq03+sg/3z/wCgtU1AD/tt3/fh/wC/Z/8AiqPtt3/fh/79n/4qmUUAP+23f9+%0aH/v2f/iqPtt3/AH4f+/Z/+KplFAD/ALbd/wB+H/v2f/iqPtt3/fh/79n/AOKplFAD/tt3/f%0ah/79n/AOKo+23f9+H/AL9n/wCKplFAD/tt3/fh/wC/Z/8AiqPtt3/fh/79n/4qmUUAP+23f%0a9+H/v2f/iqPtt3/AH4f+/Z/+KplFAD/ALbd/wB+H/v2f/iqPtt3/fh/79n/AOKplFACxajd%0ayKTuhGGI/wBWexI/ve1O+23f9+H/AL9n/wCKqtbf6tv99/8A0I1NQA/7bd/34f8Av2f/AIq%0aj7bd/34f+/Z/+KplFAFi1uriSdVkaIoc52oQen+8a0KzbP/j4T8f5VpUAFfEn7bP/ACVnSf%0a8AsCQ/+j56+26+JP22f+Ss6T/2BIf/AEfPQB4XB0q1H0/GqsHSrUfT8aAJaKKKACiiigAoo%0aooAKKKKACiiigAooooAKKKKACiiigAooooAKKKKACiiigAooooAKKKKACiiigAooooAKKKK%0aACiiigAooooAKKKKACiiigAooooAKKKKAI5Pvxf739DUlRyffi/3v6GpKACiiigAooooAKK%0aKKACiiigAooooARmCgkkADkk9qoW3iHSr17RLfU7OdrtWe3WK4RjMq/eKYPzAd8dK8z+PEc%0aluNO1G5so5dFtoZ1ubj7NZzSrIwURKouATgt1CDOM+grzG0+HlxpZ8NSatoOqW9ktlO99Ob%0afTwiZGVPmSDaOv/AC3O4dFwRSTvv/W/+Q2rf16f5n03q2v6ZoEccmp6jaadHIdqPdzrEGPo%0aCxGazP8AhY/hP/oaNF/8GEP/AMVXkPiDUdOXwr8LbnSLl9P02HUQsFzrKqTGqEjdKFZVIyC%0aeGHHcVWs/E23xz49n/wCEs8Op9os4V+0tF+6usRY2wj7RwR0PzPz2HSh6X8r/AIJP8b/8OC%0aV7edvxbX6f8Me4XvjHRbDTrK/k1GF7K9nW2t7iDMySSMSFAKA9wRnpxVKf4k+HLa3u55NR2%0axWl7/Z0zeRIdlx02fd5+o4968Pu5NP/AOFO/DtJ7qRbv+0IyLaC5kEjRedJuZYkOWI4AYAs%0aCcAjNZ2vi9Tw34uktXjeAeLB5VvNE3mtJu+Us7OOMcEFc55z2q7e812f6x/zf4E3uk+6/wD%0akv8kfU9VU1Szk1CSwW7ga+jQSvaiRTKqHgMVzkD3ryvxX4ebQPA+n6r4p8TalHq1pqCXhur%0aN87JJCFaKKM8FApIGQcAMQMEqefv8ATn8IeNdHGrX5v9Y8T30n2i8hu7qzKwDasCBY5F28k%0aDDBsdO2alb2+Xztp+v3eY+lz3a/1C10q0kur25hs7WMZeaeQIi845Y8Dk1i/wDCx/Cf/Q0a%0aL/4MIf8A4quG1XQLrw58J9R0/wAXy6prkdw0k97daddLKbWMMpVVa4cMRhR2Jzn6mfSG1a/%0a0CzNj/wAJo+mTWyeRkaMMxFRt+98w4x15pd7f1oPtf+v6/wAj0zT9RtNWtI7qxuoby1kzsn%0at5BIjYODhhweQasVyvw50pfDvh2HR4tM1PT7azyI21OS3d5NzMx5hdhwT3A7da6qqdr6Eq/%0aUKK4j41/wDJLPEP/XAf+hrVL/hBtK8R+H9S0+LwgPC809uAl4IbVGLghkIMMjHhgrc46VN9%0a32K7eZ6JRXkPgzWb74oa/pX9p2rQReGkJvo5VwJNRyUGB0woBcehcVb8caZocOrWunaDaRn%0axpcXkd0Lq1G65t08wGWWaXO4R7GK7WOCGAAwOKtqvP+r/AK+hN9H5f1b9PVnqdFeaxeHrHx%0a34h8ZtrMEd59jkWws/OGRar5KuXj/usWbJYc/KOeKXRb7Q9b+GOg694z+yXMdvaktJf/vI2%0af7pbYchnO3jgtyQOpzN9L+j++/+X4ldbeq+63+Z6TRXnvgvSnl8B3aX2kXdzp813LPZaPKV%0aEi2pYeVEVdwuMc7GOMHHtXOyXreFvDfxBl0xTocyCJodHVdpsN6hPMG35Muct+7LKCo5zkB%0avt/XTT8fwBa/16/5HslFeaXWgWPgXxb4MbRreKzF68lheBBhrpfKLq8n95gy53Hn5jzzTPG%0aWl2Vpr2m3iaS+izJqsMkniOQKxlDHBi3IzSYfdsxIFQDjPCgvqvW39ff8A0yb6X8r/AJ/5H%0ap1Fee/FPR7S60zUJn8Pve3ZtT5esNtZbAjOHGGMq7fvfukOfzxJ4+tBqHwsu7lNVupo4dKk%0alEltKY1uj5XDsR8xHU7d2DuO4HjEN2i5di0ryS7nfUV574uZrrQPB2kszLaapd29tdKpIMk%0aIiZ2Q47NtAPtkd65zxbdN8PtT8WWegrHptrPokd6kFsuxIJzL5JkRRwpKkHjGSoNXJWk15t%0afd/wAORF8yT72f3nstFeaXWgWPgXxb4MbRreKzF68lheBBhrpfKLq8n95gy53Hn5jzzVfxP%0apmhweJdL0zw5aRjxWL+O7ubu1GZ4Id26VriXOdrKxG1yc7lwOlHVLzt/Xl1C+l/K/8AXn0P%0aU6K8q17TrdvEPid/EejXuptKiHSLmC0edYo/LxtjkUEQOJASWYr1U5wMjsfhxqdzrPgPQb2%0a8dpLqazjaR3OS5xjcfc9fxpLVX9Pxv/kN6O39dP8AM6SopOn41LUUnT8aAKs/SvdP2Jv+Ss%0a6t/wBgSb/0fBXhc/SvdP2Jv+Ss6t/2BJv/AEfBQB9t0UUUAY8v/H7df74/9AWoL6+ttMsri%0a8vLiK0tLeNpZridwkcSKMszMeAAASSeABU8v/H7df74/wDQFrh/jpOlt8EviDLI22NPD2oM%0axxnAFtJWVWfs6cprom/uTZrSh7SpGD6tL72l+p5f8V/2/Pgj8KdF0/UW8baV4u+2X0dkLTw%0apqVpfzw7gxM0iiYbYl28tnuMA5r1Dwj8dPht8QNYGk+F/iD4V8SaqY2lFjpGtW11OUX7zbI%0a3LYGRk44zX5p6N4qvfhd8BvgZ4siX4i3/hfSNLA8YaLocnibTreS1ly0VzBdwvFZAxBgSFd%0aNzEhmb+H279h34h6je6p4kkv/FfifV/iT4msW1rQ/hz4tvdcXT9J0rzP3TfbbuGYPvDLmdd%0a4PAXOTXVyJSnB68t/wAErK3W+svRO9ra83NeMZrrb8W7u/S2i9XG17n0jon7XXw28UHUP7B%0auPE/iGPT7ySwup9G8F61ewxXEZw8ZkhtGXcMjgHoQehFdH8Ovj54K+KviXXvDvh6/1Bte0J%0aIZNS03VNFvdNuLVZQTEWS6hjPzAZGB0wehFfB3wy+Jfw/fWvH2l6bo3hX4YTaZ4iu7bULa/%0awD2gdb0OLULwNia5ghjhXcjEY3lV6AYGMD6F/Zgg0U/EXX9Y8G2Pw+1e81RIE8Ra1o3xb1H%0axVqIijVhAWS4tTnGNozInA6naBWVL3lFvrG+ndpO/pe++trdbl1HyuSXR217Xf427db9D6u%0aqG2/1bf77/wDoRqaobb/Vt/vv/wChGgZ4x8WP2wPh38DdY1/TfHNxqPh2bTbFdQtJLuyYRa%0a0p2ho7BwcTSI0kaunyld24/IrOOe0z9vz4TTaPqd3rLeK/Cl5o8MU+taZrHhHUxcaOkvMJu%0azDBJHEJFKsp3kMGGD2rzf8Aay8YfETRPikPCPg3WdX8V+PfEel3Mvhfwgmn2EPh+C2Cqly9%0a609wrXE6hXljZy0YIUeSctn5p1fwtpnhvwJaeKtRtNf8beI/GniD/hHvFmr6xf6Td6H4kub%0aiaOWOxm/s7VZZrL7O1ujxyxKxTDqyMkgjUA/QLxX+2B8NfAmo20XiTUNQ0TTL7RF17Tdaut%0aMn+x6lb7N8i27KpZ5Y4zG7x7QwWRSM4faxP2yPhhJrOm6Qlz4pbVdTtje2NivgfXDPdW45M%0a0Uf2Pc6DI+ZQR7184ft0alrfhLwn400ufxjplpaeJfATXN/4CubmWSPTpraS3jWTSpfIRGQ%0atIyOjiNmCiQKcFY/nS503xXpd54z1HVda8XaB8Sr20m034fwf2L4ml1DUbSO2SUW+m3NpdR%0aQLEHO7Y8UqKfmYFeKAP028f8A7Rfhb4Z+HPDniTX7PxBZeGNYuPs8msy6LcxRaUW4ja+jdF%0amt1kkKxKWj++67toOa4hf26fhz/Y+p3jWviE3lr4vufBVvo9vpn2q/1G+g8szPbQwM5eJUl%0aDljtbCkbdxRW8N+Lo8H+M/AXw+8FeNv+FceHfH194O05fEPjr4k3WmNq+lKYoxJDFb3LG6e%0a7YtMwaQRxoSW3l/lr5++C3wb+C3gWx8XeI9E+Jnwh8Xa5pnii9t7Xw144ubd9P1XSFEflwe%0aZewxvDcDLst3biSFmwpMi7toB+mnxM/aE8EfCDxBouieKLvVbbU9aO3TYbHQNQvxdvz+7ja%0a3gkVpPlJ8sHcBg4wQTxcf7cnwfvPD9rq+na7qOow39rqt3psS6He27aiNOtzcXiwtPDGhKI%0aCMsyqWyucggeP8AjX4XeIvjr8Y/2eL7wdcX3hT4ZaTo8+um78NPpFzp2j3KRJFFbWciQyIz%0ahnCnd5kTICYlHlyEfKfwq+Her698G/DNzbajr2q6t4Bj8baDrHg7/hHry4vbC+1OyuIbWKG%0aO1sS3zsN0rTybUJABU/JQB+sXw18e6f8AFP4feHPGGlQ3Nvpmu2EOo20V4qrMkcqB1DhWYB%0asHkBiPc1vw/wCsn/3x/wCgrXm37MHhrU/Bv7Ofwz0PWrOTTtX0/wAPWNtd2k2N8MqwqGRsd%0aweDXpMP+sn/AN8f+grQB4x8WP2wPh38DdY1/TfHNxqPh2bTbFdQtJLuyYRa0p2ho7BwcTSI%0a0kaunyld24/IrOOe0z9vz4TTaPqd3rLeK/Cl5o8MU+taZrHhHUxcaOkvMJuzDBJHEJFKsp3%0akMGGD2rzf9rLxh8RNE+KQ8I+DdZ1fxX498R6Xcy+F/CCafYQ+H4LYKqXL3rT3CtcTqFeWNn%0aLRghR5Jy2fmnV/C2meG/Alp4q1G01/xt4j8aeIP+Ee8WavrF/pN3ofiS5uJo5Y7Gb+ztVlm%0asvs7W6PHLErFMOrIySCNQD9AvFf7YHw18CajbReJNQ1DRNMvtEXXtN1q60yf7HqVvs3yLbs%0aqlnljjMbvHtDBZFIzh9rE/bI+GEms6bpCXPiltV1O2N7Y2K+B9cM91bjkzRR/Y9zoMj5lBH%0avXzh+3RqWt+EvCfjTS5/GOmWlp4l8BNc3/gK5uZZI9OmtpLeNZNKl8hEZC0jI6OI2YKJApw%0aVj+dLnTfFel3njPUdV1rxdoHxKvbSbTfh/B/YviaXUNRtI7ZJRb6bc2l1FAsQc7tjxSop+Z%0agV4oA/S7xd+094H8D654C0zWZdS05vGKXs1nNfafJZizhtIDNPNeRzhJLeNVHLOny/ebagZ%0ahy8X7eHwTk+Kk3ghvHWixGPTBqa+Im1ay/seTMgT7OtyJz+/Gd3lkD5RnNfAH7WVzeWHinw%0adH4p8danH4q1P4Ovb3+lzafc/2hp5j09pvIkmRyzSXVykonMqLtiDh2KtV/wt+0N4+1P4Fe%0aG/C15e+IpfDmp+HbfSmsovEWkwKbZ5L7TjH/yL0joM6dcf8tXYK8Z3sxYgA/Szx/8AtC/D/%0awCGWi+F9W1zX92n+KLiK10ObSrO41P+0pZVDRLALWOQvvBBUgYbIxnIrn/Ev7XHw68GaJda%0az4g/4S/QtHtQpuNQ1PwJrtvbwgsFXfI9kFXLMAMnqQO9fKPxj+IXh3w1+y1+zrrfiD4aWOu%0a+Do4tDt/Ds938QLvSdT0y8NofLmkltrRF2xJFkzh155Ea8Va8S6p8OvGeiXWjeIPEHwz13R%0a7oKLjT9T/ac124t5gGDLvjeAq2GUEZHUA9qAP0BsL6DVLC2vLV/NtriNZonwRuRgCDg8jgj%0arViub+HkmqP4Q04atpulaTOkYSK20XVJNSthCABGVnkghZ8rg8p+J610lABRRRQAUUUUAFQ%0at/x9x/7jfzWpqhb/AI+4/wDcb+a0Acv8Ufiv4W+C/hKXxN4x1JtK0WOaK3a4S1muW8yRgqK%0aI4UdySxA4WvO5v2wfBekSQDxJo3jPwjHqGonTNF/tjwveCbWpeeba2ije4xwOJYo2O5cA5r%0agf+CnLbf2V7xt8sWNd0o74U3uv+lJyq4OT6DBz6Gvmbxpq3xN+Jfx2+GujeJNe8Xw6db/Eg%0aJ4V1zXfDkOlai1ktqHedIpLKJHII6vAQDjIxQB92yftL+HtD+HOv+PvGGh+Jvh94Q0iVEOo%0a+JdLMUlyj3H2dJEtYmkuEUybeJYo3xIrbcHItf8ADSPhP/oEePv/AA3fiD/5Br4X+I/jrxl%0a8VP8AgmN8SvE3jTxlqHifVdQ1eDTLe2ubSyt4IRBrMKKUFvbxtuZV+YuzDKjaF5z578a9Du%0avBXjSKwsfhdHoFjL49PhqB9X8CaZKupWe+UJNamPwsUxIEBTZNcy4BxBKPnAB+mfhL9o34d%0aeNNC8S6zZ+JE0/TPDV19h1m4161n0gafPx8kwu44ih+ZRyOpx1rU8HfG/4dfETVm0vwp4+8%0aL+J9TWIztZaNrNtdzCMEAuUjdjtBZQTjHI9a+FPEulT6b/wTr+PK3Pgm98ESpqX2aOG+0m2%0a0430SPZ7LqNIdL04mNizBTJBv+RgW/hXzD4b6Va6D8Zf2Ude8a/Cy3+CuitaQW+leIfD5tb%0aw+Kr54YBC961uyG2WTerZkR3PmurErueMA/Unxv8T/AAb8M4bSXxf4t0LwpFdsyW763qUNm%0asxXBYIZWXcRkZx0yKueEfG3h34gaOureF9f0vxJpTO0QvtIvI7qAuv3l3xsVyO4zxX50fA3%0aw9H8cfiZ+0r8SPE3gCw+NHxI8P68NC0nwRr08EMFpZrO6Kq/aFaKMhUfDMmcwPg7pHJ+lv2%0aDfidoXxK8C+Nf7C+GNj8J10nxNPp97oOm3y3Nv9qSGESOmyONE6BdqLtJUtkliaAPpVf+Pu%0aT/AHF/m1TVCv8Ax9yf7i/zavj/AP4KOaEPFcfwD0MDTZJNQ+JWmQiHV7T7ZaOpWQETW+5fO%0aj5AaPcu4HbuXOaAPePit+0F4e+EHjLwP4Z1fT9YvtQ8XyXkdgdKtVuAhtolkkDrvDkkMAoj%0aVyTxjpWz8G/i5oHx1+G2i+N/DL3B0jVI2ZIruMRzwujskkUigkB0dWU4JHGQSCCfyt+KOte%0aE9C8T6X4j8X/DT4e2OheAfiXqHhnUB4U8Lx6fb6zDFa+YBPAzzbiWThWYgbuAxya+p9Km+H%0a/wU/Yw8MeJPjx8OPA0+vXPm6hZ+FrTwtaQGa8ueYreK28sqJzEsKSMFBAT5s7MkA+m/D/x0%0a0HxH8bvFPwttrTUU8QeHLC21G7uZYoxaPHMAUEbByxYbhkFAPQmvRa/GX4Y/s7+JtE/aQ8X%0aa1qvw+8OeKvEHh7TLPxPq3w3j0iA2MlpeITNY21uUKi4gSSMx7erwsvz7xn6f/ao+Ivg/SP%0a2ZvhFr3wS1A+EvBuv+PtNS6XwD5mmSTQywXHnwPHZbZPMOxQ0YG/cijG4CgD6y/4X14f/AO%0aGgv+FPfY9S/wCEm/sH/hIvtflR/Y/s/neVt379/mbucbMY/i7V6TX5k/8AFAf8PA/+ar/2B%0a/wgf/U2/wBs+f8Aa/8AwO8jH/bHd/tVzlh8c/HTfsaeP9P0fxj4ok8VeIPi83hHw9qN/ql4%0adTs4CLWVIklmfzosLGykMQR5rA4ZjQB+ik3x68JWvx0g+ElxcXNr4vudJ/ti2S4tzHb3UQZ%0agyRSNjzHAVmIUEAK3OVYD0Wvz3/YH+AfhP4h2PiXxJrUV7NrPgf4t63d6Vdw3jxSMzW9opW%0aZ1IaRCVRiuQGKANuVnVvZ/2H/GHjeeX4teAPHt7quvat4K8Vz21v4g1NWJvbWfM0I3kbSwU%0a79i4CJNCAqjbkA+oaKKKACiiigAooooAKKKKACiiigCG7/49Jv9xv5VNUN3/wAek3+438qm%0aoA82g/aX+EF1qcenQ/FXwTNqEkwt0tI/EVm0rSltoQIJMlieMYznit/xZ8V/BHgPVLHTPE3%0ajHQPDupX+DaWerapBazXGW2jy0kYF/m44B54r8TdMjivP2d/Eejal8MPD1ppfiDx6+mr8Y9%0aUeNpNGk3wyNAUjiadUCITu3bCJXGCc19Hft4/AqXxj8V/g18OtPv7jVr/Tvh5qC2F7n97eT%0a2VrJLExwT80jQAdT9+gD9MPGXj3wz8OtKTVPFfiPSfDGmvKIFvNZvorSFpCCQgeRlBYhWIG%0ac4U+lM1T4ieFND8IReK9S8TaPp/haaKKePXLq/iisnjlx5TidmCFX3LtIOG3DGc1+Uv7Svx%0asn/bL+EHhUWsrT6f4K8CS+K/E0qH5Dq7t9ijhYY+V1cSyr6pIfQ16l8efgh8Q/iN+y5+yv4%0az8EeHbLx7a+CfDVhf6h4OvoxLHfKbC1cMYCy/aABAyGJcu3mgKrbmFAH3NdfH/AMBP8OfFv%0ajXQ/E2l+MdF8L6fcajqJ8M39vfOiQwtMyDZJtDlUO0My59QOawW/av+H1vpfgG4u7jWYb7x%0avo0eu6NpFpoV5qN7LbNEkpLR2cU2GVZF3DJA5wSBmvgf4oftDfCTxV+xp8VYNH+CVn8O/HU%0aepWuiah4UfSIzFp984uvLulAjQRyJbQ3mZDFHIrrsOQFY9Z+zPZLY/HD9k+2TwTa+Dpf+EE%0avbyZtPMDRaqJbCDbqDGIA+ZKAA/mqHDqwy6hXcA+5ND/aM+HniP4N3PxV07xD9o8A28M08u%0ar/YrhdqROUkPlNGJThlIwEyccZrjp/2yfCs83hyXQvBfxM8V6JrSLMuvaN4E1N7K2hYKUmd%0apIUeRGVtwMKS5A9xn5I+B2u6bJ/wSK8UaMuoWraxFoGr3kmnidTcJA99cIkpjzuCMyOobGC%0aUYA5BrzbX9b8U6LpPwa+Gem+MU+EmuP4U0vxHP4h1X4vazBpV3YeSY/skkEkapaTSMgYRwk%0arGoKqSMEAH6WeC/wBpT4eePz4zXStbuYpPBsST+IIdW0m802TTkdJHVpEuYY2HywyNwDgLz%0ajIzwl1+3l8KNP8AgtZ/EW/1VtMF5p51S18K6hc2ltrtxB5rRho7WSdd4YozKVYh1GVJyBXz%0a5418D+Eb/wDZh+PWuaTq/hTwtpetWVu2ueMPCnxBvvGtzez20ivHaTfao4sNIkrRDEwJ85M%0agrXzl8NPiZaeBviTpnjnUfF3ibSxo3gaTVNRvvAM0N1FDBNd28NtodnHema2ktrNLiLIO4p%0aKZFLb4lwAfpx4f/a7+EPiXwHP4ssvHmjTWVpoy67f2NveR3OoWFrtQs09rCzyoyGRFZdpwx%0ax1qbTf2o/A+tada6hp9n43vrC7iSe3urb4f6/JFNGwDK6MtkQykEEEHBBr5s/Zwsb74x+LN%0ac8EftAW2van8UbnwjImtW15Y6HDYyaPPd5gigvdPRbv+6xQyqocuduQpqP8AZ2+H/wAdPhn%0a8N4tE1+1+M2n3cd1KYLDQ9W8JalY2lsCFghhk1GWWdVSNUXZu2gg4HJyAfVHgn9onwN8QPH%0a1x4J0q81a38WQacdXk0nWfD+oaXMLQSLF5wF1BHld7qox15x0OPRJv9ZB/vn/0Fq+aP2fPG%0amj6t8f/ABl4e1jTfGM/xN0rRrZrvVPGuneHkubexdw6W8VzpSgujsyuUcsoKAjacg/S83+s%0ag/3z/wCgtQBjfEDxpZfDjwH4k8W6nFcT6boOm3Oq3MVoqtM8UETSuqBioLFUIAJAzjJHWvO%0a1/ay+HqWPgeS4n1uPUfGWhw+IdK0ez0C91G9e0kjV9zx2cUwUqHAYZIB7kc1ift26cuofsr%0a/EFpPD2g+IIrfSLydv7emMYsSLWYJdW/7ibdco5Ty1/d5LH96mOfzO8XeNx4G+G/wx8TeFo%0aNH8HXSfDK5ih1Lwdfuk0935lrayXM7rBC0d20odZFHmcqP3rg5AB+sPhL9o/wAC+PNL8aXm%0agX1/eyeD0ZtZsbnSbqwurVhG8gjMV1HEdxVG4/MjNcL4u/bp+HHgn4H+CvihqkeqxaR4vmS%0aDS9M2W63zFi25nVphGqIFy7+ZtXcuTlgK+ItH1+K6+D/7WbxWFl8QLzWdS0XTrK5nWO9ga4%0auYDEt75hLLlC5lWUE4YKc45rlfB11oOl/Cr4GzeGvDlt8MvjFpS2+rWXjnxHrlppPhy8tGm%0akSeR99wpuXdDHHMEgM+EVSzRom4A/WLwT8XfAvxLnuoPCHjXw74rmtFV7iPRNVgvGhViQpc%0aRO20Eg4J9K62vhf/AIJ3eK2ufiH8VNL1zTrHxD491G6bXNZ+IPhzXbTV9J1CNp5IraBGgO6%0a0AVWaKCQFyqyM3ljag+29b1NdE0a/1F0MqWlvJcMinBYIpYgflQBTg8Z+H7rxVc+GIdd02b%0axLbW4u59GjvI2vIoCQBK0IO9UJZRuIxyOeapt8TPB6eNV8HN4r0RfFzJ5i6AdRh+3ldm/cL%0afd5mNgLZ29BnpXzl/wTxijl/Z2vvi34ju4pfE3jzUb/AMQa9qkg27VjnliSME9Io0iJVeib%0a2A4r85r79pHwhc/ES9/aEXXpf+Frr8Q47+38NGG4y3h1IfKEPn+X5QcoRGRuB2rnHOKAP2y%0ak8ZeH4fFcXheTXNNTxNLa/bo9Ga7jF49vuK+cIc7zHuVhuxjIIzxWzXx7/wAFCtUt9I+C3g%0ar44+GrmNtZ8D61Y6zpV/GCRcWl0yRTQdv3cyvEWHGQgGRk19hUAFQ23+rb/ff/ANCNTVDbf%0a6tv99//AEI0AZnjHxjonw+8L6n4j8R6nb6Poemwm4u726bakSD9SScAAZJJAAJIFeW/sv8A%0a7Wvgn9rTw9rWq+DodSsf7Iultbqx1hYI7ldybkk2RSyYjbDgMSMmNwPumvnb9tz4bR/E74v%0a+GfDnjT4z3NtpMp/tXSPhrpngHU9WjvEiP7x7hrGcSzHhgTlCiltgTLMeQ8beFIofjh4U+I%0a1r8X5/hB4wvWt/DFvd6d8F9e0qy1dn2pBaXC3czQyfLGqqDjCxKf8AlkhQA+1fEv7SHgXwt%0a48vvBdzc63f+KLG2jvLrTtE8Nanqjwwyfcdja28igH61l6/+1j8PvCmjXer63H4y0fSrRPM%0auL7UPAWvQQQr03PI9kFUcjkmvjv46+Pv+FSftG/GTxN4hs7zxLead4T8NpcReHtcvfDX2me%0aS4SFnSa3keWOPdIW8su/AAJYjdVT9qPX7nwno/wASvhlrvhrVdO1tvAEviWG/j+KWueIrIw%0am7W28t7a9SNC+Q5yVO3CkcngA+3fG37S/gXwBr/gDTNWv5o18aQXV3YXwjAt7e2t7b7TLcX%0aLMQYohHjLlcLkltqqzLyUX7eHwTk+Kk3ghvHWixGPTBqa+Im1ay/seTMgT7OtyJz+/Gd3lk%0aD5RnNfBP7YtzZ2HjvwzHc+OpY7vU/hFNbjS7LT5/O0+COweaKBZoXO77VOkglLooWAMGYo1%0aTeFv2hvH2p/Arw34WvL3xFL4c1Pw7b6U1lF4i0mBTbPJfacY/+RekdBnTrj/lq7BXjO9mLE%0aAH6VePv2ifh98NNN8K3+t6+XtPFcqQ6FJpFjc6n/aTuqsghFrHIX3KylSBhtwxnNc/4n/a7%0a+HHgjQ7nWvETeLtA0a12+fqOqeBNdtreLcwRd8j2QVcsyqMnksB1NfJ3xc+IXhvw7+zn+zZ%0aq3iH4a6fq/hcw6NZ+Gby7+Id5pGo6VcNaLi4nmtrONAkSxLumDjkhhGva74n1H4ceN9DudF%0a8Ra/8Mtf0a62+fp2qftN67c28u1g6743gKthlVhkcFQeooA/Qe3nS6gjmibdFIodWxjIIyD%0aUlYfgqbV5/DNk2uadpulagF2m10jUZNQtlQHCFZ5IYWfK7ScxjBJGT1O5QAUUUUAFFFFABR%0aRRQB85ft2f8kj0j/sOQ/wDpPcV1P7Kn/JvHhP8A37j/ANLZa5b9uz/kkekf9hyH/wBJ7iup%0a/ZU/5N48J/79x/6Wy1+jV/8AkjaH/X+X5M/WcT/yQGH/AOwiX5M9krjfib8W/Dnwh0j+1fE%0ax1aDTVimuJrvTtDvtRitoolDSSTtbQyCFQpzuk2ggNgnacdlXgP7anji/8M/s+fEyxj8Ha3%0arOn3vhPUoZdZsZrBLWyaS3ljHmrNcxzHBYMfLjfg8ZPy1+cn5MT6j+278ItH8M6f4jv9V8R%0aWXh7UTGtnq9z4M1qO0uTIMxiOU2YR9w5XaTntW78S/2l/C/wv8Ahba+PdQ0zxHc6VdX8Omw%0aWQ0eWzv3mlkMag294IHUZBOWxkcjORn4G+PfjHW7n/gnr8D9Kufh94j02ztp/D7Q61dT6cb%0aS7AgbZ5apdtMN4OV8yJOPvba9Z/b18UaNrM3wK1n4ifDm88NaBZeMGuNSuPEtnZXe23ghEg%0atpJbaW4QRXLHb5TP8AP5DFlwgNAH1b8Y/2g/DHwQ1fwNpWuQ6le6n4x1iPRtNtNKthPKGYg%0aPM67gfKj3JuK7m+cYVucX/jf8bfDf7PngGbxj4sGoDQ4Lq3tZpdPsnuTD50qxiSQKPkjXdk%0asSOgVdzsiN+Uf7KngjWbTWPBja/4q0yRl8E30um+Gk8G69rt7ptnqFzKHuFi00RBPOjlcee%0aJ9yrMq7MhWHumh/FfxV8DP2Ehf+H/ABV4P+LXg/RNdbQLZtf8O34a7snmjRIJYZpITC8JL8%0aESqVKICPL3MAfZ/wAdP2lPCfwC8B6H4v1mO+1rRdZ1G202zl0JYp97To7xyAtIimMqhO4E9%0aRgHNd74u8beHfh/o7at4o1/S/DelK6xG+1e8jtYA7fdXfIwXJ7DPNfCX/BT3QLuf4TaDrEH%0axG1nW9Om8eWlqujlNNazsJQtyrCN4rVZt8bKybZZXxyGBI49u/ab8HeMPCn7PfiKaD4z6ha%0avBeWV5c6/4q1GDRltbWOZTLDHcaZZRyBpvljACszFgq8nawBvX/7eX7P2mnUBL8VdAc2N3F%0aZS/Z5Xm3SSDKtHsU+bGM/NLHuRf4mFdvqH7Q/w0sPh3rfjyPxto+q+EdFIXUNV0W5GpRW7E%0aqArfZ/MO794nygE4YHGK/I61ii+KHw38QeJrXXvClhdeJ/GVvrEOk698ZJYNStLSB9gW4hu%0aGVZSAp23ErfaFXBRDxn6G8R+KtD8V/sKftF3nhjwPN4d0K4uYLtfEQ17UtZt/Edw08ST3EN%0axfwxTOEaIRscYLK31IB9qab+1H4H1rTrXUNPs/G99YXcST291bfD/AF+SKaNgGV0ZbIhlII%0aIIOCDUFv8Ate/CK4+E998Sv+Exig8F2V62mzahdWVzA4uRjMKwPEJXf5hwqE4BP8JxyP7P2%0avfGCL4C/DZNP8DeCLqwXw1pot57nxpeQyyR/ZY9rPGukuEYjBKh2APG49T8dfDwyN/wSk+O%0aBlVUlPiG9LqjblB+02mQCQMj3wPpQB9v6r+3R8BdIOq7/idot5/ZlrDe3J0wyXoEcsqwpsM%0aCP5jb3QMibmQNlgo5rufhr8cvB3xb1bxFpfhq+vpdU8PPBHqthqWkXmm3Fo0ys0QeO6ijb5%0alUngHjHqM/l/8AtDXGrwRfHRfEcviaG/k8G+F1R/Ff9l/awn9swMCP7O/cCMBWK7vn4O7tX%0a1f+w9qNjq37Rn7TV3pvjD/hPrGS90Ix+IvOtZftoFpKCd1rHHCdpBT5EH3eeckgH2dUMP8A%0arJ/98f8AoK1NUMP+sn/3x/6CtAE1fMPxP+Neg/HX9mD4ga34bt9QXR7LVV0uG+vIVSHUPJv%0aYUa4tmVm3wlgyhjtbKHKjjP0N4xttKvfCOuW+ukroctjPHflZHjItzGwlw6EOvy7uVIYdQc%0a1+Svwd+FGmax8JvFHxIfw943tll1WObw1azm6j0vQtHDzRWsbyXUgW8DrdSqv2fz2jZUJMY%0akfd7mRf8jbCf9fIf+lI+k4a/wCR3gv+vtP/ANKR9ifsQ/F3wppttL8OLjUZU8Y6jeXGq22n%0aiynZHtlhhVpDMEMS4KEYZweV4+Zc/VniXxFp/hDw5quvavcfZNK0u0lvry42M/lQxoXkbao%0aLHCqTgAk44Br4k/Yu0HxFoPji48Waf4C07xBour7NAvPEVtqCxanpIizMd8MzKklsxmiP7o%0a+buViyuFjAj8WeMvEGq/G/9tvw9e65qV5oGl+BYHsNKnu5HtbRpNH3SGKInbGWYkkqBkkk1%0a3cVf8jzF/43+UT0uNv+Skx3+N/lE+0fAPj3Qvih4O0rxV4Zvv7T0HVIfPs7vyZIvNTJGdki%0aqw5B4IBrmfhp8ffCPxX8X+NvC2iz3cOv+EL77DqVhqFs1tLyAVmjVuWiY7gGwM7c42sjN4r%0a+wNqfxBf9mr4XWp8N+GovCv8AZZC6sPEFw98F3SbWNn9hCZ3YBX7R0ydxPFM+CPxG8TfGDx%0aZ8V/DGu+J9M8CeIdA8Wpo0WveC9LtrO51xoraU7JI78Xgc+XEXAX51WHhtqtn5U+JPZPgp+%0a0H4d+O9341t9AstUs38Ja3NoN8dSijQSTxHDNFskfKccFtp9hVPxl+1v8F/AGpppuu/E/wx%0aaaidSGky2cepRzzW1yWKlZ0jLNAqspDvKFRCPmZa+WP+CfHgXW9R8TfHWW3+IviXS0sPiHe%0ax3ENpb6YyakyuSzz+ZZuys+MHyTGvPyha8b+Pup6jd/tPQ+BPEnxB0LUp4PHU3jJb/Uvidq%0aGm6do+mQ5+zaXKmwR2d1kErJbh5kMnZRvoA/QzwN+1n8GviRq82leHfiX4bv8AVE1F9KSya%0a/SGa5uFwMW6SFWnQ5G2SIMj87WbBp+u/tQ/Dzw/8RdW8By32s6j4u0mGO4vtK0XwzqepyW8%0aUiq6OxtraRdpEic56sAeeK/PX4D6ho3hX4r2+m3nhjSfidr+s/FC41zRLfw18T9Q1ptMgd4%0aU/tKSG3jkt5EiVmJuLx4riRd29FCkj2zwtfeLLD/gp98bn8I6Jo2uXjeGtNE0OtaxLpsaR+%0aTZ/Mrx2twWbOBtKqMEnPGCAfTMf7VPw7/4S3w94Zu7vxBo2t+IZ2tdKttc8J6tpwvJFALKj%0a3FqinGVzzxkZ6is7xR+2t8DfBmqeK9N1n4laLZaj4XlSDVLNndpklbgxxIqk3Dqch1hDmMg%0ahwpBFfPn7SupeN7/APat/ZVHjDw94f0JV8QX32Y6Hr0+pmU7LffvEtlbbMfLjG7OT0xz4x+%0a17/bf/Cb/ALZ32D/hJf7K8nwx9u/sr+y/7Px9ig2fbPtH+k4znb9l5znfxigD7kuv23Pgxb%0aXc0I8Wz3cMN1bWUmoWOiahdWCzXCq0Cfa4oGhy6spX5+QfY17nX4//ABj1nTX8XfFa0/4TT%0a7HfyfEfw6Y/Cvm2i/blSGJXn2PGbg+WRjMbhOfmB4r9gKAIZv8AWQf75/8AQWqaoZv9ZB/v%0an/0FqmoAKKKKAOK+KHxi8M/BvSV1TxU+rW2mCKWeW90/Q77UYbaOMKXed7aGQQqAwOZCoOG%0axna2PP9T/AG2fhLovh/Ste1DUvEdhoerNCmn6nc+C9ajtrxpV3QiGVrMLIXXlQpO4cjNY/w%0aC3V43v/Dv7OvxJ05PB2t6rp154au45dds5rBbOzaRHjAlWW5SY4JUny4n4YYycgfI/7QvjX%0aW7v9iL9nDTLn4eeJNLtrG/8L+Vqt3Pppt70pYsqrEsd40qmQfMvmxxgD7+w8UAfdnjL9p7w%0aP4As/A1/4gbWdG0vxfqbaTZ3+qaNdWMVrOFcr9rFwkb24do9q71BbO8Dy1d1xrz9tT4Uacf%0aEP2nUfEcA8O7f7ZZ/BmtAaaGXcpuD9jxECvzAvjI5HFct8e/jX4u8MN8Hr6TwbZaRpviL4g%0aaX4ZvND8Y2MF3ewmZ2ZL23ntL2SGNkEbBQwZtxDfLtw35m+GfBVj8U9V+EmueLbvUdf1nxN%0aqur22q3+oeGvEeqT3Edv5hhUywXa/bQuxcJZ+W0WB5hYKaAP1v1H9rT4V6R8INL+KN54mlg%0a8C6pci0s9UbSr3M0pZ1AEPk+bgmN8MUwcdeRmS//AGoPBOlWNze3tj44s7O2jaae4uPh9r6%0aRxRqCWdmNlhVABJJ4AFfnb8VPFmveNP8AglZ4F1bxBrOoeIdYl8aFHvtWupZ55At1eKgZ5C%0az4AAAyTgADtX3P8atf+MUnwc8eJe+BPA9vZtoN+J5rfxreSyJH9nk3MqHSVDMBkhSygnjI6%0a0AdVqX7WPwl0b4b+G/H2oeNbLT/AAn4imFvpeoXcU0RuXLlDiNkEiqCp3MyhVHLEDmsaf8A%0abi+Bsd7dWdr8QrHWbuC/ttL+z6HbXGpST3NwpMKQLbxuZ92Cu6LcobCEhiAfj698/wD4de/%0aA37L9q+0/8JJpnlfYfK8/f/aM23y/N/d784x5ny5xu4zXB+N7+6074h+K5vE+ua54au1+M3%0agprrWfEj6Wl/YAWNwxuJWtlaxUxou8HaYwqrvBO4EA/T34W/GHwp8ZtL1bUPCWoXF9BpOpT%0aaPfpd6fc2M1teRKjSwvFcRxuGUSLn5eCSOoIHaV8jf8E47m3vfC/wAcLi01r/hJLWX4ra5J%0aDrW+F/t6FLYrcboVWI+YMPmNVQ7vlAGBX1zQAUUUUAQ23+rb/ff/ANCNTVDbf6tv99//AEI%0a1NQAUUVn+IJ2ttC1CVdKm10rA5/sy38rzLv5T+6XznSPLdPnZV55IFAHG+GP2gPCGvfHPW/%0ahXHPeWni/SLKPUGt760eCO7hfIZrdmx5oQ7dxAx8w2ltr7fWq+NdE0/wACeE/j/wDB2x079%0an5PhTr2o6vfm11Q6doULTRx6RfGWMNY3UsuPmQnKhemTnGfsqgAr4k/bZ/5KzpP/YEh/wDR%0a89fbdfEn7bP/ACVnSf8AsCQ/+j56APC4OlWo+n41Vg6Vaj6fjQBLRRRQAUUUUAFFFFABRRR%0aQAUUUUAFFFFABRRRQAUUUUAFFFFABRRRQAUUUUAFFFFABRRRQAUUUUAFFFFABRRRQAUUUUA%0aFFFFABRRRQAUUUUAFFFFABRRRQBHJ9+L/e/oakqOT78X+9/Q1JQAUUUUAFFFFABRRRQAUUU%0aUAFFFFAHAfE3wbbeJ5bJ5NB1DWbiBlliMN3CkClTnY6ytgK3G4ohJAHXAFcXe/AzUZIdUlO%0aneHZRqcpkls7ZDBJZov+rS2uDGwBOBuzEAefXI9zopWsO5weo+Dr3xVrHgzVLhDptto7PLN%0ap9wVebftAQ70ZlOCoPbgnvwK1z4K1+08V+L9WsE025j1uCG3iS4upIjEFiKMzYibPOMAdR3%0aFei0U3rf5/juJe7a3S34bHkl98PNYsvBPgrw1bW/22XT7+C6urxJEWGMK7M/3mDn73GFOQO%0acdKwdS+GXi+60vxCy2lr5N3ro1SGxEoNy48w5y+4Rj5cEDPOTyCMH3mind35uv/AAU/0QrK%0a1v66/wCbPLLT4e614miS81+5uUNtrU+qWuk3U6upTH7mN3UsFAIzhdwALDBzxqWfww/thdU%0avfFVwmoaxqUIgL2uVjsogdypBnnhgG3HkkDjrnv6KVtLf10/HRD8zB0XSb+fQn03xMtjq23%0a90ZQm5bqMfdaSNhhWPGQCwzyD2HMeIPh3DPFe22l+CvCapJGyQ3cxEciErjcUW2YDBPZu3U%0aV6LRSa5txrTY574feF28F+DdL0aSZZ5bWMh5EGFLFixx7ZJGa6Giiqbu7slKysjD8a+Gv8A%0ahMPC2oaN9p+yfa0Cef5e/Z8wOduRnp61tRpsjVc5wAM06ikMwfDHhf8A4Ru41uX7T9o/tO/%0ae+x5e3y9yqNvU5+71469KxfD3gnXfDKXYs9Z0qSS6ne4nubjSZGmlZmJ+dhcjOM4HAwBXcU%0aULQP8AhzkL/wAE3/8Aa+qXuk6yumrq0aLeRva+cdyrsEkR3rsbbxyGHAOKr3/w4dbvw++lX%0alpbWuiwGK2tL+za5jD8Yl4lT5wBgE56k9a7eijb+vX/ADYf1+X+SMUWOvtYMr6vYi+EgaOW%0aLT2WErjBV4zMzHucq68gdsg5a/D6PUINdOtXh1C71mBba4lgi8hI4lDbVjUliuNxOSzZPtx%0aXXUUrXDY5TSfB18mpabe61qyatJpkRjsxHa+RhmXa0snztvcrxxtAy3HPBq3hDUvEGy01PW%0aYp9GWdJ2t4rPy55QjbkSSTeVK5AztRScDkc56uiqvrf+u4rdDnte0PWdW+029vrUVnp10uy%0aRDZeZOikYYRybwq5GcFkcgknkYAfqXhKC68Ez+G7WQ2ls9kbGOQrvMa7NoOMjOB7it6ipaT%0aVir2aZzmveDxrWg2Fkl41peae8U9reIm7ZLGMBihPIIyCuehPPeqjfD9NVTWX127GoXmqWw%0as5JLaIwJDCM4WNSzkHcSxJY5PsMV11FN6tt9f1EtLW6HJ6V4Nvl1LTbzWtXTVpNMiMdmI7X%0ayMMy7Wlk+dt7leONoGW454p+F/BWveE7Jra11rSpfMlaee4m0mQz3DsxLM7i5GW5xnHQCu4%0aop31v8A13FbSxz/AIi0HVdbWe1h1lLLTblAkyLa7rhVPDCOXeAuR3ZGIJJB6AbNjZQ6bZW9%0apbRiK3gjWKNB0VVGAPyFT0UhhUUnT8alqKTp+NAFWfpXun7E3/JWdW/7Ak3/AKPgrwufpXu%0an7E3/ACVnVv8AsCTf+j4KAPtuiiigDHl/4/br/fH/AKAtcR8bPhkvxm+E/ijwQ+s3mgJrlk%0a9m2oWKo0kQbr8rAhlP3WHBKlgGUkMO3l/4/br/AHx/6AtFTKKmnGWzKjJwakt0eDfFP9m/W%0a/GXwKtPhH4a8W6Z4Y8IjRYdEunu9Ckvrx4o1RVaKQXcSRkqmDuR+ucivTPBHwq8L/D6GxbS%0aNGsotTttMttIbWDbRi+uLaCNUiSWYKGcAIOCcegFdbRWjk25Se8nd+uv+b+8zUUlGK2Ssvw%0a/yWpzHjfT/Gd/HaDwfr+haE6lvtLa3oc2pCQcbdgivLfZjnOS2cjpjnz/AOBn7Pd58LPHvx%0aH8ca94nj8T+KvG91bTXklnpxsLO3igjKRRxQtNM3G5ss0hyNowMEn2eipXuu631X32v+SKf%0avLle2j+69vzCobb/Vt/vv8A+hGpqhtv9W3++/8A6EaAPn74wfBfx58Q/ixp3iXw5b+EvB2o%0a6XZXOnaf46uby91PU7WCaEhvK00LBbB97HDySygAZ254Hlh/4J0XPgHw9oml+CfHd74m0DS%0adTj10eD/iBI8thPqEbExzQ3Fp5UtoRvmJwsyOzKXR9vP21RQB8V/tPfsPeNv2mvije+ILvx%0aZpHhzRbjQdO0MWUUc11KsS3oub1Qf3YBJClJOrhNjKgO8Y+o/8E6tc8T+PNNTxP4uPiHwr9%0at17VdX1aW+lh1G8n1GzjtUhhtY4hDbRQrEnSVg4G3YiBUX7sooA+e/E3wq+NF98NtF+Guh+%0aPNJ0rTYtFj03VPiDdRTXOuXLrGEYw2g2RwswBBma4kcBiQN4D1x3hr9hj/hnjWtK8T/ALXk%0a0HWrXTBpmqaN4n33OneIowxYSXLxgPBOGO4TRKQNoUR7WcN9a0UAeH/Ej4M+J/jGNIufEen%0afCtzaQHbpniTwhL4n+xzOR5vk3T3NrlWCR5/cIflGc4GPGfAf/AATq/wCEE1jxVqH2n4U+I%0af7f1BtQ+y698L/tUGnZJPkWi/2iPKhGeE56DmvtaigDB8C6Jf8AhrwjpelalNpM11ZReQDo%0aWmNp1kkakiJIrZppjGqxhFx5hHykjaCFGxD/AKyf/fH/AKCtTVDD/rJ/98f+grQB8/fGD4L%0a+PPiH8WNO8S+HLfwl4O1HS7K507T/AB1c3l7qep2sE0JDeVpoWC2D72OHkllAAztzwPLD/w%0aAE6LnwD4e0TS/BPju98TaBpOpx66PB/wAQJHlsJ9QjYmOaG4tPKltCN8xOFmR2ZS6Pt5+2q%0aKAPiv8Aae/Ye8bftNfFG98QXfizSPDmi3Gg6doYsoo5rqVYlvRc3qg/uwCSFKSdXCbGVAd4%0ax9R/4J1a54n8eaanifxcfEPhX7br2q6vq0t9LDqN5PqNnHapDDaxxCG2ihWJOkrBwNuxECo%0av3ZRQB8o/E/8AY28X/ED4XaZ4Sk+Kdy7CLSNN1m4isEsn1uytyqXLXcyF55ZTG0xjUyeVyF%0adSxMw8nvf+CYUtz4QW6L+EJvF8TMxtJdPP2W6I1LULgNJdeWZAWt7y3jb9y2PsiL8y7Sv6D%0aUUAcL8CvAN58K/gv4G8HahcQXd/oWjWmnXE9tnynkjiVWKbgCVyDgkAkdh0ry/45fs5/EP9%0aofwLfeBvFfxH8PWnhLUbq3lvY9C8JT297JDFOkojWaXUZUUkovzGJhkA7e1fRVFAEdvAlrB%0aHDEu2KNQirnOABgCpKKKACiiigAooooAKhb/j7j/3G/mtTVC3/H3H/uN/NaAPH/2m/glq/w%0aAd9M8CaPZX9lZaRpfiuw1vWUu9++5tLcszQx7QRuZiv3sAYznjBZ4w+A+reM/2oPAPxK1DX%0a7eXw14Q0y/jsdCFsyyR31wqxmcybiJA0ZcchdhjjwG3MV9pooA+R/h5+xRq8HwF8LfDnxfr%0a+npa6Z4zbxPqMGmRPcw6nbrcvPHaF5BGYwzMhdtrfcIHXNc9Zf8ABLDwLc+E9P0zXfE15da%0ahZ382oDUNM0LSbdp5HmldBM81rPPKirKEMbzNG3lqdgwMfbNFAHyL8J/+CeGieB/g/wDEL4%0afa94rl1XT/ABnFp9vdXGhaZHpTQR2kSIjKrPOplkKF5HP3mdjgE5rY8Bf8E9vAvg3xl4R8Q%0a6p4w8fePn8IYbQNN8Xa4t5ZaY6+XseCNYk2FfKjwoO35Fyp2rj6iooA+d/ib+w54G+IHxGu%0aPHuj694v+GXjC9ieHUtW8B6ydNl1JG8s4myjjgxKfkC7jy+4hSO4/Z9/Z38Lfs2+D7vQPDM%0a+qagb++l1LUNU1u7NzeX1zIeZZWAVc7Qq/Kq5CgnLFmPqFFAEK/8AH3J/uL/Nq8W+Ov7PF5%0a8a/ij8K9cuddNp4X8JXd5d3uk27S29xdSy25SGaO4jcNG8bhcbdrAO5Dhgte0r/wAfcn+4v%0a82qagD4p+Kf7AWpeOW1bQ/D2tWPgjwTpVz/AMJD4bsre4ub+61LxE+1pdQ1aa43MwXaYlVW%0akYrIWLLt8tvWPgv+zLbaTo2uXvxR0nw74t8S6t4h1fW4opYf7RttGhvpCXs7WS4jVhGycvi%0aOMO0j5U9T79RQB8qeD/2F/CmhftM+NPG174I8CT+BNR0yzt9H0RNJiZrG6iC+bKIDAIoyxB%0aO5GLHPOK+lNA8IaF4Uk1N9E0XTtHfU7t9Qv2sLSOA3dy/355SgG+RsDLtknua16KAPBf8Ah%0aQviD/htj/hcP2zTf+EZ/wCEN/4R37J5sn2z7R9p83ds2bPL28Z35z/D3r2jWfDWj+I2sW1b%0aSrHVGsLlLy0N7bpMbedDlJY9wOx1PIYYI7GtKigD5Pi/Yt8VeG/BvxY8E+EviZp2leDviFq%0aF9qF1ban4YkvL2yN3Esc6RXCXsSkFVAG6I4Hqck/SHw+8Ir4B8C+H/DS6je6uNJsIbL+0NR%0amMtxcmNApkkYk5ZiMnsM4GBgV0FFABRRRQAUUUUAFFFFABRRRQAUUUUAQ3f/HpN/uN/Kpqh%0au/+PSb/AHG/lU1AHz/4a/Yk+Hnhz4E+MfhM0ur6r4Z8UX1xqN1LqE0L3NvcSiMCSFliVVMb%0aRI6blbDDncOKs+DP2PvDHg3xf8M/Ev8AwknifWdT+H2lT6NpLanc2zLJbSo6BZtkCFiiPtU%0aqV4Vc7uSfd6KAPnDw/wDsE/DPwr4G+KvhTSX1iw0z4jXHnam0M8IktUDs8cFt+6wkaF3Chw%0a5AY5JrT8Y/sd6F4p8M/D7R9P8AHfj7wW/grRhoNjqfhTWlsLu6tAkC7LhxEQ//AB7Rt8oUb%0asnHQD3yigD5nT9hrwh4R+CHxK8KeGWuta8W+L7G+M/ibxfetdXV3fy21zFDNcSqnRPtUnKx%0a5+Ythn5MX7Ov7L/ijwD4/wBE8WeOdT0q8uPDPgfS/BWg2ejyySRxRQwx/a55GkjQl3mRtmB%0axGeeTx9O0UAfnJ4H/AOCc3xS0L4U6/wCC73xJ4WtP7R0my8NLfWNzcys2njV7nULuUq8C7Z%0aSsyxpHllPzZdeDXv8A8Hv2a/F/wg8Y/ET4i3N3ofjfx9rjw6Zo9tLcTaVp+n6NAVWK3Vliu%0aHjOxUJG2TJiTLks7t9OUUAfMXwW/ZV1vwZ8IfiLoXiSXwnfeIfG/iq68S3MF7pr61pFr5k0%0aTpEYZTAZygi3KxCbXZThggDcD+05+w/8QPjHqerT6Z43ttdN34PPh9L/AMVvHBc+edUt7sb%0alsrNI/KEcLAELu3EAgjkfbdFAHyN8Hv2JJfBfxm8Ua54p0r4dar4K1rwzbaO+h6F4dNhbSz%0axzpKXlspGmjblAfM8wkkKdi4zXqHir9kv4Y3miTxeG/hh8MdJ1clfKu9V8E2t9boNw3boUa%0aFmyuQMSDBIPOMH2migDwb4CfsuJ8HviN4w8cX+sadqOta/bWmnw2Wg6N/ZGmabZ28aokMFt%0a50xGSoJJf6Ac59zm/wBZB/vn/wBBapqhm/1kH++f/QWoA8o/an+E3iD46/B+98B6FqVnpEO%0at3lpBq19dF/Mi04TK9x5AVWDTFU2qrYU7jll4I8b+K37Cj/EefX/Ceky6V4F+FF5Mdak0nS%0abi5luta1k2/lrPdB8JbwoyxEpDuMpQu5DFdv2DRQB8qfAf9nn4teDfAniPwx4z8RaJNox8I%0aWPhvRNF029mu7WK4gt3ie7dpbeNoi7FTtQNx1JKKTzPgf8AY8+J/gnUvgHf6X4k8Jaff/D/%0aAMPX+kahcXltdahFJJOTgwwq1uXXBwS0kZB52t0r7RooA+fP2efgP42+Gfxs+NHjfxjrWga%0az/wAJvLpL2smh209rt+ywyxv5kErSeXnzEwBNJnBJK5C19AyRrLGyOodGBVlYZBB6ginUUA%0afJvwQ/Zt8TeEfhX8Rf2fvEQ1W0+HMs10PDni7R762WY6bdPvks2Rt0iTKzyhnaMqwkbBXC5%0a9cT9mvwcn7OZ+CpW7fwh/ZB0jzWeP7VtIz5+4Js84P+83bNu8Z244r1aigD5I+LP7MviDxL%0a4Q+EXwM0WLU9R+F2h3dvea94o1u8tTO9nasTBp6JHsdnOFXcIgqqkfzMdwr63oooAKhtv9W%0a3++//AKEamqG2/wBW3++//oRoA+evjB8AvHvi/wDae+H/AMTfCGveHNFtvDuj3mnTnW7O4v%0aXLzbgCtvHJCGGG6mZcdcN0OP8AHf8AZ5+MHxkb4dRX/jPwRqFj4b8Zad4kuILbw/eaXK0dv%0a5m7ZKby6DNiQgIUQEnPmLtw31HRQB8qfE39ij/hdPxl+JOr+KtVNr4K8V6LpdhGujXJj1KO%0aa0nWbJ3wtGqEoBkEnGfu9aofH/8AYvfxdp+v2/gTRbOfXNe0I6BceLvGfjjWb27srVrhZWi%0ajt5kuVkTK7h+8jwzH1OfrqigD5h+OH7IWufFDwRb+GtL8ePoemsuk6dqFnZ2SWo1LT7cqlw%0aLmdAZpZDG0xjTcIRkIyZPnL4ve/wDBMKW58ILdF/CE3i+JmY2kunn7LdEalqFwGkuvLMgLW%0a95bxt+5bH2RF+ZdpX9BqKAOF+BXgG8+FfwX8DeDtQuILu/0LRrTTrie2z5TyRxKrFNwBK5B%0awSASOw6V5X8bv2bPH/7RXgz/AIQvxr8RvD0PhK4vra5v4PD/AITuLS8niilDmJZpdRmRCcf%0aeMTYIBwcYP0dRQAUUUUAFFFFABRRRQAUUUUAfOX7dn/JI9I/7DkP/AKT3FdT+yp/ybx4T/w%0aB+4/8AS2WuW/bs/wCSR6R/2HIf/Se4rqf2VP8Ak3jwn/v3H/pbLX6NX/5I2h/1/l+TP1nE/%0awDJAYf/ALCJfkz2Svnv9rz9n3xx+0nomh+DtI8a2nhXwHdXSt4mgS0Zr66gT51WGTcVwXVA%0aUKr/AHizAeW30JRX5yfkx86/tZ/szal8Zfgh4Y8A+Bn0rRYtD1bT7mCLUZZUgjtbZWQRqUS%0aRiQpUAEduTWx+1L8DvEv7RmjaF4Gh1qz0L4eXd4tz4qkTe2o3kMTpJFa2427FV3XLyM2V2p%0ahWG5T7lRQB8WfCP9h7x/8AAT42S+IvBPxB0ybw6nhddAtpvGFncaveIouRKsKxRTWypEiqq%0aqRK2AuNnOVs+B/2DNQ1H9k67+D3j/xFbQSXfiY63cXvhzdIkkH2lJWiHnIpVmQOoPOxirfv%0aApVvsqigD55+O/7HGg/FX4K+EPhn4YvrfwBoPhrVrXUrSO2sPtSbYVlHl7TIh3OZSzSFmYt%0akncWJr0T43/D6H4i+DZdMbwX4d8bTSLLb/ZPEV/JYJDDNC8MzxXMVvPJFIY3ZMoqnDH5h39%0aCooA+SNO/Y38cy6loviqL4mW3gPxb4d0GDw74YsfDWjJf6Zotihw8Mn24vLes0YRPOzA3y5%0a287an1b9lnxfc/sdeL/AIGabZ+D9DRleDQbvTby/FrLG94blmniuBPLA3J+UTXAJY4KgAD6%0awooA8J+Gvw0+Nfgb4c+FfDf/AAn3gGP+x9KtdP2f8Ibe3G3yoVjx5v8Aakfmfd+/5aZ67Vz%0ageL+FP2FPGdt+yJ4i+Emsax4POvax4ll1P+1pNMbUoLW2mZElkgSZUMVyIvN2MMlScB1LeY%0an29RQB8I+M/wDgmZHqvxCguNE1fw5Y+CXvNGuruzbw1aW2plbViLmOG5tYoliEqhHOE+Zzy%0aFCjd7v+z98G/Fvgn4qfF/x74u/sWzu/HN5p80Ol6JfTXsdolrbmL5ppIICxYsTgRgADqc8e%0a70UAFQw/6yf/AHx/6CtTVDD/AKyf/fH/AKCtADNTjvJdOuk0+eC1v2icW89zCZoo5MHazxq%0a6F1BwSodSRxuHUfOX7RPgjxTpXwO8T6jr3xF1XXpma1km0yHTrG000E3CDZEgha4SMFlYB7%0aiRsxrlyCwb6WryH9rX/k33xV/26f8ApXDXuZF/yNsJ/wBfIf8ApSPpOGv+R3gv+vtP/wBKR%0a5F+wxo+rppfiLUrbRPDsen3DtajX2d/7VE6KjLA8YiAktgJA4/fKVYyfKd24S3f7G/xAvPG%0a/wAWfFL/ABR8NDUPiXpEejavGvgy48qCFLX7MGtx/amVfZzly43dscV1P7Cf/JI9X/7Dk3/%0apPb19G13cVf8AI8xf+N/lE9Ljb/kpMd/jf5RPCPgb8EviT8EfBPhPwZb/ABA8K6r4Y0JY7c%0arL4PuY72eAPudfOGplFcgsA/lEA4JVsYM3wl/ZI8IfCr4v+PfiYpfWvF3inUZrxb68iUHTo%0aJMFreHHHLbsvwxG1T0Jb3GivlT4k8W/Zx/Zx/4Z+vviPc/8JD/b3/CYeJLjxBt+xfZvsnmk%0anyc+Y+/GfvfLn0Feb+J/2S9Z8Uar4s07w/oXgn4Q+H/EelyaFqeq+HZ7rUb6907zgRBDaNF%0abWtiXjaffIBOcycAn56+saKAPl3wZ+yx4v+FfxI8H6/p3iHRviBpfh22XQdMi8S28mm6lo2%0aj+UIzFDcWf7i5ZSqnE1qGYZHmp1qOH9m34n6N+2D8Qvi14b8T+EtH0fxHpNpp8MWq6Zdanc%0aAxRwK26JJrZU+aEkMJX4wNozkfU1FAHyz8SP2cvix8Rvjb8GfGGteLfBuq6V4I1S4vriGw0%0aa70qcpIsYIQNc3Syk+X0Jixjq2fl4v4jf8E75vHt/wDF3XxqnhKw8R+IdQgvPDaweErE2tk%0asD+aouTJDJIzzOzLNIjfOPmZXU+Sv21RQB8Kf8MF+MtM+H1z4N0+98JmHW/H0fi3VdWtvO0%0a+Kytopk8q2s9PSKRMCJSQhmQKSE3MAGH3XRRQBDN/rIP8AfP8A6C1TVDN/rIP98/8AoLVNQ%0aAUUUUAfO/7W/wCzt41/aXt/DnhKy8aWvhn4bS3Ql8UWUVqxv7yOM740ik3FSpdUG0hdp+cm%0aTaI6d+1j+zdqvxo+F3gfwl4Ml0rSIvDniLTtTEeoSSRxLaW0cieXGURyWwygAgDg5Ir6Goo%0aA8N/aN+AGvfHzXvAkUHipfCuheF79vEUU9rapPeHWIQBYOFkUxmGMvMzqeX+VeM7l8+tf2J%0atY0/QPC+jWPiDwbptl4XnvLnRmsNB122nspbrd9odJ49fWTLbm6scZ+XFfWdFAHxn8Zf2IP%0aE/ij9lLS/hH4T1PwlZTab4gj1W1dLO+sLSOAeY7q3m3F7NJKZJXbcXAIYDC7cn13x58PPjX%0a4u8DeItC/wCE+8Av/amnXNlt/wCEMvYc+ZEyY8z+1X2fe+9sfHXa2MH2+igD40f9hnXvEP7%0aL3wl+FOtar4Yt7rw1fCTWNTGkpqUv2fznmZLGS4jxGzkRKxaPDLkHKgpJjRf8E8NQ8PfG+0%0a8YaLfeEz4Z0nxK3ifTdEi0SHS7vzFtj5Fs93bRfLAlwsYCCNsIXf5nyG+5KKAPE/2WPg14i%0a+D2j/EOTxRNpbar4v8AGup+LDbaRcSXEFol15e2DzZIomkK+Xy2xc56V7ZRRQAUUUUAQ23+%0arb/ff/0I1NUNt/q2/wB9/wD0I1NQAVT1mXUINJvJNKtba91NYmNtbXly1vDLJj5VeVY5Cik%0a9WCMR/dPSrlFAHiHwe+AGuRfEtPil8Vtcs/FXxHW2az0630qF4dJ8P2zr+8is0cl3dyW33E%0amHZSFCqAd30PWbZ/8AHwn4/wAq0qACviT9tn/krOk/9gSH/wBHz19t18Sfts/8lZ0n/sCQ/%0awDo+egDwuDpVqPp+NVYOlWo+n40AS0UUUAFFFFABRRRQAUUUUAFFFFABRRRQAUUUUAFFFFA%0aBRRRQAUUUUAFFFFABRRRQAUUUUAFFFFABRRRQAUUUUAFFFFABRRRQAUUUUAFFFFABRRRQAU%0aUUUARyffi/wB7+hqSo5Pvxf739DUlABRRRQAUUUUAFFFFABRRRQAUUUUAFFFFABRRRQAUUU%0aUAFFFFABRRRQAUUUUAFFFFABRRRQAUUUUAFFFFABRRRQAUUUUAFFFFABRRRQAUUUUAFRSdP%0axqWopOn40AVZ+le6fsTf8lZ1b/sCTf+j4K8Ln6V7p+xN/yVnVv+wJN/6PgoA+26KKKAMiVJ%0aWvboxwvIN45UqP4F9SKTyrj/AJ9ZP++k/wDiqv2v+vvP+uo/9AWrNAGP5Vx/z6yf99J/8VR%0a5Vx/z6yf99J/8VWxRQBj+Vcf8+sn/AH0n/wAVR5Vx/wA+sn/fSf8AxVbFFAGP5Vx/z6yf99%0aJ/8VUVrFOY2xbSMN78hl/vH3rdqtYf6hv+usn/AKG1AFDyrj/n1k/76T/4qjyrj/n1k/76T%0a/4qtiigDH8q4/59ZP8AvpP/AIqjyrj/AJ9ZP++k/wDiq2KKAMfyrj/n1k/76T/4qvNP2kfE%0aOseD/gp4m1XS3m0++ijhjS5Rl3RiSeONiOSQdrkAjkHkdK9jrxv9sD/k3Txb/wBun/pXDXs%0a5LCNTM8LCaunUhdPZ+8j6Dh6nCrnODp1EnF1YJp6prmWjR8WfCj9mrxb8aPD11rmiXOmR2s%0aN21pJ9undJDIERycBG4xIOc+tdp/wwd8Rv+f3QP/AuX/41Xtv7An/JHdY/7D03/pPb19LV+%0alZ7xnm+X5niMJQlHkhKyvBN2sut/M/XuJfEHPcrzjFYHDSgqdOTSvBN2tHrfXc/Pz/hg74j%0af8/ugf8AgXL/APGqav7CXxEdnC32gEodrf6XLwcA/wDPL0Ir9BarWv8Ar7z/AK6j/wBAWvC%0a/1/zz+aH/AIAv8z5r/iKHEn88P/Ba/wDkj4F/4YO+I3/P7oH/AIFy/wDxqj/hg74jf8/ugf%0a8AgXL/APGq/QOij/X/ADz+aH/gC/zD/iKHEn88P/Ba/wDkj8/P+GDviN/z+6B/4Fy//GqP+%0aGDviN/z+6B/4Fy//Gq/QOij/X/PP5of+AL/ADD/AIihxJ/PD/wWv/kj8/P+GDviN/z+6B/4%0aFy//ABqj/hg74jf8/ugf+Bcv/wAar9A6KP8AX/PP5of+AL/MP+IocSfzw/8ABa/+SPz8/wC%0aGDviN/wA/ugf+Bcv/AMao/wCGDviN/wA/ugf+Bcv/AMar9A6KP9f88/mh/wCAL/MP+IocSf%0azw/wDBa/8Akj8/P+GDviN/z+6B/wCBcv8A8ao/4YO+I3/P7oH/AIFy/wDxqv0Doo/1/wA8/%0amh/4Av8w/4ihxJ/PD/wWv8A5I/Pz/hg74jf8/ugf+Bcv/xqj/hg74jf8/ugf+Bcv/xqv0Do%0ao/1/zz+aH/gC/wAw/wCIocSfzw/8Fr/5I/Pz/hg74jf8/ugf+Bcv/wAao/4YO+I3/P7oH/g%0aXL/8AGq/QOij/AF/zz+aH/gC/zD/iKHEn88P/AAWv/kj8/P8Ahg74jf8AP7oH/gXL/wDGqa%0af2EviIJFjN9oG9gWA+1y9BjP8Ayy9xX6C1Wk/5CEH/AFyk/mlH+v8Ann80P/AF/mH/ABFDi%0aT+eH/gtf/JHwL/wwd8Rv+f3QP8AwLl/+NUf8MHfEb/n90D/AMC5f/jVfoHRR/r/AJ5/ND/w%0aBf5h/wARQ4k/nh/4LX/yR+ZHxX/Zq8W/Bfw9a65rdzpklrNdraR/YZ3eQSFHcHBReMRnnPp%0aX2p+zd4h1jxh8FPDOq6o82oX0sc0b3Lsu6QRzyRqTyCTtQAk8k8nrXGft9/8AJHdH/wCw9D%0a/6T3Fdl+x//wAm6eEv+3v/ANK5q9PO8xrZzwxQx2Ls6ntXG6SWiT06/PXXQ9jiPNcRn/B2H%0azHHKLq+3lG6ilok9Ou/XXWy7HpnlXH/AD6yf99J/wDFUeVcf8+sn/fSf/FVsUV+TH4cY/lX%0aH/PrJ/30n/xVHlXH/PrJ/wB9J/8AFVsUUAYSxT/a5B9mkzsXI3Lxy3vUvlXH/PrJ/wB9J/8%0aAFVfj/wCQhP8A9co/5vVmgDH8q4/59ZP++k/+Ko8q4/59ZP8AvpP/AIqtiigDH8q4/wCfWT%0a/vpP8A4qjyrj/n1k/76T/4qtiigDH8q4/59ZP++k/+Ko8q4/59ZP8AvpP/AIqtiigDH8q4/%0awCfWT/vpP8A4qjyrj/n1k/76T/4qtiigDH8q4/59ZP++k/+Ko8q4/59ZP8AvpP/AIqtiigD%0aH8q4/wCfWT/vpP8A4qjyrj/n1k/76T/4qtiigDH8q4/59ZP++k/+Ko8q4/59ZP8AvpP/AIq%0atiigDH8q4/wCfWT/vpP8A4qjyrj/n1k/76T/4qtiigDH8q4/59ZP++k/+Ko8q4/59ZP8Avp%0aP/AIqtiigDCu4pxaTE20ijY2SWXjj61L5Vx/z6yf8AfSf/ABVX9R/5B91/1yb+RqzQBj+Vc%0af8APrJ/30n/AMVR5Vx/z6yf99J/8VWxRQBj+Vcf8+sn/fSf/FUeVcf8+sn/AH0n/wAVWxRQ%0aBj+Vcf8APrJ/30n/AMVR5Vx/z6yf99J/8VWxRQBj+Vcf8+sn/fSf/FUeVcf8+sn/AH0n/wA%0aVWxRQBj+Vcf8APrJ/30n/AMVR5Vx/z6yf99J/8VWxRQBj+Vcf8+sn/fSf/FUeVcf8+sn/AH%0a0n/wAVWxRQBj+Vcf8APrJ/30n/AMVUU0U4kt820gO84G5eflb3rdqtdf6+z/66n/0BqAKHl%0aXH/AD6yf99J/wDFUeVcf8+sn/fSf/FVsUUAY/lXH/PrJ/30n/xVHlXH/PrJ/wB9J/8AFVsU%0aUAY/lXH/AD6yf99J/wDFUeVcf8+sn/fSf/FVsUUAY/lXH/PrJ/30n/xVHlXH/PrJ/wB9J/8%0aAFVsUUAY/lXH/AD6yf99J/wDFUeVcf8+sn/fSf/FVsUUAY/lXH/PrJ/30n/xVRWsU5jbFtI%0aw3vyGX+8fet2q1h/qG/wCusn/obUAUPKuP+fWT/vpP/iqPKuP+fWT/AL6T/wCKrYooAx/Ku%0aP8An1k/76T/AOKo8q4/59ZP++k/+KrYooAx/KuP+fWT/vpP/iqPKuP+fWT/AL6T/wCKrYoo%0aAx/KuP8An1k/76T/AOKo8q4/59ZP++k/+KrYooAx/KuP+fWT/vpP/iqPKuP+fWT/AL6T/wC%0aKrYooAx/KuP8An1k/76T/AOKo8q4/59ZP++k/+KrYooAx/KuP+fWT/vpP/iqPKuP+fWT/AL%0a6T/wCKrYooAx/KuP8An1k/76T/AOKo8q4/59ZP++k/+KrYooA+Wv27UlX4R6QZIXjH9uQ8s%0aVP/AC73HoTXVfsqJKf2ePCZELsm+4wwK4P+my++axP2+/8Akjuj/wDYeh/9J7iup/ZN/wCT%0abvCH/XWf/wBL5a/Rq/8AyRtD/r/L8mfrOJ/5IDD/APYRL8meq+Vcf8+sn/fSf/FUeVcf8+s%0an/fSf/FVsUV+cn5MY/lXH/PrJ/wB9J/8AFUeVcf8APrJ/30n/AMVWxRQBj+Vcf8+sn/fSf/%0aFUeVcf8+sn/fSf/FVsUUAY/lXH/PrJ/wB9J/8AFUeVcf8APrJ/30n/AMVWxRQBj+Vcf8+sn%0a/fSf/FUeVcf8+sn/fSf/FVsUUAY/lXH/PrJ/wB9J/8AFUeVcf8APrJ/30n/AMVWxRQBj+Vc%0af8+sn/fSf/FUeVcf8+sn/fSf/FVsUUAY/lXH/PrJ/wB9J/8AFVFDFOZLjFtITvGRuXj5V96%0a3arWv+vvP+uo/9AWgCh5Vx/z6yf8AfSf/ABVeQ/taxzL+z54qL27ov+iZYlcD/S4fQ17tXj%0af7YH/Juni3/t0/9K4a9zIv+RthP+vkP/SkfScNf8jvBf8AX2n/AOlI8+/YSSVvhHq5jheQf%0a25NypUf8u9v6kV9G+Vcf8+sn/fSf/FV4D+wJ/yR3WP+w9N/6T29fS1d3FX/ACPMX/jf5RPS%0a42/5KTHf43+UTH8q4/59ZP8AvpP/AIqjyrj/AJ9ZP++k/wDiq2KK+VPiTH8q4/59ZP8AvpP%0a/AIqjyrj/AJ9ZP++k/wDiq2KKAMfyrj/n1k/76T/4qjyrj/n1k/76T/4qtiigDH8q4/59ZP%0a8AvpP/AIqjyrj/AJ9ZP++k/wDiq2KKAMfyrj/n1k/76T/4qjyrj/n1k/76T/4qtiigDCmin%0aElvm2kB3nA3Lz8re9S+Vcf8+sn/AH0n/wAVV+6/19n/ANdT/wCgNVmgDH8q4/59ZP8AvpP/%0aAIqjyrj/AJ9ZP++k/wDiq2KKAMfyrj/n1k/76T/4qjyrj/n1k/76T/4qtiigDH8q4/59ZP8%0aAvpP/AIqjyrj/AJ9ZP++k/wDiq2KKAMfyrj/n1k/76T/4qjyrj/n1k/76T/4qtiigDH8q4/%0a59ZP8AvpP/AIqjyrj/AJ9ZP++k/wDiq2KKAMfyrj/n1k/76T/4qjyrj/n1k/76T/4qtiigD%0aH8q4/59ZP8AvpP/AIqjyrj/AJ9ZP++k/wDiq2KKAMK1inMbYtpGG9+Qy/3j71L5Vx/z6yf9%0a9J/8VV+w/wBQ3/XWT/0Nqs0AY/lXH/PrJ/30n/xVHlXH/PrJ/wB9J/8AFVsUUAZtpHMtwhe%0a3dF5yxK4HHsa0qKKACviT9tn/AJKzpP8A2BIf/R89fbdfEn7bP/JWdJ/7AkP/AKPnoA8Lg6%0aVaj6fjVWDpVqPp+NAEtFFFABRRRQAUUUUAFFFFABRRRQAUUUUAFFFFABRRRQAUUUUAFFFFA%0aBRRRQAUUUUAFFFFABRRRQAUUUUAFFFFABRRRQAUUUUAFFFFABRRRQAUUUUAFFFFAEcn34v9%0a7+hqSo5Pvxf739DUlABRRRQAUUUUAFFFFABRRRQAUUUUAFFFFABRRRQAUUUUAc54w8cWngz%0a7ALm1urt72Ro4ktfL4KqWJJd1AGAe9YOn/GXSb/VbSGURaXYzaet811qd1HA0ZdiI49uSCz%0aKN/wB7pWP8edMl1mTwvYQS+RNc3FxEkn90mBxXmvw4sNe1DWYdR0m4uGv0hsbm5gSUQrNAJ%0aHjaM5IG0IFwP9npmpTun8/yHLRaf1/Vj1hPjNbXnwpvvFsMVvDdQK6CyM/nbJd5SMPjaeeG%0axgHB/Gue8SfH680Sx1C1Nlp8Ot2NnazP505aOSaTYXjSPIY7VYnO44xz61xGt6Vfah+zhok%0a9vKEsbO6mmuUJ5fM7In6sa6P4leG73w78NPEk8enWkdrqlxBdTXH9pSSy53IFxGYFAHfG84%0a3HBIAFU9G/VL8F/mwW6Xr+b/RL7z2zw/4i0/xHYrPYX9pf7QolNpMsgRiM4OCcH2NalY3he%0abVJtOi/tKzs7QCJPKNrdvPuGOd26JNvbpmtmqkrSdjODvFNhRVbUHu47SRrGCG4uhjZHcTG%0aJDzzlgrEcZ/hP9azzdeIP7NDjTNN+3+Zgwf2jJ5WzH3vM8jOc/w7Me/apLNmiq9g91JaRte%0aww290R88cEplRTnsxVSeP9kVYoAKKKKACiiigAooooAKKKKACiiigAooooAKKKKACopOn41%0aLUUnT8aAKs/SvdP2Jv+Ss6t/2BJv8A0fBXhc/SvdP2Jv8AkrOrf9gSb/0fBQB9t0UUUAVrX%0a/X3n/XUf+gLVmq1r/r7z/rqP/QFqzQAUUV84ftw3/jTw18JL7xF4d8aXfhqysbnTIms9Kt0%0ajuLl5dRgifzLlizLF5chwkSxvuGTIykpQtZRj3aX3tL9Qeib7Jv7k3+h9H0UUUAFVrD/AFD%0af9dZP/Q2qzVaw/wBQ3/XWT/0NqALNFfF/x/8Ailqng/8AbW+G1hdeNvDmjWFto+oTrLeeGL%0au5TToLmS0iC3U8d6q5leF9szLCkWBuEm4EZXgSPUbLw58APGA8VeL7jW/EfxAutM1X7Z4q1%0aK4tbq2EerERG1kuGgCg28ONsYxsHqcgH3LRXyZ8dNA8NeO/2iNGurh/HE2n+B4Xv/EU3hnU%0aNccQXFxbm3sra3t7CQss7RzyzSPAgYRBfMbbLg+NeHrb4jax4L1hL7S/i14y1fTfh/p0MF1%0a4a8YXFsNL1z/iYtdR3Q/tGA3F0pNoJIgs8ibFVlG5A4B+jFeN/tgf8m6eLf8At0/9K4a9B+%0aHH2/8A4V54X/tX7T/an9lWv2v7Zu87zvJXf5m75t27Oc85zmvPv2wP+TdPFv8A26f+lcNe5%0akX/ACNsJ/18h/6Uj6Thr/kd4L/r7T/9KRxv7An/ACR3WP8AsPTf+k9vX0tXzT+wJ/yR3WP+%0aw9N/6T29fS1d3FX/ACPMX/jf5RPS42/5KTHf43+UQqta/wCvvP8ArqP/AEBas1Wtf9fef9d%0aR/wCgLXyp8SWaK+WtZ+M8ngT9uDxLpOsXfim+8PHwNp9xb6Vouk6jq8MVw15cB5jb2kUvls%0aVVVMhUZwBk4xWF4b+MGo+NfjL+0m+m6r4mtdG0vwbp0+m2Or2t9pjWU5gvC8sVtcpG8TMVQ%0a7wg3bQcnFAH2FRXwz+yt478T/tc+B/h9Y23i3V7HwZ4L0ywTxVq8GqzQav4g1r7NHIbXzVc%0aTJbRhw0kpYGZzsXKqz17n8F/EWq6r+0X+0Ppt7qd5eadpeq6NHYWc9w7w2ivpFvI6xIThAz%0aszEKBliSeTQB7nRXwb8WfiR4t039l/wDa71W08U61a6pofje4tNKvYdQmSfT4RFphEUDht0%0aSAySHahA+dvU1p+Kfi94y8J/srfGz4d+Jtbv7T4r/DrQXMXiG3uJIbjV9PYN9i1SKQNu3sq%0aFJSGYrKjZILAUAfb9FfPPxb+JmuJ8OPC3gXwffzH4keLNISRb6P95JpFgsaC81WQk/8sw4W%0aMMQXmkjAzhivgviH4ia5J+x3+yjqmr+JvFrNrvifRrbXr3Rb/UDqeo20lpeNLGXtG+0ylii%0anahLEquOQKAP0Aorzv4JweGl8O3s3hg+M/sb3RSQeNn1o3XmBFP7tdWPnCPDDlBsJ3dWDY8%0af/AG7n8a3dh8K9F8BeJdR8MeINW8UPBBNY3slsk8iadeTQxT7CN8LSxR7lbIIzxQB9SUV83%0a/ED45XXxH/Zx8JXfg65n0fxN8R1j0u0eFilzpLNFI+oycEFZbSKG67jEsaLnJGeq/Y117U/%0aFH7K/wAL9W1nUbvV9VvNCt5rm+vp2mnncryzuxLMT6k5oA9mor57+I1zf/Ez9qXQvhjca1r%0aGi+FNM8Ky+Kb6HQdTn0241G4kufssEb3Fu6TLFGBK+1HUMzJu3BcVz/wf+O9x8OPhD8RovG%0aN7qHiS68CeMr3wfo7zSfadU105hfTrctjMtzILqGHcRyV3ufvtQB9SVWk/5CEH/XKT+aV8z%0a/sWap49ufEfxn0/4ia9cazr1l4htXe3adpLbTWn0+3uHtLYFiFiiaVkBXG7ZuIyxr6Yk/5C%0aEH/XKT+aUAWaK5vxv4A0z4g2Vva6pda3axQSeajaJr19pMhOMYZ7SaJnHP3WJGecZr41+D/%0ai/VPh9+xf4X+J1vrHiPxH8SfEbR6DaT+JPE+pahZfa7vUvssUr201w0IEY2tlUViEK7hvJo%0aA9Y/b7/wCSO6P/ANh6H/0nuK7L9j//AJN08Jf9vf8A6VzV8+/tb+CNB8A+CtGsbzx5rfinx%0a/dXq3d1FrfiSaR7iArMHuY9MEgtoEEmxA0MCBQdmfmbd5h+zR4m0u+8d+ItE8Zat8S7jQ7D%0aRLCbTNO8F3PiNobaSS5vfOZ49JOELbU5kAztOOjV+jV/+SNof9f5fkz9ZxP/ACQGH/7CJfk%0az9NaKoaBDb22habFaG7NpHbRrCdQeZ7goFAXzWmJlL4xuMh3k53c5q/X5yfkwUUUUAVo/+Q%0ahP/wBco/5vVmq0f/IQn/65R/zevO/2kviXffCb4L+I9e0aB7zxK8aadoVnEqu9xqdzItvaI%0aqtw2ZpYyR/dDHtQB6bRXyx+zN428SfCDwV8TPAPxM8Q3/jDxJ8NQdUbWruRpZ9T0qeBrmGT%0ae7F3ZXS5i+Y8eUoz2G38Hfhrqvxj+G3h74h+OfGfipfFPiXToNXgt/D2v3emafo8cymaCCG%0a1gdYpvLWRAz3KzmRlO7KYQAH0ZRXzkdRvvjR8XvH2g6t4q1fw98Pfh0tpZXaaVqTaZPq99J%0aai5luLm7gMcsMMKSRARxPGGcSM5ZNqDvfgbrXgPUbPV7bwD8Sl+IGm28kbSQf8JMuvNpxYH%0aC/aGeSfDlWYCaR8YITaowAD1Civn/XvE2sQ/t1+EdAj1a+TQp/Aeo3kulrcuLWSdb23VZWi%0aztLhWYBiMgEjPNebfslfDS8+MH7NuheL774heP7Dxxd32plNdi8WX9wsTQapcxxZsp5pLSR%0aBHEiFHhKlc9GO4AH2TRXx9on7QvjX4veCPg54Tt7+Pwl4y8aalq2ma/rmmRLI1nFpLyJePa%0aCRWRZJ2jjCFlcRiZjhioI9sb4RaL8PPD+u31tq/wAQNSsP7KuEvdMHifU9TubsBNwa3Mszz%0axTgBwn2Z4ixk53ER7AD1WivzSutO8aeL/g94rn0bVPHt/qUf2u913wrqd1rouPDEctvvt7R%0apr/WdNeZBAAWby7lWkMjKuwoh7f9ivTfjD4W1m3vr+z8Rz+Co/A+nXcGjagk1wNTkKzbEsJ%0ap9bube3l4hJ3GEFNoMEAIcgH3tRXw5N8RptZ8G+DNI1/4i3/gzwTqHibULy48Q+NfFNtoOq%0a29pYXbWs2iLLa3hlu5jOkhNwrqohKbneTAbt/gt8RfD+hfG3xnpngzxPf/ABP8D3mkWN9Dc%0a6Z43TxOdHeH7V9qMkM99LeDzC1sAIIpAxKDgggAH1ZRXx3deLfBvhj4N63fWVn8SfFfw08P%0aalf3Ub6BqEvha48Mwwonm6fOJr6xuZljkMxjTY21GjiAJjUt1/wlubeLxTDfaT8M/jFBNbn%0ayLhvEXj6PUYLNpIFkCXNnNrkxV/LljYK0O9fMRsDINAH0rRX5ieO/it8TdP8Ahl4606XwZq%0aPh6TxnrsWkeL/Ej2h1Ge31C5uLeC5jt2tLiQS21tay21jDGjedK28qI3hmA9U/Z1+IHiaz+%0aPnjHQ7HWI7HQ3utGt5dMt/hJ4hsreTFqFMg824K6c7RCKIvPuRlgicLgNuAPueivzx8dap4%0asu/ibqXiXT/Evxpk8S6fdR6d4b1+1+HEkVpBpV20ZvI7yL+xBJOLdoWdUO8OWtyhVjK8d/S%0a9XufF3xP0uzufGvxCsZNW+I39nxeIdR1jVNNgis7TTLK7WwksleG2hubyR2QRPAmQ1xtXci%0apQB97aj/yD7r/rk38jVmq2o/8AIPuv+uTfyNJqmow6Ppl3f3BIt7WF55CoydqqWOB9BQBao%0ar5q+CHgzUv2hfh1o/xO8c+KvFEGpeJ7RNQ07SPDviG80mx0e0cs8EaR2skYnk2OjPJceYWY%0aYAVAFrK17w9c+Nv22z4L1rxT4tl0Cw+GdnqK22meJL7SFmvP7SuImuZFsZYFMjIADhQOBgA%0aAAAH1VRXy4/izxJ8LfGXxK+FVx4i1PxBpkfge48W+HNY1K536lp6Kz28to84AaYI/lvHLIT%0aL87B3kIBHB/sR/F/xlovgLQvAnxJ1u/wBd1DxJ4YHizwj4o1CeSWfUIHhWS8s5JXJZp7aWX%0aI+YkxOhwoUCgD7for8/dA+MfiXR/wBmv9kHxJqfiTxNezap4kt49antHvL681KEwXhMcscQ%0aeW5BKodm187RxxXqXxJ+PS+KP2if2ftH8N3HjHRrO81rUV1O21PQNW0W3vYxp0zIj/aoIkn%0a2uAwX5sEA4HWgD6wor4J8N/G3xr4y+MXxi+CXhXxNdQ+NNV8Y3bxavqdy0kfhrQY7a1WaW1%0aVz88xeQrDBHwGZpH2KpLe2a/Ff/D39oz9nzwZpviDXrnQ5NF8SC8j1LVri7k1B4ksTHJcvI%0a5MzqZJCpbO3eQu0cUAfRVFeGX3iLVU/bg0TQV1O8XQ5Ph1f3z6YLh/szXC6nZosxiztMgV2%0aUNjIDEZwTXzz+wj8ZfG/huLw9Z/EfxBqXifw38S77U28N65qtzJcPp+o2t3cwyabJJIzYWW%0aG2SWHlRuEqAEmgD75or5//Yk8Tax4r+EmtXmt6tfazdx+LdctkuNQuXnkWKO+lWOMM5JCqo%0aChegAAFfQFABVa6/19n/11P/oDVZqtdf6+z/66n/0BqALNFZ3iG21W70S8h0S+tdM1V0229%0a5e2jXUUTf3miWSMvxnjevOPofEf2QdZ1/U7T4t2niHxNqniu40jx/qOl29/q7xmUQRQWwRQ%0asSJGg5J2xoi5ZjjJNAHv9FfJ1rfDRv2mPh3p3hLxX41Fxc3GqweKIPHN7f29nrMaW5bNla3%0awSKSVZ1WUHTIhFHGJA2yJ41b0D9qbxPrNpa/Dvwdomq3egyeN/FNvod7qlhJ5V1b2QgnuLj%0ayJBzHK6weWrjlfMLAhgDQB7jRXxD8WPix4m/ZW1341eHdB1XVNZ0+LwVZ+KvDreIdTm1STS%0a7yW5OnyIJrlpJXi3iGfY7MAd4GA2B3k2iat+zx8cvgvptj4r8T+JtI8YLe6Dry+I9buNQE1%0a3DZtcw3sUc0jCCRmhlDrDsj2yYCDatAH1FRRRQAUUUUAFVrD/UN/11k/9DarNVrD/UN/11k%0a/9DagCzRXm3xruNa0zQ7e/sNal061S8soWtrWMK8pe5RW3ynJ27SAFQKfvZLA7Q74r309vr%0aXhO2kvL6DRbi4m+3W+kTOl7PtjzHsWI+c6KclxFkgYJ4BI9Clg3UUGpL3ubvpyq/ld9vzOC%0api1Tc04v3eXtrzO3np3/I9Horzj4eQ3Pijwdq9lcavqAtBqc0NrMt3i/ht1dSIpX5dH+8pD%0aYlVWGSrdIPBd5IvxK8R6Roeq3epaDZWUYna+uZb1bXUN5BiWWRixwigsm8gE4+U5FOWDs6k%0aebWGr0dradej128nqKOLuqb5dJ6LVXvr06rTfzWh6dRXnXgK61dfiX420/VNYm1VbW20541%0aZBHFE0gnZxHGPurnGMlmwFDMxGaj1afWtP+MPhSCfW5p9P1CLUX+wQxiKBFjWLy8gZZ2+c5%0aZmIzyqrzlfU37R0+daR5uuvu81l8u9h/W17NVOV6y5emnvct/v7XPSaK8m8fXsdj8SJLjXp%0a/Edt4Vt9DEpm0o36W6ziZy7O1r0IjXJ3cAEVf8Qao1v4++FdtpepTyaRefbcmO7eVLqNbMt%0aGzsWPm9mDMTk85zzVLBSai0/iTe2micrXvvptpa5LxqTkmtmlvrq0r2ttrvrex6VRXkPw+8%0aPt4yXxjc32ta9HdweI7+1tprbV7lBBGknyBYt5iIXPAZCOxBHFRx/EfX7jw5baOLiGPxI/i%0aJ/DT6mIgRhAXa6EZG3eYwDt+7uPTHyi3l8nNwhJNq19GrXV79bre/XTbVGax8eRTnFpO9tU%0a72drdLPa3Tz0PYqK5nS/B1t4ZaO8i1TW7l4IiJ/tmpS3K3A28lkkYopzhsxhORjhSVPlY1X%0aV7T4WaV8SW1bUJdYku4L25tTeSfZHt5ZhEbdYCfLACOMNt3bl3bs1FLBqu/cnpdJaNXbvZb%0a6bb+a03NKuLdBe/DWzb1WiVrvbXfbyeux71RXj00Wo+OYfiDqo1jU7C50i7msNKhsb2SCKB%0aoIlfeyKQshd25EgYbQAMVtrrtp4p8BeGNd1htdQXlkk7WugLd5aV0ViWNqN4AwwGWC/NyCQ%0auHLBONryvqk7LZuKkuqvo/LUUcapXtHpdXe6UnF9HbVeeh6NRXh58Q6za/DDwNJqutyNptz%0aqAg1fW7O7R2jtt8giD3ERwuSIkeVW4O75snNbHgTxNb3/AIs8XeHtL1681TRIrKG6sr5Jze%0aPAzh1lEUz7zKAVUjJbDBl7YFzy6cISnzXUb7J20kovXvre29iIZhCU4w5bc1uqvrFyWnbS1%0a9rnA/t9/wDJHdH/AOw9D/6T3FdT+yb/AMm3eEP+us//AKXy14L+2Jdj+yLG20u/1VdDNxA8%0alhrtxcG4a4C3AWWOK6PnhNpZWYARk7QMspx71+yb/wAm3eEP+us//pfLX3OPo+w4QoRve9Z%0avtunvv+bP2aVb2/h7h5WtbEzXfZP0/JHttFFFfmB+XBRXyZ8WLNfhJ8UfhXpfhLx54u1j4j%0a+IfFUEmoaVqOv3N/HeaO8rtqEslizG2t4o492x4ooghRQhwGFZGpReJfjN4b/aD8dReMvE2%0ag654R1bUdH8J2mjazPZ2Vi2mRB1klt0YRXRnn3mQXCSAxlUG0CgD7KorwU3Hh74tfBnwV8W%0afHfijXPCOhy+F7bWLq00rxLdaLY27XMMUzySSWskUshXOxQ8jKAThdzZPN/BnWtS8ZfsieG%0adZ+Ies+N7m0knmlS60W3vl1rU9OF1Klg832CIXQLw/ZpmeDYzBQXJRpVYA+nqK8E/ZB1bUt%0aT8OeO45tfvdc8PWfiu9ttBTWtQN5qthZhYm+zXjOzTpIsjyMsV0ftEcbxrIFICLc/az8Xa1%0aoPg3wn4f0DVLjQb3xr4q07wtJrFkwW5sbe4Z2nkhYg7ZTFE6K2MqXDDBAIAPb6K+b/Baap8%0aN/2pta+GFhr2v3nhLX/Bn/CSWT61q82q3Wl3sN0trMIJrtpX8t0mgfZIXUPGxAAZgcL4a6r%0aFB+0zoGmeDfEnjKPw9LoN9Nr+l/EK+1FJb6dZIhbS2NrqZFxlSZjLJAiwBSi53YWgD6torB%0a8f+J/+EJ8CeJPEXkfaf7I0251Dyc48zyomk257Z24r5CtbvxV8OfhX8CPi/J4x8R674j8T6%0axo6+Kba+1i4k027ttWYB44rFn8iDyGniERhSM4i+bdubIB9t0V85fFHUPGeg/tT/BCCTxnd%0aHw3ruratC3h2wt0trRoYdIuZIzcNlpJ5fMJYkusWEixCroZH+jaACq1r/r7z/rqP/QFqzVa%0a1/wBfef8AXUf+gLQBZrxv9sD/AJN08W/9un/pXDXsleN/tgf8m6eLf+3T/wBK4a9zIv8Akb%0aYT/r5D/wBKR9Jw1/yO8F/19p/+lI439gT/AJI7rH/Yem/9J7evpavmn9gT/kjusf8AYem/9%0aJ7evpau7ir/AJHmL/xv8onpcbf8lJjv8b/KIUUUV8qfEhRRRQAUUUUAFFFFABRRRQBWuv8A%0aX2f/AF1P/oDVZqtdf6+z/wCup/8AQGqzQAUU2RS8bKHMZIIDrjK+4zkfnXyl4ks1+E3x7+D%0a/AIS8EeOfFniDxlql1K3ibStb8QXWrRT6Itu7T31xBKzQ2b/aEtxE8KwKzPJGilcoAD6vor%0a4c1nUvF3jj4A/Fr452njDxFp3inQNT1e98P2Fpq9xBplnZaVcSItvLZK4guPNW2lMjSIzN5%0auAV2rj2b4tW3grWfhpcfFPxz458W+C/D7eH4Z1XSfFN1pUWnb0Z98SWrx+fcOZUULKJdzRx%0aqiDcwcA99or518MajrHib9mH4c618YLrxnaa5c2Nvcava+DrTUYb6eeSMlfOj0yP7TFgYZl%0aTy1D/ACsMYWtj9jzVtY1n4U38+qa/L4gtF1/UYtIa+1BL7ULXT1mIt7e9lVmP2lV+8rs0ih%0alWTDhlUA9yorwj9ozX9V1L4hfCD4a6fq1/oNh4x1e7k1a/0q5e2uns7K1e5a2jmQiSLznEa%0atJGyuE37WBNYvwkvNX8PfFb42fCifxDr9zoWlWNhrGhapdXsmpanYxXsMyyxrNOJXl8uWBn%0aiEgkPzbTuAAoA+kaK+Xfgdqqf8NKapp3hXX/ABWngg+E1nuvD/jzUNQbUXvxdgR3dta6qxv%0aUgETSRvKFWB38tVLuj7fXf2i/iNefCP4D+PvGWnRpLqOi6Nc3lqsgynnLGfLLDuobaSO4Bo%0aA9For5MudK8Qfs/eMPgRqyeL/E3idfFup/8I34oi1rWri8t7y4ubOW4juYYJXaO2KS27YWB%0aUXYxTHQjpPFd94z8P8A7Yfwq0++8a3d9oGv2XiKb+wLS3S0sYUt0tPI3AFpJpQJm3PI5XIB%0aSOLJBAPo+iiigCtYf6hv+usn/obVZqtYf6hv+usn/obVZoAKKKKACiiigAr4k/bZ/wCSs6T%0a/ANgSH/0fPX23XxJ+2z/yVnSf+wJD/wCj56APC4OlWo+n41Vg6Vaj6fjQBLRRRQAUUUUAFF%0aFFABRRRQAUUUUAFFFFABRRRQAUUUUAFFFFABRRRQAUUUUAFFFFABRRRQAUUUUAFFFFABRRR%0aQAUUUUAFFFFABRRRQAUUUUAFFFFABRRRQBHJ9+L/e/oakqOT78X+9/Q1JQAUUUUAFFFFABR%0aRRQAUUUUAFFFFABRRRQAUUUUAFFFFAGD4m8F6b4tuNMl1FGmSwlaZICFaOXKlSrqwOVwenF%0aV18BWdrql7qGnXdzpNxc20NoBaLCEhjjPyhEaNgOOOQeOmK6ailbp/WoHISfC/SJPh/8A8I%0aeJbqPTCADKrr5xPmeYTkrjJb271oeK/Bll4w8LyaFeS3EVnIIwXgZRJ8hBHJBHYdq36Kb13%0aBaEcEK28EcSklUUKCeuAMVJRRTbvqJKysgooopDCiiigAooooAKKKKACiiigAooooAKKKKA%0aCiiigAooooAKik6fjUtRSdPxoAqz9K90/Ym/5Kzq3/YEm/8AR8FeFz9K90/Ym/5Kzq3/AGB%0aJv/R8FAH23RRRQBWtf9fef9dR/wCgLVmq1r/r7z/rqP8A0Bas0AFeWftNfCzVvjP8G9V8Ja%0aJcWdrqN3d6fcJLfu6QhYL2CdwSisclYmA46kZwOR6nRR1T7NP5ppr8Ug6Nev4pr9QooooAK%0arWH+ob/AK6yf+htVmq1h/qG/wCusn/obUAfO/xN+FHijwh8Y9P+IvgHw5N4u1qSy1qS6F/q%0aEESrdzxafBZwlnZCtsi27uVTcVAlIBeQBq3i34K+I/AHwq+BmmeHNIuvG+oeA/ENtqupwWE%0a9tbz3zfYb2K4mQ3EsUYLT3W/BYYDHAOK+mqKAPlWP4T/Ezxxovh611yDXrHxqNIshr/i298%0ab6jYaYbswIZfsml6TexLMVfzI33fYxkK6tLk1wHwi/Zb8V+CovGF8l9498V2MfiS/hfR9V8%0acavot/eQI4K6hbTQTxQzzzKDlJlSOV2VvtECowf7pooA574f2v2LwZpMH9m6zo+yHH2HxBq%0aH2+/h5PyzXHnz+Y3+15r9ua88/bA/wCTdPFv/bp/6Vw17JXjf7YH/Juni3/t0/8ASuGvcyL%0a/AJG2E/6+Q/8ASkfScNf8jvBf9faf/pSON/YE/wCSO6x/2Hpv/Se3r6Wr5p/YE/5I7rH/AG%0aHpv/Se3r6Wru4q/wCR5i/8b/KJ6XG3/JSY7/G/yiFVrX/X3n/XUf8AoC1Zqta/6+8/66j/A%0aNAWvlT4k8s0n4R6xYftUeIfiXJc2J0LUfClnoUVusj/AGpZ4rmaVmZdm3YVkUAhicg8DrWH%0acfAbX5fi38a/FAvNNGn+NvDNjo2nRmWTzYpoYblHaYbMKhMy4KljgHgcZ94ooA+TvCv7Kfj%0aP4TaD8KfEfgO+0G1+JPhvRLLw94os7q4ni0jxNYxRqjJJIsTSJLEQWguPKLDO11ZPlHez/D%0aPx98PvjL4v8c+BbXw54hs/GsFm+saP4g1a405rO8tYVgjmt54ra4EiPENrI0aEGJGDHcVHu%0alFAHyr4z/ZN8U+JP2V/ip4IGtaRP8QPiHqUmu6jdsJYNMgu5ZLcmKLCvJ5UcVukasV3OV3E%0aKWIGt+23+yxq37RngYP4K1Wy8O+Pbe3m02O+vi6W97p1wAtzZ3BRXOw4WVDsbbJEuNu4sPp%0aSigDxW7/ZV8Iaq82tXX9u2fi680m10y9v9G8Watp0c4gh8uJSlvcRoUUliBs6uxIyxz5l4W%0a/Y58QeF/g38BPCsOq2s2q+CPFem+Itcku9Wvbq3kW3t54pEsvNDeWCZUKxBYo+GOFJ5+t6K%0aAMTxh4H8OfELRm0jxT4f0vxLpLOspsNYso7uAuv3W8uRSuR2OOK8w8c/s+W0+p/CGLwRpmg%0a+F/D/gzxO2t3GmWduLOLymtbmJhBFFHs3mScMc7QfmOc8H2qigD568DfsxXvhL41+OPFU2q%0aW934ZuYrt/CukHJOlXGoeW+qORswokmgjZCpJAlmBxu51/hN+zRoOmfs/fDzwD8SvDXhjxr%0aeeGNOjtT9tsI7+1SYLtZ4fPjyMjjO1Sa9uooA8L8X/AAU17wp8VPCXj74V2PhyJtM0OXwrf%0aeFtTmfTLGXTt4mgNvLBBN5LwyrgJ5TKySMAUKjdmeC/2O/DsmhRXnjqS61LxnceIL/xbdX/%0aAIe1i/0qK01G8VUlFs1vNE5RIUSFXcliqsTt8xlr6HooA8G+A37NB+DvxR+Jnid9T1G8tfE%0aGoQy6ZFceI9Sv2W3FrBG/2lLiRlkm8yJtsjeY6oQodR8o9wk/5CEH/XKT+aVZqtJ/yEIP+u%0aUn80oAs184+DP2U7lv2ONM+DPinVorTVrWIumsaI7SC1ukvGuraeIuqFtjiMkELnDL0Oa+j%0aqKAPir9rS5+KK/CXSbHx5pnhNraDWUCa54f1S5Mt5IIpwjNYy2wEAZMswFzLtYADcDuGZ+y%0aJ8NPib4Nk1H4heFtI8J+IdJ8T6Zb2K22r+ILrTZ7drW6vNxIjsLhWDebxyMbffj1L9vv/kj%0auj/8AYeh/9J7iuy/Y/wD+TdPCX/b3/wClc1fo1f8A5I2h/wBf5fkz9ZxP/JAYf/sIl+TPWd%0aJkvptKspNTt7ez1J4Ua6t7S4aeGKUqN6JIyIXUNkBiiEgAlVzgW6KK/OT8mCiiigCtH/yEJ%0a/8ArlH/ADevJ/jT8FLj41ePfh7FrlvpGp/DbQri61PVtF1EGY6ldmAw2iNCYzG0UfmyyHc3%0aLBPlOCa9Yj/5CE//AFyj/m9WaAPnq+/ZO0Pw58YvDXiTwB4a8K+F/C9zpWo6B4x0Sysksk1%0aSynRGhKJDFtaRJYxksVOx2AbsbHw58B/F74K+EbTwF4fHhPxd4Y0oGz0TXte1S6sr+zsRxB%0aDcWsVrKly8C/LvSaASqqjbEcsffaKAPDtT+FPjjwL8V9a+IHw+uNC1ifxTFZxeJfDviC4ns%0aLeea3geKK8tbmOO4aF9oiRomicOqg71K/NZ+CPwm8T+F/ih8U/iF4tbSLLU/G8umBdF0W6l%0avYbKOztTCCbmSKFpGkLMxHkqFAAy2cj2iigDyPVvhHrF/wDtUeHviXHc2I0LTvCl5oUtu0j%0a/AGpp5bmGVWVdm3YFjYElgckcHrXm3wQ+FPx0+DvwZsfhtp0PgOwa3ub5o/Fx1e8vpLdbm9%0amuTINONnEsjqsxUKblVyAxJGUP1LRQB896t+ydB4e+H/w6s/h/rH9leMPh3cT32h6xrMZuU%0avJbhZPtsV4qFSUujK7OyYZW2so+XY3ReI7D4geOvBfivSPHPgjw/L4fvdHubKTQfDGuSahe%0a6o0qbNiTXUFlFb4Xfy2/cXB3R7Pn9iooA/OO7/ZM+Jtx4N1jS/iJ4Q1Hx74qvYpLyLxD4ak%0a8ManBNcNbpaxx3H9sWkM9s0cNpaKWtiwf5nBVuK9a/ZA+CWofBvWNCE3w98X+Hr6bSUsNUv%0a7rT/BsFgJFiVmLTadi+lUyJhdxckspkHVh9hUUAfBtr4b+LraJdeAY/h5cWnijStfvvE3hL%0axBZSEW+kXVxrF5MbjULuYJA0D294qG1tPtczRefvETlFX1b4Man4s8B+LtevPix4N1zUPih%0arsUrP4h8OWJv9BntLbe1vYWLoS9pGquzBbwRGSaWUh3yoX6cooA+AtetPiOttFoeseFLvwl%0aoOteM7rxtffbvDGpeKY7m3c+fZ2j2+l5xJHOsbTxzSwrlE8trhRItd58Nte8VRftIQ+L7vx%0aHqmsWev6fHouqaJb/CPxB4ftiYvMe2u/tFwsyGZXfyi00kaCJz8w2KK+waKAPgjx38C/GPh%0a/4JDS9O8E+OdV02XW9HnePVvHt1qfiWcprFvNMxs4D9gtGI85xcW90u1QjuUJfZ2Hwg+F2t%0aeGPjj4j8QXnwu+LNjpeq3+mvp9zfeP47lLZY4Vjlkv4/7bc3CK2WCss52DCr0SvseigD4J+%0aJ2ifEO58HfG+8tfBnxr1DxUmqayfDutaH4tuLWyhjGfsphsRqcTyIvUCO1cN0UP0rtNL+FH%0axE8e6X8TfCh0Kw0zQNb8c2uqXGua3eXEF6kcMemSmW2tfsrLPk2zKshnjAcHrs5+wqKAK2o%0a/8AIPuv+uTfyNS3FvFd28sE8STQSqUkjkUMrqRggg8EEdqi1H/kH3X/AFyb+RqzQB8/fDf4%0abfFP4BeGYvAvg+Dwr4w8GWBddFvPEGsXWnX+nW7SOy20qR2twtyIgyhZA8JZQFKgjeY/EPw%0av+J+j/tKR/E/w9ZeEvEsU3gm28MXdtqer3WkN9pjvJrh5o1S0u8RnzFAUtkc5Jxk/QtFAHh%0aml/AnxBqcvxA8W+LNU0+++IHirQjoNtBYo6abotmEkKWsTsDJLmaV3knZVLnbtijChK53Uv%0a2WNX1T9kzwL4BTVbHS/iT4L0yyfRPENsXeC01K2iVcglQzQSgPE4ZDmORsoSAK+laKAPlLw%0an+yj4t0L4T/s3+GLjUdFe/8AhvrkOp6vJHPMYp4kiuUItyYgWbMy8OEGAeemfUfi58I9Y8e%0a/Fv4OeKdPubGHT/Buq3t9qEdzI6yypNZyQKIgqEEhnBO4qMZ5J4r1yigD5Svf2MtQ12L4oX%0a1xrNrofi7UvGcni7wZ4l0pme50ab7PBGvmBkAZXMTJLD86OjddwUr13ij4X/EzxY/wt+IFw%0avhS1+K3gw3UVzpUF9dHRNTgu0jiu0Wcw+dASIkljJil2MgQ+YCZK9/ooA8b8BfDHxbqHxqv%0avil47/sbTNUj0T/hHNK0Lw/dS3sFvatMlxNNLcywwtJJJJGgCiJVRYxy5Ykcf8Pf2S5rf9k%0aS2+EPi7ULWPWbe4vr211rRndzp92+oT3dpdQMyxuJIjJGf4clWXJU5P0pRQB4h+x38HfFvw%0aO+DMfhzxxqGl6r4mm1W+1O8utHd2t3e4naUld8cZB+Y5G0Adq9voooAKrXX+vs/wDrqf8A0%0aBqs1Wuv9fZ/9dT/AOgNQBZryf4H/CnW/hiPie19d2EkvibxhqHiGwe3LyrFDPHCsayqQnzg%0axklVJGMYb09YooA8H134afEf4t+MfAEvjeDwv4e8P+D9aXxDv8P6jc313ql3FDJFAuJbeFb%0aSL99I7jdOzYVAwG5zD8S/hR8TfiboNve3l/4V07xf4T8anxD4RazFz9kuLCNXjht79mBdZJ%0aIppllaIFQSpUHGK9+ooA+aPE/7LOrfG0fE7V/iJdaboev+LfD0HhfT4PD88l9Do9nC7zpJ5%0a0kUDTyNcyGU/u4wFREB4Lnb8NfCr4h+OPiL4B8V/FX/AIRq0l8DWczWMHhm8muhqepXEHkT%0aXc3nW8XkRrHv2QL5h3TZMn7sBvfKKACiiigAooooAKrWH+ob/rrJ/wChtVmq1h/qG/66yf8%0aAobUAc78S/Cl34y8NJp1lJDFOL21uN07ELtjmSRhwCc4U446+lV/FfhXVZ/F+ieJtGa0uLq%0awgntJbC/laKOWOTadyyKjlHDIv8JyMjjrXZ0V1U8TUppRVrK/T+ayd/uOWphqdRuTvd2/8l%0avb8zyjUvhv4nu9B8RvDeWUGs+ItRinvoLe5khhjtECoYI5hGW3tGgBk2DJY/KMV1ngnS9S8%0aP2sGl/8ACO6LoejwRkRJpmoyTkNnurW8ec8ksWJJ65zmurorSpjKlWDpzStvt5JLr0Ssr3s%0avVmdPB06U1Ug3fbfzbfTq3d2tf5I5XQvC13pnj/xVrkskLWmqwWUcCIxMimFZQ24YwM7xjB%0aPfpRrvha71Px/4V1yKSFbTSoL2OdHYiRjMsQXaMYONhzkjt1rqqKy+sVOfn625flbl/I1+r%0a0+Xk6X5vnfm/M5zxJ/wlIa4j0SDSLqGeEqj6jPJEbeTBGSqxuJV6HblDwRnkbeX0v4TT6Be%0afDeOyvI7iy8LpdLcST5WSYywFAUUAj7zE4J4HcmvS6KuGLqU48kLJa9N7px1+TfbuRPC06k%0aued29Ou1mpafNLv2PNPC/hnxn4QfxFb2VtoU0Op6zd6jDeXF9NuhSZ8jdCIRvKjnaJFyeNw%0a61Yk+EEI8K2VhDqkia3a6kNZGsyQhme9LFnkaMEAo25l2Aj5cDPGa9DorSWOrOXOrJ6N2W9%0alZX36dNtXoRHA0VHld2tUrva7u7bdeu+i1Ob0aXxXdTwx6zY6LZ2qofPazu5blpjtxtVWij%0aEYyc5Jfgbcc7hxNj8LNf/wCEUsfBN9cafL4WtLtJPtqSubue2jk82OBoim1TuCguHPyr93J%0a49aoqYYypTb5Els9tmr2a131f+WiKnhIVLc7b3W+6drp6baL/AD1Z5peeBPEunXPiyy0OfT%0aTpHiSU3DTXjus1hLIgjnZY1QiYFVVlBdMNkHI5ro49K1fwlpWlaX4bs9PvtOsrVLURajdyW%0a0i7AArb0ikDZA5G1eecnOB1FFKeLqVElNJr03dkrvXeyS6DjhIQbcG0/XZXbstNru/U4rwr%0a4V1jwV4VeG0ksdT1i4vZr+6SYvbW7vM7M6RsA5jVSwxlWztIwN2VXQfC2s6fceINeuZbA+J%0adVMYSFd72tvFECIoQ+Fds5Ys+By+QmFAPaUUniqknJu15b6b7O3potPLcawtOPKle0dtdt1%0af11evnsfHX7cui69feD9C17Wo9OsEtb8WMFnYTvclzJHI7yPK0ceAPJQBAp6sd3OK9Y/ZN/%0awCTbvCH/XWf/wBL5a5b9vv/AJI7o/8A2Hof/Se4rqf2Tf8Ak27wh/11n/8AS+Wvv8XUdXg6%0ag2rWrSWnaz9e5+v1aap+H+HSd74mb19H6dj22o7jzfs8vkbPP2ny/Mzt3Y4zjnGakor80Py%0as+Wv2f/g/8U/g3Fc32peCfAXiPxtrdwbnxJ42n8Y3pv8AUXZhnCtpJ8uJFVVjt1cRqEGMEs%0axta18AviRob/Fnwv4Nv/DTeCfiPeS6hJqOrzzpqGgzXcYh1AxW6QtHdgqoliDSwbXdlbcBl%0avpuigD5a+If7M/iO88afD210zw94Y8dfC3wP4egsNH8J+K9euLGKLUo8xC9mjisbiO5ZLZY%0a44/M4QyTMFBYGvY5tT+Kr+G7e7i8N+DotfS5ZZ9HfxDdyWssG35XW9FirRuG5KG2cEDG4Zy%0aPQqKAPFPh18AmmuPiVrPxNsdA1/UPiBqFtdaj4ehg+2aTawWsMcNrCPPQG4cLErvK0abmIx%0aGgQZh+K/7M2lan8MrLRvhjpvh/wDrWg67a+KtEjtNNS2059StyCouI4VU7JUBid1G4KwOG2%0a7T7jRQB4j4W+FfjTUPij4i+KPiY+HtF8YP4e/4RnQdN0yefUrGyg8zz3muJXjtpJmkn2ZRV%0ajCpCAGLOWDLf4a+PPiF8Y/Bfjbxza+HPDNn4LS7k03TPD2pz6pJfXF1A8ErTTy21t5UaRkb%0aY1RyzNksuwBvcaKAPO4v2ePhnYDXH0rwF4b0K+1qzuLC+1HSNItrW6mhnGJVaVEDHd1OSQS%0aATmvIPCn7OnxD1Dw18MPh/45vvDlz4I+H1/bX0Gr6XcTPqGtiwbGmxTW0kIjtQFETzMs05c%0aw7RtEhZfqOigDy34lfC3VfGXxj+D/iyyuLOLTvB9/qV1fxTu4mlW40+a2QRAKQSHkUncV+U%0aHGTxXqVFFABVa1/195/11H/oC1Zqta/6+8/66j/0BaALNeN/tgf8m6eLf+3T/wBK4a9krxv%0a9sD/k3Txb/wBun/pXDXuZF/yNsJ/18h/6Uj6Thr/kd4L/AK+0/wD0pHG/sCf8kd1j/sPTf+%0ak9vX0tXzT+wJ/yR3WP+w9N/wCk9vX0tXdxV/yPMX/jf5RPS42/5KTHf43+UQooor5U+JONv%0afgv8PtS8ar4xvPAnhm68XLLHMuvz6PbvfiSNQsbi4KeZuVVUA7sgKAOlGk/Bf4faB4wn8Wa%0aX4E8M6b4quJZZptctNHt4r6SSUkyu06oHLPubcSctk5zmuyooAKKKKACiiigAooooArXX+v%0as/wDrqf8A0Bqs1Wuv9fZ/9dT/AOgNVmgDM8TxatN4a1aPQZbeDXHtJlsJbwEwpcFD5TSYBO%0a0PtJwDxng189/s5fCP4h/A/Treyl8C+B7nVNWnhm8VeMB4yvbjVNWmyfNuXD6UpkILyskLS%0aqq7ioZclq+l6KAPlTUf2afiHF4P+IXwr0vUvDyfDPxjq15e/wBsTXEy6ppNneymW8tIrXyG%0ailO55VjlaZNokyUYrhrvi/4B+M7r472fi2Hwr4O8beFvDdjZ2vg3SNf8R3dgmhyxjM1wIFs%0aLlHmZhHslLbkWJcYPI+nqKAOA1DUviivh/Sb2x8OeEJdcYypqOiXGv3SWyAt+6lhvxZFmwq%0a/NG1quTLxIoixLyfww/Z1tLPwp4xtviRp+geL7zxl4gfxLqulPYi50u2naKGNYYkmU+YEEC%0afvWRWdsttXhR7XRQB4X8SP2dlsx8PNY+E2meHPCus+BtYk1Gx0b7MLHTLyC5jaG9t3MEbGF%0apI3LLKsb4dFJRs5Fr4ffCrxh4e1n4ifEHUpNBj+JHi37NHHp9vJNcaXY2torJbW3nlI5ZGf%0afK8k3lrhpQBGwiG/2qigDxTQvhp428XfG7QfiL45h0Dw+vhvSbzTNM0Xw7qE+omeS6eIzTz%0a3Mtvb/AChYI1SERHBLOX5Ci74i/ZU+GN/8P/GXhjw/4K8OeCz4n0e40e61HQNFtrWdY5UIB%0azGi7trbXCk4yor16igD528N/Bn4jeL/ABB8MpfihP4b/s/4fM15byaFdz3EutX4t2t4rmZZ%0aYIxbKiPJJ5aPLudh8wVMN2/jj4W6r4l+P/wu8c2txZx6T4WsNatb2GZ3E8jXiWoiMahSpA8%0ah925lxlcZ5x6lRQAUUUUAVrD/AFDf9dZP/Q2qzVaw/wBQ3/XWT/0Nqs0AFFFFABRRRQAV8S%0afts/8AJWdJ/wCwJD/6Pnr7br4k/bZ/5KzpP/YEh/8AR89AHhcHSrUfT8aqwdKtR9PxoAloo%0aooAKKKKACiiigAooooAKKKKACiiigAooooAKKKKACiiigAooooAKKKKACiiigAooooAKKKK%0aACiiigAooooAKKKKACiiigAooooAKKKKACiiigAooooAjk+/F/vf0NSVHJ9+L/e/oakoAKK%0aKKACiiigAooooAKKKKACiiigAooooAKKKKACiiigAooooAKKKKACiiigAooooAKKKKACiii%0agAooooAKKKKACiiigAooooAKKKKACiiigAqKTp+NS1FJ0/GgCrP0r3T9ib/krOrf8AYEm/9%0aHwV4XP0r3T9ib/krOrf9gSb/wBHwUAfbdFFFAFGK7ggubtZZo42MgOHYA42LUv9o2n/AD9Q%0a/wDfwUWv+vvP+uo/9AWrNAFb+0bT/n6h/wC/go/tG0/5+of+/gqzRQBW/tG0/wCfqH/v4KP%0a7RtP+fqH/AL+CrNFAFb+0bT/n6h/7+CoLK/tUhYNcxA+ZIcFx0LnFaFVrD/UN/wBdZP8A0N%0aqAD+0bT/n6h/7+Cj+0bT/n6h/7+CrNFAFb+0bT/n6h/wC/go/tG0/5+of+/gqzRQBW/tG0/%0awCfqH/v4K8d/a8vbeb9nfxYkc8TufsmFVwSf9Lhr2uvG/2wP+TdPFv/AG6f+lcNe5kX/I2w%0an/XyH/pSPpOGv+R3gv8Ar7T/APSkcP8AsE3cEHwf1hZZo42OuzHDsAcfZ7evpP8AtG0/5+o%0af+/gr5y/YE/5I7rH/AGHpv/Se3r6Wru4q/wCR5i/8b/KJ6XG3/JSY7/G/yiVv7RtP+fqH/v%0a4Kgtr+1Wa6JuYgGkBBLjkbFrQqta/6+8/66j/0Ba+VPiQ/tG0/5+of+/go/tG0/wCfqH/v4%0aKs0UAVv7RtP+fqH/v4KP7RtP+fqH/v4Ks0UAVv7RtP+fqH/AL+Cj+0bT/n6h/7+CrNFAFb+%0a0bT/AJ+of+/go/tG0/5+of8Av4Ks0UAVv7RtP+fqH/v4KP7RtP8An6h/7+CrNFAFb+0bT/n%0a6h/7+Cj+0bT/n6h/7+CrNFAFb+0bT/n6h/wC/go/tG0/5+of+/gqzRQBW/tG0/wCfqH/v4K%0age/tTfQt9pi2iNwTvGM5T/AANaFVpP+QhB/wBcpP5pQAf2jaf8/UP/AH8FH9o2n/P1D/38F%0aWaKAPmP9va7gn+D+jrFNHIw12E4RgTj7PcV2P7Id7bw/s7+E0kniRx9ryrOAR/pc1cp+33/%0aAMkd0f8A7D0P/pPcV2X7H/8Aybp4S/7e/wD0rmr9Gr/8kbQ/6/y/Jn6zif8AkgMP/wBhEvy%0aZ63/aNp/z9Q/9/BR/aNp/z9Q/9/BVmivzk/Jit/aNp/z9Q/8AfwUf2jaf8/UP/fwVZooAz0%0av7UX0zfaYtpjQA7xjOX/xFT/2jaf8AP1D/AN/BRH/yEJ/+uUf83qzQBW/tG0/5+of+/go/t%0aG0/5+of+/gqzRQBW/tG0/5+of8Av4KP7RtP+fqH/v4Ks0UAVv7RtP8An6h/7+Cj+0bT/n6h%0a/wC/gqzRQBW/tG0/5+of+/go/tG0/wCfqH/v4Ks0UAVv7RtP+fqH/v4KP7RtP+fqH/v4Ks0%0aUAVv7RtP+fqH/AL+Cj+0bT/n6h/7+CrNFAFb+0bT/AJ+of+/go/tG0/5+of8Av4Ks0UAVv7%0aRtP+fqH/v4KP7RtP8An6h/7+CrNFAFb+0bT/n6h/7+Cj+0bT/n6h/7+CrNFAGff39q9jcqt%0azEzGNgAHGScGp/7RtP+fqH/AL+CjUf+Qfdf9cm/kas0AVv7RtP+fqH/AL+Cj+0bT/n6h/7+%0aCrNFAFb+0bT/AJ+of+/go/tG0/5+of8Av4Ks0UAVv7RtP+fqH/v4KP7RtP8An6h/7+CrNFA%0aFb+0bT/n6h/7+Cj+0bT/n6h/7+CrNFAFb+0bT/n6h/wC/go/tG0/5+of+/gqzRQBW/tG0/w%0aCfqH/v4KP7RtP+fqH/AL+CrNFAFb+0bT/n6h/7+CoLm/tWmtSLmIhZCSQ44Gxq0KrXX+vs/%0awDrqf8A0BqAD+0bT/n6h/7+Cj+0bT/n6h/7+CrNFAFb+0bT/n6h/wC/go/tG0/5+of+/gqz%0aRQBW/tG0/wCfqH/v4KP7RtP+fqH/AL+CrNFAFb+0bT/n6h/7+Cj+0bT/AJ+of+/gqzRQBW/%0atG0/5+of+/go/tG0/5+of+/gqzRQBW/tG0/5+of8Av4Kgsr+1SFg1zED5khwXHQucVoVWsP%0a8AUN/11k/9DagA/tG0/wCfqH/v4KP7RtP+fqH/AL+CrNFAFb+0bT/n6h/7+Cj+0bT/AJ+of%0a+/gqzRQBW/tG0/5+of+/go/tG0/5+of+/gqzRQBW/tG0/5+of8Av4KP7RtP+fqH/v4Ks0UA%0aVv7RtP8An6h/7+Cj+0bT/n6h/wC/gqzRQBW/tG0/5+of+/go/tG0/wCfqH/v4Ks0UAVv7Rt%0aP+fqH/v4KP7RtP+fqH/v4Ks0UAVv7RtP+fqH/AL+Cj+0bT/n6h/7+CrNFAHzH+3tdwT/B/R%0a1imjkYa7CcIwJx9nuK6r9lC7gT9nHwijTRq4knJUsMgfbpT0+lc3+33/yR3R/+w9D/AOk9x%0aXU/sm/8m3eEP+us/wD6Xy1+jV/+SNof9f5fkz9ZxP8AyQGH/wCwiX5M9k/tG0/5+of+/go/%0atG0/5+of+/gqzRX5yfkxW/tG0/5+of8Av4KP7RtP+fqH/v4Ks0UAVv7RtP8An6h/7+Cj+0b%0aT/n6h/wC/gqzRQBW/tG0/5+of+/go/tG0/wCfqH/v4Ks0UAVv7RtP+fqH/v4KP7RtP+fqH/%0av4Ks0UAVv7RtP+fqH/AL+Cj+0bT/n6h/7+CrNFAFb+0bT/AJ+of+/go/tG0/5+of8Av4Ks0%0aUAVv7RtP+fqH/v4Kgtr+1Wa6JuYgGkBBLjkbFrQqta/6+8/66j/ANAWgA/tG0/5+of+/grx%0a39ry9t5v2d/FiRzxO5+yYVXBJ/0uGva68b/bA/5N08W/9un/AKVw17mRf8jbCf8AXyH/AKU%0aj6Thr/kd4L/r7T/8ASkcP+wTdwQfB/WFlmjjY67McOwBx9nt6+k/7RtP+fqH/AL+CvnL9gT%0a/kjusf9h6b/wBJ7evpau7ir/keYv8Axv8AKJ6XG3/JSY7/ABv8olb+0bT/AJ+of+/go/tG0%0a/5+of8Av4Ks0V8qfElb+0bT/n6h/wC/go/tG0/5+of+/gqzRQBW/tG0/wCfqH/v4KP7RtP+%0afqH/AL+CrNFAFb+0bT/n6h/7+Cj+0bT/AJ+of+/gqzRQBW/tG0/5+of+/go/tG0/5+of+/g%0aqzRQBn3N/atNakXMRCyEkhxwNjVP/AGjaf8/UP/fwUXX+vs/+up/9AarNAFb+0bT/AJ+of+%0a/go/tG0/5+of8Av4Ks0UAVv7RtP+fqH/v4KP7RtP8An6h/7+CrNFAFb+0bT/n6h/7+Cj+0b%0aT/n6h/7+CrNFAFb+0bT/n6h/wC/go/tG0/5+of+/gqzRQBW/tG0/wCfqH/v4KP7RtP+fqH/%0aAL+CrNFAFb+0bT/n6h/7+Cj+0bT/AJ+of+/gqzRQBW/tG0/5+of+/go/tG0/5+of+/gqzRQ%0aBn2V/apCwa5iB8yQ4LjoXOKn/ALRtP+fqH/v4KLD/AFDf9dZP/Q2qzQBW/tG0/wCfqH/v4K%0aP7RtP+fqH/AL+CrNFAEEd7bzOEjnidz0VXBJqeiigAr4k/bZ/5KzpP/YEh/wDR89fbdfEn7%0abP/ACVnSf8AsCQ/+j56APC4OlWo+n41Vg6Vaj6fjQBLRRRQAUUUUAFFFFABRRRQAUUUUAFF%0aFFABRRRQAUUUUAFFFFABRRRQAUUUUAFFFFABRRRQAUUUUAFFFFABRRRQAUUUUAFFFFABRRR%0aQAUUUUAFFFFABRRRQBVvr23sRE9xPFboXwGlcKM4PrUP/AAkOlf8AQTs//AhP8ah8QaDb+I%0aooba5eVEVjIDEQDkcdwfWsX/hV+lf8/F5/32n/AMTXXSjh3G9STT8lc5akq6lanFNebOg/4%0aSHSv+gnZ/8AgQn+NH/CQ6V/0E7P/wACE/xrn/8AhV+lf8/F5/32n/xNH/Cr9K/5+Lz/AL7T%0a/wCJrbkwf88vu/4Jlz4r+RfedB/wkOlf9BOz/wDAhP8AGj/hIdK/6Cdn/wCBCf41z/8Awq/%0aSv+fi8/77T/4mj/hV+lf8/F5/32n/AMTRyYP+eX3f8EOfFfyL7zoP+Eh0r/oJ2f8A4EJ/jR%0a/wkOlf9BOz/wDAhP8AGuf/AOFX6V/z8Xn/AH2n/wATR/wq/Sv+fi8/77T/AOJo5MH/ADy+7%0a/ghz4r+RfedB/wkOlf9BOz/APAhP8aP+Eh0r/oJ2f8A4EJ/jXP/APCr9K/5+Lz/AL7T/wCJ%0ao/4VfpX/AD8Xn/faf/E0cmD/AJ5fd/wQ58V/IvvOg/4SHSv+gnZ/+BCf40f8JDpX/QTs/wD%0awIT/Guf8A+FX6V/z8Xn/faf8AxNH/AAq/Sv8An4vP++0/+Jo5MH/PL7v+CHPiv5F950H/AA%0akOlf8AQTs//AhP8aP+Eh0r/oJ2f/gQn+Nc/wD8Kv0r/n4vP++0/wDiaP8AhV+lf8/F5/32n%0a/xNHJg/55fd/wAEOfFfyL7zoP8AhIdK/wCgnZ/+BCf40f8ACQ6V/wBBOz/8CE/xrn/+FX6V%0a/wA/F5/32n/xNH/Cr9K/5+Lz/vtP/iaOTB/zy+7/AIIc+K/kX3nQf8JDpX/QTs//AAIT/Gj%0a/AISHSv8AoJ2f/gQn+Nc//wAKv0r/AJ+Lz/vtP/iaP+FX6V/z8Xn/AH2n/wATRyYP+eX3f8%0aEOfFfyL7zoP+Eh0r/oJ2f/AIEJ/jR/wkOlf9BOz/8AAhP8a5//AIVfpX/Pxef99p/8TR/wq%0a/Sv+fi8/wC+0/8AiaOTB/zy+7/ghz4r+RfedB/wkOlf9BOz/wDAhP8AGj/hIdK/6Cdn/wCB%0aCf41z/8Awq/Sv+fi8/77T/4mj/hV+lf8/F5/32n/AMTRyYP+eX3f8EOfFfyL7zoP+Eh0r/o%0aJ2f8A4EJ/jR/wkOlf9BOz/wDAhP8AGuf/AOFX6V/z8Xn/AH2n/wATR/wq/Sv+fi8/77T/AO%0aJo5MH/ADy+7/ghz4r+RfedNbapZXm77PdwT7cbvLlVsfXBqbz4/wDnon/fQrJ8O+GbXw3Jc%0arbSTOJghbzSDjG7pgD1rariqKCk1Td15nXTc3FOasyPz4/+eif99Cjz4/8Anon/AH0KkorM%0a0I/Pj/56J/30KPPj/wCeif8AfQqSigCPz4/+eif99Cjz4/8Anon/AH0KkooAj8+P/non/fQ%0ao8+P/AJ6J/wB9CpKKAI/Pj/56J/30KPPj/wCeif8AfQqSigCPz4/+eif99Cjz4/8Anon/AH%0a0KkooAj8+P/non/fQo8+P/AJ6J/wB9CpKKAI/Pj/56J/30KPPj/wCeif8AfQqSigCPz4/+e%0aif99Co5J48f6xOv94VYqKTp+NAFKeePH+sX/voV7r+xJIr/ABa1YKwJ/sSbof8ApvBXhs/S%0avdP2Jv8AkrOrf9gSb/0fBQB9t0UUUAVrX/X3n/XUf+gLVmq1r/r7z/rqP/QFqzQAUUV5/wD%0aEDxT8RdJ1U2/gzwHpXiSziszcy3us+I/7MWSXcwFvCqW1wzPhclpBGg3phm+bbLajqxpXPQ%0aKK4z4OfFLTfjV8M9B8a6RbXNnY6tC0i214FEsLK7RujbSQSrowyCQcZHWuzrSUXF2ZKd1cK%0arWH+ob/AK6yf+htVmq1h/qG/wCusn/obVIyzRXhnj39pm08GfH3wh4A/s3WZrXUrXUHvpov%0aCuq3DeZELUwG3ljhMcsf79/MdN6odgZoyecDwt+1L4u1o/D3VNQ8AaLY+FfGniObw7Z3dt4%0anmnvoJEW7YSSW7WCJtP2KTgTEjcvXnAB9JUV4h8XPir8TPCfxb8DeFPCXhTwnrFj4ge6cy6%0atr11a3DRQWzPISsdnIsCrI0AEmZt28IUTeHXg/D/7YnjLxp4U1HX9A+G+hSW2keELPxdqUe%0apeLJrd0juDe7YYdmnSCRgti5LMYxl1GOpoA+q68b/bA/wCTdPFv/bp/6Vw16b4P1/8A4Svw%0alomt+R9l/tKxgvPI37/L8yNX27sDON2M4GcdK8y/bA/5N08W/wDbp/6Vw17mRf8AI2wn/Xy%0aH/pSPpOGv+R3gv+vtP/0pHG/sCf8AJHdY/wCw9N/6T29fS1fNP7An/JHdY/7D03/pPb19LV%0a3cVf8AI8xf+N/lE9Ljb/kpMd/jf5RCq1r/AK+8/wCuo/8AQFqzVa1/195/11H/AKAtfKnxJ%0aZorzbTvjH/aH7Q2tfC7+yPL/s3w5ba//av2nPmedcSw+V5WzjHl7t285zjAxmsib9oPyfiR%0a8VvCf9gZ/wCEF0G01v7Z9s/4/vPjnfytnl/u9vkY3ZbO7oMcgHsFFfPGjftZy+MdE+FVt4W%0a8JJrPjnx1pEHiB/D7amY4dG011Bku7q5ELFYw58tP3eZXyFAwcei+A/iz/wAJt8T/AIm+D/%0a7K+xf8IXeWNp9t+0eZ9s+02UV1u2bB5e3zdmNzZxnjOKAPQqK+dfGf7Xf/AAiPwj+Nfjf/A%0aIRP7X/wrbxBJoX2D+0tn9o7EtG83zPKPlZ+1427X+51+bjQX9rDTrz9lTW/jLY6HJNc6JYX%0aEupeGLi58mezvrclLiylcoSjo4IyY+RtbbhhQB71RXnnxB+M2n/Dn4PP481CzluC1pDJaaR%0abNvnvbqYKILSLj5pJJHVBx3zjANeZX/7W+pSfBL4NeONH8F2t5qnxK1ex0i20i+1praCyku%0aYZ5A73C20jMq+Rg4iBO7PbBAPpCiub8EX/AIvv7K4bxhoeiaFeLJiGLRNZm1KN0x95nltLc%0aqc5G0KwxzntXmn7VX7SzfsyeHPDWsDwvJ4oh1TVGsriKG8+zvawJbTXM06jy38wpHA52fLn%0a+8KAPb6K4T4p/FvTvht8KNR8bxQ/25GltG+mWVtJtbU7iYqlrbxtg8zSSRoDg435wcUvwL+%0aJ/wDwun4P+EfHX9m/2N/b+nxX/wBg8/z/ACN4zs8zau7HrtH0oA7qivLfiR8YtT8PfELw94%0aA8H+HbbxT4x1WzuNVlh1DUzp1lYWEJVDPNMsMz5eV440RIm3EsSVC5NX4e/HDVPij8MrzWd%0aA8Jo3jHTdUuNA1Tw1eaokUWnahBL5c6SXSo26JeHEkcbsyOhEeSVAB65VaT/kIQf9cpP5pX%0am/we+Md/8QvEnjjwr4g8OxeGvFfg+7t7e/t7LUPt9nKlxCJoJYZzFEzAoeVaJSpGOetekSf%0a8hCD/AK5SfzSgCzRXN+N7/wAX2Flbt4P0PRNdvGkxNFreszabGiY+8rxWlwWOcDaVUY5z2r%0axj4WftUax4q+DI+LnjLwtoXg34fNYTXYuLXxFPqOob0mMKxfZzYxKWdwVULKzFiihSW4AKn%0a7ff/JHdH/7D0P8A6T3Fdl+x/wD8m6eEv+3v/wBK5q8P/a28WeO/Fnwn0m88QeBrLwf4fn1i%0aOW0W51w3GrA+VOEW5tUt/JiJTcx2XMu07VwSSVb+yd8dPGuraM3w58G+CNB1V/DNhHf3Oo6%0a54mn04Si6uroqqRxWFx93ymySw6iv0av/AMkbQ/6/y/Jn6zif+SAw/wD2ES/Jn2tRVXTJLy%0aXTbR9RggtdQaFGuILWdpoo5SBvVJGRC6g5AYopIAO1c4Fqvzk/JgooooArR/8AIQn/AOuUf%0a83qzVaP/kIT/wDXKP8Am9Znjnxjpvw88F694p1mRodJ0Wxn1C7dACwiiQu20EjJwpwM8nFA%0aG5RXkH7MX7Qkf7RXwsbxVdeH7jwbqlnez6dquh30xkewnj2vtZyiZBikikyVXh/xOf4Z+Ov%0ajL4n6efEnw9+HlprPgRixs9W1vXzpl3qyI7q0tnai2lBjbb+7a4lg35BwqESEA9vorynxP8%0aadSbxwPA/gfwqPFHi23s4r/Vlv9SWx0/RYpQ3lLd3KJOwmk2NsiiikJA3MUQq56/wNrXijV%0aba7j8WeGbbw7qNu4Ctp2qDULO5UjIaKVo4ZeOjCSGPB+7vHzUAdPRXm2o/GP+z/ANobRfhd%0a/ZHmf2l4cudf/tX7Tjy/JuIofK8rZznzN27eMYxg5zXm3wx/aV+JXxR+Gdp8Q9I+Eml3/hi%0ae5uYvsGneLWk1l44LuS2laK3lsooHfMTuENyuVAAbcQtAH0lRXkOrftO+E0+GXhPxh4eS88%0aXt4wmjtPDmj6Ui/a9RuWDExYkZVi8sRyGVpWVYhE+45AB2NC8T/FKdLyLW/AHh6wu2s3msJ%0aNO8VSXVqZ1xiG6d7GKSHduGHiinGEfcFwgcA9Gor5B1D9tXxz/wgut69Y/DGwuYrWa9isdS%0a0+81rVtMv47cFWuYri00Z1Mfmq6DzTCHEZdX2EPW/wDs1/th6p8YvFmneFPE/gufQNWvNAt%0aNagvrCy1Z7WbzRJu3m50+BYF/dMVcySROWCJLIwoA+n6K8F8RftK61ouh6HanwE9j4/1fxL%0a/wjVr4Z1zUjaR3DBRJJeQXEcEpntUjKuZUiOPmDBWUqOp+FvxT8S+LPHvjLwh4r8MaV4e1X%0aw7bafd+Zo+tS6lBcJdfaNvzSWtuylfs5yNpB3DnigD1GivKdF8afFHUfDE8UfgrRZfFul6l%0aJpuorquqXGlafdoqK8d5ZSJbXTSRyJJGdpHyP5kZYtEc7PhLWfifea3FF4n8H+EtI0gqxku%0a9J8V3V/cK2PlAhk02BSCcAkyDA5welAHe0V8n+Jv237Xw34E8Y644srnV7nbP4F0C3s7qW4%0a1K0mlW0sbicoCGF1cCWaOOMK5twGVXKsR1fwn/AGqofF3xC1/wdq+ma7Nd2UmnJbajZeCNb%0as4d9xCPMjuUmgJtisis4eVlQxTRYYlJDQB9C0V8u+Kv2vPFPh7xtqc0Xwn8Q3Hgfw9K2k+I%0afMn0qPUrfUJWgNibZP7SPnxzCdVEflqzGSMozHMdWrn9qvxnJ4kNlYfDPT5LY+Lbfwilpd+%0aJmTVmuHt4bmd/s0VnLDtghlkkci5K7YJCGI25APo/Uf8AkH3X/XJv5GrNVtR/5B91/wBcm/%0akas0AFFeI6B8dvF3xQ+16r8M/Amn6/4Mt5Ggh1/XtfbS/7UkR3SU2UKWs5kiUptEkrQh2J2%0a5UbzF4i+PXjJvjjB8NPCvgLSr3Uv+ETt/FVzP4j8Rvp32dZLmW3Nvtt7S6DOrRglg205OCc%0aAkA9zorx/wAO/tCLfWHjfTte8Oy+GvHnhDT21K/8Nz3iTJc2/lu0Vza3CDEtvI0boHKI6sp%0aEkSHAON+yz+1hpv7TPwuvvEi6JJ4Y8Q6YA2peG7i582S3SSPzrWUSFELRzQMjq+wA5YDO3J%0aAPeaK+dPDn7Xn/AAkHw4+Bniv/AIRPyP8AhZ2rxaV9k/tLd/Zu+Od/M3+UPOx5GNuE+9145%0a9C+JPxj/wCFefEn4YeE/wCyP7Q/4TbUbqw+2fafL+xeTavPv2bD5m7ZtxlcZzk9KAPSaK+e%0ab39sTSdH0f4l3mpaDOl54W8Vf8IhpOl2dx5914hv3hikgigTYu15DIRt+baqM5OAcdanxn1%0avSviB8LfBniPwpbaXrfjLTtUvrpbPVjdR6Y9mtu3lBjCnnFhcAFgEClDjeCDQB6zRXntx8W%0afI/aAsPhl/ZW77X4YufEn9qfaMbfKu4LfyfK2c58/dv3cbcbTnI85/ZK/bE079qKPxDazeH%0a5PB+vaVOzxaZPd/aPttiJXhW8hcxx7k86GaNgoOxkAJ+YUAfRFFebfAL4x/8Lx8F3/iD+yP%0a7E+y61qGkfZ/tP2jd9luHh8zdsTG7Zu244zjJ616TQAVWuv9fZ/9dT/6A1WarXX+vs/+up/%0a9AagCzRWd4h12Dwzol5qlzBe3MFqm9odOs5bu4fthIYlZ3PPRQfyrg/gV8an+Ndh4vuJPDV%0a74Um8PeIbjw/LY6jcQzXBeGKF2Z/JZ41O6UrhHcfLncc4AB6bRXix+Ofinw78T/Bfhrxl4E%0atdB0rxnNdWukahY66L65t7iKE3CQ31v5CJEzRJLkwTXCrIm3cysJK6n41fFqP4Q+GdPu4tK%0al1/XdZ1ODRNE0eKYQ/bb6bd5cbSkERIFR3dyDtSNiFYgKQD0CivB4f2poPCX/CyrP4maJb+%0aEdZ8DaZFrtzBpWpHUre/06VGKTW0jxQOz+bHJCUeNcOFwSHBqz4Q+P3iU/ELwf4T+IPgW28%0aE3XjHTp73Q3tdbOoMZoY1lns7lDbxeTOkTb/kMqHZIA52jIB7fRRRQAUUUUAFVrD/UN/11k%0a/8AQ2qzVaw/1Df9dZP/AENqALNFcf4++Ii+BooCNJvdRaSWCNpY1EcEQllEalpG4JyT8qBm%0a4GQoIap/GHjK48P6roekadpy6nq2rySiCOa4+zwokahpHd9rkYBGAFJOa6o4arNRaWkr21X%0aTfrpbzOaWJpRck3rG19H126a38jqaK5DRPG1/r/h7U7i00Tdren3rafNpxu1EfnKy5ImK8x%0ahXD527sZAUngrofje7n8TX3h/WtKTTtUt7NdQQ2VybuGaAttyreWjbgwI2lPTBOaHhaq5tP%0ah31V+mtu2q18xLE0ny6/Fto7ddL99Hp5HXUVyfhTx8PFXiXXdKXSrvThpkVtKJLzCPMs3mF%0aT5fVBiMHD4b5sMqkYqOX4hhfHem+G10i9RL0XO3ULhfKjYwhSwRT8zjLgbiAp6qW5wfVayk%0a4cuqV3tta/ft6h9ZouKnzaN2W+97du/odhRXHa14z1aHxuPDWj6PZ30w04ajJcXt+9siqZT%0aGFG2GQk5Ge1T6p4zn0bxL4Q0W50+M3Ou+esrxXBZLZ4oPMIXKAyAkFQSF9cdqPq1V2st1fd%0aXsk3f7kw+s09ddnbZ2vdK33tHVUV55o/wAQ/EfiNtdl0vwxY3VppWp3OmlX1cx3E5hfaWRD%0aBsBI6BpAM8EjrWp/wtLRD4Ri8QJ9pkjlmFolgkWbs3RbZ9m2Z/1m7IxnHGc7eauWDrxfLy3%0ad0tGnq1dXttp3+/RkxxlGSvey1eqa0Ts7X317fdqjr6K5zRNW8S3NzbjVvD1rp9tOmd1rqf%0a2iSBsZAlUxIP8AZyjP82Oq5YcvD8YZpLKx119FSPwfe34sYtUN5+/2sxjSdoPLwIjIAM+Zu%0awwbb2pRwlWbahZ27Neei7vR6eX3ksXSgk5XV+6flq+y1Wvn93pdFef638Tb+2n8RyaPoKat%0apvh7C6hcve+QzOE8yRIF8tg7IhUncyckAZroJ9f1DUdM0y98OafbarBfQi5We8vDaxLGVUr%0ayscjFmDZA24wrZIOAylhasEnJJJ+a7X17aO+pUcVSk2ottryfe2nfXTQ6CivPrX4uR6j4S8%0aO6naaVK+qa5dNY22myzBQkyM6y75ADiNPLc7gpJAGFycVq6F40u9Qu9c0u90c22u6VEkzWd%0atciWO5SQMYzFI4jzkoyncq4I545pywdaCblG1r9V0dn12vpfb8yY4ujNpRle/k+quvnbW2/%0a5Hiv7ff/ACR3R/8AsPQ/+k9xXU/sm/8AJt3hD/rrP/6Xy15P+3D401CbwfpXhrWtJt7C+a/%0ah1GCaxvTdQyRiO4jdWLRxsrAshxtIIbrxivWP2Tf+TbvCH/XWf/0vlr7/ABdKVLg+gpdazf%0afRpn7BVqxq+H+HcemJmu2qTPbaKKK/ND8rCivDdb+PXjPwJrPhmXxp8OrTRPC3iLxBD4etL%0auy8RC91G2muJTHaPdWot1iRXOzd5VxNsLj7wBIzPG37UeuaTN8RdT8K+Ao/FXg74dv5PiHV%0aZNaFncySxxia8jsbfyHWdreFlZvMlh3OSi5IzQB9C0V5zrfj7xdrEOgXnw48LaP4r0TVdPG%0apf21rOvtpdr5bhDCsYjtriV2dWL8xooAHzEnaMrwH8bdX+LPwh0vxZ4P8H+brl3dzafcaNr%0aWppaQafcW8skVyJrmNJiUV4XVGiikLl4sqil2jAPW6K81+CPxfuPira+KrTVdCHhvxL4V1u%0abQtVsIbwXtt5qokscsE+yMyRvFLE3zxxsCWUr8oLXfjX8Wbb4N+Cf7ZbTZ9c1S8vLfStI0a%0a2kWOTUb+4kEcEAdvlQFjlnOdqKzYOMEA72ivIvAvxt1jUviH4k+H/i/wpbaD400vSodes7L%0aRtX/tK31WwkZo/MhmlhtyrpMhjZJEQAtGwYq2RBoXxt8T2Pxc8P8AgPx14KsfDt14k0+7v9%0aGvdH106nG/2Ux+fDcK9tAYnVZoiNvmKckBuOQD2Siq+oX9tpVhc3t5MltaW0TTTTSHCxooJ%0aZifQAE189+Gv2sNW1CP4e+Idb8CJoHw78f6imm6FrT6x5t+rz7jYvdWfkKsSXKoCpSaUr5k%0aYYDJwAfRlFeR+JP2g49C+Nngn4eReFNZmTxHe3difEF1GLSzhkt7GW7dIlk/e3BxHGN6J5P%0a704lZ43jHrlABVa1/195/11H/AKAtWarWv+vvP+uo/wDQFoAs143+2B/ybp4t/wC3T/0rhr%0a2SvG/2wP8Ak3Txb/26f+lcNe5kX/I2wn/XyH/pSPpOGv8Akd4L/r7T/wDSkcb+wJ/yR3WP+%0aw9N/wCk9vX0tXzT+wJ/yR3WP+w9N/6T29fS1d3FX/I8xf8Ajf5RPS42/wCSkx3+N/lEKKKK%0a+VPiQooooAKKKKACiiigAooooArXX+vs/wDrqf8A0Bqs1Wuv9fZ/9dT/AOgNVmgAopsjFI2%0aYIZCASEXGW9hnA/OvER8d/GPhPxP4IsviH8PbLwxpPjG9Gk6fd6X4h/tO4s794mmit7yH7P%0aEqbkimBeCWdVeMDJVg9AHuFFfN/ir9rjUtF03xl4u0zwKmrfDHwfqraVrGvtrBhvWMMix3k%0a1rZiBlmigYkEtNGWMb7VOBn0jxx40+ItpdzHwL4C0fxZpkVgl4l9qficaaL2Rt5EFsqW1xu%0aICIS8piT96m1mw5UA9Iory3w78ZNR+Kfwp8KeNfhp4aj1yHxFAt1DF4g1EaXHaxEEnz3jju%0aGD5G0COOQE/xBfmq58C/i+fjH4X1W9udFfw9rOi6zeaBqunG5FzHDd2z7ZPKmCr5kZyCGKq%0aTnlRQB6NRXnXxi+Lj/AAz/AOEY0zStG/4STxb4p1NdK0bSDdfZo5HCNLNNNLscxwxQxySOy%0ao7cABSWFZXw2+N+peMrn4gaBqvhQab498FugvfD+m6kl5HdpNCZrSS3uZEgBWYKyjzFj2sr%0aBsAZoA9aoryHwT8Z/EV38ZJvhp418Jaf4f1yTQD4isbvQ9afVLOe3S4FvNG7SW1s8cqtJCQ%0aPLZWVz8wKkV6J418X6Z8P/B+t+J9an+zaRo1lNqF3KBkrFEhdyB3OFOB3PFAG1RXgvhD9pH%0axBc+LPAOneNfAcHg7S/HsMz6BeR639snWZIvPS3vYTBGIJXhDsAkkw3IU3ZIzuXP7QqR/Hb%0aw38N08Ja1DFrMeptHr+oRi0t3eyWIyrBE372UZmQeYVSNgQY2lGcAHr1FFFAFaw/wBQ3/XW%0aT/0Nqs1WsP8AUN/11k/9DarNABRRRQAUUUUAFfEX7bcip8WtJDMAf7Eh6n/pvPX27XxJ+2z%0a/AMlZ0n/sCQ/+j56APCIJ48f6xf8AvoVajnjx/rE6/wB4VBB0q1H0/GgBfPj/AOeif99Cjz%0a4/+eif99CpKKAI/Pj/AOeif99Cjz4/+eif99CpKKAI/Pj/AOeif99Cjz4/+eif99CpKKAI/%0aPj/AOeif99Cjz4/+eif99CpKKAI/Pj/AOeif99Cjz4/+eif99CpKKAI/Pj/AOeif99Cjz4/%0a+eif99CpKKAI/Pj/AOeif99Cjz4/+eif99CpKKAI/Pj/AOeif99Cjz4/+eif99CpKKAI/Pj%0a/AOeif99Cjz4/+eif99CpKKAI/Pj/AOeif99Cjz4/+eif99CpKKAI/Pj/AOeif99Cjz4/+e%0aif99CpKKAI/Pj/AOeif99Cjz4/+eif99CpKKAI/Pj/AOeif99Cjz4/+eif99CpKKAI/Pj/A%0aOeif99Cjz4/+eif99CpKKAI/Pj/AOeif99Cjz4/+eif99CpKKAI/Pj/AOeif99Cjz4/+eif%0a99CpKKAI/Pj/AOeif99Cjz4/+eif99CpKKAI/Pj/AOeif99Cjz4/+eif99CpKKAI/Pj/AOe%0aif99Cjz4/+eif99CpKKACiiigAooooAKKKKAIz/r0/wB0/wAxUlRn/Xp/un+YqSgAooooAK%0aKbIxSNmVGkIBIRcZb2GSB+dccPiWv9p2Wnnw/qn2q88zyUSW0kzszuJ2TnaARtycDPGc0db%0aB5nZ0VyJ8fzjVxpf/CK6yb4wfafKElnxHu27iftGBzxjOTz6VeufFMlrd6BBNpk1tJqtxJA%0aY7iRN8G2N3ydhdWzs6Bu/wCFAHQUVweq/GLR9J1m/wBNlgkM9nIIpGkvLKAE7Q3yiWdGIww%0a5xjOfSr+h/E3R9b0DU9Z/e2ljp0phuHk2S8hVOVMLOGHzDoT3oWquD0djraK5O8+J2iWljq%0alx/pzPp1uLqe2ksZYJfLJwColVM5IPftT38dPa3WnxX3h7VbCO+uEtop5mtWTewJGQkzMBg%0aHtRuB1NFcre+MHg8WS2CG3XTLC2El/cSNhhNIcQwpyBuIycHPVemRmhbfFNbttIEXhrWnOr%0axNNZfNaDzUChyeZ/l+Ug/Niha/1/XZht/X9dzuaKyfDXiKHxPprXkNvPahZpIHhuQu9XRir%0aA7WYdQehNVvGnjPT/AAVotze3lxbLOsMkkFrPcLE1wyjO1M8k8gcA9RSbtuNa6I36K5GT4l%0a6bLJpUOmQya/PqCyFE0qaCRUMaqzqzPIoBAccZzWnoHiqHXrXUJfsV3ZPYTtbzwXCq8gdVD%0aHAjZw3DDoSTVbEp3sbdFef2HxbsH1nXIb5Lu10+zlgihnbS7pSC6AkSkp8h3MANwXgjr1q3%0aqHxQg0+z1a9/sLVp9P0yaSC4u4vs2wMhw2FaYOR/wGkPyO1opqMHRWHQjNOoEndXQUUUUDI%0ax/r3/AN0fzNSVGP8AXv8A7o/makoAKKKKACiiigAooqrqYvDYT/2e0C3u390blWMe70baQc%0aHpkdOuD0oAtUVw97481Jr3TbDT9GN3qgYyapZQTRSm0iHHDl0XczY27iDtySvGKSw+K9tqH%0a9mMuh6rHb6jeGxgnY2zKZFLBshZi20bGJbGMDPpQtdgem53NFcn4o8Q614Ss9T1SW1sNQ0u%0aFFaFEleCZWLBdrfK6sDkHcNuOm09a5+X4r6wupyWcHhuO+EMskFxcWcl7NFBImMozLZHJOf%0a4c++OKBnplFcRYfEkz6Pp98+mG7bUbtrS1h0yYuzMoYtu+0JBtwY3GCO1Mm+JzzwWg0/R5D%0aeT6q+ktb6jcLB5UqoWYloxKCOMcUC/r+vuO6orlrHxXqMfiX+yNX06ysc2T3ouLa+aZQquq%0akNuiTH3s556Vzlv8S7q2tHvpDHezatdRnSdMkPkbLRpUhWV3CMRuZg/IJwRjoQD+vxt/XoG%0a39eV/wAj0yivO7z4j69Yt4jEnh/Tj/YUKTXO3VpPnVkLjZ/o/JwO+Oa7+1m+020M23b5iB8%0aZzjIzR0uHWxLUUnT8alqKTp+NAFWfpXun7E3/ACVnVv8AsCTf+j4K8Ln6V7p+xN/yVnVv+w%0aJN/wCj4KAPtuiiigCta/6+8/66j/0Bas1Wtf8AX3n/AF1H/oC1ZoAK+UP2j/2gftPxRn+D9%0an8SfDnwfsY9Nhvdf8X65qMFtfLDMzBLbTEldVMzLG26c7hErggF9tfV9FS4qVr6rqu+n9ad%0adnpvSdk7b/l/X4bnC/A+z8DaT8LPD+l/DfU9O1fwbp1v9isbvS75L2FwhIb98jMHbdu3HOd%0axOa7qiitJScpOT6mcVyqwVWsP9Q3/AF1k/wDQ2qzVaw/1Df8AXWT/ANDapKPjX41eHLxv2u%0avD3jTxn4k1HwJoWm6NrJ0y+0vUFjNvY2S2M8l1IMMjCWSedGhlR1KQx5G4ja/SdFvfDvwe/%0aZQGqW72FxN46TVZoJxta1S5sNWuFST+6yrMqt6EGvrTxJ4F8NeM3t28QeHtK11rYFYDqVlF%0acGIF0chd6nbl4om47xoeqjCeMvAfhn4i6QNJ8V+HdJ8T6WJVmFjrNjFdwCRQQr7JFZdwycH%0aGeTQB8meM/Gdvr5tPifDo9tJa/EPRbFtBt9W8eano/iL7GqxTm1sLPSrCefDOySyiCWVnyC%0a+EVVXx/wCGdjbeMrvVtH+IXwC+G0Fy11/whuiyeN/E7RRWsMDtHBotlcx6bNH9phM7qGV0n%0an++vmiEsn6JaD4C8M+FdRu9Q0Xw7pOj393BBbXF1YWMUEs0UKbII3ZFBZY0+VFJwo4GBUGm%0a/DbwzpWj+INJi0e3l0vxBc3V3qtld5uIbyS5/wBfvSQsCrgkFMbcEjGKALPgewu9J8H6PY3%0aum2ej3Fpax25sNPvpL2CBUG1USeSON5AFA+ZkU+3evN/2wP8Ak3Txb/26f+lcNep+H/Dule%0aEtGtNH0PTLPRtJtE8u2sNPt0gghXOdqRoAqjk8AV5Z+2B/ybp4t/7dP/SuGvcyL/kbYT/r5%0aD/0pH0nDX/I7wX/AF9p/wDpSON/YE/5I7rH/Yem/wDSe3r6Wr5p/YE/5I7rH/Yem/8ASe3r%0a6Wru4q/5HmL/AMb/ACielxt/yUmO/wAb/KIVWtf9fef9dR/6AtWarWv+vvP+uo/9AWvlT4k%0a+UdV+H2l/EH/goF4sttUutctY7f4e6bIjaHr99pLkm+uR8z2k0TOPZiR3xmuc8O+EbHwR8d%0a/2qdL06fVLm2XwNpbiTV9WutSnybe+JzNcySSEegLYHYCvtqigD87/ANkXVz+yF4E+H3iTx%0aROt58MfibpGlSXXi69UG48PamLSKKC1u5ccWDKNsLn5YGLB9qtvPtfhn4heG/gj+1B8aZfi%0aBr2meDdM8ZNpOseHtV1u7S0s9SigsIbW4SKeQrG0kciLujDbtsqNjBzX1LRQB+d3xZt7i+/%0aYS/ak8Vi1uLfRPF/iq413RJrqFoXu7Bjp8MVwEcBgkhgd0JA3IUbowrX/AOCg3hm++BXgf4%0aoeNPD9jLc+DPiLpLaT4psLZSVsdT2FLPU1X7qrISLeb7uWaFvmbivvqigD5S8SfD74n+I9d%0a8M+J00Twl4m8F+HvDsL6BpWp+I7qwaC/e2Amv5oksJ1kmRS0UPzgRq8jfek+TwbSNP1LxP+%0ayH+x3pfiC0j02xn8d6Hb2s2i6zcrczWxsrzEjSIkL20ud3EbttwCJMnA/SaigDhIfh5qXg3%0awjPpXgLXpLC+luhcfbfGVxqPiUAFQrKPPvUlAIVcKJQoO47SWJPjfx+03WR4n/Zys/Ft9pe%0au6k/jt0uZ9N017K1lQ6bf4UQSTzkfKQDmRsnJwAcD6fooA+Jfhpomu6j41h+DGq2twfDXwW%0aa71Fby4G9NQhkhZdAjBzz5NvNcbs5xJZRHr09A/ZQ0/xjf/ALG3waXwdr2h6FcLoNubiTXN%0aEm1NJF2cBFiu7Yoc9yWz6DrX01RQB8s+LfEUfwW/a28LeMPiRrOnaVoWu+BW8Nt4okj+waU%0aNUguzdGJ2klcW/mxNI0aySHd5TKGcg1U+CN14e0f4YfFLxZ421Kfwl4H8f+PL/WdM1k3lzo%0a4+wyRwRW1y91G8b2iTm1LJI7x7/OiUHMyq31jRQB82fsoXtq/j34qWvg69bXvhT9osrvR/E%0aDH7QL3UHSVb8LfkF78L5VupnkkkYHMe9ggVPoqT/kIQf9cpP5pVmq0n/IQg/wCuUn80oAs1%0a8G/D/wAHa54x/wCCZ/gQ+G9Nk1zWNFvLbX4tHiI3agtnrBuJIAP4mZI32r3YKO9feVFAHwx%0a+1r8ZvA/xb8E6NN4W+I0Oo3kN8qXXgrzbaO5tWVZlee4tXjF5DKjYiKuyoN/KbirV49+y9e%0a/DSz+LHjE/Ebx3/wAIRE2gaZ9if/hNbnw59pP2m/3jdBcwedt+Xht23dxjcc/WX7ff/JHdH%0a/7D0P8A6T3Fdl+x/wD8m6eEv+3v/wBK5q/Rq/8AyRtD/r/L8mfrOJ/5IDD/APYRL8mep+Hb%0azTtR8P6Zd6PfR6ppM9rFLZ30V0bpLiFkBjkWYs3mBlIIfcd2c5Oc1o0UV+cn5MFFFFAFaP8%0aA5CE//XKP+b187fthLdfEu58B/BPSZ7KK98Z6j9v1JtQtmureLS9P23MomhSSN2jllW3gIE%0aibhIw3DmvomP8A5CE//XKP+b1ZoA+MtS8J+Lvh/wDH/wASeG/EniDRbtfjj4bvLC31HRdGm%0a023tdYsrYrGXje6nOZLaRyWDgsbdAF4Jrs/2ff2hfBHw++DHhLwV491zTvAXjvwrplv4f1D%0awtrFwsF889rEsIa1gPzXUUoVWieASLJvCqWYED6aooA+V9M8Y6X8Cfj58WLnx3qZ8GeGviF%0aLp2paB4w1ICC185NOEEtpLPMnlQTp9mMkcU2NykgBirCtf9lj4ieIPG/xN+L9i3jy6+JfgD%0aRptKg8O+JZYLEw3Eklq0l4kdzZQRQzFHaNWABKcA4JOfpGigD5s8R/8pDfBX/ZOtT/APS+2%0arzf9in9o74cfDv9lPw/pOpeK9OuvFNpfawP+ET0udbzW55H1a7aOKKxjJmd3DqQAn3W3Ehc%0asPtuigD4Y0T4b+KvgP4V+AXxA8TaPcGx8Lar4hv/ABTpenRteS6LBq7TSrMqRBi6WxdUl8s%0aMQHdhlQxH0L4l+Lfg74y+BfGPhr4d+LfDXjTXbjQr0JFYag13ZRExFEW6ntJB9nVy2ATJG7%0aASFCfLYr7FVDXdB0zxRo93pOs6daavpV5GYbmxvoFmgnQ9VdGBVgfQjFAH5c+EtSj+MvwY8%0aYX3gjwba+LvCOnxOljoXiUWfiyTwrbxafFEfKa91uKay3zxXbIY0lVo4omVeMH3z9in4TXF%0avo9rL4g+Eej6ToHiPwjaWN1eW3hzT7K11GIIHX7UsesXX2hpBK+Xa0jZ8/OVACV9R+Mvgf8%0aADn4i31te+K/AHhfxPeW0AtoLjWdGtruSKIEkRq0iMVUFmO0cZJ9aq+Fv2evhZ4G1211vw3%0a8NPB/h/WrXd9n1HS9Btba4h3KUbZIkYZcqzKcHkMR0NAHxT4Y8T6D4R+EUmueAfFVp4Xv/A%0aIb67rkXi+LwzpumPf2nh261/UTFDFNc2sqRFDCk6WwK740OELPCa9g/Zv8ADWn/AB+8W6v8%0aWbjXpvHvhD7G2h+FfEOvaTpltrb7HlW6uobm0s7a4tIt0kkUcbFZMiaTCiRK9wP7Ovw2fxb%0ap3iSXwfp1zqelu82mpcK0trpszzCeSe1tmJht5nlVZGmiRZGYZZiak1L4AeANT8Z3PitvDk%0aNn4gvIJba/vNMnlsjqUUibGW8WF0W6G37vnh9nVdp5oA+KfHlx4C8S/DbVvBGuwjxn4j1nx%0a7rfhTw/q+qadc+LdW0jTYWV7yS2ZkublmigUhQpJWR42bCqzD0j4QaZ8ItP/aLfwpp/wUtd%0aJ0S80+K68MeJNY+HD6M0N5FEy3OnrPc20cszmKI3Idssd04LEKoHvs37Mfw5V7d9M0a98Kv%0aDaQ2JbwlrV9oRmhhBWFJvsU8PneWCwQybioZsY3HNnR/2ffC2iapbX8Oo+NLiW3cSLFqHjr%0aXLy3cjtJDNePHIp7q6lT3BoA+AvGnw80DTPAl9pWoeBPh94I+Jr+MNI1VPC2heNUTVLBrjV%0aLGKOOS2srdFskW2MCrcRNK6CeR1w08m72n4C/DHxZYftLfEKS40HyU02/0h7xv+Fs+ILzyF%0aNorA7JYANQ452XO1V+4Pl5r6j1v4E/D3xD8O4fAN34P0lPBMNxFcp4ftLZbayDxzi4X91Ft%0aUqZRuZSNr5bcGDEHP0n9mT4PaBqtlqemfCjwPp2pWUyXNreWnhyzimglRgySI6xgqysAQwI%0aIIBFAHyT488MabFo/xN+I8Hw1uta0nwLqN5HPf6h8Z/EkGp3Lab5hWSOMRSKrKJZfLHm/L5%0aj4I3HNWLUPDHg7VvEGq6N4iS1+Kvh74iovhjQ73Wmu7/VbS8tdItru3khmkaW6V4gSZjl0a%0aIPvGHDfVXiH9j34KeLR4ifWvhl4d1W81+ee51DUbuzEl9JLN/rGS5P72I+nluu3+HbXofhT%0awLofgc6udEsfsR1a9Oo3v715PNuDFHEX+djt+SGMYXA+XOMkkgGrqP/IPuv8Ark38jUWuac%0a2saLqFgk5tXureSBZ1GTGWUqGAyOmc9RUuo/8AIPuv+uTfyNWaAPlb9mf43eD/AIM/BTwv8%0aOfiVr2k/Dzxx4Tsl0m80XW7pLSS68lmjjuLQSbftUUwTcrxbgSxX7wIrM134reDfAv7f76z%0a4q8T6V4R03UPhRZC2n8R3SabvZtVuXCbbgoQ+3JKEBhg5Awa+vKKAPknUGf4sfEb4p/FXRr%0ae4TwNZfDqfwvpuqzwtFHrczNJdS3FsGAMlug8tUmxskLuY2dRurzrw34avfhl+zB8Gvjz4X%0aspbq90TwNZab4s0u0Ul9V0N4Yy8gXo01oSZ0J25QSqW5XH33RQB+bXhjRLfxJ+yz+xJpl3J%0aeQ2114qto5HsL2aznUfZr37k0LpJGfdGB969j+Lfwr0X4e/tN/s13Gl3viS6e517VEca54n%0a1PVkAGmTH5Fu7iVUPuoBPc19hUUAfnD4c8L+I/Bvx1+M/wAdPDdhN4wk8G+OdQs9S8JOgld%0a9OntLI3N3pwONl6iqM8jzYlaPIOA3t3xK+KvhXWPif+z58bdO1u0vfhRFb61p174pjci009%0a76O1W2a5Yj9wplgMLGXZ5cjKr7ScV9YUUAfNXgjxJpfxe/bKbxn4Mv7fxL4P0LwNPoV34g0%0a2QT2DX9xfW9wtvFOuUldYoSzhCdm+MNgtgeIfAX4c6xP+yJ8M/ip4GsjdfEXwLqGv3NtZRZ%0aB1rT31a9F3pr4B3eYgLR5B2yohGMk1+glFAHyz/wTe8QWvi39nK41yyEi2Wp+KNavYBMoVx%0aHJeyOu4AnBwwzya+pqKKACq11/r7P/rqf/QGqzVa6/wBfZ/8AXU/+gNQBZr51/ZGnW2k+Pc%0azhykfxO1lyI0Z2IENqeFUEk+wBJr6KooA+P9S8TeDNV+PXww1L4P8AilvHXim61u5HiHTpN%0aWl11NL0iW3ka7lc3DStpJWUW6rHE1v5j7YmjkCBU0f2h/ij4c8UL4D8d6HeTar4f+GnxMNh%0a4suIrSZRpfl21xbXMr7lBaOF7iIs6Bl2kkEhTX1fRQB8BftC+Hbr9pbW/jb4q+GqxeLtDsv%0ah5ZeH7S/0ki4i1W/j1BtQkgtZUJWfZEI1OzOJJCnLAgenaj8RvDf7Tvx0+BGofDnVLXxLp3%0aht7zxLrt3aFZDpEM1hJBbwXJB/c3EkkpHkN+8xDIxUCM19X0UAFFFFABRRRQAVWsP9Q3/XW%0aT/0Nqs1WsP9Q3/XWT/0NqAOE+PH/Ihx/wDYU0//ANKo6pfFOe1/4TTwnBr8w03wvtuJX1Iy%0afZwl2FHlIbkENB8u8gqy7yNuSMg+o0V6NHF+yjCPL8PN1195Jaeat5nn1sJ7WU5c3xcvTT3%0aW3r5O/keIaT4+TwF4Q8T3unpDeaENYW00K7uWEMdy8u0O8kxxviWQv+/YkuFJLsea6T4Yto%0a1xrd/qU3jHSvFXi7UIh9o/s+7jaO2gUkrDBGrErEpbqeWJ3Nya9LorSrjIVITUY2ct3darT%0aR6X6XdrXb7JIzpYOdOUG5XUdlZ6PXVa+dle9ku7bPPfCP8AyWX4h/8AXrpX/oE9Hi7/AJLL%0a8PP+vXVf/QIK9CorH61+89py/Z5f/JeW/wCpt9V/d+zv9rm/8m5rfoeafEiPwVDqV9e63rN%0a14d10acYIru11Ke0nkiG9l8lEcLMyuzHbtY5wCOVzz8F5rV/4l+CVx4jhMGtyJftdIyBG3/%0aY25ZRwrEYJHGCSMDoPa6K1p432dNQ5b2TWr2vFxstNFrezb20sY1MFzzc+a12not7SUrvXV%0a6Wukt9bnjPwu8eeHfDQ8bW2p61ZWt6fFOoutk0wNzIDKAuyEZdyTwAoJJ4Gazx4X1yz0DTv%0aEr6VdEnxa/iGbSFjL3MVtKGjH7tckyKrByg5ySOoIr3aitXmCjUlUhDWVr3fZWsrJW6u++3%0azzWAcoRpznpG9rLu73d279Fbb9OY03x94Z8XbLHSNdstTuLqJiI7KQTPGu3O6RVyYx2y+3k%0ahepArxy31GHWvgdpXgCFlHi8T22nTaS3M9u0VwrvK6dRGEQtv+7yozk19FUVlRxdPD/BF6N%0aSV2t1ffTbX1031Na2EnX+OS1Ti7Lo7ba76emvkeJ23iSx8Ex/EvRNWkEGrXuoT3un2brmTU%0aEuYlWIQJ1lJdWQhc4PXFb1lZ6D4X8AeFfD3jDWDolzbafErf8TSWwR3VAroJY5EWTB/h3Hs%0accivTqKc8ap291rVN2fVRUVa60Wl9b6sUME4X1T0aV10cnJ3113tpbY8c0CysNV+Gel3PiW%0a7fQLbTtTkl0bWVgjsHghWRvs8rr5YiiDp8u10CNuUYyy0/wFb20finxn4vm1W+1PQ3t4LGP%0aWJwP9K8vcZZY/KVQI03KodFCnY7ZPLH2CinLHuSmrfF0urJNpu2l7u3e17u1xRwKi4O/wAP%0aWzu2k0r62sr9r2sr2Phj9sibRm0fSR4X1Nta017hWv7oXB1BY5gsghX7W5d8lTMfJ8zaAu4%0aKCxJ96/ZN/wCTbvCH/XWf/wBL5a5b9vv/AJI7o/8A2Hof/Se4rqf2Tf8Ak27wh/11n/8AS+%0aWvucfW9twhQl2rNa7uye+i/pH7NKl7Hw+w8e+Jm9NtU9tX/TPbajuLiO1t5Z5W2xRqXdsZw%0aAMk1JRX5gflx8M/Dv42eCf2mfGfhn4gfEP4t+DPD3h/TdS+2+EvhpFr9rHdCZTttr3UyZdz%0aXJJZkt0ULHmPJdt4qa1+Imi/B7wz+0t8PPE86WXjbWNf1fVPD/h+dN1z4hh1SICy+wxdbnf%0aLvhYR52MjB9mDj7gooA+JvFPxV1X4P+E/hP8As+Dx34X+E/iC08DWE/iDxn4lvYEWygjiFo%0aIdPjkdVnunmhlO5m2RpEWw7OoHqvhu/wDgV4I/Z+0Tw3p/xEtovh3DM1kviaw8WS26vdhzc%0aSmfVLWVBHNJIzOwMib2kKgYO2voSigD5j/Zqk1rUdN+LVl8PtUsf+EJTxCr+EPFWr6W15Ff%0aF4Ymv3Zo5LeTUIxP5qrdvKzysWLTTbCTB+0/pvi/w/8ADbwN4s8W31h4li8F+O9N8SavdeG%0a9Ens0ttKiDxzSm3a5uXbyhK0rsrfcUnaApavqOigD5e8N+LtF+IX7WmsfE7wxf2/iPwH4V8%0aATaNe6/oqm9gmvZbyO7NvA8O77Q8cMAZkiDFTMi/ebbWN4J1XwlL+1B4Ml+Dnig/EDTLjT7%0a638Y341l/EiabaeW0lmP7QmeaS2MlxHgWyzBHAd/Lym6vrqigDyXxT4I+JfiTwl430fVvE/%0ahjVrDVtFv7GystN8OXFhcJLLEyRF55L+ZGABII8tckg5UDB+Z9P8a6V8Z/gT+z38LfDkyXP%0axB0jVtA/4SDw66/6doEekyIL+W7iJDW6q8BjUyBfMMsarnzBX3lRQB8+fHf8A5Of/AGZf+w%0axrv/plua+g6KKACq1r/r7z/rqP/QFqzVa1/wBfef8AXUf+gLQBZrxv9sD/AJN08W/9un/pX%0aDXsleN/tgf8m6eLf+3T/wBK4a9zIv8AkbYT/r5D/wBKR9Jw1/yO8F/19p/+lI439gT/AJI7%0arH/Yem/9J7evpavmn9gT/kjusf8AYem/9J7evpau7ir/AJHmL/xv8onpcbf8lJjv8b/KIUU%0aUV8qfEnG3ulfEGTxqt1Z+J/DMHhHzYy2lT+HLiS/MYUeYouxfrGGLbiG+z4UEAhsZJpOlfE%0aGHxhPc6p4n8M3nhVpZTDplp4cuLe+SMk+UrXTX7ozL8u5hAobBwEzx2VFABRRRQAUUUUAFF%0aFFAFa6/19n/ANdT/wCgNVmq11/r7P8A66n/ANAarNAGZ4n8Q2fhHw1q2u6gXWw0u0mvbgxr%0auYRxoXfA7nCnivjz4L/FXwl8f/iH4P8AiN8Rvi14Ih1OOTf4L+GOleILUnTZrlWjWW8Hmb7%0arUGjkWJU2qsJLhFLuSPtaigD4BHjPTvCP7Mfxq+B96yn4pXeqeIdI0nwtIB9u1YajczvaXN%0atCSGeEpcq5lGVjEbsxG011fxR+MH2bxDa/AJ/il4Z+EWlaDoGnweKPFep6lBa6lcrLEB9m0%0apZmVUcxI265IbyvOQqu5Rn7TooA8Ju9Z+Bvh74L+DtFHjmy8PfDZIRaaLrek+K59MspPsw8%0aryRqdvPGGk4f920u6QxyttbynK89+zB/wleo/CbxVY+DtR07S/D9r4muU8G6zrWgGWG90hl%0ail84wwyWpnDzSXG25L7pf9YxkLFn+l6KAPlj45Prfw5+IXwE+IPj/AFXTr7R/D2t6jY63r2%0alaZJYWVgl/aNb200ySXE5iiEvlo8rSbAXBJXpU3wr1/SNf+M3xw+L0N4svw1utO0rRbPxFY%0aB2hvzaLcG8uIZIsl4omnWMzp8gMcmG/dMa+oaKAPlD4T6n4b/4aesI/hH4hPjvwjd+HLk+K%0atXbU319LOdJovsKLq0zSzeY264/0PzyiKDKIkLs79N8ePhv8VPGf7PHxV0DVvEHhzxRdaj4%0abu4dOsPD/AIauNOnkuQhZE3SX9wG3bdgUKvLA7uMH6JooA+PdU+JOgftNeJP2eNO8C31vq1%0a7oetxeJ9fiiw8uhQ29jPE0N4AcwSvNMsaxuAzMrEDajEd/8Wf+TzP2ff8AsD+Kv/Ren19B0%0aUAFFFFAFaw/1Df9dZP/AENqs1WsP9Q3/XWT/wBDarNABRRRQAUUUUAFfEn7bP8AyVnSf+wJ%0aD/6Pnr7br4k/bZ/5KzpP/YEh/wDR89AHhcHSrUfT8aqwdKtR9PxoAlooooAKKKKACiiigAo%0aoooAKKKKACiiigAooooAKKKKACiiigAooooAKKKKACiiigAooooAKKKKACiiigAooooAKKK%0aKACiiigAooooAKKKKACiiigAooooAjP+vT/dP8xUlRn/Xp/un+YqSgAooooAZMJGicRMqSl%0aTsZ13KD2JGRke2R9a8Ugl1Xwj8RNXFu+lPNfXdnbXC2+nvEXDxySPIhMxKEBCSMkE84Bzn2%0aySQRRs7BiFBJCqWP4Acn6CuC0bUvL1vxjrb6bqb2E4tY4U+wTJNOVjIYJGyhurAZIA98Amp%0aave3ZldNe6ON0DT4bm20m4kl1B9RvfDkt9cX41W7E5dCmwZEoG3LsduMZ6d6dqVnD4gPw7L%0a6HbanqdxFH9ov9UgBinJtHba7kFpMffxgjIwWU9N2HwTrtmP7Xsra3t/Itf7Pg8OTSBg1kM%0akxtPklZmPO4EqMAEkfNV2eG8vW8JzaP4c1CGx0hXnWK7aOJgBbyRrBh5N+/cQMsNuOdxHW2%0a1e/n/n+n+RGtn6P9P1OfN/ceGrjV7tD4i063udQije20xNKMcErJFGkZDSSMCcL6ABhx3Lt%0aW0u/0f4feOEu7XVFa+Zr37VqS2oJJEabCIJWBPy5ztUf1TWPAXiuPw/JEY01dtT1CHUr6C3%0auBBNbSiRWdYWJUMu1VUZZSCuQTnjrbXw5Druk6po91pXiDS7S9iCyT6hqa3J4PRCZ5ip/AD%0aj6Ultrv/wAM/wA+pV1ddt/z/Q4Dx8L62m8bjVLu1uJj4etwsltbtAgBmcAYaR+c989+la+r%0aanp93qfhOO18cf8ACQyjVoCbLz7N9o2v82IY1bjp1xzWtrHwvXUPElrDDDNHo5WKW/vLrUJ%0arma68ty0dsBI7bUDfMT3yAO9aviaLVPEGs6JbQ6LdwW1jqiXUt9PLAImjRXGVCyFySSMAqO%0avOKcfs+v5N/wCZLWny/NL/ACONtV0mTxh4gslvdT1GytLl7hrd7Fp4/t7hvnaWOH5VjBCjz%0aHOCM8BATU0G514TfC3y9N05iunzC23ahIPNX7OmS/7g7DjBwN3PGe9en3eg6zftOZ/EDRId%0awjtrG0jjjZeyyGQSMT2JQpx0ANcxpPw68SWcPhd5Nd0qO40O2MEUaaZJIh3RhG3N56lsAcE%0aBfp2qY6W+X6/5oqWv4/p/kyz8PtZXSPCdzPfQT+Y+q3qtHYW813tbz3JH7tC2OvzFR26ZxW%0aX8afEv9o/Du4tNNSdbjUFkylzbSQOsMQ8yVykiqwGAFzjkuMV2fgbQL3w5ostrfzQT3Ml3c%0aXDSWwZUIkkZxgHkdemTj1PWl8daLJrXhTWbe0tkn1Gexmt4T8oY7l+6GOMAkDvjgUpfD935%0aIcPi+b/NnH6bLq15408FjVrSC1ure2vsG3l3xyx7Idrr3H3sENjlT2xWr4XvzpUHju9Eaym%0a31SeUI0qxhtsMZwXYhVHHUnAq94f0TUJfE8+q6lALWO1tF0+xiDhmZPlaWRsEgbmCgDrhOe%0atZL+DNYtPEc14Ft7nS49VfWEWCUi6lY2/liIIwCD5iTuMmCOwq5b29fxd/0M46RXy/Bf5ux%0ayN5qWnL4YuYLjxH4bup9Qu01TVZ01VDIGSRX8mCLGHwsaou5xUVzewaz4S8QWdt428K2dvr%0aU8t3Ha3kg86NZSGCvIJgEYdCNjYI6mu71zQtX8UaFqU+txJDELaRrXRLVjKC+w7TM2B5jhu%0aiqNoIBy52kL4Y0TVvC/h3S5NLhWeFrSJrnR7kmJkk8sbzCx4Vic5RgFLHO5PmJS6/1/Wy/p%0al3tZr+v6v/AFY7OxniurKCaCaO4gkjVkliYMjqRwQRwQfWp6htJnuLaKWSCS1d1BMMpUuh9%0aDtJGfoSKmpvcmKskgooopDIx/r3/wB0fzNSVGP9e/8Auj+ZqSgAooooAKKKKACs/XLK61HT%0apLe0vm02RyA1xHGGkVM/MEzwGI4DEHHXBrQqrqT3kdm5sYILm542xXEzQoeecsEcjj/ZNTK%0a9nYa3PIbS/wBa1DwjYXttbaboXhW62J9ng1GZbueR5NmJZhbufnY8lQGycl+taWj+Hp9I8b%0a2en2WmaZ4elW1a8RIJTfWxClYmIRo4mjkKsMujjOPmDVr2/wAN7m/0my0zUbuPTtHtGMkGm%0aaO0gZHDZQtcu299p+YYVPmxnIFXrHwlq2j69bX66lHriJH9l36mDHcxQHaWxJGNj/MoOGjD%0aHJy9aaJ/12/z+ViXt/Xf/L53OW8cLpi2njKx0+xa1uQ1kk8kc7eVPNPKpyYs7fMwFJfGTnk%0a1mvY32ga3qSXFlvXUtcnETp4mubMRhozKGkjhBVRtXOT83IyMYNdUPh3qN3r0l1dXNqlrJq%0a76pIiFnaTYipbKcgDC4LMPUAD1qRPh/eR6jo0bfZLiztrp7++v55Cbi9maJ0bMWzaFy/Hzn%0aCgDHFRHZFPqcxY+HtQ03w54F065lk0y8bWriQS20qTsistw6lXcMrZUjlgTzzg1issMMlrZ%0a3lxfXR/4TC7d5bZZPtMipCdzAW4DZ5H3APwFeq2/w60o6dHp2oQx6rptrdNc2NrcplLZSuB%0aHjOHVdz43DgED+EGqehfDyPSPEt3rHkWEKwq8Wl2FlCIIYFYDe7YH+scgAkDgAdezWj/H8v%0a8AK34i6P8Arv8A5nMQ2ui3vje6gS31u7sZNAuFuLfURemWRfMTKxif5+Rx8nf3rJS1vY/B9%0arK2j6ppd7d6rZNHcaw4nWFRdKIoQrTGbaoJOGC5JY/LkCvQrfQNc1LxS+ragbTSAunvZRf2%0adcm5kDNIrF8yQqoxtGAVajWvhwmq2aIutaml6LiGdrye5abJSRXysJPkqx28EJgehGQRaW/%0arrcHrf+vs2/M8+12214SfFLzNS05ttlCbnbp8g81fs7YCfvzsOOMndzzjtXtGmf8AINtP+u%0aKf+giuL1L4UyXsGuBPFOrLcavCIrl5YrVlkAQquVEKnAB/hKk+veu5tYfs1tDDu3eWgTOMZ%0awMU1pG3p+T/AMwerv6/p/kS1FJ0/Gpaik6fjSAqz9K90/Ym/wCSs6t/2BJv/R8FeFz9K90/%0aYm/5Kzq3/YEm/wDR8FAH23RRRQBWtf8AX3n/AF1H/oC1ZqjFC8lzdlZ5Ih5gGEC4+4vqDUv%0a2WX/n8m/JP/iaALNFVvssv/P5N+Sf/E0fZZf+fyb8k/8AiaALNFVvssv/AD+Tfkn/AMTR9l%0al/5/JvyT/4mgCzVaw/1Df9dZP/AENqPssv/P5N+Sf/ABNQWVtIYWxdSr+8kGAE/vn/AGaAN%0aCiq32WX/n8m/JP/AImj7LL/AM/k35J/8TQBZoqt9ll/5/JvyT/4mj7LL/z+Tfkn/wATQBZr%0axv8AbA/5N08W/wDbp/6Vw1639ll/5/JvyT/4mvHf2vIHT9nfxYxuZZAPsnysFwf9Lh9FFe5%0akX/I2wn/XyH/pSPpOGv8Akd4L/r7T/wDSkcp+wJ/yR3WP+w9N/wCk9vX0tXzH+wTC8nwf1g%0arPJEP7dmGEC4/497f1Br6T+yy/8/k35J/8TXdxV/yPMX/jf5RPS42/5KTHf43+USzVa1/19%0a5/11H/oC0fZZf8An8m/JP8A4moLa2kM11/pUoxIBkBOfkX/AGa+VPiTQoqt9ll/5/JvyT/4%0amj7LL/z+Tfkn/wATQBZoqt9ll/5/JvyT/wCJo+yy/wDP5N+Sf/E0AWaKrfZZf+fyb8k/+Jo%0a+yy/8/k35J/8AE0AWaKrfZZf+fyb8k/8AiaPssv8Az+Tfkn/xNAFmiq32WX/n8m/JP/iaPs%0asv/P5N+Sf/ABNAFmiq32WX/n8m/JP/AImj7LL/AM/k35J/8TQBZoqt9ll/5/JvyT/4mj7LL%0a/z+Tfkn/wATQBZqtJ/yEIP+uUn80o+yy/8AP5N+Sf8AxNQPbSfboR9qlyY3OcJkcp/s/wCc%0aUAaFFVvssv8Az+Tfkn/xNH2WX/n8m/JP/iaAPnL9vv8A5I7o/wD2Hof/AEnuK7L9j/8A5N0%0a8Jf8Ab3/6VzVw/wC3tC8fwf0ctPJKP7dhGHC4/wCPe49AK7H9kOB3/Z38JsLmWMH7X8qhcD%0a/S5vVTX6NX/wCSNof9f5fkz9ZxP/JAYf8A7CJfkz2uiq32WX/n8m/JP/iaPssv/P5N+Sf/A%0aBNfnJ+TFmiq32WX/n8m/JP/AImj7LL/AM/k35J/8TQAR/8AIQn/AOuUf83qzWeltJ9umH2q%0aXIjQ5wmTy/8As/5zU/2WX/n8m/JP/iaALNFVvssv/P5N+Sf/ABNH2WX/AJ/JvyT/AOJoAs0%0aVW+yy/wDP5N+Sf/E0fZZf+fyb8k/+JoAs0VW+yy/8/k35J/8AE0fZZf8An8m/JP8A4mgCzR%0aVb7LL/AM/k35J/8TR9ll/5/JvyT/4mgCzRVb7LL/z+Tfkn/wATR9ll/wCfyb8k/wDiaALNF%0aVvssv8Az+Tfkn/xNH2WX/n8m/JP/iaALNFVvssv/P5N+Sf/ABNH2WX/AJ/JvyT/AOJoAs0V%0aW+yy/wDP5N+Sf/E0fZZf+fyb8k/+JoAs0VW+yy/8/k35J/8AE0fZZf8An8m/JP8A4mgA1H/%0akH3X/AFyb+RqzWff20i2NyTdSsBGxwQmDwf8AZqf7LL/z+Tfkn/xNAFmiq32WX/n8m/JP/i%0aaPssv/AD+Tfkn/AMTQBZoqt9ll/wCfyb8k/wDiaPssv/P5N+Sf/E0AWaKrfZZf+fyb8k/+J%0ao+yy/8AP5N+Sf8AxNAFmiq32WX/AJ/JvyT/AOJo+yy/8/k35J/8TQBZoqt9ll/5/JvyT/4m%0aj7LL/wA/k35J/wDE0AWaKrfZZf8An8m/JP8A4mj7LL/z+Tfkn/xNAFmq11/r7P8A66n/ANA%0aaj7LL/wA/k35J/wDE1Bc20gmtf9KlOZCMkJx8jf7NAGhRVb7LL/z+Tfkn/wATR9ll/wCfyb%0a8k/wDiaALNFVvssv8Az+Tfkn/xNH2WX/n8m/JP/iaALNFVvssv/P5N+Sf/ABNH2WX/AJ/Jv%0ayT/AOJoAs0VW+yy/wDP5N+Sf/E0fZZf+fyb8k/+JoAs0VW+yy/8/k35J/8AE0fZZf8An8m/%0aJP8A4mgCzVaw/wBQ3/XWT/0NqPssv/P5N+Sf/E1BZW0hhbF1Kv7yQYAT++f9mgDQoqt9ll/%0a5/JvyT/4mj7LL/wA/k35J/wDE0AWaKrfZZf8An8m/JP8A4mj7LL/z+Tfkn/xNAFmiq32WX/%0an8m/JP/iaPssv/AD+Tfkn/AMTQBZoqt9ll/wCfyb8k/wDiaPssv/P5N+Sf/E0AWaKrfZZf+%0afyb8k/+Jo+yy/8AP5N+Sf8AxNAFmiq32WX/AJ/JvyT/AOJo+yy/8/k35J/8TQBZoqt9ll/5%0a/JvyT/4mj7LL/wA/k35J/wDE0AWaKrfZZf8An8m/JP8A4mj7LL/z+Tfkn/xNAHzl+33/AMk%0ad0f8A7D0P/pPcV1P7Jv8Aybd4Q/66z/8ApfLXIft7QvH8H9HLTySj+3YRhwuP+Pe49AK6r9%0alCF2/Zx8IsJ5FBknGwBcD/AE6X2z71+jV/+SNof9f5fkz9ZxP/ACQGH/7CJfkz3Kiq32WX/%0an8m/JP/AImj7LL/AM/k35J/8TX5yfkxZoqt9ll/5/JvyT/4mj7LL/z+Tfkn/wATQBZoqt9l%0al/5/JvyT/wCJo+yy/wDP5N+Sf/E0AWaKrfZZf+fyb8k/+Jo+yy/8/k35J/8AE0AWaKrfZZf%0a+fyb8k/8AiaPssv8Az+Tfkn/xNAFmiq32WX/n8m/JP/iaPssv/P5N+Sf/ABNAFmiq32WX/n%0a8m/JP/AImj7LL/AM/k35J/8TQBZqta/wCvvP8ArqP/AEBaPssv/P5N+Sf/ABNQW1tIZrr/A%0aEqUYkAyAnPyL/s0AaFeN/tgf8m6eLf+3T/0rhr1v7LL/wA/k35J/wDE147+15A6fs7+LGNz%0aLIB9k+VguD/pcPoor3Mi/wCRthP+vkP/AEpH0nDX/I7wX/X2n/6UjlP2BP8Akjusf9h6b/0%0ant6+lq+Y/2CYXk+D+sFZ5Ih/bswwgXH/Hvb+oNfSf2WX/AJ/JvyT/AOJru4q/5HmL/wAb/K%0aJ6XG3/ACUmO/xv8olmiq32WX/n8m/JP/iaPssv/P5N+Sf/ABNfKnxJZoqt9ll/5/JvyT/4m%0aj7LL/z+Tfkn/wATQBZoqt9ll/5/JvyT/wCJo+yy/wDP5N+Sf/E0AWaKrfZZf+fyb8k/+Jo+%0ayy/8/k35J/8AE0AWaKrfZZf+fyb8k/8AiaPssv8Az+Tfkn/xNABdf6+z/wCup/8AQGqzWfc%0a20gmtf9KlOZCMkJx8jf7NT/ZZf+fyb8k/+JoAs0VW+yy/8/k35J/8TR9ll/5/JvyT/wCJoA%0as0VW+yy/8AP5N+Sf8AxNH2WX/n8m/JP/iaALNFVvssv/P5N+Sf/E0fZZf+fyb8k/8AiaALN%0aFVvssv/AD+Tfkn/AMTR9ll/5/JvyT/4mgCzRVb7LL/z+Tfkn/xNH2WX/n8m/JP/AImgCzRV%0ab7LL/wA/k35J/wDE0fZZf+fyb8k/+JoAs0VW+yy/8/k35J/8TR9ll/5/JvyT/wCJoALD/UN%0a/11k/9DarNZ9lbSGFsXUq/vJBgBP75/2an+yy/wDP5N+Sf/E0AWaKrfZZf+fyb8k/+Jo+yy%0a/8/k35J/8AE0AWaKgjgdHDG5lkA/hYLg/koqegAr4k/bZ/5KzpP/YEh/8AR89fbdfEn7bP/%0aJWdJ/7AkP8A6PnoA8Lg6Vaj6fjVWDpVqPp+NAEtFFFABRRRQAUUUUAFFFFABRRRQAUUUUAF%0aFFFABRRRQAUUUUAFFFFABRRRQAUUUUAFFFFABRRRQAUUUUAFFFFABRRRQAUUUUAFFFFABRR%0aRQAUUUUAFFFFAEZ/16f7p/mKkqGR9k0fBYkMAB+FO8xv+eT/mP8aAJKKj8xv+eT/mP8aPMb%0a/nk/5j/GgCSio/Mb/nk/5j/GjzG/55P+Y/xoAkoqPzG/55P+Y/xo8xv+eT/mP8aAJKKj8xv%0a+eT/mP8aPMb/nk/5j/GgCSio/Mb/nk/5j/GjzG/55P+Y/xoAkoqPzG/55P+Y/xo8xv+eT/m%0aP8aAJKKj8xv+eT/mP8aPMb/nk/5j/GgCSio/Mb/nk/5j/GjzG/55P+Y/xoAkoqPzG/55P+Y%0a/xo8xv+eT/mP8aAJKKj8xv+eT/mP8aPMb/nk/5j/GgCSio/Mb/nk/5j/GjzG/55P+Y/xoAB%0a/r3/3R/M1JUQZg5by35AGOPf396XzG/wCeT/mP8aAJKKj8xv8Ank/5j/GjzG/55P8AmP8AG%0agCSio/Mb/nk/wCY/wAaPMb/AJ5P+Y/xoAkoqPzG/wCeT/mP8aPMb/nk/wCY/wAaAJKKj8xv%0a+eT/AJj/ABo8xv8Ank/5j/GgCSio/Mb/AJ5P+Y/xo8xv+eT/AJj/ABoAkoqPzG/55P8AmP8%0aAGjzG/wCeT/mP8aAJKKj8xv8Ank/5j/GjzG/55P8AmP8AGgCSio/Mb/nk/wCY/wAaPMb/AJ%0a5P+Y/xoAkqKTp+NL5jf88n/Mf41HJI2P8AVP19R/jQBBP0r3T9ib/krOrf9gSb/wBHwV4RP%0aI2P9U35j/Gvdf2JGLfFrVsoV/4kk3Jx/wA94KAPt2iiigCta/6+8/66j/0Bas1Wtf8AX3n/%0aAF1H/oC1ZoAKKK5Xxx8V/BPwx+xf8Jj4x0Dwn9tLi1/tzVILL7Rtxv8AL81l3Y3LnGcbh60%0aeQHVUUisrqGUhlIyCDkEUtAJ31QVWsP8AUN/11k/9DarNVrD/AFDf9dZP/Q2oAs0Vi6j4y0%0afSvFWjeG7q88rWtYhubixtfKc+dHb+X5x3AbV2+dHwxBO7jODjmtH/AGgvhb4h8SReHtK+J%0aXhDU9fllaCPSrPXrWW6eRc7kESyFiwwcjGRg0Ad/RXm/jz9pH4V/C/xNY+HvFvxC8OeHdbv%0aG2pZajqMUUkY8t5A0uT+5QqjYeTarMVUEsygmp/tK/CLRUsn1D4qeCbBL63W7tWufEVnGLi%0aBiyrLHukG5CVYBhkZUjPBoA9Irxv9sD/k3Txb/wBun/pXDXr1neQajaQXVrPHc2s6LLFPC4%0adJEYZVlYcEEEEEda8h/bA/5N08W/8Abp/6Vw17mRf8jbCf9fIf+lI+k4a/5HeC/wCvtP8A9%0aKRxv7An/JHdY/7D03/pPb19LV80/sCf8kd1j/sPTf8ApPb19LV3cVf8jzF/43+UT0uNv+Sk%0ax3+N/lEKrWv+vvP+uo/9AWrNVrX/AF95/wBdR/6AtfKnxJZorMj8TaPN4in0CPVrF9dgtlv%0aJdLW5Q3UcDMVWVos7ghZWAYjBIIzxUTeMtAXUtV0465po1DSbdLrUbQ3cfm2ULhikkyZzGj%0aBGIZgAQp9DQBsUVzWofEzwfpPhax8TX3ivRLPw3f8AlfZNYuNRhSzuPM/1XlzFtj7/AOHBO%0ae2a1LDxFpWq6pqem2Wp2d5qOlvHHf2cFwjzWjOgkRZUByhZGVgGAypBHBoA0aK5y9+JHhLT%0adI1vVbvxTotrpeh3BtNVvZtQhSDT5gEJinctticCSM7XIPzr6ird14x0Cy8KnxPca5ptv4a%0aFqt7/AGzLdxrZ/ZyoZZvOJ2bCpBDZxgg5oA2KKqyapZxaY2ovdwJp6wm4a7aVREIgu4uXzj%0abjnOcY5rmtZ+MHgLw74S07xTqvjfw5pnhjUWVLLWrzVreGyumZWZRFMzhHJVHICk5Ck9jQB%0a19Fc34I+JXhD4mWVxeeD/FWieK7O2k8ma40TUYbyOJ8Z2s0TMAcEHB5was+KPHHhzwPHYP4%0aj8QaXoCX9ytlZtql7HbC5uGztijLsN7nBwoyTg8UAbdFVdT1Oz0TTbvUdRu4LDT7SF7i4u7%0aqRY4oYkBZ3d2ICqoBJJOAATUWha9pnijR7TVtG1G01fSryMTW19YzrNBOh6MjqSrA+oOKAL%0a9FYHjTx/4X+G+kpqni3xJpHhbTHmFul7rV9FZwtKQSEDyMoLEKxAznCn0pt78Q/Cum+DF8X%0a3fibR7Xwm0MdwuvTX8SWJicgRyCcts2sWUA5wdwx1oA6Gq0n/IQg/65SfzSsvwb488M/EXS%0aDq3hTxFpPifSxK0JvtGvoruASKAWTfGzLuGRkZzyK1JP+QhB/wBcpP5pQBZorm/G/wASvCH%0awzsre88YeKtE8KWdzJ5MNxreow2ccr4ztVpWUE4BOBzgVmeDPjn8N/iPqzaV4T+IPhbxRqi%0aRNO1loutW13MIwQC5SN2baCygnGOR60AeQft9/8kd0f/sPQ/8ApPcV2X7H/wDybp4S/wC3v%0a/0rmryX9uH4peDPEngm38LaT4u0HVPE+na4j3ui2WpwzXtqqQzo5lhVi6BWdVO4DBYA8kVv%0a/s2/Hr4ZfD74HeFdH8U/EXwn4a1ZEuZGsNX1y1tZ1VruYqxjkcMAexxzX6NX/wCSNof9f5f%0akz9ZxP/JAYf8A7CJfkz6foqrpmp2et6baajp13Bf6fdwpcW93ayLJFNE4DI6OpIZWBBBBwQ%0aQatV+cn5MFFFFAFaP/AJCE/wD1yj/m9WarR/8AIQn/AOuUf83qzQAUVl+GfFOi+NdDtda8P%0aavYa9o10GNvqOmXKXNvMFYqxSRCVbDKwOD1BHasLxL8ZfAHgzxJa+HvEHjnw3oWv3Yja30r%0aUtXt7e6mDsVQpE7hm3MCowOSCBQB2NFYnjDxx4c+HujNq/inxBpfhrSVdYjf6xex2kAdvur%0a5kjBcnsM807wl408PeP8ARY9Y8L69pniTSJGZEv8ASLyO6t3ZThgJIyVJB4IzxQBs0VmSeJ%0atHh8RQaBJq1imuz2zXkWltcoLqSBWCtKsWdxQMygsBgEgZ5rjtK/aO+E2u69b6JpvxQ8Gaj%0arVxMLaHTrTxBaS3EspOBGsayFi2eNoGaAPRKKjuLiK0t5Z55UhgiUvJJIwVUUDJJJ4AA71x%0aWgfHf4aeLNM1jUdE+IfhTWdP0aH7Tqd3p+t208VjFhj5k7o5Ea4VvmYgfKfQ0AdzRXll7+1%0aV8F7DRJdXl+LPgptNjLIbiHxBayhnVdxRQshLPtwdi5Y5GByK3fhv8bvh98YIGl8EeNNC8U%0alII7iWHS9QimmgRx8pliU74ieRhwCCCCAQRQB21FcxrPxQ8G+HPCkPifVvFuhaX4amKrFrN%0a7qUMNnIWyFCzMwQ5wcYPOKb4G+K3gn4npeP4N8YaB4tWyKC6bQtTgvRAXzsD+Uzbd21sZxn%0aacdKAOporg7j48/DnT/B+l+KtT8baHofh/VHaK0vtbvo9PWWRSweLE5QiRSjq0ZAZSrAgEE%0aUnhL4/fDDx9rcWjeGPiP4S8R6vKrPHp+k67a3Vw6qMsRHHIWIABJwOAKAO9orjZvjB4Pt9N%0a8a6jLrUaad4MeSLXbxopPJs3SBJ5F37dshWORCwjLFSdpwwIrQ8JfEHQfHEuow6PevPc6c0%0aK3dtPby280BlhSeLdHKqsA0cikHGM7l+8rAAHRUVz1/8QNA0vxxpPhC8v8A7L4h1a0nvbC1%0alhkVbqOEoJRHKV8tnXzFYxht+0ltu0EjD1T4/wDww0PxQ/hrUfiR4R0/xGky2zaRda7ax3a%0aytjbGYWkD7juXC4ycj1oA7TUf+Qfdf9cm/kas1W1H/kH3X/XJv5GrNABRXHeL/jL4A+HusW%0auk+KfHPhvw1qt1GstvY6xq9vaTzIWKqyJI4ZgWVgCB1BHao/Gvxv8Ah18NdVi0zxf4+8L+F%0adSlhFzHZ63rNtZzPEWZRIEkdSVLI43YxlSOxoA7WisvTvFWi6x4ci8Q2GsWF7oEtubqPVba%0a6SS1eEDJkEoJUpgE7s4xUfhrxhoPjPw9Br/h/W9O13QrgO0Oqabdx3FrIEYq5WVCVO1lZTg%0a8FSD0oA2KK5y2+JHhK803QtQt/FOiz2GvTC30i6j1CFotRlIYhLdw2JWIRjhCThT6GtDUvE%0a2j6NqWl6dqGrWNjqGqyPDp9pc3KRy3jqpdliRiDIQoLEKCQAT0oA06Kx7PxloGoJrL2uuab%0acposrwam0N3G4sZFQO6T4P7tgpDENggEHpVTR/iR4S8RDRDpXinRdTGuRTT6UbPUIZf7Qjh%0aIEzwbWPmqhZQxTIXIzjNAHR0VnN4i0pPEEegtqdmuuSWrXyaYbhPtLW6uqNMIs7jGGdVLYw%0aCwGckVU8JeOfDfj/T57/wx4g0rxHYwTtay3OkXsd1FHMoBaNmjYgOAy5U8jI9aANyiszQPE%0a2j+K7KS80TVrHWbSOaS2e40+5SeNZY2KyRlkJAZWBUr1BBBrToAKrXX+vs/wDrqf8A0Bqs1%0aWuv9fZ/9dT/AOgNQBZooqlput6drEl9HYX9rfSWNwbS7S2mWQ28wVWMUgBOxwro204OGU9x%0aQBdorlNA+LHgfxX4q1LwxonjLw/rPiTTfM+3aPp+qQT3lr5biOTzYUcum12CNuAwxAPJre1%0arWtP8OaTearq1/baXpdnE09ze3sywwwRqMs7uxCqoAJJJwKALtFYHgvx/4X+JGkvqnhLxJp%0aHinTEmNu97ot9FeQrKACULxswDAMpIznDD1ql4N+LXgf4i319ZeFPGfh/xPeWGDd2+japBd%0ayW+SQPMWN2KcgjnHINAHWUUUUAFFFFABVaw/wBQ3/XWT/0Nqs1WsP8AUN/11k/9DagCzRUF%0a7fW2nW5nu7iK1gBVTLM4RQWIVRk8ZJIA9SRUGsa5pvh6z+16rqFrplqGCefeTLEmT0G5iBm%0aqUZSaUVe5LlGN23axeorPXxBpbaN/a41KzOlbPM+3CdPI2f3vMztx75pNE8R6T4lt3n0jVL%0aLVYI22PLZXCTKrYzglSQDgjj3qvZzScnF2Wj0ej+4n2kG1FSV35r/M0aKgjvbeW7mtUnie6%0ahVXkgVwXRWztLL1AO1sE9dp9KJb62guoLaW4ijubjcYYXcB5Noy20dTgEZx0zU8r2sXzLe5%0aPRWNrfjPw/4auI4NX13TNKnkXekd7eRwsy5xkBiCRkHmrSa9pkjaeE1G0Y6ipeyCzqftShd%0a5MfPzjb82Vzxz0qvZVLKXK7Pyf+RHtIXceZXXmv8AMv0VzsnxF8Jw6g9hJ4n0ZL5JTA1q2o%0aRCUSA7ShXdndnjHXNdFROnOnbni1fumvzSCNSE78kk7dmn+TYUVj6P4y0DxDeS2mla5pupX%0aUSl5ILO7jldFBAJKqSQMkD8acnizQ5NbOjLrOntrAznTxdIbgfLu/1ed33eenTmm6VRNpxd%0a1rs9u+23nsJVabSakrPTdb9t9/I1qKydU8W6Hod9BZalrOn6feXGDDb3V1HFJJk4G1WIJye%0aOO9S634j0nw1bpPq+qWWlQSNsSW9uEhVmxnALEAnAPHtSVKo7Wi9dtHr6aa/K43Ugr3ktN9%0aVp666fOxo0VSn1vTrbSf7Umv7WLTPLE3215lWHYcYbeTjByMHOOaTS9c03XLD7dpuoWuoWW%0aSPtNrMssfHX5lJHFLklbms7bbPft6+Q+eN+W6vvutu/ofO/7ff/ACR3R/8AsPQ/+k9xXU/s%0am/8AJt3hD/rrP/6Xy1wP7b/irRfE/wAHNNOj6xYasIdegEpsbpJvLzb3ON20nGcHGfQ1337%0aJv/Jt3hD/AK6z/wDpfLX6LiYyhwfRjJWft5b6dH3P1qvKM/D/AA0ou6+sS216M9tooor83P%0aygKK47RvjJ4A8ReLrrwppXjnw3qfii1eWK40Sz1e3mvYXiJEqvArl1KEEMCPlIOcVN4k+LX%0agfwb4j0/wAP6/4z8P6Hr+o7PsWlalqkFvdXW9yieXE7hn3OCo2g5IIHNAHV0Vy3jn4reCfh%0aglm/jLxhoHhJb0uLVtd1OCyE5TG8J5rLu27lzjONwz1q5rPjzwz4c8JnxTq3iLSdL8MiKKY%0a61e30UNl5chURv5zME2uXQKc4JZcZyKAN2isnwt4s0PxzoVrrfhvWdP8AEGi3W77PqOl3SX%0aNvNtYo2yRCVbDKynB4KkdRVzU9Ts9E0271HUbuCw0+0he4uLu6kWOKGJAWd3diAqqASSTgA%0aE0AWqK53wT8RvCfxL06fUPCHijRvFdhBL5Et1omoRXkUcmA2xmiZgGwynB5wR61V8G/FrwP%0a8Rb6+svCnjPw/wCJ7ywwbu30bVILuS3ySB5ixuxTkEc45BoA6yiiuT0r4teB9d8X3nhPTPG%0afh/UfFNnvFzodpqkEt9BsID74Fcuu0kA5HGeaAOsoqle61p+mXun2d5f21rd6jK0FlBPMqS%0aXUixtIyRqTl2EcbuQuSFRj0BNXaACq1r/r7z/rqP8A0Bas1Wtf9fef9dR/6AtAFmvG/wBsD%0a/k3Txb/ANun/pXDXsleN/tgf8m6eLf+3T/0rhr3Mi/5G2E/6+Q/9KR9Jw1/yO8F/wBfaf8A%0a6Ujjf2BP+SO6x/2Hpv8A0nt6+lq+af2BP+SO6x/2Hpv/AEnt6+lq7uKv+R5i/wDG/wAonpc%0abf8lJjv8AG/yiFFFFfKnxIUUUUAFFFFABRRRQAUUUUAVrr/X2f/XU/wDoDVZqtdf6+z/66n%0a/0Bqs0AFFFcd4U+MngDx5r13ofhnxz4b8Ra3aI8tzpuk6vb3VzCiOEdnjjcsoVmVSSOCwHU%0a0AdjRXJ6r8WvA+heL7PwnqfjPw/p3im82C20O71SCK+n3khNkDOHbcQQMDnHFReN/jJ4A+G%0aV3bWvjDxz4b8KXVyhlgg1zV7ezeVAcFlWV1LDPGRQB2NFYnjDxx4c+HujNq/inxBpfhrSVd%0aYjf6xex2kAdvur5kjBcnsM81a8P8AiLSvFujWmsaHqdnrOk3aeZbX+n3CTwTLnG5JEJVhwe%0aQaANGis3xH4m0fwdol1rOv6rY6HpFooe41DUrlLe3hUkAF5HIVRkgcnqRVbwt448OeOdBXX%0aPDfiDS/EGisXVdS0q9jubYlThgJEYrwQc88UAbdFct4G+K3gn4npeP4N8YaB4tWyKC6bQtT%0agvRAXzsD+Uzbd21sZxnacdK6mgAork/C3xa8D+ONc1DRfDnjPw/4g1jT9xvNP0vVILm4ttr%0abG8yNHLJhvlOQMHjrW9da5p1jqdjptzqFrb6jfCRrS0lmVZrgRgGQxoTl9oIJwDjIzQBeoo%0aooArWH+ob/AK6yf+htVmq1h/qG/wCusn/obVZoAKKKKACiiigAr4k/bZ/5KzpP/YEh/wDR8%0a9fbdfEX7bbFfi1pOELf8SSHkY/57z0AeGwdKtR9PxqlBI2P9U35j/GrUcjY/wBU/X1H+NAF%0aiio/Mb/nk/5j/GjzG/55P+Y/xoAkoqPzG/55P+Y/xo8xv+eT/mP8aAJKKj8xv+eT/mP8aPM%0ab/nk/5j/GgCSio/Mb/nk/5j/GjzG/55P+Y/xoAkoqPzG/55P+Y/xo8xv+eT/mP8aAJKKj8x%0av+eT/mP8aPMb/nk/5j/GgCSio/Mb/nk/5j/GjzG/55P+Y/xoAkoqPzG/55P+Y/xo8xv+eT/%0amP8aAJKKj8xv+eT/mP8aPMb/nk/5j/GgCSio/Mb/nk/5j/GjzG/55P+Y/xoAkoqPzG/55P+%0aY/xo8xv+eT/mP8aAJKKj8xv+eT/mP8aPMb/nk/5j/GgCSio/Mb/nk/5j/GjzG/55P+Y/xoA%0akoqPzG/55P+Y/xo8xv+eT/mP8aAJKKj8xv+eT/mP8aPMb/nk/5j/GgCSio/Mb/nk/5j/Gjz%0aG/55P+Y/xoAkoqPzG/55P+Y/xo8xv+eT/mP8aAJKKj8xv+eT/mP8aPMb/nk/5j/GgCSio/M%0ab/nk/5j/GjzG/55P+Y/xoAkooooAKKKKACiiigCCX/j5g/4F/Kp6gl/4+YP+BfyqegAoqpd%0aSXQlC2/k7QuT5mc9/Sot+o/9Ov8A49VKN+pLlY0KKz9+o/8ATr/49Rv1H/p1/wDHqfJ5i5v%0aI0KKz9+o/9Ov/AI9Rv1H/AKdf/HqOTzDm8jQorP36j/06/wDj1G/Uf+nX/wAeo5PMObyNCi%0as/fqP/AE6/+PUb9R/6df8Ax6jk8w5vI0KKz9+o/wDTr/49Rv1H/p1/8eo5PMObyNCis/fqP%0a/Tr/wCPUb9R/wCnX/x6jk8w5vI0KKz9+o/9Ov8A49Rv1H/p1/8AHqOTzDm8jQorP36j/wBO%0av/j1G/Uf+nX/AMeo5PMObyNCis/fqP8A06/+PUb9R/6df/HqOTzDm8jQorP36j/06/8Aj1G%0a/Uf8Ap1/8eo5PMObyNCis/fqP/Tr/AOPUb9R/6df/AB6jk8w5vI0KKz9+o/8ATr/49Rv1H/%0ap1/wDHqOTzDm8jQorP36j/ANOv/j1G/Uf+nX/x6jk8w5vI0KKz9+o/9Ov/AI9Rv1H/AKdf/%0aHqOTzDm8jQorP36j/06/wDj1G/Uf+nX/wAeo5PMObyNCis/fqP/AE6/+PUb9R/6df8Ax6jk%0a8w5vI0KKz9+o/wDTr/49Rv1H/p1/8eo5PMObyNCis/fqP/Tr/wCPUb9R/wCnX/x6jk8w5vI%0a0KKz9+o/9Ov8A49Rv1H/p1/8AHqOTzDm8jQqKTp+NVN+o/wDTr/49UUj6jj/l16/7VHJ5hz%0aeRNP0r3T9ib/krOrf9gSb/ANHwV89zvqOP+XX/AMer3v8AYca6Pxd1fz/J2f2HNjy85z9ot%0a/Whxt1HzXPuSiiioKK1r/r7z/rqP/QFqzVa1/195/11H/oC1ZoAK8v+Nmj+KbzQdYj8I+D/%0aAA1r9xq2lT6fqNzq16Ybjytr+XGkPkFboZllIilnt0yxG9Q7MvqFef8Aj/4U33ja9nmsviH%0a4v8HwXVv9mu7TQZ7Ty5l5G5TcW8zwPhiN8DRt0JOVUjKpD2kXDvdfeuvW3e2pcJcj5l0/Rp%0a/oY37J91oF1+zZ8OB4Yvb/AFDQoNFt7S2n1SJYro+UvlMsqKSqurIylVZgNuAzDBPrNYfgj%0awTonw48JaV4Y8N6eml6FpcC21paRszCOMdMsxLMTySzEkkkkkkmtyuqrLnqSn3ZjTjyRUV0%0a/r+vmFVrD/UN/wBdZP8A0Nqs1WsP9Q3/AF1k/wDQ2rIs+IPjKJPEH7dvhKLw7o/iLxNBpWn%0a3o1SPT/Gt/p+Lo/YXlitl+0LCjRQNbSvADCkonG8sQtWvCHPwf/ZZYfdf4mXLqezKYdbII9%0aiCCD717/8AFX4C3fjXxFpuu+FvEkXgXVrSx1S0a8tNMWaVpL77KslypEiYmVLYhWYN8zKxB%0aCbWj8c/s9/2h4D+HHh7wTq9r4Tk8A39re6NNf6e2oQgQWk1qqSRLNCW+Sdju3jkAkGgDzr4%0ay/FbTdH+PsN3q/ij4eaFJ4HtC2iaN4r8Z2+lS6leXkSrNcykLNJBFFbtJGitFukeVz8qBGb%0a51+G/iHQbbwb4v0TQPj98JPD0Mvg+z8C3Y8TXMcz6hdWYv1luLZkvYvKtXN7+7lKzMwyTGu%0azD/Yvg/wDZ21Xw34K8M+B5PH2oWvgjw/pVppsOn+HLc6Xd3xihRJHur1ZHmG6RDIotTbMu9%0alZpQaxvht+yzP8ADVPE154Z1eDwLrd3rt3eWD6BAslhLp7MGtbO8s3RUeNMKP3RjlRNyQ3E%0aQd8gHrPwjlsZfhd4TGm6tp2u2cOl20CalpNytxa3HlxqheKReGXKnBriP2wP+TdPFv8A26f%0a+lcNep+H4NVttGtItcvbPUdWVMXN1p9m9pBI2eqRPLKyDpwZG+teWftgf8m6eLf8At0/9K4%0aa9zIv+RthP+vkP/SkfScNf8jvBf9faf/pSON/YE/5I7rH/AGHpv/Se3r6Wr5p/YE/5I7rH/%0aYem/wDSe3r6Wru4q/5HmL/xv8onpcbf8lJjv8b/ACiFVrX/AF95/wBdR/6AtWarWv8Ar7z/%0aAK6j/wBAWvlT4k+UdVv/ABhYf8FAvFjeD9C0PXbpvh7ponj1zWptMSNPt1zgq0VpcljnsVX%0a69q5zw7d+Ir347/tUy+KdK0vR9WPgbSw1rpGpSahAF+z320iWS3gYk9x5Yx6mvqOy+Eej2H%0axl1T4lx3N8dd1HRYNClt2kT7KsEUzyqyrs3by0jAksRgDgdazpfgNoEvjb4geKDeakNQ8ba%0aRb6NqMYlj8qKGFJURoRsyrkTNksWGQOBzkA+QP2C7m3+KV/4AtfiKJNN1rwP4S0648E+Epw%0aDaz2T20avrqv0nnZy0IUYFuq4wXcsPoL4DyKf2ov2m0DAuNX0FiueQDottg4/A/ka2dS/ZN%0a8KXfgP4a+HbPVte0XUfh2sK+HPFOnXEKaraBIxE6l2iaN0lRQssbRmOQcFeBja8S/AS21Tx%0azP4x8P+MPEngTxJfWcdjqt5oBs3TVY48eS1xDdW08Rkj+cLIiI+2RlJK7QoB8e/Gb/AJNI/%0abW/7H+5/wDROk1b+Nj3P7PPwL+NHwK1e4eTwtdeGr/Vvh5fXDlmezGWutLZ25Z7UsGTJYmF%0ax0EeB9Saz+yn4M1n4C698J3uNXg0XXmafVdVW7Emp3t08qyy3Us0iOGlkdAWO3aAcKqqFA0%0av2jv2cPCP7UXw6bwf4wF7DZrcx3dvfaZKsV3ayrkFo2dXX5kZ0YMrAq7cA4IAPn343fG3wb%0a4nsNB+CeqeN/D/AIS0tNCs9S8YXes6vDZNNZmJGi0uAO6s8lzwZGU/u4QwPzTJXl2keLoNc%0a/ZD/Y7XwjeaN4i1rSvHeh2ctkdTEcUN2tleHyLiSNJWhbDKSDGzAEHaa/RSz0K3svDsGjI8%0ahtYbVbNXYjeUCbAScYzj2/CvL7b9lvwpa/D/AOFXg9NQ1g6Z8ONUs9X0mVpovOnmto5Y41u%0aD5WGUiZshFQ5AwRzkA6eHx7rfhbwjPq/xA8Px6ZcpdCGOz8G/2h4lLRlRtcrFYxyg7t4IER%0aVQFJf5sD55/bD0vRf2hdL+CGjsuq2Gk+IPF89j5moaZc6deW5OmX6CUQXMcciMjAOpZRkqp%0aGRg19g1xvjz4W6V8Q9c8F6rqVxeQXHhPV/7ZsVtXRUkm8iWDbKGUkptmY4Uqcgc4yCAfNuq%0afErUvjv8IPA3w11TMfizVp7ux8dW0OSILfScDUg2OVjuZvssK5wTFfAg+vVfsofELS/h7+x%0at8GrjVLXXLpLnQbdEGh6Bf6s4ITPzraQysg92AB7GvUvD/wAAPCXhn4neOfHthBPHr/jC3g%0at9QJZfKjEabC0K7co0gEZkJJ3GJD253PhR8NtM+D3w38O+CtGnu7nStCs0sbaa+dXndEGAX%0aKqqk/RQPagDxeDU7bxz+3N4auZ4biSw0z4bS6vo0GpWcttLbT3N+IZ5fJmVZI5TEkcZDKrK%0aGKkDdiub+AXiHwZ8Nvh98cbzxpc6bYeAvAnxM1afTn1C2X7PpSYt7hVt49pwy3FzKI1jG4s%0a4VASwB9y+JPwQ074heKfD3iq11zWfB3i/Qknt7XXvD724ne2mXEttKlxDNDLEWCOA8ZKvGr%0aIVJbdzGt/sm+FtT+H/AIW8LWOta9obeH/ECeKo9atJLae+vdUHms11dNcwSxzO8kzSnMfDq%0am3aEVQAYf7Nmla14s+KvxQ+Lt94YvPBmjeLk02x0rTNUj8i/u4rNJkN9cw4zG0nmqiK53hI%0ahkAFa+gJP+QhB/1yk/mlct4I8Ca34Uv7i41T4i+JvGcUsXlra63b6XHHE2Qd6m0soG3cY+Z%0aiME8Zwa6mT/kIQf8AXKT+aUAWa+BPCHiTUPDX/BMPwObHUJtGt9SvbTR9R1W3k8uSysbrWv%0as9xIrfwny5GUMOV35BBANffdea+Dv2fPCHhH4HQfCaW2m8Q+DktJrKWDWGWSSeKWR3YOyKg%0azlzgqARgEcjNAHhf7aOkaf4E+D3hXwd4d8JPo3hiyv4ntrqxW2i0+AiK4H2cRiQS+YdzSZE%0aRQgNl9xwfHv2JdR8a6f8XPHp8G+H9B1528P6T9pXXNdn0wRD7VqG3YYrO535+bOQuMDrnj0%0ar9rT4VXvw4+Eukxr8QPFniPRU1lIbXRvEEtpcxWimKdlK3AtlupCgBRTNPJ8pO7cQGGj+yz%0a+zmt14IsvH+g/EHxZ4O1vXrQ2V/HpCaZLBLHbXdyIsLd2U5UjzHyQwzn2Ffo1f/kjaH/X+X%0a5M/WcT/AMkBh/8AsIl+TPr6zad7SBrqKOG6KKZY4ZDIiPj5grFVLAHOCVGfQdKmqppNlNp2%0alWVpcX9xqlxBCkUl9drGs1yyqAZHEaIgZiMkIirknCgYAt1+cn5MFFFFAFaP/kIT/wDXKP8%0aAm9eHftseOrrwn8CdR0bSZpovEXjG4i8Mac1rZzXk0ZuSVuJkggVpZDFbC4lxGrNmMYBzXu%0aMf/IQn/wCuUf8AN65TxH8KtK8U/Evwf42v7u+e/wDCsd4unWKOgtRJcxiKSZl2bzIIwyKdw%0aADvxk5oA+Uv2b/FunfAz/hc/wANfBena5Do2laTL4z8G2fiHRNQsLiSMwBLqAR3cUbukd0k%0abAquD9qwCcYHtv7Ivgzw6f2ZfCF4sFtrVx4v0WDVvEOo3aLPLrF3dQiS5e5dgTKS0jptfO1%0aQE4CgDvfFfwj0fxd8SfBHjm4ub6z1zwl9sWzNpIix3EVzEI5YpwyEsnyowAKkMoOeoPJaZ+%0azTaeFRe2Hg/wAdeL/BHhW8uZbuTwvos9mbGJpTumW3ae2lntUcljst5Y1QszRiMnNAHHfDO%0a2tPFH7Unxj1XVtPj1PV/h+unaP4Y0xFjzpllNp6zu1sGKoklw8kiFyVJWJIywVMV3Xwd+Lm%0ahfEP4hfEPRYPA+q+CvGGgtp515NXhsRNcGeFmtiZbS4mWXbEn8TfKCAO4F3xj8A9J8R+KbL%0axVo2va/4H8XW1ullJrvh+5iM15aqrhYLmO6jmhuFBkLBpI2kVgCrrlgbfwu+CmmfDDXfFfi%0aAaxq/iXxR4pltpdX1zWnhE1wLeLyoEEdvFDCiomQNkakliWLHGADy/xH/ykN8Ff9k61P8A9%0aL7asn9hvwfofj/9iHw94f8AEmk2eu6JfXmtR3On38KywygazeMMqwxkMAQeoIBGCBXuV78I%0a9Hv/AIy6X8S5Lm+Gu6dos+hRW6yJ9laCWZJWZl2bt4aNQCGAwTwetebeFP2PNP8ACPghPA9%0at8SvHkngPzZ3k8OC5sLaOVJp3nliN1b2cd2qNJI+dk6khiudpIoA+fPh9rl38UfB/7MfgHx%0alfz+IfBes614iiun1Bt6a9BpTzjTIrntLGyokhR8iU26sQ2a+0fidqGneB/BOueMjaaZFf+%0aHNGvZ7S+vbWSRLVBGHdSYUeUREwxlxEpJEYwpKiqfjT4GeDvG/w/wBO8HXGmf2VpOktDLo7%0a6LIbKfSJoVKwTWkkeDC8YJAI4wSpDKzKaNr8J/ENhZ6pI/xK13xPqs9lLaWTeKrWzlsLUyY%0a3M9pYw2a3Gdq/61mKgEIU3vuAPh/VbPUbj4Z+OLLUb3UtP8Uae9xJr3ifwsfE2vWPiW9ubC%0aG8eR/7LaxitgsdxAii4jljSMpGMrE2ey/Ys+Fmq3HiC08WW3iXWpNSTwLYWulS6xo/iq1sb%0aacCXKyx3119nvolE6lUhmRMgvHFFjzD2Fn/AME59O8L+E5vC2haz4V1vQpLaSOJviB4Ds9Z%0avrCaUuZZbS5t5LQxhtyYWQSbPKTawUbR6F8Bv2WLn4I6xolxBH8MPKsLL7DPf6F8PDpesXa%0aCLaC16L+T5mZUdyYyHwRgEggA8T0W8XR9K+G2uar4fvbvTdS8fa0z+HfAFjb2VnfeJLW/uL%0aa2uJZL/UALaKSOzaQW0RCvOWZnJcI/qngDxP4l8R/tQ+PLrRdC1Dwxef8ACPaa+t6H4rsrO%0adHkjN4LRI9QsNRnW2aTzSzJJbysEj3gYdM4afseePprLxN4KuviFb3Hw78QTTXN5LdW5nu7%0adpdTmvyunWqrHFZTK1xIftksl45eOFkjiEaoO9+E3wZ+IPwDS58O+HNZ0Pxj4WvpLy+l1nx%0aQZ4vEC3sg3JNdzxh01IkhYyxFs6RxxgM+0CgDgLv4p+MPC/wx+IHjLwfpPhTwbr8Xim806/%0a8ADJs7vXxruuboLSEWswuLLyvOdYg37k8lpWGS5b0vwL4h+KmqeO9R8Na7408Fx6ro8Nvc3%0a2m2/gy8hNxBNHlZ7WdtVYPEJRLFvMYO6FwUUFSfLNV/ZL+IyajpM9xrdn4ytYtau/FM9pa+%0aJb7wgE1W6iaOf97aW9zLLCu9jCFeB4wXWRpw527/AIC/Z28UeF/jJo/j1PBul6VrUUD6be6%0azL8Vdb16eawcHMDxXtgRIiuVlVFli+eNfnAyCAfIHjaTVNR+EeprD8Z/B/irwrpviGx07Vt%0aLsNbfTf7StX1eAz6jfLFcXBtpLu7lnkkui2Y4oI/LQCd0j9N/Z88U+H9S/ag8RsPFHhW6ml%0avtItrMwfHbWNQknjSJnEVujxj+1AJJZT5M2FVpHQcMSffvHP7LnjXVfhnY6BoXjjSbG4s9U%0a0y9tdAtPD9tpnhixFtqEFyXgtIke7DbYWJRrwq7yPzGGXy+p8D/B74oeE/iT4g8VXXxB8I3%0a6eI7qyl1Wzi8G3UJMdvGItkDnVH8pmQH5nWQBjnaQNpAPj34j/D/wRF4t8Z6XqVh+zDoLan%0arNtd39hqXjS3XVLAxkfbLeKZ9KDwef5ceQVLRF5yvMimLutEgu9Cu7m+1vQtKs/hhonxTWT%0axHpWhXJlisZxpumRaW0Q8qLzrKG6dGYBEYbIH2FEkWvS/GX7Nfxd1n4b/GPwlo/jDwVZaX4%0a1v8AV7q2sr7RLyecR3YIAe8W6RY255xbSBf+mnSul8P/ALK1/eXHi2DxR4u1BPDmseJotcb%0aw5o7W32S9SKKy2C5eS1M6t5tpysMqqVCjPLCgD6B1H/kH3X/XJv5GotcvLjTtF1C7tLc3d1%0aBbySxW6gkyuqkqoA5OSAOPWpdR/wCQfdf9cm/kas0AfPX7EOh6Pqn7N/hvxY4g1nX/ABrZL%0aqviPWJ1Ek+o3Um7zEmY8ssZZolQ8Iq7QAKy9F0+10n/AIKG3djY20NnZW3wjsoYLa3jEccU%0aa6tcBUVRwqgAAAcACu5t/wBm618PXuo/8IX468W+ANG1Gd7u50DQpLKSx8+R2eWSJbq1ne3%0a3liSsDxrn5goYliniP9m221T4m23jzRfHfi3whr8Ph6Hwy0mmSWN2s1nFM8y+Yb61uGaQvI%0acuWycDPOSQDyXxNp8HgP4+/GXwz4YhTT/DOt/DafxNq+mWaKltFqxlmgFzsAwks8SneRgv5%0aAZskA15j+ya91+zT8OfhrFPO7fDD4qeHbR4GlcsujeJGtEzFk9Ir0AsoyQJkIAUOAfsPwz8%0aB/DXhfw54q06KXUL/U/FUTJrviLULjz9S1FzCYg7yEbVCqTsiRVijyQkagkVSvf2b/COqfs%0a7Q/Be/wDt194Sh0iHR0mmlX7WEhC+TMHVAvmoyI4bbjcoO3HFAHxb4Ym1S2/ZZ/Ykl0Szs9%0aQ1ZfFVsba1v7t7WCR/s17gPKkUrIPcRt9K9j+LeqePr/8Aab/ZrXxj4a8N6Fbrr2qG3k0Px%0aDcam8jf2ZNkOstjbBBjuC2fQda9a0X9lHwloXgr4U+GLfUdaew+G+ox6npEkk8JlnlRJUAu%0aCIgGXEzcIEOQOeuex8b/AAj0fx7438CeKdQub6HUPBt5cX2nx20iLFK80DQMJQyEkBXJG0q%0ac45I4oA+B7DVf+Eg/aE+JXw38YzXHh34ReJ/iZcpqWsW7fLrF+traG30SWQHNtFMAzs/WXY%0aIlK5cn6l+J9va6Z+2F+zpZ20UNpbx6L4phggiUIiqsOn4RFHAAUcAdAK62T9lzwPf+G/iho%0aGrQXWuaP8RNSk1XWLS/dGWOZo4kHkFUUpsMMbqSWZXAYNwMLqH7OVjq/g3whpV/4z8WXniP%0awlMJtF8bzXVudbtmxsYPJ5Hkzh4sxOJonEinL7nw4AOY1D/lIBoH/ZMdR/8ATrY18t/sdPc%0a/s3fDrwX8VEuH/wCFceNNT1HSfGscrkx6XeLqt3BYaoM8Ih/d203KgL5TnO3j7j+H3wV0/w%0aAD+KtW8V32uaz4y8Yalbx2U2veIJIDPHaRnKW0UdvFDDFGHLOQkYLMxLFsDEHgH9n3wn4C+%0aCj/AArWO61zwlLHfQ3EWrSK8k8d3PNNMjNGqDGZ3AwAQAOcjNAHm/7Av/JF9e/7HPxB/wCn%0aCavpOvNf2evgJoH7NfwztPA/hq+1TUdKtria5W41iaOW4Z5XLtuaONFIyePl/OvSqACq11/%0ar7P8A66n/ANAarNVrr/X2f/XU/wDoDUAV/EOg2nijRLzSr5rpbO7Ty5TZXk1pLt/2ZYWV0+%0aqsDjI718+fsR6Fpvhmz+Nek6Pp9rpOl2fxM1aG2sbGFYYIIxDagIiKAqqOwAxX0pXE/D/4S%0aaP8OE8YpptzfzL4p1y61+9NxMA0c86IrrE0aqUQCNcclgSfm6YAPDviJY3Wh/HT4FXPi3w5%0apPg/wvouuXmj+F7nwvc/bQ089jLFb29yHhtzZRPFGwEcKXCs4jVniVAZOh/a4iTVta+Bvh+%0a+US6Bq/xAs01C3kGYrkQ2t1cQxSA8MpmhibaepjFdfp37Pdo3izw/rviXxl4p8df8I7M9zo%0auna/Na/ZbC4aMxifbb28LTyrGzor3DSsu9mBDktUPiD9mrRPFnhTWtE1rxL4q1V73xI/irT%0a9Uu9TEl5oN5vDRCwcpiGKEgiONlYAMwO4EigD5Z/bJ1e/8AAXxF/aATw/cyadHr/wALNNv9%0aUNum3M39pSWPnFh0b7Kzpu6gRjnCjHtPxZ8Paf4A/aK/ZiXw1axaSI5dU8NC0s4dqvpa6Y8%0aggJH/ACzia3hZVPAIz616NpH7OXhePTPGlv4luNQ8eXvjK3Wy13U/EDQi4u7VIzHHbgW0cM%0acUaKzkCJEO52ckuS1RfDn9nTTPAev6RrWo+KPEnjrUtC0z+yNDm8UTW0p0q3IUSeT5EEW6S%0aRUjV5pfMlKxgbwGfcAes0UUUAFFFFABVaw/1Df9dZP/AENqs1WsP9Q3/XWT/wBDagDzX4+6%0aFYz+HLXVZYPNv4NQsIoZJGZhEDdJkopO1WOcFgASMAkgACz8R1e7+IfgiPToo73XLT7XdxW%0ad2dlsYtio7ySAM0bAlQhVH5JBABLDsPFvhS08ZaSunXsk0UAuIbjdAwDbo5FkUcgjGVGeOn%0apVfxJ4JtfEWpadqaXd3pWr6fvW31CxKeYEcYdGWRHRlPBwynBAIwa9ihi4RhTjNv3efzXvJ%0aJfLe9rM8ivhZynUlBL3uTyfutt/Pa17o47wHc6Po2i+MovEH2e1ksdXkv8AU7a4jX7NbO2y%0aWNouu5OEdWIVi3O1Sdom8EQzeMPHuseMY9Pn0vQ7rTo9NtGmBhm1AK7MbkrwyLghULfMV54%0azgaV58INKvtCn06S/1Ez3OoJql1qLPE89zOjArvDRmMoNqgRhAoCgAda6DRvD9/pd2ZrnxN%0aqmrxlSv2e8itFQHj5sxQI2fxxz0q6uIotVJ05e9LTW9rWje3TVrrskt3qRSw9ZOnCpH3Y66%0aWve8rX66J9N23stDi/h3o1noXxZ+INrYwLBCLbS2bkszuVnLO7HLO7HksxLMSSSSaZrugWG%0ak/HHwVd21vtu76DVJLi4dmeSTCQ7QWYk7Vydq/dXJwBXc6d4WtNM8TazrkUkzXeqx28c6Ow%0aMaiEOF2jGRnec5J7dKNR8LWmp+JtG1yWSZbvSo7iOBEYCNhMEDbhjJxsGMEd+tQ8YnWc3J2%0acOV+b5Lfn/AJlrCNUVBJXU+ZeS57/kcv4l0XxJpfj658WaNplhrMS6ILEWU189tOzrK8pCf%0aunU5yoGSvOckCsLU/E1n4y8dfBzW9P8z7HfHUJoxKu11zZtlWHPIOQcEjjgkc13niLwe+vS%0aTmLXtW0iO5i8m4i0+SILKMEZy8blGwSN0ZU9OcgYhT4caNb33hae0jkso/DayrY20DAR4ki%0aMbB8gluDnOQc8kmqp4mjGMXP4lFx0T25JJJ62er3VtL3JqYatKUlD4W1LVrfni21pdaLZ9b%0aWOY+D1lb6lpfjy1u4Irq1m8U6mksEyB0dTIMhlPBB9DXEw3ksvhvT/AAvLcTN4ck8aS6GrF%0azh7BAzJbbhyULDy+v3V29OK9Ms/hWmmy6qLLxPrtlZ6nfTX9zZ2726KZJW3OFk8nzUB6ZVw%0awHQg81sy+AtAm8LQ+HDpsa6NCF8q3jZkMZVtwZXBDB93O8Hdkk5yTXR9dowqymm5KTi9vht%0aG19et9rdFvtbD6nWnSjBpRcVJb/FeV7adPXq9t76M2m2lrZweRY2+bBD9jjWEYhIQqAgA+X%0a5SV4xwSK8Ikgjt/wBmLQ9ZgP8AxNIbq01VboAM7Xb3ah3J6lj5jKfY46cV7JonhK50q5t5b%0anxNrWspbptihvXgVAcbdzeVEhkOM/fLDJzjcARkaf8ACHSdOktoUvdQk0W1vPt9vokkkZtI%0aZslgV+TzCoYlghcqDzjgYww2IpYfSU72kpbPW3Nda979dNX89sTh6tfWMLXi47rS/LZ6drd%0aNdF8uW0XTbXxBoXxfm1KNJZrjUbuzllkXcRDDboIVx6LuLD3YnvXReC7zXL/4a+D9Us9P0/%0aUtZfSoQ8+pXT27BXjQsQyxSE7iqEjgHAOeBVvV/hVp2q6lqtzHqOpadbawIxqlhZSosF7tG%0aDuyhdCy/KxjZCwHPPNbGp+F3uvs39naxqHh9YIvJWPTRCYyg+6vlyxugx2KgHHGSAACriaV%0aRJJ7tPVOytBRto9btdNLWClhqtNttbJrRq7vNyvqtLJ9db3PKfD3huW78AeDxoNtNqi+Gdd%0alkvtIuUjtpWkWWUSBB5hjDRPJvRS+MKPmyK2fB0lzq3xU8exT6ELGzu9Os2nsLx438yQiVf%0a32wugLqCCFLZUKTzlR21h4FtNF8Nw6PpN5faUIpDML2CUSXDSMSXdzIrrIW3NnerDnIAKqQ%0aaV4Fs9J07UoI7y+kvtSkM13qrzAXcsmAFbcoCgKAoVAoQAY24JB0qY6nNVNd7paO+slJt62%0a3V19rpfS5nTwVSDp6bWb1VtIuKS0vs7P7PXrY+Rf25Le+f8AsO+1uyisNTlIhtksJftFu8K%0aeYZC0zKjmQNImE8sKAxO5ixC+4/sm/wDJt3hD/rrP/wCl8teZ/tw+C00v4caTrF3quo63qf%0a8Aa0VpHcX7RKIoTDO7KqRJGnLKpLFSx2gZwMV6Z+yb/wAm3eEP+us//pfLX2eY1I1OEMPyv%0aaq11S0Utr6216+Z+2ezlT8PqHN1xU30b1XW2l9Onke20UVHcQ/aLeWLe8W9Su+M4ZcjGQex%0ar8tPzE+TPHd9o3xy+I3gT4dfCvw/DNofw98YWmsa74nsbVbfSdHltH82TT7eQKFkuZPMCOk%0aWQiyneeWAx/DfhvS/H3wb/bAvPEUEN3e6l4i8QadeXdxEJJFt7O0WOyXkZxCgV09GbcME5r%0a174afsw3fwk8L6L4a8M/F3xzZeHdJAW301rXQnQrvLsGc6Z5jbmZizFtxLE7snNTeLP2UvD%0anijxB4svIfEPiXQNF8YmFvE/hnSLqGPTtaZF2O0u6FpojNEFilNvLF5iqN2SSxAOS0D49eH%0a/h18Avg94y8U2Nx4m+KHinwnYW+nafpll9p1zWp2s4rieKMAFxGG+eR2IjQlSxBZQdf9n/4%0aT+KvhJ+zh4Y0l/DHh298a6feXerW2i3uoG3sdJkurieQwQ3EdvMYzDBcvDmOMhvnUEI+a6P%0axT+zlaaz8TbXx3oXjLxF4G1m20GPw3HFoEOmvbrZJM0wRY7qzn2EsVzsKgiKMY+Wtyb4Waz%0aceG7fT5Pih4x/ta3uWuI/ECDTUutrLtMLRLZi1kTGSN8DMCchgcYAPJv2dNf0z4fXHx0bWr%0aTUrPxRB4vOreIdD0fS5b+O3e7trcwPZJarJLdRvGEYymNJGZZGeGHG0VP2nvGemfFDwT8L7%0aCC01VPDWufEnRtI1ex17RbzTGuoAzT+U8N3FG7RNJHCM7SrcrknIHt/ww+Euk/C2HWpbS71%0aDWtb129Oo6xr2szLLe6hPsVFLlFRERI0REiiRI0VcKoyczfFr4U6F8Z/BF54Y18XMdtK8dx%0ab31hMYLuwuYnDw3NvKPuSxuqspwQcYYMpZSAePyWFvbft+X+nxxRnTvEnwxafWrEwjybyS3%0a1FIYJJhjDt5VzPH82TtGOmBWbImpW/7W3wsvPHmg6b4Svjo2raR4ai8LXR1C1vW2RzTRXVx%0aJFbyR+XDAWihWApkyN5ufkr1jwp8CdN8PXnibVdS8Q+IPFPifxBZrpt14k1S5igv4rNFYR2%0a9u1pFAluitJJIDEisXcuWJCkReGvgPa6b45sfGHiPxb4i8f+INLheDSbjxC1pHHpiyArM0M%0aNnb28e+RSFaR1dtqhVKgsGAKPjH44WV/wCCvHcfh208T2mvaVoeoXkE+peFNUsLfzYom2lJ%0a7i2SJzu2kBXJYZIyATXzvrOgaf4R/ZJ/ZS1fQY0tNVsde8KXNpcQJulnkvyi3oLjk/aBczt%0aJg/OW9cV9xXFvFd28sE8STQSqUkjkUMrqRggg8EEdq8W8DfsneGfA974bjXXvEet+GfC1zN%0aeeHPCusXME2naPM5fZJGVhWeUwrJIkX2iWURq/ygMqMoBxfxh8C6Hov7Yf7PXiG2sQ2u6nq%0a+tpc6jcSvPP5S6Lc7YEeRmMcKnLCFNsYZ3YKGdyfqGuO8W/C3SvGXjvwL4svbi8i1Hwfc3d%0a1YRQOghla4tXtnEoKkkBJGI2lfmAzkcV2NABVa1/195/11H/AKAtWarWv+vvP+uo/wDQFoA%0as143+2B/ybp4t/wC3T/0rhr2SvG/2wP8Ak3Txb/26f+lcNe5kX/I2wn/XyH/pSPpOGv8Akd%0a4L/r7T/wDSkcb+wJ/yR3WP+w9N/wCk9vX0tXzT+wJ/yR3WP+w9N/6T29fS1d3FX/I8xf8Aj%0af5RPS42/wCSkx3+N/lEKKKK+VPiTjb34saJp/jVfC0tj4mbU2ljiE8HhXVJbDc6hlJvUtzb%0aBQGGW8zCnIYgggGk/FjRNa8YT+Grex8TR6jDLLE0934V1S2sS0ZIYreS2627Kdp2sshD8bS%0a2RnsqKACiiigAooooAKKKKAK11/r7P/rqf/QGqzVa6/19n/11P/oDVZoAbJGk0bRyKHRgVZ%0aWGQQeoIr5OuNU0f9oX4w/C/Sfhboca+Bvhbq73l/4ytLYWunwmO2mtU0jTSFHnqxYeb5WIo%0a0ijG5iyqPqDxPoMXirw1q2iz3FxaQalaTWclxZuEmiWRChaNiCAwDZBwcEDivMPhz+zzqHw%0av0rw5o2j/FnxofDmhJBBb6LNaaGLd4IsAQuyaaspVgMMwcOck7g3NAHzeuh2Hif9g39oXxD%0aqoA8Q32q+J9Yu70rmdL2yu5hZ4P3kMYtrdU/uAAjFez+Ofjd4f8G+DdDhl8Kp45+L3jrw7b%0aRw+FNOsEa61ceWQBduV2w2aSXEu6SYiNFeYgE7lO1q37I3hXVtV8Rg634htvCfiXVBrOt+C%0a4Z4P7J1G7LK8jyBoTOokdFaSOOZEcg7lIZgdHWf2dPtXxT8RePtE+IfizwlrWvW1rZ3kelx%0aaXPD5VurCNU+12M7oMu7EKwBZiSOmACh8KPhb4r+Dn7PXw38NWelaB4w8aeGdOgtGl1nUpL%0aOCBjGRN5NwtrO4Az5ajy13IOdvSuS/Ze8SaH8N/ht8QGvrbWl1iy8a6i3iHS9M0Oa8+x39w%0a6TGO0trMTyNbCOWIrJyWyzMIySieu6h8MNYvvD+k2afEzxfZ6zYGVW8QW404XN3HI24xzQN%0aZm0OMRhXW3WRQmA48yXzL3wt+FejfCTQbvTtIkvLyfULyTUtT1PUp/Ou9RvJFVZLiZsBd7B%0aEGEVUUKFVVUAAA8R+LHiqw+J/wAbf2a7RbXUv+Eau9f1bUXsta0m606R7yy0+WS1doLmOOQ%0abHLSLlQCUDDO2p/hxpMC/tV/tG+GorK11DQNU0nRNSu9IuogLN7u4guYZg42lT50cEe8lW3%0abeQcHPr3xZ+D+j/F7T9Gjv7vUNG1XQ9Ri1bSNb0eVI7zT7qPI3xmRHjZWUsjxyI6MrkFTwR%0aR8J/A3S/CWg+JbaLW9cvfEHiSf7Xqvi24uY01W5mUBYW3xRpGixIqIkSRrEFU5Rt8m8A8t8%0aNvqVv+2ZpWreP9Ks/DfizV/BV3peiW+g3R1DT7u2hvIZ7gS3ckcExnRnjKxfZ1jVHdhLI0h%0aSOx+0X8drbWv2aPi7ceFLfxVpmr2Hhi9nS51bwrqmkiMGMoWjkureJS4DEgKSwxuxgE16R4%0aP+B1n4e8cjxnrfibX/AB14qhsW0yz1LxA9qv2G2dw8iQw2sEEKl2VC0hjMhCKpfaAtdz4i8%0aP6d4t8P6noesWkd/pOp2stleWkudk0MiFJEbHZlYg/WgD5g+KPhnSvhzrX7J1x4Ugi0+Sw8%0aQReHrZLaIENptxplx56Egcr+5ifn+IB+q5q9438B6F4V/bi+DGq6bYCLVda03xTNqF/NK89%0axcFUsSiNJIzN5ab3CRAhIwzBFUEivQvh5+zNo3gHWvDmo3HibxJ4u/wCEXtZLLw5beIbi3k%0ai0aKRPLfyTFBG7uYgIhJO0jhMqGG5t3X+IfhbpXiX4meDvHN1cXkereFrbULWyhhdBBIt4s%0aIlMilSxI8hNu1lxls54wAdjRRRQBWsP9Q3/AF1k/wDQ2qzVaw/1Df8AXWT/ANDarNABRRRQ%0aAUUUUAFfEn7bP/JWdJ/7AkP/AKPnr7br4b/bja6Hxd0jyPJ2f2HDnzM5z9ouPSmlcTdjxSD%0apVqPp+NYsD6jj/l1/8eq1G+o4/wCXXr/tVXL5k83katFZ+/Uf+nX/AMeo36j/ANOv/j1HJ5%0ahzeRoUVn79R/6df/HqN+o/9Ov/AI9RyeYc3kaFFZ+/Uf8Ap1/8eo36j/06/wDj1HJ5hzeRo%0aUVn79R/6df/AB6jfqP/AE6/+PUcnmHN5GhRWfv1H/p1/wDHqN+o/wDTr/49RyeYc3kaFFZ+%0a/Uf+nX/x6jfqP/Tr/wCPUcnmHN5GhRWfv1H/AKdf/HqN+o/9Ov8A49RyeYc3kaFFZ+/Uf+n%0aX/wAeo36j/wBOv/j1HJ5hzeRoUVn79R/6df8Ax6jfqP8A06/+PUcnmHN5GhRWfv1H/p1/8e%0ao36j/06/8Aj1HJ5hzeRoUVn79R/wCnX/x6jfqP/Tr/AOPUcnmHN5GhRWfv1H/p1/8AHqN+o%0a/8ATr/49RyeYc3kaFFZ+/Uf+nX/AMeo36j/ANOv/j1HJ5hzeRoUVn79R/6df/HqN+o/9Ov/%0aAI9RyeYc3kaFFZ+/Uf8Ap1/8eo36j/06/wDj1HJ5hzeRoUVn79R/6df/AB6jfqP/AE6/+PU%0acnmHN5GhRWfv1H/p1/wDHqN+o/wDTr/49RyeYc3kaFFZ+/Uf+nX/x6jfqP/Tr/wCPUcnmHN%0a5GhRWfv1H/AKdf/HqN+o/9Ov8A49RyeYc3kaFFFFQWFFFFABRRRQBBL/x8wf8AAv5VPUEv/%0aHzB/wAC/lU9AELf69v90fzNFDf69v8AdH8zRVIlhRRRTEFFFFABRRRQAUUUUAFFFFABRRRQ%0aAUUUUAFFFFABRRRQAUUUUAFFFFABRRRQAUUUUAFFFFABRRRQAUUUUAFFFFABRRRQAUUUUAF%0aRydPxqSo5On40AVZ+le7fsRf8la1b/sCTf+j7evCZ+le7fsRf8la1b/sCTf8Ao+3pMaPt6i%0aiipKK1r/r7z/rqP/QFqzWcb6OzublXDEs4YbR22qP6U7+2YP7sn5D/ABoAv0VQ/tmD+7J+Q%0a/xrN1jxtY6J5PnxXD+bnHlqp6Y65YetAHQ0Vxv/AAtTSf8An3vf++E/+Ko/4WppP/Pve/8A%0afCf/ABVAHZVWsP8AUN/11k/9DauW/wCFqaT/AM+97/3wn/xVQ23xP0uGMq1veEl3bhE6FiR%0a/F70AdxRXG/8AC1NJ/wCfe9/74T/4qj/hamk/8+97/wB8J/8AFUAdlRXG/wDC1NJ/5973/v%0ahP/iqP+FqaT/z73v8A3wn/AMVQB2VeN/tgf8m6eLf+3T/0rhrsv+FqaT/z73v/AHwn/wAVX%0alf7UPje08S/AnxRp9la3jXEi27gGNSAqXMTsThicBVJ/CvbyNpZrhW/+fkP/SkfR8NtRzvB%0aN/8AP2n/AOlIz/2BP+SO6x/2Hpv/AEnt6+lq/Oz4A/tVf8KN8HXmg/8ACL/239ov3vvtH9o%0afZ9u6ONNu3ynz/q85z36cV6X/AMPEP+qf/wDla/8AuevveIOE85xua4jE4eheEpXT5oq6su%0a7v0P0zijgjiDMc7xeLwuH5qc5tp80FdWj0ck+j3Psiq1r/AK+8/wCuo/8AQFr5A/4eIf8AV%0aP8A/wArX/3PUcX/AAUK8p5m/wCEBz5j7sf2z0+UD/n39q+f/wBSc+/6B/8AyaH/AMkfL/8A%0aEO+J/wDoF/8AJ4f/ACR9mUV8b/8ADxD/AKp//wCVr/7no/4eIf8AVP8A/wArX/3PR/qTn3/%0aQP/5ND/5IP+Id8T/9Av8A5PD/AOSPsiivjf8A4eIf9U//APK1/wDc9H/DxD/qn/8A5Wv/AL%0ano/wBSc+/6B/8AyaH/AMkH/EO+J/8AoF/8nh/8kfZFFfG//DxD/qn/AP5Wv/uej/h4h/1T/%0awD8rX/3PR/qTn3/AED/APk0P/kg/wCId8T/APQL/wCTw/8Akj7Ior43/wCHiH/VP/8Aytf/%0aAHPR/wAPEP8Aqn//AJWv/uej/UnPv+gf/wAmh/8AJB/xDvif/oF/8nh/8kfZFFfG/wDw8Q/%0a6p/8A+Vr/AO56P+HiH/VP/wDytf8A3PR/qTn3/QP/AOTQ/wDkg/4h3xP/ANAv/k8P/kj7Io%0ar43/4eIf8AVP8A/wArX/3PR/w8Q/6p/wD+Vr/7no/1Jz7/AKB//Jof/JB/xDvif/oF/wDJ4%0af8AyR9kUV8b/wDDxD/qn/8A5Wv/ALno/wCHiH/VP/8Aytf/AHPR/qTn3/QP/wCTQ/8Akg/4%0ah3xP/wBAv/k8P/kj7IqtJ/yEIP8ArlJ/NK+QP+HiH/VP/wDytf8A3PUbf8FCt1wkv/CA/dR%0alx/bPXJB/59/aj/UnPv8AoH/8mh/8kH/EO+J/+gX/AMnh/wDJH2ZRXxv/AMPEP+qf/wDla/%0a8Auej/AIeIf9U//wDK1/8Ac9H+pOff9A//AJND/wCSD/iHfE//AEC/+Tw/+SOy/b7/AOSO6%0aP8A9h6H/wBJ7iuy/Y//AOTdPCX/AG9/+lc1fKHx+/aq/wCF5eDrPQf+EX/sT7PfpffaP7Q+%0a0btscibdvlJj/WZznt05r6N/Ze8b2nhr4E+F9PvbW8W4jW4cgRqAVe5ldSMsDgqwP417+b5%0aficr4Vo4XGR5Z+2btdPRp9mz6fPcrxeS8E4fB4+HJU9vJ2uno07PRtf5dT6Gorjf+FqaT/w%0aA+97/3wn/xVH/C1NJ/5973/vhP/iq/KD8ROyorjf8Ahamk/wDPve/98J/8VR/wtTSf+fe9/%0awC+E/8AiqAOpj/5CE//AFyj/m9Wa4dfifpYupJfs95tZFUDYmcgt/te4qb/AIWppP8Az73v%0a/fCf/FUAdlRXG/8AC1NJ/wCfe9/74T/4qj/hamk/8+97/wB8J/8AFUAdlRXG/wDC1NJ/597%0a3/vhP/iqP+FqaT/z73v8A3wn/AMVQB2VFcb/wtTSf+fe9/wC+E/8AiqP+FqaT/wA+97/3wn%0a/xVAHZUVxv/C1NJ/5973/vhP8A4qj/AIWppP8Az73v/fCf/FUAdlRXG/8AC1NJ/wCfe9/74%0aT/4qj/hamk/8+97/wB8J/8AFUAdlRXG/wDC1NJ/5973/vhP/iqP+FqaT/z73v8A3wn/AMVQ%0aB2VFcb/wtTSf+fe9/wC+E/8AiqP+FqaT/wA+97/3wn/xVAHZUVxv/C1NJ/5973/vhP8A4qj%0a/AIWppP8Az73v/fCf/FUAdlRXG/8AC1NJ/wCfe9/74T/4qj/hamk/8+97/wB8J/8AFUAdTq%0aP/ACD7r/rk38jVmuHu/ifpc9rNEtveBnRlBKJjJH+9U3/C1NJ/5973/vhP/iqAOyorjf8Ah%0aamk/wDPve/98J/8VR/wtTSf+fe9/wC+E/8AiqAOyorjf+FqaT/z73v/AHwn/wAVR/wtTSf+%0afe9/74T/AOKoA7KiuN/4WppP/Pve/wDfCf8AxVH/AAtTSf8An3vf++E/+KoA7KiuN/4WppP%0a/AD73v/fCf/FUf8LU0n/n3vf++E/+KoA7KiuN/wCFqaT/AM+97/3wn/xVH/C1NJ/5973/AL%0a4T/wCKoA7KiuN/4WppP/Pve/8AfCf/ABVH/C1NJ/5973/vhP8A4qgDsqrXX+vs/wDrqf8A0%0aBq5b/hamk/8+97/AN8J/wDFVDN8T9LkkgYW95iNyxyidNrD+970AdxRXG/8LU0n/n3vf++E%0a/wDiqP8Ahamk/wDPve/98J/8VQB2VFcb/wALU0n/AJ973/vhP/iqP+FqaT/z73v/AHwn/wA%0aVQB2VFcb/AMLU0n/n3vf++E/+Ko/4WppP/Pve/wDfCf8AxVAHZUVxv/C1NJ/5973/AL4T/w%0aCKo/4WppP/AD73v/fCf/FUAdlRXG/8LU0n/n3vf++E/wDiqP8Ahamk/wDPve/98J/8VQB2V%0aVrD/UN/11k/9DauW/4WppP/AD73v/fCf/FVDbfE/S4YyrW94SXduEToWJH8XvQB3FFcb/wt%0aTSf+fe9/74T/AOKo/wCFqaT/AM+97/3wn/xVAHZUVxv/AAtTSf8An3vf++E/+Ko/4WppP/P%0ave/8AfCf/ABVAHZUVxv8AwtTSf+fe9/74T/4qj/hamk/8+97/AN8J/wDFUAdlRXG/8LU0n/%0an3vf8AvhP/AIqj/hamk/8APve/98J/8VQB2VFcb/wtTSf+fe9/74T/AOKo/wCFqaT/AM+97%0a/3wn/xVAHZUVxv/AAtTSf8An3vf++E/+Ko/4WppP/Pve/8AfCf/ABVAHZUVxv8AwtTSf+fe%0a9/74T/4qj/hamk/8+97/AN8J/wDFUAdlRXG/8LU0n/n3vf8AvhP/AIqj/hamk/8APve/98J%0a/8VQB43+33/yR3R/+w9D/AOk9xXU/sm/8m3eEP+us/wD6Xy15t+2540sfEfwp0q2torhJE1%0aqKQmVVAwIJx2J9RXoP7J99Gv7OvhKEhtyvcMTjjAvZW/lX6NX/AOSNof8AX+X5M/WcT/yQG%0aH/7CJfkz3WiqH9swf3ZPyH+NH9swf3ZPyH+NfnJ+TF+iqH9swf3ZPyH+NH9swf3ZPyH+NAF%0a+iqH9swf3ZPyH+NH9swf3ZPyH+NAF+iqH9swf3ZPyH+NH9swf3ZPyH+NAF+iqH9swf3ZPyH%0a+NH9swf3ZPyH+NAF+iqH9swf3ZPyH+NH9swf3ZPyH+NAF+iqH9swf3ZPyH+NH9swf3ZPyH+%0aNAF+q1r/r7z/rqP/QFqH+2YP7sn5D/ABqGHVIo5J2KviRwwwB02qPX2oA1a8b/AGwP+TdPF%0av8A26f+lcNeq/2zB/dk/If4149+1zqcVx+z14rjVXDH7J1Ax/x9w+9e5kX/ACNsJ/18h/6U%0aj6Thr/kd4L/r7T/9KRzP7An/ACR3WP8AsPTf+k9vX0tXy/8AsG6hHafCHV0dWJOuzH5QP+f%0ae3r6R/tmD+7J+Q/xru4q/5HmL/wAb/KJ6XG3/ACUmO/xv8ol+iqH9swf3ZPyH+NH9swf3ZP%0ayH+NfKnxJfoqh/bMH92T8h/jR/bMH92T8h/jQBfoqh/bMH92T8h/jR/bMH92T8h/jQBfoqh%0a/bMH92T8h/jR/bMH92T8h/jQBfoqh/bMH92T8h/jR/bMH92T8h/jQBNdf6+z/66n/0Bqs1l%0aTapFJJAwV8RuWOQOm1h6+9Tf2zB/dk/If40AX6Kof2zB/dk/If40f2zB/dk/If40AX6Kof2%0azB/dk/If40f2zB/dk/If40AX6Kof2zB/dk/If40f2zB/dk/If40AX6Kof2zB/dk/If40f2z%0aB/dk/If40AX6Kof2zB/dk/If40f2zB/dk/If40AX6Kof2zB/dk/If40f2zB/dk/If40AX6K%0aof2zB/dk/If40f2zB/dk/If40ATWH+ob/rrJ/6G1WayrbVIoYyrK5Jd24A6FiR396m/tmD+%0a7J+Q/wAaAL9FUP7Zg/uyfkP8aP7Zg/uyfkP8aAL9FU4NTiuJVjVXDH1Ax/OrlABXxD+27/y%0aVrSf+wJD/AOj7ivt6viH9t3/krWk/9gSH/wBH3FNCZ4TB0q1H0/GqsHSrUfT8aokkooooAK%0aKKKACiiigAooooAKKKKACiiigAooooAKKKKACiiigAooooAKKKKACiiigAooooAKKKKACii%0aigAooooAKKKKACiiigAooooAmoooqCwooooAKKKKAIJf+PmD/gX8qnqCX/j5g/4F/Kp6AIW%0a/wBe3+6P5mihv9e3+6P5miqRLCiiimIKKKKACiiigAooooAKKKKACiiigAoqvqGo2mk2kl1%0afXUNnax43z3EgjRcnAyx4HJAqO/1nT9LsheXt9bWdmcYuJ5lSM56fMTjmkMuUUkciyorowd%0aGAKspyCPUUtMQUUUUAFFV73ULXTYllvLmG1iZxGHnkCAsTgLk9yegqxQAUUUUARySNvEcYB%0acjPPQCl8m4/57Rf9+j/APFUQ/8AH5N/1zT+bVZqSit5Nx/z2i/79H/4qjybj/ntF/36P/xV%0aWaKLhYreTcf89ov+/R/+Ko8m4/57Rf8Afo//ABVWaKLhYreTcf8APaL/AL9H/wCKo8m4/wC%0ae0X/fo/8AxVWaKLhYreTcf89ov+/R/wDiqPJuP+e0X/fo/wDxVWaKLhYreTcf89ov+/R/+K%0ao8m4/57Rf9+j/8VVmii4WK3k3H/PaL/v0f/iqPJuP+e0X/AH6P/wAVVmii4WK3k3H/AD2i/%0awC/R/8AiqPJuP8AntF/36P/AMVVmii4WK3k3H/PaL/v0f8A4qo5IbjH+ui6/wDPI/8AxVXa%0aik6fjRcLGZPDcY/1sf8A37P/AMVXvH7EEcqfFvVi7ow/sSbhUI/5b2/ua8Qn6V7p+xN/yVn%0aVv+wJN/6PgpDPtuiiigDB1P8A4/pfw/kK8s+NXxz0T4LaNHNeIdR1e54tNKik2yTc8sTg7F%0aH97B54ANep6n/x/S/h/IV8e/Hn4d618L/ipb/Fyztv+Eu0iKcTXdlf/vGs+w2+iDOUbHyED%0aIPcA+kvh54j1vxX4Zt9U13w8PDNzcfPHYNdefIsZHBf5E2sf7vJHGcHIFbx/wD8uH/bT/2W%0arPw8+Iei/E/wxba5odyJ7aX5ZI24kgk7xuvZh+vBGQQareP/APlw/wC2n/stAHIUUUUAFFF%0aFABRRRQAUUUUAFDKGUggEHgg96KKAOePw68KE5PhjRs/9g+L/AOJo/wCFdeE/+hY0b/wXxf%0a8AxNdDRXd9fxn/AD+n/wCBy/8Akj0v7Tx//QRP/wADn/8AJnPf8K68J/8AQsaN/wCC+L/4m%0aj/hXXhP/oWNG/8ABfF/8TXQ0UfX8Z/z+n/4HL/5IP7Tx/8A0ET/APA5/wDyZz3/AArrwn/0%0aLGjf+C+L/wCJo/4V14T/AOhY0b/wXxf/ABNdDRR9fxn/AD+n/wCBy/8Akg/tPH/9BE//AAO%0af/wAmc9/wrrwn/wBCxo3/AIL4v/iaP+FdeE/+hY0b/wAF8X/xNdDRR9fxn/P6f/gcv/kg/t%0aPH/wDQRP8A8Dn/APJnPf8ACuvCf/QsaN/4L4v/AImj/hXXhP8A6FjRv/BfF/8AE10NFH1/G%0af8AP6f/AIHL/wCSD+08f/0ET/8AA5//ACZz3/CuvCf/AELGjf8Agvi/+Jo/4V14T/6FjRv/%0aAAXxf/E10NFH1/Gf8/p/+By/+SD+08f/ANBE/wDwOf8A8mc9/wAK68J/9Cxo3/gvi/8AiaP%0a+FdeE/wDoWNG/8F8X/wATXQ0UfX8Z/wA/p/8Agcv/AJIP7Tx//QRP/wADn/8AJnPf8K68J/%0a8AQsaN/wCC+L/4mj/hXXhP/oWNG/8ABfF/8TXQ0UfX8Z/z+n/4HL/5IP7Tx/8A0ET/APA5/%0awDyZz3/AArrwn/0LGjf+C+L/wCJo/4V14T/AOhY0b/wXxf/ABNdDRR9fxn/AD+n/wCBy/8A%0akg/tPH/9BE//AAOf/wAmc9/wrrwn/wBCxo3/AIL4v/iaP+FdeE/+hY0b/wAF8X/xNdDRR9f%0axn/P6f/gcv/kg/tPH/wDQRP8A8Dn/APJnPf8ACuvCf/QsaN/4L4v/AImj/hXXhP8A6FjRv/%0aBfF/8AE10NFH1/Gf8AP6f/AIHL/wCSD+08f/0ET/8AA5//ACZzw+HXhQHI8MaNn/sHxf8Ax%0aNdCqhVAAAA4AHaiisKuIrV7e1m5W7tv82zmrYrEYi3t6kp225pSlb0u2FFFFYHMFFFFABRR%0aRQAUUUUAFFFFABRRRQAUUUUAFFFFABRRRQAUUUUAFFFFABRRRQAUUUUAFFFFABRRRQAUUUU%0aAFFFFABRRRQAUUUUAFFFFABRRRQAUUUUAFFFFABRRRQAUUUUAFFFFABRRRQAUUUUAFFFFAB%0aRRRQAUUUUAFFFFABRRRQAUUUUAeN/tUf8AJPtP/wCwpH/6Kmr2j9lL/kgXhb/t6/8ASqavI%0a/2l9IvNW+HcTWdu9wLS9S5m2DJSMRyKWx6AsM/n0FeZfD79qrxZ8N/CFh4c0zT9GnsbLzPL%0aku4JWkO+RpDkrKo6uew4xX69l+VYnPOFaeFwVnONWTabSsrfPvofu+V5Ji+I+CqWCy/ldSF%0aeUmnJKyt8976aarU/QOivh7/huLx3/wBAnw7/AOA0/wD8eo/4bi8d/wDQJ8O/+A0//wAerx%0a/9QM8/lh/4Gv8AI8H/AIhfxJ/JD/wYv/kT7hor4e/4bi8d/wDQJ8O/+A0//wAeo/4bi8d/9%0aAnw7/4DT/8Ax6j/AFAzz+WH/ga/yD/iF/En8kP/AAYv/kT7hor4e/4bi8d/9Anw7/4DT/8A%0ax6j/AIbi8d/9Anw7/wCA0/8A8eo/1Azz+WH/AIGv8g/4hfxJ/JD/AMGL/wCRPuGivh7/AIb%0ai8d/9Anw7/wCA0/8A8eo/4bi8d/8AQJ8O/wDgNP8A/HqP9QM8/lh/4Gv8g/4hfxJ/JD/wYv%0a8A5E+4aK+Hv+G4vHf/AECfDv8A4DT/APx6j/huLx3/ANAnw7/4DT//AB6j/UDPP5Yf+Br/A%0aCD/AIhfxJ/JD/wYv/kT7hor4e/4bi8d/wDQJ8O/+A0//wAeo/4bi8d/9Anw7/4DT/8Ax6j/%0aAFAzz+WH/ga/yD/iF/En8kP/AAYv/kT7hor4e/4bi8d/9Anw7/4DT/8Ax6j/AIbi8d/9Anw%0a7/wCA0/8A8eo/1Azz+WH/AIGv8g/4hfxJ/JD/AMGL/wCRPuGivh7/AIbi8d/9Anw7/wCA0/%0a8A8eo/4bi8d/8AQJ8O/wDgNP8A/HqP9QM8/lh/4Gv8g/4hfxJ/JD/wYv8A5E+4a8l/at/5I%0aF4p/wC3X/0qhr54/wCG4vHf/QJ8O/8AgNP/APHq534g/tVeLPiR4Qv/AA5qen6NBY3vl+ZJ%0aaQSrINkiyDBaVh1QdjxmvTyvgjOcJj6GIqxjywnFv309E030PZybw5z/AAOZ4bFVow5IThJ%0a2mm7KSb0troe+fsO/8kn1b/sNzf8Aoi3r6Hrwj9jPQNQ0L4RzPqFpJaC/1KS8thKMGSExRK%0ar464JRsZ6jnoRXu9fHcUTjPO8XKLuud/lFfoz8/wCM5xqcRY6UHde0eq16RX5pr5BRRRXy5%0a8aFFFFABRRRQAUUUUAFFFFABRRRQAUUUUAFFFFABRRRQAUUUUAFFFFABRRRQAUUUUAFFFFA%0aHM/ETxHrXhPwxcapofh//hJrm3+eSwW68iRowOSnyPuYf3eCecZOAec+Cvxz0T406NJNZod%0aO1e24u9Klk3SQ88MDgb1P97A54IFdH8Q/iJonww8M3Gua7ciC2j+WONeZJ5McRovdjj6Dkn%0aABNfN3wG+Het/E/wCKlx8XLy2PhDSZZzNaWVh+7a84wd3qh6s2PnJOAOoAPsHTP+P6L8f5G%0at6sHTP+P6L8f5Gt6gAr4f8A2345X+LeklHRR/YkPDIT/wAt7j3FfcFfEn7bP/JWdJ/7AkP/%0aAKPnoA8CghuMf62P/v2f/iqtxw3GP9dF1/55H/4qmwdKtR9Pxp3FYj8m4/57Rf8Afo//ABV%0aHk3H/AD2i/wC/R/8Aiqs0UXCxW8m4/wCe0X/fo/8AxVHk3H/PaL/v0f8A4qrNFFwsVvJuP+%0ae0X/fo/wDxVHk3H/PaL/v0f/iqs0UXCxW8m4/57Rf9+j/8VR5Nx/z2i/79H/4qrNFFwsVvJ%0auP+e0X/AH6P/wAVR5Nx/wA9ov8Av0f/AIqrNFFwsVvJuP8AntF/36P/AMVR5Nx/z2i/79H/%0aAOKqzRRcLFbybj/ntF/36P8A8VR5Nx/z2i/79H/4qrNFFwsVvJuP+e0X/fo//FUiu6SCOQD%0aJ6MvAP4Vaqvdf6y2/66H/ANBai4WHUUUVRIUUUUAFFFFABRRRQAUUUUAFFFFABRRRQAUUUU%0aAFFFFABRRRQAUUUUATUUUVBYUUUUAFFFFAEEv/AB8wf8C/lU9QS/8AHzB/wL+VT0AQt/r2/%0awB0fzNFDf69v90fzNFUiWFFFFMQUUUUAFFFFABRRRQB86/Fu71C+16+02Vb62WbUoI7KLy7%0a+T7Ug2s8kYEvlHaf4VTPPBB5ql4cZbDxHr91c+JdS0e3t9TgeWdLDUf3w4+STMp2bumJdzc%0a8HHFdn4s8JteeM7jU7P8A4SLXNXS1lt7eHZLZx28pJxItzmJAgB27U3FuSdxJNU7TwXqtjr%0aXh2XxVp+panBpjsJbtLiTVoLt3QgMYnbfDsOOVjYE4yRgGlT0t/Xb/AC9NV5lVNb/13/z9S%0a1rGk/2v8cdYj/sXS9b2aRE3k6q+1E+YfMv7qTnt0HU815vFpG34MWN//YelJnUQv9pq/wDp%0aZ/fEbceV07ff6Dp2r2mD4cHVviT4i1vX9Nsr6wlt4YLBJ0WcYA+Y4YfKQR6fxcE1wFv8JdU%0a/4QHTdG/4ROOHXTerLNqpNriKLzScFw+84XHAB4/Kino18v8A0u/5f10Cbvf5/wDpP+f9dS%0a/4v1OHw98TvFmtz6FY65Hp9lZy7btwjxEkANHmN/myR/d6day/DesxaB4j1rUl8Mabqcl14%0ajWytbi4lEcltI4JUKfJbCjuQQfau907wfFrnxC8ZavrXh+O+tlEFvYpe2yP5uyPLGPfxycD%0aPA7Z4OOWh8I61H4c0a6udKnj1C98XpqVzaxRlzbR7mX5tucKAM56YIohpy/1vL+vQU+tv6t%0aH+vUh+KcUJ+I8VxqSWkCW2gJJKsgSWJCbjZgF7abPLYBEYP0Ga5e+g0u6/teyvtMFjb2QjF%0axc/ZEg2hxlfmTSQ8fYZbbntkV6N448EeI9d8XanqVnZxGCRbTT0WYW8iy2+/zJnKyBlG1tu%0aMqTxkA1ymqfBnxVpd7eXtjpmlXq3JAW3ijspWi2xsFOJbaNAC+3OwKcZyCfmER0Sv8A1qU9%0a/uOo+NFip/4V/Zrbw3i/2lFELe6b93KNoG1ztPB7nafp2rE+M/hf+zPAV3cf8Ih4b0jbLEP%0atWmzbply44A+zpweh+YfjXSeJfDGt+L/Fvgqw1XTVm0rT4PteoXMio0M0wVQU2jj72OCBkF%0asDArP+MHhHRrjw/PpPh7wmBrbzwqktjorIqgsCT54jCAY4PzfXvWjvf1l+q/yfyFDp5Jfky%0av8AGPxJHc+NfB/hua2nubKN01C5hij3G4xkIir/ABH5W477gK5i8vLTUdA8V6xqs9zYeL01%0aCK/8o2Nwy2JiJEETuI9oypIBJwcr716X8TdNuB4j8EahBp1zdpZXbSXUlpbtKyoq5GdoJ9c%0aD1PFcbqeg6rL4E8W3F1pV/wD2/wCKrhLiCwhs5JDDEsi7FkdVKo2MkhiD+ORUapO2939942%0a/rsvNiilaKfZfk7/13fkezeEdefxP4b0/VJLOawkuYg7W9whVkPQ9eoPUHuCDWvVTR7VrHS%0abK2YbWhgSMgHOCFA/pVutZ25nbYiN+VXGQ/8fk3/XNP5tVmq0P/AB+Tf9c0/m1WazZogooo%0apDCiiigAooooAKKKKACiiigAooooAKKKKACo5OlSVHJ0NAFSfpXun7E3/JWdW/7Ak3/o+Cv%0aDJhwa90/YnGPizq3/AGBJf/R8FAH21RRRQBiajbyveSMsbspxyFJHQVX+yz/88ZP++TXR0U%0aAc59ln/wCeMn/fJrlvG+kX139i8iyuJtu/PlxM2Pu9cCvTKKAPCv8AhHNW/wCgXe/+A7/4U%0af8ACOat/wBAu9/8B3/wr3WigDwr/hHNW/6Bd7/4Dv8A4Uf8I5q3/QLvf/Ad/wDCvdaKAPCv%0a+Ec1b/oF3v8A4Dv/AIUf8I5q3/QLvf8AwHf/AAr3WigDwr/hHNW/6Bd7/wCA7/4Uf8I5q3/%0aQLvf/AAHf/CvdaKAPCv8AhHNW/wCgXe/+A7/4Uf8ACOat/wBAu9/8B3/wr3WigDwr/hHNW/%0a6Bd7/4Dv8A4Uf8I5q3/QLvf/Ad/wDCvdaKAPCv+Ec1b/oF3v8A4Dv/AIUf8I5q3/QLvf8Aw%0aHf/AAr3WigDwr/hHNW/6Bd7/wCA7/4Uf8I5q3/QLvf/AAHf/CvdaKAPCv8AhHNW/wCgXe/+%0aA7/4Uf8ACOat/wBAu9/8B3/wr3WigDwr/hHNW/6Bd7/4Dv8A4Uf8I5q3/QLvf/Ad/wDCvda%0aKAPCv+Ec1b/oF3v8A4Dv/AIUf8I5q3/QLvf8AwHf/AAr3WigDwr/hHNW/6Bd7/wCA7/4Uf8%0aI5q3/QLvf/AAHf/CvdaKAPCv8AhHNW/wCgXe/+A7/4Uf8ACOat/wBAu9/8B3/wr3WigDwr/%0ahHNW/6Bd7/4Dv8A4Uf8I5q3/QLvf/Ad/wDCvdaKAPCv+Ec1b/oF3v8A4Dv/AIUf8I5q3/QL%0avf8AwHf/AAr3WigDwr/hHNW/6Bd7/wCA7/4Uf8I5q3/QLvf/AAHf/CvdaKAPCv8AhHNW/wC%0agXe/+A7/4Uf8ACOat/wBAu9/8B3/wr3WigDwr/hHNW/6Bd7/4Dv8A4Uf8I5q3/QLvf/Ad/w%0aDCvdaKAPCv+Ec1b/oF3v8A4Dv/AIUf8I5q3/QLvf8AwHf/AAr3WigDwr/hHNW/6Bd7/wCA7%0a/4Uf8I5q3/QLvf/AAHf/CvdaKAPCv8AhHNW/wCgXe/+A7/4Uf8ACOat/wBAu9/8B3/wr3Wi%0agDwr/hHNW/6Bd7/4Dv8A4Uf8I5q3/QLvf/Ad/wDCvdaKAPCv+Ec1b/oF3v8A4Dv/AIUf8I5%0aq3/QLvf8AwHf/AAr3WigDwr/hHNW/6Bd7/wCA7/4Uf8I5q3/QLvf/AAHf/CvdaKAPCv8AhH%0aNW/wCgXe/+A7/4Uf8ACOat/wBAu9/8B3/wr3WigDwr/hHNW/6Bd7/4Dv8A4Uf8I5q3/QLvf%0a/Ad/wDCvdaKAPCv+Ec1b/oF3v8A4Dv/AIUf8I5q3/QLvf8AwHf/AAr3WigDwr/hHNW/6Bd7%0a/wCA7/4Uf8I5q3/QLvf/AAHf/CvdaKAPCv8AhHNW/wCgXe/+A7/4Uf8ACOat/wBAu9/8B3/%0awr3WigDwr/hHNW/6Bd7/4Dv8A4Uf8I5q3/QLvf/Ad/wDCvdaKAPCv+Ec1b/oF3v8A4Dv/AI%0aUf8I5q3/QLvf8AwHf/AAr3WigDwr/hHNW/6Bd7/wCA7/4Uf8I5q3/QLvf/AAHf/CvdaKAPC%0av8AhHNW/wCgXe/+A7/4Uf8ACOat/wBAu9/8B3/wr3WigDwr/hHNW/6Bd7/4Dv8A4Uf8I5q3%0a/QLvf/Ad/wDCvdaKAPCv+Ec1b/oF3v8A4Dv/AIUf8I5q3/QLvf8AwHf/AAr3WigDwr/hHNW%0a/6Bd7/wCA7/4Uf8I5q3/QLvf/AAHf/CvdaKAPCv8AhHNW/wCgXe/+A7/4Uf8ACOat/wBAu9%0a/8B3/wr3WigDwr/hHNW/6Bd7/4Dv8A4Uf8I5q3/QLvf/Ad/wDCvdaKAPCv+Ec1b/oF3v8A4%0aDv/AIUf8I5q3/QLvf8AwHf/AAr3WigDwr/hHNW/6Bd7/wCA7/4Uf8I5q3/QLvf/AAHf/Cvd%0aaKAPCv8AhHNW/wCgXe/+A7/4Uf8ACOat/wBAu9/8B3/wr3WigDwr/hHNW/6Bd7/4Dv8A4Uf%0a8I5q3/QLvf/Ad/wDCvdaKAPCv+Ec1b/oF3v8A4Dv/AIUf8I5q3/QLvf8AwHf/AAr3WigDwr%0a/hHNW/6Bd7/wCA7/4Uf8I5q3/QLvf/AAHf/CvdaKAPCv8AhHNW/wCgXe/+A7/4Uf8ACOat/%0awBAu9/8B3/wr3WigDwr/hHNW/6Bd7/4Dv8A4Uf8I5q3/QLvf/Ad/wDCvdaKAPCv+Ec1b/oF%0a3v8A4Dv/AIUf8I5q3/QLvf8AwHf/AAr3WigDwr/hHNW/6Bd7/wCA7/4Uf8I5q3/QLvf/AAH%0af/CvdaKAPCv8AhHNW/wCgXe/+A7/4Uf8ACOat/wBAu9/8B3/wr3WigDwr/hHNW/6Bd7/4Dv%0a8A4Uf8I5q3/QLvf/Ad/wDCvdaKAPCv+Ec1b/oF3v8A4Dv/AIUf8I5q3/QLvf8AwHf/AAr3W%0aigDwr/hHNW/6Bd7/wCA7/4V6PpVlcR6XZo9vKrrCgKshBB2jiuuooA5z7LP/wA8ZP8Avk0f%0aZZ/+eMn/AHya6OigDnPss/8Azxk/75NH2Wf/AJ4yf98mujooA5z7LP8A88ZP++TR9ln/AOe%0aMn/fJro6KAOc+yz/88ZP++TR9ln/54yf98mujooA5z7LP/wA8ZP8Avk0fZZ/+eMn/AHya6O%0aigDnPss/8Azxk/75NH2Wf/AJ4yf98mujooA5z7LP8A88ZP++TR9ln/AOeMn/fJro6KAOc+y%0az/88ZP++TR9ln/54yf98mujooA5z7LP/wA8ZP8Avk0fZZ/+eMn/AHya6OigDnPss/8Azxk/%0a75NH2Wf/AJ4yf98mujooA5z7LP8A88ZP++TR9ln/AOeMn/fJro6KAOc+yz/88ZP++TR9ln/%0a54yf98mujooA5z7LP/wA8ZP8Avk0fZZ/+eMn/AHya6OigDnPss/8Azxk/75NH2Wf/AJ4yf9%0a8mujooA5z7LP8A88ZP++TR9ln/AOeMn/fJro6KAOc+yz/88ZP++TR9ln/54yf98mujooA5z%0a7LP/wA8ZP8Avk0fZZ/+eMn/AHya6OigDnPss/8Azxk/75NH2Wf/AJ4yf98mujooA5z7LP8A%0a88ZP++TR9ln/AOeMn/fJro6KAOc+yz/88ZP++TR9ln/54yf98mujooA5z7LP/wA8ZP8Avk0%0afZZ/+eMn/AHya6OigDnPss/8Azxk/75NH2Wf/AJ4yf98mujooA5z7LP8A88ZP++TR9ln/AO%0aeMn/fJro6KAOc+yz/88ZP++TR9ln/54yf98mujooA5z7LP/wA8ZP8Avk0fZZ/+eMn/AHya6%0aOigDE063lS8jZo3VRnkqQOhrboooAK+JP22f+Ss6T/2BIf/AEfPX23XxL+2wM/FnSf+wJF/%0a6PnoA8Kg6Vbj6VVhHAq1H0FAElFFFABRRRQAUUUUAFFFFABRRRQAUUUUAFFFFABVe6/1lt/%0a10P8A6C1WKr3X+stv+uh/9BagB1FFFWQFFFFABRRRQAUUUUAFFFFABRRRQAUUUUAFFFFABR%0aRRQAUUUUAFFFFAE1FFFQWFFFFABRRRQBBL/wAfMH/Av5VPUEv/AB8wf8C/lU9AELf69v8Ad%0aH8zRQ3+vb/dH8zRVIlhRRRTEFFFFABRRRQAUUUUAFFFFABRRRQAUUUUAFFFFABRRRQAUUUU%0aAFFFFAEQcQ3RZuFdQoPoQT/jVuoSoYEEAg9jUP2K3/54Rf8AfApWHcuUVT+xW/8Azwi/74F%0aH2K3/AOeEX/fApWHcuUVT+xW//PCL/vgUfYrf/nhF/wB8CiwXLlFU/sVv/wA8Iv8AvgUfYr%0af/AJ4Rf98CiwXLlFU/sVv/AM8Iv++BR9it/wDnhF/3wKLBcuUVT+xW/wDzwi/74FH2K3/54%0aRf98CiwXLlFU/sVv/zwi/74FH2K3/54Rf8AfAosFy5RVP7Fb/8APCL/AL4FH2K3/wCeEX/f%0aAosFy5THGQarfYrf/nhF/wB8Ckayt/8AnhH/AN8CiwXFkXIr3X9ioBfivqmeCdFlH/keCvA%0a5LC3/AOeEX/fArc8AeML/AOGPiu11/RVhS7gyrI6fJKh4ZGAxwf0IB7UWC5+m9FfJyft1yL%0aGok8Eq8mPmZdV2gn2HknH50H9vBh/zIv8A5V//ALRRYLn1jRXyb/w3i3/Qi/8AlX/+0Uf8N%0a4t/0Iv/AJV//tFFgufWVFfJv/DeLf8AQi/+Vf8A+0Uf8N4t/wBCL/5V/wD7RRYLn1lRXyb/%0aAMN4t/0Iv/lX/wDtFH/DeLf9CL/5V/8A7RRYLn1lRXyb/wAN4t/0Iv8A5V//ALRR/wAN4t/%0a0Iv8A5V//ALRRYLn1lRXyb/w3i3/Qi/8AlX/+0Uf8N4t/0Iv/AJV//tFFgufWVFfJv/DeLf%0a8AQi/+Vf8A+0Uf8N4t/wBCL/5V/wD7RRYLn1lRXyb/AMN4t/0Iv/lX/wDtFH/DeLf9CL/5V%0a/8A7RRYLn1lRXyb/wAN4t/0Iv8A5V//ALRR/wAN4t/0Iv8A5V//ALRRYLn1lRXyb/w3i3/Q%0ai/8AlX/+0Uf8N4t/0Iv/AJV//tFFgufWVFfJv/DeLf8AQi/+Vf8A+0Uf8N4t/wBCL/5V/wD%0a7RRYLn1lRXyb/AMN4t/0Iv/lX/wDtFH/DeLf9CL/5V/8A7RRYLn1lRXyb/wAN4t/0Iv8A5V%0a//ALRR/wAN4t/0Iv8A5V//ALRRYLn1lRXyb/w3i3/Qi/8AlX/+0Uf8N4t/0Iv/AJV//tFFg%0aufWVFfJv/DeLf8AQi/+Vf8A+0Uf8N4t/wBCL/5V/wD7RRYLn1lRXyb/AMN4t/0Iv/lX/wDt%0aFH/DeLf9CL/5V/8A7RRYLn1lRXyb/wAN4t/0Iv8A5V//ALRR/wAN4t/0Iv8A5V//ALRRYLn%0a1lRXyb/w3i3/Qi/8AlX/+0Uf8N4t/0Iv/AJV//tFFgufWVFfJv/DeLf8AQi/+Vf8A+0Uf8N%0a4t/wBCL/5V/wD7RRYLn1lRXyb/AMN4t/0Iv/lX/wDtFH/DeLf9CL/5V/8A7RRYLn1lRXyb/%0awAN4t/0Iv8A5V//ALRR/wAN4t/0Iv8A5V//ALRRYLn1lRXyb/w3i3/Qi/8AlX/+0Uf8N4t/%0a0Iv/AJV//tFFgufWVFfJv/DeLf8AQi/+Vf8A+0Uf8N4t/wBCL/5V/wD7RRYLn1lRXyb/AMN%0a4t/0Iv/lX/wDtFH/DeLf9CL/5V/8A7RRYLn1lRXyb/wAN4t/0Iv8A5V//ALRR/wAN4t/0Iv%0a8A5V//ALRRYLn1lRXyb/w3i3/Qi/8AlX/+0Uf8N4t/0Iv/AJV//tFFgufWVFfJv/DeLf8AQ%0ai/+Vf8A+0Uf8N4t/wBCL/5V/wD7RRYLn1lRXyb/AMN4t/0Iv/lX/wDtFH/DeLf9CL/5V/8A%0a7RRYLn1lRXyb/wAN4t/0Iv8A5V//ALRR/wAN4t/0Iv8A5V//ALRRYLn1lRXyb/w3i3/Qi/8%0aAlX/+0Uf8N4t/0Iv/AJV//tFFgufWVFfJv/DeLf8AQi/+Vf8A+0Uf8N4t/wBCL/5V/wD7RR%0aYLn1lRXyb/AMN4t/0Iv/lX/wDtFH/DeLf9CL/5V/8A7RRYLn1lRXyb/wAN4t/0Iv8A5V//A%0aLRR/wAN4t/0Iv8A5V//ALRRYLn1lRXyb/w3i3/Qi/8AlX/+0Uf8N4t/0Iv/AJV//tFFgufW%0aVFfJv/DeLf8AQi/+Vf8A+0Uf8N4t/wBCL/5V/wD7RRYLn1lRXyb/AMN4t/0Iv/lX/wDtFH/%0aDeLf9CL/5V/8A7RRYLn1lRXyb/wAN4t/0Iv8A5V//ALRR/wAN4t/0Iv8A5V//ALRRYLn1lR%0aXyb/w3i3/Qi/8AlX/+0Uf8N4t/0Iv/AJV//tFFgufWVFfJv/DeLf8AQi/+Vf8A+0Uf8N4t/%0awBCL/5V/wD7RRYLn1lRXyb/AMN4t/0Iv/lX/wDtFH/DeLf9CL/5V/8A7RRYLn1lRXyb/wAN%0a4t/0Iv8A5V//ALRR/wAN4t/0Iv8A5V//ALRRYLn1lRXyb/w3i3/Qi/8AlX/+0Uf8N4t/0Iv%0a/AJV//tFFgufWVFfJv/DeLf8AQi/+Vf8A+0Uf8N4t/wBCL/5V/wD7RRYLn1lRXyb/AMN4t/%0a0Iv/lX/wDtFH/DeLf9CL/5V/8A7RRYLn1lRXyb/wAN4t/0Iv8A5V//ALRR/wAN4t/0Iv8A5%0aV//ALRRYLn1lRXyb/w3i3/Qi/8AlX/+0Uf8N4t/0Iv/AJV//tFFgufWVFfJv/DeLf8AQi/+%0aVf8A+0Uf8N4t/wBCL/5V/wD7RRYLn1lRXyb/AMN4t/0Iv/lX/wDtFH/DeLf9CL/5V/8A7RR%0aYLn1lRXyb/wAN4t/0Iv8A5V//ALRR/wAN4t/0Iv8A5V//ALRRYLn1lRXyb/w3i3/Qi/8AlX%0a/+0Uf8N4t/0Iv/AJV//tFFgufWVFfJv/DeLf8AQi/+Vf8A+0Uf8N4t/wBCL/5V/wD7RRYLn%0a1lRXyb/AMN4t/0Iv/lX/wDtFH/DeLf9CL/5V/8A7RRYLn1lRXyb/wAN4t/0Iv8A5V//ALRR%0a/wAN4t/0Iv8A5V//ALRRYLn1lRXyb/w3i3/Qi/8AlX/+0Uf8N4t/0Iv/AJV//tFFgufWVFf%0aJv/DeLf8AQi/+Vf8A+0Uf8N4t/wBCL/5V/wD7RRYLn1lRXyb/AMN4t/0Iv/lX/wDtFH/DeL%0af9CL/5V/8A7RRYLn1lRXyb/wAN4t/0Iv8A5V//ALRR/wAN4t/0Iv8A5V//ALRRYLn1lRXyb%0a/w3i3/Qi/8AlX/+0Uf8N4t/0Iv/AJV//tFFgufWVFfJv/DeLf8AQi/+Vf8A+0Uf8N4t/wBC%0aL/5V/wD7RRYLn1lRXyb/AMN4t/0Iv/lX/wDtFH/DeLf9CL/5V/8A7RRYLn1lRXyb/wAN4t/%0a0Iv8A5V//ALRR/wAN4t/0Iv8A5V//ALRRYLn1lRXyb/w3i3/Qi/8AlX/+0Uf8N4t/0Iv/AJ%0aV//tFFgufWVFfJv/DeLf8AQi/+Vf8A+0Uf8N4t/wBCL/5V/wD7RRYLn1lRXyb/AMN4t/0Iv%0a/lX/wDtFH/DeLf9CL/5V/8A7RRYLn1lRXyb/wAN4t/0Iv8A5V//ALRR/wAN4t/0Iv8A5V//%0aALRRYLn1lRXyb/w3i3/Qi/8AlX/+0Uf8N4t/0Iv/AJV//tFFgufWVFfJv/DeLf8AQi/+Vf8%0aA+0Uf8N4t/wBCL/5V/wD7RRYLn1lRXyb/AMN4t/0Iv/lX/wDtFH/DeLf9CL/5V/8A7RRYLn%0a1lRXyb/wAN4t/0Iv8A5V//ALRR/wAN4t/0Iv8A5V//ALRRYLn1lRXyb/w3i3/Qi/8AlX/+0%0aUf8N4t/0Iv/AJV//tFFgufWVFfJv/DeLf8AQi/+Vf8A+0Uf8N4t/wBCL/5V/wD7RRYLn1lR%0aXyb/AMN4t/0Iv/lX/wDtFH/DeLf9CL/5V/8A7RRYLn1lRXyb/wAN4t/0Iv8A5V//ALRR/wA%0aN4t/0Iv8A5V//ALRRYLn1lRXyb/w3i3/Qi/8AlX/+0Uf8N4t/0Iv/AJV//tFFgufWVFfJv/%0aDeLf8AQi/+Vf8A+0Uf8N4t/wBCL/5V/wD7RRYLn1lRXyb/AMN4t/0Iv/lX/wDtFH/DeLf9C%0aL/5V/8A7RRYLn1lRXyb/wAN4t/0Iv8A5V//ALRR/wAN4t/0Iv8A5V//ALRRYLn1lRXyb/w3%0ai3/Qi/8AlX/+0Uf8N4t/0Iv/AJV//tFFgufWVFfJv/DeLf8AQi/+Vf8A+0Uf8N4t/wBCL/5%0aV/wD7RRYLn1lRXyb/AMN4t/0Iv/lX/wDtFH/DeLf9CL/5V/8A7RRYLn1lRXyb/wAN4t/0Iv%0a8A5V//ALRSj9vBj/zIv/lX/wDtFFgufWNfFH7aoDfFfS8ckaLEP/I89dM/7dcjRsI/BKpJj%0a5WbVdwB9x5Iz+dfPPj/AMYX/wATvFd1r+tLC93PhVRE+SJBwqKDngfqST3osFzKjXAqygwB%0aWfHYW/8Azwi/74FTCyt/+eEf/fAosFy7RVP7Fb/88Iv++BR9it/+eEX/AHwKLBcuUVT+xW/%0a/ADwi/wC+BR9it/8AnhF/3wKLBcuUVT+xW/8Azwi/74FH2K3/AOeEX/fAosFy5RVP7Fb/AP%0aPCL/vgUfYrf/nhF/3wKLBcuUVT+xW//PCL/vgUfYrf/nhF/wB8CiwXLlFU/sVv/wA8Iv8Av%0agUfYrf/AJ4Rf98CiwXLlFU/sVv/AM8Iv++BR9it/wDnhF/3wKLBcuVVmcS3EaLz5bFmPpwR%0aj9ab9it/+eEX/fAqVEWNdqqFX0AxRYLi0UUVRIUUUUAFFFFABRRRQAUUUUAFFFFABRRRQAU%0aUUUAFFFFABRRRQAUUUUATUUUVBYUUUUAFFFFAEEv/AB8wf8C/lU9QS/8AHzB/wL+VT0AQt/%0ar2/wB0fzNFDf69v90fzNFUiWFFFFMQUUUUAFFFFABRRRQAUUUUAFFFFABRRRQAUUUUAFFFF%0aABRRRQAUUUUAFFFFABRRRQAUUUUAFFFFABRRRQAUUUUAFFFFABRRRQAUUUUANZc1EyVPSFa%0aAKjRZ7UwwCrhjHpSeWPegCn5FHkVb8v3o8v3oAqeRR5FW/L96PL96AKnkUeRVvy/ejy/egC%0ap5FHkVb8v3o8v3oAqeRR5FW/L96PL96AKnkUeRVvy/ejy/egCp5FHkVb8v3o8v3oAqeRR5F%0aW/L96PL96AKnkUeRVvy/ejy/egCp5FHkVb8v3o8v3oAqeRR5FW/L96PL96AKnkUeRVvy/ej%0ay/egCp5FHkVb8v3o8v3oAqeRR5FW/L96PL96AKnkUeRVvy/ejy/egCp5FHkVb8v3o8v3oAq%0aeRR5FW/L96PL96AKnkUeRVvy/ejy/egCp5FHkVb8v3o8v3oAqeRR5FW/L96PL96AKnkUeRV%0avy/ejy/egCp5FHkVb8v3o8v3oAqeRR5FW/L96PL96AKnkUeRVvy/ejy/egCp5FHkVb8v3o8%0av3oAqeRR5FW/L96PL96AKnkUeRVvy/ejy/egCp5FHkVb8v3o8v3oAqeRR5FW/L96PL96AKn%0akUeRVvy/ejy/egCp5FHkVb8v3o8v3oAqeRR5FW/L96PL96AKnkUeRVvy/ejy/egCp5FHkUl%0axqun2kpjnv7aGQdUklVT+RNRf2/pP/QUsv8AwIT/ABq1Tm9VF/c/8iHOC0bX3r/Mm8ijyKh%0a/t/Sf+gpZf+BCf40f2/pP/QUsv/AhP8afsqn8r+5/5B7SH8y+9f5k3kUeRUP9v6T/ANBSy/%0a8AAhP8aP7f0n/oKWX/AIEJ/jR7Kp/K/uf+Qe0h/MvvX+ZN5FHkVD/b+k/9BSy/8CE/xo/t/%0aSf+gpZf+BCf40eyqfyv7n/kHtIfzL71/mTeRR5FQ/2/pP8A0FLL/wACE/xo/t/Sf+gpZf8A%0agQn+NHsqn8r+5/5B7SH8y+9f5k3kUeRUP9v6T/0FLL/wIT/Gj+39J/6Cll/4EJ/jR7Kp/K/%0auf+Qe0h/MvvX+ZN5FHkVD/b+k/wDQUsv/AAIT/Gj+39J/6Cll/wCBCf40eyqfyv7n/kHtIf%0azL71/mTeRR5FQ/2/pP/QUsv/AhP8aP7f0n/oKWX/gQn+NHsqn8r+5/5B7SH8y+9f5k3kUeR%0aS2uo2V85W2vYLhhyVikViPyNWvL96hpxdmik09UVPIo8irfl+9Hl+9IZU8ijyKt+X70eX70%0aAVPIo8irfl+9Hl+9AFTyKPIq35fvR5fvQBU8ijyKt+X70eX70AVPIo8irfl+9Hl+9AFTyKP%0aIq35fvR5fvQBU8ijyKt+X70eX70AVPIo8irfl+9Hl+9AFTyKPIq35fvR5fvQBU8ijyKt+X7%0a0eX70AVPIo8irfl+9Hl+9AFTyKPIq35fvR5fvQBU8ijyKt+X70eX70AVPIo8irfl+9Hl+9A%0aFTyKPIq35fvR5fvQBU8ijyKt+X70eX70AVPIo8irfl+9Hl+9AFTyKPIq35fvR5fvQBU8ijy%0aKt+X70eX70AVPIo8irfl+9Hl+9AFTyKPIq35fvR5fvQBU8ijyKt+X70eX70AVPIo8irfl+9%0aHl+9AFTyKPIq35fvR5fvQBU8ijyKt+X70eX70AVPIo8irfl+9Hl+9AFTyKPIq35fvR5fvQB%0aU8ijyKt+X70eX70AVPIo8irfl+9Hl+9AFTyKPIq35fvR5fvQBU8ijyKt+X70eX70AVPIo8i%0arfl+9Hl+9AFTyKPIq35fvR5fvQBU8ijyKt+X70eX70AVPIo8irfl+9Hl+9AFTyKPIq35fvR%0a5fvQBU8ilEAq15fvS+WPegCusWO1SqlSCMelOC0AIq4p1FFABRRRQAUUUUAFFFFABRRRQAU%0aUUUAFFFFABRRRQAUUUUAFFFFABRRRQAUUUUAFFFFABRRRQAUUUUAFFFFABRRRQAUUUUAFFF%0aFABRRRQBNRRRUFhRRRQAUUUUAQS/8AHzB/wL+VT1BL/wAfMH/Av5VPQBC3+vb/AHR/M0UN/%0ar2/3R/M0VSJYUUUUxBRRRQAUUUUAFFFFABRRRQAUUUUAFFFFABRRRQAUUUUAFFFFABRRRQA%0aUUUUAFFFFABRRRQAUUUUAFFFFABRRRQAUUUUAFFFFABRRRQAUUUUAFFFFABRRRQAUUUUAFF%0aFFABRRRQAUUUUAFFFFABRRRQAUUUUAFFFFABRRRQAUUUUAFFFFABRRRQAUUUUAFFFFABRRR%0aQAUUUUAFFFFABRRRQAUUUUAFFFFABRRRQAUUUUAFFFFABRRRQAUUUUAFFFFABRRRQAUUUUA%0aFFFFABRRRQAUUUUAFU9ZuHs9Hvp4ziSKCR1PuFJFXKzvEf/ACL2qf8AXrL/AOgGrpq84p91%0a+aIm7QbXZ/kzwp3aR2ZmLMxyWJySabRRX6EfChRRRQAUUUUAFFaljoqX7RJFqNt58nSHy5i%0awPpxGR+RrW1rwVFpsNvKupWwjMKNK7F5AGJPI2IcKccE9cGueVenGSi3q/J/5G8aFSUXJLR%0aen+ZytFatlocd/fG0i1G3eVkzCVDhZH/uZZRg4zyeOg71NH4XmOmG5lmit5mk2RW88iRlwO%0aGbLMOAeOM81TrQWjf8ATJVKb1S/pGJRWjNoN5BaS3REEkEWBI0NzHJtycDIVieazq0jKMvh%0adyJRcd0FFFFUSFFFFAE1ndy2F3FcQsUliYMpHrX0FXzvX0RXzmbpXg/X9D38qbtNen6hRQS%0aACScAVn/8JDpX/QTs/wDwIT/GvnT3jQoqra6rZXzlLa8t7hwMlYpVYgevBqI+IdLBwdSswf%0a8Arun+NAF+iqtrqtlfSGO2vLe4kAyVilVjj1wDVqgAooooAKKKKACiiigAooooAKKKKACii%0aigAooooAKKKKACiiigAooooAKKKKACiiigAooooAKKKKACiiigAooooAKKKKACiiigAoooo%0aAKKKKACiiigAooooAKKKKACiiigAooooAKKKKACiiigAooooAKKKKACiiigAooooAKKKKAC%0aiiigAooooAKKKKACiiigAooooAKKKKACiiigAooooAKKKKACiiigAooooAKKKKACiiigAoo%0aooAKKKKACiiigAooooAKKKKACiiigAooooAKKKKACiiigAooooAKKKKAJqKKKgsKKKKACii%0aigCCX/j5g/4F/Kp6gl/4+YP+BfyqegCFv8AXt/uj+Zoob/Xt/uj+ZoqkSwooopiCiiigAoo%0aooAKKKKACiiigAooooAKKKKACiiigAooooAKKKKACiiigAooooAKKKKACiiigAooooAKKKK%0aACiiigAooooAKKKKACiiigAooooAKKKKACiiigAooooAKKKKACiiigAooooAKKKKACiiigA%0aooooAKKKKACiiigAooooAKKKKACiiigAooooAKKKKACiiigAooooAKKKKACiiigAooooAKK%0aKKACiiigAooooAKKKKACiiigAooooAKKKKACiiigAooooAKKKKACiiigAooooAKzvEf/Iva%0ap/16y/8AoBrRrO8R/wDIvap/16y/+gGtKX8SPqvzRnU+CXo/yZ4RRRRX6CfDBRRRQAUUUUA%0adlpF1bt4WuJGhsbTEywMz+cBIpUkhjGSxz6E7eOlWtK1GC91jT0abSmKhLZVg+1qxjz9zn5%0aT1/i4PesHT9Vh0+yMEGr6jaByHdYLVR82Mfe80HH+cVYi8RGGVZF8RayWU5AeEMPxBmwfxr%0ayZ0W3K3W9tH2PThVSjFdvTvcmtFsdT8Vz2cul2qRM8q/ujIuNoYggB8DoO2PYVK0X9o6DY3%0a81tZ3l3I7ws15c+SqouAoUCRB+VZ+j6jY2XiJb6S6nliCSO7PAEdnZWGAFYjnPcgU1vENpL%0aY21gNNg8iKVmV7mWRtobHJ2FTnjJ6+wHSqlTnzLlT0t+t936ApwtJya1v+ltka2r6fFpdp4%0apt7aPyrdJLVVXcWx3PJJPeuKrqNa1qG406/wB11Bc3l9PG7LaxyLGiouOrgHJ/HpXL10YVS%0aUXz7/8AASOfEOLkuXz/ADYUUUV2HIFFFFABX0RXzvX0RXzmb/8ALv5/oe/lX2/l+o2WMTRs%0ajFgGGCVYqfwI5Fea32omaAbrgqROBsN0xIxJjPzXOe2clR9R1r0mZXeJxGypIRhWZSQD9AR%0a/MVztz4UurpFVtSwA6v8A8tzyDnvOfT6+mK+eW57z2K3hy4a+1GeMTlzHEHR/tDuoYkj5lE%0a7gj2yKxbxlhlMUFwscttKYwfPMW0bhvChrnIBx6DPqOtdfaaPfWcpdb+NyVIxIszj8mmIqr%0aH4Xu43mb+0VzLI0hCrMgyTk4CzAVV1cXQp+FBHLqJEMiH7PFjbkyAIx6KRPIq8qO1dfWLpu%0ahXVhqDXJvUlDoqOjRyMcAk8M0rEdfp7VtUm7ggoooqRhRRRQAUUUUAFFFFABRRRQAUUUUAF%0aFFFABRRRQAUUUUAFFFFABRRRQAUUUUAFFFFABRRRQAUUUUAFFFFABRRRQAUUUUAFFFFABRR%0aRQAUUUUAFFFFABRRRQAUUUUAFFFFABRRRQAUUUUAFFFFABRRRQAUUUUAFFFFABRRRQAUUUU%0aAFFFFABRRRQAUUUUAFFFFABRRRQAUUUUAFFFFABRRRQAUUUUAFFFFABRRRQAUUUUAFFFFAB%0aRRRQAUUUUAFFFFABRRRQAUUUUAFFFFABRRRQAUUUUAFFFFABRRRQBNRRRUFhRRRQAUUUUAQ%0aS/wDHzB/wL+VT1BL/AMfMH/Av5VPQBC3+vb/dH8zRQ3+vb/dH8zRVIlhRRRTEFFFFABRRRQ%0aAUUUUAFFFFABRRRQAUUUUAFFFFABRRRQAUUUUAFFFFABRRRQAUUUUAFFFFABRRRQAUUUUAF%0aFFFABRRRQAUUUUAFFFFABRRRQAUUUUAFFFFABRRRQAUUUUAFFFFABRRRQAUUUUAFFFFABRR%0aRQAUUUUAFFFFABRRRQAUUUUAFFFFABRRRQAUUUUAFFFFABRRRQAUUUUAFFFFABRRRQAUUUU%0aAFFFFABRRRQAUUUUAFFFFABRRRQAUUUUAFFFFABRRRQAUUUUAFFFFABRRRQAVn+IVL+H9TV%0aRljaygAd/kNaFBAIIIyDVRfLJS7EyXNFrufO9Fet3fwy0e6naRTcW4Y58uFxtH0yDUP/Cqt%0aJ/5+L3/AL7T/wCJr61Zph7a3+4+YeW176W+88qor1X/AIVVpP8Az8Xv/faf/E0f8Kq0n/n4%0avf8AvtP/AImj+1MN3f3C/s7Edl955VRXqv8AwqrSf+fi9/77T/4mj/hVWk/8/F7/AN9p/wD%0aE0f2phu7+4P7OxHZfeeVUV6r/AMKq0n/n4vf++0/+Jo/4VVpP/Pxe/wDfaf8AxNH9qYbu/u%0aD+zsR2X3nlVFeq/wDCqtJ/5+L3/vtP/iaP+FVaT/z8Xv8A32n/AMTR/amG7v7g/s7Edl955%0aVRXqv8AwqrSf+fi9/77T/4mj/hVWk/8/F7/AN9p/wDE0f2phu7+4P7OxHZfeeVUV6r/AMKq%0a0n/n4vf++0/+Jo/4VVpP/Pxe/wDfaf8AxNH9qYbu/uD+zsR2X3nlVFeq/wDCqtJ/5+L3/vt%0aP/iaP+FVaT/z8Xv8A32n/AMTR/amG7v7g/s7Edl955Wql2CqMknAA719D1zGlfDvSdKu0uV%0a864kQ7kE7AhT64AH6109eNmGKhiXFU9kevgcNPDqXP1CiiivJPTCiiigAooooAKKKKACiii%0agAooooAKKKKACiiigAooooAKKKKACiiigAooooAKKKKACiiigAooooAKKKKACiiigAooooA%0aKKKKACiiigAooooAKKKKACiiigAooooAKKKKACiiigAooooAKKKKACiiigAooooAKKKKACi%0aiigAooooAKKKKACiiigAooooAKKKKACiiigAooooAKKKKACiiigAooooAKKKKACiiigAooo%0aoAKKKKACiiigAooooAKKKKACiiigAooooAKKKKACiiigAooooAKKKKACiiigAooooAKKKKA%0aCiiigCaiiioLCiiigAooooAgl/4+YP+BfyqeoJf+PmD/gX8qnoAhb/Xt/uj+Zoob/Xt/uj+%0aZoqkSwooopiCiiigAooooAKKKKACiiigAooooAKKKKACiiigAooooAKKKKACiiigAooooAK%0aKKKACiiigAooooAKKKKACiiigAooooAKKKKACiiigAooooAKKKKACiiigAooooAKKKKACii%0aigAooooAKKKKACiiigAooooAKKKKACiiigAooooAKKKKACiiigAooooAKKKKACiiigAoooo%0aAKKKKACiiigAooooAKKKKACiiigAooooAKKKKACiiigAooooAKKKKACiiigAooooAKKKKAC%0aiiigAooooAKKKKACiiigAooooAKKKKACiiigAooooAKKKKACiiigAooooAKKKKACiiigAoo%0aooAKKKKACiiigAooooAKKKKACiiigAooooAKKKKACiiigAooooAKKKKACiiigAooooAKKKK%0aACiiigAooooAKKKKACiiigAooooAKKKKACiiigAooooAKKKKACiiigAooooAKKKKACiiigA%0aooooAKKKKACiiigAooooAKKKKACiiigAooooAKKKKACiiigAooooAKKKKACiiigAooooAKK%0aKKACiiigAooooAKKKKACiiigAooooAKKKKACiiigAooooAKKKKACiiigAooooAKKKKACiii%0agAooooAKKKKACiiigAooooAmoooqCwooooAKKKKAIJf8Aj5g/4F/Kp6gl/wCPmD/gX8qnoA%0aa0aOcsqsfcU3yI/wDnmn/fIpzusalmYKo7k4FRfb7b/n4i/wC+xQK6W4/yI/8Anmn/AHyKP%0aIj/AOeaf98imfb7b/n4i/77FH2+2/5+Iv8AvsUri5l3H+RH/wA80/75FHkR/wDPNP8AvkUz%0a7fbf8/EX/fYo+323/PxF/wB9ii4cy7j/ACI/+eaf98ijyI/+eaf98imfb7b/AJ+Iv++xR9v%0atv+fiL/vsUXDmXcf5Ef8AzzT/AL5FHkR/880/75FM+323/PxF/wB9ij7fbf8APxF/32KLhz%0aLuP8iP/nmn/fIo8iP/AJ5p/wB8imfb7b/n4i/77FH2+2/5+Iv++xRcOZdx/kR/880/75FHk%0aR/880/75FOR1kUMrBlPcHIp1Moj8iP/AJ5p/wB8ijyI/wDnmn/fIpzusalmYKo7k4FRfb7b%0a/n4i/wC+xQK6W4/yI/8Anmn/AHyKPIj/AOeaf98imfb7b/n4i/77FH2+2/5+Iv8AvsUri5l%0a3H+RH/wA80/75FHkR/wDPNP8AvkUz7fbf8/EX/fYo+323/PxF/wB9ii4cy7j/ACI/+eaf98%0aijyI/+eaf98imfb7b/AJ+Iv++xR9vtv+fiL/vsUXDmXcf5Ef8AzzT/AL5FHkR/880/75FM+%0a323/PxF/wB9ij7fbf8APxF/32KLhzLuP8iP/nmn/fIo8iP/AJ5p/wB8imfb7b/n4i/77FH2%0a+2/5+Iv++xRcOZdx/kR/880/75FHkR/880/75FEc8c2fLkWTH91gakplbkfkR/8APNP++RR%0a5Ef8AzzT/AL5FSdKgN9bA4NxED/vigTaW4/yI/wDnmn/fIo8iP/nmn/fIpn2+2/5+Iv8Avs%0aUfb7b/AJ+Iv++xSuLmXcf5Ef8AzzT/AL5FHkR/880/75FM+323/PxF/wB9ij7fbf8APxF/3%0a2KLhzLuP8iP/nmn/fIo8iP/AJ5p/wB8imfb7b/n4i/77FH2+2/5+Iv++xRcOZdx/kR/880/%0a75FHkR/880/75FM+323/AD8Rf99ij7fbf8/EX/fYouHMu4/yI/8Anmn/AHyKPIj/AOeaf98%0aimfb7b/n4i/77FH2+2/5+Iv8AvsUXDmXcf5Ef/PNP++RR5Ef/ADzT/vkURzxzZ8uRZMf3WB%0aqSmVuR+RH/AM80/wC+RR5Ef/PNP++RTycDJ4FRfbLcf8t4/wDvsUAO8iP/AJ5p/wB8ijyI/%0awDnmn/fIpv223/57xf99ij7bb/894v++xQA7yI/+eaf98ijyI/+eaf98im/bbf/AJ7xf99i%0aj7bb/wDPeL/vsUAO8iP/AJ5p/wB8ijyI/wDnmn/fIpv223/57xf99ij7bb/894v++xQA7yI%0a/+eaf98ijyI/+eaf98im/bbf/AJ7xf99ij7bb/wDPeL/vsUAO8iP/AJ5p/wB8ijyI/wDnmn%0a/fIpv223/57xf99ij7bb/894v++xQA7yI/+eaf98ijyI/+eaf98iljlSUZR1ceqnNPoAj8i%0aP8A55p/3yKPIj/55p/3yKkooAj8iP8A55p/3yKPIj/55p/3yKkooAj8iP8A55p/3yKPIj/5%0a5p/3yKkooAj8iP8A55p/3yKPIj/55p/3yKkooAj8iP8A55p/3yKPIj/55p/3yKkooAj8iP8%0aA55p/3yKPIj/55p/3yKkooAj8iP8A55p/3yKPIj/55p/3yKkooAj8iP8A55p/3yKPIj/55p%0a/3yKkooAj8iP8A55p/3yKPIj/55p/3yKkooAj8iP8A55p/3yKPIj/55p/3yKkooAj8iP8A5%0a5p/3yKPIj/55p/3yKkooAj8iP8A55p/3yKPIj/55p/3yKkooAj8iP8A55p/3yKPIj/55p/3%0ayKkooAj8iP8A55p/3yKPIj/55p/3yKkooAj8iP8A55p/3yKPIj/55p/3yKkooAj8iP8A55p%0a/3yKPIj/55p/3yKkooAj8iP8A55p/3yKPIj/55p/3yKkooAj8iP8A55p/3yKPIj/55p/3yK%0akooAj8iP8A55p/3yKPIj/55p/3yKkooAj8iP8A55p/3yKPIj/55p/3yKkooAj8iP8A55p/3%0ayKPIj/55p/3yKkooAj8iP8A55p/3yKPIj/55p/3yKkooAj8iP8A55p/3yKPIj/55p/3yKko%0aoAj8iP8A55p/3yKPIj/55p/3yKkooAj8iP8A55p/3yKPIj/55p/3yKkooAj8iP8A55p/3yK%0aPIj/55p/3yKkooAj8iP8A55p/3yKPIj/55p/3yKkooAj8iP8A55p/3yKPIj/55p/3yKkooA%0aj8iP8A55p/3yKPIj/55p/3yKkooAj8iP8A55p/3yKPIj/55p/3yKkooAj8iP8A55p/3yKPI%0aj/55p/3yKkooAj8iP8A55p/3yKPIj/55p/3yKkooAj8iP8A55p/3yKPIj/55p/3yKkooAj8%0aiP8A55p/3yKPIj/55p/3yKkooAj8iP8A55p/3yKPIj/55p/3yKkooAj8iP8A55p/3yKPIj/%0a55p/3yKkooAj8iP8A55p/3yKPIj/55p/3yKkooAj8iP8A55p/3yKPIj/55p/3yKkooAj8iP%0a8A55p/3yKPIj/55p/3yKkooAj8iP8A55p/3yKPIj/55p/3yKkooAj8iP8A55p/3yKPIj/55%0ap/3yKkooAj8iP8A55p/3yKPIj/55p/3yKkooAj8iP8A55p/3yKPIj/55p/3yKkooAj8iP8A%0a55p/3yKPIj/55p/3yKkooAj8iP8A55p/3yKPIj/55p/3yKkooAj8iP8A55p/3yKPIj/55p/%0a3yKkooAj8iP8A55p/3yKPIj/55p/3yKkooAj8iP8A55p/3yKPIj/55p/3yKkooAj8iP8A55%0ap/3yKPIj/55p/3yKkooAj8iP8A55p/3yKPIj/55p/3yKkooAj8iP8A55p/3yKPIj/55p/3y%0aKkooAj8iP8A55p/3yKPIj/55p/3yKkooAj8iP8A55p/3yKPIj/55p/3yKkooAj8iP8A55p/%0a3yKPIj/55p/3yKkooAj8iP8A55p/3yKPIj/55p/3yKkooAj8iP8A55p/3yKPIj/55p/3yKk%0aooAj8iP8A55p/3yKPIj/55p/3yKkooAj8iP8A55p/3yKPIj/55p/3yKkooAj8iP8A55p/3y%0aKPIj/55p/3yKkooAj8iP8A55p/3yKPIj/55p/3yKkooAj8iP8A55p/3yKPIj/55p/3yKkoo%0aAj8iP8A55p/3yKPIj/55p/3yKkooAj8iP8A55p/3yKPIj/55p/3yKkooAj8iP8A55p/3yKP%0aIj/55p/3yKkooAj8iP8A55p/3yKPIj/55p/3yKkooAj8iP8A55p/3yKPIj/55p/3yKkooAj%0a8iP8A55p/3yKPIj/55p/3yKkooAj8iP8A55p/3yKPIj/55p/3yKkooAj8iP8A55p/3yKPIj%0a/55p/3yKkooAj8iP8A55p/3yKPIj/55p/3yKkooAj8iP8A55p/3yKPIj/55p/3yKkooAj8i%0aP8A55p/3yKPIj/55p/3yKkooAj8iP8A55p/3yKPIj/55p/3yKkooAj8iP8A55p/3yKPIj/5%0a5p/3yKkooAj8iP8A55p/3yKPIj/55p/3yKkooAj8iP8A55p/3yKPIj/55p/3yKkooAj8iP8%0aA55p/3yKPIj/55p/3yKkooAj8iP8A55p/3yKPIj/55p/3yKkooAj8iP8A55p/3yKPIj/55p%0a/3yKkooAj8iP8A55p/3yKPIj/55p/3yKkooAj8iP8A55p/3yKPIj/55p/3yKkooAj8iP8A5%0a5p/3yKPIj/55p/3yKkooAj8iP8A55p/3yKPIj/55p/3yKkooAj8iP8A55p/3yKPIj/55p/3%0ayKkooAj8iP8A55p/3yKPIj/55p/3yKkooAj8iP8A55p/3yKPIj/55p/3yKkooAj8iP8A55p%0a/3yKPIj/55p/3yKkooAj8iP8A55p/3yKPIj/55p/3yKkooAj8iP8A55p/3yKPIj/55p/3yK%0akooAj8iP8A55p/3yKPIj/55p/3yKkooAj8iP8A55p/3yKPIj/55p/3yKkooAj8iP8A55p/3%0ayKPIj/55p/3yKkooAj8iP8A55p/3yKPIj/55p/3yKkooAj8iP8A55p/3yKPIj/55p/3yKko%0aoAj8iP8A55p/3yKPIj/55p/3yKkooAj8iP8A55p/3yKPIj/55p/3yKkooAKKKKACiiigAoo%0aooAgl/wCPmD/gX8qnqCX/AI+YP+BfyqegDnvEkrG5ijz8gTdj3yf8KyK1fEf/AB/J/wBcx/%0aM1lVjLc8yr8bCiiipMgoqSG3ecMUAwvJLMFA/OpTYHygwlh35wU81enrnNOw0mytRVuDTJp%0abhIyMBhneuGAHPPH0og02WUtvKxBQSS7AFfTIzkUWY+WXYqUU+WFocbihz/AHXDfyNMpEhR%0aRRQBr+G5WFzLHn5Cm7Hvkf410Nc54c/4/n/65n+Yro62jsejQ+A57xJKxuYo8/IE3Y98n/C%0asitXxH/x/J/1zH8zWVWctzjq/GwoqW2tzcybA6ocE/NnnHPYVONNJi8z7RFsxuz83TOPT1p%0aWIUW9inRVn7AxeNVljYyKWXkjPOMcgdaQWEpKDgbwxBPYgEkH34osHKyvRU/2GXcqjbvZSx%0aXcAVHvnpxTlsCY3JlhVxjC+avzevOaLBysrUVYFhMSmFDhjjMbB/r0NStpUouzDkYDYyxCk%0aj1AJ5osw5ZdilRU09qYC3zxuoOAUcHP4ZzUNITVtyzpkrRX8BU4y4U/QnFdfXHWH/H9b/wD%0aXRf512NawO3D7MzPEErR2ACnG9wp+mCf6VzVdH4j/AOPFP+ug/ka5ypluY1/jCiiioOcKKd%0aHE8rbURnb0UZNWJ7A287xySCMA/Kzqw3e4wDQOzepVoqUwxqyDz0ZScEqG+UevIFOa08uRk%0akmjjZT0O45HYjANAWZBRU0tr5cIlWVJELbflz1xnuBUNANWCiiigRZ0yVor+AqcZcKfoTiu%0avrjrD/j+t/8Arov867GtYHdh9mVbz55Ioz90gsR64x/jSdKW5/4+Yv8Acb+a0lWdQUUUUAF%0aFRXVwtpbSzuCUiQuQvXAGazbfXZ7qCOaLRr5o5FDq26AZBGQf9bQBr0Vn2esx3lpdTmCaA2%0azskkcm3cCoBP3WI7+tRtrqGPSZI4maPUGCruOCgKFgSOc9MYoA1KKq2+ox3N/d2iq4ktghc%0akDB3AkY/KrVABRRRQBG/wC7kSReG3Kp9wTj+tX6ozdE/wCuif8AoQq9QAUUUUAFFFFABRRR%0aQAUUUUAFFFFABRRRQAUUUUAFFFFABRRRQAUUUUAFFFFABRRRQAUUUUAFFFFABRRRQAUUUUA%0aFFFFABRRRQAUUUUAFFFFABRRRQAUUUUAFFFFABRRRQAUUUUAFFFFABRRRQAUUUUAFFFFABR%0aRRQAUUUUAFFFFABRRRQAUUUUAFFFFABRRRQAUUUUAFFFFABRRRQAUUUUAFFFFABRRRQAUUU%0aUAFFFFABRRRQAUUUUAFFFFABRRRQAUUUUAFFFFABRRRQAUUUUAFFFFABRRRQAUUUUAFFFFA%0aBRRRQAUUUUAFFFFABRRRQAUUUUAFFFFABRRRQAUUUUAFFFFABRRRQAUUUUAFFFFABRRRQAU%0aUUUAFFFFABRRRQAUUUUAFFFFABRRRQAUUUUAFFFFABRRRQAUUUUAFFFFABRRRQAUUUUAFFF%0aFABRRSNnBwAT2BOKAForlrPXPEmo26z2mmaDdQMSFlh1uR1JBweRa44II/Cp9F8Q6jd+ILv%0aSdS061s54LaO6V7S8adWV2dcHdEhBBQ+vWgNjoqK4mf4nwW/wBghbTrl9Qlu5LW7s4Y5JpL%0aURjLyYjRi6/NHggDIkU8c1a8HfEO08W2FvMLK/tZpfMOxrK4MQCsw/1pjCEkL0znJx1o31D%0abQ6yivP4fiTf339vDTNGm1GWwuQscE1vc2haDy42YlmibMgZz+7wGKjIB4zN4c+Id74j1u3%0asrax0y8tmQyXN3pupvOtquDtD5gQByeNmd3UkAChag9DuqK5bxbq94upadpFhN9mmuzl58Z%0aKrnt+v5VD4d1G+sfEt1ol9dG9VY/MimcYbscfkf0rsWFk6ftLra9utr2uYuqlLlt/TOvorz%0a74g+NdW0+6S20K2LQ2U0cmrahJxFbxfe8vIRzlhgsyo2xSCcZyLXh7x7qXiDXIbO20zTr2w%0awxuNS0zU3uIIMAELuMCK7HI+VWJHU44zxrXY2eh29FYV7qur2uuPaRabHc2s1uXtbjeyosq%0a/eSZgrbAcjawB6EdcVma54l8TaBo17qVxoWkvBaQtNIsWryliqjJwDbAZ/GgdtbHYUVzXir%0axa3hxbNvN0WBLhSc6vqv2IkjHCfun3deemOPWueX4s4vLGHf4bvPtN1FbeXpuv/AGiYb3C7%0agnkLkDOTyOlC1dib6XPRqKK5Txb44Tw/fW9nawXGoXwMc09nbWU87/Z2ZkLq0alVIIzhuoU%0ajqQaPIZ1dFcZbfEWGbxH9kmtL6x05/Lgt7i70y6i+0TueAGZAqKOnzYJJ7Ac9DrWuQ6NHGp%0aR7m9nyLayhx5s7DsAeABkZY4C5ySKOlw62NKiub0HXNSiuBYeJIrSz1GZibZrRmME64zsUt%0azvUZyDjIG4DGcVdf8ZahZa5Dpmm6FdXsqyqZGd4Ilnh2guYfMmQsV3Lk7SOoOM5B2A66ivN%0aL/4wPZ6na2j2mk2DXAY+Vq+sfZZ7YKAf38flMEJyNoDNnIPTOOr1rxFLp3hQaiBAbiVE2eR%0aL50W5uhV8DcMcg4Ga0pwlVkox66Ck1Hc6CivP2v8AWPDc2kXl3qLXlvfECaJ1ACZx0/A9sd%0aK9ArWtQdGzumn1XlozOFRTurW/4IUUUVzGoUUUUAFFFFAEEv8Ax8wf8C/lU9QS/wDHzB/wL%0a+VT0Ac54j/4/k/65j+ZrKrV8R/8fyf9cx/M1lVhLc8ur8bCiiikZlrS0WS+jVlDAhuCM/wn%0atWj5b/YseXJnzOn2Rc9P7v8AWsVHZG3KxU+oOKf57fZ/JwNu7fnvnGKpM1jJJWNWCOOPWn4%0aC7cBUAxyR6fnTY1g8sKLc7JDuWJmO9z2xg8KOeTWbDdSQ3CzZ3uO780C5ZIvLQLGCMMyjlv%0aqf6UXHzok1HH2k5bdKOHwMKD6D2HT8KrVLNcvcBN+CyjG7uR71FSZnJ3dwooopEmr4c/4/n%0a/65n+Yro65zw5/x/P8A9cz/ADFdHWsdj0KHwHOeI/8Aj+T/AK5j+ZrKrV8R/wDH8n/XMfzN%0aZVZy3OOr8bLmkoxvFZVZtqtkr2+U1oFHkMCtkq6OjlpA7AE9c+3FYdS/a5vs4h3kRf3QMfr%0a+NNMcZpKzLrLv1AwYURxpsJkTPygZz7Z68Y61PCscEMLDYpZNxDN3OQeC47e1ZYu5QoXfwF%0aKcgZ2ntmmmd2KEkNsG1cgEYouCmlqaE1tCk9iURcSN8wByD82PU/zq0ImWO6AjcDIwBaL69%0ah/FWPJdSSlCWA2fd2ALj8qRbhljlTgiTG4nrwc0XGppPb+rF+aFFvrbeBGBGHYFAhY5PGB3%0aNWpxCtzcOYiqsdjs5PPPRQOSTWJ5jblJJbb0yelTtfyGSSQKiSOclwOR7D0/nRcFNE2qKqe%0aWpUxsB8sQ6Ivv7mqFStcvJAInwwU5Vj1HtmoqTM5O7uiew/4/rf8A66L/ADrsa46w/wCP63%0a/66L/Ouxq4HXh9mZXiP/jxT/roP5Gucro/Ef8Ax4p/10H8jXOVMtzGv8YUUUVJgS2rIkweQ%0a8L8wH94joK17hjHcO6tJDmcIArnDnPJI+nFYdT/AG6fzPMLhmzkblBwfYEcfhTTNIysrFu/%0adj+8LvNGJWVo5GJUHtjGO1JNBDAb0iJWEbqFVicDOc9DVEzOd2WJDHcwJ4J96sPqcsvmCRU%0akVyCUIIA+mCKdx8yerGyXHm2nlrAEVX3FkJI6Y5zmq1TvdboWjSJIlYgttzk46dSagpEN3C%0aiiikST2H/H9b/9dF/nXY1x1h/x/W//AF0X+ddjWkDtw+zKtz/x8xf7jfzWkpbn/j5i/wBxv%0a5rSVodYUUUUAVNUDNYTRi3lufMUxlISobBGCfmIH61xVjpEptkSHRbG5WL90ZDp9u7Erwdx%0aFz19a9AqpPpVrOJP3bQtIQzvbu0LuQMDLIQTgeppAcb4dhWKzvtTudPa1t/s8wxaxokagH5%0a9o8xjuO0dgOPxq3eaS9v/AMI7HDqd75JmVYg6w5jHlNjH7vrjjnNdOmlWsemtYLF/ojI0ZQ%0asSSDnPOc85POc1Tbwpp7+Vu+1nyjmPN9P8hxjI+fjjin/wAIdFtxZ6/qsbXU93O8cLs0yIu%0aBhgBlcA9D2H41u1n6fodvpl5cXMTzu86ojCaZpcBc4wWJP8R71oUB1CiiigBk3RP+uif+hC%0ar1UZuif9dE/9CFXqACiiigAooooAKKKKACiiigAooooAKKKKACiiigAooooAKKKKACiiigA%0aooooAKKKKACiiigAooooAKKKKACiiigAooooAKKKKACiiigAooooAKKKKACiiigAooooAKK%0aKKACiiigAooooAKKKKACiiigAooooAKKKKACiiigAooooAKKKKACiiigAooooAKKKKACiii%0agAooooAKKKKACiiigAooooAKKKKACiiigAooooAKKKKACiiigAooooAKKKKACiiigAooooA%0aKKKKACiiigAooooAKKKKACiiigAooooAKKKKACiiigAooooAKKKKACiiigAooooAKKKKACi%0aiigAooooAKKKKACiiigAooooAKKKKACiiigAooooAKKKKACiiigAooooAKKKKACiiigAooo%0aoAKKKKACiiigAooooAKKKKACiiigAooooAKKKKAPMPhZ4RsdS8F2txNPqaStPcBlt9VuoUB%0aE7jARJAo6dhWnd2GmeDvEtokb3s0mtRPbTvd6pK5t4IkkkaUO5ZxgtjhgBuBGDnO9c+AvDF%0a7cS3Fx4c0meeVi8kstjEzOxOSSSuST61LYeDfD+lmY2Wh6baGaMxSmC0jTeh6q2ByD6Hiku%0an9dLDerf9dbnmlikviSyj07TbvWrq9/tCT/TYtVuVitrL7RuVnfzMOXiI2ZyxDBvujNXNA0%0aWXw9r/APZtjZ6xmLVnMSz3N99jjs/K37g2/wAokvxg7jljkHt6HqvhXRddkjk1LR7DUZI12%0aI93apKVX0BYHAqva+A/DVhcR3Fr4e0q1uIzuSaCyjR0PqGC5B9xTWn9en+X4sW/9f1/Vjzp%0arO7urnxOuqXTAyaou60stNu7y3J+zwlhIIGV3XaVXDkI2GJQ5AXO+HVlbQ6jJIqG0VdUmBG%0am+HdQtTIBJ8qtJG4UIDj93IGCjIPevYdE8PWPh6GeOyjkXz5TNK808kzyOQBlndmY8KB17V%0aPp+l2ulJOtrF5SzTPcSDcTmRzljye57dKI+6/l/kJ63OU8ZhtL8S6RrEiM1rF+7kZRnbyf/%0aij+VGgP/b/jW81a3DGxii8pJWUgO2AOM/ifyrtSMjB5FAAAwBgV3rFWpcnLrblv5Xvt3MHS%0avK99Lp/cebeJNEg1HxeNPgvbe/ln/eS6df29zqMNvwT5kkZuliRScBRsByeOASOT8Oae9to%0amm6jfG10ixmLm4vtJ0ue0GBKyhZZLW5TAwpId49ijqcnn2a78P6Xf29zBc6bZ3EFzIJZ45Y%0aEZZXAADMCMMcAcn0HpVq0tILC2it7aGO3t4lCRxRIFRAOgAHAFcC0Oh6nBa3ImgeJ5Wg1G7%0aitp9EuJcT6hLJH5geJY2UO5Ct82AVwST6mm6L4H07xH8P7GTUb/AFlmvdOje4lOsXTZLRgs%0a21pCh6ngqR7V2V14Z0u/1iLVLmyiuL+GIwxTSjd5aknO0HgE5OSBkjjOKyU+GuhxWQs0OqJ%0aZiPyhbrrF4IwmMbQvm4xjjHSlrb+u7f8AkPqn/Wy/yOe8ReIbg32nS6T4gvHtb6COeOytDC%0abjyiOHjgNpI5BwSWdlUE4JHblpb3X9Uj8vVtV1F4G1V0s55nsrWCF4JSFSaQQPiTcg24BVy%0accY59gPhnR2s57RtKsmtZwglga3QpJtAC7hjBwFUDPTA9Ks22lWVnp4sLezt4LEKUFrHEqx%0aBTnI2gYwcnj3p7P+u5K2S/rYfZQSW1pFFLcS3Uirhppgodz6naqrn6AV5zqt5Df+Opr6x1X%0aVLJmaLQt9lBbmJ5x5spy8qvwv3ThBg9zyB6PaWkFhbRW9tDHb28ShI4okCogHQADgCotT0m%0ax1q1NtqFnb39sSGMNzEsiEjocMCKHvf+v6sNbWPPNXt7q1s9Mu9f1zVUltLxLyXT5Fs7gGO%0aJxulAijSRoxkHcBkAglOoE/ijQbC98Q2JFvosyaqC0V5qujtqAeQDIQSmddoK5Krjb8rYPO%0aK7LSfCui6DM82maPYadK67GktLVImZc5wSoGRxUN94H8OapdyXV5oGl3dzIcvNPZRu7Hpyx%0aXJo7AeUeDPC9sdP0m0e08PzXF9JcZWPQC06RJM4Z2mE42AEAK2MglQM4zTfijoUmo+I7y2t%0a9Ov7g2uniaW5u0tL1Ft1BULGszrIuSHJkDh92eG+Ur6l/wrjwn/wBCvov/AIL4f/iak1fwH%0a4e1+48/UdHtL2QW4tVM8YbZGCSAgPCnk8rg+/FJ3aX9dBp6/wBdzy4XM2lXtnE/laNb6v8A%0avYbWO7zEYf7PWJFZjjjzSqjeBlgMdq7nV9Cu/wDhWunWTRH7XZ20HmRKdxDIgVhx1xz09K3%0adP8H6NpdtdwQafE0d2oS48/MxlQDARi5JKgcBTwB0ArRsLGHTLKG0t1ZYIVCIrOzkKOgyxJ%0aP4muinV9lUU49Hf8zJx5o8r7W/A8+vtSj8XjQdPsld5IyrXHykCMAAHn8/0r0mkCgEkADPW%0alq69ZVVGMVZK/nu7smnTcLtu70/AKKKK5TYKKKKACiiigCCX/j5g/4F/Kp6gl/4+YP+Bfyq%0aegDO1XSv7Q2ujBJFGOehFZv/AAjlz/fi/M/4V0dFS4pmMqUZO7Oc/wCEcuf78X5n/Cj/AIR%0ay5/vxfmf8K6Oilyon2EDnP+Ecuf78X5n/AAo/4Ry5/vxfmf8ACujoo5UHsIHOf8I5c/34vz%0aP+FH/COXP9+L8z/hXR0UcqD2EDnP8AhHLn+/F+Z/wo/wCEcuf78X5n/Cujoo5UHsIHOf8AC%0aOXP9+L8z/hR/wAI5c/34vzP+FdHRRyoPYQM7StK/s/c7sHkYY46AVo0UVSVjaMVFWRnarpX%0a9obXRgkijHPQis3/AIRy5/vxfmf8K6Oik4pmcqUZO7Oc/wCEcuf78X5n/Cj/AIRy5/vxfmf%0a8K6Oilyon2EDnP+Ecuf78X5n/AAo/4Ry5/vxfmf8ACujoo5UHsIHOf8I5c/34vzP+FH/COX%0aP9+L8z/hXR0UcqD2EDnP8AhHLn+/F+Z/wo/wCEcuf78X5n/Cujoo5UHsIHOf8ACOXP9+L8z%0a/hR/wAI5c/34vzP+FdHRRyoPYQMXT9Ba3uFlmdW2HIVfWtqiiqSsaxgoKyK9/ZrfW5iY7T1%0aB9DWIfDlzniSLH1P+FdHRSaTJlTjN3Zzn/COXP8Afi/M/wCFH/COXP8Afi/M/wCFdHRS5UR%0a7CBzn/COXP9+L8z/hR/wjlz/fi/M/4V0dFHKg9hA5z/hHLn+/F+Z/wo/4Ry5/vxfmf8K6Oi%0ajlQewgc5/wjlz/AH4vzP8AhR/wjlz/AH4vzP8AhXR0UcqD2EDnP+Ecuf78X5n/AAo/4Ry5/%0avxfmf8ACujoo5UHsIGLp+gtb3CyzOrbDkKvrW1RRVJWNYwUFZENxB5wUqdrryDUPlXH9yL/%0aAL7P+FXKKZZT8q4/uRf9/D/8TR5Vx/ci/wC/h/8AiauUUAU/KuP7kX/fw/8AxNHlXH9yL/v%0a4f/iauUUAU/KuP7kX/fw//E0eVcf3Iv8Av4f/AImrlFAFPyrj+5F/38P/AMTR5Vx/ci/7+H%0a/4mrlFAFPyrj+5F/38P/xNHlXH9yL/AL+H/wCJq5RQBVjtnaRWlKgKchVOefrVqiigAoooo%0aAKKKKACiiigAooooAKKKKACiiigAooooAKKKKACiiigAooooAKKKKACiiigAooooAKKKKAC%0aiiigAooooAKKKKACiiigAooooAKKKKACiiigAooooAKKKKACiiigAooooAKKKKACiiigAoo%0aooAKKKKACiiigAooooAKKKKACiiigAooooAKKKKACiiigAooooAKKKKACiiigAooooAKKKK%0aACiiigAooooAKKKKACiiigAooooAKKKKACiiigAooooAKKKKACiiigAooooAKKKKACiiigA%0aooooAKKKKACiiigAooooAKKKKACiiigAooooAKKKKACiiigAooooAKKKKACiiigAooooAKK%0aKKACiiigAooooAKKKKACiiigAooooAKKKKACiiigAooooAKKKKACiiigAooooAKKKKACiii%0agAooooAKKKKACiiigAooooAKKKKACiiigAooooAKKKKACiiigAooooAKKKKACiiigAooooA%0aKKKKACiiigAooooAKKKKACiiigCCX/AI+YP+BfyqeoJf8Aj5g/4F/Kp6AIJZXWTau3GAeRn%0a1pvnSeqf98n/Gib/Xn/AHR/M02gB3nSeqf98n/GjzpPVP8Avk/41AbuAHBmj/76FH2uD/nt%0aH/32KAJ/Ok9U/wC+T/jR50nqn/fJ/wAag+1wf89o/wDvsVKCCAQcg0AKZ5AQMpycfdP+NL5%0a0nqn/AHyf8ajb7yfX+hp1ADvOk9U/75P+NHnSeqf98n/Gm0UAO86T1T/vk/40edJ6p/3yf8%0aabRQA7zpPVP++T/jR50nqn/fJ/xptFADvOk9U/75P+NIJ5CSMpwcfdP+NJTV+8/wBf6CgCT%0azpPVP8Avk/40edJ6p/3yf8AGm0UAO86T1T/AL5P+NHnSeqf98n/ABptFADvOk9U/wC+T/jR%0a50nqn/fJ/wAabRQA7zpPVP8Avk/40edJ6p/3yf8AGm0UAO86T1T/AL5P+NIJ5CSMpwcfdP8%0aAjSU1fvP9f6CgCTzpPVP++T/jR50nqn/fJ/xptFADvOk9U/75P+NHnSeqf98n/Gm0UAO86T%0a1T/vk/40edJ6p/3yf8abRQA7zpPVP++T/jR50nqn/fJ/xptFADvOk9U/75P+NHnSeqf98n/%0aGm0UAO86T1T/vk/40edJ6p/3yf8abRQA7zpPVP++T/jR50nqn/fJ/xptFADvOk9U/75P+NH%0anSeqf98n/Gm0UAO86T1T/vk/40edJ6p/3yf8abRQA7zpPVP++T/jR50nqn/fJ/xptFADvOk%0a9U/75P+NHnSeqf98n/Gm0UAO86T1T/vk/40edJ6p/3yf8abRQA7zpPVP++T/jSGeQEDKcnH%0a3T/jSU1vvJ9f6GgCTzpPVP++T/AI0edJ6p/wB8n/Gm0UAO86T1T/vk/wCNHnSeqf8AfJ/xp%0atFADvOk9U/75P8AjR50nqn/AHyf8abRQA7zpPVP++T/AI0edJ6p/wB8n/Gm0UAO86T1T/vk%0a/wCNHnSeqf8AfJ/xptFADvOk9U/75P8AjR50nqn/AHyf8abRQA7zpPVP++T/AI0jTyKM5Tq%0aB90/40lNk+6PqP50ASedJ6p/3yf8AGjzpPVP++T/jTaKAHedJ6p/3yf8AGjzpPVP++T/jTa%0aKAHedJ6p/3yf8AGjzpPVP++T/jTaKAHedJ6p/3yf8AGjzpPVP++T/jTaKAHedJ6p/3yf8AG%0ajzpPVP++T/jTaKAHedJ6p/3yf8AGjzpPVP++T/jTaKAHedJ6p/3yf8AGjzpPVP++T/jTaKA%0aHedJ6p/3yf8AGjzpPVP++T/jTaKAHedJ6p/3yf8AGjzpPVP++T/jTaKAFE8hJGU4OPun/Gl%0a86T1T/vk/41Gv3n+v9BTqAHedJ6p/3yf8aPOk9U/75P8AjTaKAHedJ6p/3yf8aPOk9U/75P%0a8AjTaKAHedJ6p/3yf8aPOk9U/75P8AjTaKAHedJ6p/3yf8aRZ5GGcp1I+6f8aSmx/dP1P86%0aAJPOk9U/wC+T/jR50nqn/fJ/wAabRQA7zpPVP8Avk/40edJ6p/3yf8AGm0UAO86T1T/AL5P%0a+NHnSeqf98n/ABptFADvOk9U/wC+T/jR50nqn/fJ/wAabRQA7zpPVP8Avk/40edJ6p/3yf8%0aAGm0UAO86T1T/AL5P+NHnSeqf98n/ABptFADvOk9U/wC+T/jR50nqn/fJ/wAabRQA7zpPVP%0a8Avk/40edJ6p/3yf8AGm0UAO86T1T/AL5P+NHnSeqf98n/ABptFADvOk9U/wC+T/jSGeQED%0aKcnH3T/AI0lNb7yfX+hoAk86T1T/vk/40edJ6p/3yf8abRQA7zpPVP++T/jR50nqn/fJ/xp%0atFADvOk9U/75P+NHnSeqf98n/Gm0UAO86T1T/vk/40edJ6p/3yf8abRQA7zpPVP++T/jSNP%0aIqk5TgZ+6f8aSmyf6tvoaAJPOk9U/75P+NHnSeqf98n/Gm0UAO86T1T/vk/40edJ6p/3yf8%0aabRQA7zpPVP++T/jR50nqn/fJ/xptFADvOk9U/75P+NHnSeqf98n/Gm0UAO86T1T/vk/40e%0adJ6p/3yf8abRQA7zpPVP++T/jR50nqn/fJ/xptFADvOk9U/75P+NHnSeqf98n/Gm0UAKZ5A%0aQMpycfdP+NL50nqn/fJ/xqNvvJ9f6GnUAO86T1T/AL5P+NHnSeqf98n/ABptFADvOk9U/wC%0a+T/jR50nqn/fJ/wAabRQA7zpPVP8Avk/40edJ6p/3yf8AGm0UAO86T1T/AL5P+NHnSeqf98%0an/ABptFADvOk9U/wC+T/jR50nqn/fJ/wAabRQAqzyMM5TqR90/40vnSeqf98n/ABqOP7p+p%0a/nTqAHedJ6p/wB8n/GjzpPVP++T/jTaKAHedJ6p/wB8n/GjzpPVP++T/jTaKAHedJ6p/wB8%0an/GkE8hJGU4OPun/ABpKav3n+v8AQUASedJ6p/3yf8aPOk9U/wC+T/jTaKAHedJ6p/3yf8a%0aPOk9U/wC+T/jTaKAHedJ6p/3yf8aQTyEkZTg4+6f8aSmr95/r/QUASedJ6p/3yf8AGjzpPV%0aP++T/jTaKAHedJ6p/3yf8AGjzpPVP++T/jTaKAHedJ6p/3yf8AGjzpPVP++T/jTaKAHedJ6%0ap/3yf8AGjzpPVP++T/jTaKAHedJ6p/3yf8AGjzpPVP++T/jTaKAHedJ6p/3yf8AGjzpPVP+%0a+T/jTaKAHedJ6p/3yf8AGjzpPVP++T/jTaKAHedJ6p/3yf8AGjzpPVP++T/jTaKAHedJ6p/%0a3yf8AGjzpPVP++T/jTaKAHedJ6p/3yf8AGjzpPVP++T/jTaKAHedJ6p/3yf8AGjzpPVP++T%0a/jTaKAHedJ6p/3yf8AGjzpPVP++T/jTaKAHedJ6p/3yf8AGjzpPVP++T/jTaKAHedJ6p/3y%0af8AGkWeRlBynIz90/40lNj/ANWv0FAEnnSeqf8AfJ/xo86T1T/vk/402igB3nSeqf8AfJ/x%0ao86T1T/vk/402igB3nSeqf8AfJ/xo86T1T/vk/402igB3nSeqf8AfJ/xo86T1T/vk/402ig%0aB3nSeqf8AfJ/xpFnkZQcpyM/dP+NJTY/9Wv0FAEnnSeqf98n/ABo86T1T/vk/402igB3nSe%0aqf98n/ABo86T1T/vk/402igB3nSeqf98n/ABo86T1T/vk/402igB3nSeqf98n/ABo86T1T/%0avk/402igB3nSeqf98n/ABo86T1T/vk/402igB3nSeqf98n/ABo86T1T/vk/402igB3nSeqf%0a98n/ABo86T1T/vk/402igB3nSeqf98n/ABo86T1T/vk/402igB3nSeqf98n/ABo86T1T/vk%0a/402igBVnkYZynUj7p/xpfOk9U/75P+NRx/dP1P8AOnUAO86T1T/vk/40edJ6p/3yf8abRQ%0aA7zpPVP++T/jR50nqn/fJ/xptFADvOk9U/75P+NHnSeqf98n/Gm0UAO86T1T/vk/40edJ6p%0a/3yf8abRQA7zpPVP++T/jR50nqn/fJ/xptFADvOkHdP++T/AI0wXUhk2/J0znB/xpsjYFRQ%0aNumP0oAtedJ6p/3yf8aPOk9U/wC+T/jTaKAHedJ6p/3yf8aPOk9U/wC+T/jTaKAHedJ6p/3%0ayf8aPOk9U/wC+T/jTaKAHedJ6p/3yf8aPOk9U/wC+T/jTaKAHedJ6p/3yf8aPOk9U/wC+T/%0ajTaKAHedJ6p/3yf8aPOk9U/wC+T/jTaKAHedJ6p/3yf8aPOk9U/wC+T/jTaKALdFFFABRRR%0aQAUUUUAQS/8fMH/AAL+VT1BL/x8wf8AAv5VPQBWm/15/wB0fzNQXZxazEf3D/Kp5v8AXn/d%0aH8zUF3/x6Tf7jfyoAvgAAADAHaloooAKoQcKw7CRx/48av1Qg+6//XR//QjQA5vvJ9f6GnU%0a1vvJ9f6GnUAFc5rfxE8N+H4r03etWIntFZpLRLqMzkqM7Qm7O7tiujr5/mjup5/iEdNn1GD%0aUjq5Ns9jFeMrFANyMbfpkHA38cnHqE+39dP8ykuv8AXX/I9U8P/FPwv4h0+0uYtZs7SS5+7%0aaXdzEk6nOApTcefb3FXNQ8eaNputPpEstzLqUcQma3tbGe4ZUPRj5aNxXkHg/xfBqvi2y1O%0a6v8AXtB0iJ47OKwnnvblby9I+ZGZi6gKTgLkE4BIHNa/irWrKz+JL2+o6XYafq0tmHOp/wD%0aCT3NlGYQxCoxWNfmOM7QD9eKp7rzv/X6+hC6/L+v09T0WH4gaLLqllpzSXlteXpZbeO7065%0ag80qMnBeMDge9dHXkWlvp99r+nXFqdA1TVbdmNosnjS6unUlcNtRo26jrx29q9cXJUbgA2O%0aQDkA0dA6i01fvP9f6CnU1fvP9f6CkMz9W8S6RoLRrqeq2WnNICUF3cJEXA643EZrm/Dnxj8%0aK+IrSa4/tS30wRytEI9RuYYXfGPmVd5+U54Jx0Ncx8U73+zvip4HuPt9npeyK6/0u/XdDHl%0aMfMN6deg+YckfSs74reKv7Q8Aavb/APCZeGdT3og+y2MO2aT51Pyn7S/1+6eAam/u83r+ZV%0ave5fT8T1rUvElnpfk+al5Osq70azsZ7lSPrEjAfjVNfG1g2v6ZpAhuxcahBJcRNLAYgqp1D%0aq+HU+22uF8deJNV8PnwdBpuqX1uL2LNxb2sEEp8mKMPIyB4yd5B4yccdK529s9G8U+M9Ovg%0ai6tDP4cuL+W4vreDzHbLKrSBFC7k+7nHG0c8Vcvdb7Jv8L/5Ex95LzS/G3+Z7Vq3iTSNBaN%0adT1Wy05pASgu7hIi4HXG4jPWuZ0v4zeFNT1fUbA6pBZmyYD7TdTxJBPnPMT7yGH5da86sb9%0afDngT4aarbWkD6k0pso7iWGaYwpIX3lYo3Xefbk+nNR2nxB1+w1vx3cHUpLtLWOORLe50a9%0aaLiNjgJ5mbYHuXPPXtSl7ra7X/C3+YLVJ97fjf/ACPX9b8e6Ro2gxaws41KwlnS3WXT3SUF%0ambb13AYB681Q8SfFrw14X1Kzsrq/imlnn+zyfZ5o3+ytkDMw3AqOeuDjBrxb4mS6Zp3w/wD%0aAlpZaJCJrlU1BkjRn2qwUvGrOWbDO44yeg9qs6xqWp2nj37bbw2kdzNpRisbb5rf/AIR+3I%0aA8ydCmEKgtwG78cFQTZvybX3L/AD69PzN18v1/y/rt9CaVrWn67A0+m39tqEKtsaS1mWVQ2%0aAcEqTzgjj3q2v3n+v8AQVy/wy1+bxH4QtLqaO7wuYo7q8Ch7tF4E2B0DdcH8z1PUL95/r/Q%0aU2rOwk7q5nax4o0fw8yrqmq2Wns6llS6uEjZgOpAJyfwrCtvi94Mu5LZE8RWSm4QyIZXMYA%0aHXeWACH2bBPYVyvx21O60JbG//tERWQgmh/s+PUprWW4lbAV1EY+YJ1O4gc4PXnzeC1s9Dl%0a0Oa7vtHu7Ky06SG5W38UyksW/hCxgumc4KRqynnJqU7/16/wDAKat/Xp/wT6E1Xxzomjrpr%0aT3hlGpZ+x/Y4ZLnz8AE7fLVs8EVQHxT8Os94glvy9kM3SjSrvMAxnL/ALr5eATzivNvEtyA%0aPhawsr7w0FknVLSBGubm2UKoACtGzMcY6oetZVteY1T4lH+19fHmQr8w0vLT/uW4nH2b90O%0a2cR8ZPvQ9L+V/wt/mC1t52/G/+R7NqHxC0aw0XStVEstzZ6nPFb2rQREs5c8HacHHBJ4z7G%0aqN/wDF/wAKWGs2Gntq9rN9r3/6VBcxPBCVGcSNv+XPQcV5DrUkdv4U+GEsurtZlovJSCOF2%0aeMNw86sh3bgCoUAHk5FU/A/jvWdH8IW8FrPeJawNOqrHd26D5WjY4D2kh589erno3TgVVve%0aaXRkX91N9V/n/kfQOp+N9C0nQl1qfUoX0pnEa3VtmdGYnGB5YbPII4qtcfELSLS3knnj1WG%0aCNS7yyaNeKqqBkkkxYAA715dNfWWmfBZWutATUtEtLqVZoLnVnSYyi4YAq0cKhhuJP8OB2N%0aXW1PSNQsjHPfaM0M8e14J/H94QVI5VhtI74Iqe9v60T/ryL7X8/wA7f15nr+lapba1pttf2%0aUvnWlzGJYpNpXcp6HBAI/GrVYXguMw+H7SFLaxtrKKNUtBp9893G0QHB3sik/r9a3ap6PQl%0abahRRRSGFFFFABRRRQAUUUUAFFFFABRRRQAUUUUAFNb7yfX+hp1Nb7yfX+hoAivr+10u0ku%0ary5htLaPl5p3CIvOOWPA5rlrr4v8Agyza6EniKyY2yqz+U5kyG6bNoO8+oXJHfFaHj+C8uf%0aB2qx2GoRaTdGL5L2acwpCMgli4BK8Z5r5xkkTxRpnim9ivrBHvPJtoIb7xNIszCLG59suPN%0aVjkgSldvYVN9WiraI+lbfxloV7pt5f2urWl5a2cRmuHtZRL5SAE5YLkjgHjGeKyT8V/DYjs%0a5DcXwjvSFtX/ALLu8Tk9Ah8r5s+2a4DQtSs7vwr48+x6YI1GmOk+rx6jPeRXMixOuxXlUZK%0aj+6SMEYJGK5aS7/4k3w0H9q64fLuITtOm/LB8o5gP2f8AekdhmTPoav7VvT8b/wCRCfu39f%0awS/wAz3ax8faJqDamkVzMkmmRCe7juLSaF4UILAlXQE8AngVn/APC1dFFnLqDRajHoscSSt%0aq0tjIludxwoXcA7E+qqV5HPNee6PL52v/FR/tN7eZ0qP99qFv8AZ5m/cN95PLTHoPlGRg89%0aa5LVNT1qT4aGxE2oz+H/AOw7ds3ViIokuftEQCRyeWpcbenzNnnk44novRfi2V1+f6L/ADP%0aoHT/GMGpS3DR6dqcNhDH5jahdWpgib5d2FV8SHjvsxx1qvZfEfRdStY7m0GqXVtIMpNDo94%0a6MPUERYNcfoV9q8mo+NNOv9curuy0a0RY4XhgUNvgZm3FYgxwRxgj3zXla2kul+CYLqHQuE%0a05LkX82mwTQOxJyNxs5CSOCd8q9eo6U20vS36v/ACFHVL+ui/zPo/SvGuk6zqz6XbyXKagk%0aP2g291ZT27eXnG794i5GTiqq/EXQ5b69s4JL67uLKUw3C2mmXM4jcdiUjI7etcX8HrWSHWr%0ahn0WSzU2SML0WMcEUhZhlFIs4GzxnGWX69ax/Bl15Hi/x0Rqmt2CtqzjGk6b9qViC2dx+zy%0a4I9Mim1aVvJ/nYSd1fzR6ro/jfSNd1afS7SacahBEJpLa5s5rd1QkAHEiL6iqZ+JWiRXXiG%0aKeWW3h0Ixi7uXjJiyw4ClckkHgjGc9M1594Supz8XfFU9rPe6ldLoymJtUtvs0ruCm1Snlx%0a4GcDO3868/0y11dfh/q+oanHDPp9jrrXGr2bymOa7kBjAj3BWG0MxJ/yant6frb+vkV/nb8%0aLn0ponivS/EVxeQafcmaazKCeNonQpuG5eGAzkdxWpJ90fUfzrx7SL/V7j42wmCxs9MkutK%0aS41GJbt5UmhyAjD90pEi5A54wMZHf2GT7o+o/nVNaX/rRtEp629PxSf9fIdXG+O/ivoXw9u%0abO21Fpprm55ENqFZkXpvfcwwM/yPoa6fVobu4024isbpLG7dCI7mSHzRGf72zIz+eM+vSvD%0afC+i2TDVtRj11/E76srQ3F9deFb+43pnDIrI4UDIHTpgegqev9f18yun9f18j3O71S1sdLm%0a1GaZRZRQmd5ky48sDcWGM5GOeKxLb4h6ReW8Vxbx6rPBKoeOWPRrxldTyCCIsEH1rzPw1p8%0amk+BfGGm2fiuTWdPsbCdJNPu9KltpLVmicgK0jbgOPukEfTPKeF9Re9sLewtdPuZn0/RLS7%0amlPiO8s0ZTCDhI4wVB49s03a77f8Bv9BK+n3fl/meq6X420nV9YOlQSXMeoCE3H2e6sp7dj%0aGGC7h5iLkZOKy4fi14al06+vH1CO2W1lmhWK5kSJ7gx9TEGYbwex9euK858NarH4i8VRX9v%0aNNoyXXhOdhNdXL3jW3+ksC5eQ5bGM8kelefeFdem0vVtBn0u+uJJPLuLVFiIgWJQRj/Wxyr%0al9pdtoPL9Ril1s/wCtX/kC7ry/Jf5n0p4U+IegeMrW1k0/UYDcToXFjJMguUA67owxIximx%0a/EbQ57u8treS+u5rOZoLgWmmXUwjkBwVLJGRn8a8y8JeJb3XfHujXF3Fc3eofZ50tGub+Ly%0a13W8c2GEdoh5DoM84IPB7ssde0keJPEVsbLTtBvYrsm7eTxjdWcdzKxO5kCoM4I54GMiqe/%0a3/g7CW33HrOj+NdJ1zVptMtZbhdQhiE8lvc2c1u6oSAGxIi9yK3a8z8ECzk8SyXmmR6He3s%0akQiubiHxTPqE6w7h/C8Z6HHcfWvTKOiAKKKKQwooooAKKKKACiiigBq/ef6/0FYXiDxvpnh%0ay8WxnF3c6jJA1xFZWVpLPLKo442qQOeOSB64rdX7z/X+grx/wCJ91dWXxO0+axnvYL1dEuD%0aAbC1+0SNJuO1Snlv8pOMnAx6ik3qv66P/IaW/wDXVf5nayfEzTElmtBZ6pNq8KK8ulwWMkk%0a0e77oZlBjGfUvj3q9qHjbTtG/s6PUku7O8vw/kWQtnuJiU5YYhDjgHPBIrwiTW/EemTeLPE%0aP2+50/W7bTdNNwGt4hukcICHR4ztxknA2812HxV055td8GWs/n65OltqExWWGF5ZiIQygL5%0aRjJyAB8h7cE03ol/Xd/oSv6/D9Wehy+P9KgieWWHV440Uszvot4AoHUk+VwKsjxroP9k2Wp%0ay6vaWtjerut5ruUQCQewfBr54EVwde+yf8I9j/iX/a/sP9jw/aN+7G3P9mfh9zbn/lp2rqP%0aifC40X4ZIujCaVrhD/ZFwscW5iqEwsNiouScH5APYU+nzX6/5D/yf5Htmla5p2uwvLpuoWu%0aoRI21ntZllVT1wSpODVXUvGGg6PdNbX+t6dY3KgEw3N3HG4B6HBINeI+Hr1/C2ufEC5Gmnw%0a14gGmGe30eBFe3ijVARIrqdrHOCRtAHPXkCXQNO07w/8LLDxCvhGz8ZS3STXep3t7NGHhIP%0aPLqxPcYXnIJ6mpvpfyX43/yH1t/Wyf6nv0UqTxJJG6yRuAyuhyGB6EHuKI/un6n+dY3gnUI%0adV8IaNd29t9igltI2jt/ML+Uu0YXceTgd62Y/un6n+dXJWbRKd1cdXG638VtH8P6lq1ndw3%0au7TBA1xLHCHQLKQA2Qc4GeSQPbJwDwvj+x+1/FfUbgW+mXf2Hw410YdUs/tUbbZCcBdy7W/%0awBrJwCeDmuH8yKfXofsvh/SRq+vaZZtZWi2CNbQyM/zuEYEABVYk8+9RH3mv67/AOTKel/6%0a8/1PqNHWRFZSGVhkEdxWL4R8XWfjTTJL6yjnihjne3K3CgNuU4J4J4rhfiVb6JusvDun6Jp%0aF74s1GNbeFjZRt9liAwZTkEqqqDtHtxnFee/C3RdM8N6edU1vSrHVdAubt7Ke6u7ZJGsZFb%0aCOSwOI2yAfQ4NNat9v+Db/AIHqJ6Jd/wDgf0/Q+l6wvC3jGy8Wvqi2cU8Z067ezl89VG516%0alcE5H1x9K8+8U6jFB8WdJ017rU49BOjCRbTR5LkLuDsFYJb84wAM4xjFcPod3Z2Hhjx/cQT%0aa/b30V9ctaS27X6qmB8plK/KG9fN59aV9G/J/g7DteyXl+KbPpasTw34x03xVNqUNi8nnad%0acNbXEUyFHVh32nnBwcE+hrw/x1r+pav4e8N6al/dFV8My6jf4mbM+6HC+Zz83zDPOetdjo/%0agZR8NTrWizXNj4gvtAt4xNbylclIwRgD+JsBd3Udsc5b93mb2X9foxLXlS3f8AX6o9aornf%0ah3r0/ibwTo+pXMbx3M9upkDqVLMOCwz2OMj2IroqqS5W0JO6uFFFFSMKKKKACiiigAooooA%0aKa33k+v9DTqa33k+v9DQA6uTtfifoN1oes6r58kMGkyPFdRzxmOVGU4A2HB+Y/dzg54OCCB%0as+I0jm0t4ZtGfXoZGCvZqsLBh1yRKyqQCB3znHFeFeLpNBsvir4VtT4MWxjVXE+mmCzH2gy%0aArFkLIUPzD+Mj2pat27j2V+x7hb+LdLk8P2mtXF0mm2Fyiuj6gRb43DgHfjn+fUZHNQDx/4%0aadoFi12wuTNOlsgtp1l/ePnYp2k4ztOM4HFef8AxItraw+GPiCOz8Jv4aRvs7M3lWqrKROm%0aBiGRiSMnqK5SSaG90bxvc393fLPBqH2yI22kusTzRxKyeakkchiXdjhiuQTkkU7q7fRf8D/%0aMVnZd2e3T+MtNEGrtatLqU+lOI7q0skLzK2AcBeM8Ht6EdQRXOz/HDwrFdlI7i5urOOJZbj%0aULW2eW3tg33RIQMqScDGODwcHNc98NFjXwRd3ml61qkd/fxDUb26utO3xrLx5xido0VmJBA%0ayzgYzg81zG688aT6WdRGo3Xg25KfZIJp7OK81R1LfLKzTqxwxOAvbGFU80NNO39f1fbv94J%0apq569b/EfRr6S+gs/tt3fWdv9qexWxmjnZOMbVkVck5GPrUFt8WPDN4B9nvLi5byBcMttYX%0aExjTJGW2IduCCDnoRXFeAbNtRh8WWqPNpr2iCwk1mRwl/F5Q+RGVGeNgq8F1ZS2OVzzXE67%0ad6z4l1i6ntJ31C5udPsVup9GSZ0kiLNvJRQr7Sv3lwO4o62X9b/wDAv87B016f8D+vuue+6%0aD420rxP5J003k8Uyl4520+4jhYD0kZAv61tyf6tvoa8e+EzTnxlIum3t3feFk00xwusF5Da%0aLMJQCqrcSP8AMAOxx144Newyf6tvoap20aEr6pjqwl8eeGXuBAviLSTOW2CMX0W4tnGMbs5%0az2rdr5EQLJ4O1O2n8P2SW95rLW48TXBBa1O5SVIVS4GAec4+Y8VHW39bpfqVbS/8AWzZ9V6%0ar4i0rQmiXUtTs9PaXPli6uEiL4643EZ6j86m1LVbLR7U3N/eW9jbAgGa5lWNMnoMkgV4f8Y%0afCP9qX/AIE8Pxztct9iuYIpieZHSFdjH6lRWJ4j8Uy/EnwXoulgszabpk+oake6yRI0cYPu%0aWGf+BChvRtdH+C6gt1ft+PY+h5de0yDS11OTUbSPTmAYXjTqISCcA7845PvVN/GWjvouo6p%0aZ39vqdtYRNNN9gmSYgKpbHBxkgHGSK8X1jwnrWu/DDwDqWk2UWsJpUPnTaZMNyzDg5K5G/w%0aC6RtHJ3cZ5qHXPG3hvUPhl4ijt/CcWiawJY7WbTjbLtilO/bIBtGGCCTnaCCMehpz93mS3X%0a/A/zFHXlb6/8H/I9h/4WPoqWujyyvdJLq1v9qtbaO0lnlZNoY5WJWwQCM1d07xlo+reHJde%0atbvzdKiSSR7jynXCpnedpAbjB7V494FiEXij4cxjSY9Mb+y7iVmh2FbgNCuJiVwcnodwzkd%0axgnQ+Ht5AfgDq1qJ4zcrZX0hhDjeEJkAbb1wSCM+xon7qk10v+dgjq4p9bfirnct8VNMljs%0aprDTNd1a1ujxdWWkTmONePnJZRkf7u48HitLTfHuiarc6hbw3Usc+nxCa6iurWW3aFCMgkS%0aKvbmvAXutRsvDvhTRLbUv8AhHL29s1vE1ObxFcxwCIA/K8ZULHu7Bc8jrzXYappOmXng/xX%0afQ3em2azWqrearp+uzarK+0grGyyKv3gCo+bPIHIol7qflf+vvCPvNedv6+47h/jB4ci8LR%0a63Lc/ZxJCbiPT53jju5EDFcrGzjOcEjB5HStHTviR4b1TSG1CDV7V447X7ZNCsqvNDGACxe%0aNSWBGcEY614BoOux6Trdpqs2pX9ubbSmuJ5tHZXVEZ0WO1jEu6MpGGXI5wxPOVr0bwIJ/Em%0aq3Wl+MFvJ9el0x/tCSw2axNaO+FVZYQJO+SNwGc8dKbW9v6tf8A4cSe1zubb4h6ReW8Vxbx%0a6rPBKoeOWPRrxldTyCCIsEH1qfTfHOkarrI0mGW5i1Ewm4FvdWM9uxjBxuHmIvGeK898GaF%0a4s8PaZNaXEXie3UTuYILK506eGKHgRopnZnAAAGM4/Wug8IapbT+N7ywvYNVk1+CzWTz9Wg%0asd0cJb7qyW4zgls4JI47dxWb/rt/Vwd0v67nfN95Pr/Q1X1XUY9I0y7vplZobaF5nVACxVQ%0aScZxzxVhvvJ9f6GuW+KUHn+A9YzZWd8iW0kjLevtWMBGO9fkbLg4wOPqKiTtFtFxV5JMdH8%0aStEa00eZ2u0k1aA3NrbJZyzzMgAJysSvjGeatab450jWF1T7HLPJLpihrqCW2lhkjypYDbI%0aqnJANfOU+qLpXh7wtfWMdrp0i6Teqtxp0xEjS+WqF3IRSsmfdug+atuyvhPoXxCfyo9bnuY%0atOgR5MTK0rxbfMJJPIJLZ9RVS0UrdL/wDAFHW1+tv+Cet6j8XdD0vwjpfiG4W5W11FwlvBh%0aBMck5JBbaAMcnOBx610mk+JtI155E0zVbLUHjAZ1tLlJSoPQnaTivnHSns4PDPhNrGxTQvE%0a1vtuINYvruO2sZI95DscuPMJGAwCFsADJAGfQ/grqRk17xDBeQw32sXD/a7nWbC8jubaVdx%0aVEBU5jGPuoeSASccCrsrtev6f8G+xF9E/66/8Cx67VU6pZDURp/2uD7eY/NFr5q+bszjdtz%0anGe9WScAn0rzX4LyLqGg6t4rvnVr7VbuWWaZv+WcUZ2on+6oB/Os76u/RXK6HeNr2mLqo0w%0a6jaDUiNwszOvnEYznZnPTnpUrapZJqK6e13At+8fmramVfNKZxuC5zjPevlO68c6ZNrlx4z%0aF4f+EiXWVlisSr82Srt27tu3JGB17V7V8Z50j8I6X4ssJB9q0u5hu7aYfxxuQrL9GDDP0pr%0aZN90n87f56/MH8Tiv6t/X5HplFIjb0VumRmloEndXQ2P7p+p/nTqbH90/U/zp1Ayhr2sw+H%0adFvdTuI5pYLSJpnSBN7kAZOB/keuBWHqHxM0TT9O0K98ya5j1qRI7RLaPzJG3dSUHOFyAcZ%0aIJxiuc+Mmkz6nqfhJ0sTe2sF1K1wW06S+iRSgwXiTlhntkV5pYaVb3HiTxtBHp1jKwhiEMS%0a+E7l9rGJv9XGDm3JPds5PI6Uk9/62/zv+HUbW39b/wCX9WPoXxP4jtPCWg3mr32/7LapvcR%0agFm5AAAJAySQOtYHiH4r6J4Z/sQXoulOqqskaiMZgRto3ygkbQC3v0PpXk3xBttbsvhL4J0%0a97N4LFAhv1mUo6uGUIjKemdxOPb2rZknVNX+I//CS2EWqahb6crP5FwRHHbkblgjymVxwS+%0aOSAcerel/J/kk/xv9yEtUvP9Xb8LHufWmr95/r/AEFcp8LBqv8AwhOmnVZ4rktEj20qMS5g%0aKKUEmQMuMkEjrgHrmurX7z/X+gqpKzaEndXOc8X/ABC0bwVDKdQnZrlIPtItIQDK8e8KSoJ%0aA6t0z0B9DVeb4n6GL3TLS3kkvp7+8ayVbYKfKkUKX35IwFDDJGa80/aOWK9ngh+121jcRxI%0asfm3xElxvc/u1hDbUQbdzSuADhRniuOvs6HLaXurWGmXWhLbXVvFLZ3Zv7eS8dGbepcuVYs%0aqcZ4PPes4u6u/63/PRepbWtl/W35b+h9I+IPFul+GJLOPUZ5I5bxzHbxw28kzyMOSAqKxzz%0aVC8+I2i6dayXN0uqW1vGNzzTaPeIiD1JMWBXk/irQ10fwz8PdIvNKMpCZj8iT5hOUDSCSA2%0as28c9gSTnI71zV+LG7sddjl0KVYtOG2cw2kUTnjPDrpYMf/Ayh/Cqel12v+Fv8/yJWtn3t+%0aNz6esryHULOC6t38yCeNZY3wRuVhkHB5HBqRfvP9f6CsXwRJJL4Q0dpIFth9li8uNZzNiPY%0aNuW2JlsYz8uM5raX7z/AF/oKqStJomLukzFvfGWm6d4osdAuHkivr2JpYGaMiJ9v8IfoW6n%0aA9PcZZJ40sY/GsXhgxXH2+S1N2JAq+VsyRjOc549PxrA17xLd2fxKs9GnksYNPn0+e5jvvI%0a23FphcMRI7FOq55UDGAQcZPJ3Oi3n/C+7S2/t/UWmOjlxeeXbeaBvb5QPJ2Y/4Dn3qY6uK7%0a3/AAuU9E/K342PVNa8W6J4cJXVNWsrCTYZBHcTqjsvPKqTk9D0FY9t8XPBt1NBEniOxVpov%0aOUySbFC+jM2Arf7LEN7Vwfxuur3w7HbSS609xbS2L2SWj6k9pPNO5wJikSqjKo67tq9u4zx%0aRgsdEvbGa7utJ1KwttH+xTRWnimZzM5YAqqxgyDdn/Vqpj55NJO/9ev/AABvT+vT/gnv+o/%0aEHw3pF5Z2t5rdlbS3cXnwl5QEaPGQ2/7oB7EkZ7ZrOi+LvhO4iikt9Ua7EiyOBa2k0zBUPz%0algqEqBweccEHoc1xGtSXcuufDg2mnajpE4sLlUsLNoWuIFEaDZm4AU4A53DP41wujXUMGm6%0aALjVTpJ/sjVB5rNEpcmd8RkupX5sEYHPoRQ9L/P8L/5IFrb5foe8ax8TdB0fw5DrRuWuree%0aLz7eCBf38yDqyxtg4A5JOMAc1afx1piKreVqjoyLIHi0m7kQggEfMsRHQ+vFeL20rwQfDiW%0aJ2jkTQr9ldDgqRA2CD2NT6Jq2p7Ph9Kz67E1+XF1cXeptLDefuyeE85sDvyq1UtL2/rdfoS%0atUvT/gnuHh/wAQWHijSodS0yf7TZTbgkuxkzglTwwB6g9q0a89+AX/ACSvR/8Aen/9HPXoV%0aOSs7CTuv67hRRRUlBRRRQAUUUUAFFFFABRRRQAUUUUAFFFFABRRRQAU2P8A1a/QU6mx/wCr%0aX6CgDF0zxlpureI9T0OF5E1HTwrSxTRlN6kD5kz95eQM/TsQSzw/40sfEmta3pltFcRz6RK%0asM7SqoVic42kEkj5T1ArmdE12/wBZ8XeKdGvb610yexe1ii1HTrdIppg6uwRvNMgOOcDHqR%0ajNc38M9FvLjx74+jTXtQtnhvYw8sUdsWn+/wAvuiIB/wB0L1ojrb0v+QPS/qj0fWviL4Y8P%0aPImoa7YwTRuI3gEweVWJxyi5YdeeOOpqPT/AIm+FNUvJbS28Q6e9wkgi2GdV3segQnAf/gO%0aa8d+Kc1y/jSbRrvWLWRb68huI0m1qWCGyhjUErKmAiFyNwIyw6gcjNPT7i00/wAQ6g8tja+%0aJJrzUYp7KysPEc907Mgzvwitv28ndNtOAcZoh71r9f+B/X9XCfu3t/W573qfiyx0i4khuIt%0aRLRjczwaZczR4xn76RlT+fFUNN+JOh6zbR3NgdRvLaQkJPBpN28bYODhhFjrxWZ8SdV1zw1%0a4Z1jUhqemraJGyxW7afIZWLfKq7xOBkkjnb+Fcz8Fm8Rr4Zl0NL3TtNutHmMMtpdafJNKof%0a51YsJ1BB3HHHaiOt/IJaW/r+tTt9c+JehaDqcenzXBluzdRWkscWP3DSKWVnyRhcA5Izina%0aZ8RtH1vxBZ6Tpzy3r3Vmb9LmIDylj3FfmJIYHIxjFeJfFuAal49g2ahplpdi5SJ4LrUnCSB%0aFJaaUiTECDOFRSHO5j1NY+oWUj3N7peoaVax3WswWUOieVKLxYY1kVcRynccbSeQaIe9b+v%0a6/4cJaX/r+v+GPq2mx/6tfoKbbW8dpbxQRIscUShERBgKAMAADoKdH/AKtfoKBLbU5/UfHu%0ak6SLhrtNShit93mzHSbsxqB1O8Rbce+cU3TPiFo2sx28tkNRuYJyBHOmk3flNk4zv8rbj3z%0aivPvj74vnutNufCuiq1zeGE3WpNH0t7dBuwx7FuPwwP4hUvwy+Jn9m2+gaBremro1tdWUP9%0al3gbMVx8oBBPZiece4zyRkh739b/10+Y5e6eg6l450jStZOkzS3MuorCJzb2tjPcMIycBj5%0aaNxmoR8RNEGo2VhLJe2t1ev5dul3ptzB5regLxgfrXK67FNZ/F6W502/SLVJdELNFc2PnQi%0aJZDyWWZGDFgB90isDQddg+JEvhPX9c8VaDpt5Y3DSppUKBJSxbbtJecnnaCPl796I62/H72%0av0CWl/wCuiZ6HrnxJ0rw/qtpYXFtqjzXMxgVodNmZNwGeDt+cf9c9x/Cq138XdAsNQube5G%0aoQxW0cbzXZsJjHGz/cjcBSyOc5wyj8+K8M+KjJH8RtRMMFjMz3mXGqRRxPv8jbj55BmLABD%0attG48ZxzS02TRrG/wBMisbmRNCRrRtYFxPbiWd0ferRxJMzOPmwVXcV5HUYBD3rX6/8D+vu%0aCfut2/r+v8z6Y1rxrpHh6TTor6aeObUM/ZoY7SaWSTABI2IhIIyOCAapXvxL0HTVia9fULJ%0aJZFiSS60q7iUuei7miAya4v4uXKyeNPh7Mk15ahpLiQSWtsZLhAUQ5ERRjn2KHHPHFYfxZv%0aPtGjaUv9seIL7/AImcB8rVNK+zRd+d/wBmj59t3rxTjra/V2/FL9RPS/pf8H/keu3vjLTdO%0a8UWOgXDyRX17E0sDNGRE+3+EP0LdTgenuMsk8aWMfjWLwwYrj7fJam7EgVfK2ZIxnOc8en4%0a1z+u+Jbyz+JNno1xLYw2E9hPcx3wg23FmAuCRI7Mn8OclQMAAg4rlLnRbz/hfdpbf2/qLTH%0aRy4vPLtvNA3t8oHk7Mf8AAc+9KOrj53/C45aJ+Vvxseqa14t0Tw4SuqatZWEmwyCO4nVHZe%0aeVUnJ6HoKx7b4ueDbqaCJPEdirTRecpkk2KF9GZsBW/wBliG9q4P43XV74djtpJdae4tpbF%0a7JLR9Se0nmnc4ExSJVRlUdd21e3cZ4owWOiXtjNd3Wk6lYW2j/YporTxTM5mcsAVVYwZBuz%0a/q1Ux88mknf+vX/gDen9en/BPoLVvGWn6TcaHE3mXK6xMIbaW22uhJXcGJz90juM1Tl+Jeg%0aRG/8A315KlhI8V1LDptzJHCyffDOsZUY69eleU+PjAp+HlxeeGtM02F3jiFvqM7GQIFA8mY%0atCSEXI5O7ryormrrWZdP1PXNO+1jT4Jb7WzPbRTlYpD9mUIhHAbDfdyPoKG7X+f4WEuny/G%0a59AzfEHQoYtLkFzPN/akRms0t7OeZ5UABJCohIwCOoFO074geH9T84RaisUkUxt3iu43t5P%0aMA3FAkgVi2OcAGvCfGpC+B/A5JA/4kF0Of8ArklU9I/5Ctl/2HV/9JRTlpzeVwjql52PpPQ%0adesfE2lQalps/2mynyY5djJuwSDwwB6g9q0K4D4D/APJKdD/3Zf8A0a9d/VSXLJomLurjY/%0aun6n+dYuq+MLHSPEek6JKs0t9qQkaMQoGEaoMln5yAegOD0PStqP7p+p/nXiD21z/wuXxVc%0aa9PIIIdIe5t/sl1JA0cCuNoLRspH3SSM4OefQZt2+5v7lctK6+78XY7/R/irpGsWWl3i299%0abWeoyvBHcTwgRpIG2hHZSQpY5x245xxWxfeLrHTrqS3lg1N5IzgmDSrqVDxnh0jKn8DXiHw%0aT0uW81TTtNurvUobKXR3vvs1vqNxAm83LKHARxjK49j1681r+O/DbXfj2+1EWsl3ai1jtgs%0a2mzykMnVt72NwjD3U5PrVT938f6+9CWt/6/rQ9B0H4qaP4h0uK/t7TWVikLAD+ybiXoxB+a%0aNGU9OzH3weK1JfHPh+3ubu3uNXtbSW08sTrdSCHyy6lkBL4GSAeOo718u6Zp8h8H6PcLpkv%0a2cXfmT6klllIEWU5Z5BabiO3yzN0xgfdHoHxS1ywvPHlrLbWUZNpc6aZNTgyZjuZ5AgB+Uj%0abgg4/h5JGAG7L+vK4d/66tHoXiX43eE/DTW4OoJqYmVznTJYp9m0DhsPwTnj1wa6fUvFWk6%0aPoH9t3l6kOl7FkFxgsCrY24ABJzkcAV4N4o8fXF/d6HqWk3OsXmoWsrRQf2tFarse5tz5TL%0a5KhSOjEN6fWug8d307eM/BJv/EU1xo5tnu1m021WbEkcefPwEkVySSc7MKOmOTS6fP9Lh1+%0aV/xseo6R498N681ulhrun3M1woaKBbhfNbjOPLJ3A47EZFWNS8XaFo10bbUNa06xuAAxhub%0auON8HocMQa8CivdX1qwvPGFhd6/qPieOd7bS3XSfNha03gbsi32BsF8kFTnIx69J8dNevyu%0as6O0//ABL/AOxYLswbF/1v2xF3ZxnpxjOPajt/XZ/k/v0Bb2/re39eWp6XB8QdGvPEen6PZ%0aT/2hLewSXEdzaMssAVCQcsG4OQR060eM/H2leBV086k7A31wIIlQoMersWZQEHGTnjIrxH4%0ak3E0Ov6xJr2kI0+saYkGjxTxpLJA6yBAAVLAMdzNlT3Fdd4y8PWWhv4f0RNMtLu51Kw/s9I%0aEsDKx8r532ubqERgls5HJIJJPFHRPz/z0/D8RJ3+6/wCX+f4HX6l8WvC9nrNhp39q2032xH%0akF3FcRG3iC5+/IWAGSCABk5ro9G1G11WIXNlcw3ls4O2a3kDo2Dg4I4PPFfPVhNeareeM4r%0auwgvYrdYorpRbRvJFDCvyjIvlYYK84aQkjls8V7l4B1Vtc8N2F+0gl+0Q71YRGL5c8ZUu5B%0axjPzHNNaq/8AWtwe9v60L3inxPa+EdK/tC8jmkh82OHbAoLZdgo6kcZPrVW48faNb6reacH%0avLi8syouI7TTrify9wyuTHGw5HvXJftAzWcfg6BZ53W6N1C0FtFcMjzASLv2oGG8gEeuMg8%0ada4XX9R1LRdb1C6TRruzlupZbdNz6jA85jQC2DSrcBJnf5hhck7ScndmpT3/roimtv66s9o%0aTx3o03hO58RwXLT6VAju0gjZGOwkFQrgHORgZxzWTB8X/Dr6lYWdxcHT2vLBNQWW+eOGONG%0a+6jFn++euBnjnNeTeLdO1pvg/fWsVkukaTp+oM8iNb3EDXEXyFWCzOz8yOc5OPlHpzp+LtC%0aHhhvBupzalAL+91aO4l1C7j2xRIIwI1K7x8iLx94Z5ORmq6/NL71/X3E9NPP8H/l+L8j2zS%0afEOla8JTpmp2eoiLHmfZLhJdmemdpOM4P5VoVjeFtXXWLGSQazpmtskm0z6Wu2NeB8pHmSc%0a9+vccVs0MAooopDCiiigAooooAKKKKALdFFFABRRRQAUUUUAQS/8fMH/Av5VPUEv/HzB/wL%0a+VT0AVpv9ef90fzNQXf/AB6zf7jfyqeb/Xn/AHR/M00gEEEZBoAt0VQ8hR0aQD0Erf40eQP%0a78v8A39b/ABoAv1Qg+6//AF0f/wBCNHkD+/L/AN/W/wAaeqhFAAwBQAjfeT6/0NOprfeT6/%0a0NOoAK5Tw54Jn8IaPe2ul6kj3d3eyXj3eoW5l3FzyCqumTgAZBHrjtXV0UAcn4N+Hdj4X0u%0aOC58nVbxLuW9F1LbqCkrnkxg5KcADg9q6W+S6ktJFs5oYLk/ckniMqLz3UMpPH+0Knoo/r+%0avuDzOOHge/1DxhpWvaxq1vdPpkcq29vZWbQLucYLMWlfPGeBjt+PY0UUdLB1uFNX7z/X+gp%0a1NX7z/X+goA4nxh4L1fWvG/hvW9Mu7K1XTEnVzdxvISXXAwild3/fa/j0qHxz4P8AFfizwr%0af6T/a+jP8AaVUbf7Plhzhgfv8AnPjp/dP9a76ilZWsO+vMcZffDSHVNU0rVZNUvrPUbCzFp%0aH9lMLRAFSGO2SNsk5Iz6Yrk/DPwa1LwVD4hFhPa6nLfRNZWbXtw8X2e2YMTnbG2W3t90AA4%0azkZxXr9FN6tvvf8AHcS0SXa34bHC23wqtLnwl4Z0jUrqfzNGZJhJYyGHfIAc/NjcBknkFT3%0ayKybD4Lo2t+LJL+8uv7N1ZY0t/s+pXHnBQpDeaWOH68b94/lXqFFD1bb63/G3+SBaJL0/D/%0ahzgvF/wzGq+EdJ0jTGiE+nGCOK4vGO7yUZSwJVep2L2AyO1Z7/AAcTWLrU4tRkjsdGuZnk+%0axabI7S3LHJWa4nf5nYFmIT7oOOvOfTaKN736htaxz/gfStX0LQk07WLuG/ktnMVvdRk7pIB%0a9wyAgYfHBxnoOSc1vL95/r/QU6mr95/r/QU276sSVtjlPGPhWTW7y1ntdG0m5uYZI50vry4%0akikikQnYSsaZkVdxO0uoyfxrnL34P381pqQ/t+O8fVJWuNQtbuzxbXLg5jA8t1ljC4HR26d%0aOoPqFFTsVc5OTwZJrHiPw/r+pSrBeaXFKn2G3fzYNzjG5XKq3T1Hp6ZOddfDe/+3+K7iy1m%0a3gHiAKkyz2LSmJBGU+UiVcn5s5I/Cu9optX/H8dxLTby/DY4PUPhveJ4Ot9H0nWGsZ7XTza%0aRXCxBXkbgnfJyyoSAcJgg9Sw4rlF/Z6iNrdxtLZB1LrbM0HmFlMcKpvY4KkGJ+m7/WE+oPs%0a9FO+vN1Dokcz8OvC8/hDwvFp1z9nEwmmlKWpJjQPIzBVJAyACB0FQ+KfDWv8AiXTdS00a1p%0a9pYXiNF8umu0qIeMbvPAJx32/hXWUUnrv/AF/VgWmxS0TSodC0ex023Z2gtIEgRnOWKqoAJ%0a9+Ku0UU27u7ElZWQUUUUhhRRRQAUUUUAFFFFABRRRQAUUUUAFFFFABTW+8n1/oadTW+8n1/%0aoaAKGv6eNR05oxp9pqUqsrxQ3r7I9wP3twRypHJBC5z6da4S2+FOoSLpkg1OHQDpKTDS7TT%0aY/tCWzOTlnknyZuD02pjtjrXplFIDz+z+Hd6fC2veHLme0t7fUC0g1Gw3iSSRwN5eGQsBkg%0a52vgg8BKu618Olv7bwrDZ3ws10CWOSIPB5gk2KFAPzLjpXZ0U/+B+Gwf8AB/Hc87vPhrqcl%0ar4xuRqltcazr9ulvvFu0EESqmzGN7tyD1yfpVzxF8O5tY8OeHdCivo4dN0+W3N1GYzm4jiA%0awoOfl6Zxg9uRjnuKKFpt5fhsG/4/icE3w/1CfUfHUn26C1i8QRxRQSopkeILGUcsp2jPJxg%0a1lv8AADR7iTUFmu5BbXCQxRpFaweZEkcYTAkkRyCcZym38a9RopW/yHc818H/AAZXwX4gud%0aUstURyYJYYEayVWQuVILlGAfG3oFXr2rX+H3gq88CeGryFp4tU1i6uJLuaWRzGksjdMttYg%0aYAycHkmuzoqrv8Ar7xf1+hw/hnwhq0Hj/WPE+q/Y7c3drHaxWtnM820LjJZ2RO6joO/tzza%0afCLWLw3mm313ZLoV5rcuq3Kwu7SyodvlxYKgDkHccntivXKKW1vL/O/56g9b/wBdLfkcVoX%0ahTVR8QL3xNqa2VqJLBLGG1s53m4D7izMyJjoMAA9fbns5Puj6j+dOpsn3R9R/OjpYOtxWGV%0aI9RXnnw/8ABPirwd4Zg0savo8Yjkkfb9gln+8xP3/Ojz1/uj8eteiUUbO4HnGl/DvWbe38e%0aC8u7Ge48QIVgkgV40U+Wy5ZTuKjLDoWqfQfhDYWVtBNfT3kl+dOgsbiO0vpYIG8tAvHl7GI%0aP+1n6CvQKKX9fmv1D+vy/wAjzbw98NbvT9dkuzbabpdjFpLaXbWMU0l8mGkLszmRUJGT93v%0ak8is7W/gre61rz3l3qq6pCZoAn28AmOBY5A6hFUJ95lIACjg9+T61RT3/AK/ruGx5Z4V+Dc%0anhPxnpupW8lk1laxMHkSMxzSOYEixtAIxlGfO7q547n0bVYdSmhQabd2tpKG+Zru2adSPQB%0aZEwffJ+lXaKbd1YSVjlPDfgmfSvFOreIdQ1FL7UL+OOHbb25gijRAOApdyScA5zXV0UUvIY%0aUUUUAFFFFABRRRQAUUUUANX7z/X+grmY/Cly3xIm8RzzRNarpy2VvCud6kvudj2+mPXtjnp%0al+8/1/oKdR1uHSx5drHwo1PUPDnjG3OoW1zq+u3ccyzyK0caRoylUIG4jADDv2rW8b/C4eN%0a7mSafUfIxp5soE8jeIWZwzyfeGSQoXHFd3RStpb+trfkO+t/63v+h5Tqv7PekXrrcW16be7%0aXYFV7C2NvhXDYMaRoTnGM7txHBJHFab/Biwu/C3h/R7nVL+N9GZpIbuxZYHLsc7uQ2MHpg8%0aeteh0UxHIeFPhhpXhW/vr/7RfavqN4nlS3mqz+fIY8AbM4AxwOo7elYtz8BtEZbuCy1XXNI%0a066JaXTbG+22zEgA5RlOc47k/lgV6TRQGxU0nS7bRNNtrCzj8q0toxFEm4ttUDAGTyasx/d%0aP1P86dTY/un6n+dNu+rElbRHEXHwyi1fxZr2qavcveWeoW8VtFbQyyQGONQd6MUYFlJwcZw%0acnI4Fczf/CLXbl21SO+sYtVNvNp0VgpZbO3s2jaNERthYsudxJAySRx1r1+ipt0/rr/AJsq%0a+t/6/rRfcc5YeAdFi0yC2v8ATbLVLgRRJPdXdskklwyLtDuWBJPXGScZrC+HHwrs/CmkXEO%0ap6dpV1fSTzETxwK58l+PLLMoOMEgjpg16BRVX1b7kpWSXYitbSCxto7e2hjt7eJQscUShUQ%0aDoABwBXJ/Dvwde+EpfETXksEg1HU5byLyGY7UboGyBg/TP1rsaKXW4+ljI8Q+FrDxHYX9vP%0aCkct3avaNdRovmrG3YNjOM4OOnFcpD8M9WksfDen3niKJ7DRJopYxaWTQTS7FKqrP5zADBw%0acLXoVFC0d1/Vgeqs/wCrhRRRQAUUUUAFFFFABRRRQAUUUUAFNb7yfX+hp1Nb7yfX+hoAoa8%0a2rDTnGipZvfEgKb53WJB3YhQS304+ormbX4U6dJo+p2+rXE2q6lqbLJd6m2I5S6/cMYGRGE%0a/hAyB7jiu3ooA4i58G6x4k0C68P+I9RS4sSUKajYERXMwUhgJI2RlByM7lbnA4HNc6vwi1Z%0a77V7OS/i/sLVb1Li7ke5lkuZYUAIj2kBQWYcsDwMAccV6zRR1v/AF/WiDpY4/T/AAxqXhyL%0aV7DT4rK+0W5LS21pcTvbtA0h/ex7lRvk5LAgZBJGMcjnYPgzPqEOmfb9Xk0iPSw/9n2WhMy%0aralmJJM0u55CRtycL0OBzXqVFAeR51Y+ANc0vQPE+nR3Wn3F5q0bv/amJIXlmcEMZI/mVeD%0awUIH+zWBpXwL1HSXM41sTGOW1lW0iBgSYQJhEaT5mUBsnIBzjOAcbfZKKA3Vjzr4b/AArn8%0aEy2d5LqObv7PLDeW8JZoZS0pdCpbGNu5h05yenOfQ5P9W30NOpsn+rb6GncOtx1cbY/CnRb%0aHwpqvh4tc3NhqMzzymdlLo7Y5UhQBgqCMg8+tdlRU2uO5x9n8MdPtJ/DczX+oXMmgK6WjTP%0aGdysMYfCDIAAAxj3zUdl8JtD08eJhbm4j/t8Mtzhl/dBt2RH8vyj5iec9q7Sim9d/6vuJab%0af1bY4m7+FNjNpWj2NtrGs6Z/ZcLW8VxYXYhldGKkhyFweVB4AqFPhJpmmeFtc0+xMt3qOpR%0ayF7/U5TJJJKVcIzsB23noO+eTXeUUPW9+oLS3kefeCfh7qGj6xaahq9xbSNp+lQ6XZxWrMy%0aqAo8x2JUclhx7VyuifBjxFpfh/V7D7bpyTXNl/Z8MqSSMPLad5JGYFBg7W2gDP1Fe10UPV3%0af9a3Babf10PPfDPw7v/DOtalrLz22q3ywR2OmQOzQRQ2ygYViFchuOoB6Z/iOHeG/h5e2dj%0a4mbUDpj3mtXxuzDJC13bxLuBVSrbN5HPPHOD2xXoFFO/8AXzv+YHlPj34T6z4nnlaDVo7zd%0aprWYl1Eqj7zMjjiKILtAU9s5q54W+FMmj+Kb28v4NEn0u505LNrWzsvJRnDhiWiJZT0+9nn%0ajgV6VRSWgPU5a/8Ahx4fktJFsvD+g29ycbJLjSo5UHPOVG0njP8AEKreEfh4PDfiG/1ma5t%0a5bi4gS1jt7G0+y28ES4O1U3t1Iz19a7KihaahuNb7yfX+hrn/AB/oF94p8LXek2E8Ns92Vi%0allmz8sRYb8YBy2MgDpz1roG+8n1/oadSavuNO2x5prfwhXVXm0u1aDSvDcoSaeK3d2mvJkX%0aau8HCoowpO3liMnB5EngrwN4k0bTLiw1O+tGsl0xLG2tbeV5E8wbsynci7T8wGBn36CvR6K%0ab1TT6/8AB/zBaNNdP+B/keWaR8Mdf0mTwZJb32mwz6LaT287yRyTKxk6bVBQkfVlx6Gt/wA%0aGeD9W0Pxb4m1fU7qzuhqn2fyzaRvHjy1IOUYtt6j+Jvw6V2lFO+t/X8SbaW9PwCvOPDngS+%0a0u28SeFZxPH4evneez1C1ljV40k+/CQckEdjtIIJ5BwK9HoqbFXOdj8CaZH4I/4RXEraZ9m%0aNtuJHmYP8WcY3Z5zjr2rmPEfgG9vdJ8OeELNbibQLaVJLzULuWMuYozlYQFwSTwM7cAAcnm%0avSaKq+t/T8NhdLf1qHSiiikA2P7p+p/nTqbH90/U/wA6dQBl6r4ctNYmSW4lv42VdoFrqFx%0abrj3WN1BPuRmuO0L4UDT/ABb4i1C5u7s2N8Yfswg1W7WYbVIbzWDgtz0yzYHpXotFC0dweq%0ascP49+H82v+Dxo2lTlXF1Hcb9Ru5puFbJG9t7fQdKzh8LtQOmeOHnv4LvWPEO5ElKtHFHGA%0aRGp6kYB569B1r0mik1dNd/+B/kh3tby/wCD/mZnhjTJdF8N6Vp87I81raxQO0ZJUsqgHGQO%0aOPStFfvP9f6CnU1fvP8AX+gqm7ttkpWVkcH43+H2oeL/ABVpV/b3y6NFYLkX9tLI12cn5o1%0aTIjRSCcsdxOAMYGDiz/BW91HTbTQbvWYo/D1jGz26WUDRzSXLbsSSlnbJUndwQCSeAAK9Yo%0aqbW0KvfU8+vvAOt+I7PRX1jUNPGpachAmijuifM6GRXjnhwSoXI28HODg1k2/wRvIpNVMuv%0aR3UWpPunhljvdjcYwdt4C4/3yx969XopiMzw3pU2iaNbWE00U32dfLRoY3RQg4UYeSRuBxk%0asa0V+8/1/oKdTV+8/wBf6Cm3fViStocrr/w30zxP4v03XdRzciwhMcdm6gxl924OfXHPHTp%0a6cul8D+b8RofFf23Hl2Js/snldeSd2/d79MfjXVUUlpa3S/47jeu/9WOQ8V+FJtV1a0u7LS%0aNIe5hlinXUbueVJI5EJAJjjUeaFUnAaQDJ7Vztz8HtQXT7uKPXY9QN7O99e2moWm23ubjIK%0asGiZZIgCBxuYex6H1Gihabf1/Wn3IHrucDr/wAN5PGHiTTNU1RdOgit7Z0mgitY7iR5SCBm%0aSVPmRQcgFRg9ueOc0D4Nar4bN5PHPpd7ctpr6bAqRmzXDM2ZJCiNufbs5xzyCeNx9hopWVr%0aev4/8OO/X+tDy+2+E96svg6Oa6t2tdJ064srsxswdjLHtzHlSDjJ5OPp2rQPwvtdDtNKXSb%0aNtVuNPDCCTVtYuEWElcblRVdM88gKor0Cim/evcS0Oa+HHhSXwT4N07R550uJ4FYySRghdz%0aMWIGecAtjPGcdB0rpaKKbd3diSsFFFFIYUUUUAFFFFABRRRQAUUUUAFFFFABRRRQAUUUUAF%0aNj/1a/QU6mx/6tfoKAOV034b6ZYeONT8UyZu9Su9oiMqjFsAgU7fc469cceuXeFPA3/CMeI%0avEmq/bftP9sTrN5XlbPJxu4zuO773oOldVRQtNvQHrc4DVvAl7e6vdzaZZaRoBnt5bRtShe%0aSaZonYscQBY41csclizH61XsvhlqHhy+0iawvrfWLTSSUsrXVEMMlsjKVk2zQ8MTx9+NvqD%0ayfR6KFpsD13ONvPB1/4k8WRX+uTwNo+nSCTT9Nt2Zg8g6TTEgZYdlGQPU85f4g8IXq+IYvE%0afh2eC21baIbqC6yIL2HPRyoJVl/hcA+hBFdfRRta3QN7nluv/CXUfFfibVNSn1JNDgu7f7M%0a8dhLLM90u3A80uVUKCB8qAZBPIJzTNR+FGu6ncLqEmtWsGo6UETQ4rOForWBVxnzFJZvmxt%0aIycD16D1WihabA9dyO2Mpt4jcKizlB5ixklQ2OcEgEjPtTo/8AVr9BTqbH/q1+goA5bUvAN%0alF4V8Qabo1vFa3WrRS+ZNM7sZJXB+Z3O5iMk+uMnApdE8C2i+DtC0fW7S11GTTo4vvLvQSI%0aMblyAcfUc9xXVUULT8Pw2B6/j+O55zc/DLU9T8Taj4jk1kafq8j+RaiBPOgW1Ax5ciNtLFh%0aknBGCcg8Ve8JeCvEHg3w/aaPZa7pkttbBgjz6TIXOWLHJFyB1J7V3FFC0VkD11ZyOpeGvE1%0a7r9tqMPiW2tobZZEWyFhKYpAwxmQC4G8jseMelYPhf4T6t4TtLaC08RxyLbuXTzYbsISWLc%0axreLGRk9NvPfNemUULTYHqcW/gW9vviRZeJb/UI7i2sbMw21rFEU2SsMOxyTkEE+/Qfw5Nb%0a4heEtd8dGx08R6fZ6Zb38V01ybqR5nRc8CPygAef756V3tFC0t5f53/MN7+f+Vjk9f8Ahvp%0anifxfpuu6jm5FhCY47N1BjL7twc+uOeOnT05dL4H834jQ+K/tuPLsTZ/ZPK68k7t+736Y/G%0auqooWlrdL/AI7g9d/6sch4r8KTarq1pd2WkaQ9zDLFOuo3c8qSRyISATHGo80KpOA0gGT2r%0anbn4Pagun3cUeux6gb2d769tNQtNtvc3GQVYNEyyRAEDjcw9j0PqNFC02/r+tPuQPXc4bWP%0aAtz4v8SWN/rsNk+n2lhLCthHM7hp5flclii/LtwAQAc81zd58I9autR0nXXurKXWNPuYfs9%0akZpVtoLWPdtiWQqzsxOCXZeTngd/XaKXoHr/X9fmedN4E8Ra3oeiaJr+qW93p0OJdTkUs01%0a2yvuSIEqP3Y4yx+Y46DrUcPwyvNMtZLWJbXWLOzuzNo8F7dSwNYqyEMC6q+8AnCqV6c57V6%0aTRQ1e/n/X/Ddhp21Ob+HXhebwZ4M0zR7iVJ7i2RvMeLO0szFjjIBwM46V0lFFU3d3ZKVlYb%0aH90/U/zry3x98KNY8YeLLy+tdUt9P067sYrKcYZpnQShnA4wBgdcnJGCACTXqUf3T9T/ADp%0a1TbW5V9LHmPiL4b61FrDXXhi4tLOM6MmkxNNcSRSW+2QMHUqjbuBjGRU2rfCCXVdTudUbXp%0aTqb3lpeRyy24aNDApAUorKGBLE5GMfnn0iin5it0PNbz4Py6ppt9p91q0FvYTxtstNOsTDE%0ak5k8zzyHkcls8cFeOOnFWPEnwlg1zWtJu451ihilEuoEria7ZIysbkj5dwz/dH3iewFehUU%0af1+n9fLsh3PI7v8AZ20/zjNY6zeWU8MUK2krZlMTpwZHy2GJUBQFCAAdK6DUfAOo6rYWHh1%0a75LLwpaW8cMq2zN9qvQqgbGJGI0OOcFicYyM8d5RQI8//AOFX3OmXuvNoeqWmnWWr28du9r%0aNYGXyVSMxjyyJUxwe4NY+rfAqXU47S2HiFobKLTodMlT7JvkliSQSH5y+FJYcccAAc9/WKK%0aA/r+vuPH5Pgbqup3Ezan4uv7oWLltFkd/MktzuDB5SR8zAjGB2A5HAHZT+Eb7xINLl1+e0S%0aW1ixImnxfO0h4YrO3zojADKoFbtuI69dRR5AeYJ8GrG5vNfOpQWv2W5vI7nT/syAtbBUC42%0asm3HAG0hlI6jgV2/huyn06xitbiW3leFNga1t/Ij2jAACbmxxjocegHStOfpUVr/rW+n+FH%0aSwdbnPfEbw1qHi3RYNNsvsyK1zFLNNcSMpRUdW+VQp3E4PBK/WuH8TfAyXxbdR311DpVlcv%0afo8sFgpiRbXLF/nCAyStkEswAGOMc59jopWQ7nm1/8ADS9l+Hes+GrWLSbeafYsF3BF5Hnh%0aWU7plRMB8DGRkHr8vStPxL4JvtZm8GvBLbqNGu457jzGYblVQCEwpyeO+K7aiqu9/R/cTbp%0a6/iFFFFIYUUUUAFFFFABRRRQAUUUUAW6KKKACiiigAooooAgl/wCPmD/gX8qnqCX/AI+YP+%0aBfyqegCtKGM52qW+UdMeppNkn/ADzb8x/jUw/17/7o/makoAq7JP8Anm35j/GjZJ/zzb8x/%0ajVqigCrsk/55t+Y/wAaNkn/ADzb8x/jVqigCmyvuT5D19R6H3p2yT/nm35j/GppPvxf739D%0aUlAFXZJ/zzb8x/jRsk/55t+Y/wAatUUAVdkn/PNvzH+NGyT/AJ5t+Y/xq1RQBV2Sf882/Mf%0a40bJP+ebfmP8AGrVFAFXZJ/zzb8x/jTVV9z/IevqPQe9XKjj+/L/vf0FAEOyT/nm35j/GjZ%0aJ/zzb8x/jVqigCrsk/55t+Y/xo2Sf882/Mf41aooAq7JP+ebfmP8aNkn/PNvzH+NWqKAKuy%0aT/nm35j/GjZJ/zzb8x/jVqigCrsk/55t+Y/xpqq+5/kPX1HoPerlRx/fl/3v6CgCHZJ/wA8%0a2/Mf40bJP+ebfmP8atUUAVdkn/PNvzH+NGyT/nm35j/GrVFAFXZJ/wA82/Mf40bJP+ebfmP%0a8atUUAVdkn/PNvzH+NGyT/nm35j/GrVFAFXZJ/wA82/Mf40bJP+ebfmP8atUUAVdkn/PNvz%0aH+NGyT/nm35j/GrVFAFXZJ/wA82/Mf40bJP+ebfmP8atUUAVdkn/PNvzH+NGyT/nm35j/Gr%0aVFAFXZJ/wA82/Mf40bJP+ebfmP8atUUAVdkn/PNvzH+NGyT/nm35j/GrVFAFXZJ/wA82/Mf%0a40bJP+ebfmP8atUUAVdkn/PNvzH+NGyT/nm35j/GrVFAFXZJ/wA82/Mf401lfcnyHr6j0Pv%0aVyo5Pvxf739DQBDsk/wCebfmP8aNkn/PNvzH+NWqKAKuyT/nm35j/ABo2Sf8APNvzH+NWqK%0aAKuyT/AJ5t+Y/xo2Sf882/Mf41aooAq7JP+ebfmP8AGjZJ/wA82/Mf41aooAq7JP8Anm35j%0a/GjZJ/zzb8x/jVqigCrsk/55t+Y/wAaNkn/ADzb8x/jVqigCrsk/wCebfmP8abIr7RlCOR3%0aHr9auVHN9wf7y/zFAEOyT/nm35j/ABo2Sf8APNvzH+NWqKAKuyT/AJ5t+Y/xo2Sf882/Mf4%0a1aooAq7JP+ebfmP8AGjZJ/wA82/Mf41aooAq7JP8Anm35j/GjZJ/zzb8x/jVqigCrsk/55t%0a+Y/wAaNkn/ADzb8x/jVqigCrsk/wCebfmP8aNkn/PNvzH+NWqKAKuyT/nm35j/ABo2Sf8AP%0aNvzH+NWqKAKuyT/AJ5t+Y/xo2Sf882/Mf41aooAq7JP+ebfmP8AGjZJ/wA82/Mf41aooApq%0ar7n+Q9fUeg96dsk/55t+Y/xqaP78v+9/QVJQBV2Sf882/Mf40bJP+ebfmP8AGrVFAFXZJ/z%0azb8x/jRsk/wCebfmP8atUUAVdkn/PNvzH+NGyT/nm35j/ABq1RQBV2Sf882/Mf402NX2nCE%0a8nuPX61cqOH7h/3m/maAIdkn/PNvzH+NGyT/nm35j/ABq1RQBV2Sf882/Mf40bJP8Anm35j%0a/GrVFAFXZJ/zzb8x/jRsk/55t+Y/wAatUUAVdkn/PNvzH+NGyT/AJ5t+Y/xq1RQBV2Sf882%0a/Mf40bJP+ebfmP8AGrVFAFXZJ/zzb8x/jRsk/wCebfmP8atUUAVdkn/PNvzH+NGyT/nm35j%0a/ABq1RQBV2Sf882/Mf40bJP8Anm35j/GrVFAFXZJ/zzb8x/jRsk/55t+Y/wAatUUAVdkn/P%0aNvzH+NNZX3J8h6+o9D71cqOT78X+9/Q0AQ7JP+ebfmP8aNkn/PNvzH+NWqKAKuyT/nm35j/%0aGjZJ/zzb8x/jVqigCrsk/55t+Y/xo2Sf882/Mf41aooAq7JP+ebfmP8aNkn/PNvzH+NWqKA%0aKuyT/nm35j/GmyK4jbKEDB7j/GrlRz/6iT/dP8qAIdkn/PNvzH+NGyT/AJ5t+Y/xq1RQBV2%0aSf882/Mf40bJP+ebfmP8AGrVFAFXZJ/zzb8x/jRsk/wCebfmP8atUUAVdkn/PNvzH+NGyT/%0anm35j/ABq1RQBV2Sf882/Mf40bJP8Anm35j/GrVFAFXZJ/zzb8x/jRsk/55t+Y/wAatUUAV%0adkn/PNvzH+NGyT/AJ5t+Y/xq1RQBTZX3J8h6+o9D707ZJ/zzb8x/jU0n34v97+hqSgCrsk/%0a55t+Y/xo2Sf882/Mf41aooAq7JP+ebfmP8aNkn/PNvzH+NWqKAKuyT/nm35j/GjZJ/zzb8x%0a/jVqigCrsk/55t+Y/xo2Sf882/Mf41aooAq7JP+ebfmP8aNkn/PNvzH+NWqKAKcavtOEJ5P%0acev1p2yT/nm35j/GpofuH/AHm/makoAq7JP+ebfmP8aNkn/PNvzH+NWqKAKuyT/nm35j/Gj%0aZJ/zzb8x/jVqigCrsk/55t+Y/xpqq+5/kPX1HoPerlRx/fl/wB7+goAh2Sf882/Mf40bJP+%0aebfmP8atUUAVdkn/ADzb8x/jRsk/55t+Y/xq1RQBV2Sf882/Mf401Vfc/wAh6+o9B71cqOP%0a78v8Avf0FAEOyT/nm35j/ABo2Sf8APNvzH+NWqKAKuyT/AJ5t+Y/xo2Sf882/Mf41aooAq7%0aJP+ebfmP8AGjZJ/wA82/Mf41aooAq7JP8Anm35j/GjZJ/zzb8x/jVqigCrsk/55t+Y/wAaN%0akn/ADzb8x/jVqigCrsk/wCebfmP8aNkn/PNvzH+NWqKAKuyT/nm35j/ABo2Sf8APNvzH+NW%0aqKAKuyT/AJ5t+Y/xo2Sf882/Mf41aooAq7JP+ebfmP8AGjZJ/wA82/Mf41aooAq7JP8Anm3%0a5j/GjZJ/zzb8x/jVqigCrsk/55t+Y/wAaNkn/ADzb8x/jVqigCrsk/wCebfmP8aNkn/PNvz%0aH+NWqKAKuyT/nm35j/ABo2Sf8APNvzH+NWqKAKuyT/AJ5t+Y/xpsauY1whIwO4/wAauVHB/%0aqI/90fyoAh2Sf8APNvzH+NGyT/nm35j/GrVFAFXZJ/zzb8x/jRsk/55t+Y/xq1RQBV2Sf8A%0aPNvzH+NGyT/nm35j/GrVFAFXZJ/zzb8x/jRsk/55t+Y/xq1RQBV2Sf8APNvzH+NNjVzGuEJ%0aGB3H+NXKjg/1Ef+6P5UAQ7JP+ebfmP8aNkn/PNvzH+NWqKAKuyT/nm35j/GjZJ/zzb8x/jV%0aqigCrsk/55t+Y/xo2Sf882/Mf41aooAq7JP+ebfmP8aNkn/PNvzH+NWqKAKuyT/nm35j/Gj%0aZJ/zzb8x/jVqigCrsk/55t+Y/xo2Sf882/Mf41aooAq7JP+ebfmP8aNkn/PNvzH+NWqKAKu%0ayT/nm35j/GjZJ/zzb8x/jVqigCrsk/55t+Y/xo2Sf882/Mf41aooApxq+04Qnk9x6/WnbJP%0a+ebfmP8amh+4f95v5mpKAKuyT/nm35j/GjZJ/zzb8x/jVqigCrsk/55t+Y/xo2Sf882/Mf4%0a1aooAq7JP+ebfmP8aNkn/PNvzH+NWqKAKuyT/nm35j/GjZJ/zzb8x/jVqigCrsk/55t+Y/x%0ao2Sf882/Mf41aooAz51fB/dt+Y/xqK0VzK3yHOOmRV+boar2n/Hy3+7/WgCTZJ/zzb8x/jR%0ask/55t+Y/wAatUUAVdkn/PNvzH+NGyT/AJ5t+Y/xq1RQBV2Sf882/Mf40bJP+ebfmP8AGrV%0aFAFXZJ/zzb8x/jRsk/wCebfmP8atUUAVdkn/PNvzH+NGyT/nm35j/ABq1RQBV2Sf882/Mf4%0a0bJP8Anm35j/GrVFAFXZJ/zzb8x/jRsk/55t+Y/wAatUUAFFFFABRRRQAUUUUAQS/8fMH/A%0aAL+VT1BL/x8wf8AAv5VPQBGP9e/+6P5mi4kMNvLIBkopbH0FA/17/7o/maZff8AHlcf9c2/%0alQAfZ5O9zJn2C/4UfZ5P+fmX8k/+JqeigCD7PJ/z8y/kn/xNOtnaSLLHLBmUn1wSP6VLUFn%0a/AKpv+uj/APoZoAfJ9+L/AHv6GpKjk+/F/vf0NSUAFFFFABRVLVjqH2XGm/ZluGYAyXW4pG%0avdtq4Lnp8u5c/3hWN8NdavPEXgfSdSv5BNeXEZeR1UKCdxHQcDgULW/kB01FFFABUcf35f9%0a7+gqSo4/vy/739BQBJRXLeL7oWlxBt1/UrG5mUrBpumxW8stww5JVZInPcAtkKowSRya4vS%0atY8SRjUrjWtZ1iDT7S8kt5bmyWyl+yhVQgyL9myw+Y5dRgdxgFqFqM9doqrpjK+nWzJeHUE%0aaNSt2ShMwI4bKALz14AFWqHoIKKKKACiiigAqOP78v+9/QVJUcf35f97+goAkorH8QX8+km%0a0vVk/0JJAl1HgfdbgNnGeDj86jsbu41u+v2hunt7GEiCJolQl3HLtlgfp6da2VJuPP0MnUS%0alydTcorB0P7ZdXV752o3EiW1y0SoUiAZQAecJnv2IpNSmvNJks5DqBuHnuViNs0aKjKx/hw%0aNwIHOST05p+y97lvr8/Un2vu81tPkb9FYGv3s1oZDbaiBegKYdPVUYyc9CMFjnnkEAD6E1N%0adXVzd6zHp8M7WipB58skaqzHJwFG4EDuTx6UlSbSdxuqk2rf1/Xc2aKwbDU5bnSZ/td6tlJ%0aaztbzXRCru2ngjd8oJyvYjrjtiKPU7xdD1efzzMsAc2t2UUGRQuQcAYODxkDBxT9jLVf1r/%0awAP6h7Vaef6X/y9Do6K5qC+vLWbRS15Jefbl/eQyIg2jZu3rtUEAH1z1qNNfvJbrUbGBhPf%0aG6aOBSAFhjAXLtjsM9+SeKr2Euj/AKvYj28ba/1dXR1NFYk0t2dRtNLS8dXEDTz3WxN7AEK%0aABjaOT6dBVJdbvTb/AGLzB9u+2my+0lB93G7ft6Z29umfyqVRb2f/AA2uv4FOsluv+H3sdR%0aRXN3GtXGiS6nBPI155NuLmB5FVWOTt2naAPvY7d6lFze6Vfaat1dtdx3e6OQGNQI327gVwA%0accEYOaPYu17+nnpcPbLa3r5a2/U36K5Q6vfroya4bgmEyhjZhF2CIttxnG7djnOce1W5bm/%0a1GXVHtbprZLNjFFGsat5jhQx3ZBOOQOMU3Ra3f8Aw/8ATBVk9lvt57/5HQUVz0OsT61Np0N%0avKbMTWv2uZ0VSwHACruBHUnnHaoF1u9Nv9i8wfbvtpsvtJQfdxu37emdvbpn8qPYS26/8P/%0akxe3ja/T/gX/U6iiuZutbudCk1OCeRrww263EDyKqk5O3a20AY3Y7dzVlJ73S9T06G5u2vI%0a7tWRtyKvlyBd2V2gcHkYOfrS9i7Xv6eelx+2W1vXy1sbtFYGqzXmkG3n+3md5blYxatGgRg%0azYwuBuyAc53HpTtfNzY20k0Oo3InlcRwQBYtpdjgDlM479egNJUr2139Rupa91t6G7RVCSy%0au3igVtSkh8uPEjxxpukbj5juBAHXgDv1rGi167m0ewYyor3N0bb7YqjBUFgHA6Zbbx2yena%0aiNJy+F/wBa/wCQSqqPxL+tP8zqKjk+/F/vf0NZemX0qazeabLc/a/KjSVZGADgHOVbaAPQj%0agcGtST78X+9/Q1EouLsy4yUkSUUUVBYUUyYSNC4iZUlKkIzruAPYkZGR7ZFcO19qvhvxj4e%0a0ubXZdbXUlmFxDdQwo0QSPcJU8tFIG4bcNu69cijrb+v60Dpc7uivKpvFuunwdP44TUXFnH%0adGRdHWCMxNaLL5ZBbbv8AMIBfcGwDxtxXW+KrfUI7O/1SPxLLo1pBbGSOOO3hMasASWkMis%0aWB44UpwPU5pN2V3/Wlx2u+Vf1rY6iiuLHiF9R8HaFquqa9F4S+2QJLK6mFC0jIGCqZgygY3%0aHGC3TkYOdLwDqGqan4XtZ9YU/bCzqJGi8ppow5CSFP4SygMRgdeg6VTVm12JvdJ9zoqK5Xx%0ajrF9Fqmg6Jp1x9iudUmffdhFdooo03vsDAruPAGQQMk4qlomtail94o0O/1QGXTBHPFq1xF%0aGpEEilsuFCplCrjOAOASOuZ/r7v8Ahx/19529FcT4M1m9v/EWo28Grt4j0BLeN49TZIvlnJ%0aIaJXiVUcBQGOBkZwTXbVQBUc33B/vL/MVJUc33B/vL/MUgJKKRshTtAJxwCcVkaVe3k2sah%0ab3TxkQpEypEuAu7cTyeT0HPHToKuMXJN9iJSUWk+psUVyjaxe/aZf8AS8Xq3flppflr80Wc%0aZ6bvu5bdnFbGqw3Cxz3C6m9lFHHlQsaFQRkksWBz24GOlaOk4tJvf/gf5kRqc17Lb+v0NOi%0asKXU7+bwxHfxLDDMbYzuXBIX5c/KvfPuePer9rNc3GkW0sZja4kiRi0nC5IGTgdfXHGfUVL%0apuKu+9hxqKW3a5eorH0LUJ7rRZLi5dXlV5QWVcDCswGB9BVfwvfHUrW2mk1g3dyYg8tspiw%0apPqFUMMfWm6TXM30EqqfL5/odBRXIza3fHSLqRbkpKup/ZlcIuVTeBjBGOh6kVp3s93oRin%0aku3vbRpEjlWZEDpuOAylQoxkjIIP1FU6LWl9f+G/zJ9st7af8Fr9DborGW5utX1C6ht7g2d%0arauI2kjVWkkfGSBuBAAyOxJ9qTULi7tPsNilzunupin2ho13KgBYnHQtgY6Y56VHs3dK+v9%0aMt1Ek3bRG1RXMXOuXWjjVLeST7XNAsb28kigFg52gNtAHDemKtxT3emazZWlxdPexXcb4Z0%0aVSkijJxtA4IJ4OenWqdGVr3/wCDpcn2yva3r5a2NyiuflvbhNWtorbURfSNMVuLVVQrEnOT%0awNy44+8TnNRTaldzjWLhb0Wf2ByqwFFKsAM5fIzhugwRxQqLfX8+9g9qtrf1udLRWLcakk+%0anWd3JqQ0qOaISADZuYkA4G8HOPQDNXNDmurjSraS9TZdMvzgrtPXgkdiRg496h03FXfoVGo%0apNJdrlqP78v+9/QVJUcf35f97+grivibLq2jaU2p6dr17ZMbi3gFskVu8QDyqjH54mbOGJ+%0a9jPbtWfVL+u36mvmdzRXGapfappN7p3h6x1OW+1TUfNmN/qMUTfZoUA3MEjWMMcsoUEdSSS%0aQMVt6Zo+o6ddB5ddutTt2Uh4r2CEMD2KNEiY753Bs8Yx3NwNiivLfhx4r/4SK3tJdR8cH+1%0anuZUOkB7NNwWVgq7PK8zlQDwc9816lR0TDq1/X9aBRRRQAVHD9w/7zfzNSVHD9w/7zfzNAE%0alFcV8Ttd1ixs7DS/DciR6/qUrCBpEDBI41LyMQQR2VeR/HRN8Qi3gDTtbtLdZr/UDDbQWzk%0aqouXYIVY9QFbdn2U0LVX/r+r6eof1/X5na0Vz+n6NrFlLFc3fiSa8IJae3e1hS3xzkIFUOu%0aOMFnbpzmsnw/cav47sRrKaxcaJptwzfYrayhhMjRAkB5WlR8lsZAUAAHnceaAO2oqCxjuIb%0aSJLqdLm4UYeVI/LDe+3Jx+f5dK8x1vxtrVp4Z+Il3De7LjSb0Q2T+Uh8pdsZxgrhvvH72et%0aHW39dP8xpX/r1/yPVaK4XX7jWvBOkNrv8AbNzrdlbKHvLK9ggDGPK7miaJI9rKMnDbgenHW%0arV1rOoeJPE9xo2k3n9mWljDFNeX0cayTM0mSkcYcFB8oyWIbqAAOtHkSndXOworhvGt/deD%0avCks9z4kuhN5yx2s+y1ikkdhhY5HeMxhc5JYKuFHfHPB+KPEnii1h0kRa9dX6NPbr9u0wMY%0aLkk8lTHYsvJyNokfp9xulBR7rRXlnh/xtrH/CDare6xePaNDczQwaj9kluJE2Mc+dClvHsU%0aBcFiqk5OQpxW7bv4i8SayIzd3mh2NpaqlxNaQxbLi6OCfK8+JmaMDPzYAJPGcGn/X4XJ/r9%0aDtqK4Kx1138JXtp4g1i50bUYJpYTqd9F9kXIlfyWVyqRyZVVJCnBGc9ai1XxNHEbL7d4h1n%0aTLmVIoimkaUZ7SaYrn91I9q+/POMMeB060hnoVFcDL4ln03w9qktnd6/q98EUQnUdGki8ks%0adu8BLaPcFzuYAMcLxXGn4nNNdeHtLtroWllbh7lr3WtUe0N9GigR75dhILlvM8sg5XZnAbF%0aHWwdLnuFFeXeA/iDcal4UkNxrGgQyW8Dst1cap9okjAk2p56bU4wQC+/JODjmsPw/8Rrs6i%0arf8JjoszagrXFzaSodtm6DZ5cDNctkuw4AyMfMAAQGTdvuuNK/5HttRyffi/wB7+hrzn4c6%0a1q2u6tbmXX7jUIINMgnvoLiKBcXEyh0VNkSsFC5OSTncB2NejSffi/3v6GqasSnckoqG8cR%0a2sjF5U4+9Cm9x7hcHP5GuHvLy+1VYXt7rUhFHOu0y2IkIIOC/yRgYBB4yc+2OdqVJ1OtkY1%0aaqp9LnfUVzGkay88lyks+pmeFSGjktQUyRkEFYg30yB16GsttZ1d7sQRT3ZKfNKfKZto7Aj%0a7KCCeoOCODWiw0m2r7GbxMUk7Hd0Vzek3qxSym4iubdDGcySzXTqAOSSZEVV475qF7q5aOK%0aFry4jVCZIFiA+1zjou5CCAvXlhzxnFR7F3tcv2ytex1VFcxpN1qUV7HHqF5IJBE+62kWMGV%0a+o8shQCAOvOc9QKrS6u9qkbLqV39kVJZGURp56FSg2MXB5BY8nHbk9S/YO9kxe3VrtHYVHP%0a8A6iT/AHT/ACrk9E12S6v7e3n1G5kmlkbakb2rptGSA2zLdByeOa6yf/USf7p/lWdSm6Tsz%0aSnUVVXRJRTZJFijZ3O1FBYn0ArivDsuteONOTW/7Zn0Syuhvs7OzhhY+Xk7XlaRHLMwwcLt%0aAHHJ5rI1O3org9VvNYvPiJp+hJrU+n27aQ93K1jBDl5VlVcjzUkwME8Z9Oat6frepaR4im8%0aP6ncjUGeze9stQ8pY3dVbDJIq/KWXch3KFBB6DHKbsr+v4X/yH1t6fj/w52NFeW/B3x/q2t%0a2kFj4klWXULuA3tjdBFRbiHOGXCgDchHI9CD71UtfiHqkPgPwdq99qccLXmsi2vrmVI0Qwb%0a5QQeAFGEXkYPHWqas7en4uxP9fhc9dorz/XviNZXHiHwtZaDr1hefa7/wAq7itJ4pmaLy3P%0aOMlRkDkYrNi+IGrz6z4k0KxdL7XP7Ra30+F0UJawCNC00hA+4pbvksSAPZb/AI/hb/P8xvT%0a8Pxv/AJfkepUVxs9/qmj+LPCOjyalJex3Nvdm7llijVp3RUKnCqNuCx4XHvnrVq51m8j+JV%0ajpSzYsJNLmuXh2rzIssahs4z0Y8ZxzR2+f4B0bOooryr4UfEHV9TuhZeI5lmOovPJpd0EVA%0a4jdkeEhQBuXbuHqCeeK6n4ba5e6/ol7cX8/nyx6jdQK2xVwiSlVHAHQDr1oWv3X/JfqD0dv%0aO35/5HWUUUUARyffi/3v6GpKjk+/F/vf0NNu2nS2la1jjluAp8tJpDGjHsCwViB74P0oAmo%0arkvAOs6pqs3iOHVbiG5msdSa1ja3h8pAgijOApLHqxPLE8+mAM231u+Xxjptrp/iJfESSSS%0ax6pZxxwmOyAUkMDGN0eHG0LIzEgnqQTQtWl3Da/kd/RXMeO9bvNLtdMs9OkWC+1S9SyjuGQ%0aOIAQzNIFPBIVTgHjOM5HFc5qvjXUvAt34ksr25k1r7LpqalYz3EaI5y3lmN/LVVI37TkAHD%0aHrgGl/X3W/zHboelUVwcV/rfhfxH4cttT1aTV7fV1eCYSQRRiC4VN4MZRVO04YYbcehz1rv%0aKom9wooopDCiiigCOH7h/3m/makqOH7h/3m/ma5D4neLLvw/ok1to7Kdcmgkmiyu4QRIu6S%0aZh0wAMDPBZlHrSbsrjSu7HZ0Vk+G7qfVPCul3M8zfabmyikeZVUHeyAlgMY6nPTHtXKavHr%0aVl4m0PSLDxTqdzc3MhuLpZ4LQpHap94nbACCzFVHPc+lW1aXK/6/qxKd48x6DRXnl1quveI%0aZfFV1pmqvpsOjSNbWttHBG4uJY0DuZS6lsEsFAUrgDPNGneLL/x3qWk2mn3smi20mlR6pdT%0aQRxvKWkJVYl8xWUAEMSdpJwMY5qVrt/W7/Qb0/r0/zPQ6jj+/L/vf0Fc58Pdeu9d0W4TUCJ%0aNQ0+8msLiVU2CVo2xvC9twIOBxknFdHH9+X/e/oKAJKK5/xdew2MEEl14mTwzbEkGXMCvK2%0aOFDTKy4xuJAXJ45GCCeBL7VdR8K2U+tRmPUGDBy0XlM6hiEcp/CWUKxHGCeg6ULW4PSx0FF%0aFFABUcf35f8Ae/oKkqOP78v+9/QUASUVheIdOv7gyXMXiObRLOGAk+TBCQGGSXkaVW+UDHA%0a29DknIxyVj411jxDoXg2COVNO1LXWkaa7iiB8uGIFmaNXyNzgLjcCBuPBxQtf69f8g2PSqK%0a4nQtR1i61HxN4bl1NmvrHynttUlt0L+VKpI3IoVCylWGcAHgkdQXaRqeoaf8QJPD8urSa1b%0aHT/ALY73McSzWzhwoUmJUG1gScFc/L1xR/X9fcG1/L/AIH+Z2lFcBYa3fHxlp1pYeIl8SW7%0amZdUhjjhMdlhcqQ0YBjO8FQkjMSCepUmu9dxGjO3CqMmley5g62HUV5V/wAJbr0PhCz8bSa%0ai7Wc10kkmjrBF5S2jyeWAG2+Z5gBD7t2M5G3FbHxA1m80o3Dad4kEWtKiPZaDHFDIbnkcMh%0aBlbcQwLIyhRz/CSX6/1s/1/MDvaKZCztEhkXZIVBZc5we4rjbu91bxL4u1fSdP1aXRbbSre%0aLdLBDFI8s8oLLnzFYbFUDgAEknnih6aAtVc7WiuC0/xdret/DaPWbRLO21BIZvtT3Csyo8W%0a5W2xjG7cyHqw25z82MHpfB9/PqvhPRr26k825uLOGWV8AbmZAScDgcntT7i/r7jYorzn4ne%0aJf+EduIoYPFU2marerttbJ3tI7ePHBlkeWJiqDkn5ssRhRnpky+M7LTbvTLa5+JUl4lyPKl%0avbKXTikc3GMxiFmVDz82SF4yec0lqN6HrlFRwI0cEaNK0zKoBlcDc5x1OABk+wArhtWvNZ8%0aJ6x4dWTX31aXU74Ws1jNbwxpsILNJEEUOoTA+8z8Hk5waOtg6XO9orzO98Qa/qekeJvENhq%0abWkGk3E0drpywRtHOsB/eGUspfL4YDay4GOprqZ1u/EdhY6na67caJYSWgnKwQwliWAYM7y%0aq4wB2AHfJ9FfS/wDWquh9bHR0Vwmg+JrjXPh5Y6rqeuQaFvkdJdSVY0EiLIyKy+buRS+FPI%0aYckADII0vh9qeo6npt899O17bx3kiWN+8SxtdW/BWQhQFPJIDKAGABA5ya6tf1/WpP9fn/A%0aJHU0VzHjvW7zS7XTLPTpFgvtUvUso7hkDiAEMzSBTwSFU4B4zjORxVLSNU1Sw8W6r4cu9Ra%0a/IsUv7K+u4UDICSjK4jCKwDAEYCnBIz3qf8Ag/hqx/1+h2lFcJ4Y1u7uvF32ax14+KdDa0Z%0a57srCy204YBUEkKqp3KSShyw2g8A893T6XDrYKK4Cw1u+PjLTrSw8RL4kt3My6pDHHCY7LC%0a5UhowDGd4KhJGYkE9SpNXNZ1vW7Hx34dsWktYdKvpp0MMSl5ZAkJYMznAXkj5VHG37xzgC1%0at5g9L+R2dRwf6iP/dH8qkqOD/UR/wC6P5UASUV5/wCNdbv9MvmXSfES3Gt+dEIPDsccLCSM%0asN29cGUfLuYvuVQB0He78Ttb1zQNCkvdLktbaCJ4VeWRDJKxeZUKqpwq8Nncd3ptHWha29b%0afl/mD0OzooooAKKKKACiiigAqOD/UR/7o/lUlRwf6iP8A3R/KgCSivLtY+ImpTeIL06LdJL%0aY29zFpMdsLJbgz3TBmZgWmh2gbQud5GQ3HQ1S0jxz4yM9z9uVIrf8AtUWAmk0uJ1iZiihTs%0avQcAt2D4z949ALWwPQ9eorzjV/EN3/wnGr6fLrOtWNpbW9u8MekaWLobnD7i5+zykdBjJHe%0aubt/G2qHwfp+qDxDr8mpSy26vHNoyJaHdMqMPM+ygY2k4O/r37UR963y/F2B6f15XPa6K4j%0aXNf0ddTuVb4ippEiHY1klzYARMBgjEkTODkcgnrXNeDPGNtqvhvTr3V/iWLPUJU3zW3n6dG%0aFOTxtMO4cY6nNC1B6HrlFeTfEnx/eaBqsUdudQmg8+1nVLUQODHu+YgJMJCj9NrqASpw2Kr%0a2vxG1NrzUtStQuqW2i6an2uG7vVtzJLKxfciwrLG3Cqq/NxnBJJJoWo2ew0VyXjbX9Q0zw5%0aZw2pjtNf1OaKztwhEqxSufmbLKNwRQxyV7DioNT8a2vh7xPHa3XiHSns3j8u4guryGG4tJA%0apIfBI3K/AIxkEgjgnCbsm/wCtr/16iO0oryrwV4/Gq2Phiy/4SPTISLeF7qW5vopbq6lJx5%0aCoW3A9CWPPIAB5I3/HOt3Nh4i0Oyj1LUtOtLmG5klOl2IupWZDFt+XypSB8zcgenNU1Z2A7%0aaivM28Q3VrrWhRW2u+Ibtbq+WCaHVNHFvE0ZRyfnNrHzlR0bPXitrxDrmkxarLFL8QE0KaM%0aBXslubJdhxnJEsbMCc9zS/r+vvA7KivIfCHjG21bREudV+JgsrwzTIYfP05PkWRlQ4aEnlQ%0ap981a+JXjq50VYxZSX93bzJayxmxNu/mKJ0JkQpKJNrglDlCpLKARk7le1g7+R6pRXjtn8R%0atSv9Sa6tHW+TSdMlv72G7ultlfzCGXaIRMrBEXgFiR5gy2c16ro13cahpVpc3VulpcTRrI8%0aCSGQJkZxuKrn8hVW0/r+ujFfUsw/cP+838zUlRw/cP+838zXF+KPEmkW91dk+P10ieBCGsI%0abiyyrAdNskbPk+maluyuUlc7iivLvDHi3T7nR9KvNS+JkaXkkMUtxatc6eihyAWQjytwGcj%0aGc+9enxyLLGrowdGAZWU5BHYg1TViU7jqKKKQwooooAKKKKACiiigCGboar2n/Hy3+7/WrE%0a3Q1XtP+Plv93+tAF6is/XLoWenvJ9qFowPyt5iJuP90FwRk/T8q5uDWrq50yOSDU57q7n3t%0aFFB9n/d4XIWQsoHGMnGOp69a3hRlOPMjCdVQlys7SiuVTULxtOv9s11LcR2okIuXhRMMDh0%0aaIHn5TgE/wCNVX1rUmXTo45SC1rucW7GUkjbyx8lyDzyMfjVrDyfVf0rkfWIpXsztKK5K11%0ajUBpeuPJNJ51sgMRkTDKdmehjTP4r+dVW8SXNrJOJL9ggChftHl5yJyjYIVeqqTjtzTWGm2%0a0mJ4mCSbW/6Hb0VjaRrC6ldyt9ttSCP3dpDKkjgD+JiCefYcD1NV7VdW1vT7O6F/BaEkShY%0a7dv++T+8wR+FZeyafvO39ehr7VNe6r/ANep0NFYf9r3On311FfSQSww2v2nfDEyHqRjBZvS%0asq01+5YQwRzM/nLJLJP5ElyC2V+WPy2ztXdtz0yvFUqEpK6JdeMd/wCtv8zsaK5rTL7UYJL%0ae18xr6MRvumuLKa3IIHy7nbIOemcZ4rPj12/l06aZbi2tjLdA+ZLd7SinBCjzI8AbOcjPXp%0aniqWHk3ZNE/WIpXaZ2tFcrperXD6vbRyara3MDhgyJdxSEnHy4AjQ/lmuqrKpTdN2ZrTqKo%0am0FFFFZGoUUUUAFFFFAEEv/AB8wf8C/lU9QS/8AHzB/wL+VT0ARj/Xv/uj+Zpl9/wAeVx/1%0azb+VPH+vf/dH8zSzR+dDJGTjepXP1oAfRUG65H/LKI+/mEf+y0b7n/nlF/39P/xNAE9QWf8%0aAqm/66P8A+hmjfc/88ov+/p/+Jp8EZij2kgkkscepJP8AWgAk+/F/vf0NSVHJ9+L/AHv6Gp%0aKACiiigBGGVI9q5n4aaNeeH/Aukadfw/Z7yCIrJHuDbTuJ6gkHr2NdPRQtL+YBRRRQAVHH9%0a+X/AHv6CpKjj+/L/vf0FAHB+PksrTxToDzLfQxXnnrdNpIuFnn2IDGG+z/vGCknHYZNYfi+%0a70ix8OX0+mzeLre+RQYpZ21dUVtw+8ZPkA/3uK9cooWn9egPUhtLO30+3WC1gjtoFztihQI%0aoycnAHHUk/jU1FFABRRRQAUUUUAFRx/fl/wB7+gqSo4/vy/739BQBDqdsL3TrqDYJPMiZQp%0a7kjioPDti2m6HZWzxiKSOIB0BBw3U9PfNaNFXzvl5Om5DgnJT6mXo1nNZy6m0qbRNdNLHyD%0auUqoB9uhrN0q3uorn7bf6Xd3GosSPM8yEpEp/hQeZwMd8ZPPrXTUVftXrpuQ6SdtdjG1xbq%0a/s7qwTTzL5y7EmaRPKGf4jzuBHXhT0FRyWV3p2q295FE9+hthbTBGVXyDkP8xAOec8963aK%0aFUaXKloDpqTu3r/TMXTLa60mykka2NxPc3DzyxROuU3dACxAOMAHkd8VWOk3c1jrsggED3y%0anyrXcMg7SuWIO3LHk4PpzXR0Ue1d27av8AS3+QeyVkr7f8H/NnN2+iTaN/Z91YWqrKI0hvL%0aeMqvmDH3vQsp798moR4cuhcajewgW2oC6aW2kJBEibR8jY/hOD16da6qir9vPfr/wAG/wDX%0akR9XhZLp/wAC39eepgOl9/aNnqgsH3mBree1EiF053Aqd20jI9QearNol6sC3qxq179t+2m%0a33j7uNuzd0zt79M11FFJVmtl/w2un4jdFPd/8P3Obu9EuNbbUp5ozZtPbC2hjkYEjB3bm2k%0ajrjoTwKmW2vNWu9Oe7tWs0tMyPudW8xypUBdpPAyTk4PTit6il7Z2tb08tLD9ir3v6+et/0%0aOUTSL99FXQ3tysSyBTeB12GINuyBndu7Yxj3q2bW/0+41SO3tftMd4/mxSh1URsVCnfkg4G%0aM8A10FFN1m73W/5/0gVFK1ntt+P+ZzsWj3GiXGnTW0RvUhtfskqIVV8cEMNxA6jpnvULaJe%0arAt6sate/bftpt94+7jbs3dM7e/TNdRRR7eW/X/h/82L2EbW6f8C36HNXuh3OuHUp5YzZvN%0abrbwRyMCRg7sttJHJx0J4FWY4LzVdQ0+e5tWsltAzsGdW8yQrtwu0ngc8nB6cVuUUvbSta3%0ap5aWH7FXvf189bnMabBdpdm+v8AS7u41AlgrCSExwqTwqAyccYycZPNadzZz3XiCzlZP9Et%0aondWyOZW4xjrwufzrUopOq2728hqkkrX8zA1+1ur+9ige2uLjSxGWkS2kRDI+cbW3Mp2gc8%0adc+1XmPm6aUbSWMQwn2OTyuVHTA3FcexI6fTOjRS9polbYfs/ecr7mLoek/Zru5vDax2IkC%0axxW0YUbEBJydvGSSTxntzWtJ9+L/e/oakqOT78X+9/Q1M5ObuyoRUFZElFFFQWUdclvoNGv%0apNMgW51FYXNvC7BQ8mDtBJIGM47iuM8C6XcaJcCe88O6xNrV6At9rN9PaOSepA2zkrGD0VF%0a6AcEivQaKFoweqseVr4R10+DrjwO2nEWb3DRrrCzR+SLVpPMJKbvM8zBKbduM87sVd8RaNq%0aOseLZf7V0HUdZ8PWYi+wWdpPbrbyvgM8kyvMhchsKFI2gAnBzXo9FC0t/XS39feD1/rzuYl%0axreowW1tNH4dvpxKp328c1uJoSDwGBkCEEd1cnpx6Y/hHwVJa+GpbPUhJZfaL2a9Sz068kh%0aForsSIQ8RUkDJyB8uScZwDXZ0UdwOL8SeGbuxu/Dmp6PBNqL6RNIHtZ7ovNNDKu19skrcsv%0aBAZgMAjI4FLoem6paal4g8STac63d+YY4dLM6eYsMQI5YEpvbc7Abtv3QWGSR2dFH9ff/wA%0aMH9fccdo2l6hf+OZ/EM+mvotv9i+xmCeSNprht4YO/lsygKMqPmJ5PAGM9jRRR0sHW4VHN9%0awf7y/zFSVHN9wf7y/zFAElZdlZTRa9qVy6YhmSII2RyVDZ4/EVqUVSk4pruS4qVr9DkzpN+%0aNHm0r7HvleZnF/vXZy24SHnduHTp264qzqVnc3uqt9rsbi90+EL5MUMkYSRupZwzgnBwADx%0a19a6Oit/byve39f0jH2Cta/9av57/wBdaF+kt/ol0iwPFNLA6LDIVyCQQBkEj9am0yF7fTb%0aSKQbZEiRWGc4IABqzRWPNpy+dzVR15vKxlaBZ3FhpTxSRhJvNldVZuOXYjJGfUVA9tdanrN%0ahctZtZLa7i0kjoWfIxtXaTx35x9K3KKr2j5nK2rJ9muVRvp/wbnIzaJfDSLqNbYvK2p/aVQ%0aOuWTeDnJOOg6E1qXkF3rpigktWsrRJFklMzKXk2nIVQpIxkDJJ/CtqirdZvW2v/AA3+RPsV%0atfT/AILf6mLHbXWj6jeSw27XlpdOJSkbKHjfGD94gEHA75HpSalBeXRsL6O12z2sxb7M0i7%0amQgqefuhuc4zjjrW3RU+0d07a/wBIp01Zq+jOZvNDutXTU7lk+y3E6xpBFIwJURtuG4gkcn%0a0zgVbigu9T1ayu7i1ayS0jfCO6sXdhg42kjAHc889K26KbrSta3/A0sT7FXvf189bmFfwXe%0arzWcZsWtTBOszXDyIQAp5CYJJz05A46+lGuWDX7yxx6VFJcuuyO+kCERg98/eBGTgAenPpu%0a0UlVatZbev8AX6DdNO93v6Gcxk0u2gtoLGS7hSIIvlugIwMYIYj25Ge/4p4e0+XTNLjgm2h%0a9ztsQ5VAWJCj2GcVpUVLm2mu5Sgk0+239fIjj+/L/AL39BXN/EfRrzXvDP2Swh8+4+120uz%0acq/KkyMxySBwATXSR/fl/3v6CpKz6p/wBaNP8AQ0OV8W6JqDazpXiDSI47q905ZYpLKSTy/%0atMMgGVVyMBgVUjPB7kdaxYPDU2qfEXR9eh8M/2BHaJcteT3H2cS3TyKFX/Uu5YjkksR14r0%0aSihaf13B6nn3w2j1nwvoNro994cvw63Mxa6jmtWhVXmZg3+u3YAYZ+XPsa9Booo6B1b/AK7%0a/AKhRRRQAVHD9w/7zfzNSVHD9w/7zfzNAHHS+EZvEXjbUdS1Vbu2s7aCO0042t88DOp+aVy%0aYnDYLbRhv7mcdKxP8AhXOpRW+t6RZk29lDfQ6to11cTGULOMM8b5Yvt3g8nP3yeTxXqFFC0%0a2/rW/5g9d/66floYGn61q1/JDb3Xhu4sS3E801zA0AGOdhR2duemUXI646VzOmaHe+HtD/4%0aRrUvDJ8U6RbsTaTxNbuGj3MVWWOZ0w6jAyu4Eeh4r0Wik1cDlvhj4du/CngfTdMvljjuog7%0aPHE25U3OzBc+oDAHHGRxmuT1vwTrV34Z+IlpDZb7jVr0TWSeag81dsYzkthfun72Oleq0U3%0aq7/wBdP8kNO333/P8AzOH1221nxvpJ0P8Ase40OxuFCXl3fTQs3lZGUiWJ3yzDIyxUAHPJ4%0aqafRtR8M+LbvWdLsW1Sw1GGKK7soZESaN4wQkke8qrLtO0qWBGARnpXZUUeZKVlY4TxlqHi%0aK60KG50vTb2x1iO6VrOyLq/ngAhluCjeWiYLEZc8hf4vlrzjUdBv003SLVG1qCS0uYEltjp%0aepsY9jYeXdDcGFuctmPBOeCDX0FRRsUeYyJcz/DbxRYRPqGqXDWsnlLJpt9DIxZCAq/andn%0a5HRTgenPPOarNF4m1Y6zpXgu38Q6oI5LS+sbuKKWFBH/q5PtGDH5oBAMaMxwcHBWvcaKOt/%0awCuwv6/L/I8u0e70LRfh3qek6W7z6i6yRz2cdk0E5uplOAbcgGNSSAuQFAA5wM1k2/jALrO%0alCdtGtU0Wxjhig1vV1sZBcsm2VjFsd8qBtBYAEMSu4MCPZ6KOt/62sLpY8i0PVJ9R8I69oT%0aa7pvyndaTeH5DqrQ2zvzF5Sjedo+XcVwA4/ukVHqM93aeLPDq3c/iPTGjtLxUmFna3FyVzD%0agCO3jkQJ7lARjrXsNFHVP+trD7/wBdbnlXgS7u9G8E3aNe62l9bWNxKttqGlmGGFgWYMrmB%0adx6HBdup444pjxXqDJ4dC65rd22o5S6h1DSlggINu7nZJ9mTPzAYwx49etew0UpLmVv66oa%0adnc818B2V5ft4Pv00yaxgs9IEE17K8WLpGjj2IoRyxAYFvnC47da9Gk+/F/vf0NSVHJ9+L/%0ae/oauTu7+v4u5CVlYJplt4mkYMVUZIRC5/AAEmuLtdPhjjIkt7aRy7tul0OeVjliRluM8H0%0aruKK0p1fZp26mdSn7S1+hy+g27W8uoRQEW0lyVMTx6dLDGmFwTtYYB/wCBc/pWHNpgTVNRQ%0aQvdbJgDLJD5rE7FJy32eT16ZH0FeiUVtHEuMnK25lLDqUVG+zOS8IItnf6mXQW6LFEx3R+W%0aAPn5x5cf57fxqutnayxuLayt9WuZLxpXnhgSRfLL7iPMcBc7eMZzzXa0UniHzOVt7dewLDp%0aRUb9+nc53RTaWepXzRwLp4lRCLVovKb5N24gY2t1HKk1kQNNqsamSKS7/ANHKs0jMFV5WEg%0a3MDwqoqng9wO4ruaKSr2bdtSnRulG+np/SOR0WHzL8XeZb+2S6kjhm+0SS+WNoAYAsQV5YE%0a9RnrXVT/wCok/3T/KpKjn/1En+6f5VlUqe0dzSnT9mrCzRLPE8bjKOpVh6g1xPhiLW/A+kR%0aaE+i3GtW9oDHaX1nPAoaLJ2CRZHQqyjAO0MCOc54ruaKyNTg9Vs9Ys/iJp+upos+oW66Q9p%0aKtjPDlJWlVsDzXjyMA849OKu6fomo6t4hn8QanbrYstm9nZWHmB3jRm3M8jD5d7bVGFJAA+%0a8c119FJq6t6/jf/MfW/p+B5npfgLU0+F2h2gjWx8UaOpntGLq2yUFvkZlJBV1O1hnGD7VR0%0abwTrsHgjwPZT2Hl3un60t5eRech8qPfKS2Q2D95eASea9aoqr+9zej+4m2iRyfjTQ73Vtb8%0aJ3FpB5sVjqPn3Db1XYnlOueTzyRwMmuW/wCFb6o2q+JNatAum68NSN1pl2WBWeLy0BikCnP%0alsQQQcEHBHv6rRUrTbz/G3+X5lPXfy/C/+f5HC6naa3qVz4Z8SjRpIdQ07zUutINxEZGSVQ%0arGN92wlSoYZZcjOcHirelabqOreNj4gvbB9Jt7exaxgtp5I3mkLOrs7eWzKo+UADcSeSccV%0a19FP+vvJ6WPNdB+H19L8NINLu1/s7W7W5nu7OYOrGCbzneNsrkYIYAj0Yitb4SaNq2ieFHi%0a1u1Wy1Ga8uLmSFHVwN7luCpIxz612lFC0v8A12/yQ3r97f33/wAwooooAjk+/F/vf0NSVHJ%0a9+L/e/oakoA5bwdo19pF74pluIBGLzVHubbLgiRDFGoPGccqRyM8dKz9UstW8Wa54fkfRZd%0aG/su7+1S31xNC5ZQpUxReWzMQ+eSwTgdM8DuaKFpby/QHrfz/U4bxPY67r9tb3kWkrb32ja%0at9otbZ7pG+2wKCpIbohZXOA3QgZPNZ+teCdR8cy+Ir66t20aS701dNsre5dHcbX8wySeWzK%0aAX2gAE8Lk9cV6TRStp/Xkv0HfW5wtvYaz4q1zw9d6ppT6NDpAaeUSTxyefcNGUAj2M3yLlj%0alsHkDHXHdUUVRKVgooopDCiiigCOH7h/3m/ma4nxT8PJ71PEV/Y6xqQ1DUbRofsw+zGNgEI%0aSIF4iyoSegYcknOea7aH7h/wB5v5mpKTV0NOzucZ4Vubzw6PDnhq4E19dPp5nuZZnjBtVjW%0aNQgCIAw3NtHOeCcmrXhvRr1PFfiTWNQgETXMkdtZguG/wBHjXg8Hjc7OcHnpXU0VTd3zPfX%0a8f6sSlZW9PwPPH0rX9AuvFNnp+lHULfWZjc2t2k8aJbySIEcTBmDYUqGBQMSDjrTdP8ACmo%0a+A9Y0q606yk1uyTSY9LuI4HjjmDRkssoEjqpBywI3ZGR1r0WipWm39br9RvXf+tv8jm/Aeg%0aXOg6TctfbVvtQvJr+eONtyxNI2dgPfaMDPqDXQR/fl/wB7+gqSo4/vy/739BTAz9X1S906S%0aP7Po1zqsTqcm0liV0b3EroMe4JPt3rN+Hnh+68N+HTbXaRQSS3E1ytpA26O1WRywiU4GQue%0awxnOOK6aihaXB6hRRRQAVHH9+X/e/oKkqOP78v8Avf0FAHAeMtJ1PXvE4h1DRtR1bwxBEjx%0a2ljPAkdzNkkmcPKhZVwuF5BPJ9Kua9p+p3s/hvXrDR5orjSppFfSppIVlaCRdjbCrmPI4YA%0asAQCMg8V29FC0/r+vT0B6v+v68zzm60rxNFB4o17T7JrbWtUMFva2TSRNJbwx/KXJL+WXwz%0asF3Y+6MnmtLwTpw8Pxy2tr4a1S0mnBkuNR1S5t5HuZQOGldJnckn0XAycAV2lFC0/r+vX1D%0af+v69Dh9QstV8VeIvD1w+iy6Mul3DXEt5czQszqUKmKLy3YlWJBJbbwo4J4HRJ4Zs01GS9E%0at+0zliUfUbhofmBB/dF9gHPA28dsVrUUrJq3r+IeZ5Xb+Eten8G2vgm504x2sNwkcmrrNH5%0aL2ySCQFVDeZvIAXBXHU59ej8cJqmu6RqmhReHWvFvIzDFeSTw/Zk3Dh3y3mAqecKjfdGD6d%0ajRTeqs/62/yGnZ3X9dTDfwpBeWNhDe3eoSzW0CxGa21C4tvMIABZhG6gkkZ5zWHNYav4X8Y%0aatqen6VJrVnqltFlIZ40khniBUB/MZcoykfMCSCDx69xRQ9Xf1/ElKyt/Whx+jeEbrQvhtP%0aou9brUHtrjeUOFaaXexAJ7bnwCa2PB9hPpXhPRrK6j8q5t7OGKVMg7WVACMjg8jtWxRTH/w%0aAH8TkPE2qKmpmJdW8R6cY1CtHpmjNcRMeu7ebWQE4IHDY46ZzXG+Gi9vp1/b3mr+LbdZr26%0acwjw/vWWN5WIZs2TfeByRwOcYHSvYaKlaAU45y2krNaRPI3k7oopUMLMdvyhlYAqenBAx6C%0auB8F6dqOnXqaprXhrV77xHcgJcajNPaNHbqTkxxDz8pGuTwq5PJOelelUVXW4raWPM5fD/i%0aDTtL8T+HbXTPtNvq1xPJa6ks0axQJOTvEilg+UyxG1WzxyOcO8S+G9RuL3S9Hl0vUdV8JWN%0alGht7C4gj+1TD5QJt8qMUVQDtHBJ5zjFelUUlpb+tlZfcPv/W+5gx6re2ul272/hm7jRD5X%0a2BZbZJY0A+UqBJ5e3tjeCPSsrwv4VuGHiKfUIJNLh1e8Fylha3TRyQgKoLNJEww7ldzbGI5%0axk812dFHW/8AX9aAcV4q8IXEWmaXLoqzXl3peoJfpBe3kkrzgKVeMSSs2CVY4ycZHbJNO03%0aTtUufE+peJptNa0lFitjZ6fcTp5jqGLszshdVyxAGCeBk4zx2dFG39d9P0D+v1OLg07Ude8%0ac6drcmky6Hb2FrLBI1zJE0915mMJiJ3GxSu7LNnJ4HU1vWHh230eWa4tJL6adkICXmpXE0f%0ar0kdgvI6gZFa1FHSyA4fULLVfFXiLw9cPosujLpdw1xLeXM0LM6lCpii8t2JViQSW28KOCe%0aBoeI9FvL/wAY+E76CHzLWxkuWuJNyjYGiKrwTk5PHGa6iija33h3+4Kjg/1Ef+6P5VJUcH+%0aoj/3R/KgDi/Hdpq3irR77QItCcNcMFj1OWeI20QByso+bzdwwOAn3uM4+ar3xG0O91zwXca%0afYxm6u2ktyFLKpYLMjMckgdFJrqqKFp96f3W/yB6/13CiiigAooooAKKKKACo4P9RH/uj+V%0aSVHB/qI/wDdH8qAPMdb0ZEuvE1muivcfaLm2fT4f7JFzbuyQoCDvAjVeqklkxlsMDVTwr4a%0a0rRUV/EXgp9P1R7w3sVxp+ni4jiYOCiRvb7nRVAXhwoJ3dea9dooWgPU4PTfD2qat4n8R6s%0aNQ1HQYZpo7WBIYoN0yRLguRLE5wWZtuMZHPcVx40LU4/AuiaS19r8t7I9q/8AZr6av2dALh%0aSd8q2+UwFLfNIDwOx59sooWlvl+Dv+YPW/z/FWOQ8Q67L4gN1oHh9jLeOWt7vUFUmCxGBvy%0a3RpcHhAcgkFsCmWEkHw1hXTp45I/Din/Rb0AutrnrHMeqrnJEh+UA4O3ALdlRQtAep4x4qF%0a1d+NrltIv7vUoERbuG10aOF1guinElwTAyY2oCu5nk6bQcjEOqW/9pXGkzafHcanp2m28MG%0avXFtZiJJlWVJQiRbRl1cMzooyqllPzcV7bRQtLW6f1/Xy7IHrv/X9f1ucBot9b+O/iC+q2s%0ay3WkaLbCG2ljOUkuJgGdgeh2x7V9t5q1r2rKdUmVdZ8T2Gw7DDYaI00II7q5tH3Z9QxHpXa%0a0Udkg7nkniS/wDPh01P7c8TXmdTsv3Oo6N9nhb/AEiP7z/ZI8e3zDn16VuX1pceLPiSzWOo%0aXWnW2iWbW8t3apGSZ5SjGMeYjKcIqk4HG4ciu/oo/r8LA/6++55nrQjHirw7YL4tuNbv4dT%0aV5dNla0LxKIpCXZYolcYGOpxz9K6PxB4mluZrjRNA/wBK1ogJJMFJgsQ38crdNwHIjzuPHA%0aByOpoo3Vn/AFsHW6OJ0u2j+FtrHZGOaXw5t3fa0UyG0cL85kAydjEF944Uls4GCOT8aM+qe%0aMYm0jUbjVLOaGO6NhoYgdzOB+6kmZoWj8raFIMrk5wUB2ivYqKHq7sNlb+v6/rqeHazZ3Gu%0a6dpcWnpc6vdWUTx6/Na2YgDwyOsk0AQqmZiRnYFDYySAWGfZtJ1S01rTre9sJluLSZd0cic%0aAj6dQR0IPIIwat0U76W/r+v66i63/AK/r+uhHD9w/7zfzNct4hS98YSTaHb209npRby9Qv5%0a1MZkQYLQwqcFtw4Mn3QCcFj06mH7h/3m/makpDPPrfxJeeG7PxHavY6pcahHdTtp0Q0+5nh%0aZCoMKq6KUCZ4xuGOeld3aGZrSE3IUXBRfMCfdDY5xyeM+9TUUeoegUUUUAFFFFABRRRQAUU%0aUUAQzdDVe0/4+W/3f61YlGQagtRi6b/d/rQBJqN3BZWcslxMkMeCN0jBRnHTmuPhs/JttMa%0a1Jnv5bYM0B6rmEIpPGFUdct74yeK7mit6dX2atYxnT52nfY4pxHb2OoxXcp0+RLGKHynk2s%0a5VXHDdGUkjoc9jjpUM1xFbaa3lrdQQw2QUzwTSqiXG3IXCsAPfjGTyc9e7orVYjujL6v2Zy%0aVlNY3OmXa3F2hV4Nr+RqUl0+DgH5GHByQBgHk4qlNZTafazSXkDpLJ5bI0Y3Lg3AcoQBneC%0a3bqOnQ13VFJYizbS3E8PeKTexzttevo1ncq9rMtsyvPbHZyNxz5bAZ2tuPGeucdQan0vwvp%0a8Gm2sdxp1rJcLGokZ4VYlsc8455rborN1XbTS5sqSv72pmjR7DTluJ7e3Fo7RFGe0jw2OuQ%0aoHJ/AmuQutPe7u7aFVmaG2YQL/AGhEjZLKWxtTGeFB+b5stzXoNFVTryhdvVkzoxnZLRHnG%0ak6Y0Gr2kDQ23ntGd0IjML4NsB8zAkgZJBOPvZPtVj+xb4nUIraJjtuYl8mKd3EYURtnc0iZ%0a4GBgA+4Fd/RWzxcm72/q5gsJFLlv/VrHHadDe2viOx+0Q3BDRygeY+cfdyfmnk/TH49uxoo%0arlqVPaNO1jpp0/Z3V73CiiisjYKKKKACiiigCCX/j5g/4F/Kp6gl/4+YP+BfyqegCMf69/w%0aDdH8zUlVrlisgwSOO1ReY/95vzoAvUVR8x/wC8351S1W4ljt1KSOp3dQxHY0AbdFch9uuf+%0afiX/vs0fbrn/n4l/wC+zQB1cn34v97+hqSuQN7cHH7+Xj/bNH265/5+Jf8Avs0AdfRXIfbr%0an/n4l/77NH265/5+Jf8Avs0AdfRXIfbrn/n4l/77NH265/5+Jf8Avs0AdfRXIfbrn/n4l/7%0a7NH265/5+Jf8Avs0AdfUcf35f97+grlPt1z/z8S/99mgXtwM/v5ef9s0AdfRXIfbrn/n4l/%0a77NH265/5+Jf8Avs0AdfRXIfbrn/n4l/77NH265/5+Jf8Avs0AdfRXIfbrn/n4l/77NH265%0a/5+Jf8Avs0AdfRXIfbrn/n4l/77NH265/5+Jf8Avs0AdfUcf35f97+grlPt1z/z8S/99mgX%0atwM/v5ef9s0AdfRXIfbrn/n4l/77NH265/5+Jf8Avs0AdfRXIfbrn/n4l/77NH265/5+Jf8%0aAvs0AdfRXIfbrn/n4l/77NH265/5+Jf8Avs0AdfRXIfbrn/n4l/77NH265/5+Jf8Avs0Adf%0aRXIfbrn/n4l/77NH265/5+Jf8Avs0AdfRXIfbrn/n4l/77NH265/5+Jf8Avs0AdfRXIfbrn%0a/n4l/77NH265/5+Jf8Avs0AdfRXIfbrn/n4l/77NH265/5+Jf8Avs0AdfRXIfbrn/n4l/77%0aNH265/5+Jf8Avs0AdfRXIfbrn/n4l/77NH265/5+Jf8Avs0AdfRXIfbrn/n4l/77NH265/5%0a+Jf8Avs0AdfRXIfbrn/n4l/77NH265/5+Jf8Avs0AdfUcn34v97+hrlPt1z/z8S/99mg3tw%0acfv5eP9s0AdfRXIfbrn/n4l/77NH265/5+Jf8Avs0AdfRXIfbrn/n4l/77NH265/5+Jf8Av%0as0AdfRXIfbrn/n4l/77NH265/5+Jf8Avs0AdfRXIfbrn/n4l/77NH265/5+Jf8Avs0AdfRX%0aIfbrn/n4l/77NH265/5+Jf8Avs0AdfRXIfbrn/n4l/77NH265/5+Jf8Avs0AdfUc33B/vL/%0aMVyn265/5+Jf++zQb24PWeU/8DNAHX0VyH265/wCfiX/vs0fbrn/n4l/77NAHX0VyH265/w%0aCfiX/vs0fbrn/n4l/77NAHX0VyH265/wCfiX/vs0fbrn/n4l/77NAHX0VyH265/wCfiX/vs%0a0fbrn/n4l/77NAHX0VyH265/wCfiX/vs0fbrn/n4l/77NAHX0VyH265/wCfiX/vs0fbrn/n%0a4l/77NAHX0VyH265/wCfiX/vs0fbrn/n4l/77NAHX0VyH265/wCfiX/vs0fbrn/n4l/77NA%0aHX0VyH265/wCfiX/vs0fbrn/n4l/77NAHVx/fl/3v6CpK5AXtwM/v5ef9s0fbrn/n4l/77N%0aAHX0VyH265/wCfiX/vs0fbrn/n4l/77NAHX0VyH265/wCfiX/vs0fbrn/n4l/77NAHX0VyH%0a265/wCfiX/vs0fbrn/n4l/77NAHX1HD9w/7zfzNcp9uuf8An4l/77NAvbgdJ5R/wM0AdfRX%0aIfbrn/n4l/77NH265/5+Jf8Avs0AdfRXIfbrn/n4l/77NH265/5+Jf8Avs0AdfRVHzH/ALz%0afnR5j/wB5vzoAvUVR8x/7zfnR5j/3m/OgC9RVHzH/ALzfnR5j/wB5vzoAvUVR8x/7zfnR5j%0a/3m/OgC9RVHzH/ALzfnR5j/wB5vzoAvUVR8x/7zfnR5j/3m/OgC9RVHzH/ALzfnR5j/wB5v%0azoAvVHJ9+L/AHv6GqvmP/eb86Quxx8x496AL9FUfMf+8350eY/95vzoAvUVR8x/7zfnR5j/%0aAN5vzoAvUVR8x/7zfnR5j/3m/OgC9RVHzH/vN+dHmP8A3m/OgC9Uc/8AqJP90/yqr5j/AN5%0avzpC7EEFiQfegC/RVHzH/ALzfnR5j/wB5vzoAvUVR8x/7zfnR5j/3m/OgC9RVHzH/ALzfnR%0a5j/wB5vzoAvUVR8x/7zfnR5j/3m/OgC9RVHzH/ALzfnR5j/wB5vzoAvUVR8x/7zfnR5j/3m%0a/OgC9RVHzH/ALzfnR5j/wB5vzoAtSffi/3v6GpKoF2OPmPHvS+Y/wDeb86AL1FUfMf+8350%0aeY/95vzoAvUVR8x/7zfnR5j/AN5vzoAvUVR8x/7zfnR5j/3m/OgC9RVHzH/vN+dHmP8A3m/%0aOgC9RVHzH/vN+dHmP/eb86ALUP3D/ALzfzNSVQDsOjEfjS+Y/95vzoAvUVR8x/wC8350eY/%0a8Aeb86AL1FUfMf+8350eY/95vzoAvVHH9+X/e/oKq+Y/8Aeb86QOwz8x596AL9FUfMf+835%0a0eY/wDeb86AL1FUfMf+8350eY/95vzoAvVHH9+X/e/oKq+Y/wDeb86QOwz8x596AL9FUfMf%0a+8350eY/95vzoAvUVR8x/wC8350eY/8Aeb86AL1FUfMf+8350eY/95vzoAvUVR8x/wC8350%0aeY/8Aeb86AL1FUfMf+8350eY/95vzoAvUVR8x/wC8350eY/8Aeb86AL1FUfMf+8350eY/95%0avzoAvUVR8x/wC8350eY/8Aeb86AL1FUfMf+8350eY/95vzoAvUVR8x/wC8350eY/8Aeb86A%0aL1FUfMf+8350eY/95vzoAvUVR8x/wC8350eY/8Aeb86AL1FUfMf+8350eY/95vzoAvVHB/q%0aI/8AdH8qq+Y/95vzpA7AABiAPegC/RVHzH/vN+dHmP8A3m/OgC9RVHzH/vN+dHmP/eb86AL%0a1FUfMf+8350eY/wDeb86AL1FUfMf+8350eY/95vzoAvVHB/qI/wDdH8qq+Y/95vzpA7AABi%0aAPegC/RVHzH/vN+dHmP/eb86AL1FUfMf8AvN+dHmP/AHm/OgC9RVHzH/vN+dHmP/eb86AL1%0aFUfMf8AvN+dHmP/AHm/OgC9RVHzH/vN+dHmP/eb86AL1FUfMf8AvN+dHmP/AHm/OgC9RVHz%0aH/vN+dHmP/eb86AL1FUfMf8AvN+dHmP/AHm/OgC9RVHzH/vN+dHmP/eb86ALUP3D/vN/M1J%0aVAOw6MR+NL5j/AN5vzoAvUVR8x/7zfnR5j/3m/OgC9RVHzH/vN+dHmP8A3m/OgC9RVHzH/v%0aN+dHmP/eb86AL1FUfMf+8350eY/wDeb86AL1FUfMf+8350eY/95vzoAuOuarxrtvD/ALn9a%0aj8x/wC83503cd2cnPTOaANCiqG9/wC+350b3/vt+dAF+iqG9/77fnRvf++350AX6Kob3/vt%0a+dG9/wC+350AX6Kob3/vt+dG9/77fnQBfoqhvf8Avt+dG9/77fnQBfoqhvf++350eY/95vz%0aoAv0VR8x/7zfnR5j/AN5vzoAvUUUUAFFFFABRRRQBBL/x8wf8C/lU9FFAFW6/1g+lcd8S7+%0a40/wAKzPbStC7yLGzL12nORmiigCP4X2Fvb+FoLiOJVmnLGSTu2GIFdDrH/Hsv++P5GiigD%0aHooooAKKKKACiiigAooooAKKKKACiiigAooooAKKKKACiiigAooooAKKKKACiiigAooooAK%0aKKKACiiigAooooAKKKKACiiigAooooAKKKKACiiigAooooAKKKKACiiigAooooAKKKKACii%0aigAooooAKKKKACiiigAooooAKKKKACiiigAooooAKKKKACiiigAooooAKKKKACiiigAoooo%0aAKKKKACiiigAooooAKKKKACiiigAooooAKKKKAOmooooAKKKKACiiigAooooAKKKKACiiig%0aAooooAKKKKACiiigAooooAKKKKACiiigAooooAKKKKACiiigAooooAKKKKACiiigAooooAK%0aKKKACiiigAooooAKKKKACiiigAooooAKKKKACiiigAooooAKKKKACiiigAooooAKKKKACii%0aigAooooAKKKKACiiigAooooAKKKKACiiigAooooAKKKKACiiigAooooAKKKKACiiigAoooo%0aAKKKKACiiigAooooAKKKKACiiigAooooAKKKKACiiigAooooAKKKKACiiigAooooAKKKKAC%0aiiigAooooAKKKKACiiigAooooAKKKKACiiigAooooAKKKKACiiigAooooAKKKKACiiigAoo%0aooAK8u+LMSaZqmm6haD7PevuLTRnDErjB/WiigD0jTpXn0+1lkO53iVmOMZJAzVmiigD/9k%0a="/>
        <xdr:cNvSpPr>
          <a:spLocks noChangeAspect="1" noChangeArrowheads="1"/>
        </xdr:cNvSpPr>
      </xdr:nvSpPr>
      <xdr:spPr>
        <a:xfrm>
          <a:off x="21545550" y="5334000"/>
          <a:ext cx="304800" cy="3016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19050</xdr:colOff>
      <xdr:row>30</xdr:row>
      <xdr:rowOff>0</xdr:rowOff>
    </xdr:from>
    <xdr:to>
      <xdr:col>21</xdr:col>
      <xdr:colOff>323850</xdr:colOff>
      <xdr:row>31</xdr:row>
      <xdr:rowOff>123825</xdr:rowOff>
    </xdr:to>
    <xdr:sp>
      <xdr:nvSpPr>
        <xdr:cNvPr id="4100" name="AutoShape 4" descr="data:image/jpg;base64,/9j/4AAQSkZJRgABAQEAYABgAAD/2wBDAAMCAgMCAgMDAwMEAwMEBQgFBQQEBQoHBwYIDAoM%0aDAsKCwsNDhIQDQ4RDgsLEBYQERMUFRUVDA8XGBYUGBIUFRT/2wBDAQMEBAUEBQkFBQkUDQs%0aNFBQUFBQUFBQUFBQUFBQUFBQUFBQUFBQUFBQUFBQUFBQUFBQUFBQUFBQUFBQUFBQUFBT/wA%0aARCAGgBWwDASIAAhEBAxEB/8QAHwAAAQUBAQEBAQEAAAAAAAAAAAECAwQFBgcICQoL/8QAt%0aRAAAgEDAwIEAwUFBAQAAAF9AQIDAAQRBRIhMUEGE1FhByJxFDKBkaEII0KxwRVS0fAkM2Jy%0aggkKFhcYGRolJicoKSo0NTY3ODk6Q0RFRkdISUpTVFVWV1hZWmNkZWZnaGlqc3R1dnd4eXq%0aDhIWGh4iJipKTlJWWl5iZmqKjpKWmp6ipqrKztLW2t7i5usLDxMXGx8jJytLT1NXW19jZ2u%0aHi4+Tl5ufo6erx8vP09fb3+Pn6/8QAHwEAAwEBAQEBAQEBAQAAAAAAAAECAwQFBgcICQoL/%0a8QAtREAAgECBAQDBAcFBAQAAQJ3AAECAxEEBSExBhJBUQdhcRMiMoEIFEKRobHBCSMzUvAV%0aYnLRChYkNOEl8RcYGRomJygpKjU2Nzg5OkNERUZHSElKU1RVVldYWVpjZGVmZ2hpanN0dXZ%0a3eHl6goOEhYaHiImKkpOUlZaXmJmaoqOkpaanqKmqsrO0tba3uLm6wsPExcbHyMnK0tPU1d%0abX2Nna4uPk5ebn6Onq8vP09fb3+Pn6/9oADAMBAAIRAxEAPwDToopD0oAa7YFV5HxmpJDzV%0aSZ8UAeofDv9nPxj8TtHGq6elnYaa5IiuNRlZBNg4JUKrEgHjOAOD6V1R/Yo8dHpqvh7/wAC%0aZ/8A4zX1V8IY0i+FHg0IoUHRrNsD1MKEn8SSa66gD4l/4Ym8ef8AQW8Pf+BM/wD8ZpP+GJv%0aHf/QW8Pf+BM//AMZr7booA+JP+GJvHf8A0FvD3/gTP/8AGaP+GJvHf/QW8Pf+BM//AMZr7b%0aooA+JP+GJvHf8A0FvD3/gTP/8AGaP+GJvHf/QW8Pf+BM//AMZr7booA+JP+GJvHf8A0FvD3%0a/gTP/8AGaP+GJvHf/QW8Pf+BM//AMZr7booA+JP+GJvHf8A0FvD3/gTP/8AGaP+GJvHf/QW%0a8Pf+BM//AMZr7booA+JP+GJvHf8A0FvD3/gTP/8AGaP+GJvHf/QW8Pf+BM//AMZr7booA+J%0aP+GJvHf8A0FvD3/gTP/8AGaP+GJvHf/QW8Pf+BM//AMZr7booA+JP+GJvHf8A0FvD3/gTP/%0a8AGaP+GJvHf/QW8Pf+BM//AMZr7booA+JP+GJvHf8A0FvD3/gTP/8AGaP+GJvHf/QW8Pf+B%0aM//AMZr7booA+JP+GJvHf8A0FvD3/gTP/8AGaP+GJvHf/QW8Pf+BM//AMZr7booA+JP+GJv%0aHf8A0FvD3/gTP/8AGaP+GJvHf/QW8Pf+BM//AMZr7booA+JP+GJvHf8A0FvD3/gTP/8AGaP%0a+GJvHf/QW8Pf+BM//AMZr7booA+JP+GJvHf8A0FvD3/gTP/8AGaP+GJvHf/QW8Pf+BM//AM%0aZr7booA+JP+GJvHf8A0FvD3/gTP/8AGaP+GJvHf/QW8Pf+BM//AMZr7booA+JP+GJvHf8A0%0aFvD3/gTP/8AGaP+GJvHf/QW8Pf+BM//AMZr7booA+JP+GJvHf8A0FvD3/gTP/8AGaP+GJvH%0af/QW8Pf+BM//AMZr7booA+JP+GJvHf8A0FvD3/gTP/8AGaP+GJvHf/QW8Pf+BM//AMZr7bo%0aoA+JP+GJvHf8A0FvD3/gTP/8AGaP+GJvHf/QW8Pf+BM//AMZr7booA+JP+GJvHf8A0FvD3/%0agTP/8AGaP+GJvHf/QW8Pf+BM//AMZr7booA+JP+GJvHf8A0FvD3/gTP/8AGaP+GJvHf/QW8%0aPf+BM//AMZr7booA+JP+GJvHf8A0FvD3/gTP/8AGaP+GJvHf/QW8Pf+BM//AMZr7booA+JP%0a+GJvHf8A0FvD3/gTP/8AGaP+GJvHf/QW8Pf+BM//AMZr7booA+JP+GJvHf8A0FvD3/gTP/8%0aAGaP+GJvHf/QW8Pf+BM//AMZr7booA+JP+GJvHf8A0FvD3/gTP/8AGaP+GJvHf/QW8Pf+BM%0a//AMZr7booA+JP+GJvHf8A0FvD3/gTP/8AGaP+GJvHf/QW8Pf+BM//AMZr7booA+JP+GJvH%0af8A0FvD3/gTP/8AGaP+GJvHf/QW8Pf+BM//AMZr7booA+JP+GJvHf8A0FvD3/gTP/8AGaP+%0aGJvHf/QW8Pf+BM//AMZr7booA+JP+GJvHf8A0FvD3/gTP/8AGaP+GJvHf/QW8Pf+BM//AMZ%0ar7booA+JP+GJvHf8A0FvD3/gTP/8AGaP+GJvHf/QW8Pf+BM//AMZr7booA+JP+GJvHf8A0F%0avD3/gTP/8AGaP+GJvHf/QW8Pf+BM//AMZr7booA+JP+GJvHf8A0FvD3/gTP/8AGaP+GJvHf%0a/QW8Pf+BM//AMZr7booA+JP+GJvHf8A0FvD3/gTP/8AGaP+GJvHf/QW8Pf+BM//AMZr7boo%0aA+JP+GJvHf8A0FvD3/gTP/8AGaP+GJvHf/QW8Pf+BM//AMZr7booA+JP+GJvHf8A0FvD3/g%0aTP/8AGaP+GJvHf/QW8Pf+BM//AMZr7booA+JP+GJvHf8A0FvD3/gTP/8AGaP+GJvHf/QW8P%0af+BM//AMZr7booA+JP+GJvHf8A0FvD3/gTP/8AGaP+GJvHf/QW8Pf+BM//AMZr7booA+JP+%0aGJvHf8A0FvD3/gTP/8AGaP+GJvHf/QW8Pf+BM//AMZr7booA+JP+GJvHf8A0FvD3/gTP/8A%0aGaP+GJvHf/QW8Pf+BM//AMZr7booA+JP+GJvHf8A0FvD3/gTP/8AGaP+GJvHf/QW8Pf+BM/%0a/AMZr7booA+JP+GJvHf8A0FvD3/gTP/8AGaP+GJvHf/QW8Pf+BM//AMZr7booA+JP+GJvHf%0a8A0FvD3/gTP/8AGaP+GJvHf/QW8Pf+BM//AMZr7booA+JP+GJvHf8A0FvD3/gTP/8AGaP+G%0aJvHf/QW8Pf+BM//AMZr7booA+JP+GJvHf8A0FvD3/gTP/8AGaP+GJvHf/QW8Pf+BM//AMZr%0a7booA+JP+GJvHf8A0FvD3/gTP/8AGaP+GJvHf/QW8Pf+BM//AMZr7booA+JP+GJvHf8A0Fv%0aD3/gTP/8AGaP+GJvHf/QW8Pf+BM//AMZr7booA+JP+GJvHf8A0FvD3/gTP/8AGaP+GJvHf/%0aQW8Pf+BM//AMZr7booA+JP+GJvHf8A0FvD3/gTP/8AGaP+GJvHf/QW8Pf+BM//AMZr7booA%0a+JP+GJvHf8A0FvD3/gTP/8AGaP+GJvHf/QW8Pf+BM//AMZr7booA+JP+GJvHf8A0FvD3/gT%0aP/8AGaP+GJvHf/QW8Pf+BM//AMZr7booA+JP+GJvHf8A0FvD3/gTP/8AGaP+GJvHf/QW8Pf%0a+BM//AMZr7booA+JP+GJvHf8A0FvD3/gTP/8AGaP+GJvHf/QW8Pf+BM//AMZr7booA+JP+G%0aJvHf8A0FvD3/gTP/8AGaP+GJvHf/QW8Pf+BM//AMZr7booA+JP+GJvHf8A0FvD3/gTP/8AG%0aaP+GJvHf/QW8Pf+BM//AMZr7booA+JP+GJvHf8A0FvD3/gTP/8AGaP+GJvHf/QW8Pf+BM//%0aAMZr7booA+JP+GJvHf8A0FvD3/gTP/8AGaP+GJvHf/QW8Pf+BM//AMZr7booA+JP+GJvHf8%0aA0FvD3/gTP/8AGaP+GJvHf/QW8Pf+BM//AMZr7booA+JP+GJvHf8A0FvD3/gTP/8AGaP+GJ%0avHf/QW8Pf+BM//AMZr7booA+JP+GJvHf8A0FvD3/gTP/8AGaP+GJvHf/QW8Pf+BM//AMZr7%0abooA+JP+GJvHf8A0FvD3/gTP/8AGaP+GJvHf/QW8Pf+BM//AMZr7booA+JP+GJvHf8A0FvD%0a3/gTP/8AGaP+GJvHf/QW8Pf+BM//AMZr7booA+JP+GJvHf8A0FvD3/gTP/8AGaP+GJvHf/Q%0aW8Pf+BM//AMZr7booA+JP+GJvHf8A0FvD3/gTP/8AGaP+GJvHf/QW8Pf+BM//AMZr7booA+%0aJP+GJvHf8A0FvD3/gTP/8AGaP+GJvHf/QW8Pf+BM//AMZr7booA+JP+GJvHf8A0FvD3/gTP%0a/8AGaP+GJvHf/QW8Pf+BM//AMZr7booA+JP+GJvHf8A0FvD3/gTP/8AGaP+GJvHf/QW8Pf+%0aBM//AMZr7booA+JP+GJvHf8A0FvD3/gTP/8AGaP+GJvHf/QW8Pf+BM//AMZr7booA+JP+GJ%0avHf8A0FvD3/gTP/8AGaP+GJvHf/QW8Pf+BM//AMZr7booA+JP+GJvHf8A0FvD3/gTP/8AGa%0aP+GJvHf/QW8Pf+BM//AMZr7booA+JP+GJvHf8A0FvD3/gTP/8AGaP+GJvHf/QW8Pf+BM//A%0aMZr7booA+JP+GJvHf8A0FvD3/gTP/8AGaP+GJvHf/QW8Pf+BM//AMZr7booA+JP+GJvHf8A%0a0FvD3/gTP/8AGaP+GJvHf/QW8Pf+BM//AMZr7booA+JP+GJvHf8A0FvD3/gTP/8AGaP+GJv%0aHf/QW8Pf+BM//AMZr7booA+JP+GJvHf8A0FvD3/gTP/8AGaP+GJvHf/QW8Pf+BM//AMZr7b%0aooA+JP+GJvHf8A0FvD3/gTP/8AGaP+GJvHf/QW8Pf+BM//AMZr7booA+JP+GJvHf8A0FvD3%0a/gTP/8AGaP+GJvHf/QW8Pf+BM//AMZr7booA+JP+GJvHf8A0FvD3/gTP/8AGaP+GJvHf/QW%0a8Pf+BM//AMZr7booA+JP+GJvHf8A0FvD3/gTP/8AGaP+GJvHf/QW8Pf+BM//AMZr7booA+J%0aP+GJvHf8A0FvD3/gTP/8AGaP+GJvHf/QW8Pf+BM//AMZr7booA+JP+GJvHf8A0FvD3/gTP/%0a8AGaP+GJvHf/QW8Pf+BM//AMZr7booA+JP+GJvHf8A0FvD3/gTP/8AGaX/AIYm8ef9Bbw9/%0awCBM/8A8Zr7aooA+Jx+xR46HXVfD3/gTP8A/Ga5X4ifs5+Mfhjo51XUEs7/AE1CBLcadKzi%0aHJwCwZVIBPGcEcj1r9Aq5H4vRpL8KPGQdQwGjXjYPqIXIP4EA0AfnEj5xVhGyKoQvmrcZ5o%0aAnopB0paACiiigApD0paRulAEEvU1RuD1q7JzmqFx3oA/Sz4R/wDJKPBf/YEsv/RCV1lcl8%0aI/+SUeC/8AsCWX/ohK62gArMt/E+j3niC80KDVrGbW7OFLi502O4RrmCJyQjvGDuVW2nBIw%0acHFaRzg4618ReOPgP8AtNeK/i34c+JCxfBnTvE3h0yx29/YT6zby3lqwYfZrvaP3sYJDhT0%0aYcHBYGHJRfvba3fbR/0122Hb3W1v0/r+tT7J17xXonhZtPGs6xYaSdRuksbMX1ykP2m4YEr%0aDHuI3uQpwoyTg8Vq1+b3w50j9pT9ri9+H3x6ZfhNNZ6ZDdLoXh/V/7TW2s7kTtE920Sbt0/%0a7rCsZGCjBChua7r9u7wNq3iX9lLw3q3xY0fSNY8c6V4isUaLwfNdJatHPfRxPHAJXRmaSDa%0ah3nhiSCvWtGnFJS0bklbycoxXe+935W3YtG2lsk384qTa/8lt6+R9r6/wCIdK8KaNdavrep%0aWmj6VaJ5lxfX86wwQrnGXdiAoyRyTUOueLdD8MWlpdazrOn6Ta3k8drbT310kKTTScRxozE%0aBmbso5PavzY+F37O2n618Zfi1b/C/4T2Pg7VdN0nSra00D4q3N28EVteRXsV6WW2upt3mqq%0aBdzHGCQFNSfDn4Z/tE+MPHuleDbeX4Y3kPwHngtbSx1m41Wa0uLqe2WSC5Y8vI8MbbUzsVC%0aflXgEEdWl31+V3f7tPnLXZilpfy0+dk1993fyV1uj9Jtd8TaR4Yjsn1fU7TTEvbqOxtmu5l%0aiE1xIcRxJuI3Ox4Cjk9q06+EP26fFfxM8Oap8H7DUvEXgGwtdS8ZaPLYW8mnXZlgu4FDzTz%0aSm5VWtUlJyAiNtdBuByTF8Rvg7ZfHb9sf4beGvjFbaT4sz4Bvr6caC93YWMkq3wETxgTmQA%0aI+OZCCST6AKKcrW/ma+6Lf6fivOzk1FXf8qf3yS/X7015v70rIl8W6NB4rt/DMmpW6a/cWb%0a6hFpxf969ujqjygf3QzqCfVhXzJ+xD4D0P4X/EX9oTwp4Zsjpvh/S/FNrFZ2Znkm8pTYQuR%0aukZmPzMTyT1rxyP4KeG/FX7W/judvjD8RNP8M+ENDWwvfEMvjWaGaLU55jPJYw3DEYiSJFZ%0a4l4Dbc8iplJJRl0ceb5crf9d9t2h2dprqpcvzul/n+eyZ+itFflZoHjzw9PpH7NFx8bvGvi%0aP/AIRjVPDGvXd3eXmvaik1zN9tQ2rSTW0glfEZwuSRjivpD9gnxF4a1zx58dYvA2t32teBL%0aXV9OTR3vdQu7zy0NmDIFe6ZpMGTf1P6YrVQu2u3N/5K4rXtfm09GRJ8tvl+Kk9O9uX8T7Do%0aooqCgormvG/xN8H/AAytLa68YeK9D8KWty5ign1zUYbNJXAyVVpWUMQOcCuX0/8Aag+DWr3%0a9tY2Pxb8C3t7cyrDBbW/iSykklkYgKiqJSWYkgADkk0LV2QPRXZ6bRXFeNfjd8OvhrqcWm+%0aLvH3hjwrqM0IuI7TW9ZtrOZ4iSocJI6kqSrDIGMqfSuf8A+Gsfgh/0WT4f/wDhUWP/AMdpJ%0ap7Bseq0VR0XXNN8S6RaatpGoWuq6XeRLNbX1lMs0E8ZGQ6OpKspHQg4rO8C+PND+Jfhi18Q%0a+G706jo108qQXRgkiEvlyNGxUSKpK7kbDYwwwQSCCas7tdhX0ub9Fcx44+KHg34Y29rP4x8%0aW6F4Tgu2ZLeTXNShslmZQCwQysoYgEZA6Zqlp3xn8Da3F4dm0nxVpmuW3iG+k03S7rSLgXs%0aFzcxwyTPGJYdyKVSGQncQPlx1IBS12G9NztKKKwNG8eaB4g8U+IPDdhqUc+u6AYBqVgVZJL%0acTRiSJsMBuRlzh1yuVZc7lYA8g8zforB8beONE+HXh6TXPEN7/Z+lxzwWzT+U8uJJpkhiXa%0ais3zSSIucYGcnABNHjHxzoXgCwtL7xDqCaXY3V5DYR3MqMYlmmbZErsARGGYhdz4XLKM5Iy%0aLXbvb5vp66r7wN6iiqOpXUqGK2tsfaZidrN0RR95j9Mj8SKALFze29mu64nigX1kcKP1ptr%0aqNpe5+z3MNxjr5Ugb+VZl9d6J4StheatqFpYqTtN7qM6R7j/vMQPwFWIH0rxNZx3lrNbX9u%0a/Md3ayK4+qup/kaANOis6wmmguXsrl/NcLvilPWROhz7g4z9RWjQAUUVxFr8a/A978V7v4a%0aQeI7SXxzaWQ1CfR13eYkJxjLY2bsMreXu3hWVtu0g0LV2W/+W4bK529FMnmW3hklYMVRSxC%0aIXYgDPCgEk+wGa43T/jT4F1D4cW3j7/hKtMsfBs6hl1nU5xZQIS/l7ZDNs8tw+UKPhgw2kA%0a8UrodjtaK5jwP8UPBvxOt7q48HeLdC8WQWjrHcS6HqUN6sLEZCuYmYKSASAfSunqmmtyb3C%0aiiikMKpzaxYW0nly31tE/8AdeZQfyJqsVfWbmRS7JYRMUIQ4MzDqCf7o6e5zWhBaw20flxR%0aJEn91FAFADo5UmQPG6uh6MpyDT6zbrSvKJnsNttcjnavCS+zD+vWrdjdre2qTKCu7gqeqkc%0aEH6HNAE9FFcZ42+NXw8+GmowWHi/x54Z8K308XnxWut6xb2cskeSN6rK6krkEZHGQaVx2Oz%0aorgPC37Qfwt8da5b6L4b+JXhDxDrFxuMOn6Vr1rc3Eu1SzbY0kLHCgk4HABNd/VWJuFFFFI%0aYVHPcRWqb5pUiQfxOwUfrUGpXbWkA8pQ9xIwjiQ9Cx9fYDJP0qO10iKJhLcf6Vdd5pBnHso%0a/hH0oAlttVsrxttveW87ekcqsf0NWqgurG3vU2zwpKO24cj6HtVO2aXTrxbWWRpreXPkSOc%0asCOShPfjkH2NAGnRRWV4o8V6J4I0O51rxHrGn6Bo1rt8/UdUuktreLcwVd8jkKuWZQMnkkD%0avSbS3DfY1aK8q/4ax+CH/RZPh//wCFRY//AB2un8DfF7wJ8TpbuLwd418O+LJbNVa5TQ9Vg%0avWgDZClxE7bQcHGeuDVWvsK9tzrqKKKQwooooAKKKKACiiigAooooAKKKKACiiigAooooAK%0aKKKACiiigAooooAKKKKACiiigAooooAKKKKACiiigAooooAKKKKACiiigAooooAKKKKACii%0aigAooooAKKKKACiiigAooooAKKKKACiiigAooooAKKKKACiiigAooooAKKKKACiiigAoooo%0aAKKKKACiiigAooooAKKKKACiiigAooooAKKKKACiiigAooooAKKKKACiiigAooooAKKKKAC%0aiiigAqNp4klSJpEWWQEohYBmA64HfGR+dSV5z8XvhZN47gsdW0W/fR/F2jky6bfKxC5PWNx%0a3VsY6fmMggHo1RwTxXMYkhkSWMkgMjAjIODyPcEV8zxfGjxd8YTB8P8ARrRfDvif95Fr2pe%0aYpS1jRtrmDByS3t0zgH+Ie9+AvA+m/DrwtZ6FpSuLW3BJeVtzyOTlnY+pPPHHpQB0Ncn8XP%0a8AklHjT/sCXv8A6Ieusrkvi5/ySjxp/wBgS9/9EPQB+a1uelXouorPt+1X4+MUAWB0paRel%0aLQAUUUUAFI3SlpG6UAV5O9ULjvV+TvVC470AfpX8I/+SUeC/wDsCWX/AKISutrkvhH/AMko%0a8F/9gSy/9EJXW0AZviXQYfFHh/UdHuLi7tIL63e3eewuXt7iNWBBaOVCGRhnhgQQelfFf7U%0afwy8C/AH4fSTQeOPijqvjfWc2Hhnw7b+O9SkudRvn+WMLGJslFZlLt0A46soP2j4p0zUNa8%0aN6nYaVrE3h/U7m3eK21WCGOZ7SQghZRHICj7Tg7WGD0ryL4LfskeF/hR4mm8Z6tqWqfEL4k%0a3SbLjxf4nm+0XSKQQY7dfu28fLAKgyAdpYjiocFNtS0XXu/JdvV7X0TZalypNavt09X5eS3%0atbRHyB+zB8CNN+GPiFPgf8XfF/jTwt4yEa3/AIfm0bxjfWGl6xbygPJHbokgQTRStIrIAC3%0a3gDya9J/be8I+EvgV+zGNAk8c61DJq3inSrqK48ReIZL+/VYruAzPbG4Z2xGg3kKCB1I5r6%0ap+NHwJ8EftA+EX8OeOdDh1ixDeZBLkx3FpL2khlXDRt7g8jgggkVjfCH9nrT/hl4Zt9I1nx%0aDq/xKexvZLnTNR8ZtHfXmnowCiKKUoCAAvXqc9hgDRyc3d6NOL8mlJO3dP3UnrZ2umnoZpK%0aO2t015puLV/Nat91e2qPib4K6t8Pfi5+0R8RtJs/iR8TvG+g39npE0fjWznudPa3NvDfGUX%0al3bQ26RwANhS67WbGC2Mjmv2bvA+ja18cNWn8SeJvH2jeBvibeXUngbW4fF1/bSai1nK0Gy%0a4kEgMkksQR4y5JKrtGcgV9mfFL9jq2+LHjvxbq+o+NtY0zQPFMel22r6FpKLB9ttrMXGbeS%0afJfy5TOu4JsOEIyd2V734qfs6+CPi58KI/h7quliy0K0jiXTG00iCbSpIlxBLbMB+7eMdO2%0aMgggkGYvlSla7Stbum3d9r2ty+j5txyXNKUb6N3v2aSS87XvzeWx8k/tM/s+XzfEXwLq/i5%0al1vwjpninw14S8M2Gp3LX8k9nJIJL6e7aXJeSWQJEd3JWLnOcnu/hT8NfD3gr9uO28L+EVu%0a20HwH8PXtXW6vJLo2ct7qHnRW4d2JCrErbU6BcfWvb/GfwFbxh4H+Hnh2fxTqE8vhHWtL1h%0atV1JBdXWotZnOJWyvzSd35wexqT4E/ACw+Cb+L9RfWb3xR4m8V6tLqmq67qSos8/JEEOFAV%0aUijIUAADO4gKCFGkfck1fRc3zurL8XKTv5ImfvxWmrSXpaV3+EYr5s8J8BfFnSfgz8Sv2k9%0ad1i1vL22uPHukaVHBYIrSvLc2lrDHgMyjAZwTznAOMniuA+JXg/xX8BvhRbaD4n8C/s9nwr%0a/aL3enaBfHVdRutS1ByR+5hkheS4uG37c/McEAkKOPoXxH+xH4K8T/ABiuPiBda/4siN3q1%0aprt34at9TVNHur62RUhnkh8veWXap4cDIHbiuh+GH7KXgn4Z+MrvxlJJq/jLxvOXC+JvFt+%0a2oXtvExOIYGYBYUAYqNigkHBJFYwj7kIy0aSXfSP4Xu203ouzZrOXvylHVNt/N/pbR21fR2%0aPgb4O/Hz4x+D/AIieILjxD4Q+H/hRbfWTo9nq3jCS6/s/wvK9rbn+yLeaESfYoWQIwU7Iiy%0asN2QBX3r8E9D+KNj4s1rVfG2hfDHTrLV4Unm1DwSbo3l9cKFWNp2liUSKI9wDEkjCgcVo+A%0af2f9N8Kaj8VH1i4tfFGl+PdabVbnTL2wXyYkaCOEwOGZxKD5eckL1xjjNJ8Hf2ZvB3wG1vV%0arvwZNrmnaXfxhE8Oy6xcT6VZHdud7e2diqM5xk84Awu0Eg6xloubt66vdff1u77u71MpR1l%0abv+HR/d0tpsrbHrFFFFSUfH/7bN1Za343+Gdr/b2seFrnRdVmZr6Hwz4kukne4tHjihtp9L%0aEJklJPKJdIcZyGwUPjmp6I/i6GKPT/AIheLPEY0jXrCS+sn8E/EWRFe2u4LiWFxcX95CsgR%0aQQskD8lfuEh1+uPin8DfEPxg8cWup33iybwppvhvbdeFn0Ha91FqLLh7y5E0bRuFUvCsG1l%0aKSSszbmUR+awfsS6tPrniPWddufhB4w1fXdSfU7m+8R/Ctr2dHZETy0dtUyIx5eQpJwWbnm%0app3hZ9bt/jG35ar06t2qpad15JfhK/wD6Vo+9+yv2Pxb/AGgtS0+98OaRpFtq3hbT/EcLvB%0a4guPDd/qGpOqpukS00mGB5lmQYLPeJEkZZCI7gbkHiGgaxbfBPTvGXiPR/F/jvQ9Qk1251S%0a3bxP4N8ST6Rf28qW6hNUeewDRyF4iPPjYGMMuN6AxH6C8b/AAi+Ies6/wDCzV9D8ReEtO1b%0awrHfxXl3PoNwbN1nhWNFgskuwygBcYa5+XqN33Rk/GD4Q/Gz4m/DXXfC8vj3wDcR6lCsTRJ%0a4RvbIsA6sQJv7Tn8s/L18p/pWkUlLTvb5c0fXpfpbR6PcltuNn2v87S/W3W+u6POP2q/EFl%0af6/wDAnU/iJ4P8E2RlOr/bdA+JOt28OkwTfZ4xhrvyLiNjkboz5eWyuQjZA8j+LPiD4Ny/C%0azxilh4D/ZTtr5tHvBbzaJ42s5r6OTyX2tbxjSELyg4KKGUlsDcOtfZ/xh+GfjLxf8Qvh54k%0a8Ha1oWiT+HDqH2ibXLCa+VluIVjUJBFNCWOVOSZVx1w3SsP4j/DT43+Nvh74n8O/8LA+H8n%0a9raXc2G3/AIQu+t8+bEyY83+1pNn3vveW+Ou1sYPPUTdKaS1fN+NjaDSqwbei5fwbKXjXxd%0a4/8J/D74VReBdV8OQX2trp2kxadrehXN80zvGryzCSG8h8tIreOaUgo27ywNy7hXlfiLw1H%0a8aPih8DtS1bxpd+JLjVtW1S6abwrc6z4ahhs7SwmgcfZG1B2t50uJVR5E8tzuKMMbt30Nqn%0a7PPhTxppng4+LrK51DU/Dum/2fEbPVry2t2R441njeOKREmik8tQySqwZRgjBIrlfBP7K1v%0a8JvEPi/xF4BvtE0DWdWkWLSba40SSbStEsiUeaCG0juovmlkUyO6yIpYJhAFw3bWcZYic3q%0auaTX3u33p38rPyRx0k1QjDZ8qT+5X+63zPmzxFb6X/AMKW8F+Ite0bTfiFqbfELWPCenX3j%0anSb/wAXvZadJqF0vyWnnebcSqLKFVOWcKCAfmauR07TdBHj34gWcngj4ez2ekWVlcWsD/s0%0aasVDPHMzgxK4ltwSi/NOzK3VNoVs/Y2m/skaHL8I/CHgjX/EGs37aDrb+I31TSLl9Lnur55%0aZ5ZDuiYyRIXuZMBJA4AX94TknG0f9jTR4fiH481S/1vxZ/YmuWljb2QtvHmui7UxRzLN57m%0a5/eDMi7A7SADcMKCQeRxkoOKetnr58kF/6UpPbXd7nUnHmu9r/AIc83/6S0vLY+cf2jbXw9%0apH7Fnwr/wCEY8MTafrPiWbTddXwz4Y1q90ywiFxdWtxdusKziNY/tE0EUfmbhC1whTbgEUv%0aHGn2OsfEzw5qUP7M+g6vrd5p8drovhrxtfodc1G5kBS71HUUa2uJZ4LfYIxNeTRg7XdS7SR%0aFfrz4mfs6R6z8BNG+H/hd7YXejJo9nZajrB/e/ZLO8tZnV5I4ycslsOFUKXC5AHIx739lpv%0aF3iXxmmsz22geDvEVyzapZaDeXUureI48AIt/qcpEsduFLotnAAqLwJSjNHW07OVRwWjk2u%0amnKku7WmnV3WmqTWELqEVLdRs/Xmu+yffppo3Zu+1+yNpvhPT/hYB4V0vSoQty1tfa3omhW%0a2lWOt3MYCyXVsluqrJb790ccmMkR9WGGb1yPnxBPu/htY9n4u+7+S1x/wV8G+J/h14Yk8La%0a7qllrmlaRItroGoxR+TdPp6ooijuo1RYxLHzHvj+V1VWKoxIrsdSililivYEMkkQKvGOroc%0aZA9xgEf/XqqjUpXW39dOnpd22u92QVlZ/1/n62V+y2Xw5+2HqGp3Pxkura9aT7DbWsIsUYn%0ab5bIC7Ae8m8E/7I9K6z9hrUNT/4SrxFYo0jaMbJZpVySiz71CH2JXzPrtHpX0z4s+H3hH4q%0aWcH9uaVb6qsORHIxaOWPPVdykMvuM1e8L+DvDvw50h7PRdPttIsc732dWPTLMSSx7ZJNZll%0a/UeNS0oj7xldT/u+WxP6ha0azLHfqF59udGjhVSkCsMEg4yxHbOBj2+tadAHkP7SviHxj4c%0a8DvdeGvEvhDwTp4GNQ8ReK9TNmIFZlRY4HaKSKKR9xxNKJFRlUeRLv+X5B0/4v+CRp8vw7s%0aJvhBpNxobQ+Ibbxt/wuU/apNSuGmD3cd8+lsZrvMZMwkVlZJURlaNtlfe/jew8YX9pbL4P1%0a3Q9CulcmeTXNFm1NJExwFWK7tipz3LN9B1ryjTvg58XtM+IuueM4viT4JbVNX06z0yeF/A1%0a4YFitnneMoP7X3BibmTJLEYC4AwcxFau+346ar7nta3d33Kk/d03/AM3r+He/ZHmHxlsde+%0aJf7MmmTfEG4+CniALLBdaf431TxH9m0gTgK0M6iWxmifc4aJ4wwWZN2PLEnlp49pmgeGk1P%0aUtf8P6V8DzPe+K/C8Zf4YeI4ruXS7NdXsxHB9nisIuJJA7yTNICxCDbiNQPr74l/Cv4l+PP%0aA+g2MvinwpP4o0vxPYa1FqSaFc2tlHBbyByrW32uV5XyCcCaMNkDKY3Hz7xr+zF8UfHXxEv%0a/ABHrXi7wteSTweH7eC60nTbjTHhWw1c3sv7mWS7Vm2E7GL4LYVkUAsdIu1Xm6Xv+EX+LVv%0al9+c1zUuXya+/m/wA016na/stPc2l78SNM8UWi23xPTXnvfEksLmW3uUmH+gSW0hAJtxbRx%0axKrAMphcMM5Zveq4b4b/CiD4e6jr+qz6/q/ivX9dkha+1jW/syzOkKbIYgltDDEqIC5GEyS%0a7Ek8Y7mjZRXZJfcrf5fO/crdyfdt/f8A191uwUUUUgM7w9/yA7E/xNErP/vEZb9c1o1kxTD%0aRrl4JvltJXLwyn7qknJQ+nPQ++K1QcjI6UALWdpPE+pqPuC6O38Y0J/8AHi1SahqS2gEca+%0addvxHCvUn1PoPen6daGytVjZt8hJeRv7zE5J/OgC1Xwr+0PJa+J/2ooNQs/FPiLwvPH4ck0%0adbW38H+MZLi8kgu2eZ4Tpb2YmgUTR/vBNKmWXC/MrH7qrwTU/gJ408R/EO++I7+OU8N+N4C%0a2naNDY2n23SoNIE28211DJ5bzvPhZJHR4WRhGsbbUJkh35k10v8Ak1+v3XfRJ1e0Wurt+af%0a6b97Lrp85/DpoD8TPhx4+h8Z+LPG3hvSrm6umMPgfx7OsqS2c8CvC15cX8LHdIMlVjOM/Of%0aun9BlYOoYZwRnkYP5V8kfDz9h7UPhxp+ixWTfBzUNU0pllh17UfhS0mpNKr71macaorGQNg%0ahxgjAr61hEiwoJWV5Qo3si7VJ7kAk4Htk/Wtm1ypL+r2f5mbXvt/wBaN2/AfRRRUFGddc65%0aYBvuiKZh/vZQD9C1aNUtTtpJo45YADcwN5kYJwG4wVP1BNPsdQiv4yYyVdeHibhkPoRQBar%0aO1viC2YffF1Dt/GQA/wDjpar7usalmYKo5JJwBWZDIdYvY5lB+xW5LIx4818YyPYAnnuT7U%0aAatcr8T/GV58P/AATqevWOivrstlE0rwC5S3jiQAlppXbLCJACzeWkkmAdkcjYU9VXO/Ebw%0a7c+L/h74o0GzeKK81TS7qxheckRq8kTIpYgEgZYZwCcdjWdVyUJOG9nb1tp9+3zNKai5xU9%0arq/p/wADf5HxvrWow/FjxZ4E8a6/4k+INzJbreSzN4Z8D+J7O1sILiyaOH+zdti3mOGcM1z%0aKdzgttCIRCvvv7OfxR8QeO5tf02/kl8S6LpFw1pbeLJ9Ol0i7klUIXtb/AE+eOKSK5QSI3m%0aRJ5MgOQIT+7pvgr4f/ABv8LeDdB0b/AIWD8P0/s6wgs9v/AAhN9Njy41TG/wDtZN/T72xc9%0adq9Bu/AT4b+JvhzZeMz4s1PSdX1TXfElzrIudGtpbaAxyRQoB5MjyNG2YjlfMkHT5jnA6Wo%0axlKMfhV7f+BK3ztrv9/TBOUoxlL4tL/c7/jpt9zPUqKKKyLCiiigAooooAKKKKACiiigAoo%0aooAKKKKACiiigAooooAKKKKACiiigAooooAKKKKACiiigAooooAKKKKACiiigAooooAKKKK%0aACiiigAooooAKKKKACiiigAooooAKKKKACiiigAooooAKKKKACiiigAooooAKKKKACiiigA%0aooooAKKKKACiiigAooooAKKKKACiiigAooooAKKKKACiiigAooooAKKKKACiiigAooooAKK%0aKKACiiigAooooAKKKKACvNvjDF421xdO8N+EohYW+p71v9fLj/QohjIVc53sDwR+GOo9Joo%0aA8T139mfStO8MaX/whkzaH4r0bMtnq2fnuJP4hOf4g304zgDGVPpHw81bXta8JWVz4m0kaN%0arXzJcWwcMpKkjeME4DYyBnjPfrXSUUAFcl8XP+SUeNP+wJe/8Aoh662uS+Ln/JKPGn/YEvf%0a/RD0Afmpb9qvx9qoW/ar8fagCwvSlpF6UtABRRRQAUjdKWkbpQBXk71QuO9X5O9ULjvQB+l%0afwj/AOSUeC/+wJZf+iErra5L4R/8ko8F/wDYEsv/AEQldbQAUUUUAFFFFABRRRQAUUUUAFF%0aFFABRRRQAUUUUAFFFFABRRRQAUUUUAFFFFABRRRQAUUUUAFFFFAFO50m0upPMeLbL/wA9Im%0aMbn/gSkGmxaLZwyLJ5bSyL0aeRpSPoWJxV6igAooooAKKKKACiiigAooooAKKKKAGuiyIVd%0aQykYIIyDVD+wbMfcWWFf7kNxJGv/fKsBWjRQBXtLC3sVIgiWPd94gct9T1NWKKKACiiigAo%0aoooAKKKKACqt1pltesGmiDSDpIpKuPow5q1RQBnroVmGDPG85HIFxM8oH4MTV8DAwOlLRQA%0aUUUUAFFFFABRRRQAUUUUAFFFFABRRRQAUUUUAFFFFABRRRQAUUUUAFFFFABRRRQAUUUUAFF%0aFFABRRRQAUUUUAFFFFABRRRQAUUUUAFFFFABRRRQAUUUUAFFFFABRRRQAUUUUAFFFFABRRR%0aQAUUUUAFFFFABRRRQAUUUUAFFFFABRRRQAUUUUAFFFFABRRRQAUUUUAFFFFABRRRQAUUUUA%0aFFFFABRRRQAUUUUAFFFFABRRRQAUUUUAFFFFABRRRQAUUUUAFFFFABRRRQAUUUUAFFFFABX%0aJfFz/AJJR40/7Al7/AOiHrra5L4uf8ko8af8AYEvf/RD0Afmpb9qvx9qoW/ar8fagCwvSlp%0aF6UtABRRRQAUjdKWkbpQBXk71QuO9X5O9ULjvQB+lfwj/5JR4L/wCwJZf+iErra5L4R/8AJ%0aKPBf/YEsv8A0QldbQAUUUUAFFFFABRRRQAUUUUAFFFFABRRRQAUUUUAFFFFABRRRQAUUUUA%0aFFFFABRRRQAUUUUAFFFFABRRRQAUUUUAFFFFABRRRQAUUUUAFFFFABRRRQAUUUUAFFFFABR%0aRRQAUUUUAFFFFABRRRQAUUUUAFFFFABRRRQAUUUUAFFFFABRRRQAUUUUAFFFFABRRRQAUUU%0aUAFFFFABRRRQAUUUUAFFFFABRRRQAUUUUAFFFFABRRRQAUUUUAFFFFABRRRQAUUUUAFFFFA%0aBRRRQAUUUUAFFFFABRRRQAUUUUAFFFFABRRRQAUUUUAFFFFABRRRQAUUUUAFFFFABRRRQAU%0aUUUAFFFFABRRRQAUUUUAFFFFABRRRQAUUUUAFFFFABRRRQAUUUUAFFFFABRRRQAUUUUAFFF%0aFABRRRQAUUUUAFFFFABXJfFz/AJJR40/7Al7/AOiHrra5L4uf8ko8af8AYEvf/RD0Afmpb9%0aqvx9qoW/ar8fagCwvSlpF6UtABRRRQAUjdKWkbpQBXk71QuO9X5O9ULjvQB+lfwj/5JR4L/%0awCwJZf+iErra5L4R/8AJKPBf/YEsv8A0QldbQBS1i5e00+R4jiQskak9izBc/hnNY66RaEZ%0amgjuJD96SZQ7E/U1p+IP+QaP+u8H/o1KhoAp/wBj2H/Pjbf9+V/wo/sew/58bb/vyv8AhVy%0aigCn/AGPYf8+Nt/35X/Cj+x7D/nxtv+/K/wCFXK4uP4u+HZ5LhLZdavRbzyW0ktn4fv54xI%0ajFXUOkBU4YEcE9KPIDqP7HsP8Anxtv+/K/4Uf2PYf8+Nt/35X/AArK8O+PdH8UajdafZNfR%0a31tEk8tvf6bc2biNiwVgJo0yCVYZGehqrq/xL0TSvCur+IFea9sdLuHtLlbeIhxKkoidQH2%0ag4Y9c49CaP6/G356B/X6m/8A2PYf8+Nt/wB+V/wo/sew/wCfG2/78r/hUVx4h0+112z0aW4%0a26leQyXEEGxjvjjKhzuxgYLrwTk5471o0AU/7HsP+fG2/78r/AIUf2PYf8+Nt/wB+V/wq5R%0aQBnXFvHpUT3lmi27QqXZYxtVwOSCB1rqa5vWP+QRff9cH/APQTXSUAFFFFABRRRQAUUUUAF%0aFFFABRRRQAUUUUAFFFFABRRRQAUUUUAFFFFABRRRQAUUUUAFFFFABRRRQAUUUUAFFFFABRR%0aRQAUUUUAFFFFABRRRQAUUUUAFFFFABRRRQAUUUUAFFFFABRRRQAUUUUAFFFFABRRRQAUUUU%0aAFFFFABRRRQAUUUUAFFFFABRRRQAUUUUAFFFFABRRRQAUUUUAFFFFABRRRQAUUUUAFFFFAB%0aRRRQAUUUUAFFFFABRRRQAUUUUAFFFFABRRRQAUUUUAFFFFABRRRQAUUUUAFFFFABRRRQAUU%0aUUAFFFFABRRRQAUUUUAFFFFABRRRQAUUUUAFFFFABRRRQAUUUUAFFFFABRRRQAUUUUAFFFF%0aABRRRQAUUUUAFFFFABXJfFz/AJJR40/7Al7/AOiHrra5L4uf8ko8af8AYEvf/RD0Afmpb9q%0avx9qoW/ar8fagCwvSlpF6UtABRRRQAUjdKWkbpQBXk71QuO9X5O9ULjvQB+lfwj/5JR4L/w%0aCwJZf+iErra5L4R/8AJKPBf/YEsv8A0QldbQBm+IP+QaP+u8H/AKNSoam8Qf8AINH/AF3g/%0awDRqVDQAUUUUAQ3l0ljaTXMiyNHCjSMsMTSuQBk7UUFmPoACT2FfNVjFNolzqqQaN4hv7e5%0a1G6vIpkvfE+m/JLK0gBggsjGpG7BIJzjPevpusG78G2Euq3urWj3Gl6xdwfZ5L+zkwxA+6z%0aRsGjdl/hLo2MnHU5Vtbj6WPBPAN5NrHxWSSK01/Q0tLiC3vt93rOofaQsbvFGzXFqhhj3XA%0aZhK4U7AQmG3Gz440jUYvg14xv9D8TaZqHhzUNSuL3y5dGmS4DveDegkNwB8rgjPl8ge+a9v%0a8J+Do/CsmqTnUr3V77Urhbi5u7/AMoO7LGkagCKNEACovRfXJNcjcfAiCfwzc+HV8X+IodC%0auJHlaxQWO0FpTKQHNsXxvOfve1UtLfL/ANKTf5aeZNt3/WzX6/cR/wBmazZ/GHwtd+INe0e%0a8kfT7+3tbax02e1kckwux+aWZSAF7snXgNnj1OuDg+Gd8vjXQvEF54u1PWBpcdwi2uoW1qA%0afNUKSrQxRYxt/iDZ7Y795R9lL1/MOrfp+QUUUUhlPWP+QRff8AXB//AEE10lc3rH/IIvv+u%0aD/+gmukoAKKKKACiiigAooooAKKKKACiiigAooooAKKKKACiiigAooooAKKKKACiiigAooo%0aoAKKKKACiiigAooooAKKKKACiiigAooooAKKKKACiiigAooooAKKKKACiiigAooooAKKKKA%0aCiiigAooooAKKKKACiiigAooooAKKKKACiiigAooooAKKKKACiiigAooooAKKKKACiiigAo%0aoooAKKKKACiiigAooooAKKKKACiiigAooooAKKKKACiiigAooooAKKKKACiiigAooooAKKK%0aKACiiigAooooAKKKKACiiigAooooAKKKKACiiigAooooAKKKKACiiigAooooAKKKKACiiig%0aAooooAKKKKACiiigAooooAKKKKACiiigAooooAKKKKACuS+Ln/JKPGn/AGBL3/0Q9dbXJfF%0az/klHjT/sCXv/AKIegD81LftV+PtVC37Vfj7UAWF6UtIvSloAKKKKACkbpS0jdKAK8neqFx%0a3q/J3qhcd6AP0r+Ef/ACSjwX/2BLL/ANEJXW1yXwj/AOSUeC/+wJZf+iErraAK2oWYv7OSE%0atsLYKsP4WBBB/AgVkqt/ENklhJMw/jhePaf++mB/St+igDB3Xn/AEDLn/vuL/4ujdef9Ay5%0a/wC+4v8A4ut6igDB3Xn/AEDLn/vuL/4ujdef9Ay5/wC+4v8A4ut6igDB3Xn/AEDLn/vuL/4%0aujdef9Ay5/wC+4v8A4ut6igDB3Xn/AEDLn/vuL/4ujdef9Ay5/wC+4v8A4ut6igDB3Xn/AE%0aDLn/vuL/4ujdef9Ay5/wC+4v8A4ut6igDn2sbvUv3Mlu1pbtxIZGUsw7gBSevvXQUUUAFFF%0aFABRRRQAUUUUAFFFFABRRRQAUUUUAFFFFABRRRQAUUUUAFFFFABRRRQAUUUUAFFFFABRRRQ%0aAUUUUAFFFFABRRRQAUUUUAFFFFABRRRQAUUUUAFFFFABRRRQAUUUUAFFFFABRRRQAUUUUAF%0aFFFABRRRQAUUUUAFFFFABRRRQAUUUUAFFFFABRRRQAUUUUAFFFFABRRRQAUUUUAFFFFABRR%0aRQAUUUUAFFFFABRRRQAUUUUAFFFFABRRRQAUUUUAFFFFABRRRQAUUUUAFFFFABRRRQAUUUU%0aAFFFFABRRRQAUUUUAFFFFABRRRQAUUUUAFFFFABRRRQAUUUUAFFFFABRRRQAUUUUAFFFFAB%0aRRRQAUUUUAFFFFABRRRQAUUUUAFFFFABXJfFz/klHjT/ALAl7/6Ieutrkvi5/wAko8af9gS%0a9/wDRD0Afmpb9qvx9qoW/ar8fagCwvSlpF6UtABRRRQAUjdKWkbpQBXk71QuO9X5O9ULjvQ%0aB+lfwj/wCSUeC/+wJZf+iErra5L4R/8ko8F/8AYEsv/RCV1tABRRRQAUUUUAFFFFABRRRQA%0aUUUUAFFFFABRRRQAUUUUAFFFFABRRRQAUUUUAFFFFABRRRQAUUUUAFFFFABRRRQAUUUUAFF%0aFFABRRRQAUUUUAFFFFABRRRQAUUUUAFFFFABRRRQAUUUUAFFFFABRRRQAUUUUAFFFFABRRR%0aQAUUUUAFFFFABRRRQAUUUUAFFFFABRRRQAUUUUAFFFFABRRRQAUUUUAFFFFABRRRQAUUUUA%0aFFFFABRRRQAUUUUAFFFFABRRRQAUUUUAFFFFABRRRQAUUUUAFFFFABRRRQAUUUUAFFFFABR%0aRRQAUUUUAFFFFABRRRQAUUUUAFFFFABRRRQAUUUUAFFFFABRRRQAUUUUAFFFFABRRRQAUUU%0aUAFFFFABRRRQAUUUUAFFFFABRRRQAUUUUAFFFFABRRRQAUUUUAFcl8XP+SUeNP8AsCXv/oh%0a662uS+Ln/ACSjxp/2BL3/ANEPQB+alv2q/H2qhb9qvx9qALC9KWkXpS0AFFFFABSN0paRul%0aAFeTvVC471fk71QuO9AH6V/CP/AJJR4L/7All/6ISutrkvhH/ySjwX/wBgSy/9EJXW0AVtR%0aleG0Zo2KNuUbgAcZYA9frVDzbj/AJ+pP++U/wDiauar/wAeR/30/wDQxVOgA824/wCfqT/v%0alP8A4mjzbj/n6k/75T/4miigA824/wCfqT/vlP8A4mjzbj/n6k/75T/4miigA824/wCfqT/%0avlP8A4mmSXNyjxAXUnzNg/KnoT/d9qfUM3+sg/wB8/wDoLUATebcf8/Un/fKf/E0ebcf8/U%0an/AHyn/wATRRQAebcf8/Un/fKf/E0ebcf8/Un/AHyn/wATRRQAebcf8/Un/fKf/E0ebcf8/%0aUn/AHyn/wATRRQAebcf8/Un/fKf/E0ebcf8/Un/AHyn/wATRRQAebcf8/Un/fKf/E0ya5uY%0a0BF1J95RyqdyB/dp9Q3P+rX/AH0/9CFAE3m3H/P1J/3yn/xNHm3H/P1J/wB8p/8AE0UUAHm%0a3H/P1J/3yn/xNHm3H/P1J/wB8p/8AE0UUAHm3H/P1J/3yn/xNHm3H/P1J/wB8p/8AE0UUAH%0am3H/P1J/3yn/xNHm3H/P1J/wB8p/8AE0UUAHm3H/P1J/3yn/xNHm3H/P1J/wB8p/8AE0UUA%0aHm3H/P1J/3yn/xNHm3H/P1J/wB8p/8AE0UUAHm3H/P1J/3yn/xNHm3H/P1J/wB8p/8AE0UU%0aAHm3H/P1J/3yn/xNMFzcmd0+1SYCg/dTuT/s+1PqFf8Aj7k/3F/m1AE3m3H/AD9Sf98p/wD%0aE0ebcf8/Un/fKf/E0UUAHm3H/AD9Sf98p/wDE0ebcf8/Un/fKf/E0UUAHm3H/AD9Sf98p/w%0aDE0ebcf8/Un/fKf/E0UUAHm3H/AD9Sf98p/wDE0ebcf8/Un/fKf/E0UUAMjubl3lBupPlbA%0a+VPQH+770/zbj/n6k/75T/4moYf9ZP/AL4/9BWpqADzbj/n6k/75T/4mjzbj/n6k/75T/4m%0aiigA824/5+pP++U/+Jo824/5+pP++U/+JoooAPNuP+fqT/vlP/iaPNuP+fqT/vlP/iaKKAD%0azbj/n6k/75T/4mjzbj/n6k/75T/4miigA824/5+pP++U/+Jo824/5+pP++U/+JoooAPNuP+%0afqT/vlP/iaPNuP+fqT/vlP/iaKKADzbj/n6k/75T/4mjzbj/n6k/75T/4miigA824/5+pP+%0a+U/+Jo824/5+pP++U/+JoooAPNuP+fqT/vlP/iaPNuP+fqT/vlP/iaKKAGSXNyjxAXUnzNg%0a/KnoT/d9qf5tx/z9Sf8AfKf/ABNQzf6yD/fP/oLVNQAebcf8/Un/AHyn/wATR5tx/wA/Un/%0afKf8AxNFFAB5tx/z9Sf8AfKf/ABNHm3H/AD9Sf98p/wDE0UUAHm3H/P1J/wB8p/8AE0ebcf%0a8AP1J/3yn/AMTRRQAebcf8/Un/AHyn/wATR5tx/wA/Un/fKf8AxNFFAB5tx/z9Sf8AfKf/A%0aBNHm3H/AD9Sf98p/wDE0UUAHm3H/P1J/wB8p/8AE0ebcf8AP1J/3yn/AMTRRQAebcf8/Un/%0aAHyn/wATTBc3JndPtUmAoP3U7k/7PtT6hX/j7k/3F/m1AE3m3H/P1J/3yn/xNHm3H/P1J/3%0ayn/xNFFAB5tx/z9Sf98p/8TR5tx/z9Sf98p/8TRRQAebcf8/Un/fKf/E0ebcf8/Un/fKf/E%0a0UUAHm3H/P1J/3yn/xNHm3H/P1J/3yn/xNFFAB5tx/z9Sf98p/8TR5tx/z9Sf98p/8TRRQA%0aebcf8/Un/fKf/E0yC5uZYI3N1JllBOFT0/3afUNp/x6Q/7i/wAqAJvNuP8An6k/75T/AOJo%0a824/5+pP++U/+JoooAPNuP8An6k/75T/AOJo824/5+pP++U/+JoooAPNuP8An6k/75T/AOJ%0ao824/5+pP++U/+JoooAPNuP8An6k/75T/AOJo824/5+pP++U/+JoooAPNuP8An6k/75T/AO%0aJo824/5+pP++U/+JoooAPNuP8An6k/75T/AOJo824/5+pP++U/+JoooAPNuP8An6k/75T/A%0aOJo824/5+pP++U/+JoooAPNuP8An6k/75T/AOJo824/5+pP++U/+JoooAPNuP8An6k/75T/%0aAOJphubkTon2qTBUn7qdiP8AZ96fULf8fcf+4381oAm824/5+pP++U/+Jo824/5+pP8AvlP%0a/AImiigA824/5+pP++U/+Jo824/5+pP8AvlP/AImiigA824/5+pP++U/+Jo824/5+pP8Avl%0aP/AImiigA824/5+pP++U/+Jo824/5+pP8AvlP/AImiigA824/5+pP++U/+Jo824/5+pP8Av%0alP/AImiigA824/5+pP++U/+Jo824/5+pP8AvlP/AImiigA824/5+pP++U/+Jo824/5+pP8A%0avlP/AImiigA824/5+pP++U/+JpkFzcywRubqTLKCcKnp/u0+obT/AI9If9xf5UATebcf8/U%0an/fKf/E0ebcf8/Un/AHyn/wATRRQAebcf8/Un/fKf/E0ebcf8/Un/AHyn/wATRRQAebcf8/%0aUn/fKf/E0ebcf8/Un/AHyn/wATRRQAebcf8/Un/fKf/E0ebcf8/Un/AHyn/wATRRQAebcf8%0a/Un/fKf/E0ebcf8/Un/AHyn/wATRRQAebcf8/Un/fKf/E0ebcf8/Un/AHyn/wATRRQAebcf%0a8/Un/fKf/E0ebcf8/Un/AHyn/wATRRQAw3NyJ0T7VJgqT91OxH+z70/zbj/n6k/75T/4moW%0a/4+4/9xv5rU1AB5tx/wA/Un/fKf8AxNHm3H/P1J/3yn/xNFFAB5tx/wA/Un/fKf8AxNHm3H%0a/P1J/3yn/xNFFAB5tx/wA/Un/fKf8AxNHm3H/P1J/3yn/xNFFAB5tx/wA/Un/fKf8AxNHm3%0aH/P1J/3yn/xNFFAB5tx/wA/Un/fKf8AxNHm3H/P1J/3yn/xNFFAB5tx/wA/Un/fKf8AxNHm%0a3H/P1J/3yn/xNFFAB5tx/wA/Un/fKf8AxNMnubmKCRxdSZVSRlU9P92n1Dd/8ek3+438qAJ%0avNuP+fqT/AL5T/wCJo824/wCfqT/vlP8A4miigA824/5+pP8AvlP/AImjzbj/AJ+pP++U/w%0aDiaKKADzbj/n6k/wC+U/8Aia0rQs1uhdy7c5YgZPPtWbWlZ/8AHun4/wA6AJq5L4uf8ko8a%0af8AYEvf/RD11tcl8XP+SUeNP+wJe/8Aoh6APzUt+1X4+1ULftV+PtQBYXpS0i9KWgAooooA%0aKRulM8tv+er/AJD/AApGjbH+tf8AIf4UARyd6oXHerkkbc/vX/If4VQuI25/eN+Q/wAKAP0%0au+Ef/ACSjwX/2BLL/ANEJXW1yXwi4+E/grnP/ABJLLn/tgldbQBT1X/jyP++n/oYqnVzVf+%0aPI/wC+n/oYqnQB5x4+/aD8D/DXxnpnhLW77U38TanavfWml6ToV/qc80CkhnC2sEnAIOc/X%0apXn3w+/a+k8S614qtvE/wALPiD4O0/Tr4waRfSeEdZvf7Xt8sPP2RWOYOinY+T8454OPKP2%0ahtLtvFn7enhTTX8K3HjmG0+H17JeaHaRWMzyRy3JiU7L2RIDtZg+JDj5RgMeK+NtZ+HsXhv%0aU5PhZ8Q/hVDpvhnwGZvFWveI9JsdEt/El/o5YC1hlkS5EanfIVbyp5HYGMBcr80wd7OT35v%0aTSVm/lFX631W5c1a6j05fXWN0vm3by0e1z9Rfit+1F4d+FGn+BLi40DxNrU/jXUE0vSLCzs%0aEtbozsBtWWO9ktzDkkD58EdwBzWR8TP2rbj4PeCdR8XeL/g/wCPdI8Pad5f2q887Q5/L3yL%0aGvyRakznLOo4B6+leRftIeIfE2u/Cr4X+IPCvws0Dxn4O1aWxjtfC3in4d3OuXug2kkJLXc%0agt7pwAqBB5ax5+bG8niuL8T2Hw38D6NNrHiLQvhj4f0mAqJdQ1T9mXXbaCMswVQ0jzhRliA%0aMnkkCqaacltaTWu/TS3ffW9rtLdNERaai97pPT57P/AIHS+zR+gWnX0ep6fa3kQZYriJZkD%0ajDAMARn35p83+sg/wB8/wDoLVj+B7fWLXwxZR65f6bqd9tz9o0nTJNOtzGfuBYJJpmTC4By%0a56dB0rYm/wBZB/vn/wBBarmkpNIim24Jt30/p/PdeTMXx/rmteGvB+p6n4d8Ot4s1m1jElv%0ao0d2lq10dw3Ksrgqp27iM8EgDIzmvmLxx/wAFDYfA15qGp3nwf8c2/gTRrKzuNa1vVbZNLv%0aLSe6ysMEVldGNrj5wUdkfClHYBkAdvoX416YdT+F/iH/ibazo8draveyy6Beiyu5UhHmNCs%0a+xmiDhNhdMOAx2sDzX5veCNAufiJ4g+D3ijxFZ6Nd/DrxC5T4d/CbW/FmozWsNxAXWZrox6%0aRMJyHkeQSTMCFYK8joNogs+2fC37W6fEHxD4y8KeGfh34jk8b+HtFi1lNJ1W60+G3uxMqtb%0axi7guZ40MiurZPRcnkjFZVr+3JpF7f6rp8Pwy8f8A9paLoa+INZtLu0sdPk022+bd5q3d3C%0a2V2N90EEYZSykE+K/s3eGbHxP4I/aE8J+KIY9H8AeGZ5vDt5ZWs5u9WgFku+PydXCW8ktvA%0aodYY7iF3VQimTYCh+aPEvh3XP2ifGEs+lapN4+nbTPBr3uo6jFY6VdXW8yFY2hvJjA1yysq%0aiMvIsj8jcrUAfpr8M/2kbX4keFLLxdL4I8SeEPBF3p7aonifxNcaXbWaW4XcJJAl68qKRyC%0a0YGOSQOa8Kn/4Kg+C7TVdK0e407S4tVfxZaeH9TdfFFpNYW1lcM5TVIbqLek8KRqjSKRH5b%0aPsZgRk+X/sc/2Ta/Gjxj8V/AWhag/gpfAz2kFtqFjpNrfzXov9oDafocLSLE7W8iib7MzHy%0apMbwqiuN/aYuPhbq/ib4f8Aiv47eKvE0vi6/wDENhPe2TeBdUtNLtdKgybixt0vRbubfdJm%0aWdPNmYlWEAztAB9q/Ab9s3wp+0NqPjW38L2gn/sR3/su1GrWJ1DXIoxiSWK0MweFfM2qrTb%0aEYSxtuXLqmF4P/b78NeNvEHhTSNP+HnjlZ/E+qXmj6dLOmlrG9xaAG6DYviVEasCSR8w+5u%0aPFUPhFPqjr4g8C+Gtd8UeJPAV9pE83hv8A4SrQ/EOi32mzEAx2p1c20e+15YpJv89F2opkA%0aBHxNbWPw4+BNl+zTrerfEC38WX1jqmpXHjIeFfHwuZ7S5vEBhZEivV8oKflmmh2q4jO9nDK%0aGAPvb4Kfts6J8eviP4V0Dw74av7XRvEPha68TQalqk6R3EXkajJYtA9um9eWiZw4lPBA25r%0a6Muf9Wv8Avp/6EK/PL9hf4d6d4e+P2gWfhzxVo3ijQvBfgjUNCbUYNX0uW41CSbWZbsTx2l%0ane3TxwhZ1XdKUOcZUE7R+htz/q1/30/wDQhQBi+P8AXNa8NeD9T1Pw74dbxZrNrGJLfRo7t%0aLVro7huVZXBVTt3EZ4JAGRnNfMXjj/gobD4GvNQ1O8+D/jm38CaNZWdxrWt6rbJpd5aT3WV%0ahgisroxtcfOCjsj4Uo7AMgDt9C/GvTDqfwv8Q/8AE21nR47W1e9ll0C9FldypCPMaFZ9jNE%0aHCbC6YcBjtYHmvze8EaBc/ETxB8HvFHiKz0a7+HXiFynw7+E2t+LNRmtYbiAuszXRj0iYTk%0aPI8gkmYEKwV5HQbQAfbPhb9rdPiD4h8ZeFPDPw78RyeN/D2ixaymk6rdafDb3YmVWt4xdwX%0aM8aGRXVsnouTyRisq1/bk0i9v8AVdPh+GXj/wDtLRdDXxBrNpd2ljp8mm23zbvNW7u4Wyux%0avuggjDKWUgnxX9m7wzY+J/BH7QnhPxRDHo/gDwzPN4dvLK1nN3q0Asl3x+Tq4S3klt4FDrD%0aHcQu6qEUybAUPzR4l8O65+0T4wln0rVJvH07aZ4Ne91HUYrHSrq63mQrG0N5MYGuWVlURl5%0aFkfkblagD9OPhb+0VH8UfC9j4qXwF4p8MeDbzT21SPxFr8mmxWwtwpfeyR3kkygqCQTHjHJ%0aIHNeYeF/wBv/RfFvwvi1mw8FeIbnx5faTc65pPgiy0+9vpr+yS6mt4J/PtrWRYUlaEjMirt%0aJHVSjv8AJ3wp8LeDvFt38XvHWjweI9H+FF78NbjTrp7aPQNM1uWUX2HiSy02PaiTfZ5Ylll%0ag+fbICxAXHhGha9rnwY+IGiXt5Y6p4H8QN4DuV1f/AISia+0OSS5gF9PaQotheWkgWSOxtL%0aWMSsNx2uIm+TIB+vPwh/aU8OfFTU9N8Nz2Gt+FfH82hprt74W13Rr6zmtItyRyYlngjSVVl%0acR70PzYJA4OOf8AAP7W0fxWXxDN4L+FnjnxHY6FrFxoV5eQSaPbx/aodpkVRPqEbkYdCG24%0aIb1BA+Uf2O/iTeeOv2mdYg0rU/DGp+Jj4a1KwtvEz3us6zJDBDdWjRqyXWrzgwu8hfarIco%0acPy2dLQNJvvEHjDx3B44+DvgDQJNO1u4tLHVB+z1rGr/25ErsDe74ZiFEhG4AuxO7Oe5APr%0a34XftG6b8TPiZ4t8AP4W8ReFfFHhe3trrULTWxZsoSdd0ex7a5mViVwTzxn1yB63Xyd+zFL%0aoh+JGv6P4Lvfh7pF/pKW7eJNH0f4Q6j4W1ARSKzQK8lxdjGfvLujfjkDnNfWNABRRRQAUUU%0aUAFQr/x9yf7i/wA2qaoV/wCPuT/cX+bUAeVfF79oa3+Fvjfwp4KsvCWueMPF3iq3vZ9J0/S%0aXtIY3NtGHkEs1xPEsYw2cjdwDwTgHjT+1l4gj8VXXw+X4Q63qfxYtvD/9vT6BpWr6e2nwoz%0a7Ika+nlhJ+Yxq5WFipY7VkC5Plv7a2nXetftXfAey0zTNe1nUTpHiMxWnhjVf7Nvg5tkCOt%0ax9ot9ihsFsyruVWXDZ2n5X1Hw38Q/CV38SdV8Xa94l0z4leDvhVa/bdRtfEdwLyG9k1HfGJ%0abm3n/fDySDtZnXpxlRgA/RD4tftV2H7PmleDB8RfD72mueJri5to7XQ9UtZbKB4ucveXz2a%0aKrIyEFgvJK9gTx1x/wUS+H1tBJM+muUjUuRH4x8JuxAGeFXWSSfYAk14r+0pBH4fT9lqOLV%0abyS+l0/W9YN9r/AIkug5lGkpK7PfS3CywrvYfMJUCA8MgAI+fU+OfjA/EvS7W48fG3STw3J%0ac3GmW/xFml0wXwlAC/aj4tGe4DG4jbbz9lb7wAP0eb9tX4WaX8EPCnxW8R6re+FfCniaUwW%0aB1Gwlmn8wGT5HS2Eu04hc5yRgDnJxW98FP2q/hT+0ReajafD7xhba/e6fGJbi0NvPazrGTj%0aeI50RmQEgFlBALKCQSM/Ff7W2v614o/ZO/Zo1O0udHu/Es/jHT9skWsyavYC9VbhSrXfn3D%0azIsqlWbzpG+UjdkVSs9W8c+C/2sPjOvjTT9Oufjxr/AMN72XQb/wABXLPptuI7QGKPyZEE6%0aTl7VSHdyeVUKFZTQB9dfET9vb4B/CrxXeeGvEnxFsrfWrJjHdW1lZ3V8IJFYq0bvbxOqyKy%0akMhO5SOQK9s8L+JdN8Z+GdI8QaNdC90fVrSG/srkIyCaCVA8b7WAIyrA4IB55FfnR+yx4u1%0a/4bfsAW/jP4IJ4Fu9d0aPU9W8djxQLl7qRoBLKqqICpMnlKuwSELtK85LGvtL9lHx7c/E79%0anPwB4nu9N03RptQ0tG/s/RoDBZ2yqSixwxlm2IFUALk4xQB6lD/rJ/98f+grXI+NPjX8PPh%0axqkWmeLfHnhnwvqUsIuY7PWtYt7OZ4izKJAkjqSpZGG7GMqR2NddD/rJ/8AfH/oK18J/tDv%0aqkP7cvijXdC8V3/hG/8AC/wSutVN/YwWsm5or+VxFJ9phlTyzuViQA3y4DDmgDofiV/wU78%0aE+A/FvjfTNNs9J8W6Z4etbC6ttT0nxPaEaoJ5I1nSBSMM8KM7bUZ2YqAQgLMv0ZqX7R3wo0%0aSPT31T4meEdJ/tCzh1G0TUdctrZ5raVd0UyrI4JRl5DYwa/Maf4i/E7V/iV4bntdZnsviH8%0aV/htpRm8XRhLRNMgF68l1fSFAixpHa2zliu3GQQCSDX17+17+1Ba6Dbaf8ABzwd4vs7Pxn4%0agghh1Xxjf3UMFl4b06VfmvLm4ykaTypnyo1Kklgw2loVkAOq+CX7e/wy+KOjeIL3xB4p8J+%0aBJ9N1y60q3tdS8UWpa9t4tmy7Tf5Z2SbjjAYfKcMe30ZpWq2WvaXZ6npl5b6jpt7ClzbXlp%0aKssM8TqGSRHUkMrKQQwJBBBFfkv+xT4z0f9nA+I/FPhLxLp/iLTT4m1DSNd8GRajFNql5o0%0aASS21azhVt0zQKbhn2qVeIyHjZuX3/42aJa/GT9r/4P+PdM+G158Z/hpceELhi9lp1tc2Mj%0aO05j3vePHbq4JU7ZHVweAN3FAH0j8B/2hv8AhdvjD4qaF/YH9jf8IN4hl0H7R9t8/wC27C4%0a83b5a+XnZ93Ldeter6zrOn+HdJvNU1W+ttM0yziae5vbyZYYYI1GWd3YgKoAySTgV+UHw2+%0aH+keI9C/a6sLH9nq48Qasupata6MLTTNHmm8OSGGcRQopuN6sjbSFsxLyg2bjtBzvjV4a17%0aW/hv8G/A2raPf6avgf4Ra34j1S1vrV4Xhma1e3RHDDKukggJVsECVf7woA/RH4BftTeHvj5%0a4q8deHbGzk0rVvC94iiCa5jmF/YyoGt76F4yUaKQfMNrMArRndiRa9rr4n8F/AnwR44/Ym8%0aNyvFpmh+PvGnw7sPC9lrclyLa5uZRbNLb2qOWGQz53ovMqIFfcqKF95/ZG1Lxhqf7N3gGTx%0a7pF7oniuLTUtry11FNlwfLJjjkkXqrPGqOVYBgWIIFAHr9FFFABRRRQAUUUUAFFFFABRRRQ%0aBDN/rIP98/+gtWL4+8e6F8L/B2q+KvE19/Zmg6XD595d+TJL5SZAzsjVmPJHABNbU3+sg/3%0az/6C1eD/ALfH/JnfxU/7BB/9GJQAfDf9vP4DfFrxfY+F/DHxBtr3XL5tlra3Nhd2YmfsivP%0aEilz2XOT2BrqJ/wBqX4XW3xvHwhm8UpF8QyyoNHeyuQCzW4uFHnmPycmIhgN/JIX73Ffnv8%0aPx4m8R/Fn9jvRPjfcaLofhCw0Sy1TwFfeHLaT/AImFyIrU29reTzPlJQYrXeI1Kszoo++GT%0aO/am8NahF+1r+0H8StBiD+JPhpeeE/E1rjOZIktYEmjP+wQyu2e0R+hAP0b+K/7UPwx+B/i%0ajQvDnjXxQmja1rYBsLMWVzcNKC4jBJijcICxwCxGcH0NVvjR+1p8JP2etTsdN8f+NLXQtSv%0aYzNDZJbz3c/lg43vHBG7IpOQGcAMVbGdpx+aH7RviH/hoXWW+O6LKfD03xH0Lwh4WeUFWNl%0abwXctw+09nmdGHTB3DmvpD9pT4S/Fv4c/tLeI/2hPgfqPh/wAVX0GmJpviTwzqksbSWka28%0abkEMybUMccE2FkSXJGAyORQB7N8TP29Phx4M8EfD7xToer6X4i07xhrNvYQrdaj/ZksFk80%0asM2oNFNH5nlRPCyksqr/ALY7x+M/2+vBXhI+PLq18L+KPE+geCk0+XVvEGhHTpbLy71Ee1k%0ahL3iPMjiRcMiEd+mCfjD47ftS6v8AtH6T+zOfC/haPwla3niuLWbx5ovOsI9V/tBoI/uGNp%0aMsZ5nGVZhP97OWrU+MM+sal8OP26dQ1u1s7XUZLrwtbXS6dO09qLmIxLMsUjIjMoYjG5VOC%0aMjNAH338a/2lPDvwL+Hnh3xhrOl6zqllrt/a6bZ2mlRQtcGa4jZ4wwlljQDCEE7uCR25GTD%0a8bfim3jCe2m/Z28Tp4WWANDqaeItEa+eb5co1qbwIq/e+cTseB8vJx83/tn67o3xn/Zp+FG%0ai+G7231KYfEXR/DM8dxau8aXyQzRyQvE+zzACeQDhh0bBzXh1v8P/AA34u/aP8Z67q2meDP%0aDek/C26l0Zl8OfBzUNU8P6wQkwuZL62tp5I4ngLcF5AeEbPycAH2hqf7fHhWf9m1/iz4e8O%0a6rfvcaynh7SvDmpvFaXeoX7ShPJVozMq/LvfPPEbcdK0fHP7aemaVqcFh4I8F+KPiPd2HiJ%0adB8TwaNomou2hBc/aJDJHaSQzvFxmJJAW3KVJB3D5b/aN0Pw34l+BfwdvPBmradNq+teI5v%0a+EOPw48FT6XYQwyBVvr2bS2+0zTPCkMjBotkgZ1ZVO0k+Iafew/Dq/wDiHonh+0vvhVr2te%0aILPwnoutaj4ru/Dkeh2lvZq0NzqK2x2TSyR4eTzAdskrH1BAP0g8V/tx/Dbw94WbW7CLxB4%0ajMfiSDwnPptnpMllewajMjOkUkd99n28JgkngkZ747H/hcPiz/ohvj7/wADvD//AMta+SdD%0a8WeCPjd+yB8TdE13V/C+kanFrV54T07XPiD47m13TLvUYLVFGo2d3egmLctxI6eSgIGGGM8%0aUvh3feE/BPgjw74bj8cfDieTTbGCzaSw/aW1yyhmkVArOlvFDsiDMCwjThc4HSgD7C+Cf7Q%0aekfHDUfGWm2Og634e1TwlqI0rVLPW1tt6T4JIRreeVGAwRkN9M16av/H3J/uL/ADavCf2Of%0ain/AMLN8FeL7b+wbrQW8K+Kb7w3LHe+J7vxBJPNAI2kkF1dKspQmXCq3QDoOg92X/j7k/3F%0a/m1AHjX7Uf7UOh/sxeF9H1LUV0/UNQ1PUYLOHS7nVY7KVoWcLLcLuViyRBlLYXAyMlc1V0r%0a9rTSPGXj7xX4V8CeDfEnxEl8NR2Et7qvh250n7A6XkHn27Qy3F9F5oK7hlQQCp7YJ8d/4Ko%0a6rrWhfBnwxdWt9Z/2a/ijTo10waVJc3txdK0kqGOQXCLjbE37vYSxxh1r5d+J/jVLH9pu28%0aZeJNThuvC/iPx/4E8RWHiux0m4tdP1SCx02dbiS1RmlZhG88aOgZ2RjtYqeKAPsvxX/AMFE%0afAulfs76D8VtKszKmuX32Sw8Pa9qMGnX0yJc+RPMqqZtyxn5jtyMEZK5ra179uHw1a/HHTv%0aA3h3R77xvoKaYNU1zxV4YgudVg0pJI2e2XyrO3mMvmgId25VVZAcnkV+f/wAQfDHxI8JfsJ%0afBLwlqHhzUPDNlZ65e6vq39sWUkEkUy6kkNrE8bhWG4XjSAEjcqEj7ua9D+J2ieIfjH8XfH%0ao0ezt/gR410vSrzQ/E1r4H0HVfEkuuS3YSaM3stjYCKKKZSxEpLzjBypIAUA/R74S/GDwj8%0ac/B0PirwRqp1rQJppII7w2s1vudDhwFmRG4PGcYrs6+cP2APG1x42/Zt0VhoegaPo+lTzaR%0apU/hqS4+xajbQNs+0xx3CiePc+9SJsyMyM7Y3gVN/wUK8Wap4K/Y1+Jup6NM9vfGygs/Ni+%0a8sVxdQ28uD2/dyvz268daAPWvhn8WfCvxj0S61nwdqh1rSLe7lsv7QS1mjt5pI22uYZJEVZ%0akDAjzIyyEggMcGue+E37Tfwy+OXiHxBofgfxTFruqaCcahbpazw+V87JlWkjVZF3KRuQsOn%0aPIz5t8bPHGnfsjfsMzXXhx47ZtI8P22k6KyYBe4kRYo5Rj7zAsZWPU7WNfDn7OniNP2afjn%0a8AbkfD3xx4EttU0s+DfFd54t0FtNtr+8uZ2mSWGVmPmbZ5FG5wpEUKcDnaAfqZ4U+LfhTxt%0a4u8TeFtJ1Qy+IvDUqRarplxazW00G8ZRwsqL5kbDlZE3IwIIY5FdhXyT8Zo/8AhCv+ChHwB%0a1nR3aK98X6TrWh61BFgfaLW2gW4hLgDJ2yPuye0QGcCvragAqG0/wCPSH/cX+VTVDaf8ekP%0a+4v8qAPEv2pP2rNH/Zs0TTYYdJn8Z+OtamSDRPB+muwu78lwGYbUkZVAzg7DubCgckjof2b%0aPj/on7Sfwo0rxlo/kW08wMWoaVHcedJpt0v37eQlEO4cHJUZBBHBBPx/4V+FHhyP9qL4g63%0a4Ou/jl41+J/heVbLV/ETT+FbhYDcxllFv/AGgq7AUV0HlouxNyDajYOv8ACP4YeF/C37ZTR%0aDUfjN4I+J+v2T+Jb+LUp/Dq6Zq1ushjf7RDYLJGxdvMz8qtuLOGVyHoA+ivDH7UZ8e6p4ut%0aPCXwu8beJoPC+v3nhu/vrSTSIITeWzAShBcahG7LhlIbaMhh0IIB4n/ajPgLVPCNp4t+F3j%0abwzB4o1+z8N2F9dyaRPCLy5YiIOLfUJHVcKxLbTgKepIB+JvCV1De/EzXvCX/AAh/gLxDce%0aK/jn4w08aj438NjWRp6pDaSZhj82IjcQAw3DOF9Kg8Q6pCPiNofhb/AIQ3wF4buPCfx38J6%0aWdQ8EeHBow1BSl426aPzZScHO0bjjc3rQB9l6/+2r4O8JfGPxb4L1u0vbbSfDy6dazeILOC%0aa+WXU7wsYtPW3gieQyFFyCN2SHUhSBur+Ff21NHfUdag8e+DfFnw3sk18aPoWpav4d1T7Nr%0aEUj7Lebe1mgt2kP8AyykwVyPmPOPzZ/ag0b/hEvH3xI8S6Vo3jPUNK03xwbnQ/EWvW5isrn%0aUVd31ZY7uEQykiXTljjELEolvKd8bNz0t/8ehrmuWNpqeueGvGUFhq8U9rY3XiXxHdrPNDq%0aFjDE8ccuuSoWK3U0y5Rxi1fhhuKgH6T+Jv2nrDRfjddfCnSfBPinxd4ttdHXXZk0f8As+OB%0abVpFj3eZdXcOSGdAVAz83GcHEF5+1LBoHxH8EeC/E/w58Y+E9T8Y3E1rpU+oPpc0DvEgeTe%0aba+mZQAy9V53cd8eC/Hmy8VzftH2+j+J/ht4F8X+HLnSPtjeOp/gzqfiCS1bzZFisG8i5kM%0ajBVDFgUUb/ALozim+Ebfwp4d+J3hTStIj+GPhDxvq00o0J7r9nvWdGuJnjTdKYZpruMDajf%0aMQwwGGeoyAfddFR26yrBGJ3SSYKA7xoUVmxyQpJwM9sn6mpKACiiigAooooAKKKKACoW/4+%0a4/8Acb+a1NULf8fcf+4381oAmrxj48/tN2f7PS2t1r/gXxXqejXd5b6fb6vpB054JbmbOyI%0aJLeRyg5BBYxhf9qvZ6+F/+CleueM5PCngjQ28P+Hzp1/460uLSJ4tfma+u5hvZVktjZhY0J%0ayC6yybcrwd2AAey69+19/wjPxH8MeAtS+Efj628WeJY7ibStP83RH+0pBGZJT5i6kUTaqsf%0anYZxxk0nxP/AGzPCPwt+NXgH4e6tc6Np8mvQ3U+tX2q6/bWh8OCO3WaFbhPmUtNu2qC6g8F%0aS4PHg/xo1j4mSft9fs8T3vhLwpb6/Hp+uCwsYPFNzLa3Cmzl8wy3B05WiIXJAWKTcQASucj%0ay7/gojqHiiz+KmpzeJvDUmn3PifwHaeE/Ds1hcG60+TUZNTgmu1+0FY2UrGZFBeNdwAJUA0%0aAfaN3+154fg/aJn+GsVtavolhosGqat4ym1WGGxsJbhlFpbtvwrNMJIimH3N5i4VgGYdX8Q%0a/jg/wAO/i38PPBtx4R1rUdP8YSXFqniGxj863s7lE3pFIiZcBlEjM5CqqruywEhj/N/QvhN%0a4c0v4Z/tAafreq/FLxh4S0nX57PxJqul6P4bhSG5scqDuu7h7qYR5BRoRD8rMAilmA98vfj%0aprPwg8Y/s023iX4uX8vw08YeFLy512fXbWzsNyRaYr28gljUzwzO8iEhbhyZMBSc4IB9F+L%0a/2j/8AhFf2pvAnwb/4R37V/wAJRpVzqf8AbX23Z9m8pJm2eT5Z358nGd643dDjnufH3xV0X%0a4b+T/a1l4iuzLG8qnRPDeoaooC9d72sEixn0Dlc9egNfEPxK+Efh+L/AIKN/BTRIL7xadN1%0aHwzf3Ly3XivV2vkIiuyAlzJc/aIR8oyiuoPII5OYf+CjekeF/BEHgMWOpQ+LPE2jWl7peke%0aBdf0668TT3smossYnmnluTJE4MZ8ln3szx4QMIyFAPcPDv/BRr4XeIpPCYXR/HNnD4isLrU%0aYJ5vC11IkMVvu8wt5IcyjCkl7cSov8bJg47L4i/th+CPAPgv4feKLWz1rxZpnjy+h0/Qv7E%0ato0knklGY9wupIdgY4GWIwTzgc1+br+CfBnwsk8O65NdeEfEth8ONJlsvE9ndfB3WGlN1cA%0aCIXqXBhhnk3NhJbia1IGCEYnbXuX7T0XjF/g5+ydF4g8P+H/AAH4vPjmzQaPo1qG0zT281h%0aAEhjmIKBPLYosozlgGXsAfWvjj9pbU/hx4R1bxP4i+DXj7TtD0q3a6vLr7ToUvlRL1bYmps%0azfQAmmeKv2vvBng7wn8LPEN9pXiiey+IotW0qPTtGkvJYRcQiZBMIdw3hWA8uMySMd2xXCs%0aR55+2HofxZt/wBl34myax418GX+lrolwbm2sfB93bTyJjlUlbVJFQ+5Rh7GvEvjp4j0jT/2%0aY/2L7C71fTLK987w9eGG+8QPou2BdLKvM11FmW3jVmUGZAdpYdyKAPobT/2/PBWvayuj6H4%0aP8davrEniS48LwWJ0iOxea6hi81iGvJoUUbc5R2WVOPMjTem71j4EfG7Rf2g/h/F4v0Gw1L%0aTbB7q4szbatHEk6SQyGN8iOSRcZBwQxr8ufh94m8L6n468OaPdandagP8AhcviHUriDwdrm%0aoaxfi0bTrdUmhurbF9cIzI+2cKGkEchPRq+2f8AgmNs/wCGV7TyvN8v+3dV2+du34+1Pjdv%0a+bPru59eaAPrCobT/j0h/wBxf5VNUNp/x6Q/7i/yoA4v43/FzSvgX8Ltf8aaupuIdNgLQWS%0aPtkvLhvlht04PzSOVUcHGc4wDXkXin9tCHSLP4baVonhmy8V/EjxdcNBceDdO8S2ay6YYYy%0a12r3D4jMsTKYxG/ll3DLlSpFb/AO3Dpd1rX7NPi6w0vwMPiDr13EtnpWl/2aL4w3MzeSt0q%0alWCGFZHkDkALt5IBJr5asf2R9F+HnwY8Kaf4i8M3PwxsrFbW61bxZpVjcav4xkv7Z3nNxB/%0aZomisYVMlyBcO0/7t4kZUZUNAH2X8Evj/p3xxvPGNrYeGte8PzeFdTOjah/bItGQ3ijMsMc%0altcTI7R/Lv+bguo55xP8AH34+eH/2c/Btl4l8SWep31hd6lBpSR6VFHJKJZd21iHkQbRtOT%0anPsa88/Y18Iaj8PfC1z4e0Xxn4O+I/wutzI2j+I9CdE1D7QZWaWG7EO+CdgGUmcOrlgdyHd%0alfz/jEjf8EytAETKkp+KACM67lB3vgkAjI9sj60AfsLqd1LYaddXMFnPqM0MTyJZ2xQSzsA%0aSI0MjKgZiMDcyrk8kDmvHfAn7Sq+OP2ZNT+LZ8J6not1pml397deHNVD28qT2iSGSFZWjG5%0aC0ZAlCnryoZWRdjVdJ+JVn4H8VPrfjzSUuksWmsb7wr4c+wXFrJGC5J+13N7HIGChcGMYBO%0aDnBHyn4D8f6b+1H+w14i8R+KfGWq698SdI8G6rPq8eja5d6dBESb37OLq1s5IrZmZIfuSIS%0ayAbgVYZAPrP4BfGlPjd8DPDvxHk0eTRI9WtJbptNhka9eEJI6FVKxq0hOzIATJzgA1w/in9%0auLwB4S8VWWgXeh+Pnu7rTrrUkb/hC9ShxHAoLjy5oUlbOfvqhjX+N0HNeY/sQeA/DejfsX+%0aEPF9/4k1Tw/K+iXonv9S8TXw0qzDSTRmVrR7kWqBQQeFXB5BB5r4g8CeEPBq67r891c+HLX%0awb4TsJPBWm+JNb+E2pzxa7qUpJZ7mOF38m8jZ1VXkbzQrR/uc5AAP1J+Cf7XPw9+PNxo9ho%0aEus6frWqaW+s2+la1o1zaSNaLII2lWUoYJFDkDMcrjOeeDjD+F37YcPxr0bUdX8D/Cnx34g%0a0qw1CXS5rtJNGt1FxGFLqFm1FGIw6nO3HP1r5y/YIs9W8I/FOy8BaR4M8I3K+EtIW38YeK4%0a/Bs2h6vbyXMZmtIhNdSpdXIkKZZntIgAikAgq1Wf+Camk/EW++DXjKTwp4p8MaLpo8aaiGt%0a9Z8NXOozGTy4MsJY9QtwFI2gLsJBBO45wAD6g8BftRaR41+Knif4d3fhHxR4W8U+HdLTV72%0a11WG0nHkNt2iM2dzPvch1IUc9uvFcVpH/BQr4b6zY+G7qHQfHapr2vt4dtt/ha52rcBnXcX%0aAKOMof3cbPMO8Yw2PN/grLqvh7/goz8Z7jxnrekXd1a+C7Oe71Oxsn020SJfs7bjHLPMUCq%0aPmYyEcE8DivlH4Y+NfDlhqHwhvbnxJoEFrb/Fee8nd/HU8skNuZ7giaTSnAtraIggi5Vstk%0aZ++aAP0H+GX7b/AIW+KPiX4eaVZ+D/ABbpNv4+bU00DVNSjsRbXB09XN1uEV3JLHtMZUbox%0auJGOMkfRlfkt+xtJpM3xH/Y3ls18Qpqcj+NZL0amNQFhho5zF9j8/8A0b7h/efZf4seb82K%0a/WmgCFv+PuP/AHG/mtTVC3/H3H/uN/NamoAKKKKAPGPjz+03Z/s9La3Wv+BfFep6Nd3lvp9%0avq+kHTngluZs7Igkt5HKDkEFjGF/2qw9e/a+/4Rn4j+GPAWpfCPx9beLPEsdxNpWn+boj/a%0aUgjMkp8xdSKJtVWPzsM44ya8a/4KV654zk8KeCNDbw/wCHzp1/460uLSJ4tfma+u5hvZVkt%0ajZhY0JyC6yybcrwd2Bl/GjWPiZJ+31+zxPe+EvClvr8en64LCxg8U3MtrcKbOXzDLcHTlaI%0ahckBYpNxABK5yAD6U139o288PfF+TwHcfDbxTcTzeHV17Try0+zPHeMsm25ty5lWGFog8ZL%0ayzKrElQQTCZvK9O/4KW+CNah0n+yvAHjrWdQ1W5ltLbRdKXSrvVvNiDmQSWEV+1zFtEbkmS%0aNQAAc4Iz4v+3z8RvH1lfeP/Ausa4f+Ee1P4aR+Ibjw9GLe4trG+GqW8BWC5FtDPJGArH95y%0aS5OANqr8w/Fb4U22jwfFwp4O1+x/szwjot6pudM8MR/ZDK6gyy/Z1BRH6K1ridv+WxIzQB+%0ar/xb/ab0j4Q+N/Afg+68LeI9e8S+MxP/AGZp+jrZ5DQhC6SPPcxIpw/ZiDg89M4fxT/a3f4%0aKeCb3xd4z+EPj7RvD1k0aT3nnaJPsMjqiDZFqTOcsyjgHrzxXz/8AtKQatc/tK/scRaFe2W%0anas1pfC3utQs3u4I2+zW/LxJLEzjGeBIv17Vof8FI9G+J1n+yH4ul8SeL/AAlq2kC4sPNtN%0aK8K3VjcOftcW3bM+pTKuGwTmM5AI4zkAH0b4+/am8I/Dj4jeFfBeq6X4putU8R2M2oWsuke%0aH7rUIkjjUMQfIR3dueREsmzgvsDKT5xof/BRLwR4r0rS77QfBXjrVvt2majq5gFhaWrw2tl%0aIUuJC1xdRpIBjIMLSZ5Xh0dF8r/a68VaFa/tK/AO1ude0SyuLHQdVe7TUvGs/hhbZZIYPKM%0at7bBpod+xtoxiQqV6Zr5S+Fmv+GdZ8E+ANPuLzVr2TSfhx4uW5j8LT3001rcSandPCtz9hP%0amLGVZGbzgIikiF/lYUAfsB8K/iNpvxd+HXh7xpo8F1baXrlml7bQ3yKk6IwyA4VmUH6MR71%0a1VeH/sQf8mjfCf8A7AFt/wCg17hQAVDd/wDHpN/uN/Kpqhu/+PSb/cb+VAE1FFFABWZ4l8U%0aaN4M0S61nxBq9joWj2oU3Goancpb28ILBV3yOQq5ZgBk9SB3rTrD8YXniSy0gSeFdJ0rWdU%0a8xQbbWNUl0+Hy+ct5sdvO24cYXZg5PIxyAfLmh/wDBTj4U3/gT4h65qVzBour+E7qe3g8Py%0a6nbT3GsKGKwPaPEzJMJCAGMZdY+SWKYdvpf4BfFW1+N/wAHPCvjmzsxp8Ot2guDaC8hu/If%0acyunmxMyttZWHZhjDqjhkX8+P2nPjj4u0r9tb4QXWr+EvDkN54GDf2hJp/iS5udNtTqmLeA%0aXl0dPRrUghXx5T5V1PFfpZ4Mudbu/DVnL4i0+w0rWW3+faaXfPe28fzsF2TPDCz5XaTmNcE%0akcgbiAbdcl8XP+SUeNP+wJe/8Aoh662uS+LvPwn8a84/4kl7z/ANsHoA/NS37Vfj7Vm28bc%0afvG/If4Vfjjbj96/wCQ/wAKALa9KWoljbH+tf8AIf4Uvlt/z1f8h/hQBJRUflt/z1f8h/hR%0a5bf89X/If4UASUjdKWkbpQBXk71QuO9X5O9ULjvQB+lfwj/5JR4L/wCwJZf+iErra5L4R/8%0aAJKPBf/YEsv8A0QldbQBT1X/jyP8Avp/6GKp1c1X/AI8j/vp/6GKp0AeeWnwM8M6b8XfEPx%0aMs/ttt4u1zSo9IuLv7R5qRRIcq0SSBlRuEyANh2Alcli2Z8OP2eNL+H/xL8Q/EG78R694v8%0aYa3ZQabPqeutaKYraI5WOOO1t4I1BO0klSSVHI5z6tRQvdtborfJ3v99394PW9+tn91rfdZ%0aCV4V8Rv2UovjDoy6F45+JvjXxP4ZN5DeT6JOmk28FwYpA6xu9vYRzbMjBCyA4755r3aijqn%0a/AFo7/mh3drf12/UaiLEioo2qowAOwqOb/WQf75/9Bapqhm/1kH++f/QWoJSSVkZPjXStW1%0avwze2Gi3elWV9cKI/M1vTX1G0MZOJFkgSaEuGXcP8AWAc5II4Pzpb/APBPbwH4nt9Pk+JV9%0aeeN7zTYWg0u009RoGk6MpleQ/YLKyKCLJZdxkeVmMaktxX1PRQM+bNO/Y/v9B+FnxJ+H+m/%0aEKeXR/GNjLA2q6potvNrCXEylJ5rm7iMP23epYEyp5nzH96eMcV4d/4Jn+D/AArdf2na+KN%0aW1PV7XUrDVNOi1lBLpkctlbiG1W4tYWhNwkWZSg8xCFcISw8wyfZFFAHzP8C/2IdG/Z90vR%0aNQ8Na6X8f6bot7pEmu3Nli01D7RdfafMurSOVWk8tvlRRMuFPJJClb+lfsVeFdf8Qax4p+K%0a2pXXxc8X6tpp0ma81mJLeysrZtwaKxtYsC2BDfe3PICCwcM7lvomigDxP4ZfAPxT8JtIl8J%0a6J8UdSl8AxWpttKtNR02G61fRxg7Ut75yY2iTICpPby7VVUDbQBWP8UP2QB8Z9H07S/GPxc%0a8faxYadqEOq2sXlaLB5dzEGEcmYtNUnG9vlJIOeQa+hKKAOB8MfDbxDoGuW1/ffFXxd4ktY%0at2/S9UtdHS3mypUbzb6fFKNpIYbZF5UZyMg9xc/wCrX/fT/wBCFTVDc/6tf99P/QhQBk+Nd%0aK1bW/DN7YaLd6VZX1woj8zW9NfUbQxk4kWSBJoS4Zdw/wBYBzkgjg/Olv8A8E9vAfie30+T%0a4lX1543vNNhaDS7TT1GgaToymV5D9gsrIoIsll3GR5WYxqS3FfU9FAHzZp37H9/oPws+JPw%0a/034hTy6P4xsZYG1XVNFt5tYS4mUpPNc3cRh+271LAmVPM+Y/vTxjivDv/BM/wf4Vuv7Ttf%0aFGranq9rqVhqmnRaygl0yOWytxDarcWsLQm4SLMpQeYhCuEJYeYZPsiigD5j+Cf7Bvhb4L6%0aPojWHiTWY/FVpo93o1/r+kFLB9SiuLsXLtImH2spzGjBtyKxIO9UdOfl/4Jw+Ez4117WovF%0aGqra65ealJfRzg3F69td6RLp/ki7ldmZ42ubiYSyK7NvCsGIMjfXlFAHzz8K/wBkCz+FPx3%0av/iBY+Jp73T5rK7t7fSLizUSxSXMlu8rvcB8OubcBVESkbuWbHPsHjfwlqviuG0TS/Guu+D%0aWhZi8miQ2EjTg4wH+12s4AGONoU8nOeMdNRQB5d8If2e9E+EPijxn4oh1fWPE3irxfPBPq2%0ata48BmlEMeyKNUghiiRFBbhUBOeSQFA9RoooAKKKKACiiigAqFf+PuT/cX+bVNUK/8AH3J/%0auL/NqAPM774GQ6n+0hpnxZu9ZklfTPD0mhWWjC3AjiaSbzHuPM3ZLFfk24Axj3z594k/Yr0%0a/XtA+OtuPF2oS638VJYTcaxqVslw+nwRIqxQKiGMOiHzAvK4QxqclCzfSdFAHg3jj9jvwn8%0aTLHTYvEuq6xcy2HhGTwjAbSSKKKCOUIJrqJGRys7qgTLMyheNueaoeK/2Efhl4ttYHmufFl%0arrtvBb21trsfia8muLeOGeOdEjinkktlj82JG8ryfLUgFUUqpH0RRQB4Mn7Efwpvvgj4Z+F%0aPiDSb3xT4U8PXUt9ZjUdQlinM8kkzvI72xiyczy8YC4I44Fb3wU/ZO+E/wCzvqOo6h8PvB1%0atoOo6hELe4vGuZ7qcxA7vLWSeR2RSQpKqQGKqSDtXHrdFAHzz45/4J9/s+/EXxPe+INb+G1%0ak+q3jb7iSwvbuxjkfu5it5UTcTyW25Ykkkk5r3Lwx4Y0jwX4fsND0HTbbSNHsIhBa2VnGI4%0aoUHQKo6f1JJrUooAhh/1k/++P8A0Fa8auf2TPA+ufGjxr8QfE9hbeMj4lsrC0/sbxBZQ3lr%0aYm2DKWhV1Iw48o4IJVlkIYh9q+yw/wCsn/3x/wCgrU1AHx/4h/4J9yeIZdR8TS/EWdPidep%0aeWJ8QLpeLC20ye0ltF0+309Z1WKKKKXch8wnzFDsW+7X078N/AunfDD4f+G/CGk7jpuhadB%0ap0DyAB3SKMIHfAALNjcTjkkmujooA8j/Zu+Af/AAz54d8V6X/bv9v/ANu+Jb3xF5v2P7N5H%0a2jZ+5x5j7tuz72RnP3RXrlFFAHjnwH/AGef+FJeMPiprv8Ab/8AbP8AwnPiGXXvs/2LyPsW%0a8ufK3eY3mY3/AHsL06V6V4y8I6X4+8Ja14Z1y2+2aNrFnNYXkG8oZIZUKOAwIKnDHBBBHUc%0a1s0UAfN1t+w14cl8PeA/DWt+O/Gnijwj4KvrfUdI8P6rJp32ZZYFZYhI8VnHNIqh2G1pMYO%0aOnFfSNFFABRRRQAUUUUAFFFFABRRRQAUUUUAQzf6yD/fP/AKC1Yvj7wFoXxQ8Har4V8TWP9%0ap6DqkPkXlp50kXmpkHG+NlYcgcgg1tTf6yD/fP/AKC1TUAeX+Mv2Zvhr8QPh94W8E674b+2%0aeHPC/wBn/sa3S+uYZbLyIvKh2TxyLLlUwMlznAJyQDV2D9n/AMBW/iTxnr40HzdW8ZWEWl6%0a9cT3lxL9vto4RAiMryFR+7AUsoBPUkk5r0OigDyGX9kv4Ty/DPw18Pm8JqPCHhvUl1jS9OW%0a/ul8i7DSsJTIJfMc5mk4dmHzdOBjI+K37D3wS+N3jS68W+NPBCax4huo44p71dTvLYyKihE%0aysMyLkKAM4zgD0r3WigDwz4q/sp6D428E/D3wx4Xex8D6b4N8RWGu2kNppoljdLZpH+z7Q6%0aFd7SFi+Sc5JDEk1y11+xLa6j+zb4/wDhre+LprrxF451CTWNb8XPYDfPeNcRyhxb+Z8saiJ%0aEEYkwBkggk19OUUAfJWm/sGTJp3hW11D4jXZbR9f1XxTPLpelpbGbU7pNlvPEJJJRF9m4KB%0ahJuOSTzXTeFP2StR+GP7PMnwu8D+L7CwfVoLweI/EGuaJJqFzqdzcxCOW5RUu4RE/ZQ5lwq%0aoDuKlm+j6KAPIvBX7Odj4L+EPgz4d2ninxDaaH4ftBbXI0i6GnyamfvFpJoh58I8zLgQSxn%0akqzOpIPkOsfsAPe/FJfGGnfEvUtEaPxJD4ggEOnrdXkIjs1thH9oupJRI5C7jLLG5JJypPz%0aV9d0UAeRfs4/AOb4A6X44tLjxRceLZ/E/iu+8USX13Zx20ytcrEDG4jOx2BiyXRY1JY4jQA%0aCu38b+EtV8Vw2iaX4113wa0LMXk0SGwkacHGA/2u1nAAxxtCnk5zxjpqKAPO/gV8CvDn7Pn%0agyfw74clv7xLu/n1W+1HVJllur67mI3zSsqqu7Covyqowg4zknvl/4+5P8AcX+bVNUK/wDH%0a3J/uL/NqAPNPid8Do/in8Tfhv4k1TWGXRfBd5Nqkegrb5S8vjHsgneXfkeTyyqF5LHJI4rx%0aHx/8A8E79J+I+na3Jqfia2t9aEscfhcadoUdrpPhm0S6S5aK3sUlAaSVlcSzGQM+/jaMhvr%0a+igD5d1r9i7UvE3wN8Q+A9X+Ikt7qeu+L38X3OrHTG+zwSPcrcPbW9q1wxii3KcDzDhnduS%0aSK6PSv2W9X0X4x/Evx5pfxW8QeHB40nsppNO0PTdOxD9ng8oB5LuC58zOSRsWPGSCG4I9/o%0aoA8l/ZZ+Av8AwzR8E9E+H39uf8JH/ZstxJ/aP2T7L5nmzPLjy974xvx945xnjpXX/FT4b6R%0a8YPhz4i8F68jvpWt2clnMYyA8e4fLImeNysFYZyMqOtdXRQB89+Df2ZD4y+Cng/wL8c7PTf%0aGNz4Ou0OmXumaleRx3aQKY7W5nQeWRMI2KsjGVSQW3HeVX0z4u/BTwZ8d/DVtoHjnRv7b0q%0a1vI9QgiF1NbNFcIrKkiyQujggO44P8AEa7iigDwnR/gVr+tftS3PxV8X3WmvpmhaS2i+EdK%0asp5Z3gWQkz3lwzomJnX5Nq7wFY5YkAn3aiigAqG0/wCPSH/cX+VTVDaf8ekP+4v8qAPn/wA%0aO/so6v4Z+L3xN8caX8WPEHh8eNbu1upNP0PTNOAh8mNkAeS7gufM+8SCgixk5DcEWvD/7Lu%0ao6R+0jpnxZ1P4lax4smsvD8uhLY61p1kku15TJuWW1igQKCT8piZsk/PjAHvlFAHzj4S/Yb%0a8BW994luvG9lZfEBtR8b6r40sIdQtGjgsXvliV4Hh8xo7gKIh80i4PUIpFM8RfsbabrHjXw%0arPpR8I+DPBPh/wAT2XiuLQ/CvhFbC8u7q0jcQC4u1uNjqHlc8QA7TtyPvV9I0UAfL3xx/YP%0a0T41+II9dvfF+tHWI9L1fT1m1ZjfxJJewmFJUh3IkSwqTiOIIrEKx+fc7Zviz/gnzoutSWk%0aul+ML/AE+WS9Nzqhu7RLlbiNryyu5EgCtH5LGTT4QrMZQqs4KsSCPrOigDN8RaVc63ot1Y2%0aesXvh+5mUBNS05IHngOQcoJ45IyeMfMjDBPfBHlen/sx6fL8WPDPxE8UeNPFHjrxB4ZguYN%0aHXW/sENvZmdQksgjtLSDc5XIBcsBnOMhSPZqKACiiigAooooAKKKKACiiigAqFv+PuP/AHG%0a/mtTVC3/H3H/uN/NaAJq8H8VfsoWHjz9pbw/8WfE/ivVtdtPDdsP7C8KXKRiy0673EtcIVA%0aLZ/dthgX3xqTIyqiJ7xRQB4947/Z7/AOE2/aP+GXxW/t/7F/whVtqFv/ZH2PzPtn2qB4s+d%0a5g8vbvzjY2cY461znxf/Y28P/tC/Em68QfErWLvxF4ettNbT9A8MwIbWDS3lTFxdM4Ymadi%0aEKMQqoFGVchWX6EooA+O9N/4J6TaB8PPip4M0T4s63oXh/xtqd5fR6VZ6TZyWlpFPgLDKZ0%0akuJtiqql0nh3AA4U5J9d0v9lPwa1z8IdS8Qwt4i1v4Z6Qmm6TPMu22aVYoUF0YCWAkUwBk5%0aOwtnlkRl9nooA8w8R/s9eHfE/x98J/F26vdUj8SeGtPn06ztYZYxZyRyrKrGRTGXLATNghw%0aOBwecyfGX4aeIviZDp9npms+GdLsbWVbpJNa8LDWLu1u0J8u6tHkuEiilQE7WeGTBOcEZU+%0al0UAfMOo/sDeFJ7LUZLPxr4xh1vVbm4vtZvtQvLfUbXXbiQsUa/064geymWIkeWqQR7dikE%0aMqsNT43/sr678efC/wys9Z8fwaRrvg7W4dZk1fRtBWNbpoidgiglnkWFgNvLGVdwzs2naPo%0aqigDwP4qfsx+Jfif8ADrxD4Tuvjh4za31ize0kF9puiSwEMMfOsNhDIR7JKh/2hUs/7K8Wp%0aeFfgr4ev/GmsrpXw3hst9nphFnFrE9rAkUMspUmRNrJv2ByPmIOThh7vRQB8t+Hv2HR4N+J%0alt410n4h6vqNxo93rOoeHdK8UxNqllpNxqJjMzj97HNKM/aCd0oLNKjFgyO0vqP7NPwNT9n%0af4U2ng7+2W8QTpd3V7Pf/AGb7Mskk8zSELFvcoo3AYLseM55wPU6KACobT/j0h/3F/lU1Q2%0an/AB6Q/wC4v8qAMjxl4aufFej/AGC18Q6r4aLSBpLvRjAs8keCGi3SxSbQ2fvIFcYBV1NcV%0aefACyhjsH8P+N/Hvhi+s5GZLyHxPc6mZFZWDJJDqRuoZByCC0ZZSo2svOfUqKAOA0nwP4zX%0awnqGi6v8Sb24vGuS1j4h03SLO21KKDfuCTCRJbaWTHyl0t4gR0RW+avCU/4JweEE+Gdt8Pl%0a+Ivj4eELfVRrUWneZpXy3gJPm+Z9g8w8k/KW2+1fWtFAHAaD8L9VsJL2PXfiP4p8ZabeWkl%0apLpurw6ZBFhwAXD2dlBKGAyBh8fMeM4IyPBX7M/gj4d/Aa9+Evh60n0zw3fabcafd3MTJ9s%0auWniMU1zJIVw0zA53FdowoChVVR6tRQBwfwo+Ell8EfhHpPgLwpfXD2ukWskFheayq3DhmZ%0a3DSrH5QcBn5C7MgYyDzXld1+xta+Or8y/EPxDDqGljWDr/8AwjvgnSh4a0641EoVN7ctFLJ%0adzXO4h/M+0qMovy8HP0hRQB4r8H/2d9S+C/jC91DTvHV54l0nVII01T/hKdNt7rWrqWLzBC%0a7apEIZZVRZAgW5WcqqhUZBxXF/AL9jLXPgR4X1fRdN+Nfie2t9Q1e41YxaNpOlQQq0oQEEX%0aVtdOW+QZIkCkYwgOSfp6igD5/8Ahx+ytqHgP4+eM/idd/EjVvEt74j0WLSP+Jhp1pFd2xTy%0a8S+ZCiQuR5fC/Zx23Fuc8w/7Bln/AMIN4c0iD4oeNrTX9O1O+1W+8SRagWn1CW9jZLvMTlo%0akD5GMKSvz9Wkdj9T0UAfNHgD9jU+BfGPwZv4/FVrJ4e+FmnX1ppOmW+jtDcXc95bLFdT3Fw%0abh1bc4eRVSJMF8Fmxk/S9FFAELf8fcf+4381qaoW/4+4/9xv5rU1ABRRRQB4P4q/ZQsPHn7%0aS3h/wCLPifxXq2u2nhu2H9heFLlIxZadd7iWuEKgFs/u2wwL741JkZVRE1/Hf7Pf/CbftH/%0aAAy+K39v/Yv+EKttQt/7I+x+Z9s+1QPFnzvMHl7d+cbGzjHHWvYaKAPn7x7+xxoHxQ+JHiH%0axt4k8R6vPrF/DDp9gkEVs9rp+mpGN9m1rcxT29yskxeZjPG+H8soEMYY1PEn7E+geMrs3ev%0a8Ai7UtcuikcRn1Lwt4WuH2RqVjXc+jk4UEhR2BIFfRlFAHzz8Yf2T9Q+K/xF+E3i5PiTq2i%0a6j4DS5X7dHptpNe37TKimTcyC3jf5CT/o7Kdxwq4FUPj7+x/wCIPjt8LtU8GX/xv8Wva3zw%0auy6rpWkT2/7uVZBuS3s7aQ8rxtlXnGdwyD9K0UAeQ+KP2dbbxn8UfC/i7VvFfiD7H4e0mfT%0arPQtPvXsbdZpkMcl15kJWUOYyV+/xhSCMHPkXhP8AYEuPAdlrJ0n4mX2sardeFD4KsL3xXp%0aovxpelNNM7QwrFLASQjwqhLYQxucFXWOP67ooA4z4M/DWD4O/Cjwn4It76TU4tB06Gw+2Sx%0aiNpyigF9oJ2gnJC5OBgZPU9nRRQAVDd/wDHpN/uN/Kpqhu/+PSb/cb+VAE1FFFABXLfEnRP%0aFXiLwpc6f4O8UW3g7WpiFXWLnShqJgTnJjiaRF39MM+5Rg5Rs8dTRQB5D4M/ZW+HvhD4ceI%0avBk+mz+J7LxMXk8Q6j4gnN1f6xI3WW4nwpLjqpXbsPK7TzXpfws8Dx/DbwBpHhmHWNW16DT%0akeKK/1y4FxduhdmVXkCru2AhFJGdqLkk5J060rP/j3T8f50ATVyXxc/wCSUeNP+wJe/wDoh%0a662uS+Ln/JKPGn/AGBL3/0Q9AH5qW/ar8faqFv2q/H2oAsL0paRelLQAUUUUAFI3SlpG6UA%0aV5O9ULjvV+TvVC470AfpX8I/+SUeC/8AsCWX/ohK62uS+Ef/ACSjwX/2BLL/ANEJXW0AVNU%0aUtZkLjcXjAycDO8VV+xXf9yH/AL+H/wCJq5f/AOoX/rrH/wChrVmgDK+xXf8Ach/7+H/4mj%0a7Fd/3If+/h/wDia1aKAMr7Fd/3If8Av4f/AImj7Fd/3If+/h/+JrVooAyvsV3/AHIf+/h/+%0aJqKe0uhLbgrFkuQMSHrtb/Zraqtdf6+z/66n/0BqAKf2K7/ALkP/fw//E0fYrv+5D/38P8A%0a8TWrRQBlfYrv+5D/AN/D/wDE0fYrv+5D/wB/D/8AE1q0UAZX2K7/ALkP/fw//E0fYrv+5D/%0a38P8A8TWrRQBlfYrv+5D/AN/D/wDE0fYrv+5D/wB/D/8AE18w/wDBQDxTqulaB4U0W0vJLf%0aTdUe6e8hjOPO8rydgY9cAyMcdCcHsK8l8MfsR+OfFnhrSdbtNV8PR2mpWkN7Ck9zOJFSRA6%0ahgISAcMM4J+tff4DhnC1supZhjsbGjGo2opxb28++n3dT9Qyzg/BYjKqOa5lmEcPGq5KKcW%0a78rs9b76N2tt1Pvj7Fd/3If+/h/+JqK6tLpYlLLFjeg4kPXcMfw18P8A/DAnxB/6DHhn/wA%0aCrj/4xTJv2CfiBCgZtY8NEFlXi6uOpIA/5Ye9b/6u5H/0N4f+AM6f9VOG/wDoew/8Af8Amf%0adH2K7/ALkP/fw//E0fYrv+5D/38P8A8TXw1/wwJ8Qf+gx4Z/8AAq4/+MUf8MCfEH/oMeGf/%0aAq4/wDjFH+ruR/9DeH/AIAw/wBVOG/+h7D/AMAf+Z9y/Yrv+5D/AN/D/wDE0fYrv+5D/wB/%0aD/8AE18Nf8MCfEH/AKDHhn/wKuP/AIxR/wAMCfEH/oMeGf8AwKuP/jFH+ruR/wDQ3h/4Aw/%0a1U4b/AOh7D/wB/wCZ9y/Yrv8AuQ/9/D/8TR9iu/7kP/fw/wDxNfDX/DAnxB/6DHhn/wACrj%0a/4xR/wwJ8Qf+gx4Z/8Crj/AOMUf6u5H/0N4f8AgDD/AFU4b/6HsP8AwB/5n3L9iu/7kP8A3%0a8P/AMTR9iu/7kP/AH8P/wATXw1/wwJ8Qf8AoMeGf/Aq4/8AjFH/AAwJ8Qf+gx4Z/wDAq4/+%0aMUf6u5H/ANDeH/gDD/VThv8A6HsP/AH/AJn3L9iu/wC5D/38P/xNH2K7/uQ/9/D/APE18Nf%0a8MCfEH/oMeGf/AAKuP/jFH/DAnxB/6DHhn/wKuP8A4xR/q7kf/Q3h/wCAMP8AVThv/oew/w%0aDAH/mfcv2K7/uQ/wDfw/8AxNH2K7/uQ/8Afw//ABNfDX/DAnxB/wCgx4Z/8Crj/wCMUf8AD%0aAnxB/6DHhn/AMCrj/4xR/q7kf8A0N4f+AMP9VOG/wDoew/8Af8Amfcv2K7/ALkP/fw//E0f%0aYrv+5D/38P8A8TXw1/wwJ8Qf+gx4Z/8AAq4/+MUf8MCfEH/oMeGf/Aq4/wDjFH+ruR/9DeH%0a/AIAw/wBVOG/+h7D/AMAf+Z9y/Yrv+5D/AN/D/wDE1Etpdfa5Rti3BEJ/eHGMt/s/Wvh//h%0agT4g/9Bjwz/wCBVx/8Ypg/YJ+IBmaL+2PDW5VDE/arjGCT/wBMPY0f6u5H/wBDeH/gDD/VT%0ahv/AKHsP/AH/mfdH2K7/uQ/9/D/APE0fYrv+5D/AN/D/wDE18Nf8MCfEH/oMeGf/Aq4/wDj%0aFZnif9iPxz4T8Natrd3qvh6S0020mvZkguZzIyRoXYKDCAThTjJH1q4cN5LUkoRzaDbdl7j%0a3ei692aU+EeHas404Z5BttJLkerbSS36to++PsV3/AHIf+/h/+Jo+xXf9yH/v4f8A4mvmH/%0agn/wCKdV1XQPFei3d5Jcabpb2r2cMhz5Pm+dvCnrgmNTjoDk9zX1nXx+cZbLJ8dUwM5czhb%0aVaXTSa06aM+Cz/KJ5DmVbLpzU3BrVaXTSa06aPVd+plfYrv+5D/AN/D/wDE0fYrv+5D/wB/%0aD/8AE1q0V4x8+ZX2K7/uQ/8Afw//ABNH2K7/ALkP/fw//E1q0UAYsFpdGW4AWLIcA5kPXav%0a+zUv2K7/uQ/8Afw//ABNXLX/X3n/XUf8AoC1ZoAyvsV3/AHIf+/h/+Jo+xXf9yH/v4f8A4m%0atWigDK+xXf9yH/AL+H/wCJo+xXf9yH/v4f/ia1aKAMr7Fd/wByH/v4f/iaPsV3/ch/7+H/A%0aOJrVooAyvsV3/ch/wC/h/8AiaPsV3/ch/7+H/4mtWigDK+xXf8Ach/7+H/4mj7Fd/3If+/h%0a/wDia1aKAMr7Fd/3If8Av4f/AImj7Fd/3If+/h/+JrVooAyvsV3/AHIf+/h/+Jo+xXf9yH/%0av4f8A4mtWigDK+xXf9yH/AL+H/wCJo+xXf9yH/v4f/ia1aKAMr7Fd/wByH/v4f/iaPsV3/c%0ah/7+H/AOJrVooAxZ7S6EtuCsWS5AxIeu1v9mpfsV3/AHIf+/h/+Jq5df6+z/66n/0Bqs0AZ%0aX2K7/uQ/wDfw/8AxNH2K7/uQ/8Afw//ABNatFAGV9iu/wC5D/38P/xNH2K7/uQ/9/D/APE1%0aq0UAZX2K7/uQ/wDfw/8AxNH2K7/uQ/8Afw//ABNatFAGV9iu/wC5D/38P/xNH2K7/uQ/9/D%0a/APE1q0UAZX2K7/uQ/wDfw/8AxNH2K7/uQ/8Afw//ABNatFAGV9iu/wC5D/38P/xNH2K7/u%0aQ/9/D/APE1q0UAZX2K7/uQ/wDfw/8AxNRLaXX2uUbYtwRCf3hxjLf7P1raqtH/AMhCf/rlH%0a/N6AKf2K7/uQ/8Afw//ABNH2K7/ALkP/fw//E1q0UAZX2K7/uQ/9/D/APE0fYrv+5D/AN/D%0a/wDE1q0UAZX2K7/uQ/8Afw//ABNH2K7/ALkP/fw//E1q0UAZX2K7/uQ/9/D/APE0fYrv+5D%0a/AN/D/wDE1q0UAZX2K7/uQ/8Afw//ABNH2K7/ALkP/fw//E1q0UAZX2K7/uQ/9/D/APE1FZ%0a2l01pAVWLaUUjMhBxj/draqtp3/IPtf+uS/wAhQBT+xXf9yH/v4f8A4mj7Fd/3If8Av4f/A%0aImtWigDK+xXf9yH/v4f/iaPsV3/AHIf+/h/+JrVooAyvsV3/ch/7+H/AOJo+xXf9yH/AL+H%0a/wCJrVooAyvsV3/ch/7+H/4mj7Fd/wByH/v4f/ia1aKAMr7Fd/3If+/h/wDiaPsV3/ch/wC%0a/h/8Aia1aKAMr7Fd/3If+/h/+Jo+xXf8Ach/7+H/4mtWigDK+xXf9yH/v4f8A4mj7Fd/3If%0a8Av4f/AImtWigDK+xXf9yH/v4f/iaPsV3/AHIf+/h/+JrVooAyvsV3/ch/7+H/AOJqJrS6+%0a1xDbFuKOR+8OMZX/Z+lbVVpP+QhB/1yk/mlAFP7Fd/3If8Av4f/AImj7Fd/3If+/h/+JrVo%0aoAyvsV3/AHIf+/h/+Jo+xXf9yH/v4f8A4mtWigDK+xXf9yH/AL+H/wCJo+xXf9yH/v4f/ia%0a1aKAMr7Fd/wByH/v4f/iaPsV3/ch/7+H/AOJrVooAyvsV3/ch/wC/h/8AiaPsV3/ch/7+H/%0a4mtWigDK+xXf8Ach/7+H/4mj7Fd/3If+/h/wDia1aKAMr7Fd/3If8Av4f/AImj7Fd/3If+/%0ah/+JrVooAyvsV3/AHIf+/h/+JqKztLprSAqsW0opGZCDjH+7W1VbTv+Qfa/9cl/kKAKf2K7%0a/uQ/9/D/APE0fYrv+5D/AN/D/wDE1q0UAZX2K7/uQ/8Afw//ABNH2K7/ALkP/fw//E1q0UA%0aZX2K7/uQ/9/D/APE0fYrv+5D/AN/D/wDE1q0UAZX2K7/uQ/8Afw//ABNH2K7/ALkP/fw//E%0a1q0UAZX2K7/uQ/9/D/APE0fYrv+5D/AN/D/wDE1q0UAZX2K7/uQ/8Afw//ABNH2K7/ALkP/%0afw//E1q0UAZX2K7/uQ/9/D/APE0fYrv+5D/AN/D/wDE1q0UAYrWl19riG2LcUcj94cYyv8A%0as/SpfsV3/ch/7+H/AOJq5J/yEIP+uUn80qzQBlfYrv8AuQ/9/D/8TR9iu/7kP/fw/wDxNat%0aFAGV9iu/7kP8A38P/AMTR9iu/7kP/AH8P/wATWrRQBlfYrv8AuQ/9/D/8TR9iu/7kP/fw/w%0aDxNatFAGV9iu/7kP8A38P/AMTR9iu/7kP/AH8P/wATWrRQBlfYrv8AuQ/9/D/8TR9iu/7kP%0a/fw/wDxNatFAGV9iu/7kP8A38P/AMTR9iu/7kP/AH8P/wATWrRQBlfYrv8AuQ/9/D/8TUV5%0aaXS2k5ZYtoRicSEnGP8AdraqtqP/ACD7r/rk38jQBT+xXf8Ach/7+H/4mj7Fd/3If+/h/wD%0aia1aKAMr7Fd/3If8Av4f/AImj7Fd/3If+/h/+JrVooAyvsV3/AHIf+/h/+JrQtUeOBVkChx%0anO05HX6CpaKACuS+Ln/JKPGn/YEvf/AEQ9dbXJfFz/AJJR40/7Al7/AOiHoA/NS37Vfj7VQ%0at+1X4+1AFhelLSL0paACiiigApG6UtI3SgCvJ3qhcd6vyd6oXHegD9K/hH/AMko8F/9gSy/%0a9EJXW1yXwj/5JR4L/wCwJZf+iErraAK1/wD6hf8ArrH/AOhrVmq1/wD6hf8ArrH/AOhrVmg%0aAooqtqVrLfaddW0N5Np800TRpd2wQywMQQHQSKyFl6jcrLkcgjikxos0V80fsxaEPDH7QH7%0aQ+krqOp6rHa6hogF1q99JeXDltNR2JeQkgFnYhVwi5wqqoCj6XqvsxkuqT++/+RN9Wuzt+X%0a+YVWuv9fZ/9dT/6A1WarXX+vs/+up/9AakMs1S0XW9O8SaVa6ppF/a6ppt0gkt7yymWaGZD%0a0ZHUkMPcGuT+N+tnwz8KfEmsjXdU8OnTrVroXuix20l2zJysUa3EM0ZaQ4jAMbH5+MHBr4T%0a/AGbvDlh8R/D37NXh3x3pWq+JrCNL8tpPjTRrKXTQv9ms8bWbRw7J4s8/vHklRlw2w4BAP0%0alqlpGtaf4gszeaXf22pWgllgM9pMssfmRSNHKm5SRuSRHRh1DKwOCCK+XPghY6J4W/Zy+Ku%0anp4Dj8W6JZ+OPEtla+DdP06OaK6UatLHDbLAV8tYwdgyRsjUFjhVOPCfHv7L7fD/wAFWGgW%0aHw80/QPEd34V13w42u2lvYQReItd1SOKS3tLdopDKIoyt3Gsl0sKIiKAcNQB+k1FfNPwN+C%0aWseAPj9rHiE/C7wV8N/D9z4YisFTwRepNb3FyLpnJkX7JasH2Ec+WwwB8+eB9LUAfG/8AwU%0aQ/5p//ANxD/wBtq+lvgv8A8kd8Cf8AYBsP/SdK+af+CiH/ADT/AP7iH/ttX0t8F/8AkjvgT%0a/sA2H/pOlfo2a/8krl3+Op+p+s51/yROU/46v8A7cdlVa//ANQv/XWP/wBDWrNVr/8A1C/9%0adY//AENa/OT8mLNFeNftm/8AJpnxg/7FXUf/AEnevnT9o74leItQ/wCCf2u6ZP8ACjxfplk%0a3hK0iOs3V1ozWqKEixIVj1B5tpxwBEW5GVHOAD7wor4E/ai+MV78D/wBpTwJ4h02yjn1Cf4%0adT6bBe3of+z9LefULSNb2+ZAWW2iJ3uVGTgKMbtw6349/BnRvg9+xn4hWzvj4j1/Wdb0DUN%0ac8V3Cr9p1q6fWrJjO5XICfMRHGCVRMAZ5JAPs6ivnz9sz/kX/hR/wBlO8Mf+l6V87+O7TxR%0a4N/bZ+N/xf8ACMdzqt54F0/w9/a3h2DBOraPcWs/2xEHH76P7PDPHyMmErht2CAfoXRXyN4%0aI+JnhWL9rf4q+PH12zTwefh5oeq/2wz4g+ymS5cS564KkHGM9sZ4rm/Ao8TeKP23fh98QvF%0aEN5pDeKfDOtto/h67O19M0qJrL7MJo/wCC5kMsssq5O3zEj6xnIB9u0V8H/sw+DvC+uePfi%0ard6r8Bk8a6gPixryp40k0/RZlsQL75SXublLoCI/P8Au42Iz8gZuK+voPjR8PbnxqfB0Pjv%0awzL4uErQnQE1i3N+JFUsyfZw/mbgoJI25ABNAHZUV+V0fhrTZfhB8U9ch+HE2ka1ZfEvUri%0aT4xW9naPJoFvHq6tJOrQSnUH8pA2VSLZhiWYIHYfo3rfxw+HHhrXrPQ9X+IHhbStavVie10%0a691m2huZ1kOIikbOGYOeFIBz2zQB21FfFSfDXQf2gtO/aW8VeMLO31DxJpGuX+geH9UuuX0%0aCGws4nt5LN/vW7+dJJM7xlSzEbshRWPdeIX+N7/ALNGpeK/Dw+Lj3fguXW9U+H0aRNvuZLe%0aBBq7RXDJZuFZpYlW4kQqbhjFvYMKAPu2q0f/ACEJ/wDrlH/N68T/AGMJkT4JJpy3/mDS9Y1%0aGyXRmeZ5PD0a3TtDpTtMqyMbaJ4owWUDaF2Zj2MfbI/8AkIT/APXKP+b0AWa4340f8kd8d/%0a8AYBv/AP0nevBf+Ci3wv8AButfs2eO/FeoeEtCv/FNnZ2sNtrdzpsMl7An2uIbUnZS6j534%0aBx8zeprG/aR8O6R8P77Qfhn4C0fTfh14c1zR9e8Taz/AMIxZRaa2otp9rH5NqTEqgozzo0o%0axlkiCE7HcHuwH++Uf8cP/SonpZZ/v+H/AMcP/S4DP+Cd/wDzUD/uH/8AtzX2RX5//sMeKvC%0aGjfFGbR9Xv7i28XaxHs0K2jNyI7lI45ZLoP5f7k7UEbDzu4+TnNXv2R/B3hfV9a8Y32o/AV%0aPFmqJ8SdaKeOX0/RZRZlb9irmSe5W6HlH5vkiJGPkya+q42/5H2I/7d/8ASIn2viJ/yU+K/%0awC3P/SIn3lRRRXw5+cBRRRQBWtf9fef9dR/6AtWarWv+vvP+uo/9AWvkr9v3W/DfjU+B/gt%0a4k8a6d4E0LxVcTapr2sahqcFksen2ihkiBlIVnluXgwM5xDIccEgA+vqK+K9N/ab1vxN+wz%0aoWs6T4itV8czarY+BL/X7O5S7jtr03sdnNerJyr74j9oRuR+9Q8ivoLwj+zD8MvBF5YalpX%0ahO0i8R2kxuT4mcs2s3UpYtI9xfZ8+fzCzbxI7K4JVgV4oA9Sor5B+D+i+C/jL8Hf8AhdPxe%0a8Mn4g6jrl7dSQadeaHP4gj0W2W6e3itbKwSKYx4WJDK8ce933NIxCjb9AfAvxR4K8XfDPTL%0a34eXVxdeE45J7W0+0pdRvEY5nSSLZdASoqOGRUIARVCqAqqAAd9RX51fG/8A5EX9vX/r50v%0a/ANN9tXsfx0+DnhL4LfAPWPid8NNB0f4d+N/C2j/2rb6joFotgl6sflyyWt3HDsW5ilEW3Z%0aKGwWDLtYA0AfWVFfMFnFZftNftEeL/AA94wt2vvBHgzRNGuIvCF4d1neXt8slwbi8i4E/lL%0aDGiRyhkDb327gpEv7SPwl8MeEvgwfCvgv4b+GNQuNf1mC203QrqDTzaWVy8biW7sbG9litj%0acpAs7rFGUMj5LZBkNAH0bqut6doUdvJqV/a6fHcXEdpC91MsQlmkYLHEpYjLsxCqo5JIAq7%0aX5AfFnw38Mbzwr4AuPCmq+DdI0M32kWtppHjHWvD0WtWdstyI2Nwh0e5k+znDyNK91PGUcs%0aY3Q+Wfob4I+H7jwH+yL8WdQt28N/Enwyuo6rc3fhzTPFNjHpMNjHG00jWl3pmnqwndfL/dt%0aHCB8pCwdGAPvmqeraxYaDp8t/qd7badYxY8y5u5ViiTJCjLMQBkkD6kV8WG18Eap8WNAsfi%0a7b3PxDTw94Ohg0LQrzwdqPiq9nt7loHfU76eKwMJmL23kgxrx+8LOWcqvQ/AnW7DSfgt8T9%0aG03wLB4v+GdjruuW39kaNDLp18sNzcyXE1lLp2pQWUcKQwXIjISZwdpVVyCoAPr6ivirxZ/%0aZep6N8IZT8E/BHxdt/FFlp2leGNU8faskviKW1a0N0XvFOlzqiQJ5rSOs0mfvcvJtOvbeHt%0aU/4UN4+vfAHw++FPwx0vVbCWK81rwprNxA7R287RXiS7NGieKSKIXqq5WRo5f8AlmfmoA+o%0aIfH3hi50XS9Yi8R6TLpOqzx2thfpfRGC8mkbbHHFIG2yMzAqFUkk8CtPSdWsdf0qy1PTL23%0a1HTb2FLm1vLSVZYZ4nUMkiOpIZWUghgSCCCK/Oy+j+M938TvgtofiDw7r3hzRYrPU9e8OeG%0afA76KbvR/Kt7aCC126iqwOlpbXOwySASmae42KESI16J+yLB4uv/glqT6lp3xU1bS76HU3j%0a0+3vvD1hbvPJqL7/sEtrNBc28q5kIDyRwqBIE48oUAfZOl+ItK1y51G203U7PULjTbj7LfQ%0a2twkr2s21X8uUKSUfa6ttbBwwPQitGvz/wDAnwc8c+GfFGh6zqnwy+KFlcwQSnxHr6+Po55%0aPEEsBaLT3vIW1tl8lIT50sYEn7wmJFaIMJL37FngTwlo/j74YahdeDtM8HaoPhdpM3h69sr%0aCCD/hJZri1gk1W7kmiUNJNEfs8flSncBJLKAwlJUA+6br/AF9n/wBdT/6A1WarXX+vs/8Ar%0aqf/AEBq8l/a4+Ims/DL4E61qnh29TTNdu7qx0iz1CRFdbN7u7htjPhuCY1lZwCCMqMjGaAP%0aY6K8p8IfsufDLwVNpt/p/ha2fxLZTC5/4Su4ZpNcuZtxZ5J7/Pny+YSwdWcqysUKlDtrwn4%0aD/Ar4dfFn4iftHz+MvA/h/wAS3g8eXNpHfalp0Ut1DEbO2O2Kcr5keCzEFGBBOQQeaAPsyi%0avzq/aDu9R8Q/sx/Gv4a6/qt9r2neGfiFpWiWOqXdw8101hcXNhOkMk7lmlli+0PH5jEsQqb%0asnJMnx68Za5on7HHxe+DXjm5Nz4z8DppQs9Slwp13RX1KBLO/UdSwEZimxuCyJyxLigD9Ea%0aK+TviB4m1Hwr/wAFB9Gu9M8J6x4xuH+F11E1joktlHNGp1aAmQm7uIE2gqBgOWywwpGSM/Q%0aPE2o+Kv26fFd3qfhPWPB1wnwliiWx1uWykmkUancESA2lxOm0liMFw2VOVAwSAfYNFfmz+w%0a+tp+1B8PvAPw78VMln4I8AaTa6jN4Ovo8SeKbh2cxXcyniTT4WICxjcskwzJwiK31B8Gv+T%0awf2jf8Ar38Mf+kdxQB9DUV+fPx1/wCSUft1f9hKy/8ATbY1N4g1vVfhP+zF8ZfgP4qupLs6%0aT4FvtT8GatcMN2paGYGVbdj0M1o2ImAAyhiYKAckA/QCiuR+EH/JJfBP/YEsv/RCV11ABVa%0aP/kIT/wDXKP8Am9WarR/8hCf/AK5R/wA3oAs0VyXxP8Kt4u8J3Fmdb1jRIIt1xM2iXhs5rh%0aVRsRGdB5sa7irEwvG+UA37S6t4/wDsoaZb+IP2Ffh5aahp11rtvP4WhM2m204ilvRsJMIZp%0aI1+fG0h3VCGIY7SaAPo2ivlb9nXRNH8MftK+ObTSPDQ+ElpdeHbGeP4c+RHEZ3SaRZNV22x%0aezXIaKDEEsjfIDJsYhTqfEXQNM+MH7YuieBfGGn23iDwdoPguXxHFoWoRCeyuL+a8NqJpoW%0aykpjiSQJvB2mViMHmgD6Vor89fDlzcarFpHwNuLp5fAUHxk1XwwLNJnffolrYHUYdNdidzQ%0ah5FhKkn93GE+7xXufwc0aw+Ev7W/xE+Hnhezs9I8G6h4Z0zxTBounoIrbT7tpp7Wbyolwkf%0amrDEzBQASqnGSSQD6XooooAKKKKACq2nf8AIPtf+uS/yFWarad/yD7X/rkv8hQBZory7XNK%0aOnfG7wXO19e3b3kOqOy3E2Y4wqQ7USMYVQAxGQNx/iZsCuf8b6XBrXjvxiJtDbxo0WlxwwR%0axjnRpDGW6PjmTKuGg3yjb93ld3rU8DGbj7+jjzbf3uW2rS+ba8tbI8qpjZQUvc1UuXf8Au8%0a19E38kn56XPcaK87C+FNS+GXh7WPFt9Ya7pljZRStqF+S9vPL5YRpTG/DOTuADKWBYgAEkV%0aV+E2jXN94I1dFOoaFpOoalNPpUKkRzW9i2zaiBg3lqxEhAGCofK7TgjF4VRpym5NcrtqtHq%0a1p1bSV2rbPoarFOVSMFFPmV9HqtE9elm3ZO+66np1Feb/A6Er4Q1eFZpsrrWooJpJDJJxOw%0aBLPksfds575qL4e2B0z4r+PrZry7vitrpZM95MZHZitwWPooJJO1AqjOFUDinPCKEq0eb4P%0aLfWK+XxeYQxbnGlLl+Pz20k/n8Pkem0V4jY6bpPgnXta1Txj4MDLfeIZJrXxFNbWtzHbo7K%0aICzhzLENyjBKgKXGSM1auP+Sj/Fj/sA2v8A6KmrZ4BNvllole+lnrBNKze3Nrez021MVjmk%0auaOt7W1utJNN3S35dLXWu+h7JRXi/gf4b6De/BnQdStLG20bXhpCXEWs2KC3uY5vJPztImG%0aYcncrEhh1BpNC1+4+LeqeEdK1ksmmy+HU1u/soiY0vpmcRBXA5MQIZtmcNuXdkDFEsBG83G%0afuwbUrrXS+yvrfptrvpqKOOlaClD3ppNWemvfTS3XfTbXQ9porzL4m6ZZfDn4aeIr3wvaQ6%0aBczRxQZ05fJRC8qxmRUXCiQCQ/OBu4Xn5RjPv8AQdN+GHxG8Ep4dsoNNttRtr2yvoIBt+1L%0aDB50Tv8A3nVkPzn5vnOSc1nTwkasOaMnrzW0/lV3fXTsrX8zWpi5Up8sorTlvr/M7K2mvd3%0aseu0V86Np0Nh8FNI+IaJGfGAurbVJdWYYnmaWdY3iZ+vl+XIUCfdwBx3rsPjdodlNpGq3h8%0aPzLfrFHOniwhX/ALM2Mp3oUZrhAm0vtij25JJI3Ow3eXxVWNPn3bjey3i0n11Wvq9rXMFj5%0aOlKpybJS3ezTa6aPT0Xex63RXk/iqzgvPiDZXniTSpvEvhR9JVbJrewfULdLneS8jwxq+GZ%0aCu19uMAgHrUXw0dfEfwuvLbUtHvtbtdP1S5tYNLuJUeaSGOYiOOQyOqSbAcEMxHydyBWLwV%0aqSq838t9vtXVlrura3tuarG3quly97b9LO702d9LX2PXarSf8hCD/AK5SfzSvPfg9bW9jqn%0ajC2tov7IiW/R08O7SP7OUxjnj5P3hDPiMsg7MecehSf8hCD/rlJ/NK48RS9hUdNO+34pP9e%0al12djsw9X21NTatv+Da/TrZ91cs0UVkeLfCumeOfDWpeH9age60jUoGtru3SeSHzYm4ZC0b%0aK21hkEA8gkHIJFc50GvRXxB4P1/wrpfxY+Ivjj4D6Pp+mfDjwt4Gv4NVvPD9sltoOr6zG4n%0atliSPbFPJDGs2+eNSQsqoWIKgZB8CaT8K/gj+zp8WNEghh+Imo634fl13xJL/AMhDXU1VlF%0a9FczfemVmuCyq5YR+Um3GwUAfe1FfMH7SPhiSx+O3wJ119d1q7N743jt00ya9K2FrGumXhx%0aHboFRmLqX82UPIC7KrqmEGR8f8AQtO8Y/tR6RZap4N/4XPp2n+EJZH8CKIGGmTSXJVNRYXj%0ax2hMgUwgGUTKELIjLvKgH1tRXzl+zn8WPB3w4/Zr8Et4z+Jeh2uw3Oni917U2syksU8gNlm%0a9EUxe3XbCfMRXPlglRms3xqPDvx//AGqPBHhbVv7O8YfDq08E3Xi21sCyXmmaldS3UVrDPI%0anzRTokTymPIIDSbhyAaAPp+ivk79nbwD4P8TaH8VPAHjHw/oHinwh4A8b3troNtr1nFewaZ%0aZPbw3Cwp54baIvPkQHPyqAvAWn/ALIXhPwP4T8OeOPjmmjeH/h7oHjGf7RpscNrBplrp+g2%0a+Y7V5AAqxtPh7mQk8+dGD/qxgA+rqK4GPxD8Of2g/BGuadp/iPRfGvhiZTZ6p/YmsJNCVID%0aNDLJBJwrLwyE4ZWIYFWIPg/7OcXhLW/2mfE+t/BnSbXSfhHZeHjpOo3WgW62mi6rrQukZJL%0aZI8RzNFCsqNOi4PmKNzALQB9bUV8S/so+GvCXwGT4YeGPiL8GF8DfFPUUvIbPxtfadpdyt9%0af8AzvJbrqFrLLKkrwySBPOEfmLHIqliNp+2qACq2nf8g+1/65L/ACFWarad/wAg+1/65L/I%0aUAWaKKKACiiigAooooAKK4fwx8dfht42ur+28O/ELwrr9xYW73d5DpetW1y9tAhAeWQI5KI%0apIBY4AyMmrfgb4u+BfifJeR+DfGnh7xa9mEa5XQ9VgvTAGztLiJ2252tjPXB9KAOtooooAK%0aKKKACiiigCtJ/yEIP+uUn80qzVaT/kIQf9cpP5pVmgAornviB4X8PeMvB+paT4sghufDkir%0aLfQ3MzRQvHG6ykSkMMxfIN6sdjLuVwVZgfiux8Wab4Rj/aD+I3wL06HQPhbovgq4gs59Ltl%0attG1PxFB5++9sol/dyJEiRRNMihZWTALhQ1AH3rRXxXq/wANNB/Z8n/Zr8W+D7ODT/EeseI%0aLTw74g1TG268QQ6haSyXD3sn3rmTzoUmBkLFWBKkDIPZ/FTwzJo37ZXwD1GTXda1N9TvNfb%0a7LeXh+yW0aaW/lxxW6BYhtLyHzGVpW3kNIyqoUA+oaK+Mfjr4f0rxt+0p4ui1r4ft8eLDTP%0aBcNvF4bhKf8UzPLJK7OROViV7pFjPm27PdqLdQsRUqT6r8HPjX4M8Dfs+fDG48dfF3w7d3V%0a7o8cK+INb1RbI6pNAqpcMv2opI7o5CvvUSBv9YFYkUAe80V8wa3o/h39oD9raTQ/E9pp3jH%0awN4e8FWes6XpN6iXmm3F3e3M6G8MZzHIwhhVI2IbaJHKkbqwv2ffC/gXxH8FPF2mfE7Q9B8%0aW+G/hX4o1/Q9NvfE1jHqRsdMtJcqN0yuw2RBUOMnbCo5xQB9eUV8u/skeFfCXwh+E3iL4ta%0azp/h/4Z23jy7j16aDbb6bZaTppAj0y1crsiUiFkdjgEzXMuck1J+0x8TNA+KPw48D6N4Q8W%0a6fr/AIY8Y+OtN8Ka1feHNTSdXtJN8tzbedC52mRI1RgCDslI6NyAfT1FfE/jzWLP9kv4z/E%0a6L4faVp3h/wAOzfCe98YHw9psCw2iarY3AhjuFhUBI/MjmRH2Ab/IUkErWv8As+6h8OfBGo%0afDabxF8N9V0zxt4otsad8TvFOn2k91r1+8AeQfahLJdwNNG0rJHcJCPLQxgKQI6APsGq2o/%0awDIPuv+uTfyNWaraj/yD7r/AK5N/I0AWaKKKACiiigAooooAK5L4uf8ko8af9gS9/8ARD11%0atcl8XP8AklHjT/sCXv8A6IegD81LftV+PtVC37Vfj7UAWF6UtIvSloAKKKKAI/Ij/wCeaf8%0aAfIpGgjx/q0/75FVv7bsv+e3/AI43+FI2t2WP9d/443+FXyS7E80e4+SCPn92n/fIqhcQx8%0a/u1/IVJJrdlz++/wDHG/wqjca1Z8/vv/HW/wAKOSXYOaPc/Tj4RAD4T+CgOB/Yll/6ISutr%0akfg+4k+Evgl1OVbQ7Eg+3kJXXVBRWv/APUL/wBdY/8A0Nas1Wv/APUL/wBdY/8A0Nas0AFF%0aFFAHnvgT4S/8IT8UPiV4w/tX7b/wmVzY3H2L7P5f2P7Narb437z5m7buztXGcc9a9Cooo2S%0aj2Vvkg6t9wqtdf6+z/wCup/8AQGqzVa6/19n/ANdT/wCgNQBS8SeFNJ8XW1lb6xZrfQWd7b%0a6jBG7MFW4gkWWGTAIyUdVYA5GVBxxXhf7Pv7PXirwDfeDJvGOoaRc2vgvw1/Yei2mlPJKDP%0aOY2vLuRnjQhj5UcUagHCCRiQZCq/RVFAHypo37Ovj/SvEPimLUNO8J+KvBM994h1K18Nanr%0aVytprM2p6lBdIdQhNlJGgto45gmFnJaTjZkmuN+Iv/BO7w34mfwrdXnhTwvqN++u26anD4U%0a0G00CwsdMKSeeY41YyyuWWAlpZZmBU+UsSvIrfbtFAHhPwi/Z6t/hF4zhktPAnw3ktIoZEh%0a8YaNo0Oja0iEbVhlght2imZgoaSeOW3Ri5C2yBRu92oooA+N/+CiH/ADT/AP7iH/ttX0t8F%0a/8AkjvgT/sA2H/pOlfNP/BRD/mn/wD3EP8A22r6W+C//JHfAn/YBsP/AEnSv0bNf+SVy7/H%0aU/U/Wc6/5InKf8dX/wBuOyqtf/6hf+usf/oa1Zqtf/6hf+usf/oa1+cn5Mcr8Zvh3/wt34S%0a+MPBP9of2T/wkOlXGmfbvJ877P5sZTfs3LuxnONwz6iua+KPwH/4WV+zZqPwm/tz+zvteiw%0a6R/a/2Tzdnlqg8zyd65zs+7v79a9YooA8k1T9n6z1z4y6N431G/gv9PsvCV14UudBurBZIr%0ayKeWN3d2ZyNuIypjKEEMeex5bw/+yPDZ/CDxX8Itc8W3mu/DO+cDw/ZNb7NS0CESLLHAl40%0ajidIZERoTJFuQKFYuoUL9CUUAeHD4FeNPGmr+DpPib8QNN8U6V4WvYdXtrDQ/Dh0lr7UIQP%0aIuLt2upw6od0gjiWJTIVJyFC11Hgr4Of8If8AGz4l/EH+1/tf/CZ2+kwf2d9m2fY/sUU0ef%0aM3nzN/nZxtXbt/izx6TRQB80fCr9hnwp8M/iL8SdVnuLXxN4J8XxQwQeC9X0uOa00yNJ3uG%0aiXezI8XnySOieWoTIHzEbjszfsU/DGD4yeEPHOkeDfCWiW2gWl1E2j2Xhq1jS5uZHheG5Lq%0aAFkhMTbTtJHmHDL39+ooA82+CPwc/wCFN2vjWH+1/wC1/wDhJPFmp+J932byPs/2uXzPI++%0a2/Z038bv7or0miigD5ah/Y+8WL4H8cfD9viXp0PgLxhrd/qmpRWnhl01ZYLu482e2iu2vXi%0aXK5j3m3Y4ZiADgj6b0vTLXRdMtNPsoRb2dpCkEEKkkJGqhVUZ9AAKtUUAeAeJP2Zdel174h%0aL4T+IH/AAi/hT4gyRz+INKfSftV1FMYhBdTafc+ci28k8CxqTLFOFdA6gfdrT1n9nOXQ/GP%0ahfxV8M9etPBeq6F4fTwmtnqemPqmnTaVGd8MJhFxDIrxuFKyCXpuDBsjHtlFAHnvwU+EafC%0aHw7qtvPq83iHXtd1SbXNa1eaFYBd30qosjpEpIijCxoqpltqoAWY5Y9zH/wAhCf8A65R/ze%0arNVo/+QhP/ANco/wCb0AcL+0F8JP8Ahevwe8R+Bf7V/sT+2I4o/t/2b7R5OyZJM+XvTdnZj%0a7w65rm/2pfhLo3xB8AXPiC7mvNP1zwnY6hf6bqGnyKkqh7WRJ7d9ysGhmj+R1wCRgqVYBh7%0aPXG/Gj/kjvjv/sA3/wD6TvXdgP8AfKP+OH/pUT0ss/3/AA/+OH/pcD4p/Yf+D1j4y+LyePb%0arUbmC48FxOtpYwqvl3El5FJEWkYgnCIj4VcZLgk4XDfRfwq+A3xD+Ds+uWehfEDwzceHtW8%0aR32vy2uo+EbiS7QXU5lkhWdNSROAdocxe5U9K80/4J3/8ANQP+4f8A+3NfZFfVcbf8j7Ef9%0au/+kRPtfET/AJKfFf8Abn/pEQooor4c/OAooooArWv+vvP+uo/9AWuG8M/Cb+xfjR41+Il7%0aqv8Aad5rtlYaXY2rW+z+zLO2Ds0SvuO/zJpZZScLjKjB25Pc2v8Ar7z/AK6j/wBAWrNAHh2%0atfsq6L4n1z4urrGpy3XhL4jR2Mt3oUMRhaxv7ZAn22CYPgSN5du/3OHgVsnkV0PhXwR8UdK%0avdPtta+Jum6zoNnKGLQ+GBb6rdxqSUSe5Ny8BJGBI0dtGW52eUTkeoUUAeI6L8CfFnww1bX%0aF+GHjfS9A8L6veSak3hzxH4efVLfT7qV3edrN4bu1eKORn3GJzIqsCY9gJWuq+AXwdtvgR8%0aMNN8I2+qT61JBLPd3V/PGsXn3M8rzTska/cQySPtQliq4BZiCx9EooA+dPG/7If/AAmWhfH%0avTf8AhLPsf/C05bWTzf7N3/2X5NvFDjHmjzs+Vu6pjOOcZra1P4CeK/iPY6fofxL8cabrvg%0a60aKSXQPDegSaVHqTxsjRreSS3dy8kSlAfLj8rcfvFl+U+40UAeVeOfgpe6h8SLT4ieCfEU%0afhHxmtidKv3vNP/ALQ07VrPcWjjurcSxOXics0ckcsbDcytvQ7K5T4yfAz4hfFj4WS+Gbzx%0alpT+JLvVLe9g8S2dhLpqeHfJIZLiwt0lklkm+XbiS6UfvXbdtHkt9AUUAfD2vfsffEi48Le%0aGfDlrYaHPB4d1HT5YL6z+JfiTSbW4tLOVTEkemCO4js5WijRTJHK5V90inJwPXbT4Q+Nr74%0aN/E3wdPpVhot74i0W5sNPuLz4g6x4nTzpoJIsyNfW6vAi7lOIt27nIBAJ+hKKAPjKD4G/H7%0ax2ujrL4i074aeIvDE9zYWfj+K1hnvLvTnhRWtItLjkkhNozqjrJc3LTbrdX8mJiMd94Q0X4%0aleEvgjqvw6074X6ZpOs2dstjZakniQXmj3xuSv2m8aV1W7MiPNcTyRyQgyFGCyszg19H0UA%0afEek/Cf4veEPFXh8Xdt46aHwj4YtfCmkXPw/XwzJazRIkXnXQk1ebzUefyod8QgTYYQokmV%0aVdtTwZ8BtevvD/AMVPC+r+DfG3ibQ/Gjw6xc6f8UNd0uytZtQFwpn23WjSzSQrInlMIltdm%0abYqXAkwPsiigD4v8W/sn+JYvHXw28r4Z/CTxv4a0i31xrrR49GXw7o9rLciw8pmhYXzSzH7%0aPLiRYgML823jO38Ev2aPEHwo+GHiPw/L8MvhzpWs3eh6nZDxJ4X1AvqN687u8VvIH0+DEY3%0aKuWmIHlJ8uPu/WtFAHwpoX7K/izSYPgrJa/BD4d+EtQ0C+t5tZ13wzqcT6pIi6Zcwv9oBsY%0aAwaaSMvsnlO8KQHGXX1/4B/AXxlomh/Bq88dazp0b+BvDEFhZ+H9O0wxT2t29jDbzC5u/tU%0aqXGwJKo8qOMEtuyQAD9GUUAVrr/AF9n/wBdT/6A1YPxM+HGhfFzwFrXg/xLam70TV7cwXEa%0aNscchldG/hdWCsp7MoPat66/19n/ANdT/wCgNVmgDyzwr4C+KGi3Wn2WqfFCw1nw7ZTht58%0aMiLWbqBXLRxz3ZuWgYkBUkdLVC43FPKYhl5HQf2f/AIh+BPFHxGv/AAh8R9B0uw8aa3Lrcs%0aeoeE5by7spHhjixFKL9IztESkF4WGeqsOK+gaKAPBPGH7I+j638E7v4e6Trt5Yy3+u23iHU%0adf1KMXt3f3kd3FcyyzBTGpeTygny7VQbQq4ULVb9r79kHTv2rPD2kW6+IJfCGu6bMQmrQWv%0a2jzrVirS2sse9N8bNHE4y3yvGrCvoSigDzaX4Oeb+0da/Fb+18eR4Tm8Mf2R9m+9vvI7nz/%0aN39vL27NnfO7jFV7v4Jfavj/qfxN/trb9t8Hp4T/sv7LnZtu5bj7R5u/n/W7dm0fdzu5wPU%0aaKAPmTTP2Lf+Ea+Fnww0nw94ybRfiJ8PYxBpfjWLTAwngZyZ7a4tPN/ewSKxBTzQVYKysOQ%0a3b6x8EvEth8TLz4geCfF2l+HvEetaVbaZ4ht9T0F7/T9Ra3LGC4SJLqGWKVBJKg/fOpRwCp%0aZQ1eyUUAfPmvfslJ4g+BXxJ8EXfiyafxN8QJmvdb8UzWCtuuWWJP3durrshRIURIjISoHLs%0aSWN/9qL9lfT/2lvhRaeFZNcl8M63p/wDyDvEVtbebLbh4mguIym9C0U0LyI8e8A5UnO0Cvd%0aKKAMjwfoH/AAinhLRNE8/7V/ZtjBZ+fs2eZ5capu25OM7c4ycZ61r0UUAFVo/+QhP/ANco/%0awCb1ZqtH/yEJ/8ArlH/ADegBdQtPt9hc22/Z50TR7sZxkEZx+Neb/DX4Qar8KvgD4b+Huh+%0aKUj1bQdPgs7bXZdNV45GiYHMlsZOY3AKuiyK21m2yI2119QooA8b0L4H+JF8Ya/468Q+N7b%0aUPiBd6HL4e0nUNK0UWen6RauVk3JayTztLIZ0WRmkmIYIihUAJanq/wAA/Fk2u+BfGmm/EG%0a3i+Jmg6O+h6rrmo6EJ7HXrWQK8gmsop4TEwnRJUMUqhfnUhww2+4UUAfPt3+yPbf8ACu9K0%0a6w8VXVp47sPEx8a/wDCXyWiyG41l94nlktgyqYHSR4vIV12xhF3ZXce3+GHwiu/CHizxN4y%0a8S65B4m8a+IUt7a5vrSwNla21pbh/JtreBpZmjQGSR2LSOXdySQAqr6XRQAUUUUAFFFFABV%0abTv8AkH2v/XJf5CrNVtO/5B9r/wBcl/kKAMfV/CX9q+M/D2v/AGvyv7Iiuovs/l583zhGM7%0as/Lt8v0Oc9sVkXfgLVrHX9c1Pw5r8OknWgjXUd3Yfa/LlVNgliPmJtO0DIYOMqOO1dxRXVH%0aE1YJJPRK1mk1a99vXU5ZYalNtta3vdNp3tb8tDza8+Dxto/CEGi6lbwWfhtHMFtqtk14ksz%0aYxOwWWP94p3EHoC5IA4rttEt9Yt45RrF/Y30hI8trGye2CjuCGmkz+YrTooq4qrWio1Hfzs%0ar6u7182wp4alRk5U1byu7aKy08kjnfA/hH/hDNMvLT7X9s+0X9zfb/L2bfNkL7cZOcZxnv6%0aCl0jwl/ZXjPxDr/wBr83+14rWL7P5ePK8kSDO7PzbvM9BjHfNdDRUyr1JOcm9Zb+e3+SLjQ%0apxUYpaR2/H/ADZxHiPwFqfixf7M1PXo5fDRukuJLKOy2XUyK/mJC9x5mNgYLysYcqoBbJLG%0aWT4d+Z4k8Wat/aGP7esIrHyfJ/1GxHXdnd82d+cYHTrXZUVosXWS5U7L0XdP77xWvkZvCUW%0a+Zq79X2a+60np5nm+mfDHXIfCVj4WvfFEDaDb262ki6dpzW11PEF27GlaaQKG/iKoCR0K1t%0a638PoLmfRr7RbkaFqujxfZ7OdIhLEbc7Q0EseRvjIUYAZSpGQw5z1tFOWMrSlzX7vZJO+91%0as79b/gTHB0Yx5bdlu7q21nurdLficlf+C7zxV4f1bSfFGqxX9tfwiDZptp9kWEA5Ei7nkYy%0aZwcltvyr8vXdDongXURrmmat4j1uLXLzSrZrey+z2X2VVZwBLM48x98jBQOCqgFsLzx2dFS%0asVVUXFNJPyXVWdu11o7bl/VqTkpNXa830d1fvZ6q+x5rp/wAH5rTTLPw/NrgufCFneC7h00%0a2mJyqv5iQvNvIaNXw2NgY7VG7A52vFPhHXfE1vqOmf8JFFa6HqCmKaNdPDXaRMMSJHN5gQZ%0aGQC0TEbjyTgjsKKt42tKanJpta7Lfe+290nfchYOjGLgk0npu9trb7Wb0Oc1TQNXisra08O%0aavbaLbQ24thHc2JuhGAMI0f7xCGA/vbwcDjrltj4Rm8N+FrDSPDuoCxazYsJ7+H7UJyxYyG%0aUBkJLM5clWX5sfw5U9LRWPt58qj0vfZavXfvu9+/zNfYQu5dbW3ei027bLbscz4S8HSaBqG%0aratf3/APaetaq0Zup0h8mELHuESRx5Yqqqx6sxJJOecDdk/wCQhB/1yk/mlWarSf8AIQg/6%0a5SfzSs6lSVWXNN6/wCWiNKdONKPLDb/AD3LNeeftA/C29+Nnwe8SeB7DxA3hiXWoo7aTUVt%0a2nHkeajTQsiSxMySxLJEwDqdsh5r0OiszQ8s8G/DnxrpNjD4f17W/A934ISyewOheHvB9xp%0aW2ExlFjjc6lMkaAHG0R9OBt61xXgr9lTVdEtPAnhvxH47Hij4feA7xb/w/o50n7NfNJAx+w%0aC9uxOyzpbIwCrHDDuaOJmztKt9EUUAee/FD4Tf8LJ8S/DrV/7V/s7/AIRDXv7b8n7P5v2v/%0aRp4PKzvXZ/r927DfdxjnIw/FXwV1+P4uXfxG8CeLLLw5rep6TFo+rWWuaO+qWN3HDIz28qp%0aHc28kcqeZKuRIUKvym4bq9eooA4P4KfCa1+DPgddCi1O513ULm8udV1XWLxESXUL+5laW4n%0aZEAVNzscIowqhRzgk43xN+DOp+J/iJ4X+IHhDxLB4V8Y6Ja3OmPLf6c2oWOoWE+1nt54Fmh%0af5ZY4pUZJVwyEEMDgeq0UAeJL+zdNZ/ATxz4EsPFc1t4n8are3Gt+LZLIO899dqEuJ0tw6i%0aNQgEccav8iJGNzMpZvWvDHh2y8IeGtJ0LTY/K07S7SGxto+PlijQIg4AHCqOgrTooA84/aF%0a+E978cPhLrXgqy18eGzqphSe7a1e5SSBZkeWB0SWJikqK0bbZFO125pngLwX4/8ADaWml6r%0a4l8HP4XtbP7Hb6Z4Z8JXGkyW6KgSJYnbUZ0jVAAAoj6AAYxXpVFAHi0vwL8UeL/Gvg7VviB%0a46tfEekeEL1tT0rTNK0M6a9xe+W0UVxey/aJRK0aPLhYUgQtIxKlQEHtNFFABVbTv+Qfa/9%0acl/kKs1W07/AJB9r/1yX+QoAs0UUUAFFFFABRRRQAUUUUAFFFFABRRRQAUUUUAVpP8AkIQf%0a9cpP5pVmq0n/ACEIP+uUn80qzQB5j+0V8Hr346/Dd/Cdpr0GhQzX1rc3f2uxa8t72CGVZGt%0aZokmhYxSFQr7ZFJXIzzVbTvhd4t1jwxqvhDxtr3hLVfBOo6PNoz6T4b8L3GkSJDJH5W1JH1%0aCdVQRllCiMdVwRjB9XooA8F8Ffs2a7YX3gGLxp47j8ZaF4BLSeH7KPR/sUzziIwQXF9L58i%0a3EsMLOqlI4RukZ2DHG3t/HHwk/4TP4s/DTxt/av2P8A4QyTUZPsP2bf9s+1WvkY37x5ez73%0a3Wz04616HRQB4r4i+BfijTviZ4r8bfDrxxZeFNR8WWlvBrNtrWhtq0DS28flW9zbhbmAxSK%0ahKsGMiNhSVBBz3Hwg+F2l/Bf4c6P4O0ee6u7LThKxur1g008ssrzTSuVAG55JHYgAAbsAAV%0a2VFAHknj74La1qnxY034k+CvFVr4Y8UxaS2g30eraU2p2N/ZeaZo1aFLiB1kjlZmV1k6OwI%0aIPGHrP7K9vefs1678J9P8U3llceIHkn1nxNNbrLdX81xcie/ldFZAGnBlTg4QOMAhcH3eig%0aCO3t4rS3iggiSGCJQkccahVRQMAADgADtXA/HP4QQfGnwMNG/tW48P6xY3tvq+ja3aoskmn%0aahbuJIJ/Lb5ZFDDDRnG5GYAqSGHoVFAHi+n/s6HxFqvjPW/iTrdt4u13xNoLeFZG0rTm0yz%0as9JYMZIIYWnnffI8ju8jSMTiMAKEwc3Sf2cPEd9r/gFvGvxAj8UeG/Ady19ounWui/Ybm4u%0aViaC2mv7gTuszRRSScQxQKztuYEfJXvVFABVbUf+Qfdf9cm/kas1W1H/kH3X/XJv5GgCzRR%0aRQAUUUUAFFFFABXJfF0A/CfxqDyP7Evf/RD11tcj8YHEfwl8bOxwq6HfEn28h6APzSt4Y+P%0a3a/kKvxwR8fu0/wC+RWNb61Z8fvv/AB1v8KvR63Zcfvv/ABxv8Kvkl2J5o9zSWCPH+rT/AL%0a5FL5Ef/PNP++RVRdbssf67/wAcb/Cl/tuy/wCe3/jjf4Uckuwc0e5a8iP/AJ5p/wB8ijyI/%0awDnmn/fIqr/AG3Zf89v/HG/wo/tuy/57f8Ajjf4Uckuwc0e5YpG6UtI3SgRBJ3qhcd6vyd6%0aoXHegD9MPhD/AMkn8Ff9gSy/9EJXW1yXwh/5JP4K/wCwJZf+iErragsq6iwS2DHOBJGeBk/%0afXtS/b4v7s3/fh/8ACi//ANQv/XWP/wBDWrNAFb7fF/dm/wC/D/4Ufb4v7s3/AH4f/CrNFA%0aFb7fF/dm/78P8A4Ufb4v7s3/fh/wDCrNFAFb7fF/dm/wC/D/4VBc3sZmtTtl4kJ5hf+43tW%0ahVa6/19n/11P/oDUAH2+L+7N/34f/Cj7fF/dm/78P8A4VZooArfb4v7s3/fh/8ACj7fF/dm%0a/wC/D/4VZooArfb4v7s3/fh/8KPt8X92b/vw/wDhVmigD4z/AOChU6z/APCA7Q4x/aH30Zf%0a+fb1FfSXwZvY0+D/gVSsuRoViOIXI/wCPdO+K+cf+CiH/ADT/AP7iH/ttX0t8F/8AkjvgT/%0asA2H/pOlfo2a/8krl3+Op+p+s51/yROU/46v8A7cdT9vi/uzf9+H/wqC9vY2hUBZf9ZGeYX%0aH8Y9q0KrX/+oX/rrH/6GtfnJ+TB9vi/uzf9+H/wo+3xf3Zv+/D/AOFWaKAK32+L+7N/34f/%0aAAo+3xf3Zv8Avw/+FWaKAK32+L+7N/34f/Cj7fF/dm/78P8A4VZooArfb4v7s3/fh/8ACj7%0afF/dm/wC/D/4VZooArfb4v7s3/fh/8KPt8X92b/vw/wDhVmigCt9vi/uzf9+H/wAKPt8X92%0ab/AL8P/hVmigCt9vi/uzf9+H/wo+3xf3Zv+/D/AOFWaKAK32+L+7N/34f/AAqBL2MX0zbZc%0aGNB/qXz1ftitCq0f/IQn/65R/zegA+3xf3Zv+/D/wCFcd8Zr2N/g/46ULLk6FfDmFwP+Pd+%0a+K7quN+NH/JHfHf/AGAb/wD9J3ruwH++Uf8AHD/0qJ6WWf7/AIf/ABw/9LgfMv8AwT1nWD/%0ahPtwc5/s/7iM3/Pz6CvsP7fF/dm/78P8A4V8gf8E7/wDmoH/cP/8AbmvsivquNv8AkfYj/t%0a3/ANIifa+In/JT4r/tz/0iJW+3xf3Zv+/D/wCFH2+L+7N/34f/AAqzRXw5+cFb7fF/dm/78%0aP8A4Ufb4v7s3/fh/wDCrNFAGfbXsYmujtl5kB4hf+4vtU/2+L+7N/34f/Ci1/195/11H/oC%0a1ZoArfb4v7s3/fh/8KPt8X92b/vw/wDhVmigCt9vi/uzf9+H/wAKPt8X92b/AL8P/hVmigC%0at9vi/uzf9+H/wo+3xf3Zv+/D/AOFWaKAK32+L+7N/34f/AAo+3xf3Zv8Avw/+FWaKAK32+L%0a+7N/34f/Cj7fF/dm/78P8A4VZooArfb4v7s3/fh/8ACj7fF/dm/wC/D/4VZooArfb4v7s3/%0afh/8KPt8X92b/vw/wDhVmigCt9vi/uzf9+H/wAKPt8X92b/AL8P/hVmigCt9vi/uzf9+H/w%0ao+3xf3Zv+/D/AOFWaKAM+5vYzNanbLxITzC/9xvap/t8X92b/vw/+FF1/r7P/rqf/QGqzQB%0aW+3xf3Zv+/D/4Ufb4v7s3/fh/8Ks0UAVvt8X92b/vw/8AhR9vi/uzf9+H/wAKs0UAVvt8X9%0a2b/vw/+FH2+L+7N/34f/CrNFAFb7fF/dm/78P/AIUfb4v7s3/fh/8ACrNFAFb7fF/dm/78P%0a/hR9vi/uzf9+H/wqzRQBW+3xf3Zv+/D/wCFH2+L+7N/34f/AAqzRQBW+3xf3Zv+/D/4VAl7%0aGL6ZtsuDGg/1L56v2xWhVaP/AJCE/wD1yj/m9AB9vi/uzf8Afh/8KPt8X92b/vw/+FWaKAK%0a32+L+7N/34f8Awo+3xf3Zv+/D/wCFWaKAK32+L+7N/wB+H/wo+3xf3Zv+/D/4VZooArfb4v%0a7s3/fh/wDCj7fF/dm/78P/AIVZooArfb4v7s3/AH4f/Cj7fF/dm/78P/hVmigCt9vi/uzf9%0a+H/AMKgsL2NLG2UrLkRqOIXI6DvitCq2nf8g+1/65L/ACFAB9vi/uzf9+H/AMKPt8X92b/v%0aw/8AhVmigCt9vi/uzf8Afh/8KPt8X92b/vw/+FWaKAK32+L+7N/34f8Awo+3xf3Zv+/D/wC%0aFWaKAK32+L+7N/wB+H/wo+3xf3Zv+/D/4VZooArfb4v7s3/fh/wDCj7fF/dm/78P/AIVZoo%0aArfb4v7s3/AH4f/Cj7fF/dm/78P/hVmigCt9vi/uzf9+H/AMKPt8X92b/vw/8AhVmigCt9v%0ai/uzf8Afh/8KPt8X92b/vw/+FWaKAK32+L+7N/34f8AwqB72M30LbZcCNx/qXz1TtitCq0n%0a/IQg/wCuUn80oAPt8X92b/vw/wDhR9vi/uzf9+H/AMKs0UAVvt8X92b/AL8P/hR9vi/uzf8%0aAfh/8Ks0UAVvt8X92b/vw/wDhR9vi/uzf9+H/AMKs0UAVvt8X92b/AL8P/hR9vi/uzf8Afh%0a/8Ks0UAVvt8X92b/vw/wDhR9vi/uzf9+H/AMKs0UAVvt8X92b/AL8P/hR9vi/uzf8Afh/8K%0as0UAVvt8X92b/vw/wDhR9vi/uzf9+H/AMKs0UAVvt8X92b/AL8P/hUFhexpY2ylZciNRxC5%0aHQd8VoVW07/kH2v/AFyX+QoAPt8X92b/AL8P/hR9vi/uzf8Afh/8Ks0UAVvt8X92b/vw/wD%0ahR9vi/uzf9+H/AMKs0UAVvt8X92b/AL8P/hR9vi/uzf8Afh/8Ks0UAVvt8X92b/vw/wDhR9%0avi/uzf9+H/AMKs0UAVvt8X92b/AL8P/hR9vi/uzf8Afh/8Ks0UAVvt8X92b/vw/wDhR9vi/%0auzf9+H/AMKs0UAVvt8X92b/AL8P/hR9vi/uzf8Afh/8Ks0UAZ73sZvoW2y4Ebj/AFL56p2x%0aU/2+L+7N/wB+H/wok/5CEH/XKT+aVZoArfb4v7s3/fh/8KPt8X92b/vw/wDhVmigCt9vi/u%0azf9+H/wAKPt8X92b/AL8P/hVmigCt9vi/uzf9+H/wo+3xf3Zv+/D/AOFWaKAK32+L+7N/34%0af/AAo+3xf3Zv8Avw/+FWaKAK32+L+7N/34f/Cj7fF/dm/78P8A4VZooArfb4v7s3/fh/8AC%0aj7fF/dm/wC/D/4VZooArfb4v7s3/fh/8Kgv72N7G5ULLkxsOYXA6HvitCq2o/8AIPuv+uTf%0ayNAB9vi/uzf9+H/wo+3xf3Zv+/D/AOFWaKAK32+L+7N/34f/AAo+3xf3Zv8Avw/+FWaKAK3%0a2+L+7N/34f/Cp45BKgYBgD/eUqfyNOooAK5L4vf8AJJ/Gv/YEvf8A0Q9dbXJfF7/kk/jX/s%0aCXv/oh6APzPt+1X4+1ULftV+PtVkE69KWkXpS0AFFFFAEX2lf7sv8A36b/AApGuVx92X/v0%0a3+FXKRulTcqxmSXK8/LL/36b/CqNxcrz8sv/fpv8K2ZO9ULjvRcLH6VfCA5+E3gk886JZdR%0aj/lglddXJfCP/klHgv8A7All/wCiErraQytf/wCoX/rrH/6GtWarX/8AqF/66x/+hrVmgAo%0aoqlrb6jHo1+2jxWs+rLBIbOK+laKB5tp2CR1VmVC2MkKxAzgHpSbsrjSu7F2ivCdN+JXxE8%0aDfGnwT4F8dXPhjxJb+MLK+mtb7w5plxpslhNaRrJIskc1zcCWNhIoDhoyGHKndx7tVW0T9f%0awdn+JN+np+OoVWuv9fZ/wDXU/8AoDVZqtdf6+z/AOup/wDQGpDLNFYnjPxHceEvDl3q1tod%0a/wCIpLYBjYabNaxTMuRuYNczQxAKMsd0g4Bxk4B+VvhJ+0b8VPiR4B+B9ta29roOt+Mbe5e%0a68ReK9KhvYb1YbUzia3t7K+iKBiNpEnlkZ4SgD7Eorxb4Q/Enxf8AED4VeLr7VtV8OaT4j0%0aPX9Y0T+1xpkw00LY3ckH2iS2a63gFYyxXzxjP3sCvn2P8Aad+NXgL4Vab4p13U/C3iUaz4U%0a8TeLbCOTw5PZTRxWbxyWW8reFWheO6g42K4XarO7kyEA+66K+d/gd8fdR8f/GTVvCB8feAf%0aiPpFroEerDVfBFo0Igma4aIwy/6ddKflAbqp+YcV9EUAfG//AAUQ/wCaf/8AcQ/9tq+lvgv%0a/AMkd8Cf9gGw/9J0r5p/4KIf80/8A+4h/7bV9LfBf/kjvgT/sA2H/AKTpX6Nmv/JK5d/jqf%0aqfrOdf8kTlP+Or/wC3HZVWv/8AUL/11j/9DWrNVr//AFC/9dY//Q1r85PyYs0VwH7QHj/UP%0ahT8D/HnjLSYba41TQdFu9Rtor1WaF5IomdQ4VlYrkDIDA+4rj/jN8b9d+Hf7JGq/FLTbTTp%0a/EFp4ft9VS2uo5GtTK6xkqVV1bb85wN+enNAHt9FfPXj/wDahX4YfGPStG8SzaXpfgk+Brv%0axTqOoyxyG4jmiuIIkjjw+GDebtEYRnZyiqcnBy/E/x2+Kng39nbWvidr/AIe0bQb651TTE0%0abwze2sxubGxudRt7b/AE9hMA1wYpy+xAgjbCtvIIAB9M0V5b8f/ilqvwq0vwTc6Tb2dw+t+%0aMdG8PXIvUdglvd3SxSsm1lxIFJKk5APUHpXkWr/ALYWueD/ANsbWvhz4h0nTrf4ZWo0zTl8%0aRxRyCez1K+gaW1W5YyFfKkME8YYINrtHuYAk0AfV9FeR+Gvi5rGs/tO+NfhzNbWK6Jonh/T%0atVt7iONxcvLcSTK6uxcqVAjXACg8nJNcbo/7UWp+Kf2u4vhpo2mWU3geGx1GG41x9xnn1Sz%0aMH2iGHDgCOL7TGjEqcyB1BBjagD6Oor5z+DPxH+LHxm1jx1eQa94M0PQfDnjbVPDUdhJ4Zu%0a7m6ntrS42BzcDUUUSMh6+UQDztI4r6MoAKK+L5P2qPitafDfxf8SCfB99o2g+NrjwxD4Tg0%0aa7TUdSjTUFtEWG7F46/aHDghRbMCQeADx9oUAFFfNPir45/EnXpvi1rHw9tvDK+GvhxM1jL%0aba1aXE91rt5BAtxeRRSxzRi1CJIkSM0c26TcSFAwb8f7RGtfFfxh4I8L/AAyk0fSJtf8ACM%0aXji41jxJZy3yQ2ErCKKCO1hngZpmkfLMZQsYjI2uXG0A+h6rR/8hCf/rlH/N687/Z/+LF58%0aWPCWrPrFnaWPiXw7rV74b1qLTpTJaNeWr7WkgLfMI5FKSBX+ZN+wliu4+iR/wDIQn/65R/z%0aegCzXG/Gj/kjvjv/ALAN/wD+k715v+1r8RPiR8GPhr4h8feE9W8LHS9HtoWbR9a0G5uZp5H%0anWMkXMd9EqriRSF8on5Tzzxi/Hb4k+Kvhx8PLrwn4kutH8b+LvF1pqMOnwaDpcujw2thDaM%0a97dTebc3W4RIwIAZS7yRIANxde7Af75R/xw/8ASonpZZ/v+H/xw/8AS4HF/wDBO/8A5qB/3%0aD//AG5r7Ir4m/4J9yasut+L1tYLKTSGS1+2yzTulxG/7/yvKQIVcH5w25lx8pGeRXpnwJ+I%0a/wAWPjW/iLWf7e8GaNoOkeLdR0P+zf8AhGbue6ltrS5MeftH9oqqyOg+95JAPO0jivquNv8%0aAkfYj/t3/ANIifa+In/JT4r/tz/0iJ9G0UUV8OfnAUUUUAVrX/X3n/XUf+gLVmq1r/r7z/r%0aqP/QFrxn9rP42eJ/g34C0uPwBotn4m+I3iLUo9L0HRrzc0czhWmmkZFdGZEhikJIYYYpk8g%0aEA9vorx6b9pvw3F+zZpnxjS3nvdK1HT7W5ttNsnWS4mubhkijtFPAMnnOIjnABBJxg1f8Ip%0a8aJryw1LxJdeB4bG4mJuvDdhZXf2iyhZjgLqLTlJ5EXaT/okauwIBQYagD1KivC/CvxK+IP%0ax1Oo618PLrw14X8D2t7PYWGr+INMuNWuNbaF/KlnjgiubYW8KypKilnkaTbu2xgDf6/4XbW%0a20G0/4SOOwi1oArcf2XI727kMQHTeoZdygMUOdhYrufbvYA1aK+UviL+1d4t8I+G/2mdQs9%0aO0WWb4ZTWcejrPBMVnEtrDK32jEo3YaRgNhTgDr1rqPGPxR+J/wP8Jx+PPGlz4V8Y+BreGO%0aXWV8P6Pd6VqGmQu8Y+0xq91dLdJGrOXj/dNtXcrMRsIB9C0V474v+LHiTxB8T5fhx8NoNJO%0ar2OnQatrXiPW0kuLDS4JpGW3iW3idHuJ5VjmYL5kSqqbi7HCNS+JnjT4i/C74Valq+seIvC%0aa61aXkUdndWXhu8u/7XMo2RWcOnC9R0uZJ3jjQi5lVupVN3yAHt9Ffnx8cv2xPjH8Km8N6N%0ar2q+D/Cviv7Xpn9rWUFvpUiESyKZdn2jX0mEG07S0kEI+Vj58SkSD1X4Qfte6x43+CfizxN%0a4lvfCHhK9sdVuNK0bxNrt9aWPh/UplLeXHui1G6YPhCW2SMpBzG0gDYAPrKivnXS/jV4++L%0aHjjSPDngldC8LT2egnUPFc2r6bJr0Glai5tzBpyz2t5BE8hjknkJV2O1IyVXzBWh8Lfixrf%0axf8CeNfDS+MfDem/FvQ9Q1bTGXSoVH2Y295NBa3UtjLLNIkUqxxuQzHKyHY4yrAA96or5y8%0aXftAXOmXGm2mqfF74TfCXxHHp9uda8JeLTHqN5ZXjrvcCVNUth5ZV0KZjyRhs/OFWjL+1ho%0a/g/4d+NNfv8A4wfC/wCJGo6baRSafYeE2jsBHK8ggj+0s+o3IETzTW6mQ+WsYLFiQflAPpu%0aivinS/wBr/V/Ees/DHwD4LvNY+I3iZLq4u/EmtaPb6XCdZsbJfLmnslnlig+zXF2zRJIGV9%0altMV3ZSRvUf2dPjb8QPib8KFvLrwFqc+rQQXiWWu63eafZWWsNBctBF5otZp5LeeRV3SBbc%0axK6ybDt2ZAPoWivkP4ZftDfGDWPF9t9v0DwvqeleKfO1C20hden+3+E7e0Bgv0ugNMjEmy5%0aQxLGxD+cXTzGQF4t39nP43fE34qeKfCKarf+EdU0S/8AB1n4n11dH0S5s5dImvY0eysxK99%0aOJXYee7ZjTCRo3HmrQB9LXX+vs/8Arqf/AEBqs1Wuv9fZ/wDXU/8AoDVzHxd+J+lfBn4c63%0a4y1qO4uLDTI1b7NZoHnuJXdY4YYwSAXkkdEXJAywyQKAOworynwgPjXdzabq3iObwRY2lxM%0aGu/C1paXb3FnAzEbRqZnKTSxoQxH2RFdlKBkBEo4Dwb8SvjH8WPFnxatPDOseBtFtPB/iKb%0aQrGz1bw9eXUl3st4pVaW4jv4wmTLtJWFsAZwelAH0rRXyn8V/wBrzxNon7OfjLxX4Z8OadY%0a/Ebwx4kg8L32gavJJdWkV49zBHlZFMLSxPFcRyJJ8mQ4yoIZateM/2v72H9jXXPi14c020t%0a/FuiSQadqmg6xG7DTdSW8htru1mRXVwUMjFfmBIKN0OKAPqKivJJ/i3rEf7WVn8MBbWP8AY%0aE3gmfxI1yY3+1C5S/itwgbft8vZIxI25yB82OKq33xl1q2/ae1j4cLa2B0Oz8Bx+KI7gxv9%0apN017NAULb9vl7Y1ONu7JPzY4oA9lor5I+GH7WXjb42+Avhlpng/TtDm+JfiOwj1fxFeS2s%0a8mjeGrAu482aNZhI8suzZDb+aCx3OzKiZPsfgD4qat4q+PPxY8E3dvZR6V4Ti0d7GaFHE8h%0au4JZJfNJYqcGMbdqrgZzmgD1Sivlv4k/tS+K/B3gj9pLWLLT9GluvhteW9vpCTwylJ1ktLa%0aZjcASgsd07gbCnAHfJNjRf2sNX1j9k/x/44l0qx0v4neBdMvE13w9dI5gttSt4S+dofc1vK%0aAskbBzlHADkgmgD6corC8Ca7P4o8D+HdZukjjutR063u5UhBCK8kSuwUEkgZJxkn61u0AFV%0ao/wDkIT/9co/5vVmq0f8AyEJ/+uUf83oAs0VzHxD8Ra74Y8PNd+HfDg8TakX2i3mv0sreFQ%0arM0s8pDsqDbt/dxyuWdPk27mXjvgn8SvE/xh/Zv8J+NoLXSLXxVr2kRXiwyealjDK/cgFnK%0ar127stjG5c7gAesUV4r8LviZ4zufjZ4v+G3i2XQdfk0bSbLV01/w1YzWUMX2h5UFpcwSTz+%0aXN+6Mi/vfmjdTtHWp/iR8T/FU3xj0D4X+A20ex1q40mfxDqus69Zy3lvZWKSCCJEt4poWkl%0almbGTKoRYnOGJAAB7HRXyzp/7WHiXVvAmm6PbaTpB+Ldx41ufh9PBiU6VDfW4eWe+Vdwla3%0aFsqziPcH/eKm/+OvQvhJ8VfEt/8VfG3wy8ctpFx4k0G2s9WstT0S0ls7fULC4DqG8iWWZo3%0ajlidG/esCGQjHzAAHslFFFABRRRQAVW07/kH2v/AFyX+QqzVbTv+Qfa/wDXJf5CgCzRXD3f%0ajbWLb4kaJoMukw2emagt4UuJpg88vkKh3BV+VFJcYyxYjqqEc53iXx3ryeJfEmnaXJpGmwa%0aDpq38j6tHI7Xe5Wb5NsiBI12FWk+fBPTiu6OCqyaWmqvv0vbpfrpY4ZYylFN66O23W1+tum%0ap6TRXLxapr3ibw7oOo6KLHSWv7eO6uP7ThkuGgV4wwjWNWj3NlgCxYY2ng54oeEfGura3oe%0aumbTIr7WNI1KXTGjsZBFFcuuwiQeYfkXEgLAliNrY3HAMfVp8rldaOzV9Vq1r03Xf8AA0+s%0aw5lGz1V07aPRPTrs+34nb0VyHw48X3/i/wAPX1/f2cEF1b391afZ7Nyy4ikKABmxuPH3iFB%0a9F6VF4O8Z6r4g8Y+JdI1HTIdMj0yGzlhjWbzZSJhKT5hHyhgEUFV3AHdh3GDRLC1Iuonb3N%0a9V5bd90KOKpyUGr+/tp679tmdpRXAeFfEHijxbquuyRXukWWmabrE2nLA2nyyzSxx7cnzBc%0aKAxyR9w4x0PSll8fahH4t8b6WIbb7PoemQ3tsxVt7u6SMQ53YIyg6Ad+at4OpzOCabSTeu1%0a+Vdv7y/pErGU+VTaaTbS03tzef8AdZ31FeXaJ4t8bXXgPTvFzjRdUt5rIX0+k21pNbTeWYy%0axEcpmkDMOMAoA3TK9a1774jPrEmg2HhWKG81DWbP+0o57zcILS0+X97Io+ZiSwURgjJzllA%0azTlgasZOKs7NptPRNb30Vvu16X2JjjaUoqTurpNJrVp7W1d/0623O6ori9c8Tax4A8LazrG%0avtYatFaQrJAdOhe1aSRjtWIo7yYyxT5w38R+X5ctTsPFviHQfFuhaN4pfS5l1q1mkgm02CS%0aH7PcQqHkiffI4ddhJDjb9w5XniY4SpOLlFppX672V3bTot9vmXLF04yUZJp6dNruyvr1e25%0a6BRXkkfxU15PDWn+NbiDT4/Cd5fJEbPyZPtcNrI/lJO0u/aTvKMU8v7rY3ZFdD8SvEniPwb%0ao+oa/ZvpL6bYeWf7PuIZGnuwWUMFmDgRuxYqq+XJyFOTu2ro8DVU4021dtrfqmk1tvdry87%0aGax1JwlUSdkk9ujTae+1k/Pyud1RXD6n4s1fUvG48M6G1lYSw6cmo3N3qVu8+A7lEjWJZIz%0an5SSxbA4GDniTwt4r1fxp4RNxZR2FhrUN3LY3YmLTwQyRSFJGUKVMgO3IG5eGHPHOTwtSMF%0aOVktOu172b02dn3/FGixVOU3BXb16b2tdLzV12/M7Sq0n/IQg/wCuUn80rmPAPinU9dvvEe%0anaotpPNo96LX7fp6MlvcZjV8BWZirpuCsu5sGunk/5CEH/AFyk/mlYVaUqM3CW/wDmk/yZv%0aSqxrQU47f5Nr80WaKKyPFra6vhrUv8AhGE05/EJgYWI1Z5FtBKeFaXywXKjqVXBbGMrncMj%0aU16K8DsvjN4s+HnxfuvBXxEvPD+t6efCd14rj1zw9ps+nNaR2syRzxT20txcblIlRklWQcq%0a6lOjVymi/tHfEXTNB+FPxA8W2Phy28B/ELVLXT49HsbS4XUtGS+3HTpZbpp2jnyPKEoEMWw%0ay8FthyAfU9FeI/FT42eLvA3xa+Hvhu08KWkXhrxF4gTRZtc1C9DTTZs57hjbW8ecKDGEMkz%0aq25XAiZSslR/Ez4q+NF+Oek/DPwfceHPD0s3h6fxDNrfiiymvIpwkwi+z28MU8GWXh5HMh2%0aqy/Kc5oA9yorzz9n74nXXxl+Dvhrxje6fFpl3qcLmWC3kMkDMkrxmSFyAWik2eYjEco6msH%0a4mfE/xP8A8Ld8MfDDwKdItNe1DTLrXtS1fXLSW7t9PsIWSFNtvHNC0sks8qKP3qhVR2IbAF%0aAHsNFeC/C74m/EH4x+ENbs7DUvDHhbxz4S8RXfh3X2utFudRsbiSEKyy20YvIJI0kSSJxvd%0a8ZZecbqsfs+/EXx/wCPfHHxIs/EOo+G9Z8LeGNQTQ7PVtE0W4057zUEQNertlvLj5IWZIsj%0a70gkHGz5gD3KisfxedfHhnUR4WXTW8QtEVsjrDSC0SQ8B5RGN7Kud2xSpbG3cmdy+WeCPiZ%0a420z4+TfC7xpNoGuy3HhtvEtlrWgWE+nCNEuUt3gmt5bi45JkVlkWUZCuCoxkgHtdFeA/sv%0aePvij8aPAXhP4g6/rXhC28P6zFNcPoemeHrlblU3SJFtvG1B06qjk+RyMrhSdw9+oAKrad/%0awAg+1/65L/IVZqtp3/IPtf+uS/yFAFmiiigAooooAKKKKACiiigAooooAKKKKACiiigCtJ/%0ayEIP+uUn80qzVaT/AJCEH/XKT+aVZoAKKxPGg8Rt4bu18JHS08QOY0t5daEjWsQMiiSR1jI%0aZ9qF2CBk3sqqXQMXXxH/hoTxF8LPGnj7w38S20bWY/DfhA+N49b8N2U1ir2avJG9vJbTTzk%0aS74XKsJSHBA2qVOQD6Jor5q0T45/EnwrrPwnv/AIiWvhqPw38R7g6dFZaPaXEV3oV7NCbiy%0ahlneZ0ugyRyxOyxQ4cKQCuQOm8VfG7xdoX7Q/w78Cnwna6d4Y8S3OpW51W+vRJeXH2Wzaff%0aDDFlY4mYxgPI5c7ZAYk+V2APb6K+fviR8YPHM3xl17wF4Nv/AAh4TXw/4VHiS61TxpbT3CX%0axkldEWJIp4PKt4vJbzrgtJtMqARjGW9Q+DnxCb4s/Cjwj40fSZ9CbX9Lt9ROnXDb3tzLGG2%0absLuAzw20bhg4GcAA7GivGfHXxM8X6r8a7T4Y+AZNE0y/ttFHiDWdc16xmv4beB5Xht7eO3%0aingLSyPHIxZpAFSP7rFxjL+FnxM+IPx0+G1pqOian4Y8HeKtG1K+0HxPZ6jolzqtuL+1l8q%0aT7PtvLZkQlS437ztkUHBUlgD3qivE/2aPiP44+J3/Ccah4kvfD+q+GtP1qTR9B1bQ9Jn0/8%0aAtH7PmO8uNkl1cBovtG+KNlfnyHY8MoG9+0H8V774TeCrCbRLC31TxVr+rWnh7QrW9dktmv%0arl9qPMy/N5Uah5GC8kRkAgnIAPTqK8A0n49638PPiP418GfFO70W7fRfCp8bWeu+HtPmsoZ%0atNjZ4rpJYJp5iksTopBWVldZV4QqQek+DuvfFDx/YaH4w8Qz+GfD/hvV7YX0fha30y4uNRt%0a4ZI90KyX5uljMnKM4FtgcoCceYQD1uq2o/8AIPuv+uTfyNWaraj/AMg+6/65N/I0AWaKKKA%0aCiiigAooooAK5H4vnHwm8bHnjRL3oM/8ALB666uS+Ln/JKPGn/YEvf/RD0AfmVb3K8fLL/w%0aB+m/wq9Hcrx8sv/fpv8Kjt+1X4+1O4rDFuVx92X/v03+FL9pX+7L/36b/CrS9KWi4WKn2lf%0a7sv/fpv8KPtK/3Zf+/Tf4VboouFgpG6UtI3SkMryd6oXHer8neqFx3oA/Sv4R/8ko8F/wDY%0aEsv/AEQldbXJfCP/AJJR4L/7All/6ISutoArX/8AqF/66x/+hrVmq1//AKhf+usf/oa1ZoA%0aK4/4weMNW+H/wv8T+ItB0C68U63p1hLPZaNZQvLLdzgfIgRAWILEZ2gnGcV2FFTJOSaTsVF%0aqMk2rnyt+zlaaFB45XxT4tu/HHjH4va5bC0uNd1nwLrOm6dp0IG/7HZ+dZpDawAryWbdI2W%0aZiWAH1TRRWjd0klZL7v6+++7bZmk1q3f+v67JbJWCq11/r7P/rqf/QGqzVa6/19n/11P/oD%0aVJRyfxg8G6n8Q/Al54Z069i0+DVpIrTUp3Zlk/s9pALtIio4leHeik8KX3HOMH49/Yt8H+H%0ar/Vfg7H4TsGtD4b8OTa54mmt3k+yLf3cCW9rCI93lpPJD500mxVYqkLPu3qa+96KAPg7wt8%0aQ/DV/pHxP+E2s6l4YsLa68T+Lda17UvEd8fsWjwprsP2VLyBJoGdLo3OFVp4gyowIkVmWuZ%0a+Lmn/E3W9U0TWfDfh7wE9v4j1u00i81fUvh7deHZfEZaJwlncRS38lxc2eyJhItwkSErb+X%0a5qFmj/ReqOp6Hp2tGzOoafa35s7hbu2NzCsnkTKCFlTcDtcBmAYcjJ9aAPCvhD421PX/AIm%0axp4r8VeDbfxgbF7afw3N4Mn0PxF5SHcRHJNqM/n2ySbx5sCy27sr+XK2Ca+g6KKAPjf8A4K%0aIf80//AO4h/wC21fS3wX/5I74E/wCwDYf+k6V80/8ABRD/AJp//wBxD/22r6W+C/8AyR3wJ%0a/2AbD/0nSv0bNf+SVy7/HU/U/Wc6/5InKf8dX/247Kq1/8A6hf+usf/AKGtWarX/wDqF/66%0ax/8Aoa1+cn5MeYftZ6LqHiP9mL4qaVpNhc6pql54bv4LaysoWmmnkaBgqIigszEkAADJr59%0a+PX7J3gr/AIYj1n/hHPg3oH/CwP8AhGbbyP7L8Lwf2r9q2xb9uyLzfNzuzj5uue9fbVFAHx%0ad8d/2cL344/tLeAfPh1nQ4NJ8DTXGm+K7O2cx6RrMN7bSWrknEbOpVm8lz8yhuhAYbHjSb4%0al/tEfsu+MvA2s+DbvRvi5oN1Ym4gltpIdJ1qW0vYLpJrC7kCxSR3CwEAFg0TMVcKAGb65oo%0aA+XfiZ4quf2krv4W6H4V8JeL9Pex8VaV4o1e68S+HLzR4NMtbKVZ3jZ7qNFmmd9sSpAZOSz%0aEhFyWad8E4fiV8fv2oNG8ZeHryTwX4s0jw3ZRXU9u0cN35dtdCQwSsu1nicxnK5KNsPBxX1%0aLRQB8F/Bj4c/G7W/i98adG8Q3uoeEPEsPhbTvDOnfEiTSnuLfUlhmmKX0ILojTNbyIWVZD5%0acpYnpsrqND+BnxJ+HP7Q/wU07TL7w2/hXw74c1SxW80vwdew2lrAZLMvDK7ajLm4mCsyys+%0adyyMySknH2ZRQB8pfstfs9eG/wC2vih4n8YfDTSv+Ep/4WdrupaVrGuaDH9t8j7WJLa4gml%0aj37M/Ojocd1Ne9weBNbi8anXG+I3iabTDK0n/AAjT2+liwClSAm8WQudoJ3D9/nIGSRkHsq%0aKAPzZsfhrZQfDD4t6bbfCXxF/wvTUfGOsz+F9ftfCF7Z3cLy32bO6TWfJSKKFM+YSbhVMYZ%0aSGD7W+5p/h/4q1S70e/uPiZ4h0ia3t7db3TNItdLNjcyoB5rZnspJgHOchZFwPu7TzXoFFA%0aHyBb3niT4Lz/AB+8HnwV4m1zVPF2tXOu+FLzRtKmurLUG1C2jhEMtyiGG0MM8R8xrlo1CMr%0ajcvJ3r/4S+CvhZ8KvhRonjfw/4s1zXfCfh+PTbbxD4CttWa6SWOCNJoVl0wrcJHKQSBJiM7%0aRuIYCvqGigDw39j74Q3Xwh+F+px3+knw9feItev/EEmiGcXB01J5AsFu0oJ8yRYI4d75OX3%0anLdT7TH/wAhCf8A65R/zerNVo/+QhP/ANco/wCb0AeJ/tx+HNW8W/srePdJ0PS73WdVuYLc%0aQWOn27zzykXULEKiAs2ACeB0Brm/2wPAHiO41LQPiD4dsE1WDRNE13RtashMkUosb21X/SU%0aLsFPkyQIzKPmZGbaGYAH6ZrjfjR/yR3x3/wBgG/8A/Sd67sB/vlH/ABw/9Kielln+/wCH/w%0aAcP/S4HwF+x7pfja+/aU8JXOgnVl8H2UN9L4k+zXbRWRVrZ0tRcR7gsrea+UUhiMOwwAxr0%0a39mnwp8P/B+veK5vHXwl1I+PZPH+r32na5dfDbULyVYnvWa1mS/WzdFToyv5gCjnIHNbX/B%0aO/8A5qB/3D//AG5r7Ir6rjb/AJH2I/7d/wDSIn2viJ/yU+K/7c/9IiFFFFfDn5wFFFFAFa1%0a/195/11H/AKAtfO3iT4deJ/jD+1LqOqnWPEfgPRPAWjxafouq6fYWjG/vL4ebeSRNeW08bI%0akUdtEWRchjIu77y19E2v8Ar7z/AK6j/wBAWrNAHw23wG8eWHgj4p/CLRV1LUj4Z8Q6d458D%0a63rUCQ2upu9wt7PYtJFEkCst1HcDChQv2mNtoUEV9KeFfj3Z+Kb3T9LXwX4507XZ5RDdWOo%0a+Gbu3hsiCRIz3roLR0TBO6KZ94x5YckA+oUUAfJHwvth8FPhld/Bf4h6B46j03RryZtG8Se%0aCrDV549UsJLqWaFhcaUGntpowQksUhTPG0yqxNelfsbaX4y0n4BaLH47Ot/27NdXt0g8R3c%0alzfraSXUklqszSu0isIWjBSQ70xtYAgge20UAfBnxh+G/i3U/Bn7a8Fn4W1q7m8QXGnNo8c%0aGnzO2pBbG3VjbgL++wysDszggjtXqnxX8Van8ffhDe/C3wN4Y8Tx6h4i04aXqWs+IvDt7o9%0ajpNo4RJ5Wa9iiM77GcJHAHJbltigtX0/RQB82jQdS/Z1/aB8QeLF0PWPEHw98Y6Pp1jc3Wi%0aWEuo3ejXunxyRRCS2gVppIZopAPMiSQrInzhFO+sb9qn4lWXif4NWet2vgyXxFb2HiG0a18%0aHeMPDWJ/FoCsstpaWV1A9ykqiR5BJ5CsPs7Nkxb2P1XRQB+TOt+MtR8J/CX4beGNP+K3hjQ%0a7fRdc0hJtAuvE9lpN1p99HeK1xLLpt3oRubNI7jzWzJLIiIqv5boQh+m9G8Z2Wpfsm/Hu0k%0a8Z+DvFuoJoWrahc3PhfxJYavKWns5QWn+x6dYqrM6HBMbu5LZc4AH2XRQB+enjL4v6DceIv%0aCGvWg+J/ihH0gaLqPwx8L61q2ma7DJFEskGrw6bb3ETi2cAxO0qxgh4ZFych/TfAL/D+7/Y%0ay8S6t408Z6L8RdFv5LrUrptV1t/EVlpt1Iim206CS7aSVniBt1VG/eNKxYKrSBR9TeHPB+g%0a+Do7+PQNE07Q01C8k1C8XTbSO3FzcyY8yeQIBvkbauXOScDJ4qt/wAK68KHxDf6/wD8Ixo3%0a9u3/AJH2vVP7Pi+1XPksrQeZLt3P5bRxlMk7SikYwKAPjz4feL9S8daV8CdC074f+LPGvhj%0awF4b07U9ROiJZRW0mux2y28VtLLeXNuu+0YTtJCpZlmMW8IYiD1tn8QvivpnwW+LOj+JbSL%0a4V6rp0zHw14s+ImsRfZBp15cukJub22kkRbmEbkVd5bJttxbcXb3fxT+z18LPHOu3Wt+JPh%0ap4P8Qa1dbftGo6poNrc3E21Qi75HjLNhVVRk8BQOgq34K+CHw6+Guqy6n4Q8A+F/CupSwm2%0akvNE0a2s5niLKxjLxopKlkQ7c4yoPYUAfBvxA0zwQ/j74K2OuXfw18P6ZaaZr1r/AGh48+G%0at5pGjSJFFpUdsgtNSu43mkWNdqTCdhgYA4Na/7IOm/DhPgh4kdbr4KeLNV/sHVp7jw5pvhy%0a2GqzRw3byJ9tb7XK01tlIiEMSgAw4b5QW/QG50HTLzWLHVrjTrSfVbGOWG0vpIFae3SXZ5q%0axuRuUP5ce4AgNsXOcCrN5ZwajaT2t1BHc2s6NFLBMgdJEYYZWU8EEEgg9aAPze8Max8Nrq4%0a+FU+n2X7N/ifVPFV5DDe6F4U8F20GraPusJ7kyiRb+ZlaKWFIyWiHLj7pwK9S/ZTtori++A%0auqeD9F1rTp5fh9Y2njfUJdFu7LT9Qii062FiTPLEsN1NHIxVHhZ2EbSgnZwPr248G6Bd2Wk%0a2c+h6bNaaQ6SabbyWkbR2TLG0StCpGIyI3dAVxhWYdCRV3SdJsdA0qy0zTLK307TbKFLa1s%0a7SJYoYIkUKkaIoAVVUABQAAAAKAHXX+vs/+up/9AavLv2p/hfrXxd+Ces6F4bmgi8SQz2mq%0a6YLo4hlubS5juY43PZXMWzPbdntXqN1/r7P/AK6n/wBAarNAHlnhX4+2/iW60/SpfBHjnSv%0aEk04trrTb3w3dRwWbK5WVm1BkFlJGgDOHjnbzFA8sOzKp8a+DXjhvg14/+PaeIPCXjeWfV/%0aGtxqelrpfhDU7yK/gNpbopjuIoDANzxsoLyKBjJIHNfXFFAHw58W/gx44uvgF8Rdc1Dw5dv%0a4x8ceO9I11/D2lr9umsLOG7sooonMO5XdIbcvIyEoCWwxC7jn/8FBPgt4x0jQfFesfDPw1f%0aeI9O+Ia2On+KtD0m1e4mjura4Sa21OONAWyUjaCULgEGJzkqTX3nRQB8wePvgvpvxM/bk0m%0a+8W+BLXxX4Ot/hzcQrc61o63mnx339pwlEDSI0Ym8syED720t2zVHw78E7D4c/tk+J7rwd4%0aCtvC/hG6+GMdv52h6MtpYTX/8AaM5ZN0SLG0/liMkfe2he2K+raKAPz2/Zb+HPjn9kf4UeA%0aPHGleFPEGpaD4gs4Lfx74Kj0+aXVbG63mOHUra3K+aSq7ElhUZ2YcKdpK+52OpXXwe/aV+I%0aPi/V9B8R6h4Q8faPpFzp+p6J4fvdRe1uLNJYpLW5t7eOSeJ2SWORWeNV4dSwZdp+lqKAPhr%0a4k/Djxf4s/Zp/ag8Rw+FNZgv/AIg3i3mieHWs2fUpLWK2tII3eBcukknlO/ksodBgMA2QLv%0a7bnwf8Wab8O9b8dfDfw/ea5rev+GG8JeKvDmnW7PPqNpJC6W10kaAs09tM6jhSzQvIpKhAR%0a9sUUAcv8LLOfTvhj4QtbqCS2uoNHs4pYJkKPG6wIGVlPIIIIIPSuooooAKrR/8AIQn/AOuU%0af83qzVaP/kIT/wDXKP8Am9AEWuxvNomoRxqXdreRVVRkklTgAV4R+zlp8vgf9ifwHp3i3wn%0aql59l8O29nq3h59Lae68psJMklow3yBUZmaIKzsqsqo7EI30LRQB8t/Cq2/4Rr4seKfE3gD%0awV4h8M/B7TvC8kcvh1dEn0ldQ1lJEmD2GlzrE6t5G6NpBHGsrsoy5RiHap4h1HQ/j/AOCfj%0aRc+DfFi+EPE/gk6BeWsOiXF3qmh3In+2Qi7srdZJlDq0sZZFcJIqhioYE/UVFAHwzB8MfGv%0ahqx0X4vyeFtWu5X+Kl742ufDMVuZNUtdGu7I2Cs1ugLNcJGsMzQLlxuZTllIr2j4T6VqXjz%0a9o3xr8Vn0zVNG8NvoFh4X0ePWrCWwur0RTT3FxObeZEliQPOqL5igttdgNu0t79RQAUUUUA%0aFFFFABVbTv+Qfa/wDXJf5CrNVtO/5B9r/1yX+QoA47xRp13cfFnwLeRWs0tpbW2pLPOkZMc%0aRZYdoZui5wcZ64Nczr1lbp418UTeL/D2pa/aMkT6G1pYzXqxJ5QEiQmMH7PMZFyXJQk7Tuw%0aoI9gor0aeNdNJcu0eXRtP4ua6a27PujzqmDVS75t5c2qTXw8uqe/deZ4zf6h4z0jwj4N8P6%0alPqlrd3dux1nW9OsZb+4t0QDESmJHAmYNt80ggbWYbjiu8+HNroel6AunaBZ39paWzfOdQs%0abi2llduWdjMil2J5LDPpxwK6qilWxftqfJy8t227aJttva3S9lrZLZblUcJ7Kpz817JJX1a%0aSSW9+trvS7e72OD+Dum3emeHtVjvLWa0kfWr+VUnjKFkadirAEcgjkHvTvC+nXdv8WfHV5L%0aazRWlzbaasE7xkRylVm3BW6NjIzjpkV3VFRPFSnOrO3xq3prF/8AtpUMLGEKcL/A7+ukl/7%0aceNeP9BsNXuEi8N+FLjTPHX9pxyR6vBpjW6QkSZlnkuwgSSNo9+V3MzbwCm7IW9PouoHx98%0aTbgWFybe70S2itpRC2yZxFKCqHGGIJHA9RXq9FdCzCaioct9Latt7xe76e7otldmDwEXJzv%0abW+iSW0lsuvvavd2R5B4O8SX9j8KNE8P6doOsTeJF02O08i702e1ggkEeC0k0qKm1SOdpJP%0aRQc0+w8GXvws1fwtqlvb3Gs6baaIuh6itnEZJosSB1uEjHzOu4uGVQWAIIDc49cooePfNLl%0ahZSbcldu9/Ppbp+NwWBVo807uKSTsla3l1v1/Q85+IH2j4nfD3xBpmiaffi58qOSBtRtJLJ%0aZpUkWTylEwVsnYBuKhPnHzcNiq73HxK8beE9Qt9M1PTNP0i3ubi9bU7OS1YSzwmJYUEiguy%0a7nLMuVGBycivUKKzhjPZw5IR721enMrP1022szSeE9pPnnLtfRa8ruvTz3ujwW00rV9S+E2%0amfDiTR9QttaiuYLO5uXtZBaRwRTiQ3CzlfLcFEACht25sY4Jrqvicmnapb6tFa+GNTl8ZCB%0arbTNRs9OdJVkI/dOl6oCRoGbJ3SLwGBU5wfUKK2eYN1FU5bauWje7ab+Ttbl2sYrL0qbp81%0a9FHVLZJpfNXvzb3PPPFdhpkCaVd+IdN1m/12Cx8saj4diulklbAMkW+2KsoLAECTanPB4bF%0aPwd4UtPA/wzSw8QaCbuC/u5bq9022tPt8dsZHaREMSKxdUxGnyK3zc/dyw9PorD65P2apa2%0aunu+l7W/ls3fS/yNvqcPaOp1s1sutr3/AJr2trb5nn3wvsLq21bxJcW9ld6X4VnkhGk2F2j%0aQmMqGEzJA3zQxs20hCF6EhQCM9xJ/yEIP+uUn80qzVaT/AJCEH/XKT+aVzV6rr1HNq234K3%0azfd9WdNCkqMFBO+/4u/wAl2XRFmvPP2gfHniP4Z/B7xJ4j8I+HZ/Ffia1ijj0/S4LWe53zS%0aypEsjxQK0rxx+Z5rrGNxSNsEHkeh0VgbnyT8KvAXhbVdK8a6bNqfjvxZ8U/G2iz6bqfjXxf%0a4K1XSo2UwOoihM1pHBaW4ZmZYVPJIBLkLjn9FsfFPxT+EfwP+Ek3g3xH4b8R+FdT0eXxTca%0appU0Gn2dvpDrvaG8ZPIuTcPDF5K27yHEu5tqo5H2tRQB4Z+0b4d1XXPiD8BrnTdMvNQt9N8%0aa/ar6a1t3lS1h/s+8TzJSoIRNzqu5sDLAdSK4/4uaHazftGXV58U/Bep+OvhdN4cgj0G3g8%0aP3HiHT7PUUnkNyZrGCKYpcPG8Wy4aLARZEDgsyn6jooA+efgT4A+IWsfBXTYNc8YeMfAN0d%0aTv7vTrZmsb3VYNLkndrK1vZLyC63SxwlM4O8cKzEqQKPjbStY+EX7SHgf4g31n4i8Z+G5/C%0aVz4R1TV9O0tr++tbgTx3UNzPa2UO5kl8uRC0MO1XKZCKRn6UooA+W/A0fjP4afBf45fE2Hw%0a1q0vifxXql/wCJdA8NCyaXUFj+zRW9hHNbqpZZX8lJHjwWRXCsA6uK9V+Dnwjm+G37P/hrw%0aHa6peaNqVnpSRXOq2fkyXK3r/vLm4HnJJGztM8jkurgljnNen0UAeJfFLUvHPwL+CniTVdB%0a1PxH8V/FbSQxacmqaZBcPbNLIkRkMOm2kTyRRBmlZQjOQhAIzxzH7Nul+FfDGtatepN478Z%0a/E/XbdZNX8WeLvB+qaSLwxrkQxPPaRW9rAGLbIFbjIGXKg19KUUAfHNv4D8O3nxw+Feo/Bj%0a4Waj8NdV0q/uX8WaknheTw9ZDSWgKzWM7GJIr93nFuY/J89UMLOroMOfsaiigAqtp3/IPtf%0a+uS/wAhVmq2nf8AIPtf+uS/yFAFmiiigAooooAKKKKAOH8MfD3XtAur+W++J3irxIlzbvDF%0aBqltpKJauSCJo/s9jExdcYAcunJyp4xb8DeC9Y8JSXjar4+8Q+NROEEaa5Bp0Qt8ZyU+yWk%0aBO7Izv3fdGMc562igAooooAKKKKACiiigCtJ/yEIP+uUn80qzVaT/AJCEH/XKT+aVZoA8r/%0aaW8e+K/h58K7q+8FaPd6t4ju7u20+3ktdMuNSGnrNIEkvJLeBWlkSFNzlVUklQMc14joHwt%0a8M+K/hD8W/COgzeNdf+J/jrQb0at4v8aeFdU0ptRujC0cK+bc2sUMMKNIFjt4yAkYIUHaWr%0a7CooA+RkuNf+PifAXw8vg/xJ4XvPCGs2viDxTNrekT2dtZPZWskItoZpUEd0ZZpQVe3Z1CR%0aszFcqD6J8YvDmran+03+z5qtnpd7d6Zpk+vG/vYLd3htBJpxSMyuBtTc3yruIyeBzXutFAH%0ayR8T9DsE+PXju++L3gHXviD4OuNLs/+ELGm6Bda9b2TJGwvY0it43+yXbyshWdghZVUCUeW%0aQO9+EHw4+JepfA3wPZeLfiD4p8IeLLKK5+2/YG029uZo3nY20d1Ld2tzvligEaM6EFmLli5%0awR71RQB81+II9U+DP7Ua+NNT0rxF4k8Ja/4OtdCuNa0jSJtUurfULS4mlBnt7KEuqSxzk70%0aj2B1IwoIrmtJ0b4ifC39kj4reINK8PaqPiH4z1nVdd0zQbSPzb7TZNSuRHbK/lZ+eBHjlkI%0a4TY+ThSa+uaKAOF8L/AAog8EfB7RPh/wCGtZvfDNvpGnW+n22q6XDbG5jEQUGQLPFLEWfad%0axdGzvY/e5ryf9of4ZeLdO+GnhXV7HU/EHxR1PwX4xsPFs1tdw2S6jdWkG5J4LeO1ggjkdY5%0aJJETbvdgVBYlVr6SooA+PviF8Odb/ae8a/E3X9E0zVtG0KX4Z33gjSpfEemz6VLfajdyCdn%0aWC4jSZYY/LgQyOqhmdwmdhasHwT4CtX8ffBQ/Dn4beIvAvjHR7lz4717UNGn05Z7FLcpc29%0a3fOgTVJJrkQMjRvOCYzJuUfPX2/RQAVW1H/kH3X/XJv5GrNVtR/wCQfdf9cm/kaALNFFFAB%0aRRRQAUUUUAFcl8XP+SUeNP+wJe/+iHrra5L4uf8ko8af9gS9/8ARD0Afmpb9qvx9qoW/ar8%0afagCwvSlpF6UtABRRRQAUjdKrZuf+ekX/fs//FUjG5x/rIv+/Z/+Kp2FcdJ3qhcd6mkNzz+%0a8i/79n/4qqFwbjn95F/37P/xVFgufpp8I/wDklHgv/sCWX/ohK62uR+EGf+FTeCskE/2JZZ%0ax/1wSuupDK1/8A6hf+usf/AKGtWaq6ioe2CnODJGODg/fXvS/YIv703/f9/wDGgCzRVb7BF%0a/em/wC/7/40fYIv703/AH/f/GgCzRVb7BF/em/7/v8A40fYIv703/f9/wDGgCzVa6/19n/1%0a1P8A6A1H2CL+9N/3/f8AxqC5soxNajdLzIRzM/8Acb3oA0KKrfYIv703/f8Af/Gj7BF/em/%0a7/v8A40AWaKrfYIv703/f9/8AGj7BF/em/wC/7/40AWaKrfYIv703/f8Af/Gj7BF/em/7/v%0a8A40AfIH/BRD/mn/8A3EP/AG2r6W+C/wDyR3wJ/wBgGw/9J0r5l/4KFQLB/wAIDtLnP9off%0adm/59vU19JfBmyjf4P+BWLS5OhWJ4mcD/j3Ttmv0bNf+SVy7/HU/U/Wc6/5InKf8dX/ANuO%0a6qtf/wCoX/rrH/6GtH2CL+9N/wB/3/xqC9so1hUhpf8AWRjmZz/GPevzk/JjQoqt9gi/vTf%0a9/wB/8aPsEX96b/v+/wDjQBZoqt9gi/vTf9/3/wAaPsEX96b/AL/v/jQBZoqt9gi/vTf9/w%0aB/8aPsEX96b/v+/wDjQBZoqt9gi/vTf9/3/wAaPsEX96b/AL/v/jQBZoqt9gi/vTf9/wB/8%0aaPsEX96b/v+/wDjQBZoqt9gi/vTf9/3/wAaPsEX96b/AL/v/jQBZoqt9gi/vTf9/wB/8aPs%0aEX96b/v+/wDjQBZqtH/yEJ/+uUf83o+wRf3pv+/7/wCNQJZRm+mXdLgRof8AXPnq/fNAGhX%0aG/Gj/AJI747/7AN//AOk711P2CL+9N/3/AH/xrjvjNZRp8H/HTBpcjQr48zOR/wAe79s13Y%0aD/AHyj/jh/6VE9LLP9/wAP/jh/6XA+cf8Agnf/AM1A/wC4f/7c19kV8Z/8E9YFn/4T7cXGP%0a7P+47L/AM/Poa+w/sEX96b/AL/v/jX1XG3/ACPsR/27/wCkRPtfET/kp8V/25/6REs0VW+w%0aRf3pv+/7/wCNH2CL+9N/3/f/ABr4c/OCzRVb7BF/em/7/v8A40fYIv703/f9/wDGgAtf9fe%0af9dR/6AtWaz7ayjM10N0vEgHEz/3F96n+wRf3pv8Av+/+NAFmiq32CL+9N/3/AH/xo+wRf3%0apv+/7/AONAFmiq32CL+9N/3/f/ABo+wRf3pv8Av+/+NAFmiq32CL+9N/3/AH/xo+wRf3pv+%0a/7/AONAFmiq32CL+9N/3/f/ABo+wRf3pv8Av+/+NAFmiq32CL+9N/3/AH/xo+wRf3pv+/7/%0aAONAFmiq32CL+9N/3/f/ABo+wRf3pv8Av+/+NAFmiq32CL+9N/3/AH/xo+wRf3pv+/7/AON%0aAFmiq32CL+9N/3/f/ABo+wRf3pv8Av+/+NAFmiq32CL+9N/3/AH/xo+wRf3pv+/7/AONABd%0af6+z/66n/0Bqs1n3NlGJrUbpeZCOZn/uN71P8AYIv703/f9/8AGgCzRVb7BF/em/7/AL/40%0afYIv703/f8Af/GgCzRVb7BF/em/7/v/AI0fYIv703/f9/8AGgCzRVb7BF/em/7/AL/40fYI%0av703/f8Af/GgCzRVb7BF/em/7/v/AI0fYIv703/f9/8AGgCzRVb7BF/em/7/AL/40fYIv70%0a3/f8Af/GgCzRVb7BF/em/7/v/AI0fYIv703/f9/8AGgCzVaP/AJCE/wD1yj/m9H2CL+9N/w%0aB/3/xqBLKM30y7pcCND/rnz1fvmgDQoqt9gi/vTf8Af9/8aPsEX96b/v8Av/jQBZoqt9gi/%0avTf9/3/AMaPsEX96b/v+/8AjQBZoqt9gi/vTf8Af9/8aPsEX96b/v8Av/jQBZoqt9gi/vTf%0a9/3/AMaPsEX96b/v+/8AjQBZoqt9gi/vTf8Af9/8aPsEX96b/v8Av/jQBZqtp3/IPtf+uS/%0ayFH2CL+9N/wB/3/xqCwso3sbZi0uTGp4mcDoO2aANCiq32CL+9N/3/f8Axo+wRf3pv+/7/w%0aCNAFmiq32CL+9N/wB/3/xo+wRf3pv+/wC/+NAFmiq32CL+9N/3/f8Axo+wRf3pv+/7/wCNA%0aFmiq32CL+9N/wB/3/xo+wRf3pv+/wC/+NAFmiq32CL+9N/3/f8Axo+wRf3pv+/7/wCNAFmi%0aq32CL+9N/wB/3/xo+wRf3pv+/wC/+NAFmiq32CL+9N/3/f8Axo+wRf3pv+/7/wCNAFmiq32%0aCL+9N/wB/3/xo+wRf3pv+/wC/+NAFmq0n/IQg/wCuUn80o+wRf3pv+/7/AONQPZRi+hXdLg%0axuf9c+eqd80AaFFVvsEX96b/v+/wDjR9gi/vTf9/3/AMaALNFVvsEX96b/AL/v/jR9gi/vT%0af8Af9/8aALNFVvsEX96b/v+/wDjR9gi/vTf9/3/AMaALNFVvsEX96b/AL/v/jR9gi/vTf8A%0af9/8aALNFVvsEX96b/v+/wDjR9gi/vTf9/3/AMaALNFVvsEX96b/AL/v/jR9gi/vTf8Af9/%0a8aALNFVvsEX96b/v+/wDjR9gi/vTf9/3/AMaALNVtO/5B9r/1yX+Qo+wRf3pv+/7/AONQWF%0alG9jbMWlyY1PEzgdB2zQBoUVW+wRf3pv8Av+/+NH2CL+9N/wB/3/xoAs0VW+wRf3pv+/7/A%0aONH2CL+9N/3/f8AxoAs0VW+wRf3pv8Av+/+NH2CL+9N/wB/3/xoAs0VW+wRf3pv+/7/AONH%0a2CL+9N/3/f8AxoAs0VW+wRf3pv8Av+/+NH2CL+9N/wB/3/xoAs0VW+wRf3pv+/7/AONH2CL%0a+9N/3/f8AxoAs0VW+wRf3pv8Av+/+NH2CL+9N/wB/3/xoAJP+QhB/1yk/mlWaz3soxfQrul%0awY3P8Arnz1Tvmp/sEX96b/AL/v/jQBZoqt9gi/vTf9/wB/8aPsEX96b/v+/wDjQBZoqt9gi%0a/vTf9/3/wAaPsEX96b/AL/v/jQBZoqt9gi/vTf9/wB/8aPsEX96b/v+/wDjQBZoqt9gi/vT%0af9/3/wAaPsEX96b/AL/v/jQBZoqt9gi/vTf9/wB/8aPsEX96b/v+/wDjQBZoqt9gi/vTf9/%0a3/wAaPsEX96b/AL/v/jQBZqtqP/IPuv8Ark38jR9gi/vTf9/3/wAagv7KNLG5YNLkRseZnI%0a6HtmgDQoqt9gi/vTf9/wB/8aPsEX96b/v+/wDjQBZoqt9gi/vTf9/3/wAaPsEX96b/AL/v/%0ajQBZoqt9gi/vTf9/wB/8anjjESBQWIH95ix/M0AOrkvi5/ySjxp/wBgS9/9EPXW1yPxfz/w%0aqbxrggH+xL3Gf+uD0Afmrb9qvx9qx7c3HH7yL/v2f/iqvxm54/eRf9+z/wDFU7CuaK9KWqi%0am5x/rIv8Av2f/AIqlzc/89Iv+/Z/+KosFy1RVXNz/AM9Iv+/Z/wDiqM3P/PSL/v2f/iqLBc%0akpG6UtI3SqJIJO9ULjvV+TvVC470Afph8If+ST+Cv+wJZf+iErra5L4Q/8kn8Ff9gSy/8AR%0aCV1tQWVr/8A1C/9dY//AENas1Wv/wDUL/11j/8AQ1qzQAUUVW1LUrTRtOur+/uobKxtYmnn%0aubiQJHFGoJZ2Y8KoAJJPAApNpK7GlfRFmivP/A/x38GfELxPc+HNLvdQtfEEFot+dL1vRr3%0aSbmS2LlPOiju4YmljDDaXQMASoJG4Z9AqrE3QVWuv9fZ/9dT/AOgNVmq11/r7P/rqf/QGpD%0aLNFFeS2n7T/gibwP4J8TzjXIIPGMLTaTp1tod1qN9KFTe4MNnHMRtUZJ6Y70AetUVw/hv4z%0a+FvGHga/wDF2jTapqGj2NxPaXMcWh3322OeGQxTRfYzD9oLo4KlRHnIPHFeeeHf23fhbrui%0az6nc3HiLw9bQ2+p3pOt+GNRtle2sJGS5mSTyDG4XaG2Kxcb1VkV8oAD3uiuB8D/HHwp8QvE%0at14e0ptatdbtrRb+Sx1vw7qOkyfZy5QSKLuCLeu4EfLnkGu+oA+N/+CiH/NP/APuIf+21fS%0a3wX/5I74E/7ANh/wCk6V80/wDBRD/mn/8A3EP/AG2r6W+C/wDyR3wJ/wBgGw/9J0r9GzX/A%0aJJXLv8AHU/U/Wc6/wCSJyn/AB1f/bjsqrX/APqF/wCusf8A6GtWarX/APqF/wCusf8A6Gtf%0anJ+TFmisbxn4w0j4e+EtY8TeILv7BoekWsl7e3XlPJ5UMalnbagLNgAnCgn0FZnin4q+FvB%0afw2uPH+s6p9j8JW9kmoS6j9nlfbA4Uq/lqpkOQy8Bc89KAOsorlj8TvDQ8eab4M/tL/ipdR%0a0uTWbWy8iX95aI6I0m/bsGGkQbSwbnpgGubb9pP4dL4f8AEmvDxA76H4e1OLR9Q1KPT7p7Z%0abuSdLdYo5BEVmIlkRGMRcIW+YrQB6bRXPeM/H+g/D630mfX7/7BFquqWujWbeTJJ5t3cSCO%0aCP5FO3c5A3HCjqSBWJY/HTwNqPxg1H4Wwa/G3j2wsl1G40d4JUYQEIQyyMgjc4kQ7VYsASS%0aODgA7yiuasPiN4d1Px/qvgm21DzPE+l2UGoXlj5Eg8qCZmWJ95XYclG4DEjHIHFVLn4ueEb%0aT4pWfw5k1qIeNbvTn1aLSVjkZ/sqttMjMFKKN3ADMCcHAODQB2FFeU6X+074D13xBqWj6U/%0aiXV7rTdVm0S8m03wfrFzawXkUnlyxNcx2rQja3Vt+0DnOOa9WoAKK8aT9r74Vm7uo31zUoL%0aS01VtDudXuPDupRaXBerN5LQyXz24tkIkwuTIFyRzyK9loAKK5HxZ8W/BvgfxL4f8O654js%0aNP8QeILhbbS9KeTddXTnOCsS5bZ8pBcgKDgEgkUz4hfFzwt8LpNIh1+9uVvtYmkg07TdM06%0a51G+u2jQySGK2to5JXVFGWYJtXI3EbhkA7Gq0f/IQn/wCuUf8AN6yfAfjzQPid4R03xP4Y1%0aKPVtD1FDJbXcasu7DFWVlYBkdWVlZGAZWVlYAgitaP/AJCE/wD1yj/m9AFmuN+NH/JHfHf/%0aAGAb/wD9J3rJ+Kf7Qngv4LLNL4vk13T7KCFLibUbbwzqd7ZQozbF33NvbvEp3cbS4PK8fMM%0a4nxG+LPhvxH8CfHuorLqOiWg025sFbxNo95ojSXEsLJFHGt7FE0hd3VF2g5Zgo54ruwH++U%0af8cP8A0qJ6WWf7/h/8cP8A0uB41/wTv/5qB/3D/wD25r7Ir4m/4J9+ItM0/W/F+j3N9BBqm%0aopayWdrI4V7hYvPMmwH720OpIHODnoDX0HoP7TvgLxTrVzpmiv4l1eW21OTR57mw8H6xPZx%0aXccnlSRtdLamFQr8MxfaByTjmvquNv8AkfYj/t3/ANIifa+In/JT4r/tz/0iJ6tRRRXw5+c%0aBRRRQBWtf9fef9dR/6AtWarWv+vvP+uo/9AWub+KnxX8J/BPwRfeL/GusR6F4esjGs95JFJ%0aKQzuEQKkas7Esw4VSep6AmgDraKqx6pZy6YuopdwPp7Qi4W7WVTEYiu4OHzjbjnOcY5rzvw%0az+0n8PvGGp2lppGq311b3ly1pZ6wdEvo9Iu5Q5QLBqLwi1l3MpVNkrBzwu4kUAenUV554r+%0aPngrwh4kuPD1xe6jq2u2qLJd6b4b0S+1q4slYBozcx2UMrQbwcp5oXeASuQDjrvC/ijSvGm%0ag2ms6Jex6hpt0CY548jlWKujKcFXVlZWRgGVlZWAIIABq0V5zrn7Qvw/8OWPj281HX/s9t4%0aEaJPET/YrhvsJkjWRBhYyZMo6n93uxnBwc1X8P/tI+AfEPiHTdDGoanomp6oGOnQ+JtA1DR%0aRfsNuUt2vYIlmf51OyMs2DnGATQB6dRXJfEL4r+Fvhbb2D+I9TNrcajL5Fhp9rbTXl9fSDG%0aVt7WBHmmKggsI0baPmOACaxW/aA8Hjw1Nrif8JDNbW90LO5s4PC2qS6haSFDIpnsltjcQoU%0aG4SSRqhBXB+ZcgHo9FeE6x+2h8ONN8O+HNetYPF+uaPr89pDYXul+DtVlhlFxKI43Ehtwrc%0anPlqTI3G1GJAPb6R8dvBWtfD/WvGsGpXUHh3RZZ4dSnvtLu7Sa0eHHnLJbyxLMpTPOU/lQB%0a39FeeeKfj54K8JXWg2097qOrz67YyappqeG9EvtaNzaIYg1wv2KGXEeZ4cOcA+YuCc1LZ/G%0avw7rXww1Xx5okOra3o2mfaxcW0GmTQXyvbSPHcx/ZrhY5PMjaOQGMqGJQhQxIBAO+orz3W/%0ajv4T0SPS5gniHWrPVLGLUrO/8N+FtU1m0mt5MmNxPZ20sfIG7aW3YKnGGUm1oHxl8NeINF1%0a3VwuuaPpuiW/2q+uvEXh3UdHSOIK7M6m8gi8wKsbFtm7bxnG5cgHcUV5rH8dtJOg/Dm/m0X%0aW7W98d3MNvpeizwRLfxK8LTtLPH5mI0jhQySfMSvC43kLWv4Y+LnhrxJ8Ov+E1mvV0DRYVm%0aGoHXJEtW0yWF2iuIbkltkbxSI6P8xXKnDEYJAOzorw/wh+2n8GvGfi/W/DVn4+0CHU9Ou4L%0aSAS6vZtHqpmQNG1k0czCfLEoUX94HGCg3Lu3PAf7Tnw++JOu6FpGh3ustea9ZSalpTaj4a1%0aPT4b+1RUZ5oZri3jjkQLLEcqx/1if3hkA9Luv9fZ/9dT/6A1WarXX+vs/+up/9Aap5JEhja%0aSRgiKCzMxwAB1JNADqK8v8ADn7S3w88W6laW2kave3tpeXRs7TW10W+GjXU28xhItSMItJC%0a0g8tdsp3vhV3MQDR1T9q74caTqviSwe88QXcnhu4e01i403wnq17a2MqIHdZbiG1eJdqMGJ%0a3YAOScUAevUVwHjb49/D/AOHvwuf4j6z4osx4GUREa5p4e/gcSSCNCht1cuC7AZUEevSrvi%0az4w+D/AAR8Mj8QtY1qO38Gi3t7oarDDJOjRTsiwuqxqzMGMqYwD97J4zQB2VFc0/xG8Op8R%0a4vATahjxZLpL64mn+RJzZLMsLS+Zt2cSOq7d27nOMZNMm+JvhqDx/deCX1Lb4nttHXX5bHy%0aJflsTK0Il37dh+dGG0Nu4zjGDQB1FFeZ3H7SPw6t/hj4f+IB8QPL4X8Qzw2ukTwafdS3GoT%0aysVihgtViM8kjFWwixlsKxxgE11WjfEDQPEHjDxH4W0+/+0a94dW1fVLTyZF+zi4Rng+cqF%0abcqMflJxjnFAHRUV57rvx+8BeGtJ8danqWvfZrLwPKkPiCX7HcP9id4o5VGFjJkyksZ/dhv%0avY6ggXk+Mvg2X4SH4nRa5HN4GGlnWTq0UMjgWgTeX8sKZMgA5TbvBBBUEEUAdpRVPR9WtNe%0a0my1Owl8+xvYEuYJdpXfG6hlbBAIyCDggGrlABVaP/kIT/8AXKP+b1ZqtH/yEJ/+uUf83oA%0as0Vm+I/E2j+DtEutZ1/VbHQ9ItFD3Goalcpb28KkgAvI5CqMkDk9SKxNK+K3hXW/hvbePbL%0aV0n8J3VoL2DUPJkXzYm+6VjKhyzHAVAu5iQACSBQB1tFcP8PvjT4R+J2qarpeh314msaUI3%0avdK1fS7vS72BJBmOQ291FFJsbnDhdpIIzkGp/iF8XPC3wuk0iHX725W+1iaSDTtN0zTrnUb%0a67aNDJIYra2jkldUUZZgm1cjcRuGQDsaK8//AOF9+Af+FWWvxGXxHA/g+6Ci3v0ilZ5pDIY%0ahCsAXzWm8wGPyQnmbwV27gRWj8O/iz4Y+KkWqnw7fXEs+lXItNQsdQsLjT7yzlKK6rLb3Ec%0acqbkZWUsoDA5BNAHX0UUUAFFFFABVbTv8AkH2v/XJf5CrNVtO/5B9r/wBcl/kKALNFY8vi7%0aRofEcGgNqUB1qZGkWxRt0gVRklgPujB43Yz2zVLxB8R/D/hi/ksr+8lFzFAbqaO2tJrjyIR%0a/wAtJTGjCNevL4HB9K3jQqyajGDbavs9u/oYSr0opylJWTtv17ep0tFYmr+MtJ0S3sZp7iS%0adb7/j1Sxt5LuScbdxZEiVmKgclgMDI55GZNH8WaRr2jy6pZX0b2MJdZpZMxGBk++siuAUK9%0awwBHep9jUUefldu9iva03Lk5lf1Neisvw94m0vxZYNe6Rex6hZrK8Hnw5KMyHDbT0YZ7jIP%0aYmm6V4s0fXNV1LTdO1GC9vdNKC8jgbf5DMXAViOA2Y3BXORjkDIodKonJOL93fTb17fMaq0%0a2otSXvba7+nf5GtRXMQ/EfRLrVbjT7dtQu7i3uTZzNbaVdSwxzDGVaVYigxkZJbAzk1ebxh%0apCalq1gbvF3pVut1eR+W/7qNgSrZxhshTwMniqdCqtHF99umn+a+9EKvSe0l2366/5P7mbN%0aFcdY/FzwtfR2Uwvbm2tL0gW97fadc2ttKSCVAmljWPJAOPm57Zre8QeJNN8LWAvNUu0tIGc%0aRJkFnlkP3URFBZ3ODhVBJ7CnLD1oSUJQab2Vv6/rsEcRRnFzjNNLz/r+u5p0ViaZ4z0jVIb%0ayRLiW0FpH5066jbS2bxx8/vCsyodnyt8+Nvytzwar+G/iFoXiy8+yaddTNcm3W8SK5tJrZp%0aYCcCWPzUXemcfMuRyPUUnQqpNuL0302BV6TaXMtdtdzo6K5eL4meG5tZTTE1BjO90bFJfs0%0aotmuApYwifZ5RfAPyhs5BGM8VJrvxD0Hw1dPBqN3LbrGyJNci0me2t2cgKJZ1QxxH5lOHYY%0aDKTgEEv6tW5lHkd3rt/X9dBfWKNnLnVlpv/AF/XU6SisTXfGek+HLuC0vJpnvZ1MkdpZ2st%0a1OUHBfy4lZgoOBuIxk4zQfGejHw/b63Ferdabc7fIltEadpieAqIgLM3B+UAkYORwan2NVp%0aS5XZ7ab/1/XlXtqabjzK6312Nuq0n/IQg/wCuUn80qj4c8WaX4sguJdMuWmNtKYJ4pYXhlh%0acfwvHIqsp+oFXpP+QhB/1yk/mlROEoScZqzNIzjOKlF3RZoorI8W+LNJ8C+GtS8Qa7epp2k%0aadA1xc3LgtsQeiqCzMegVQWYkAAkgVBRr0Vwfgb43+EPiH4hvNA0q8v7XxBaWqX0mj65pF5%0apN6bZnKCdILuKKR4t6lTIqlQ3BIJxWX4a/aY+HHi/wAVWPh/Sdflub3UZrm20+6fTLuKw1G%0aW3LCdLW9eIW9wyFHyIpGPyN/dOAD1CiuR8TfFvwb4O8W+H/C2seI7Cy8S6/MIdM0dpd11cn%0aa7bhEuWEeI3BkICAgAtkgGj8Qvjh4O+F+radpWu6heNrGoQyXNtpekaVd6pePDHjfMYLWKW%0aRY1yAXZQueM5oA7yisnwn4s0fx34a03xB4f1K31fRdRhW4tL21ffHNGehB/Qg8ggg4IrG+I%0aPxY8MfC/+yk8QXtwl5q0z2+n6dp1hcahe3johkk8q2to5JXCIpZiqEKOWIyKAOvorzqD4/8%0aAgy/8EaV4u0y41jX9C1KR4YJtB8PajqUquhZXWWC3geWEqysrCRFIYFTg8VJ8PPjv4Q+KPi%0aXWfD+gzawNa0aGG41Cy1bw/qGmSW8c27yiwuoI/v7HKgckKxHANAHoNFY/i/xdpHgLwzqPi%0aDXr1dP0jT4jNcTsjOQOgVUUFndiQqooLMxCqCSAed8CfGzwh8R9cv8ARNIvb2DXbGBLqfSN%0aa0m70q9WBiVWYW93FFI0RYFfMVSuRjOeKAO6orzH4eftHeCPird2EPhZ/EOp298ZRbamfCm%0aqw6dJ5e7cReSWywYyjAEyYLAKMkgH06gAqtp3/IPtf+uS/wAhVmq2nf8AIPtf+uS/yFAFmi%0aiigAooooAKKKKACiiigAooooAKKKKACiiigCtJ/wAhCD/rlJ/NKs1Wk/5CEH/XKT+aVZoAK%0aKxPGnjTR/h74bu9e167NlpdsY1eRIZJnZ5JFjjjSONWeR3kdEVEUszMoAJIFYXgP41eEPiP%0aeatY6PqNzDqekhHvtM1jTbrS723Rl3JK1vdRxSiNhnEm3aSGAOQQADuKK8x8EftKfDv4i+J%0abLQtC12a4vtQiuZ9NkudLu7W11SOBlWZ7K5miSG7VN6kmB3G07vu810Gq/FrwdonxC0XwJe%0aeI7CPxlrCPLZaGsm+6kjSOSRpGRclE2xSYd8KSpAJPFAHXUV5z8Sf2hPAnwm1iPSfEWqXY1%0aVtPl1d7HStJvNUnt7KNgr3UyWsMrQw7jgSSBVJVgCdrY7vSdWsdf0qy1PTL231HTb2FLm1v%0aLSVZYZ4nUMkiOpIZWUghgSCCCKALdFcX8QfjF4V+GN5pVjrt5eNqeqmT7Dpek6Xdane3Cxr%0aukdbe1iklKICNz7dqllBILAHOf4/eDJPB/h3xTp0+seI9A1+A3Gn3vhrw9qOrq6ADPmC0gk%0aaE/NjbIFOQwxlWAAPRaK4T4bfG3wn8WdU8Q6b4duNUOo+H3gj1Oz1XQ77S5rZpkMkSsl1DE%0aSWQBsAHCspOAy53/G/jfQvhv4T1PxN4m1ODR9C02Ez3V7cE7UXIAAAyWZiQqqoLMzBVBJAo%0aA3KK4v4efGHwr8UrrWbPQLy8/tHRnij1HTdU0u60y9tfNTfEz291FHKEdQSr7drbWwTtOKX%0ahL48+DPHviH+yPDl3qetkyywrqljod9LpLPGD5irqIh+ysQVZeJfvAr97igD0Gq2o/wDIPu%0av+uTfyNWaraj/yD7r/AK5N/I0AWaKKKACiiigAooooAK5L4vf8kn8a/wDYEvf/AEQ9dbXJf%0aF7/AJJP41/7Al7/AOiHoA/M+37Vfj7VQt+1X4+1WQTr0paRelLQAUUUUAFI3SlpG6UAQSd6%0aoXHer8neqFx3oA/TD4Q/8kn8Ff8AYEsv/RCV1tcl8If+ST+Cv+wJZf8AohK62oLK1/8A6hf%0a+usf/AKGtWarX/wDqF/66x/8Aoa1ZoAKbIGMbBCFfB2lhkA9sjIz+dOqhruhWHibRrzSdUt%0aUvdOvImhngk6OhGCOOR9RyOopPYa3PnWKHXPC/7XXgJviBd6f4n1nW/D2q2OhajoFq+m21g%0aIngmuUls5JJ3cyL5eJ/tBUbAghUku30zXB+CPgf4P8Ah/4gudf0yzv7zX57YWbavrusXmr3%0aiW4Yt5Mc95NK8cZY7iiMFJAJBIGO8qtoqPa/4tv/AId9XqTvJy72/BW/4ZdAqtdf6+z/AOu%0ap/wDQGqzVa6/19n/11P8A6A1IZ5x+0nJpzfCHV7G+8Pab4rutTeHTtL0fV7JLu1uNQmlWO1%0a8yN1ZdiysjszDCqjMcYzXyH+x54GufCh/ZqjOieGLQXllqmqJf6BaG2u72BdPWJ5b5MHdIk%0ak0aeaJG3+avyx9D+hleU/CD9nDw18Gr6C902+1bV7u10eDQbKXV545DZ2UR3mKIRxoB5kn7%0ax2IJZgvIVVVQDx/4ZeN7rwp8HvinbaDqtjY+Mbvx34tfS4J7We/nKrrLpNPFZW6ST3PkrMr%0aFEQjJQMUViw8F+OviPwF4N8OeHPCGpeJdd07QbjQdS8I6Smp/DzW9OvLSG+S3W/1W4lnjxf%0aukqRkxQpDzd8k/Ka+w9J/ZX0zw74v1vxLo3jXxTpep376lJaeUNPkj0l9Qu4bu9e2WS0YEy%0ayW6AmbzcLkLtJzVjWP2XfC9wugnTd9tdWevWmtalqGqtLql7q628cyJBcXM8hldQJ3C7mZU%0aBKqoBxQByPwXtrK5+OV34jfxj8RvFd/d6CNJRPGfgG50hIESdpiwul060gwd2AjKWJzhj90%0afSdcJ4Q+Elp4B1lJfD2v65pvhxUYDwmbiO40yNiMAwiaN5reNFCKlvBLHboEG2IZbd3dAHx%0av/AMFEP+af/wDcQ/8Abavpb4L/APJHfAn/AGAbD/0nSvmn/goh/wA0/wD+4h/7bV9LfBf/A%0aJI74E/7ANh/6TpX6Nmv/JK5d/jqfqfrOdf8kTlP+Or/AO3HZVWv/wDUL/11j/8AQ1qzVa//%0aANQv/XWP/wBDWvzk/JjyP9s3/k0z4wf9irqP/pO9fOn7R2i/FKH/AIJ/a7PqXjHwhd+Hx4S%0atGextfCd1BdNFsiwguG1N1DDjLeUQcH5Rnj7X8Z+D9I+IXhLWPDPiC0+36Hq9rJZXtr5rx+%0abDIpV13IQy5BIypB9DWZ4p+FXhbxp8NrjwBrOl/bPCVxZJp8unfaJU3QIFCp5isJBgKvIbP%0aHWgD4n/AGtYvHU/7QXg+PwDFdz3rfDW6GqQ6Q+zVZNL+3Wv2xNOYgqLtotwjJGQSdvz7K77%0a49ar4Av/APgnha6h8Mktovh7HJoM2nLZKdkNvHrFmZN45behSTzN2WDK+47smvp0/DHw0fH%0amm+M/7N/4qXTtLk0a1vfPl/d2jujtHs3bDlo0O4qW464JrJ8PfAXwF4Xk8ZDTvDkCWfjC4e%0a613S55pZ9PvZnXbLIbSRmgVpBgOURd+Bu3YFAHnf7ZRDaJ8JIhzLJ8T/DWxB95tt6rtgd8K%0arMfQKT0Brw7xd8HtU+JX7V/7QmueD7iLTPid4Qh8K6t4X1GThRcfY7xZbWU5GYLiPMUgyBh%0alJztxX1J4M/Zq+H/AIE1nR9V0/TdSvb3RYGttKbXde1DVk0xGVVP2WO7nlWAlFCbowrbcrn%0aaSD1ei/Dnw74d8beJvF2n6f8AZ/EPiSO0i1W88+RvtC2yukA2MxRNqyOPkAznnOBQB8Z/C3%0a9o2w8RfHn4v/E7RfDet61dWvgPSFn8J6baPPqkV/Hc3UUti0SqWEiS5RjtwAC/3eaxvhnr1%0ajof7XHwz1/X4vE1/wCOvEuk61ceILuTwZrFoiXUzWCQ21ss9qsn2K3RBGshyqAF5GRpTn7Q%0a8J/A/wAD+BfiJ4q8daDoEOl+KPFPl/2xewTS7booPlYxFvLVupLIoLEksSSTWzqHgDQdV8c%0aaP4vurDzfEWkWlxZWV750g8qGcxmZdgbY24xR8sCRt4IycgHzD+x9pnjy41j4u3Gj+JPDtj%0a4ZT4s+ITdadfeH57m9lUXgMojuVvo0jLLwpML7TyQ44r6Ng8d63L41Oht8OfE0OmCVo/8Ah%0aJXuNLNgVCkh9gvTc7SRtH7jOSMgDJF3wR8OfDvw4i1uPw7p/wDZya1q11rl+PPkl869uG3z%0aS/Ozbdzc7Vwo7AV0tAH5pwaF4ovP2WPjjqVzq2jXXw70vx9reqat4YNlNa6hqUFtqYmmgXU%0ahO6xbxHgAWxY/d3ru3r92T/FLVZLvR/7K+G/irXdK1K3t7ldYtJtLiggWUA4kSe9jmBQEFg%0asbf7O48VzQ/ZB+FfnX/maHqVxp+oam+s3mi3PiLUptKurtphO0ktg9wbZ8ygPtaMrlRxwK9%0aloA+bf2qNA0vTfGfwO1Gz020tdQ1L4o6a99dwQKkt0yabfohlcDLlUAUFicAADirdxIp/4K%0aCWaXbAqvwzkawWQ8Bzqi/aCg9dogz3wB717N4t8AaD46uPD0+uWH26XQNUj1nTW86SPyLtI%0a5I0k+Rhuwk0g2tlfmzjIGMz4i/B3wp8VLjRbrxDYXLajok0k2m6ppmo3Om31mZIzHKI7m2k%0ajlVHU4dA+1tq7gSq4APKv2OEMc3x2EXmmw/wCFpa0bXecrylsZtmO32j7R+O7POa+gI/8Ak%0aIT/APXKP+b1neDPBmifDzwvp3hzw5p0OlaLp8XlW9pDnCjJJJJJLMzEszsSzMzMxJJJ0Y/+%0aQhP/ANco/wCb0AeBf8FA/wDkz74jf9e9r/6WQVxf7a88bfEn4b2mtNnw5JoXiqa0ikBMB1h%0aNOX7Kz5+XzBC155XfJfHOK+mPiD8P9A+Kfg/UvC3iiw/tPQdRVUurTzpIfMCurr88bKwwyq%0aeCOlc9+0F4d0rxH8GfGEeraZZ6olppd1fWy3tukwhuIoXaKZAwO2RGAKsOQeQRXdgP98o/4%0a4f+lRPSyz/f8P8A44f+lwPi/wDYq+MreCvjTpvgEaML1fG4lzqP2ryzZGzt55h+62HzN+4r%0a95duM/NnA9S/Yq0zx5Np/jq50vxJ4cs/Cy/EfXzcabeeH57i9kUXzeYEulvo0QsPukwNt7h%0aulc5+wD4I0HWfFfiXxNfaVbXevaJFBDpt/Mm6SzW4Eon8vP3S4iRSw5xkZwzA/Rmi/sveAf%0aDer3eo6OvibR5LvUpdXnttO8Y6xb2kt1JJ5kkjWyXYiO5jkrs2noRjivquNv8AkfYj/t3/A%0aNIifa+In/JT4r/tz/0iJ6xRRRXw5+cBRRRQBWtf9fef9dR/6AtfK37T8v8Awtf46eCfh0fB%0aeq/ETwz4atn8VeJND0g2I8yWQSW2nJK13cQIFz9qlKhy2Y4ztxhh9U2v+vvP+uo/9AWsfQ/%0ah/oHhzxZ4l8TafYeRrniNrdtUuzNI5uPIi8qEbWYqgVMjagUZLEgliSAfCOo+MdUtv2HNc+%0aHviu21Kwuvh74j0vw34qtL94WvE8PG9t5IZZRA7ptawkiRyjMp2SnJXJr9CbOO3itIEtFjS%0a1VFWJYQAgQD5QoHGMYxiuZi+FPhSLxZ4m8SDRoX1bxNZQafrLyu7w38EKusaSwsxjbCyyLn%0abkqxBJHFc74Z/Zu8A+ENRsbrTNP1SO3sJvtFlpNxr+oXGl2bglkMNhJO1tFsJygSMCPA2bc%0aDAB5b+xxqGuJ+zLLeaLp2m6z8Rm1/Vf8AhI7bWr+Sw36oL+Vbj7RMkEzq6xhAoMZO1Y1+UY%0aI9S/Zx+M03x6+Flr4uudEj8PXEl9e2MthFem7RGtrmSAlZTHGWDGPcMoMZxUniL9nbwN4k8%0aV6h4lax1TRde1JIo9QvvDOv6hosl+I9wiNz9iniE7IGYK0m5gDgEDiur8CeAvD/AMMvCmn+%0aG/C+lQaNotimyC1gBPuzuxJZ3Yks0jks7EsxJJJAPgn43/8AIi/t6/8AXzpf/pvtq+if2zD%0ap/wDwxr4rjvHdb6TTLdNHEDFbg6pvjNkIcfN5nniIrt54r0bXP2evh/4jsfHtnqOgfaLbx2%0a0T+Ik+23C/bjHGsaHKyAx4RFH7vbnGTk5qPw3+zr4F8Ma/p+tx2Oqaxqmmqw0+48S69qGtf%0aYCwAZrYXs8ogcgBS8YViOM44oA8y+FU1xN+2n8SU8WIg8Tw+DdCXRS4HNgzTm/MH+wbvyw/%0ausXoK3v2zruP/hUllpF74mPg/Rdd1qz0rVNYmsjcWcVrIWLRXjLdWzw20xVYHkSQMBMF4DF%0al9I+IPwj8K/E+XSrjxBpskuo6Q8kmm6rYXk9hqFiZF2S+RdW7xzRB1wrhHAcABgQK5XxL+z%0aB4L8U+BbzwbdPrQ8O6pcpca1C+rz3F1rSqBthur2dpLpowVTASVGxGE3eWWRgD83fjB4v+H%0aXj7QPA/iHxBpmi6R4t1K+0W51K10G18FW1utq0qFSYb6SS/jY2xiJS5Y246P+6zX0V8F9C8%0aM+DP2V/i94m+E/idPD/iTTJNS1uTVtIt/DE97IkVtJNbWtz9g+12vkAlsKghb5W2rGD83vG%0aqfslrqGk6bo0PxY+IdnoGlalDqmmaY9zp179imhn8+ALcXdlNcyLG+NqzSyfKApyoArr5/g%0axea14I8XeFvEvxF8V+K9N8R6dLpcr6hFpkEtpFLG8chga1socMyv1cPjaMAc5APBfDkmq/C%0a/42+H7fQPB2hX1/r3g+N9C1DxB4nbRtPtbWMRPd6bYWltpskcRVhHcMvLuvzbtsRVNb4B3H%0ajO7+D3jvx14b1KHw5BqOs6rqulabqjx69os8bXDzz3ls0dvp93snmafy/NkYBNjqCrKKt2f%0a7AfhXXPD0/hjx9r+qeMfBMeqyapY+F1lltbWOQxiNJri4Msl5cXABky5uViO/CwIFUDu4Pg%0aX40TwRrPgm4+Lep3nhq6it7WzvJNItY9atLUCJLi3N1EEhcSRrKqyC3WWMy7vMcoKAPK7C7%0a8ceMLL4KWvgbx5q3g248XaTZa9q2haDpWkDSNC0tbSN7loFmspJkaWeRI4lklf5pJG5WJlG%0ab4r8TaP4h/Z2+Kmq+Nfi74yv7Twzcy6RruiONEle1vra7jMUIa30sCRbhliTEiOhjuGV0DB%0agu/dfsJwQ+ITeW9x4E8TWVtp9to+mL8RPBUuv3VjYW6YhtlcahBDtTLAOIFkZSPMeVgXbsv%0aht+zPqvw9u/EL6ZrXhHwSus2cFvJcfDXwYuizrJDMZI5ClzdXlq3yyToxa23kSD5xsWgD43%0a1z4VRaZ8U/hdqev6tceObrxBZa/earD40+FGq6tE+pgacbm6XSgkM5LmRY0lVEijht4IwuU%0aLN6T+w/pVnofws1XWdItfCXhzVYdJ1FpNbm+EOp2TJCt8WkE1808aXkexP8Aj2jZXXamSfJ%0aYH6E1z9lFZvHPhDxH4c+IvjDwxNoNvqUEk0moNrV3cm7FqDtl1P7UkKL9lGUSPBL5BTB3aP%0agn9myXwF4G1TwlZfEjxTq2hXenXtjDp+tQaY8Nu9yXZpgYLOGVmDSOQpl2/MRjpgA+avBGo%0aXNjefDuJPiqt5pNtDd2HhSz1r4ReIbCxcXMckqpb3VxdLGZEs1kggd2fbArcOWdm7D9lKO9%0a8Fa18Fr/AFvyNYsvG/wx0bS/D9zHHsm0U2VhHPc2rDJDx3BkM3mjDBoVRgQsbL6BB+yPrK6%0ad8NLK++L3iLXLLwXdQXMWn6npemi1lMdjPaAR/Z7eGZCBOSC8sowCGDMQ69l8Gf2avDXwh0%0arwiftGo6/4g8PaFBokWp6jqV5NAipBFFJJbWks8kNp5nkrkRAED5ckE5APU7r/AF9n/wBdT%0a/6A1eDft6XM9r+y54rZRP8A2Y8+nx6w1tnzF0w30AvenO0wGQN/slvqPebr/X2f/XU/+gNT%0a7yzg1G0ntbqCO5tZ0aKWCZA6SIwwysp4IIJBB60AR6XHZxaZaJpywJp6wotstqFEQiCjYEC%0a8bcYxjjGMV87fsif8j/8AtH/9lFuP/SK0r0Pw7+zX8P8AwpqVpdaZpupQWtlcm8tNGfXtQl%0a0i1l3mRTDpzzm1iCOd0YSICNgpQKVUinqP7Knw51LWPEWpNZ69aS+Irl7zV7fT/FerWlpfy%0augR2ltobpYW3IoUgpggYIxQB8ffFeG3vvgJ8fV01UufA9x8W9O/sxW+eB3N3p4vxGD8piN1%0a5/A+UsZO5NU/2rFl/Zw+BHxO+CeozufB2s/ZdY+HtxISwiiGpQSXmkFiclrfIliB3Ewuct+%0a7wPvbxL8G/BXizwHbeCr/AMPWieFLWS3lt9Jsd1nBCYJVlhCCEptCuinaMDjBBGRUHxg+B3%0agf4+eG7fQfHugReINLtrpL2CJ5pYWimQEK6yRMrqcMwODggkHIoA8I+IFl4qv/APgoPo0fh%0aHWdH0PUh8LrppLjW9Il1KFov7WgygjjubchtxQ7t5AAI2nIIz9AsvFVh+3T4rj8X6zo+uak%0afhLE0dxomkS6bCsX9p3GEMclzcEtuDndvAIIG0YJP04/w58Ov8R4vHrafnxZFpL6GmoefJx%0aZNMszReXu2cyIrbtu7jGcZFMm+GXhqfx/deNn03d4nudHXQJb7z5fmsRK0wi2btg+d2O4Lu%0a5xnGBQB8Af8E9r6PTdT+FX/C0YT9uufDRj+GF7vzp0UR3i/iUHGzUH6sxzuhCqhA3BvqD4P%0aN5P7ZH7RMMgMcktl4YnjVwRvj+zXKbl9RuVhkdCMV3N9+zT8NtS+E2kfDS48NK/g3R5IZtN%0aslvLhZrKSJ98ckNyJBPG6sT86yBsMy52sQbvi34DeDfGuraZq2o2mp2+uadZHTYNZ0nXL7T%0adQa1LKxgluraaOWWPcofbI7DdlvvEmgD46+OH7/4O/t0XUf7y2bV7aFZk5QyJp1gHQN03KS%0aAR1Geag+O9qf2W/hH8UvBrt5Hws+InhnUr3w2WG2HR9ca0lludOB6JFcKrTQrwN4lRVyRn7%0aLl+AHgCb4Vah8Nz4chXwdqMbJe2Ec8qPdFiGeSWcOJXlZgC0rOXY8sxJNX/AInfBzwb8ZfA%0aU/gvxlocWueGpvKLWcsskZBjIKMsiMrowI6qwOCQTgkEAl+EH/JJfBP/AGBLL/0QlddVPR9%0aJtNB0my0ywi8ixsoEtoItxbZGihVXJJJwABkkmrlABVaP/kIT/wDXKP8Am9WarR/8hCf/AK%0a5R/wA3oAyvGmg6ZrejPLqOnWl/Lp4kvLN7qBZGtpxE6CWMsDsfbI67lwcOwzgmvIP2K47yX%0a9i34XJp08FrqDeGYVtp7qBpoo5Sh2M8auhdQcEqHUkAjcucj3m4t47q3lglXdFIpR1zjIIw%0aRXIaf8HvCOlfDGy+H1npb23hOxt4ra0s4rudZLdYmDxNHPv81JEdVdJA4dWVWDAgGgDx/wC%0aHK6noP7YWvaf41mtNf8aap4LgurPXNIiaysYtNt7xka1FkzSPG5muTJ5jzzb+dvlBSpuXEi%0an/AIKCWaXbAqvwzkawWQ8Bzqi/aCg9dogz3wB716J4f+AHgbw3p3iS0t9Jubx/Edu1pq2oa%0atql3qF/dwGPy/Ja8uJXn8sLnagcKpZioBYk1dS/Zt+HupeGvBuhnRbmytfBsXkaBc6Zq15Z%0aX2nRGHyWjjvIZknCNHhXUyEPtUsCVUgA+PvDG2H4r6Ut0zjws37Ret+ULhgYTdHSnMYX3+2%0afaNo7OD3FfQvhBCn7enxIOnGT7C3gbRTquxgY/tn2q9EG7HRvJBxnnG7sa9Kv/gL4B1L4ZW%0aXw+m8N2w8JWXlta2MMkkTwSI+9ZkmVhKs2/L+cHEhZmYsSxJ1fAHwx8OfDGzvoPD9nPE9/c%0afar28vr2e+vLuXaFDzXNw7yykKqqN7naqhRgACgDqqKKKACiiigAqtp3/IPtf8Arkv8hVmq%0a2nf8g+1/65L/ACFAHn3iLT7XT/jJ4CFrbQ2wmh1eaQQxhN8jLAWdsdWJ6k8msuWw1LxJ4++%0aICeGruDS5BbwWF+bxPOF1L5O5GjxgwFVcrvIlUk58v5fm9NvPD9hf6zp2rTwb9Q09JUtpt7%0aDy1kCiQYBwc7F6g4xxisrXfhv4f8R31zeXlpMtxdQi3uXtLye2+0xgEBZRE6iQYJHzZ4OOl%0aezSxkIqPNe6ja9r68/Ns3rp56M8erg5y5uW1nK9r205eXdLTXy1Ry3h34l6XpHww8HyaXpd%0a7dXWoWsdnpWiRsHnlaNQhBc4UIu3LSnAC/MRzitf4feCbjT9A1L/AISSCzur/WdRfVru0VP%0aMghkOzYi7s7tnlod394ZHQGtTVfh5oOsTabLJazWsmmwtbWbadeTWRhiO0FF8l0+XCqMdOK%0a0dE8PWvh+OVLWW+lWQhmN9qE92Rj0MzsV+gxWdXEUnTl7G6cnd31e7aV79L32u31tY0pYeq%0apx9tZqKsraLZJu1utrb2S6XucZ8E40m8K63HIivG+u6krKwyCDcPkEU3wNaQWHxb8eW1tDH%0abW0NjpMcUMShUjQRzgKoHAAAAAFdvofh7T/DdtNb6db/AGeGaeS6dd7NmSRiztliepJOOnp%0aRaeH7Cw1nUdWgg2ahqCRJczb2PmLGGEYwTgY3t0AznnNKpioznXkr2mtPvjv9zHTwsowoxd%0arwev3S2+9Hm2rjWfg5Yav4hgvdO1fQbzWft95aNaPFcqlxIsf7uYSlGKkx8FBuAPIOKq3H/%0aJR/ix/2AbX/ANFTV6BJ8O9Bm1eLUpbSWaaG5N5FDLdzPbRznJ81bcv5SvlmbcFzuJbqc1bb%0awfpD6lq1+bTN3qtutreSeY/72NQQq4zhcBjyMHmuhY2kk21eTVm7Jfag1pfoovXS+mnU53g%0a6raSdop3Su30mn06uS01trr0OJ8Itpy/s56adWKDTP+EfUXHmYxs8nn8fT3rnvh6b3/hNPh%0a9H4iD/AGhfCBayNxz/AKTuQTYJ/wCWnk7N3fBPrXoGn/CbwxpqWUSWdzcWtkVNtaXuo3N1b%0awlRhSsMsjICueDt47Yrc8QeGNM8U2kdvqdqLhYpFmhcM0csMinIeORSGRh/eUg9abxtFOpG%0aN2puTvazXMmtFf79VdaISwdZqnKVk4KKte6fK09Xb7tHZ6s5H9oBmX4Q+ICCQm2ESY/55+f%0aHvz7bd2faqvj0N/wtD4bGy/1wXUwnlkbfL+yj9N/le3Suw07wXpGmwXkQt5LxbyPybhtSuZ%0ab15YsEeWWmZyU+Zvkzt+ZuOTUPhrwBofhGbztNtZVmEC2qS3N3NcvHCpysSGV2KJn+FcDgc%0acCsaWJpUafKrtrmtpvzRUdddLfO/kbVcNVrVOZ2SfLfXblk5aaa3+VvM8cbypP2U9Aa2JN5%0a5lkbcxn94br7am7Hq24vnv1r0P4zafqt34K15xc2kmhRWLTXen+U0VzOiZeRVudzKmVXHMT%0aHqNy5DLtWfw08N2GqjUINPZJluWvEh+0ym3ScggyrAW8tXwT8wUHk8807Vfhx4f1u7mnvbS%0aadJpFlmtDeTC0mcEEGS3D+U5yq53Kc4Gc10Sx1F1o1FeylKWqT+Jp2WvS2ku+tjnjgqyoyp%0au13GMdG18Kau9Ot9Y9tLmCNE1aTxTY+M/DcdneW1/o8Vo9hqs72zRIG8yNkdY5OfnYMpHXB%0azVD4Kw6vP8Ob+a3u7KG5u9WvZ7S5NsZLbYbhsssSup2kh9o3DGQeR17fxF4M0rxSQdQjuSf%0aLMLfZb2a28yM9Uk8p13r1+VsgZPqczah4W0zUtLttOe3NvaWu37MtlK9q1vtUqPLaIqyfKS%0avykfKSOhIrmeLhKj7N7trW2yjzWW/vb9lpvdnSsJONX2i2Sel93Llu9vd27vXayOQ+Gpe28%0aZ+ObK/An11bi1uLy/ibEM6PFthCR4/d7VjxtJc9y7Z47yT/AJCEH/XKT+aVT8P+F9M8LW0s%0aOm23k+dIZZpZJGlmmcnJaSRyXc84yxOBgdABVyT/AJCEH/XKT+aVx4mrGtVc47afgktum2i%0a6bHXhqUqNJQlvr+Lb3676vruWawvHPjjQvhp4P1fxT4n1KHR9A0m3a6vL2fJWONRzgKCzMe%0aAFUFmJAUEkCt2uZ+JHw48PfFvwde+FvFNlJqOh3jwyTW8V1NbOWimSaJllhdHUrJGjAqw+7%0a6ZrlOo+a30rx/8AFS+8cfGjV/Dd54AtrLwLqWi+EfD9+QNYfz1Wd7y7VWK277oYkSDLMvz7%0asEDPMeJEsH/Y3/ZROiFftS694KOm/ZGUfv8A92Jc+p2G435/293G6vqTwl8FPD3gvW4tV0/%0aUfFtxdRKyrHq3jLWNStyGGDmC5upI2PPBKkg8jBrO8F/s1/Dn4e+JLXW9B0CSyubJ7qTT7V%0a9RuprHTXuWLXDWdnJK0FqzlnBMEaHa7r912BAPO/2k9B0zS/i38Br+z060tL7UviAk19dQQ%0aKkt06aTeRo0rAZcqiIgLZIVQBwBVTxbb6x4u/bJ1CHwFqll4Y8U6D4Lgh1XVtZtDqVrc21z%0adSvBbpZrJC+9Gjkk88TgDcEaOTcGT3zxR4A0HxpqfhzUNZsPtl54ev8A+09Mk86RPs9z5Tx%0ab8KwDfJK4wwI+bOMgEYnjn4IeEPiH4hs9f1Wzv7XxBaWr2MesaHq95pN6bZnDmB57SWKR4t%0a6hhGzFQ3IAJzQB5J+zV47l8LfAPTNN8PfD3xJ4kutE1nVdD1K20vUdPnZbyC8l+0XAnuZbN%0aJY5JS7KY0XG7GxQKkTU5tV/bo8H3GrWFxpDTfDK9msdN1J4mltrltRtvtCAxO8fmhBGGMbs%0aMA4JGa938E+CNB+G/hTTPDPhjSrbRNB02IQ2lhaJtjiXJJ+pJJYscliSSSSTWR8RPhB4V+K%0acujT+IbC4e/0WaS403U9N1C506+s3kjMcnlXNtJHKiujFWUOFYY3A4GADxL9nPxLYeBIv2m%0a/EV7NJB4U0jx5quovKxDBBHZW0l4V56CRZOOmd3fdXSfszaTrGg/Bq++IusaNd6x488dyN4%0ar1TT7J4hcEzIv2Wxiad41CwWywQqJJFAKOcjca9CuPgf4IufhLN8Mm0JE8ET2rWU2mQ3E0Z%0aljZi0heVXErO7FmeQuXdmZmYliT21vbxWlvFBBEkMEShI441CqigYAAHAAHagDz66+NNp4Y%0a+H2v+MvHXh3WPhzo+jL5k/wDb0llNJInABjFncXAYszBFTIdmIAU5GfO/g7ovi/4i/GW++N%0anjDw/J4C0oeHToPh7w7qTKdSFnLPHcyXV8FYrBIxiiAhyWQBg+GHPsPxI+Gnh34t+FZvDni%0amylv9IlmhuTFBeTWkiywyLLE6ywukilXRWBVhyKyvCnwT8O+DtW/tCyvvFd5N5bRGHWfGGr%0a6nbsrDBzBdXUkZOO5XI7YoA8M8BReNf2Nl+Dnw51nWPD3jbwLrV/J4Zhu7DSJdL1SzvHSS4%0agncNdTR3EbeXOsgVYipZGG7lT9YV5x4W/Z68CeD/FVj4jsNLvJ9W06GW302TVNXvdQj0uKU%0aKJEs4riaSO1VlRUIhVBsUL90Yr0egAqtp3/IPtf+uS/wAhVmq2nf8AIPtf+uS/yFAFmiiig%0aAooooAKKKKAOH8MfELXtfur+K++GPirw2ltbvNFPqlzpLpdOCAIY/s99Kwds5BcInByw4zb%0a8DeNNY8WyXi6r4B8Q+ChAEMb65Pp0ouM5yE+yXc5G3Azv2/eGM8462igAooooAKKKKACiii%0agCtJ/yEIP+uUn80qzVaT/AJCEH/XKT+aVZoA5b4m/ErQfhF4I1PxX4kuXttKsFXcIYzJLNI%0azBI4okHLyO7KiqOpYV8ofEjwz498Y/Dr4+fGrxFokngm7vvh3faB4c8NNIH1G202Nbidri9%0aKkqlzKX3eUhPlKApLOCa+rPiT8LfDfxb0K20jxPZ3F3Z2t7BqVubS/uLKaC5hbdFKk0EiSK%0aytyCGGCAe1UPCnwW8OeDr+e7s7vxNqDT2720lvr3izVdWtmjbG4GC7uZY88Y3bc4JGcE5AP%0aA/iulifC/7Ij+GyvmDxZo404WLD/jwOl3Pn7R/wA8vJAyR2x610Xxb0DS9C/a0/Z4fTdNtN%0aPa/wBR8SXl21rAsRuJ20oK0sm0De5CqCxySFHPAr0vwD+zl8PvhjrNrqfh7RJ7a5sopoNPS%0a61O7vINNimYNLHZwzyvHaq5VcrAqAhVHQAV1GufD/QPEnizw14m1Gw+0a34ba5fSrrzpF+z%0ameLypvlVgr7k4+cHHUYPNAHztqFp4m8ZftV/Fg/DDWbDwnrujeHdL0nXLvW7b+0Ib2eVZri%0a0aCFSht3iR3BmZ5UbzMG3YpuO5+zp8SI9J/Zm+GZ8EfDLxVr2kx2MumfY9O1HTZZLJ7OU2z%0a+ZNdXNqJQ8kcjK8a4YDJWPKrXpHj79nvwL8Stck1nWdNvodWms2065vtF1m90qa7tic+TcN%0aaTRGdBzhZNwXLYxuOe28PeHdL8JaHY6Nomn22k6TYxLBa2NnEsUMMajAVVUAAD2oA8D8MXh%0avf27tel1G3ksb+T4aaZLY2d0yGaCJtQuftCfIzLkSeSHKswyEwSNprl/2ffiFY/B34A/HPx%0aleh5PDHh/xt4qvtOiMgCTW8d05EcLcja8wkVTzy1e+/EH4LeEfidqmlaprljeJrGlCRLLVd%0aI1S70u9gSQYkjFxayxSbG4yhbaSAcZApNW+CHgbW/hbD8OLrw5ajwPElvEmi27PBCEhlSWN%0acxsrYDxqxGfm53ZDEEA434E+Etb+D3wKTUtS0S/8UePtcmbxH4is9NMENzdandsrTIn2iaK%0aJVhUrEoZ1Ajt1A5wDwn7THii/wDE3hv4PXWt+F9W8G2h+KWiQ3mn67NZyNJEC7RuxtbiePY%0aZvKwC+dycqBgn6mrA8eeA/D/xP8H6p4W8U6XBrWganD5N1ZXAO1xkEEEEMjqwVldSGVlVlI%0aYAgA+Rf2p9Q1PRPjv8T9S8PvPHqdv8BNWlmkibiN1vSbZ8Z++P9LK564bGeRXW+BPH/jf4G%0a6P8CdH1mHwpfeCfFgtPDdnpuh2k1veaNK1mZbZjO87peRhIZEdlhg5ZXA/gPvPgf4P+FPh5%0aFrK6Rp880+tMrale6xqFzqd3ehU8tEluLqSSV0VchULFV3NgDcc4ng/9mz4d+A/E2na9o+h%0azpf6XHPFpSXmqXd3baSk2BKtjbzSvDaBlGzECJhMoMKSKAPTqraj/AMg+6/65N/I1ZqtqP/%0aIPuv8Ark38jQBZooooAKKKKACiiigArkvi9/ySfxr/ANgS9/8ARD11tcl8Xv8Akk/jX/sCX%0av8A6IegD8z7ftV+PtVC37Vfj7VZBOvSlpF6UtABRRRQAUjdKWkbpQBBJ3qhcd6vyd6oXHeg%0aD9MPhD/ySfwV/wBgSy/9EJXW1yXwh/5JP4K/7All/wCiErragsrX/wDqF/66x/8Aoa1Zqtq%0aJ22pb+66Nj1wwNVP7b/6Y/wDj/wD9agDUorL/ALb/AOmP/j//ANaj+2/+mP8A4/8A/WoA1K%0aK88/4W3/1Cv/Jn/wCwo/4W3/1Cv/Jn/wCwoA9Dqtdf6+z/AOup/wDQGrhf+Ft/9Qr/AMmf/%0asKjl+KvmvC39l48t92PtHX5SP7vvQB6PRXnn/C2/wDqFf8Akz/9hR/wtv8A6hX/AJM//YUA%0aeh0V55/wtv8A6hX/AJM//YUf8Lb/AOoV/wCTP/2FAHodFeef8Lb/AOoV/wCTP/2FH/C2/wD%0aqFf8Akz/9hQB89f8ABRD/AJp//wBxD/22r6W+C/8AyR3wJ/2AbD/0nSvkv9uHxLL4sg8Gzr%0aYPbw2jXiNIH3rufySATgYPyNj1wfSpfBf7d3/CIeDtC0H/AIQf7X/ZdhBY/aP7W2eb5capu%0a2+QcZ25xk4z1Nfr0soxuccMYCngYc7jKo3qla7a6tH7vLIswz/g3LKWW0+eUJ1XLWKsm2ur%0aXU+4arX/APqF/wCusf8A6GtfIH/DxD/qn/8A5Wv/ALnqOf8A4KFeegX/AIQHbh1bP9s+jA/%0a8+/tXzP8AqTn3/QP/AOTQ/wDkj4//AIh3xP8A9Av/AJPD/wCSPsyivjf/AIeIf9U//wDK1/%0a8Ac9H/AA8Q/wCqf/8Ala/+56P9Sc+/6B//ACaH/wAkH/EO+J/+gX/yeH/yR9kUV8b/APDxD%0a/qn/wD5Wv8A7no/4eIf9U//APK1/wDc9H+pOff9A/8A5ND/AOSD/iHfE/8A0C/+Tw/+SPsi%0aivjf/h4h/wBU/wD/ACtf/c9H/DxD/qn/AP5Wv/uej/UnPv8AoH/8mh/8kH/EO+J/+gX/AMn%0ah/wDJH2RRXxv/AMPEP+qf/wDla/8Auej/AIeIf9U//wDK1/8Ac9H+pOff9A//AJND/wCSD/%0aiHfE//AEC/+Tw/+SPsiivjf/h4h/1T/wD8rX/3PR/w8Q/6p/8A+Vr/AO56P9Sc+/6B/wDya%0aH/yQf8AEO+J/wDoF/8AJ4f/ACR9kUV8b/8ADxD/AKp//wCVr/7no/4eIf8AVP8A/wArX/3P%0aR/qTn3/QP/5ND/5IP+Id8T/9Av8A5PD/AOSPsiivjf8A4eIf9U//APK1/wDc9H/DxD/qn/8%0aA5Wv/ALno/wBSc+/6B/8AyaH/AMkH/EO+J/8AoF/8nh/8kfZFVo/+QhP/ANco/wCb18gf8P%0aEP+qf/APla/wDueo1/4KFbbh5f+EB+8irj+2emCT/z7+9H+pOff9A//k0P/kg/4h3xP/0C/%0awDk8P8A5I+zK4340f8AJHfHf/YBv/8A0nevmn/h4h/1T/8A8rX/ANz1jeNP27v+Ev8AB2u6%0aD/wg/wBk/tSwnsftH9rb/K8yNk3bfIGcbs4yM46iuvCcG57SxNKpPD6KUW/ehspRb+12TO7%0aA+H/ElHF0as8LaMZwb9+GylFv7XZM2f8Agnf/AM1A/wC4f/7c19kV8M/sPeJZfCcHjKdrB7%0aiG7azRZC+xdyecSAcHJ+dc+mR619R/8Lb/AOoV/wCTP/2FcfGrTz7EW/u/+kRODxDafE+Kt%0a/c/9Iieh0V55/wtv/qFf+TP/wBhR/wtv/qFf+TP/wBhXxB+cnodFeef8Lb/AOoV/wCTP/2F%0aH/C2/wDqFf8Akz/9hQB3Vr/r7z/rqP8A0Bas15xF8VfKeZv7Lz5j7sfaOnygf3fapP8Ahbf%0a/AFCv/Jn/AOwoA9Dorzz/AIW3/wBQr/yZ/wDsKP8Ahbf/AFCv/Jn/AOwoA9Dorzz/AIW3/w%0aBQr/yZ/wDsKP8Ahbf/AFCv/Jn/AOwoA9Dorzz/AIW3/wBQr/yZ/wDsKP8Ahbf/AFCv/Jn/A%0aOwoA9Dorzz/AIW3/wBQr/yZ/wDsKP8Ahbf/AFCv/Jn/AOwoA9Dorzz/AIW3/wBQr/yZ/wDs%0aKP8Ahbf/AFCv/Jn/AOwoA9Dorzz/AIW3/wBQr/yZ/wDsKP8Ahbf/AFCv/Jn/AOwoA9Dorzz%0a/AIW3/wBQr/yZ/wDsKP8Ahbf/AFCv/Jn/AOwoA9Dorzz/AIW3/wBQr/yZ/wDsKP8Ahbf/AF%0aCv/Jn/AOwoA9Dorzz/AIW3/wBQr/yZ/wDsKP8Ahbf/AFCv/Jn/AOwoA7q6/wBfZ/8AXU/+g%0aNVmvOJfir5rwt/ZePLfdj7R1+Uj+771J/wtv/qFf+TP/wBhQB6HRXnn/C2/+oV/5M//AGFH%0a/C2/+oV/5M//AGFAHodFeef8Lb/6hX/kz/8AYUf8Lb/6hX/kz/8AYUAeh0V55/wtv/qFf+T%0aP/wBhR/wtv/qFf+TP/wBhQB6HRXnn/C2/+oV/5M//AGFH/C2/+oV/5M//AGFAHodFeef8Lb%0a/6hX/kz/8AYUf8Lb/6hX/kz/8AYUAeh0V55/wtv/qFf+TP/wBhR/wtv/qFf+TP/wBhQB6HV%0aaP/AJCE/wD1yj/m9cL/AMLb/wCoV/5M/wD2FRr8Vdtw8v8AZf3kVcfaOmCT/d96APR6K88/%0a4W3/ANQr/wAmf/sKP+Ft/wDUK/8AJn/7CgD0OivPP+Ft/wDUK/8AJn/7Cj/hbf8A1Cv/ACZ%0a/+woA9Dorzz/hbf8A1Cv/ACZ/+wo/4W3/ANQr/wAmf/sKAPQ6K88/4W3/ANQr/wAmf/sKP+%0aFt/wDUK/8AJn/7CgD0OivPP+Ft/wDUK/8AJn/7Cj/hbf8A1Cv/ACZ/+woA9Dqtp3/IPtf+u%0aS/yFcL/AMLb/wCoV/5M/wD2FR23xV+z28UX9l7tiBc/aMZwMf3aAPR6K88/4W3/ANQr/wAm%0af/sKP+Ft/wDUK/8AJn/7CgD0OivPP+Ft/wDUK/8AJn/7Cj/hbf8A1Cv/ACZ/+woA9Dorzz/%0ahbf8A1Cv/ACZ/+wo/4W3/ANQr/wAmf/sKAPQ6K88/4W3/ANQr/wAmf/sKP+Ft/wDUK/8AJn%0a/7CgD0OivPP+Ft/wDUK/8AJn/7Cj/hbf8A1Cv/ACZ/+woA9Dorzz/hbf8A1Cv/ACZ/+wo/4%0aW3/ANQr/wAmf/sKAPQ6K88/4W3/ANQr/wAmf/sKP+Ft/wDUK/8AJn/7CgD0OivPP+Ft/wDU%0aK/8AJn/7Cj/hbf8A1Cv/ACZ/+woA9DqtJ/yEIP8ArlJ/NK4X/hbf/UK/8mf/ALCo2+Ku64S%0aX+y/uoy4+0dckH+77UAej0V55/wALb/6hX/kz/wDYUf8AC2/+oV/5M/8A2FAHodFczoXjP+%0a27R5/sfk7ZCm3zd3YHPQetaX9t/wDTH/x//wCtQBqUVl/23/0x/wDH/wD61H9t/wDTH/x//%0awCtQBqUVl/23/0x/wDH/wD61H9t/wDTH/x//wCtQBqUVl/23/0x/wDH/wD61H9t/wDTH/x/%0a/wCtQBqUVl/23/0x/wDH/wD61H9t/wDTH/x//wCtQBqUVl/23/0x/wDH/wD61H9t/wDTH/x%0a//wCtQBqVW07/AJB9r/1yX+Qqp/bf/TH/AMf/APrVHbat9nt4ovK3bEC53YzgY9KANiisv+%0a2/+mP/AI//APWo/tv/AKY/+P8A/wBagDUorL/tv/pj/wCP/wD1qP7b/wCmP/j/AP8AWoA1K%0aKy/7b/6Y/8Aj/8A9aj+2/8Apj/4/wD/AFqANSisv+2/+mP/AI//APWo/tv/AKY/+P8A/wBa%0agDUorL/tv/pj/wCP/wD1qP7b/wCmP/j/AP8AWoA1KKy/7b/6Y/8Aj/8A9aj+2/8Apj/4/wD%0a/AFqANSisv+2/+mP/AI//APWo/tv/AKY/+P8A/wBagC3J/wAhCD/rlJ/NKs1jtq264SXyvu%0aoy43dckH09qk/tv/pj/wCP/wD1qANSisv+2/8Apj/4/wD/AFqP7b/6Y/8Aj/8A9agDUorL/%0atv/AKY/+P8A/wBaj+2/+mP/AI//APWoA1KKy/7b/wCmP/j/AP8AWo/tv/pj/wCP/wD1qANS%0aisv+2/8Apj/4/wD/AFqP7b/6Y/8Aj/8A9agDUorL/tv/AKY/+P8A/wBaj+2/+mP/AI//APW%0aoA1KKy/7b/wCmP/j/AP8AWo/tv/pj/wCP/wD1qANSq2o/8g+6/wCuTfyNVP7b/wCmP/j/AP%0a8AWqO51b7RbyxeVt3oVzuzjIx6UAbFFZf9t/8ATH/x/wD+tR/bf/TH/wAf/wDrUAalFZf9t%0a/8ATH/x/wD+tR/bf/TH/wAf/wDrUAalFZf9t/8ATH/x/wD+tV+1n+0wLJt27s8Zz3oAlrkv%0ai9/ySfxr/wBgS9/9EPXW1yXxe/5JP41/7Al7/wCiHoA/M+37Vfj7VQt+1X4+1WQTr0paRel%0aLQAUUUUAFI3SlpG6UAQSd6oXHer8neqFx3oA/TD4Q/wDJJ/BX/YEsv/RCV1tcl8If+ST+Cv%0a8AsCWX/ohK62oLKup/8eMv4fzFcprWtWHhzSrrU9TuorGwtUMk1xM2FRR3P+Heur1P/jxl/%0aD+YrzT4pfDXTPix4OuvD+qtLFFKRJFPC2GhlGdr46NjPQ8HP4gA8v8Ahn8cfGfxn8eXZ8M6%0aPp+n+AbKUJLqmpQSvcS46qm2RV3t1xg7AckkkA++181fAbUPG/wf11vhz4n8O6hqGgRyEad%0ar+m2EktvHuJOHdFI2MTnJ5Qk7uOV+laAPIaKKKACiiigAooooAKKKKACiiigCvqGm2er2j2%0at9awXts+N0NxGJEbByMqQR1rG/4V14T/6FjRv/AAXxf/E10NFdNPE16K5aVSUV5SkvyaOuj%0ajMTh48tGrKK7KUkvuUkjnv+FdeE/wDoWNG/8F8X/wATR/wrrwn/ANCxo3/gvi/+JroaK1+v%0a4z/n9P8A8Dl/8kb/ANp4/wD6CJ/+Bz/+TOe/4V14T/6FjRv/AAXxf/E0f8K68J/9Cxo3/gv%0ai/wDia6Gij6/jP+f0/wDwOX/yQf2nj/8AoIn/AOBz/wDkznv+FdeE/wDoWNG/8F8X/wATR/%0awrrwn/ANCxo3/gvi/+JroaKPr+M/5/T/8AA5f/ACQf2nj/APoIn/4HP/5M57/hXXhP/oWNG%0a/8ABfF/8TR/wrrwn/0LGjf+C+L/AOJroaKPr+M/5/T/APA5f/JB/aeP/wCgif8A4HP/AOTO%0ae/4V14T/AOhY0b/wXxf/ABNH/CuvCf8A0LGjf+C+L/4muhoo+v4z/n9P/wADl/8AJB/aeP8%0aA+gif/gc//kznv+FdeE/+hY0b/wAF8X/xNH/CuvCf/QsaN/4L4v8A4muhoo+v4z/n9P8A8D%0al/8kH9p4//AKCJ/wDgc/8A5M57/hXXhP8A6FjRv/BfF/8AE0f8K68J/wDQsaN/4L4v/ia6G%0aij6/jP+f0//AAOX/wAkH9p4/wD6CJ/+Bz/+TOe/4V14T/6FjRv/AAXxf/E0f8K68J/9Cxo3%0a/gvi/wDia6Gij6/jP+f0/wDwOX/yQf2nj/8AoIn/AOBz/wDkznv+FdeE/wDoWNG/8F8X/wA%0aTR/wrrwn/ANCxo3/gvi/+JroaKPr+M/5/T/8AA5f/ACQf2nj/APoIn/4HP/5M57/hXXhP/o%0aWNG/8ABfF/8TR/wrrwn/0LGjf+C+L/AOJroaKPr+M/5/T/APA5f/JB/aeP/wCgif8A4HP/A%0aOTK+n6bZ6RaJa2NrBZWyZ2w28YjRcnJwoAHWrFFFccpSm3KTu33PPlOU5OU3dvdvVv5u7Ci%0aiipJCiiigAooooAKKKKACiiigAooooAKKKKACiiigAooooAKKKKACiiigAooooAKKKKACii%0aigAooooAKKKKACiiigAooooAKKKKACiiigAooooAKKKKACiiigAooooAKKKKACiiigAoooo%0aAKKKKACiiigAooooAKKKKACiiigAooooAKKKKACiiigAooooA7vwJ/yCJv+u5/9BWujrnPA%0an/IIm/67n/0Fa6OgAooooAKKKKACiiigAooooAKKKKACiiigAooooAKKKKACiiigAooooAK%0aKKKACiiigAooooAKKKKACiiigAooooAKKKKACiiigAooooAKKKKACiiigAooooAK8C+Jfxx%0a8Z/Bjx5af8JNo+n6h4BvZSkWqabBKlxFnor7pGXevXGBvAyCCCB77XzV8eNQ8b/GHXV+HPh%0ajw7qGn6BJIBqOv6nYSRW8m1gcIzqBsUgHI5cj5fl5YA+iNF1qx8R6Ta6npl1Fe2F1GJIbiF%0asq6nuP8O1dXpn/HjF+P8zXmnwu+G2mfCjwdaeH9KaWWGImSWeZstNK2Nz46LnHQcD9T6Xpn%0a/HjF+P8AM0AWq5L4vf8AJJ/Gv/YEvf8A0Q9dbXJfF7/kk/jX/sCXv/oh6APzPt+1X4+1ULf%0atV+PtVkE69KWkXpS0AFFFFABSN0paD0oArycZqhcd60JepqjcDrQB+l3wh/5JP4K/7All/w%0aCiErra5L4Rf8kn8Ff9gSy/9EJXW1BZXvommtXRBljjA/Gsn+zLn/nl/wCPD/Gt6igDB/sy5%0a/55f+PD/Gj+zLn/AJ5f+PD/ABreooA8b/4V/r//AD4f+Ro//iqP+Ff6/wD8+H/kaP8A+Kr2%0aSigDxv8A4V/r/wDz4f8AkaP/AOKo/wCFf6//AM+H/kaP/wCKr2SigDxv/hX+v/8APh/5Gj/%0a+Ko/4V/r/APz4f+Ro/wD4qvZKKAPG/wDhX+v/APPh/wCRo/8A4qj/AIV/r/8Az4f+Ro//AI%0aqvZKKAPG/+Ff6//wA+H/kaP/4qj/hX+v8A/Ph/5Gj/APiq9kooA8b/AOFf6/8A8+H/AJGj/%0awDiqP8AhX+v/wDPh/5Gj/8Aiq9kooA8b/4V/r//AD4f+Ro//iqP+Ff6/wD8+H/kaP8A+Kr2%0aSigDxv8A4V/r/wDz4f8AkaP/AOKo/wCFf6//AM+H/kaP/wCKr2SigDxv/hX+v/8APh/5Gj/%0a+Ko/4V/r/APz4f+Ro/wD4qvZKKAPG/wDhX+v/APPh/wCRo/8A4qj/AIV/r/8Az4f+Ro//AI%0aqvZKKAPG/+Ff6//wA+H/kaP/4qj/hX+v8A/Ph/5Gj/APiq9kooA8b/AOFf6/8A8+H/AJGj/%0awDiqP8AhX+v/wDPh/5Gj/8Aiq9kooA8b/4V/r//AD4f+Ro//iqP+Ff6/wD8+H/kaP8A+Kr2%0aSigDxv8A4V/r/wDz4f8AkaP/AOKo/wCFf6//AM+H/kaP/wCKr2SigDxv/hX+v/8APh/5Gj/%0a+Ko/4V/r/APz4f+Ro/wD4qvZKKAPG/wDhX+v/APPh/wCRo/8A4qj/AIV/r/8Az4f+Ro//AI%0aqvZKKAPG/+Ff6//wA+H/kaP/4qj/hX+v8A/Ph/5Gj/APiq9kooA8b/AOFf6/8A8+H/AJGj/%0awDiqP8AhX+v/wDPh/5Gj/8Aiq9kooA8b/4V/r//AD4f+Ro//iqP+Ff6/wD8+H/kaP8A+Kr2%0aSigDxv8A4V/r/wDz4f8AkaP/AOKo/wCFf6//AM+H/kaP/wCKr2SigDxv/hX+v/8APh/5Gj/%0a+Ko/4V/r/APz4f+Ro/wD4qvZKKAPG/wDhX+v/APPh/wCRo/8A4qj/AIV/r/8Az4f+Ro//AI%0aqvZKKAPG/+Ff6//wA+H/kaP/4qj/hX+v8A/Ph/5Gj/APiq9kooA8b/AOFf6/8A8+H/AJGj/%0awDiqP8AhX+v/wDPh/5Gj/8Aiq9kooA8b/4V/r//AD4f+Ro//iqP+Ff6/wD8+H/kaP8A+Kr2%0aSigDxv8A4V/r/wDz4f8AkaP/AOKo/wCFf6//AM+H/kaP/wCKr2SigDxv/hX+v/8APh/5Gj/%0a+Ko/4V/r/APz4f+Ro/wD4qvZKKAPG/wDhX+v/APPh/wCRo/8A4qj/AIV/r/8Az4f+Ro//AI%0aqvZKKAPG/+Ff6//wA+H/kaP/4qj/hX+v8A/Ph/5Gj/APiq9kooA8b/AOFf6/8A8+H/AJGj/%0awDiqP8AhX+v/wDPh/5Gj/8Aiq9kooA8b/4V/r//AD4f+Ro//iqP+Ff6/wD8+H/kaP8A+Kr2%0aSigDxv8A4V/r/wDz4f8AkaP/AOKo/wCFf6//AM+H/kaP/wCKr2SigDxv/hX+v/8APh/5Gj/%0a+Ko/4V/r/APz4f+Ro/wD4qvZKKAPG/wDhX+v/APPh/wCRo/8A4qj/AIV/r/8Az4f+Ro//AI%0aqvZKKAPG/+Ff6//wA+H/kaP/4qj/hX+v8A/Ph/5Gj/APiq9kooA8b/AOFf6/8A8+H/AJGj/%0awDiqP8AhX+v/wDPh/5Gj/8Aiq9kooA8b/4V/r//AD4f+Ro//iqP+Ff6/wD8+H/kaP8A+Kr2%0aSigDxv8A4V/r/wDz4f8AkaP/AOKo/wCFf6//AM+H/kaP/wCKr2SigDxv/hX+v/8APh/5Gj/%0a+Ko/4V/r/APz4f+Ro/wD4qvZKKAPG/wDhX+v/APPh/wCRo/8A4qj/AIV/r/8Az4f+Ro//AI%0aqvZKKAPG/+Ff6//wA+H/kaP/4qj/hX+v8A/Ph/5Gj/APiq9kooA8b/AOFf6/8A8+H/AJGj/%0awDiqP8AhX+v/wDPh/5Gj/8Aiq9kooA8b/4V/r//AD4f+Ro//iqP+Ff6/wD8+H/kaP8A+Kr2%0aSigDxv8A4V/r/wDz4f8AkaP/AOKo/wCFf6//AM+H/kaP/wCKr2SigDxv/hX+v/8APh/5Gj/%0a+Ko/4V/r/APz4f+Ro/wD4qvZKKAPG/wDhX+v/APPh/wCRo/8A4qj/AIV/r/8Az4f+Ro//AI%0aqvZKKAPG/+Ff6//wA+H/kaP/4qj/hX+v8A/Ph/5Gj/APiq9kooA8b/AOFf6/8A8+H/AJGj/%0awDiqP8AhX+v/wDPh/5Gj/8Aiq9kooA8b/4V/r//AD4f+Ro//iqP+Ff6/wD8+H/kaP8A+Kr2%0aSigDxv8A4V/r/wDz4f8AkaP/AOKo/wCFf6//AM+H/kaP/wCKr2SigDxv/hX+v/8APh/5Gj/%0a+Ko/4V/r/APz4f+Ro/wD4qvZKKAPG/wDhX+v/APPh/wCRo/8A4qj/AIV/r/8Az4f+Ro//AI%0aqvZKKAPG/+Ff6//wA+H/kaP/4qj/hX+v8A/Ph/5Gj/APiq9kooA4bwn4b1HTNOkiubfy5DK%0aWA3qeMAdj7Vt/2Zc/8APL/x4f41vUUAYP8AZlz/AM8v/Hh/jR/Zlz/zy/8AHh/jW9RQBg/2%0aZc/88v8Ax4f40f2Zc/8APL/x4f41vUUAYP8AZlz/AM8v/Hh/jR/Zlz/zy/8AHh/jW9RQBg/%0a2Zc/88v8Ax4f40f2Zc/8APL/x4f41vUUAYP8AZlz/AM8v/Hh/jR/Zlz/zy/8AHh/jW9RQBg%0a/2Zc/88v8Ax4f40f2Zc/8APL/x4f41vUUAYP8AZlz/AM8v/Hh/jR/Zlz/zy/8AHh/jW9RQB%0ag/2Zc/88v8Ax4f40f2Zc/8APL/x4f41vUUAYP8AZlz/AM8v/Hh/jR/Zlz/zy/8AHh/jW9RQ%0aBg/2Zc/88v8Ax4f40f2Zc/8APL/x4f41vUUAYP8AZlz/AM8v/Hh/jR/Zlz/zy/8AHh/jW9R%0aQBg/2Zc/88v8Ax4f40f2Zc/8APL/x4f41vUUAYP8AZlz/AM8v/Hh/jR/Zlz/zy/8AHh/jW9%0aRQBg/2Zc/88v8Ax4f40f2Zc/8APL/x4f41vUUAYP8AZlz/AM8v/Hh/jR/Zlz/zy/8AHh/jW%0a9RQBg/2Zc/88v8Ax4f40f2Zc/8APL/x4f41vUUAYP8AZlz/AM8v/Hh/jR/Zlz/zy/8AHh/j%0aW9RQBg/2Zc/88v8Ax4f40f2Zc/8APL/x4f41vUUAYP8AZlz/AM8v/Hh/jR/Zlz/zy/8AHh/%0ajW9RQBg/2Zc/88v8Ax4f40f2Zc/8APL/x4f41vUUAYP8AZlz/AM8v/Hh/jR/Zlz/zy/8AHh%0a/jW9RQBg/2Zc/88v8Ax4f40f2Zc/8APL/x4f41vUUAYP8AZlz/AM8v/Hh/jR/Zlz/zy/8AH%0ah/jW9RQBg/2Zc/88v8Ax4f41rWMTQ2qI4wwzkfjViigArkvi9/ySfxr/wBgS9/9EPXW1yXx%0ad/5JP41/7Al7/wCiHoA/M+37Vfj5xVK3HSr0XUVZBMvSloHSigAooooAPKk/vr/3z/8AXoM%0aT4++v/fP/ANepqKm5VinJDJn76/8AfP8A9eqk0D/31/75/wDr1qOuRVeRM5ouFj9HPhBIsn%0awn8GFGDgaNZqSPUQoCPzBrr6/P34d/tGeMfhjo40rT3s7/AE1CTFb6jEziHJyQpVlIBPOMk%0acn1rqj+2v46HTSvD3/gNP8A/HqQz7Yor4l/4bZ8ef8AQJ8Pf+A0/wD8epP+G2fHf/QJ8Pf+%0aA0//AMeoA+26K+JP+G2fHf8A0CfD3/gNP/8AHqP+G2fHf/QJ8Pf+A0//AMeoA+26K+JP+G2%0afHf8A0CfD3/gNP/8AHqP+G2fHf/QJ8Pf+A0//AMeoA+26K+JP+G2fHf8A0CfD3/gNP/8AHq%0aP+G2fHf/QJ8Pf+A0//AMeoA+26K+JP+G2fHf8A0CfD3/gNP/8AHqP+G2fHf/QJ8Pf+A0//A%0aMeoA+26K+JP+G2fHf8A0CfD3/gNP/8AHqP+G2fHf/QJ8Pf+A0//AMeoA+26K+JP+G2fHf8A%0a0CfD3/gNP/8AHqP+G2fHf/QJ8Pf+A0//AMeoA+26K+JP+G2fHf8A0CfD3/gNP/8AHqP+G2f%0aHf/QJ8Pf+A0//AMeoA+26K+JP+G2fHf8A0CfD3/gNP/8AHqP+G2fHf/QJ8Pf+A0//AMeoA+%0a26K+JP+G2fHf8A0CfD3/gNP/8AHqP+G2fHf/QJ8Pf+A0//AMeoA+26K+JP+G2fHf8A0CfD3%0a/gNP/8AHqP+G2fHf/QJ8Pf+A0//AMeoA+26K+JP+G2fHf8A0CfD3/gNP/8AHqP+G2fHf/QJ%0a8Pf+A0//AMeoA+26K+JP+G2fHf8A0CfD3/gNP/8AHqP+G2fHf/QJ8Pf+A0//AMeoA+26K+J%0aP+G2fHf8A0CfD3/gNP/8AHqP+G2fHf/QJ8Pf+A0//AMeoA+26K+JP+G2fHf8A0CfD3/gNP/%0a8AHqP+G2fHf/QJ8Pf+A0//AMeoA+26K+JP+G2fHf8A0CfD3/gNP/8AHqP+G2fHf/QJ8Pf+A%0a0//AMeoA+26K+JP+G2fHf8A0CfD3/gNP/8AHqP+G2fHf/QJ8Pf+A0//AMeoA+26K+JP+G2f%0aHf8A0CfD3/gNP/8AHqP+G2fHf/QJ8Pf+A0//AMeoA+26K+JP+G2fHf8A0CfD3/gNP/8AHqP%0a+G2fHf/QJ8Pf+A0//AMeoA+26K+JP+G2fHf8A0CfD3/gNP/8AHqP+G2fHf/QJ8Pf+A0//AM%0aeoA+26K+JP+G2fHf8A0CfD3/gNP/8AHqP+G2fHf/QJ8Pf+A0//AMeoA+26K+JP+G2fHf8A0%0aCfD3/gNP/8AHqP+G2fHf/QJ8Pf+A0//AMeoA+26K+JP+G2fHf8A0CfD3/gNP/8AHqP+G2fH%0af/QJ8Pf+A0//AMeoA+26K+JP+G2fHf8A0CfD3/gNP/8AHqP+G2fHf/QJ8Pf+A0//AMeoA+2%0a6K+JP+G2fHf8A0CfD3/gNP/8AHqP+G2fHf/QJ8Pf+A0//AMeoA+26K+JP+G2fHf8A0CfD3/%0agNP/8AHqP+G2fHf/QJ8Pf+A0//AMeoA+26K+JP+G2fHf8A0CfD3/gNP/8AHqP+G2fHf/QJ8%0aPf+A0//AMeoA+26K+JP+G2fHf8A0CfD3/gNP/8AHqP+G2fHf/QJ8Pf+A0//AMeoA+26K+JP%0a+G2fHf8A0CfD3/gNP/8AHqP+G2fHf/QJ8Pf+A0//AMeoA+26K+JP+G2fHf8A0CfD3/gNP/8%0aAHqP+G2fHf/QJ8Pf+A0//AMeoA+26K+JP+G2fHf8A0CfD3/gNP/8AHqP+G2fHf/QJ8Pf+A0%0a//AMeoA+26K+JP+G2fHf8A0CfD3/gNP/8AHqP+G2fHf/QJ8Pf+A0//AMeoA+26K+JP+G2fH%0af8A0CfD3/gNP/8AHqP+G2fHf/QJ8Pf+A0//AMeoA+26K+JP+G2fHf8A0CfD3/gNP/8AHqP+%0aG2fHf/QJ8Pf+A0//AMeoA+26K+JP+G2fHf8A0CfD3/gNP/8AHqP+G2fHf/QJ8Pf+A0//AMe%0aoA+26K+JP+G2fHf8A0CfD3/gNP/8AHqP+G2fHf/QJ8Pf+A0//AMeoA+26K+JP+G2fHf8A0C%0afD3/gNP/8AHqP+G2fHf/QJ8Pf+A0//AMeoA+26K+JP+G2fHf8A0CfD3/gNP/8AHqP+G2fHf%0a/QJ8Pf+A0//AMeoA+26K+JP+G2fHf8A0CfD3/gNP/8AHqP+G2fHf/QJ8Pf+A0//AMeoA+26%0aK+JP+G2fHf8A0CfD3/gNP/8AHqP+G2fHf/QJ8Pf+A0//AMeoA+26K+JP+G2fHf8A0CfD3/g%0aNP/8AHqP+G2fHf/QJ8Pf+A0//AMeoA+26K+JP+G2fHf8A0CfD3/gNP/8AHqP+G2fHf/QJ8P%0af+A0//AMeoA+26K+JP+G2fHf8A0CfD3/gNP/8AHqP+G2fHf/QJ8Pf+A0//AMeoA+26K+JP+%0aG2fHf8A0CfD3/gNP/8AHqP+G2fHf/QJ8Pf+A0//AMeoA+26K+JP+G2fHf8A0CfD3/gNP/8A%0aHqP+G2fHf/QJ8Pf+A0//AMeoA+26K+JP+G2fHf8A0CfD3/gNP/8AHqP+G2fHf/QJ8Pf+A0/%0a/AMeoA+26K+JP+G2fHf8A0CfD3/gNP/8AHqP+G2fHf/QJ8Pf+A0//AMeoA+26K+JP+G2fHf%0a8A0CfD3/gNP/8AHqP+G2fHf/QJ8Pf+A0//AMeoA+26K+JP+G2fHf8A0CfD3/gNP/8AHqP+G%0a2fHf/QJ8Pf+A0//AMeoA+26K+JP+G2fHf8A0CfD3/gNP/8AHqP+G2fHf/QJ8Pf+A0//AMeo%0aA+26K+JP+G2fHf8A0CfD3/gNP/8AHqP+G2fHf/QJ8Pf+A0//AMeoA+26K+JP+G2fHf8A0Cf%0aD3/gNP/8AHqP+G2fHf/QJ8Pf+A0//AMeoA+26K+JP+G2fHf8A0CfD3/gNP/8AHqP+G2fHf/%0aQJ8Pf+A0//AMeoA+26K+JP+G2fHf8A0CfD3/gNP/8AHqP+G2fHf/QJ8Pf+A0//AMeoA+26K%0a+JP+G2fHf8A0CfD3/gNP/8AHqP+G2fHf/QJ8Pf+A0//AMeoA+26K+JP+G2fHf8A0CfD3/gN%0aP/8AHqP+G2fHf/QJ8Pf+A0//AMeoA+26K+JP+G2fHf8A0CfD3/gNP/8AHqP+G2fHf/QJ8Pf%0a+A0//AMeoA+26K+JP+G2fHf8A0CfD3/gNP/8AHqP+G2fHf/QJ8Pf+A0//AMeoA+26K+JP+G%0a2fHf8A0CfD3/gNP/8AHqP+G2fHf/QJ8Pf+A0//AMeoA+26K+JP+G2fHf8A0CfD3/gNP/8AH%0aqP+G2fHf/QJ8Pf+A0//AMeoA+26K+JP+G2fHf8A0CfD3/gNP/8AHqP+G2fHf/QJ8Pf+A0//%0aAMeoA+26K+JP+G2fHf8A0CfD3/gNP/8AHqP+G2fHf/QJ8Pf+A0//AMeoA+26K+JP+G2fHf8%0aA0CfD3/gNP/8AHqP+G2fHf/QJ8Pf+A0//AMeoA+26K+JP+G2fHf8A0CfD3/gNP/8AHqP+G2%0afHf/QJ8Pf+A0//AMeoA+26K+JP+G2fHf8A0CfD3/gNP/8AHqP+G2fHf/QJ8Pf+A0//AMeoA%0a+26K+JP+G2fHf8A0CfD3/gNP/8AHqP+G2fHf/QJ8Pf+A0//AMeoA+26K+JP+G2fHf8A0CfD%0a3/gNP/8AHqP+G2fHf/QJ8Pf+A0//AMeoA+26K+JP+G2fHf8A0CfD3/gNP/8AHqP+G2fHf/Q%0aJ8Pf+A0//AMeoA+26K+JP+G2fHf8A0CfD3/gNP/8AHqP+G2fHf/QJ8Pf+A0//AMeoA+26K+%0aJP+G2fHf8A0CfD3/gNP/8AHqP+G2fHf/QJ8Pf+A0//AMeoA+26K+JP+G2fHf8A0CfD3/gNP%0a/8AHqP+G2fHf/QJ8Pf+A0//AMeoA+26K+JP+G2fHf8A0CfD3/gNP/8AHqP+G2fHf/QJ8Pf+%0aA0//AMeoA+26K+JP+G2fHf8A0CfD3/gNP/8AHqP+G2fHf/QJ8Pf+A0//AMeoA+26K+JP+G2%0afHf8A0CfD3/gNP/8AHqP+G2fHf/QJ8Pf+A0//AMeoA+26K+JP+G2fHf8A0CfD3/gNP/8AHq%0aP+G2fHf/QJ8Pf+A0//AMeoA+26K+JP+G2fHf8A0CfD3/gNP/8AHqP+G2fHf/QJ8Pf+A0//A%0aMeoA+26K+JP+G2fHf8A0CfD3/gNP/8AHqP+G2fHf/QJ8Pf+A0//AMeoA+26K+JP+G2fHf8A%0a0CfD3/gNP/8AHqP+G2fHf/QJ8Pf+A0//AMeoA+26K+JP+G2fHf8A0CfD3/gNP/8AHqP+G2f%0aHf/QJ8Pf+A0//AMeoA+26K+JP+G2fHf8A0CfD3/gNP/8AHqX/AIbZ8ef9Anw9/wCA0/8A8e%0aoA+2q5D4vyLH8J/GZdggOjXign1MLgD8yK+Vh+2v46PXSvD3/gNP8A/Hq5X4iftGeMfido5%0a0rUHs7DTXIMtvp0TIJsHIDFmYkA84yBwPSgDyqGB/76/wDfP/16txwyZ++v/fP/ANelRMYq%0awi4FO4rDBE+Pvr/3z/8AXo8qT++v/fP/ANepqKLhYh8qT++v/fP/ANejypP76/8AfP8A9ep%0aqKLhYKKKKQxCM1GyZ+tS0mM0AV2SozCD2q2VpDGPSgCn5Ao8ge9W9g9KTy/rQBV8ge9HkD3%0aq15f1o8v60AVfIHvR5A96teX9aPL+tAFXyB70eQPerXl/Wjy/rQBV8ge9HkD3q15f1o8v60%0aAVfIHvR5A96teX9aPL+tAFXyB70eQPerXl/Wjy/rQBV8ge9HkD3q15f1o8v60AVfIHvR5A9%0a6teX9aPL+tAFXyB70eQPerXl/Wjy/rQBV8ge9HkD3q15f1o8v60AVfIHvR5A96teX9aPL+t%0aAFXyB70eQPerXl/Wjy/rQBV8ge9HkD3q15f1o8v60AVfIHvR5A96teX9aPL+tAFXyB70eQP%0aerXl/Wjy/rQBV8ge9HkD3q15f1o8v60AVfIHvR5A96teX9aPL+tAFXyB70eQPerXl/Wjy/r%0aQBV8ge9HkD3q15f1o8v60AVfIHvR5A96teX9aPL+tAFXyB70eQPerXl/Wjy/rQBV8ge9HkD%0a3q15f1o8v60AVfIHvR5A96teX9aPL+tAFXyB70eQPerXl/Wjy/rQBV8ge9HkD3q15f1o8v6%0a0AVfIHvR5A96teX9aPL+tAFXyB70eQPerXl/Wjy/rQBV8ge9HkD3q15f1o8v60AVfIHvR5A%0a96teX9aPL+tAFXyB70eQPerXl/Wjy/rQBV8ge9HkD3q15f1o8v60AVfIHvR5A96teX9aPL+%0atAFXyB70eQPerXl/Wjy/rQBV8ge9HkD3q15f1o8v60AVfIHvR5A96teX9aPL+tAFXyB70eQ%0aPerXl/Wjy/rQBV8ge9HkD3q15f1o8v60AVfIHvR5A96teX9aPL+tAFXyB70eQPerXl/Wjy/%0arQBV8ge9HkD3q15f1o8v60AVfIHvR5A96teX9aPL+tAFXyB70eQPerXl/Wjy/rQBV8ge9Hk%0aD3q15f1o8v60AVfIHvR5A96teX9aPL+tAFXyB70eQPerXl/Wjy/rQBV8ge9HkD3q15f1o8v%0a60AVfIHvR5A96teX9aPL+tAFXyB70eQPerXl/Wjy/rQBV8ge9HkD3q15f1o8v60AVfIHvR5%0aA96teX9aPL+tAFXyB70eQPerXl/Wjy/rQBV8ge9HkD3q15f1o8v60AVfIHvR5A96teX9aPL%0a+tAFXyB70eQPerXl/Wjy/rQBV8ge9HkD3q15f1o8v60AVfIHvR5A96teX9aPL+tAFXyB70e%0aQPerXl/Wjy/rQBV8ge9HkD3q15f1o8v60AVfIHvR5A96teX9aPL+tAFXyB70eQPerXl/Wjy%0a/rQBV8ge9HkD3q15f1o8v60AVfIHvR5A96teX9aPL+tAFXyB70eQPerXl/Wjy/rQBV8ge9H%0akD3q15f1o8v60AVfIHvR5A96teX9aPL+tAFXyB70eQPerXl/Wjy/rQBV8ge9HkD3q15f1o8%0av60AVfIHvR5A96teX9aPL+tAFXyB70eQPerXl/Wjy/rQBV8ge9HkD3q15f1o8v60AVfIHvR%0a5A96teX9aPL+tAFXyB70eQPerXl/Wjy/rQBV8ge9HkD3q15f1o8v60AVfIHvR5A96teX9aP%0aL+tAFXyB70eQPerXl/Wjy/rQBV8ge9HkD3q15f1o8v60AVfIHvR5A96teX9aPL+tAFXyB70%0aeQPerXl/Wjy/rQBV8ge9HkCrXl/Wl2D0oArCEDtUipUwjHpShaAGKmPrUgGKMYpaACiiigA%0aooooA/9k="/>
        <xdr:cNvSpPr>
          <a:spLocks noChangeAspect="1" noChangeArrowheads="1"/>
        </xdr:cNvSpPr>
      </xdr:nvSpPr>
      <xdr:spPr>
        <a:xfrm>
          <a:off x="15087600" y="5334000"/>
          <a:ext cx="304800" cy="3016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36793</xdr:colOff>
      <xdr:row>35</xdr:row>
      <xdr:rowOff>73438</xdr:rowOff>
    </xdr:from>
    <xdr:to>
      <xdr:col>12</xdr:col>
      <xdr:colOff>342153</xdr:colOff>
      <xdr:row>52</xdr:row>
      <xdr:rowOff>9298</xdr:rowOff>
    </xdr:to>
    <xdr:pic>
      <xdr:nvPicPr>
        <xdr:cNvPr id="6" name="图片 5" descr="C:\Users\wangruyi02\Documents\Baidu\Baidu Hi\bcca58cb31d4dd55\My Images\97\973D0C885967F0A63576E9DA0C983603.jpg"/>
        <xdr:cNvPicPr>
          <a:picLocks noChangeAspect="1" noChangeArrowheads="1"/>
        </xdr:cNvPicPr>
      </xdr:nvPicPr>
      <xdr:blipFill>
        <a:blip r:embed="rId1" cstate="print">
          <a:extLst>
            <a:ext uri="{28A0092B-C50C-407E-A947-70E740481C1C}">
              <a14:useLocalDpi xmlns:a14="http://schemas.microsoft.com/office/drawing/2010/main" val="0"/>
            </a:ext>
          </a:extLst>
        </a:blip>
        <a:srcRect/>
        <a:stretch>
          <a:fillRect/>
        </a:stretch>
      </xdr:blipFill>
      <xdr:spPr>
        <a:xfrm>
          <a:off x="721995" y="6321425"/>
          <a:ext cx="7969885" cy="295846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53</xdr:row>
      <xdr:rowOff>64061</xdr:rowOff>
    </xdr:from>
    <xdr:to>
      <xdr:col>12</xdr:col>
      <xdr:colOff>452634</xdr:colOff>
      <xdr:row>66</xdr:row>
      <xdr:rowOff>112060</xdr:rowOff>
    </xdr:to>
    <xdr:pic>
      <xdr:nvPicPr>
        <xdr:cNvPr id="7" name="图片 6" descr="C:\Users\wangruyi02\Documents\Baidu\Baidu Hi\bcca58cb31d4dd55\My Images\2F\2FEC1CB5842DF8A92AD53B7C5BF9A54A.jpg"/>
        <xdr:cNvPicPr>
          <a:picLocks noChangeAspect="1" noChangeArrowheads="1"/>
        </xdr:cNvPicPr>
      </xdr:nvPicPr>
      <xdr:blipFill>
        <a:blip r:embed="rId2">
          <a:extLst>
            <a:ext uri="{28A0092B-C50C-407E-A947-70E740481C1C}">
              <a14:useLocalDpi xmlns:a14="http://schemas.microsoft.com/office/drawing/2010/main" val="0"/>
            </a:ext>
          </a:extLst>
        </a:blip>
        <a:srcRect/>
        <a:stretch>
          <a:fillRect/>
        </a:stretch>
      </xdr:blipFill>
      <xdr:spPr>
        <a:xfrm>
          <a:off x="685800" y="9512300"/>
          <a:ext cx="8116570" cy="23596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44450</xdr:colOff>
      <xdr:row>81</xdr:row>
      <xdr:rowOff>101601</xdr:rowOff>
    </xdr:from>
    <xdr:to>
      <xdr:col>11</xdr:col>
      <xdr:colOff>628483</xdr:colOff>
      <xdr:row>96</xdr:row>
      <xdr:rowOff>53976</xdr:rowOff>
    </xdr:to>
    <xdr:pic>
      <xdr:nvPicPr>
        <xdr:cNvPr id="11" name="图片 10" descr="C:\Users\wangruyi02\Documents\Baidu\Baidu Hi\bcca58cb31d4dd55\My Images\26\26423E9688A25D7D700FAF5E6DBE47BD.jpg"/>
        <xdr:cNvPicPr>
          <a:picLocks noChangeAspect="1" noChangeArrowheads="1"/>
        </xdr:cNvPicPr>
      </xdr:nvPicPr>
      <xdr:blipFill>
        <a:blip r:embed="rId3">
          <a:extLst>
            <a:ext uri="{28A0092B-C50C-407E-A947-70E740481C1C}">
              <a14:useLocalDpi xmlns:a14="http://schemas.microsoft.com/office/drawing/2010/main" val="0"/>
            </a:ext>
          </a:extLst>
        </a:blip>
        <a:srcRect/>
        <a:stretch>
          <a:fillRect/>
        </a:stretch>
      </xdr:blipFill>
      <xdr:spPr>
        <a:xfrm>
          <a:off x="730250" y="14630400"/>
          <a:ext cx="7562215" cy="26193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19</xdr:col>
      <xdr:colOff>285750</xdr:colOff>
      <xdr:row>77</xdr:row>
      <xdr:rowOff>0</xdr:rowOff>
    </xdr:from>
    <xdr:to>
      <xdr:col>19</xdr:col>
      <xdr:colOff>590550</xdr:colOff>
      <xdr:row>78</xdr:row>
      <xdr:rowOff>111125</xdr:rowOff>
    </xdr:to>
    <xdr:sp>
      <xdr:nvSpPr>
        <xdr:cNvPr id="4102" name="AutoShape 6" descr="data:image/jpg;base64,/9j/4AAQSkZJRgABAQEAYABgAAD/2wBDAAMCAgMCAgMDAwMEAwMEBQgFBQQEBQoHBwYIDAoM%0aDAsKCwsNDhIQDQ4RDgsLEBYQERMUFRUVDA8XGBYUGBIUFRT/2wBDAQMEBAUEBQkFBQkUDQs%0aNFBQUFBQUFBQUFBQUFBQUFBQUFBQUFBQUFBQUFBQUFBQUFBQUFBQUFBQUFBQUFBQUFBT/wA%0aARCAHfBTwDASIAAhEBAxEB/8QAHwAAAQUBAQEBAQEAAAAAAAAAAAECAwQFBgcICQoL/8QAt%0aRAAAgEDAwIEAwUFBAQAAAF9AQIDAAQRBRIhMUEGE1FhByJxFDKBkaEII0KxwRVS0fAkM2Jy%0aggkKFhcYGRolJicoKSo0NTY3ODk6Q0RFRkdISUpTVFVWV1hZWmNkZWZnaGlqc3R1dnd4eXq%0aDhIWGh4iJipKTlJWWl5iZmqKjpKWmp6ipqrKztLW2t7i5usLDxMXGx8jJytLT1NXW19jZ2u%0aHi4+Tl5ufo6erx8vP09fb3+Pn6/8QAHwEAAwEBAQEBAQEBAQAAAAAAAAECAwQFBgcICQoL/%0a8QAtREAAgECBAQDBAcFBAQAAQJ3AAECAxEEBSExBhJBUQdhcRMiMoEIFEKRobHBCSMzUvAV%0aYnLRChYkNOEl8RcYGRomJygpKjU2Nzg5OkNERUZHSElKU1RVVldYWVpjZGVmZ2hpanN0dXZ%0a3eHl6goOEhYaHiImKkpOUlZaXmJmaoqOkpaanqKmqsrO0tba3uLm6wsPExcbHyMnK0tPU1d%0abX2Nna4uPk5ebn6Onq8vP09fb3+Pn6/9oADAMBAAIRAxEAPwDC/wCFX6V/z8Xn/faf/E0f8%0aKv0r/n4vP8AvtP/AImupw//AD0b8h/hRh/+ejfkP8K7fruI/nf9fI5PqlD+Rf18zlv+FX6V%0a/wA/F5/32n/xNJ/wq/Sh/wAvF5/32n/xNdSS4/5aN+Q/wqNnYf8ALRvyH+FH13Efzv8Ar5B%0a9UofyL+vmc1/wrDSv+fi8/wC+0/8AiaT/AIVhpX/Pe8/77T/4muiLv/z1b8h/hTS7D/lo35%0aD/AAo+u4j+d/18g+qUP5F/XzOf/wCFY6UP+Xi8/wC+0/8AiaT/AIVlpX/Pxd/99p/8TXQ+Y%0a3/PVvyH+FHmN/z1b8h/hR9dxH87/r5B9UofyL+vmc9/wrLSv+fi7/77T/4mj/hWWlf8/F3/%0aAN9p/wDE10PmN/z1b8h/hR5jf89W/If4UfXcR/O/6+QfVKH8i/r5nPf8Ky0r/n4u/wDvtP8%0aA4mmt8NNKVkH2i75OPvp6H/Zro/Mb/nq35D/CmPIdyfvD9729D7UfXcR/O/6+QfVKH8i/r5%0amD/wAKy0r/AJ+Lv/vtP/iaP+FZaV/z8Xf/AH2n/wATXQ+Y3/PVvyH+FHmN/wA9W/If4UfXc%0aR/O/wCvkH1Sh/Iv6+Zz3/CstK/5+Lv/AL7T/wCJo/4VlpX/AD8Xf/faf/E10PmN/wA9W/If%0a4UeY3/PVvyH+FH13Efzv+vkH1Sh/Iv6+Zz3/AArLSv8An4u/++0/+Jo/4VlpX/Pxd/8Afaf%0a/ABNdD5jf89W/If4UeY3/AD1b8h/hR9dxH87/AK+QfVKH8i/r5nPf8Ky0r/n4u/8AvtP/AI%0amj/hWWlf8APxd/99p/8TXQ+Y3/AD1b8h/hR5jf89W/If4UfXcR/O/6+QfVKH8i/r5nPf8AC%0astK/wCfi7/77T/4mj/hWWlf8/F3/wB9p/8AE10PmN/z1b8h/hR5jf8APVvyH+FH13Efzv8A%0ar5B9UofyL+vmc9/wrLSv+fi7/wC+0/8AiaP+FZaV/wA/F3/32n/xNdD5jf8APVvyH+FHmN/%0az1b8h/hR9dxH87/r5B9UofyL+vmc9/wAKy0r/AJ+Lv/vtP/iabJ8NNKVQRcXfUD76ev8Au1%0a0fmN/z1b8h/hTJJDtH7wn5h6ev0o+u4j+d/wBfIPqlD+Rf18zB/wCFZaV/z8Xf/faf/E0f8%0aKy0r/n4u/8AvtP/AImuh8xv+erfkP8ACjzG/wCerfkP8KPruI/nf9fIPqlD+Rf18znv+FZa%0aV/z8Xf8A32n/AMTR/wAKy0r/AJ+Lv/vtP/ia6HzG/wCerfkP8KPMb/nq35D/AAo+u4j+d/1%0a8g+qUP5F/XzOe/wCFZaV/z8Xf/faf/E0f8Ky0r/n4u/8AvtP/AImuh8xv+erfkP8ACjzG/w%0aCerfkP8KPruI/nf9fIPqlD+Rf18znv+FZaV/z8Xf8A32n/AMTR/wAKy0r/AJ+Lv/vtP/ia6%0aHzG/wCerfkP8KPMb/nq35D/AAo+u4j+d/18g+qUP5F/XzOe/wCFZaV/z8Xf/faf/E0f8Ky0%0ar/n4u/8AvtP/AImuh8xv+erfkP8ACjzG/wCerfkP8KPruI/nf9fIPqlD+Rf18znv+FZaV/z%0a8Xf8A32n/AMTR/wAKy0r/AJ+Lv/vtP/ia6HzG/wCerfkP8KPMb/nq35D/AAo+u4j+d/18g+%0aqUP5F/XzOe/wCFZaV/z8Xf/faf/E0f8Ky0r/n4u/8AvtP/AImuh8xv+erfkP8ACjzG/wCer%0afkP8KPruI/nf9fIPqlD+Rf18znv+FZaV/z8Xf8A32n/AMTR/wAKy0r/AJ+Lv/vtP/ia6HzG%0a/wCerfkP8KPMb/nq35D/AAo+u4j+d/18g+qUP5F/XzOe/wCFZaV/z8Xf/faf/E0f8Ky0r/n%0a4u/8AvtP/AImuh8xv+erfkP8ACjzG/wCerfkP8KPruI/nf9fIPqlD+Rf18znF+GmlMzj7Rd%0a8HH309B/s07/hWWlf8/F3/AN9p/wDE1vJIdz/vD9729B7U/wAxv+erfkP8KPruI/nf9fIPq%0alD+Rf18znv+FZaV/wA/F3/32n/xNH/CstK/5+Lv/vtP/ia6HzG/56t+Q/wo8xv+erfkP8KP%0aruI/nf8AXyD6pQ/kX9fM57/hWWlf8/F3/wB9p/8AE0f8Ky0r/n4u/wDvtP8A4muh8xv+erf%0akP8KPMb/nq35D/Cj67iP53/XyD6pQ/kX9fM57/hWWlf8APxd/99p/8TR/wrLSv+fi7/77T/%0a4muh8xv+erfkP8KPMb/nq35D/Cj67iP53/AF8g+qUP5F/XzOe/4VlpX/Pxd/8Afaf/ABNNj%0a+GmlMpJuLvqR99PX/dro/Mb/nq35D/CmRyHaf3hHzH09fpR9dxH87/r5B9UofyL+vmYP/Cs%0atK/5+Lv/AL7T/wCJo/4VlpX/AD8Xf/faf/E10PmN/wA9W/If4UeY3/PVvyH+FH13Efzv+vk%0aH1Sh/Iv6+Zz3/AArLSv8An4u/++0/+Jo/4VlpX/Pxd/8Afaf/ABNdD5jf89W/If4UeY3/AD%0a1b8h/hR9dxH87/AK+QfVKH8i/r5nPf8Ky0r/n4u/8AvtP/AImj/hWWlf8APxd/99p/8TXQ+%0aY3/AD1b8h/hR5jf89W/If4UfXcR/O/6+QfVKH8i/r5nPf8ACstK/wCfi7/77T/4mj/hWWlf%0a8/F3/wB9p/8AE10PmN/z1b8h/hR5jf8APVvyH+FH13Efzv8Ar5B9UofyL+vmc9/wrLSv+fi%0a7/wC+0/8AiaP+FZaV/wA/F3/32n/xNdD5jf8APVvyH+FHmN/z1b8h/hR9dxH87/r5B9Uofy%0aL+vmc9/wAKy0r/AJ+Lv/vtP/iaP+FZaV/z8Xf/AH2n/wATXQ+Y3/PVvyH+FHmN/wA9W/If4%0aUfXcR/O/wCvkH1Sh/Iv6+Zz3/CstK/5+Lv/AL7T/wCJo/4VlpX/AD8Xf/faf/E10PmN/wA9%0aW/If4UeY3/PVvyH+FH13Efzv+vkH1Sh/Iv6+Zz3/AArLSv8An4u/++0/+Jo/4VlpX/Pxd/8%0aAfaf/ABNdD5jf89W/If4UeY3/AD1b8h/hR9dxH87/AK+QfVKH8i/r5nPf8Ky0r/n4u/8Avt%0aP/AImj/hWWlf8APxd/99p/8TXQ+Y3/AD1b8h/hR5jf89W/If4UfXcR/O/6+QfVKH8i/r5nP%0af8ACstK/wCfi7/77T/4mmt8NNKVkH2i75OPvp6H/Zro/Mb/AJ6t+Q/wpjyHcn7w/e9vQ+1H%0a13Efzv8Ar5B9UofyL+vmYP8AwrLSv+fi7/77T/4mj/hWWlf8/F3/AN9p/wDE10PmN/z1b8h%0a/hR5jf89W/If4UfXcR/O/6+QfVKH8i/r5nPf8Ky0r/n4u/wDvtP8A4mj/AIVlpX/Pxd/99p%0a/8TXQ+Y3/PVvyH+FHmN/z1b8h/hR9dxH87/r5B9UofyL+vmc9/wrLSv+fi7/77T/4mj/hWW%0alf8/F3/AN9p/wDE10PmN/z1b8h/hR5jf89W/If4UfXcR/O/6+QfVKH8i/r5nPf8Ky0r/n4u%0a/wDvtP8A4mj/AIVlpX/Pxd/99p/8TXQ+Y3/PVvyH+FHmN/z1b8h/hR9dxH87/r5B9UofyL+%0avmc9/wrLSv+fi7/77T/4mmyfDTSkjZhcXeQCfvp/8TXR+Y3/PVvyH+FMlkPlP+8J+U8cf4U%0afXcR/O/wCvkH1Sh/Iv6+Zg/wDCstK/5+Lv/vtP/iaP+FZaV/z8Xf8A32n/AMTXQ+Y3/PVvy%0aH+FHmN/z1b8h/hR9dxH87/r5B9UofyL+vmc9/wrLSv+fi7/AO+0/wDiaP8AhWWlf8/F3/32%0an/xNdD5jf89W/If4UeY3/PVvyH+FH13Efzv+vkH1Sh/Iv6+Zz3/CstK/5+Lv/vtP/iaP+FZ%0aaV/z8Xf8A32n/AMTXQ+Y3/PVvyH+FHmN/z1b8h/hR9dxH87/r5B9UofyL+vmc9/wrLSv+fi%0a7/AO+0/wDiaP8AhWWlf8/F3/32n/xNdD5jf89W/If4UeY3/PVvyH+FH13Efzv+vkH1Sh/Iv%0a6+Zz3/CstK/5+Lv/vtP/iaP+FZaV/z8Xf8A32n/AMTXQ+Y3/PVvyH+FHmN/z1b8h/hR9dxH%0a87/r5B9UofyL+vmc9/wrLSv+fi7/AO+0/wDiaP8AhWWlf8/F3/32n/xNdD5jf89W/If4UeY%0a3/PVvyH+FH13Efzv+vkH1Sh/Iv6+Zz3/CstK/5+Lv/vtP/iaP+FZaV/z8Xf8A32n/AMTXQ+%0aY3/PVvyH+FHmN/z1b8h/hR9dxH87/r5B9UofyL+vmc43w00pWQfaLvk4++nof9mnf8Ky0r/%0an4u/wDvtP8A4mt55DuT94fve3ofan+Y3/PVvyH+FH13Efzv+vkH1Sh/Iv6+Zz3/AArLSv8A%0an4u/++0/+Jo/4VlpX/Pxd/8Afaf/ABNdD5jf89W/If4UeY3/AD1b8h/hR9dxH87/AK+QfVK%0aH8i/r5nPf8Ky0r/n4u/8AvtP/AImj/hWWlf8APxd/99p/8TXQ+Y3/AD1b8h/hR5jf89W/If%0a4UfXcR/O/6+QfVKH8i/r5nPf8ACstK/wCfi7/77T/4mj/hWWlf8/F3/wB9p/8AE10PmN/z1%0ab8h/hR5jf8APVvyH+FH13Efzv8Ar5B9UofyL+vmc9/wrLSv+fi7/wC+0/8AiaP+FZaV/wA/%0aF3/32n/xNdD5jf8APVvyH+FHmN/z1b8h/hR9dxH87/r5B9UofyL+vmc9/wAKy0r/AJ+Lv/v%0atP/iaP+FZaV/z8Xf/AH2n/wATXQ+Y3/PVvyH+FHmN/wA9W/If4UfXcR/O/wCvkH1Sh/Iv6+%0aZzkfw00plJNxd9SPvp6/7tO/4VlpX/AD8Xf/faf/E1vRyHaf3hHzH09fpT/Mb/AJ6t+Q/wo%0a+u4j+d/18g+qUP5F/XzOe/4VlpX/Pxd/wDfaf8AxNH/AArLSv8An4u/++0/+JrofMb/AJ6t%0a+Q/wo8xv+erfkP8ACj67iP53/XyD6pQ/kX9fM57/AIVlpX/Pxd/99p/8TR/wrLSv+fi7/wC%0a+0/8Aia6HzG/56t+Q/wAKPMb/AJ6t+Q/wo+u4j+d/18g+qUP5F/XzOe/4VlpX/Pxd/wDfaf%0a8AxNNX4aaUzOPtF3wcffT0H+zXR+Y3/PVvyH+FMSQ7n/eH73t6D2o+u4j+d/18g+qUP5F/X%0azMH/hWWlf8APxd/99p/8TR/wrLSv+fi7/77T/4muh8xv+erfkP8KPMb/nq35D/Cj67iP53/%0aAF8g+qUP5F/XzOe/4VlpX/Pxd/8Afaf/ABNH/CstK/5+Lv8A77T/AOJrofMb/nq35D/CjzG%0a/56t+Q/wo+u4j+d/18g+qUP5F/XzOe/4VlpX/AD8Xf/faf/E01fhppTM4+0XfBx99PQf7Nd%0aH5jf8APVvyH+FMSQ7n/eH73t6D2o+u4j+d/wBfIPqlD+Rf18zB/wCFZaV/z8Xf/faf/E0f8%0aKy0r/n4u/8AvtP/AImuh8xv+erfkP8ACjzG/wCerfkP8KPruI/nf9fIPqlD+Rf18znv+FZa%0aV/z8Xf8A32n/AMTR/wAKy0r/AJ+Lv/vtP/ia6HzG/wCerfkP8KPMb/nq35D/AAo+u4j+d/1%0a8g+qUP5F/XzOe/wCFZaV/z8Xf/faf/E0f8Ky0r/n4u/8AvtP/AImuh8xv+erfkP8ACjzG/w%0aCerfkP8KPruI/nf9fIPqlD+Rf18znv+FZaV/z8Xf8A32n/AMTR/wAKy0r/AJ+Lv/vtP/ia6%0aHzG/wCerfkP8KPMb/nq35D/AAo+u4j+d/18g+qUP5F/XzOe/wCFZaV/z8Xf/faf/E0f8Ky0%0ar/n4u/8AvtP/AImuh8xv+erfkP8ACjzG/wCerfkP8KPruI/nf9fIPqlD+Rf18znv+FZaV/z%0a8Xf8A32n/AMTR/wAKy0r/AJ+Lv/vtP/ia6HzG/wCerfkP8KPMb/nq35D/AAo+u4j+d/18g+%0aqUP5F/XzOe/wCFZaV/z8Xf/faf/E0f8Ky0r/n4u/8AvtP/AImuh8xv+erfkP8ACjzG/wCer%0afkP8KPruI/nf9fIPqlD+Rf18znv+FZaV/z8Xf8A32n/AMTR/wAKy0r/AJ+Lv/vtP/ia6HzG%0a/wCerfkP8KPMb/nq35D/AAo+u4j+d/18g+qUP5F/XzOe/wCFZaV/z8Xf/faf/E0f8Ky0r/n%0a4u/8AvtP/AImuh8xv+erfkP8ACjzG/wCerfkP8KPruI/nf9fIPqlD+Rf18znv+FZaV/z8Xf%0a8A32n/AMTR/wAKy0r/AJ+Lv/vtP/ia6HzG/wCerfkP8KPMb/nq35D/AAo+u4j+d/18g+qUP%0a5F/XzOe/wCFZaV/z8Xf/faf/E0f8Ky0r/n4u/8AvtP/AImuh8xv+erfkP8ACjzG/wCerfkP%0a8KPruI/nf9fIPqlD+Rf18znv+FZaV/z8Xf8A32n/AMTR/wAKy0r/AJ+Lv/vtP/ia6HzG/wC%0aerfkP8KPMb/nq35D/AAo+u4j+d/18g+qUP5F/XzOe/wCFZaV/z8Xf/faf/E0f8Ky0r/n4u/%0a8AvtP/AImuh8xv+erfkP8ACjzG/wCerfkP8KPruI/nf9fIPqlD+Rf18znv+FZaV/z8Xf8A3%0a2n/AMTTY/hppTxqxuLvJAP30/8Aia6PzG/56t+Q/wAKZFIfKT94R8o44/wo+u4j+d/18g+q%0aUP5F/XzMH/hWWlf8/F3/AN9p/wDE0f8ACstK/wCfi7/77T/4muh8xv8Anq35D/CjzG/56t+%0aQ/wAKPruI/nf9fIPqlD+Rf18znv8AhWWlf8/F3/32n/xNH/CstK/5+Lv/AL7T/wCJrofMb/%0anq35D/AAo8xv8Anq35D/Cj67iP53/XyD6pQ/kX9fM57/hWWlf8/F3/AN9p/wDE0f8ACstK/%0awCfi7/77T/4muh8xv8Anq35D/CjzG/56t+Q/wAKPruI/nf9fIPqlD+Rf18znv8AhWWlf8/F%0a3/32n/xNH/CstK/5+Lv/AL7T/wCJrofMb/nq35D/AAo8xv8Anq35D/Cj67iP53/XyD6pQ/k%0aX9fM57/hWWlf8/F3/AN9p/wDE02P4aaU8asbi7yQD99P/AImuj8xv+erfkP8ACmRSHyk/eE%0afKOOP8KPruI/nf9fIPqlD+Rf18zB/4VlpX/Pxd/wDfaf8AxNH/AArLSv8An4u/++0/+Jrof%0aMb/AJ6t+Q/wo8xv+erfkP8ACj67iP53/XyD6pQ/kX9fM5//AIVjpR/5eLz/AL7T/wCJo/4V%0ahpX/AD3vP++0/wDia6DzG/56t+Q/woDsf+WjfkP8KPruI/nf9fIPqlD+Rf18zA/4VhpX/Px%0aef99p/wDE0f8ACr9K/wCfi8/77T/4muhDv/z1b8h/hTw7/wDPRv0/wo+u4j+d/wBfIPqlD+%0aRf18yegnAqgNdsTdC3847zJ5O7Y2zfjO3fjbn2zSX2uWdhK0c0pDIoZ9sbOEB6FiAQv44rl%0a9nO9rHRzx3uW5G7VAzFmCqCzE4CjqTUF9qdvZLGZZDmU4RY1Ls/GeAoJPFe2fsY2Gm+Kfis%0abyREuksdOlu7fcvCyiSOMHB6EB29wcdxS5Xa9tB8yva+p54nwu8bzxrJH4P1+SNhlWTS5yC%0aPY7aafhT45/6EvxF/4Kp//iK/TKipGfmZ/wAKo8df9CV4i/8ABVP/APEUf8Ko8df9CV4i/w%0aDBVP8A/EV+mdFAWPzM/wCFUeOv+hK8Rf8Agqn/APiKP+FUeOv+hK8Rf+Cqf/4iv0zooCx+Z%0an/CqPHX/QleIv8AwVT/APxFNf4UeOtyf8UV4i6/9Aqf0P8AsV+mtFAWPzM/4VR46/6ErxF/%0a4Kp//iKP+FUeOv8AoSvEX/gqn/8AiK/TOigLH5mf8Ko8df8AQleIv/BVP/8AEUf8Ko8df9C%0aV4i/8FU//AMRX6Z0UBY/Mz/hVHjr/AKErxF/4Kp//AIij/hVHjr/oSvEX/gqn/wDiK/TOig%0aLH5mf8Ko8df9CV4i/8FU//AMRR/wAKo8df9CV4i/8ABVP/APEV+mdFAWPzM/4VR46/6ErxF%0a/4Kp/8A4ij/AIVR46/6ErxF/wCCqf8A+Ir9M6KAsfmZ/wAKo8df9CV4i/8ABVP/APEUf8Ko%0a8df9CV4i/wDBVP8A/EV+mdFAWPzM/wCFUeOv+hK8Rf8Agqn/APiKbJ8KPHRUY8FeIuo/5hU%0a/r/uV+mtFAWPzM/4VR46/6ErxF/4Kp/8A4ij/AIVR46/6ErxF/wCCqf8A+Ir9M6KAsfmZ/w%0aAKo8df9CV4i/8ABVP/APEUf8Ko8df9CV4i/wDBVP8A/EV+mdFAWPzM/wCFUeOv+hK8Rf8Ag%0aqn/APiKP+FUeOv+hK8Rf+Cqf/4iv0zooCx+Zn/CqPHX/QleIv8AwVT/APxFH/CqPHX/AEJX%0aiL/wVT//ABFfpnRQFj8zP+FUeOv+hK8Rf+Cqf/4ij/hVHjr/AKErxF/4Kp//AIiv0zooCx+%0aZn/CqPHX/AEJXiL/wVT//ABFH/CqPHX/QleIv/BVP/wDEV+mdFAWPzM/4VR46/wChK8Rf+C%0aqf/wCIo/4VR46/6ErxF/4Kp/8A4iv0zooCx+Zn/CqPHX/QleIv/BVP/wDEUf8ACqPHX/Qle%0aIv/AAVT/wDxFfpnRQFj8zP+FUeOv+hK8Rf+Cqf/AOIo/wCFUeOv+hK8Rf8Agqn/APiK/TOi%0agLH5lJ8KPHW5/wDiivEXX/oFT+g/2Kd/wqjx1/0JXiL/AMFU/wD8RX6Z0UBY/Mz/AIVR46/%0a6ErxF/wCCqf8A+Io/4VR46/6ErxF/4Kp//iK/TOigLH5mf8Ko8df9CV4i/wDBVP8A/EUf8K%0ao8df8AQleIv/BVP/8AEV+mdFAWPzM/4VR46/6ErxF/4Kp//iKP+FUeOv8AoSvEX/gqn/8Ai%0aK/TOigLH5mf8Ko8df8AQleIv/BVP/8AEU2P4UeOgpz4K8RdT/zCp/X/AHK/TWigLH5mf8Ko%0a8df9CV4i/wDBVP8A/EUf8Ko8df8AQleIv/BVP/8AEV+mdFAWPzM/4VR46/6ErxF/4Kp//iK%0aP+FUeOv8AoSvEX/gqn/8AiK/TOigLH5mf8Ko8df8AQleIv/BVP/8AEUf8Ko8df9CV4i/8FU%0a//AMRX6Z0UBY/Mz/hVHjr/AKErxF/4Kp//AIij/hVHjr/oSvEX/gqn/wDiK/TOigLH5mf8K%0ao8df9CV4i/8FU//AMRR/wAKo8df9CV4i/8ABVP/APEV+mdFAWPzM/4VR46/6ErxF/4Kp/8A%0a4ij/AIVR46/6ErxF/wCCqf8A+Ir9M6KAsfmZ/wAKo8df9CV4i/8ABVP/APEUf8Ko8df9CV4%0ai/wDBVP8A/EV+mdFAWPzM/wCFUeOv+hK8Rf8Agqn/APiKP+FUeOv+hK8Rf+Cqf/4iv0zooC%0ax+Zn/CqPHX/QleIv8AwVT/APxFH/CqPHX/AEJXiL/wVT//ABFfpnRQFj8zP+FUeOv+hK8Rf%0a+Cqf/4imv8ACjx1uT/iivEXX/oFT+h/2K/TWigLH5mf8Ko8df8AQleIv/BVP/8AEUf8Ko8d%0af9CV4i/8FU//AMRX6Z0UBY/Mz/hVHjr/AKErxF/4Kp//AIij/hVHjr/oSvEX/gqn/wDiK/T%0aOigLH5mf8Ko8df9CV4i/8FU//AMRR/wAKo8df9CV4i/8ABVP/APEV+mdFAWPzM/4VR46/6E%0arxF/4Kp/8A4ij/AIVR46/6ErxF/wCCqf8A+Ir9M6KAsfmZ/wAKo8df9CV4i/8ABVP/APEU2%0aX4UeOjG+PBXiInB/wCYVP8A/EV+mtFAWPzM/wCFUeOv+hK8Rf8Agqn/APiKP+FUeOv+hK8R%0af+Cqf/4iv0zooCx+Zn/CqPHX/QleIv8AwVT/APxFH/CqPHX/AEJXiL/wVT//ABFfpnRQFj8%0azP+FUeOv+hK8Rf+Cqf/4ij/hVHjr/AKErxF/4Kp//AIiv0zooCx+Zn/CqPHX/AEJXiL/wVT%0a//ABFH/CqPHX/QleIv/BVP/wDEV+mdFAWPzM/4VR46/wChK8Rf+Cqf/wCIo/4VR46/6ErxF%0a/4Kp/8A4iv0zooCx+Zn/CqPHX/QleIv/BVP/wDEUf8ACqPHX/QleIv/AAVT/wDxFfpnRQFj%0a8zP+FUeOv+hK8Rf+Cqf/AOIo/wCFUeOv+hK8Rf8Agqn/APiK/TOigLH5lP8ACjx1uT/iivE%0aXX/oFT+h/2Kd/wqjx1/0JXiL/AMFU/wD8RX6Z0UBY/Mz/AIVR46/6ErxF/wCCqf8A+Io/4V%0aR46/6ErxF/4Kp//iK/TOigLH5mf8Ko8df9CV4i/wDBVP8A/EUf8Ko8df8AQleIv/BVP/8AE%0aV+mdFAWPzM/4VR46/6ErxF/4Kp//iKP+FUeOv8AoSvEX/gqn/8AiK/TOigLH5mf8Ko8df8A%0aQleIv/BVP/8AEUf8Ko8df9CV4i/8FU//AMRX6Z0UBY/Mz/hVHjr/AKErxF/4Kp//AIij/hV%0aHjr/oSvEX/gqn/wDiK/TOigLH5lR/Cjx0FOfBXiLqf+YVP6/7lO/4VR46/wChK8Rf+Cqf/w%0aCIr9M6KAsfmZ/wqjx1/wBCV4i/8FU//wARR/wqjx1/0JXiL/wVT/8AxFfpnRQFj8zP+FUeO%0av8AoSvEX/gqn/8AiKP+FUeOv+hK8Rf+Cqf/AOIr9M6KAsfmZ/wqjx1/0JXiL/wVT/8AxFNT%0a4UeOtz/8UV4i6/8AQKn9B/sV+mtFAWPzM/4VR46/6ErxF/4Kp/8A4ij/AIVR46/6ErxF/wC%0aCqf8A+Ir9M6KAsfmZ/wAKo8df9CV4i/8ABVP/APEUf8Ko8df9CV4i/wDBVP8A/EV+mdFAWP%0azM/wCFUeOv+hK8Rf8Agqn/APiKanwo8dbn/wCKK8Rdf+gVP6D/AGK/TWigLH5mf8Ko8df9C%0aV4i/wDBVP8A/EUf8Ko8df8AQleIv/BVP/8AEV+mdFAWPzM/4VR46/6ErxF/4Kp//iKP+FUe%0aOv8AoSvEX/gqn/8AiK/TOigLH5mf8Ko8df8AQleIv/BVP/8AEUf8Ko8df9CV4i/8FU//AMR%0aX6Z0UBY/Mz/hVHjr/AKErxF/4Kp//AIij/hVHjr/oSvEX/gqn/wDiK/TOigLH5mf8Ko8df9%0aCV4i/8FU//AMRR/wAKo8df9CV4i/8ABVP/APEV+mdFAWPzM/4VR46/6ErxF/4Kp/8A4ij/A%0aIVR46/6ErxF/wCCqf8A+Ir9M6KAsfmZ/wAKo8df9CV4i/8ABVP/APEUf8Ko8df9CV4i/wDB%0aVP8A/EV+mdFAWPzM/wCFUeOv+hK8Rf8Agqn/APiKP+FUeOv+hK8Rf+Cqf/4iv0zooCx+Zn/%0aCqPHX/QleIv8AwVT/APxFH/CqPHX/AEJXiL/wVT//ABFfpnRQFj8zP+FUeOv+hK8Rf+Cqf/%0a4ij/hVHjr/AKErxF/4Kp//AIiv0zooCx+Zn/CqPHX/AEJXiL/wVT//ABFH/CqPHX/QleIv/%0aBVP/wDEV+mdFAWPzM/4VR46/wChK8Rf+Cqf/wCIo/4VR46/6ErxF/4Kp/8A4iv0zooCx+Zn%0a/CqPHX/QleIv/BVP/wDEUf8ACqPHX/QleIv/AAVT/wDxFfpnRQFj8zP+FUeOv+hK8Rf+Cqf%0a/AOIpsXwo8dCNM+CvEQOB/wAwqf8A+Ir9NaKAsfmZ/wAKo8df9CV4i/8ABVP/APEUf8Ko8d%0af9CV4i/wDBVP8A/EV+mdFAWPzM/wCFUeOv+hK8Rf8Agqn/APiKP+FUeOv+hK8Rf+Cqf/4iv%0a0zooCx+Zn/CqPHX/QleIv8AwVT/APxFH/CqPHX/AEJXiL/wVT//ABFfpnRQFj8zP+FUeOv+%0ahK8Rf+Cqf/4ij/hVHjr/AKErxF/4Kp//AIiv0zooCx+Zn/CqPHX/AEJXiL/wVT//ABFNi+F%0aHjoRpnwV4iBwP+YVP/wDEV+mtFAWPzM/4VR46/wChK8Rf+Cqf/wCIo/4VR46/6ErxF/4Kp/%0a8A4iv0zooCx+Zn/CqPHX/QleIv/BVP/wDEUo+FPjn/AKEvxF/4Kp//AIiv0yooCx+Z7/C7x%0avBG0kng/X441GWZ9LnAA9ztrnC5QlWBVgcEEcg1+qdfAf7bU+keDvjJEI7S8SXUtMivp/se%0anTzo0hkljLExowBIjBIznuetAzwI4Pw8jK583KkY6+Z5o/XNaFlsYeI/OIz57B89dnlrj8M%0aZrUTQrKO589YSH8zzdu9tgfH3tmduffGaZe6JZXkzzSxEu4CvtdlEgHQMAcN+Oa7ZVoSutd%0aXf8U7fgccaUotPt+O/+f5nM6IzfbdJExO7+y/k3eu5c4/DFfRH7AhP/C5PFYXPlfYLnHpnz%0arXP65rxfUtNt74RGVDuiOUdHKMuRg4ZSCK99/YbtYrP4p6nDCgjjXRJsKP+viD8z71E6qmm%0a+r/zb/UqnScLLt/kkfcNFFFcp1BRXjH7UfxCPhLwLJoo8MfErXG8QQT2i6h8M9PNxfaYQq4%0al3h1MTZb5Tznawr5q8Cft8+M/h58PdK8J+OfhZ8TvEvxVuYr2LRDJ4RNiNZEAJjd0MxYuE8%0atpjGhC5OAephST5vL8d7pea/LW+jKcWuXz/Dzfl+XbVH35RXx1+xf8aPFiWGm+E/HXgv4x3%0afi/Xby51LU/EXinw89vo9jM6tIYIXaUmG3XbsRdoyzdF3YHg3xR/aE+MPgC9+N8F3+0/omk%0a6x4Gvlh0nw5e+HdJiutZR4Y5QIlc7/l8zZlVfOzPfA0a5ZKHdX+7lTXnZyXTXdaCiudXXdL%0a7+az8r8r66aXP0+or899b/aV8cfs4fEtda8XW3xW8b6FbaY2ka/ezeEUt9I1G/E3+hXNgVn%0aEcG/zfKcqMPtQ7WY5X0L9k/wCNnjiDwB4svvG/w7+LmqeNJbuTW7uz1LSPs9sPOmWNLLTBc%0aTovlxIQxUlMgO3JwKEr3a6fne1vu9706Ec10mutrejV7/p69T7Gor4b+Bf7TXinW9E+Pcq+%0aFPHMclvr2u3NhrGqrazWehmCzV0tJc3LlGR4z+7jR0y455bHJJ44/aJ0H9nv4d/GK++Oy6r%0aaa/d6L9o8Of8ACHafCBHeXMUbp9oAJ4Eh5CAn2oiuaUV35f8AydpL8X92o5PlUn25v/JVzP%0a8AA/RGivDP2xPE3xA8F/BfxDr/AII1Lwvplrp2mXtxq03iOG5eTyRCdotTDIm2XOQC+RkrX%0ahPwd+LPx4+GK/BLwf41m8F3+i+JPC93cwS29tfHV4hZ6csym4kkmMbSFmjDkLyd3Tis3NJS%0ab+z/APIyl+UHbv5GnI24xW8v84r85K/Y+6aK+Cf+F3/HvTv2XPCfxtufiD4au7bVn015fDq%0aeEjGVW5uo4CouftZ5UOTny+cdBX3tW0oON0907P1sn+TRjGalZrqrr0u1+aCiiioLCiiigA%0aooooAKKKKACiiigAooooAKKKKACiisxrm41GeSK1byLeM7XuMZJbuEB449TQBp0Vnf2JEeW%0aubxn/v/AGqQfoDj9KjkmudHIaaQ3VlnDSMB5kXuccEe/UUAatFIDkZHSloAKKKKACiiigAo%0aoooAKKKhvLuOyt3mkztXsBkk9gB6mgCaisyO0u79Q93O9sp6W9u23A/2m65+mKcdGEfNvd3%0acL+rTNKPxDk/0oA0aKoWV7K072t0ipcqNwZPuyL6j+o7VfoAKKKKACiiigAooooAKKzrm8n%0auLprSz2qyY82dhkR56ADu38qP7FRuZbq8lf+99pdP0UgfpQBo0Vlyrd6UvmpI97bLy8cnMi%0aj1Ujr9Dz71owypPEkkbBkcBlI7igB9FFFABRRRQAUUUUAFFFFABRRRQAUUUUAFFFFABRRRQ%0aAUUUUAFFFFABRRRQAUUUUAFFFFABRRRQAUUUUAFFFFABRRRQAUUUUAFFFFABRRRQAUUUUAF%0aFFFABRRRQAUUUUAFFFFABRRRQAUUUUAFFFFABRRRQAUUUUAFFFFABRRRQAUUUUAFFFFABRR%0aRQAUUUUAFFFFABRRRQAUUUUAFFFFABRRRQAUUUUAFFFFABRRRQAUUUUAFFFFABRRRQAUUUU%0aAFFFFABRRRQAUUUUAFFRzo8kEiRyGGRlIWQAEqccHB4OK8T8JfFPVfhv4ik8HfE28QOQ8um%0aeJZAI4L2IclXPRXH/wBb0LAHuFFeM+CfG3if4v8AjqLWdGkfRvh5pjvGjyxDzNXkwVJAI+V%0aAe/t65C+zUAFfBn7ei6sfi/o/2DUtPs4f7ChzHd2TzMW+0XHIYTJxjHGOx59PvOvgj9vjwj%0aouv/GHR7jUdMtr2ddBhjWSaMMQouLg4+mSfzoD5nmFRydPxqTbJ/dT/vo/4VFIsmPup1/vH%0a/CgCtP0r3j9iT/krWrf9gSb/wBHwV4NOsmPur/30f8ACveP2I93/C2tW3AAf2JN0Of+W9v7%0aUCPt2iiigZ5Z8TtJ+M994gik+H3iPwXpOiC3UPB4h0a6u7gzZbcweK4jULjbgbc5B55r4J/%0aaN+Lfxb8JftXfDuTW/FHge/u/Akckmpa7pug3Y07QF1PbbIb9TdFucIRhl2hgx3A4r7Z+Of%0a8AwvjxH4gtvDHwwi8OeFNBurcPeeOtVnN3c2pLENHb2IUAygYYM7FCCQdpFXPhP+yr4I+F/%0awAONd8JzW8vixvExkk8S6trzfaLvW5ZAQ7zueo+YhVHC5z1JYxBNNT/AJb2T3b1XyVm9d9r%0aK12VK1nB9dNOi/V7aet3sZmg6L+0c+p6dPqPjX4aXekGaN7hbLw7erJLBkFhG5vCAxXOCQR%0akg4NfF/x+03xXc2/7Zd1pWgeE7/w/Dqdv/aGo6tcSpqdt/oNt/wAeqLA6Nxj70ic5r6c8B/%0aA741/s7eLtJ0P4feLdK8afBuS6SNtE8YvL/aWg22fmW1uUH75FHCrJ0AVQOr1yHx8/4JveB%0a9b+Fvj698PaTrfjL4m6nHJdWN/4g8RXEsj3RwFJ3ypCcKNoMinAAGeKp/EprazXnq6e/kuX%0ao7Po9LF03ZqMt7xflZKfXpv1V117nnv7e3i/4r6d8Co538U+BvEnhXVNetY9M0zRNJuXv5P%0as8puQplFyyMYxbHzMKPusPlJ490uPij8aPCXwi1D4i32r+EPiDpN7pMb6Bp/hDQruG5u7y6%0aaOOzJaS5kXy90q7uMgd+Kn+Df7MWrW/wAUF8WeM9I8PeH/AA94YjudM8FeCPDka/YLCKUkT%0a38uERWuJwTkBcKrHOWJx0HwE+B/jX4AeP8AXfDulazp+pfBC5SS/wBH027L/wBo6JdPJlrS%0aI42tbcuwycrwMdS1JJqUG/i1/C1n/ecdU+jaW6OWneMYO3wpK3fZ39E7JrqrtaHyb+z78J/%0aG3wu+E3xzvX+ITNo+iXviHT/FWkahAJ4L6UabHIbuBxtaObzmYEksGQjjK8+hePtLl0b/AI%0aJv/BW0nBWVJfCDMpGCC11bNj9a2fGP7OXxW8XeHfiF4Es7Wz0Twx4++I91qOtau98huI9Ca%0aKBswxrnLStC0eCQy5GV2sWX2/8Aac+CGrfFb4G/8If4LuNM0nVtPvNOvdLXVA4swbS4jlSO%0aQxgsqkR4yoJpxnZRm19qlou0ZRlL5LaK7JrsaSjeUo3vpV185RcV83u35o88/a81bQPHWpe%0aGfDt43i7xh4Y0rVDP4m8J+AtEGrPcyxCKW2gv2Rt1vGSwcIV/ejPTaDXzD8bf2lfDfws+Il%0aj4wvrb4tXXiq4eWzsdH+IeiC2stL0m7nRL5rKJBE5kEYWONnZxnAbdX0j4R+Bn7Q3hbTfE1%0a5p3irwDoPjDxz4im1TxDq1vZ3V7HpluIIoYFsUkCCV1EZyJgF+bjNN+J/7HsukfDrR4PCsV%0a/wCOPHN14u0XVvEHibXL2NtQvYbe6WSRmkkZVWKNQdkEeAAMKpOSclDRKXVq/rKyl8km027%0aPl5krXbLc7Xcd0nb/ALd5nH5tpNJX15W76I+dvDnwv/Z31X4c+H4NB+D3x+vraIW13Z+JbP%0aSbyd7oRyLKjhd7WrK+0A7YgMH5dpwR+mnh/Vx4g0LTtUW0vNPW9t47gWmoQmG4h3qG2Sxnl%0aHGcFT0IIrwHxJ+zT4u8Aaxe698BfG0Pgl7uZrq88Ga5am88O3czElnSNSJLNmJJYwHDYHyj%0ak19B6Ul9HpdmupzW9xqKwoLmW0iaKF5cDeURmYqpOcAsxA7nrW/NzRfre3na3o9t9PS5ly8%0asl6fr969NfUt0UVyXxXbSl+Hmt/214Vk8caaYQsnh2LT1vmv2LAJF5Lgoctt5fCr95iqqSM%0aZOyuaJXdj4R8IfD74961p15eX2lfEe5ll1O/2S3Gp38TGIXUoiwp8XWGF2Bdv+ixDbjG4Yd%0avcf2a4vEng7wT8XU+L174h8N6JBqKiK88S6pdW/2azaxg8x4Lp9SvWjXzGk+eO8cq5ODGw2%0aL4Vr37GXiHTvCFto1z8CfDeqapfeJbbxFL4h8E2+ifaLG0eXzLjTTDqKxx4iXEcYUSwyquX%0aSMkhve/2afgtpvw08dy30Xwq8S6Hcz2zRJrWt6N4Ms0tR1Kq+j7JyX4GCGXgZx1qqcbR5H/%0aLbv0j+N01vZu9m002qj5pc/nfT/FL9GntorJpNNLg/iD8NvE/i8eGL/wCHUPxM8O+GpfEFj%0aaT3mt+MPEr3+oW7zbZZPsjXwe0tVUAtJMFlYFtqRALK/q/wThsfA3xBh8L+LbfxNonj+Wzc%0a2jX3jDWdZ0TWolwZZbI3lw6CRcZaGRRNGCSC8f7xvJPgj8JvDlh8MtJg8T/sg3XiXXVe5N1%0aq17onhsS3RNxIQ7fbLyOflSv+sRTjHGMGvU/2YPBkfhb4sfFm40/4V3Xwn0G9h0b7JpctjZ%0aW0MzpHciV4zZSSQMcsudrlhkbgMiqpv8m/wi/Lu1t306imvwdvxl69r79tej8a8C69F8V9M%0a8HeOvGPxI+Mp8XaPNfPZHQPh39r0+zeR5IGMDx6HLHL+6ULvLyEZbDDJr1/4JfEzW9S+Nvi%0afw6vivxv4z0Oz8MW+qQ23jHwzFol4LprmZGEStY2RdWVEALAruz8wwceZfBH4eajpPwy0m1%0a1b4SfHCXUEe5MsmlePm0q1bNxIQY7VtctzEpBHBhT1xzk+g/A3wdquk/tFeKNSj8G+O/CWn%0aTeErW2huPHWtPrhkuBdzsRHP8AbrsAAMpMQlQ9TtG7cZp6JL+6/v5E+vW/4lVPik/P8Od9u%0alvwM/wrfS+IPFmqr4R+H3xe0rxHpGpLYz6l4l8ZNqmjafdOkchM9n/wkIS5jSOZWaOINjOA%0aNw21yf7Pnjr4meENB+H9tJrHhfUtB8Z+OvEOmSw2ug3Ed1AftGpXDXEc5vnQqXgJCGI7UbB%0aZiu47uv8A7LvxU8H6F4f1rwz46t/EHxD0fVLmWzlttDttOsZvt8jfbrq/82WWZz+88wrDKE%0a/cQhYCUDDp9I+EOu6P47+CnhTSPC2qW3g/4bzXV1deKdVu7PZqcj2EsAMMcc8k5d5bmR28y%0aOMDacHoCQS0T8k/Td27LZd72td7TUu02vNr1tZfO+va1+m/h/xc8S+J9f8Ag545h1jXvjP4%0a70rwzfNpmr6rpyeENFsZb+0njLSQHymvIFWUI6MqswwvJwTXtXw+1nx3cfF/QfDGpeK/ifo%0ad2tnPrEmm+ONP8LXVnqVnEVheNZNL/exSCW4gfcW5CMMHOR5D8b/2KvEi+A/jBrSaN8O/EO%0ap63rd7q9gg8Dy6rrxhmnVkjS9+0RlGAz8iwuFG7DNnI9t+Ef7LOpfDD41p4ujh+HmmaUfD1%0a1pMkXgbwm3h+VppLi3kR5I/PuFlAWJ8MWUqTjawYkKDfLd76X6a8jf/AKVp1tt0KqJa8vnb%0a051+l2fO/hv9oGPwn8Vf2lf+Eh+MNhoupadqFtLLB4V8Opb6nqU8Ftb2qpZreS3ke0ygQFD%0aHI7MQ4eNeK6j9m/Vrmbx5c6VbfFzx0+sT3aX/AI5urzSrHRdKtdWmMaW9jDbX2kpK0042gi%0aPyi4UyHDuFrUt/gtd/DrWvilbaFp/iLR4Idb0mz0bWNI8ODUdbuoX0m3huDYXcuIraWVwyS%0a3smY0Jk3lGwy7Hhn4R+Kfht4t8EeJtb8C28/gC1unWDwXoUsuo3vh++uGUDWr1zuOp3RLMk%0asgybdXLRmYeZIbo6ezv/ACxX5/m7aPqo35VfmirqpW6tv8vy7+crcz5UvrzVblrPS7y4X70%0aULyD6hSa5D4qeK5vhf8KdY1myjWa5sLdFhDjK+Y7rGrEdwGcMfXBrtbiBbq3lhflJFKN9CM%0aVhXuk2XjHw1faBrEXnxSxG2uoicFhjhge2eCD2P0qSj4A0/wDaD+Ien66uq/8ACVahcSh97%0aW9xKXt355UxfdAPsB7Yr9CvDGsJ4q8K6Tqph8pNSsobryW52iSMNtP/AH1ivnrT/wBhrQ7f%0aXVuLrxJeXekq+77ELdUkYZ+60ob8yFB9MV9Gzy2+h6dHHDEqRxqsMEEYxnAwqgf5wKAG6Ex%0aOmRox3GJ5IcnuEdkH/oNXpHEcbOQSFBJCqSfwA5NV9MtTZWMULHdIBlyO7E5Y/mTVqk/ID4%0a5+NPxkt/iZJf6P450vxr8PvgvZxNca1M/hLWGvNft1G7Y81vbuljZMOZA7rcMAUdIFzv6D4%0aMfFmf4danZeBrTQfHXin4eRoF0jXrrwfq9tdaPDuVIrS6W4tkNxEu5VjnhLuEH71FWNp2xv%0a2kPAmu/Ffwn48sdL+EvxbPiDV7C4s7SYePLe20hpTGY43azTWxEIjgEqYOQTuQkkV2/wu0y%0a78KeJNNlh+FPxhs5JAtrLd+IfHcGqWNurYDSPby65OCF65SJnAztGeKdH+vPS+vpstuW9rW%0aumqvl5/LZaeura1vb0t8//ABS1LxXf/FHV/EGn+IvjLPr+kXC2/hHWLL4eSJZ2VreER3kV0%0ap0TfcRwGLzcZcSKYNh8xWcSy6xc+MPiIdPuPHHxFsZdU8fWOjQeJdQ1XVdHhs7SHSrG6eCW%0ayRoLeG5u5WeNUkt0y08hC5VVO78S9E8eXenfHW7i8GfGfVtdjv8AUv8AhGtY8P8Ai64sbCC%0aMWkZt/Jsv7ThaVVl3H91bSB+VXecrWvovwp+JPxC8NfE/wnJoVnY6X4m1zTZrzXfEV5c295%0aEqabpe+e3t/srrcsHhkAZpo8SIQTlTRh/s+XK/v5X+jb7ta3u7uvrzed1/6Uv1VuyfSyt9n%0a0UUUAFZ16PO1fT4W+4qyT49Su1R/wCh5/CtGs7Vgbd7e+VSwtyRIFGSY2HzY+mAfwoA0aKb%0aHIk0aujB0YZDA5BFOoAztZHli0uB9+K4jUH2dghH/j2fwrRrMu5Bf6hBaIdywOJpiOgxyq/%0aXOD+HvWnQBxfxq/tb/hTnjr+wPtv9u/2FffYP7N3/AGn7R9nfy/K2fNv3bdu3nOMc18Q+F/%0ahh8d7nw1pM13ovxFe7ktIXmafV79ZC5QFiwPjiIg5zkGOP/cT7o+uf2ltDg8U/D1dCXwFYf%0aEDWdSufs2k2mr6ZFeWFhdtG4W9uTKjJFHEu9ixG5vuIGZwp+PNS/Yy1DSb34e6FL8C4JLbw%0arZ3dlqfijwTaeGbk6/uigFvcPFq4H7zckxdZI28sn93K4Ymoj8T87L7r3/S/qrX1tcvhS9X%0a+SX3629H0s39b/sh2/iy1+AmhweN11lPEkd3qCTrr7SteBBfTiIOZZZnI8vZtJlk+Xbh3GG%0aPsteDfssfDSx+GVnrtpa/DvWvB8108csmpa1pvhmyku1AIWIDRCFZU+Zh5qZBlOGPQe81tP%0aV39PyX+RjHqvN/m3+oUUUVBZneHxu0i3mP37hfPY+pf5v64/CtGszSJBaF9Oc7ZIMmPP8Ue%0aflI+nQ/T3rToAKztHHlG+tx9yC4KqPQMqvj8N+Kt3V1FZW7zTNtRRkn+g96r6TA8ds8sq7Z%0arhzM6/wB3PQfgAB+FAF6vnP4m6doXj/x1qmleD/8AhMPEPjEOsN/PpnjTWtM0HRWVUB+0m2%0au44VlClW+zQKZnLKXEauZh9GV8t/G3wHaeIf2m7DU9c+Cd18XtCj8IfZox/Z2m3EFpcfbWY%0a/PqE0MQcp2Ri+DnGOam15K/n+V/0t+qKXwtry/Nf53/AEZ5t8OvAvijwD8O9O8SfFVPiHrm%0ahF7hdT1LTPGnia31TStl3OgnmsBeEyWvliIhosyIgDMsqlpF+4dHvbPUtJsrvTrpL7T54El%0atrqKbzkmiZQUcPk7wQQd2TnOc18deL/hfof8AwkXw6uPC37LN18P7+08Y6Tcza/a6PoKm2t%0a0nBlLtYXcsypjqdu0D7xAr7RrRfBr3/JR/r799GQ17112/V/1922wUUUVIwooooAKKKKACi%0aiigAooooAKKKKACiiigAooooAKKKKACiiigAooooAKKKKACiiigAooooAKKKKACiiigAooo%0aoAKKKKACiiigAooooAKKKKACiiigAooooAKKKKACiiigAooooAKKKKACiiigAooooAKKKKA%0aCiiigAooooAKKKKACiiigAooooAKKKKACiiigAooooAKKKKACiiigAooooAKKKKACiiigAo%0aoooAKKKKACiiigAooooAKKKKACiiigCOeeO2gkmlYJFGpdmPQADJNfOmo6dfftY6t/y20f4%0ababK32e68sC41GcArvTcPlQZP8AI8/c+j6jggitolihjSKJRhURQqgewFAHifws8W6v8N/E%0aFn8MvGMYZwhTQdYgjxFewqOI2A+66gf0PYt7hUbwRSSRyPGjSRklGZQSpIwcHtxxUlABXw/%0a+3B/yVjSf+wJF/wCj56+4K+Hv24d3/C2NJ2gEf2JF1OP+W8/tQJnkFRSdPxqWopOn40DKs/%0aSvdP2Jv+Ss6t/2BJv/AEfBXhc/SvdP2Jv+Ss6t/wBgSb/0fBQB9t0UUUAFFFFABRRRQAUUU%0aUAFFFFABRRRQAUUUUAFFFFABRRRQAUUUUAFFFFABRRRQAUUUUAFFFFABVS702K7dZctDcIM%0aLNEcMB6e49jVuigDO+y6mPlF/AV/vNakv+YcD9KkttMSGYTyyPdXIGBLLj5R6KBwKu0UAFF%0aFFABRRRQAUUUUAFFFFABR1oooAzjpLW7M1jcNaBjkxFQ8ZPrt7fgRQbK/m+WbUFVO/wBmg8%0asn8WZv0rRooAhtLOGyi8uFAi5ye5J7knuamoooAKKKKACiiigAooooArXlhDfKvmAh0OUkQ%0a4ZD6g1X+yalH8qahEy+s1tub81ZR+laNFAFCLSgZkmupmu5UOU3gBEPqFH8zk1foooAKKKK%0aACiiigAooooAKKKKACiiigAooooAKKKKACiiigAooooAKKKKACiiigAooooAKKKKACiiigA%0aooooAKKKKACiiigAooooAKKKKACiiigAooooAKKKKACiiigAooooAKKKKACiiigAooooAKK%0aKKACiiigAooooAKKKKACiiigAooooAKKKKACiiigAooooAKKKKACiiigAooooAKKKKACiii%0agAooooAKKKKACiiigAooooAKKKKACiiigAooooAKKKKACiiigAooooAKKKKACiiigAr4h/b%0af/5KvpP/AGBIv/R89fb1fEP7b/8AyVfSf+wJF/6PnoA+ZWhVPCceuAL/AGp5i3BuT98kvjb%0an+7tOMdKuPYQ62+uTXSLJJFK0ELP/AMsQqAgqexyc5FX4/DLJAtk13u0xZfNFuY/nxncEL5%0a5Xdz0z2zRd6FMbi8a1vPs8N5jzkMe4g4wShyNpI9Qa9B1Yu9pa9H2V1p/X6nBGlJW5o3Wl/%0aPfX8f6sYNpMdfuNJjvQJ4hY/aGjcZV5CQuWHQ9/zr6F/YCcxfFvxJZg5ht9NuUiGc7V8+2I%0aX8NxrxG80MRyWctjKLWS2j8lQ6b0aP8AukZB6gHOa9+/YT05dO+KesLvMs0mjzySykY3sZ7%0afJx2HTA9qyqVIyi+Xbt83+hpTpyi1zbrr8kvz/wAz7mooorkOsKKKKACiiigAooooAKKKKA%0aCiiigAooooAKKKKACiiigAooooAKKKKACiiigAooooAKKKKACiiigAooooAKKKKACiiigAo%0aoooAKKKKACiiigAooooAKKKKACiiigAooooAKKKKACiiigAooooAKKKKACiiigAooooAKKK%0aKACiiigAooooAKKKKACiiigAooooAKKKKACiiigAooooAKKKKACiiigAooooAKKKKACiiig%0aAooooAKKKKACiiigAooooAKKKKACiiigAooooAKKKKACiiigAooooAKKKKACiiigAooooAK%0aKKKACiiigAooooAKKKKACiiigAooooAKKKKACiiigAooooAKKKKACiiigAooooAKKKKACii%0aigAooooAKKKKACiiigAooooAKKKKACiiigAooooAKKKKACiiigAr8+/+CgunWF58ZtGe68H%0af8JDINAhAuvJtH2j7Rc/JmWRW45PAx831r9BK+CP2+NE1DUvjDo8tpr13pcY0GFTDBFEyk/%0aaLj5supOeQPwoC1zzaopOn40vnx/89E/76FRyTx4/1idf7woAgn6V7p+xN/yVnVv+wJN/6P%0agrwieePH+sX/voV7r+xJIr/FrVgrAn+xJuh/6bwUAfbtFFFAGPf39xNePbWz+QkWBJKFBbJ%0aGcDOR0I7d6h23n/AEE7n/viL/4ihf8AkJan/wBd1/8ARUdTUAQ7bz/oJ3P/AHxF/wDEUbbz%0a/oJ3P/fEX/xFTUUAQ7bz/oJ3P/fEX/xFG28/6Cdz/wB8Rf8AxFTUUAQ7bz/oJ3P/AHxF/wD%0aEUbbz/oJ3P/fEX/xFTVWg1K0uby5tIbqGW7ttpngSQF4twyu5QcrkAkZ64oAftvP+gnc/98%0aRf/EUbbz/oJ3P/AHxF/wDEVNRQBDtvP+gnc/8AfEX/AMRRtve2p3GfdIsf+gVNRQBPpN/Lc%0a+bDcAC4hwSVGAynOD+h/KtGsfSv+Qve/wDXCH/0KWtigAooooAKKKKACiiigAooooAKKKKA%0aCiiigAooooAKKKKACiiigAooooAKKKKACiiigAooooAKKKKACiiigAooooAKKKKACiiigAo%0aoooAKKKKACiiigAooooAKKKKACiiigAooooAKKKKACiiigAooooAKKKKACiiigAooooAKKK%0aKACiiigAooooAKKKKACiiigAooooAKKKKACiiigAooooAKKKKACiiigAooooAKKKKACiiig%0aAooooAKKKKACiiigAooooAKKKKACiiigAooooAKKKKACiiigAooooAKKKKACiiigAooooAK%0aKKKACiiigAooooAKKKKACiiigAooooAKKKKACiiigAooooAKKKKACiiigAooooAKKKKACii%0aigAooooAK+If23/8Akq+k/wDYEi/9Hz19vV8P/twyKnxY0kMwB/sSLqf+m89AHjNRydPxqS%0ao5On40AVZ+le8fsSf8la1b/sCTf+j4K8Hn6V7x+xJ/yVrVv+wJN/6PgoEfblFFFAzBX/kJa%0an/13X/0VHU1Qr/yEtT/AOu6/wDoqOpqACiiigDyj9oDw/Prll4UkWwj1C0tNYEt1HPpEuqx%0arGYJl3PbRYaRdxUcHgkHtXlvjDw7oZ8L6nEdN8Nac9xA1vFcn4VanaFJJBsj2zbm2MWZQGC%0asQSMAnivfvHHw10Px1bSte6Zpj6oYhFDqV1ptvdywgHIAEqMCMk8Hjk9+a4LxP8CbXVbSy0%0ay08F+CIo/NtZLrWYLUWs3yTI8qx24gf5WVSuDNyGIPHWUund/nb8rFN2tJdF+Vx13F4s8Re%0aFvBmqSeHprifTPEH2oafbqltcCySOeKN2W4kQb2DIxBKn5vujBqn4f8V6t/wsj4jvH4I16a%0aWeCwVrdJrDfDiCQDdm6wd2cjYW6c4PFdV4j+G02map4UvfBejaHZQ6Pd3FzLp5c2EUplgMW%0aQYoX+bkE5XnFVNG0Tx/pHi/xLrv8AYnhub+2VtV+z/wBu3C+T5KMv3vsXzZ3Z6DGO9OfvKS%0a7834pL8bExXJa3S34N/lob/wAFrC60v4T+E7S9tprO7h06FJbe4QpJGwXlWU8g+xrtK4r4M%0a+H9R8K/DLQtK1e2FpqNtE4mgEiyBCZGONykg8EV2taTd5NkxVlb+uoUUUVBQaV/yF73/rhD%0a/wChS1sVj6V/yF73/rhD/wChS1sUAFFFFABRRRQAUUUUAFFFFABRRRQAUUUUAFFFFABRRRQ%0aAUUUUAFFFFABRRRQAUUUUAFFFFABRRRQAUUUUAFFFFABRRRQAUUUUAFFFFABRRRQAUUUUAF%0aFFFABRRRQAUUUUAFFFFABRRRQAUUUUAFFFFABRRRQAUUUUAFFFFABRRRQAUUUUAFFFFABRR%0aRQAUUUUAFFFFABRRRQAUUUUAFFFFABRRRQAUUUUAFFFFABRRRQAUUUUAFFFFABRRRQAUUUU%0aAFFFFABRRRQAUUUUAFFFFABRRRQAUUUUAFFFFABRRRQAUUUUAFFFFABRRRQAUUUUAFFFFAB%0aRRRQAUUUUAFFFFABRRRQAUUUUAFFFFABRRRQAUUUUAFFFFABRRRQAUUUUAFFFFABXw/8Atw%0af8lY0n/sCRf+j56+4K+H/24P8AkrGk/wDYEi/9Hz0CZ87/APCQXYsV1UrCNNaUL5W1vMEZb%0abv3ZxnPOMdO9PvNUvp5NQNkIBFZHafNVmMrgbiAQRtwCBnB5qgltcyeHV0M20yXQcRNIYz5%0aYQNu378YIx2znParDPNpU+rQm1nlNxJ51u0UZZXLKBgkDC4I/ixxXoOMFeyV+npda7/18jh%0ajKTtzN26+T18vT8O4k2tSag9jFY+Wr3EP2hnmUsI04GMAjJJOOvY19AfsGak9/wDFXW0mCr%0acwaTcRSBM7SRPb8jPYgivnOOwl0C402R43niS0+yytChco2QwOAM4OCM4r6H/YHtJU+LfiG%0a6lRojc6XcSrG4wyqZ7YDI7HC9PesqkYKL5dun3v9LF05TbXNv1+5fqfeVFFFch2HP3zf2bq%0aNxJN8tvcMHEx+6pChSCe33QfxqP+2LD/AJ/rb/v8v+NdJRQBzf8AbFh/z/W3/f5f8aP7YsP%0a+f62/7/L/AI10lFAHN/2xYf8AP9bf9/l/xo/tiw/5/rb/AL/L/jXSUUAc3/bFh/z/AFt/3+%0aX/ABo/tiw/5/rb/v8AL/jXSUUAc3/bFh/z/W3/AH+X/Gj+2LD/AJ/rb/v8v+NdJRQBzf8Ab%0aFh/z/W3/f5f8aP7YsP+f23PsJVJ/nXSUUAZGhxySTXN26GNJVSNFYYJVdxz+O4/lWvRRQAU%0aUUUAFFFFABRRRQAUUUUAFFFFABRRRQAUUUUAFFFFABRRRQAUUUUAFFFFABRRRQAUUUUAFFF%0aFABRRRQAUUUUAFFFFABRRRQAUUUUAFFFFABRRRQAUUUUAFFFFABRRRQAUUUUAFFFFABRRRQ%0aAUUUUAFFFFABRRRQAUUUUAFFFFABRRRQAUUUUAFFFFABRRRQAUUUUAFFFFABRRRQAUUUUAF%0aFFFABRRRQAUUUUAFFFFABRRRQAUUUUAFFFFABRRRQAUUUUAFFFFABRRRQAUUUUAFFFFABRR%0aRQAUUUUAFFFFABRRRQAUUUUAFFFFABRRRQAUUUUAFFFFABRRRQAUUUUAFFFFABRRRQAUUUU%0aAFFFFABRRRQAUUUUAFFFFABRRRQAUUUUAFfBn7edvrMvxf0c6df2NrD/YUIKXVk8zFvtFxy%0aGWZABjHGOx59PvOvzz/wCChtvp8vxp0U3Xg1vEMn/CPwAXQtoJNo+03PyZkYHjk46fNR6hZ%0avZHC1HJ0/GpKjk6fjQBVn6V7x+xJ/yVrVv+wJN/6PgrwefpXvH7En/JWtW/7Ak3/o+CgR9u%0aUUUUDCiiigAooooAKKKKACiiigAooooAKKKKACiivy88FeCvFv7T3xE1VV1W1k1x7d9Qnud%0aUkdEKK6JtXYjYx5igKAAAO2AK+tyLIoZxCvWrV1Sp0km21ff9P+BofdcNcNU8+p4nEYjEqh%0aSoJOUmm93pppppq/TQ/UOivgX/AIYE+IP/AEGPDP8A4FXH/wAYo/4YE+IP/QY8M/8AgVcf/%0aGK9n/V3I/8Aobw/8AZ7/wDqpw3/AND2H/gD/wAz76or4F/4YE+IP/QY8M/+BVx/8Yo/4YE+%0aIP8A0GPDP/gVcf8Axij/AFdyP/obw/8AAGH+qnDf/Q9h/wCAP/M++qK+Bf8AhgT4g/8AQY8%0aM/wDgVcf/ABij/hgT4g/9Bjwz/wCBVx/8Yo/1dyP/AKG8P/AGH+qnDf8A0PYf+AP/ADPvqi%0avgX/hgT4g/9Bjwz/4FXH/xij/hgT4g/wDQY8M/+BVx/wDGKP8AV3I/+hvD/wAAYf6qcN/9D%0a2H/AIA/8z76or4F/wCGBPiD/wBBjwz/AOBVx/8AGKP+GBPiD/0GPDP/AIFXH/xij/V3I/8A%0aobw/8AYf6qcN/wDQ9h/4A/8AM++qK+Bf+GBPiD/0GPDP/gVcf/GKP+GBPiD/ANBjwz/4FXH%0a/AMYo/wBXcj/6G8P/AABh/qpw3/0PYf8AgD/zPvqivgX/AIYE+IP/AEGPDP8A4FXH/wAYo/%0a4YE+IP/QY8M/8AgVcf/GKP9Xcj/wChvD/wBh/qpw3/AND2H/gD/wAz76or4F/4YE+IP/QY8%0aM/+BVx/8Yo/4YE+IP8A0GPDP/gVcf8Axij/AFdyP/obw/8AAGH+qnDf/Q9h/wCAP/M++qK+%0aBf8AhgT4g/8AQY8M/wDgVcf/ABij/hgT4g/9Bjwz/wCBVx/8Yo/1dyP/AKG8P/AGH+qnDf8%0aA0PYf+AP/ADPvqivgX/hgT4g/9Bjwz/4FXH/xij/hgT4g/wDQY8M/+BVx/wDGKP8AV3I/+h%0avD/wAAYf6qcN/9D2H/AIA/8z76or4F/wCGBPiD/wBBjwz/AOBVx/8AGKP+GBPiD/0GPDP/A%0aIFXH/xij/V3I/8Aobw/8AYf6qcN/wDQ9h/4A/8AM++qK/N/4kfsh+Mfhd4L1HxPqupaHcWF%0aj5fmR2c8zSnfIsY2holHVxnJHGa+n/2IvFOq+KPg1KuqXkl6dN1OSwtmlOWSBYoXVM9SAXb%0aGegwOgFceacN4fCZe8ywWLVaCkou0WrN/1r6nBnPCOEwOVPN8ux0cRTjNQdotWb+evmrbPf%0aofQNFFFfCn5qFFFFABRRRQAUUUUAFFFFABRRRQAUUUUAFFFFABRRRQAUUUUAFFFFABRRRQA%0aUUUUAFFFFABRRRQAUUUUAFFFFABRRRQAUUUUAFFFFABRRRQAUUUUAFFFFABRRRQAUUUUAFF%0aFFABRRRQAUUUUAFFFFABRRRQAUUUUAFFFFABRRRQAUUUUAFFFFABRRRQAUUUUAFFFFABRRR%0aQAUUUUAFFFFABRRRQAUUUUAFFFFABRRRQAUUUUAFFFFABXz9+158ctc+D2gaJa+HRHb6nrD%0azYv5EWT7OkXl5CowKkt5gGSCAAeMkEfQNfG/8AwUQ/5p//ANxD/wBtq+u4TwtHGZ1Qo4iKl%0aF3bT2dotq/zR93wPgsPmHEOGw+Kgpwbk2ns7Rk1ddVdLTZ9ThrL4y/tLalZwXdpD4hurS4j%0aWWGeDwxG8ciMMqysLfBBBBBHXNT/APC2P2nv+fHxN/4Sqf8AyPX2R8F/+SO+BP8AsA2H/pO%0aldlX0GI4pwlCvUpLLKL5ZNbdm128j6jF8aYHD4irQWTYdqMpR+F9JSX8vkfAv/C2P2nv+fH%0axN/wCEqn/yPR/wtj9p7/nx8Tf+Eqn/AMj199UVz/624X/oV0Puf+Ry/wCvWC/6E2H+5/8Ay%0aJ8C/wDC2P2nv+fHxN/4Sqf/ACPR/wALY/ae/wCfHxN/4Sqf/I9ffVFH+tuF/wChXQ+5/wCQ%0af69YL/oTYf7n/wDInwL/AMLY/ae/58fE3/hKp/8AI9H/AAtj9p7/AJ8fE3/hKp/8j199UUf%0a624X/AKFdD7n/AJB/r1gv+hNh/uf/AMifAv8Awtj9p7/nx8Tf+Eqn/wAj0f8AC2P2nv8Anx%0a8Tf+Eqn/yPX31RR/rbhf8AoV0Puf8AkH+vWC/6E2H+5/8AyJ8C/wDC2P2nv+fHxN/4Sqf/A%0aCPR/wALY/ae/wCfHxN/4Sqf/I9ffVFH+tuF/wChXQ+5/wCQf69YL/oTYf7n/wDInwL/AMLY%0a/ae/58fE3/hKp/8AI9H/AAtj9p7/AJ8fE3/hKp/8j199UUf624X/AKFdD7n/AJB/r1gv+hN%0ah/uf/AMifAv8Awtj9p7/nx8Tf+Eqn/wAj0f8AC2P2nv8Anx8Tf+Eqn/yPX31RR/rbhf8AoV%0a0Puf8AkH+vWC/6E2H+5/8AyJ8C/wDC2P2nv+fHxN/4Sqf/ACPR/wALY/ae/wCfHxN/4Sqf/%0aI9ffVFH+tuF/wChXQ+5/wCQf69YL/oTYf7n/wDInwL/AMLY/ae/58fE3/hKp/8AI9H/AAtj%0a9p7/AJ8fE3/hKp/8j199UUf624X/AKFdD7n/AJB/r1gv+hNh/uf/AMifAv8Awtj9p7/nx8T%0af+Eqn/wAj1naj+0r8ePAl/p8/iWW+s4JJCyWur6HFapdKpG9QfJRiPmAJUgjcORX6F18b/w%0aDBRD/mn/8A3EP/AG2r3sizrBZzmFPAVMtoxjO+qWukW+3kfT8NcQ5dxBmtLLK2U0IRqc12o%0a6q0W9Lpdv8ALU+r/BviEeLvCGh66IDbDVLCC9EBbd5fmRq+3OBnG7Ga2a434L/8kd8Cf9gG%0aw/8ASdK7KvyXFwjSxNWnDZSkl6KUkvwSPwzHU40cXWpQVoxnJL0UpJfgkFFFFcpxBXw/+3B%0a/yVjSf+wJF/6Pnr7gr4f/AG4P+SsaT/2BIv8A0fPQJnjfkJ/tf99H/GopIEx/F1/vH/GrNR%0aSdPxoGUZ4Ex/F/30f8a92/YkjCfFrViM/8gSbqSf8AlvBXhs/SvdP2Jv8AkrOrf9gSb/0fB%0aQB9t0UUUAUJtRkS4ljSFGCEDc0hGeAemD60z+05/wDn3j/7+n/4moZf+P26/wB8f+gLRQBN%0a/ac//PvH/wB/T/8AE0f2nP8A8+8f/f0//E1DRQBN/ac//PvH/wB/T/8AE0f2nP8A8+8f/f0%0a//E1DRQBN/ac//PvH/wB/T/8AE02PVppFJFvH1I5lPY4/u1HUNt/q2/33/wDQjQBc/tOf/n%0a3j/wC/p/8AiaP7Tn/594/+/p/+JqGigCb+05/+feP/AL+n/wCJo/tOf/n3j/7+n/4moaKAJ%0av7Tn/594/8Av6f/AImvhD9g+d7f4vauyIrk6FMMM23/AJeLf2NfdNfCn7Cf/JXNX/7Ac3/p%0aRb1+jcO/8iPN/wDBD8z9Z4U/5JvPf8EPzZ94/wBpz/8APvH/AN/T/wDE0f2nP/z7x/8Af0/%0a/ABNQ0V+cn5MTf2nP/wA+8f8A39P/AMTTV1aZ2cC3j+U4P70+gP8Ad96jqGH/AFk/++P/AE%0aFaALn9pz/8+8f/AH9P/wATR/ac/wDz7x/9/T/8TUNFAE39pz/8+8f/AH9P/wATR/ac/wDz7%0ax/9/T/8TUNFAE39pz/8+8f/AH9P/wATR/ac/wDz7x/9/T/8TUNFAE39pz/8+8f/AH9P/wAT%0aR/ac/wDz7x/9/T/8TUNFAE39pz/8+8f/AH9P/wATR/ac/wDz7x/9/T/8TUNFAE39pz/8+8f%0a/AH9P/wATR/ac/wDz7x/9/T/8TUNFAE39pz/8+8f/AH9P/wATR/ac/wDz7x/9/T/8TUNFAE%0ag1aYyMn2ePIAP+tPfP+z7U7+05/wDn3j/7+n/4mqa/8fcn+4v82qagCb+05/8An3j/AO/p/%0awDiaP7Tn/594/8Av6f/AImoaKAPJv2uL6Wb9nrxWjQoin7JyJCT/wAfcPbaK4/9g+8kt/hD%0aq6pEjg67Mcs5X/l3t/Y11f7Wv/Jvvir/ALdP/SuGuQ/YT/5JHq//AGHJv/Se3r9Gof8AJG1%0a/+v8AH8kfrOG/5IDEf9hEfyR9J/2nP/z7x/8Af0//ABNH9pz/APPvH/39P/xNQ0V+cn5MTf%0a2nP/z7x/8Af0//ABNNXVpnZwLeP5Tg/vT6A/3feo6hh/1k/wDvj/0FaALn9pz/APPvH/39P%0a/xNH9pz/wDPvH/39P8A8TUNFAE39pz/APPvH/39P/xNH9pz/wDPvH/39P8A8TUNFAE39pz/%0aAPPvH/39P/xNH9pz/wDPvH/39P8A8TUNFAE39pz/APPvH/39P/xNH9pz/wDPvH/39P8A8TU%0aNFAE39pz/APPvH/39P/xNH9pz/wDPvH/39P8A8TUNFAE39pz/APPvH/39P/xNH9pz/wDPvH%0a/39P8A8TUNFAE39pz/APPvH/39P/xNH9pz/wDPvH/39P8A8TUNFAE39pz/APPvH/39P/xNH%0a9pz/wDPvH/39P8A8TUNFAE39pz/APPvH/39P/xNH9pz/wDPvH/39P8A8TUNFAE39pz/APPv%0aH/39P/xNNk1aaNQTbx9QOJT3OP7tR1Dc/wCrX/fT/wBCFAFz+05/+feP/v6f/iaP7Tn/AOf%0aeP/v6f/iahooAm/tOf/n3j/7+n/4mj+05/wDn3j/7+n/4moaKAJv7Tn/594/+/p/+Jo/tOf%0a8A594/+/p/+JqGigCb+05/+feP/v6f/iaP7Tn/AOfeP/v6f/iahooAm/tOf/n3j/7+n/4mj%0a+05/wDn3j/7+n/4moaKAJv7Tn/594/+/p/+Jo/tOf8A594/+/p/+JqGigCb+05/+feP/v6f%0a/iaP7Tn/AOfeP/v6f/iahooAkOrTCRU+zx5IJ/1p7Y/2fenf2nP/AM+8f/f0/wDxNU2/4+4%0a/9xv5rU1AE39pz/8APvH/AN/T/wDE0f2nP/z7x/8Af0//ABNQ0UATf2nP/wA+8f8A39P/AM%0aTR/ac//PvH/wB/T/8AE1DRQBN/ac//AD7x/wDf0/8AxNH9pz/8+8f/AH9P/wATUNFAE39pz%0a/8APvH/AN/T/wDE0f2nP/z7x/8Af0//ABNQ0UATf2nP/wA+8f8A39P/AMTR/ac//PvH/wB/%0aT/8AE1DRQBJHq00iki3j6kcynscf3ad/ac//AD7x/wDf0/8AxNU7b/Vt/vv/AOhGpqAJv7T%0an/wCfeP8A7+n/AOJo/tOf/n3j/wC/p/8AiahooAm/tOf/AJ94/wDv6f8A4mj+05/+feP/AL%0a+n/wCJqGigCb+05/8An3j/AO/p/wDiaP7Tn/594/8Av6f/AImoaKAJv7Tn/wCfeP8A7+n/A%0aOJo/tOf/n3j/wC/p/8AiahooAm/tOf/AJ94/wDv6f8A4mj+05/+feP/AL+n/wCJqGigCb+0%0a5/8An3j/AO/p/wDiaP7Tn/594/8Av6f/AImoaKAJv7Tn/wCfeP8A7+n/AOJo/tOf/n3j/wC%0a/p/8AiahooAkj1aaRSRbx9SOZT2OP7tO/tOf/AJ94/wDv6f8A4mqdt/q2/wB9/wD0I1NQBN%0a/ac/8Az7x/9/T/APE0f2nP/wA+8f8A39P/AMTUNFAE39pz/wDPvH/39P8A8TR/ac//AD7x/%0awDf0/8AxNQ0UATf2nP/AM+8f/f0/wDxNH9pz/8APvH/AN/T/wDE1DRQBN/ac/8Az7x/9/T/%0aAPE0f2nP/wA+8f8A39P/AMTUNFAE39pz/wDPvH/39P8A8TR/ac//AD7x/wDf0/8AxNQ0UAT%0af2nP/AM+8f/f0/wDxNH9pz/8APvH/AN/T/wDE1DRQBN/ac/8Az7x/9/T/APE01tWmRkBt4/%0amOB+9PoT/d9qjqGb/WQf75/wDQWoAuf2nP/wA+8f8A39P/AMTR/ac//PvH/wB/T/8AE1DRQ%0aBN/ac//AD7x/wDf0/8AxNH9pz/8+8f/AH9P/wATUNFAE39pz/8APvH/AN/T/wDE0f2nP/z7%0ax/8Af0//ABNQ0UATf2nP/wA+8f8A39P/AMTR/ac//PvH/wB/T/8AE1DRQBN/ac//AD7x/wD%0af0/8AxNH9pz/8+8f/AH9P/wATUNFAE39pz/8APvH/AN/T/wDE0f2nP/z7x/8Af0//ABNQ0U%0aATf2nP/wA+8f8A39P/AMTXyB/wUEuZLj/hAt8ax4+342vuz/x7ewr65r5D/wCCgH/Mh/8Ab%0a/8A+29fccE/8j7D/wDb3/pEj9H8O/8Akp8L/wBv/wDpEj6T+DeoTJ8IfA6iCMgaFYgEykZ/%0a0dP9mutj1aaWNXFvHhgCMyn/AOJrjPg7/wAkj8Ef9gOx/wDSdK6m0/49If8AcX+VfK4//fK%0a3+Of/AKVI+KzP/f8AEf45/wDpcy5/ac//AD7x/wDf0/8AxNH9pz/8+8f/AH9P/wATUNFcJ5%0apN/ac//PvH/wB/T/8AE0f2nP8A8+8f/f0//E1DRQBN/ac//PvH/wB/T/8AE0f2nP8A8+8f/%0af0//E1DRQBN/ac//PvH/wB/T/8AE0f2nP8A8+8f/f0//E1DRQBN/ac//PvH/wB/T/8AE0f2%0anP8A8+8f/f0//E1DRQBN/ac//PvH/wB/T/8AE0f2nP8A8+8f/f0//E1DRQBN/ac//PvH/wB%0a/T/8AE0f2nP8A8+8f/f0//E1DRQBIdWmEip9njyQT/rT2x/s+9O/tOf8A594/+/p/+Jqm3/%0aH3H/uN/NamoAm/tOf/AJ94/wDv6f8A4mj+05/+feP/AL+n/wCJqGigCb+05/8An3j/AO/p/%0awDia+QP+CglzJcf8IFvjWPH2/G192f+Pb2FfXNfIf8AwUA/5kP/ALf/AP23r7jgn/kfYf8A%0a7e/9Ikfo/h3/AMlPhf8At/8A9IkfSfwb1CZPhD4HUQRkDQrEAmUjP+jp/s11/wDac/8Az7x%0a/9/T/APE1xXwd/wCSR+CP+wHY/wDpOldfXyuP/wB8rf45/wDpUj4rM/8Af8R/jn/6XMt299%0aLNMqNCiKc8iQk9PTaKu1m2f/Hwn4/yrSrhPNCvh/8AbhjD/FjSSc/8gSLoSP8AlvPX3BXxD%0a+2//wAlX0n/ALAkX/o+egDwYeJbcyKfJn+ytN5Au9q+UX6eucZ4zjGe9JqGvxWktxGtvcXI%0atwGneFVIjB55yQTxzgZrB3LL8PorVcG5LrbiP+LzRJ0+verttPFajxIlwyqUnaVwxx8jRjB%0a+nBFdzpQV3bZ29dUr/j+RxRqyk0r2vb5b6fh+Zb1DWIYfsyxI91JcjdFHDjLLjJbJIAHI6n%0avXvX7C1/HqXxR1aWMMuNGnRkcYZGFxACCPWvmfR4nsdQ0dLkGN303y1Df3gwYr9cfyr6G/Y%0aDUv8YfFE6f6iTT7kow6N++tQSPxBrOpTjFO3Tr82v0Lp1JTab69Pkmfe1FFFcp1GPL/AMft%0a1/vj/wBAWiiX/j9uv98f+gLXE/HCRYvgr4/d2CIvh/UCWY4AH2aSs6k/ZwlPsm/uTf6GlOH%0atJxh3aX3tL9Q+K/xp8F/A/RdP1bxvrkehWF/fR6dbSvBLN5lw4Yqm2NWI4VjuIwMckV21fj%0aLocnwx+H/w0+Bmp65qnhNNH1Ky8jxfbWWmeGtQ1vTXky1vcG3udPnuXQqQzks5wQAq/Lu+i%0a/8Agn/qfh+51LxX43s7jwbrOpXSTDwt4J0HT/Ddn4nSxWTDSXDW0dqFdwFyjMqAcnqK6eS0%0apRb+G/4Wt823deV9rM5+b3YyXW343/K1n523uj7Cu/2n/g3p93Na3Xxa8DW1zA7RSwzeJLN%0aHjcHDKymXIIIIINdD4I+Lfgb4mS3cXg/xn4e8VyWiq1wmiarBeGENnaXETttBwcZ64NfFX7%0aPk0UD+P9M+EVv8d7K1s/E12dds4D4MeKDU2I85Ee6LFgNqj5GZcAc85PtHwI8Aaj4K+MHif%0axZfeDvijc674wjtoNV13xbeeGjbQrbxlYj5Wn3CsPlwvyxtngkDk1lT95Rcuqv82k9PK99e%0a1n1Lm+Vy5ejt8r2187W076H0zUNt/q2/33/9CNTVDbf6tv8Aff8A9CNAzg/EX7QPw68I6r4%0ar03W/FunaRf8Aheyi1LVre9cxPBbSY2SqGA8xSWRP3e753VPvMAed8O/tlfArxRotrqln8X%0aPB8NtcqWSPUdYhsZwASPngnZJEPHRlBxg9CK+ef23vEl1B4xOn654T8IfEbVRp9yfCXw9j8%0aL3eq6pqkbqiS3Ul6sDfZhC6mQwQ7C6x8zZK7fA/Ffhm60fw/rHiT4g6z4i1TxD8U72HR/F3%0ahtfDGr6DbSr5sR0230u8u7AQrcQCAptuCEkjeRd6lBKwB+k13+0B8N9P1660e88baJY3ttp%0acWtyG7vEhhNjISEuFmciN04BJVjtDITgOpOb/AMNV/BT/AKLB4B/8Key/+O18pftu2Gs6d8%0aPfEdjd+HtBufCp8CPdaHp14timt+C5IhbwTouJHeWKYSpE8kDOqsoUttKs/wA6w/F7xVFqn%0ajvx/wD8LK0TRfF/gLS5NB8M2uo6/p1lcpZCBJRFBp02mTm7YvxvEsbt9zcBzQB+pet/Hr4d%0a+Hbbwpd6h4x0mDTfFM7W2jamLgPZXkioz7RcrmJchSF3MNzYVcsQK+Jv2Xvit4Q+DnjrVNe%0a8a+IbHw3pEmmGzS6vpNqvNJc24RFHVjwzHA4VXY4VWI9D+KnhLUf2kvgh4D0ddA8R+K/HPi%0a/wjpt7eancavqOneGbDKxO13dRwTR20syyuZEgjjeQlFJURqDXgPw58HXfirxTbXtr4Om8c%0aDw//wATebS9O1q50nU1iUiJprCeCSMm5Tzgwjd1V1EighyhH6Nw7/yI83/wQ/M/WeFP+Sbz%0a3/BD82fpB40+NHw++G+ow6f4t8d+GvC1/NEJ4rXWtYt7OWSMkqHVZHUlcqwyBjIPpWR/w0p%0a8J5NMnv7b4k+FtSt4oLq4xpurwXckiW0Pn3HlxxMzyGOL52VASFIOORXzR8bNA8afEL9or9%0am/w94PM+laRpthP4qhu/FGh313PpoihRAt5NJdq1xIzSRo8ZZJI2dC7t5gr4+8CW93cfAL4%0aaeI7zxP4WPhzwxYfEDTryJ723srvT7q/wBPuEtoJFlui9xJcOC0aRRKwXqGHzV+cn5MfsR4%0aO8X6T4/8KaR4l0G7+36Jq1rHe2V15bx+bDIoZG2uAy5BBwwB9RWnD/rJ/wDfH/oK15V+yPY%0a3Om/su/Ci1vLeW1uYvDOnrJDOhR0PkJwVPINeqw/6yf8A3x/6CtAHB+Iv2gfh14R1XxXput%0a+LdO0i/wDC9lFqWrW965ieC2kxslUMB5iksifu93zuqfeYA874d/bK+BXijRbXVLP4ueD4b%0aa5Uskeo6xDYzgAkfPBOySIeOjKDjB6EV88/tveJLqDxidP1zwn4Q+I2qjT7k+Evh7H4Xu9V%0a1TVI3VElupL1YG+zCF1Mhgh2F1j5myV2+B+K/DN1o/h/WPEnxB1nxFqniH4p3sOj+LvDa+G%0aNX0G2lXzYjptvpd5d2AhW4gEBTbcEJJG8i71KCVgD9Jrv9oD4b6fr11o95420SxvbbS4tbk%0aN3eJDCbGQkJcLM5EbpwCSrHaGQnAdSc3/hqv4Kf9Fg8A/+FPZf/Ha+Uv23bDWdO+HviOxu/%0aD2g3PhU+BHutD068WxTW/BckQt4J0XEjvLFMJUieSBnVWUKW2lWf51h+L3iqLVPHfj/AP4W%0aVomi+L/AWlyaD4ZtdR1/TrK5SyECSiKDTptMnN2xfjeJY3b7m4DmgD9Ubn44eArbUPBdn/w%0alemzyeM5JYvD8trN58OotEm9/LlTKYA4BLAFiqjLEA2Yvi34Tm+Kk3w3XVgPGkOmDWW0tre%0aVSbQyCPzVkK+W3zHG0MWHpxX5fftZ+LPFniPWPAfiDxH4u8PQXWt/B25nsjNcpHcW7S6aZL%0a6VoJIvKE16zSWkYhbO3dtClQRg+HfGXhTWfgnoejT/DPwtC+p+H4bIa1b/CrTZNQDP9psvt%0aC3L68jGbzrK6xK0SEtFvKKGUEA/Wvxr8SPCXw1sre88XeKdF8K2lxJ5UNxreoQ2ccr4ztVp%0aGUE4BOBzgVyH/AA1X8FP+iweAf/Cnsv8A47XyT8Ute8DW37Of7M9zrulfEw6Poo0B/C3ibw%0axFosUtxqYtQLZJLa5uJSG/clypRowePMYde9+JXw18a/F/wRqfhDxdp3x71bw7qSot3Z+f4%0aDh8wJIsi/PGyuMMingjp6UAfY9vcRXcEc8EiTQyqHSSNgyupGQQR1BHepK5v4eXVxc+ENOS%0a58P6r4Ze2jFsun61LayXKogCqzNbTSxHcBnh/qB0rpKACiiigAooooAhX/j7k/3F/m1YXjX%0a4keEvhrZW954u8U6L4VtLiTyobjW9Qhs45XxnarSMoJwCcDnArdX/AI+5P9xf5tXyD/wUJ1%0ab+wfEP7Pmo/wBtaX4c+zeOoZf7W1tN9laYhf8AeTL5sWUHUjzE/wB4UAez6X+1x8GtT0C31%0apviNoOladcl/s0muXP9mPcqmMvDHciN5U+YYdAVOeCa19O/aH+HV94Fs/Gd14ptfD3hi9mS%0a3tdS8TxyaLHcO8fmoIxeLEXDR/OpAIZQSCQDX50ad+0V4++L3x18C/Ei2n8LQeIvD/h7xU0%0ac8Omzzadc29oJMERfaw+ZBwGEpA3A4YDB9Q+NvivxZ8df2eP2Ytf8VahpUWq+LPiZ4fuoI/%0aD9pdWAsopIrgEbhdtKzIST5sckRGRjYRuoA9x/aN/aA+F/jf4M+IdF8O/Ejwjr+s3X2fyNO%0a0vXbW5uJdtxE7bI0kLNhVZjgcBSegq/+wn/AMkj1f8A7Dk3/pPb1+f2oftHSeM7vwlpmla3%0afa1o/iRbtphqeu6kbi3+z7WUPZv4k1BRuYHH2mBDhQ0Yb78fY/tB/wDKOPxJ/wBjvb/+iYq%0a/RqH/ACRtf/r/AB/JH6zhv+SAxH/YRH8kfq7RX5ifsraZ4N8K/t3afb+BtB8UfAjw7c+HTu%0a8EeN1vLe98ST/6R+9ijlaVSkeA3zS5zGSin95tx/hZo/h/9q34f+Mf2gfjb4X8afGFpfEMm%0aj6L4I8IG4m/se2CRNmKCGaIgYZQx3YIUO253JH5yfkx+qdQw/6yf/fH/oK14N+wz4s+H3iz%0a9njSm+F2na3pPguyvr63srLxAyNcw7rh5mTKySZRTMVQsxbao3EnJPvMP+sn/wB8f+grQBN%0aXmfxF/aS+G/wm8Q3Oh+LfE0ejanbaM/iCWGW1ncLYpIYzLvSMqTvG0IDvY4AU5FeEftcX3i%0a/Uv2pvgJ4S8N3+otYaxa65JfaLb+K7/wAPW195NsjoZrmzDSjYfmXCNk/KcKzEfF3i/wCKX%0ag/X/E3hn4oa1ofiLTdG1bwX4g04aFqHjnV9Rkv7mCd4YrY3jTJMYJZHUNEuE5bIY5oA/YnS%0adWste0qy1PTbqK+0+9hS5trqBw8c0TqGR1YcFSCCD6Guc8JfFjwr458W+LPDGiar9t1zwpN%0aDb6za/Z5Y/sskqs0Y3OoV8hWOULAY5xXz74st/BPwJ/ZM8Ia749tvEHhCXRdHgtbTwt4e8a%0aaxavJfSpuXT4jHcrJM2/KqH3+Uitg+XGTXxH+zrZ+LPh18afiV4p+KFz4pHhi0vtPtvGkOi%0aeKNVt7nR3vImltrqaWG5Wa4jtiPIfe8hVZGYF9vIB+xlcd4Z+LvhLxh498V+C9I1b7X4m8L%0afZ/7Ysfs0yfZfOQvF87IEfcoJ+Rmx3xXzH+0x8VL74JePv2ePCPhv4m3fgn4f+J5tW/tbX7%0a7ULfUZWhRbeWGQ32prccbpmAZmI2uFHAUDwf4W+P/AA5on7TX7SOrR/tHf2Oj22myad4h+3%0a6B/wAT+RLV/lzJaNDJ5bYTFuiHnDZPNAH6i1y2gfFHwp4p8Z+IvCWk67aX/iPw8ITqmnQvm%0aS180Epu4wcgHOCccZxkV8IWX7WnxS179k79na7tvFDf8LG+IfimfT77VY7G1DtYQ3txFMwi%0aEWxdqCDLKoIC5zk5Oj+wb8HNZ+JXw78FfHpPG2qp8RzoutaHd3OpObxNXb7Y4tGvXcmSSOH%0abgqCGYJAA6CLawB+g9FfPX7C/x11n48/Ai21DxW+7xtol/caJrwaNIm+1QsDuKIAqko6EgA%0aDduA6V9C0AFFFFABRRRQAUUUUAFFFFABUNz/q1/wB9P/QhU1Q3P+rX/fT/ANCFAE1FcL8ef%0a+SG/ET/ALFzUf8A0mkr8aPg/wCEvD3irQPgToXw78LeIvAfxw1PWHuX+IOp3kllpt7axyzq%0a/wBkLzFZiqmNSsUakmNk+YsQQD90aK/KH/goloutyftnSeLPDkjLrXgXwPY+LLdFGd/2bU/%0anz7KkjufZKzf+CknxQg/aTsVuvDkzt4U8D+F9P8QXMnY3uqz2ogibB+8LZt4z0y4oA/XCuW%0a+J/wAT/DPwa8Dal4x8Y6l/Y/hzTfK+1XvkSz+X5kqRJ8kSs5y8iDhTjOTwCa/Or9uq11PSP%0aHPwh8UfETwfr3jz9naw8PWq6npej3k0MFteNuiNxMY2XbIBPCI97oJCNgcZeuP/AGrPG/wM%0a039gjQ7D4P3eq22leJteb7HoMuqXcZsXQQT3sdxCZCs/lMluP3plCtOGibaQ1AH6b+L/AI5%0afDf4fav8A2V4p+IPhbw1qnlrL9h1jWra0n2Nna2yRw2Dg4OMcVrX/AMRPCmleDV8XXvibR7%0aPwm0Uc667PfxJYmOQqsbicts2sWUKc4JYY6ivzz8RXlhefEz9ov+z7HxFpkMXwMvo3sfFk1%0azNqVvIDOXSaS4kkeQgk4fzHRl2lGZCprqPjt/yhv0z/ALFfw5/6V2VAH0re/tvfASw8XWHh%0auX4seGG1G+iaaKaG+WWyVQHJEl4mYIm+RsLJIrHKgA7lz2sfx3+HV14H1/xjY+NtC1jwxoM%0aMk+p6lpF9HfRWyom9g3klzu28hACxyAASRXw1c/FT47XvxO8IfDf4dat8SZdR0W0tb3xlpG%0asW/g8TQ6Y/kBHsJlXyzJtZ8LKSTujzjDZp/tC/By6+Hf7NXxAul0zxho+maz4ysvEvi218d%0a6npaXfiZZJGMtnYvpXnLFI84gOHjVRuyDtVloA+6fGP7QHgHwD8M9K+IWu+IFsvBmqLava6%0autrPNG6XChoHIRGZFYEfMwAGRkjNdZ4q8X6F4F0SfWfEmtad4e0iAqsuoardx21vGWYKoaR%0ayFGWIAyeSQK/IfRNRj0P4l/FjX/GU3gnxd4wsLDTNMvtJ8ReBI9ft9Q8SSQzeTptglsYntS%0agtxaMcshkRywPybfePhv8AB3wT8b/gD8abGXSrHw/4n1DTdLvPE/hDwH4T1DQbvTtQtYXuI%0aLPybuSaKRiwKf6PBHvJZiWLqQAfYv8Aw1X8FP8AosHgH/wp7L/47XT+CPiz4H+Jkl4ng/xl%0a4f8AFb2YVrldE1SC8MAbO0uInbbna2M9cH0r5S+DXxw+M7fDHQX8aeJL+28UvCz38GqfAvx%0aFdXETl2IR5bOWGB9qlQDHGowBnJyT6d+y5qfgrxb47+KHiXT9UtNb+JFxdWdt4ou7Tw3q2g%0aeWsUHl2sMlpfzS7ZFVJMtHtyCu5c/MwB9CN/x9x/7jfzWue+JXxK8OfCDwRqfi/wAXaj/ZP%0ah3TVRru88iSbyw8ixr8kas5yzqOAevpXQt/x9x/7jfzWvkX/gqam79k7xIzaTrd4kfksb/T%0a9SW2s7Mm6t1H2uH7RGbhX3bUURTBWwxCYDUAfQvif49fDTwRqEdh4k+IXhbw5qEkKXC2esa%0azb2k5ib7r+XI6tg4ODjtTbz49fDu1+HOsePovGOk6p4O0jd9u1jRrgajDAV27lP2feSw3oS%0aoBOGBxzX5r+O/ip4h+FXxxutU8CtrPhbV9S8K+H9PsTr99DrV28dxqeWJmea7WRZELFCJHK%0aoVAC7cLzvj3xTbaH+w78XNMVdSk1nW/ivrFrZJYXtxBGqIsU9w8yRsEmjEMTjZJkAuGAytA%0aH6k+Ifjv4G8K33gWy1PXRb3njiVYfD1utrPI98xVGyFRCUUCRCWfaq7hkiu+r8pL3w3Z+Nf%0aGnw41v4WeD9f+OPibSdEGjeIvA3xC097jSNFU2iTIovL+MJG/nM8i/vpQ6nbEyxbFP0n/AM%0aEybPw34c+FPiDw5b6Rr2geP7W/TUPF2m69ojaU0F1cx74hDF9xYAibUCkHC7ikYkVaAPsii%0auY+KHjRfhv8NPFvi14PtSaBpF3qrQbtvmCCF5duecZ2Y/Gvnn9kW3sfhp+zLqPxu8bXAvvF%0aXiuym8Y+Jtc2hppYdrywwpnG2OOAIqRA7VJYLgHAAPq2ivx3/Za+J9j8P/2hPht8X9S8Y6V%0aqGr/FvV9X07xRodpqMMtxpIuLlfsfmxBt0aGUI+WACoMcdK+z/wBolD8Df2rfg78TNBjW2j%0a8c6pF4F8UWsR2LqHnYFjO4A+aSIhhvbLbFRMhRQB9c0UUUAQ23+rb/AH3/APQjWT438b6H8%0aN/COreKPEupRaRoOlW7XV5ezZKxxr6AAszHgBVBZiQACSBWtbf6tv8Aff8A9CNfnl+1XoPj%0aD4k/G7SbL4pfEf4OaV8O9Cu1v4fhxe+OpNJnvlGTFLevJZuWLcZATaE3KmCWkIB9zfCz4re%0aFvjX4JsvF3gzVP7Z8PXrSJBefZ5YN5jdkcbJVVxhlYcgdOOKzPEn7Qnws8G63daNr/wAS/B%0a+h6vakLcafqWvWtvcQkqGAeN5Ay5Ug8joQa+JPgZa+Kfh58edVm+DPj/4Gx+E/FV0Lu5+Ft%0ar8QH1CI3IXMstj5VirW7FFPyrGyhQAVZY4xHZv/AIlx/C79pb9om9fWvGGkzat4u8LaHaR+%0aDLfS5rq5ubjT5/Kjf+0Y2iVMp94FSCRk4zQB9gp+1R8FpHVE+L/gNmY4CjxNZEk/9/a6i5+%0aJ/haz+JNn4An1mCLxheaa+rW+lurB5bVJBG0gbG372flzuIViAQrEfnh+1x8U7rXPhN8UfA%0aus638SZfEWhR6Nd3ekeNLbw8ttGk2o2pjkjk0uPcz44wX24c5GQMeX/t8XWt23xu+OkOr+I%0a/DzXdzpOjvDZW1yJrg6at/bCHTFhmjVhK7bL6UQuR+7XkKxBAP1Z8LfFvwn408a+LPCOj6s%0aLvxH4VeCPWLBreWJrYzKXi5dQrhlBOULD1IyKd42+LvgX4aT2sHi/wAa+HfCk12rPbx63qs%0aFm0yqQGKCV13AEjJHrX5RfFnxb4H8a/DbU9Lufh94e8I2l9Zw3f8Abfhr4S6Xa6hbwm2t9Q%0aV4pR4hYqWt54WI2k7ZWTAYED61/aZ8ReHpv2jPhJql7oXxU0bx2Re2Xg7UPCj+H5IL/wAyF%0aftJ2Xksm3ak23MqRgbiRnANAH0TY/tO/BzU723s7P4s+Bru7uJFiht4PElm8krscKqqJMkk%0akAAckmvTK+NPHfwv8V/FKPQrfxloPx28RWGjatba3bWU9z4Hgj+0wEmMs0EkbkfMwI3DIPr%0agj690PULjVtItLy60y60W4njDyaffNE09uT/A5hkkjJH+w7D3NAF6iiigAooooAKKKKAIbb%0a/Vt/vv/wChGi7u4NPtJrq6mjtraBGllmmcIkaKMszMeAAASSaLb/Vt/vv/AOhGq+uazb+Ht%0aIu9Suo7qW3tYzLIljZy3c7AdkhhVpJD/sopJ9KAPO/+Gq/gp/0WDwD/AOFPZf8Ax2tnwl8d%0avhr4+1lNI8MfEPwp4j1V0aRbHSNbtrqdlXlmEcblsDuccV8h/DP41+HbX/goH8Y9cax8VvZ%0a3XhzS4Ehh8H6vLdo6pHnzLZbUzRDuGdFDZGCciqv/AAT/APib4csvh58adL1SHxLDDf8Ajv%0aXr57mz0TU4o4bf7NCzb7yKILazBUb5WkjlU7cAFlyAfaHgL4teE/idH4kk8NasNSi8O6rca%0aJqcvkSxJBeQY82PdIqh9u5TuQlTkYJpvwp+L/g/43+Ff+Ek8Ea3Fr+ifaJLT7XFFJGBLGcO%0au2RVbjIOcYIIIyCDX4z+D/FXxA0/wJawfDrxW0d54l8I6rrvixNU8WG30+J7zVpLDzpXubh%0aYFufKEQDOUfc4OWfaD9cfs4674q8EfFP4c6L4A8UfDvWvCDeHTod14C0b4lW+om3njjkuDq%0aHlrbR7ZGl3ec0KzsfMc8qF2gH3N8Pfip4R+K9hqV74Q1+y8QWmnX02m3U1lJuWK4iOHQ+vY%0ahhwwIZSQQaq/Cj4y+DvjhoF7rXgnWP7a0yyvpdNnn+yzW+y4jCl02yopOA68gEHPB614P8A%0as3eIdQ+Ken/E3xB8P/DXhH4T+KY/G97pPiaW5sp9fj1W5tooQZ1dJbJkBaRiAQRku2A0jk+%0aW/wDBLbTfHU3wp8Rz6d4j8PWvh+PxvfC+sbrQJ57qchLfzDFcLeosQZcBQ0Um0gkl84AB91%0a614o0bw3NpsOravYaXLqVytlYx3tykLXVwwJWGIMRvcgEhVyTg8U3w74s0Pxha3NzoOs6fr%0advbXD2k82nXSXCRTocPExQkK6kjKnkdxX5P/EH4Ta741/aasfBepfD6abxQvifUPE13pnhn%0aRPCYC+H/ADGFtI0jJlpSXG5L9yj7oyQzkE6H7NHgLwn8Hfip4Jn+InhLxz4a8ZXHjy6t/Dd%0aqbHQLQSrMTFHJcRKFvXgUFsvEDaqceXycEA/STxD+0R8KvCOs3Wj678TfB2i6taNsuLDUNf%0atIJ4WwDh43kDKcEHBHepPDH7QHwv8AG+uW2i+HfiR4R1/Wbrd5GnaXrtrc3Eu1S7bI0kLNh%0aVZjgcBSegr5F+Avi7VfCn7cv7UbaX4J13xmZ7rSxImiTWEZt8RSYL/a7qAHdk42bvunOOM6%0aPxA8Wap4r/4KLfs3Sap4L1zwa8On68qRa3NYSNODYT5ZPslzOAB0O4qeeAaAPsC8+KPgzTr%0aXVrm78XaFbW2kXSWOozTalCiWVw5UJDMS2I5GLKArYJ3DA5FZTfH34YJ4p/4RlviP4SXxJ9%0arGn/2OdctRefaS+wQeT5m/zN/y7MZzxjNflX8dfCOgWWqftAw2/h/QoY4PiBZQwkeBri4lh%0ajaa23pHqqEW9mjbm3QupMm5gPviu2bStQ03xFaRWFzpNr4Ptv2roLSHR7bTmSeKdFUBlnE3%0alrCsY2CEQ5BGfMx8tAH6tVDN/rIP98/+gtU1Qzf6yD/fP/oLUATVyniT4peF/CPjLwv4T1b%0aVktfEPiZp10mxEUjtc+SgeU5VSECqRy5UEkAEniurr86v20o4bf8AbZ+HNjovxR1TwRr2t6%0aaBrl+95BEum6VFMrxQ2GYjJ9ouZYpl8tWYyMUUqyMRQB9e6p+1h8HdB8ea54M1j4jeH9D8R%0a6KIzfWur3i2SRl1DKqyy7Y5GwRlUZiufmAr0/TdSs9a0611DT7qC+sLuJJ7e6tpBJFNGwDK%0a6MpIZSCCCDgg1+bE/wCzz8Xk8IeJ9K8MaZ4o8XfB3xHqdnqXibTPEk6aT4n12dHIvp7NZWJ%0ahhuDFFK0dx5U7D92oUEs3vX7Vvx/8Q+A/gB8MPFPw9XUfAzaz4o0zS5dO1bRUtrq3tHSYSW%0a0ltPGfKIMajKjooKMVIJAPp218aeH77xReeGrbXdMuPEdlCtzdaPFeRtdwRNjbI8IO9VO5c%0aMQAcj1rO8Y/FPwl8PtY8MaV4j1+y0fUvE19/Zuj21zJte8uNpbYg/JcnA3PGud0iBvkHRfF%0aGpeFv+Cmfxcn0zwhrPjGWTwlpyNa6LNZRyRDFud7G7uYF28Y+VickcYya9I/aX+I1gNY+DG%0aheOfhLY6/oHizxNYW0EGuaqgvNI1IuwV3t4o5oZQiMfu3BDb2QjbkkA9r8c/GXwd8NvFHhH%0aw74j1j+ztY8W3TWWi232WaX7VMpQMu5EZUx5icuVHPXg12tfnv+2dpPxFh/aR/ZgTU/FPhi%0a8vJvE1yNKltPDVzbx2j7rXmdG1BzOOV4Roeh55GOx/bZ0XxXpXhLwV4h8fW2heK/B+g3V9d%0aeKNa0bwzo6TWVo8caW6W0GtTXS+Y820HyyWfCqF3bQwB9Xaf8VPBWrvoyWPi/Qb19alng0x%0abfU4JDfyQ589IMMfNaPB3hclcc4q74w8deG/h5pA1XxV4h0rwzpZkWEXusXsVpCZDkhN8jB%0adxwcDOeDX48eCv2aNe0Xw78Ddd8SfDPxXDpzR6vq3iLUo9G8MtZR2rxtNBJ5lyhWNBGVLDV%0aCFTDCEKRgep/tC3/gyb/gmP4Htvh7Fr58Kad4vS0tD4ja2e9lKz3ZkJe3YwuvmM4VlOCAPr%0aQB9/f8NV/BT/AKLB4B/8Key/+O11sfxN8Hy+H9K15PFehvoerXCWmn6muowm2vJnYqkcMu7%0abI7MCoVSSSCB0rx/41fFjxRefBzx5BL8F/HFjFLoN+j3VxeaEY4QbeQF2CamzFR1O1WOBwC%0aeK+Ode0TTdS/4Jvfs23V5ptje3MHiuwhikvNJbUtkcl5cCRPs6fvJkcKoaFCDIFC9cUAfox%0ar/xo+HvhWO/k1vx34Z0eOwu00+7a/1i3gFtcuhkSCQu42SMiswQ4JVSQMCvlj9s7x74Z+Iu%0aleBtU8KeI9J8T6akuoQNeaNfRXcKyAWpKF42YBgGUkZzhh618taZ4ctbX4gM/h+z0HRNe/4%0aXj4btbG6j8Iz6PBAv2G4YL/ZssizxRByrGEyLknO4bga0tKS7i8EeIkv54bm+X4neKxcTW0%0aJhikkzYbmSMs5RSckKWYgcbj1r7jgn/kfYf/t7/wBIkfo/h3/yU+F/7f8A/SJH6ffB3/kkf%0agj/ALAdj/6TpXU2n/HpD/uL/KuW+Dv/ACSPwR/2A7H/ANJ0rqbT/j0h/wBxf5V8rj/98rf4%0a5/8ApUj4rM/9/wAR/jn/AOlzJqKKK4TzStqepWei6ddahqF1BY2FpE89xdXMgjihjUFmd2Y%0agKoAJJJwAK82/4ar+Cn/RYPAP/hT2X/x2vQPEWv23hfRbrVLyK9mtrZQzx6dYT305BIHyQQ%0aI8jnnoqk4yegNfEHwP+Nvhyx/bf/aS1t7HxXLZalB4fSGO28HavPcoYrHY4mt0tTLByDjzU%0aXcOVyOaAPrTw78fvhh4vnu4NB+I/hLW5rS2kvbmPTtctbhobdMb5nCSEqi5GWPAyMmsu0/a%0ak+D934b0PXn+J3hWw0vW7b7Zp0up6tDZNcRB2QsEmZHG10dGBAKsrKQCCK+Wv+CZfxDS3+C%0aHiPQdK0zUb3xHceJdVurJbzStQt9MdtiMqTagtrJDATtwQ2XGQNhJAPzT47+KGl/EfRfAul%0a+GbXR/gp4LuNO1XxhFpEHiKDTPK1y2vriJLmHUGspJTMQmEiRYztxGrIqigD9VfCHxy+G/x%0aB1f+yvC3xB8LeJdU8tpfsOj61bXc+xcbm2RuWwMjJxjmsq+/ad+DmmXtxZ3nxZ8DWl3byNF%0aNbz+JLNJInU4ZWUyZBBBBB5BFfAH/BO7xZqY/aL8OrL4m0/xPeeLvCNxrWu30mo22sap9qD%0axIIri6NrHc2wVYoz9kaaVVwGzk8ek/wDBP7x1rfhaz+Ndtpnw68S+MIZPiHqUjXei3GmRxR%0atiMbGF3eQPuwAeFK4I5zkAA+zvBfxr+HnxH1SXTPCXjzwz4o1KKE3MlnousW95MkQZVMhSN%0a2IUM6jdjGWA7irq/FDwa8Ec6+LdCaGXVf7CjkGpQ7X1HO37GDu5nyCPK+/ntXyP8MdcvPFX%0a/BT/AMV3OqeF9T8LSt8MRE2m61JaSzFft1t8xNtPNHtOTxvzwcgV8mab4G8My+JdE0t/DPh%0a5tPf4/ppbQHwJOGaz+2lPsp1Un7K0G35fsWzdjn7oxQB+qukfH74YeIPEcXh/S/iP4S1LXp%0aZWgj0uz121lunkXO5BEshYsMHIxkYNd7X5SfA6LWG8b/s4XM2pafcaDL8RPFP2K1gsnS4ib%0ac+9nnMzLIrcbQsabe5bNfq3QAUUUUAQt/x9x/7jfzWpqhb/AI+4/wDcb+a1NQAUUUUAcp8S%0avir4Q+D3h+HXPGviGx8N6TNdw2Md1fybFeeVtqIO57sT0VEd2IVGYfNX7f1xE0/gaASIZkW%0a9doww3KrGAKSOwJVsH/ZPpXeftCaJ8KPiHqd54f8AiJonxE123EEMNxp+iad4ol0mdQwmjL%0aLYJ9lmYMQd3zMCqgkFAB+b3wu8T6N4w8Pa1fWmrarrd/a+Ib3TLK51O5vLgQ6DEkB0y3iac%0alVRDJeHYvzrv+cDKV9xwT/yPsP/ANvf+kSP0fw7/wCSnwv/AG//AOkSP1Fsfi/4O+CX7P3g%0aPxB4412Dw9o8um6ZZJdXCuwaaSBdi4RSezEnGAFJJABNa+qftLfCHQ9SudP1H4q+CdPv7WR%0aoZ7W68RWccsLqcMro0gKsDwQRkV8c/wBnnxZ+1n8J7S28N6T4qkf4OQKuj+Jy9tZXDx3nWR%0ajbzEBSm9GETAlUI4IYcw37Sfj74wfHj4naXp2i2WmeEtL+Fusae2k2/im4m0a4jt714JdUs%0asWipM4O+FAY4wyxt+9UYB+Vx/8Avlb/ABz/APSpHxWZ/wC/4j/HP/0uZ+jWifEXwpq03h5r%0aHxPo16viASnRzb6hFINSEaF5Db4b99tUFjszgAk8V2lfnH+zp/x7/sE/9e/iH/02T1+jlcJ%0a5oV8Hft5avdWHxe0iODRL7UkOhQsZbV7dVB+0XHynzJUOeM9McjnrX3jX59f8FBtSsbP4za%0aMlz4vfQJDoEJFsr2q7h9oufn/exs3PI4OPl6daaTeiE3bc87XTrRbs3QtYRcnrMIxvPGPvd%0aelR3enWt1Mk01tDNLGfkkkjDMvfgnpV2opOn40+Z73Fyraxn6jZwXsXl3EEdwgOQsqBhn1w%0aa94/YijSH4q6okaqiLocoVVGAB59vwBXhs/SvdP2Jv8AkrOrf9gSb/0fBSu7WHZXufbdFFF%0aIZjy/8ft1/vj/ANAWuA+PvgPXPij8F/GPhHw5rEGg6zrWmy2MF/cxNJGm8YZWCkEBlLLuGS%0au7dtbG09/L/wAft1/vj/0BaKicVOLjLZlRk4SUluj5q+K/wE8bX/7Lln8FPBFp4blsX8Owa%0aHcazrWrT2rwGNUUukEdpKJdwVjzInJ716T8N/2fvCnw61TSdfhsze+L7Lw7aeGpNbmmlLSW%0akCIAiRM5SIFkDEIBk9Sa9MorZyblKb3k7v7mvus2vQzUUoxgtkrfin+aT9Tw34jfs6eEJrp%0aL7w58CPhV4p1C7mkmv5/EdvDYOXYg7w6afcmVmJYsW2+uTnjnv2Vv2Y9R+CvxC+KPjHU9O8%0aL+Hf8AhLrm0Fl4b8JAvZabbQRsABIYIMs7OxIESj5QcksQPpOioj7mq7NfJ2/yRUvfVn3T+%0aav/AJhUNt/q2/33/wDQjU1Q23+rb/ff/wBCNAHzP8avAPjXxJ8fdA8Z+BvAl83izw/pt5pe%0an+IvEet2Vr4dRJ4WPmvBD597MwdtoTZCMg5bHJ8Ui/YP+J/w08C+HvC8fiKw+KvgvSvEcXi%0a6bSbSKPQNYW/jY4FvPIJ4rhX8xy6zmIny0VZEBNfoTRQB8Cftk/ssfF79pX4tXmoaFplhpP%0ahxvDOn6HDNqmoxpJH518s964SMSHzI1VFYZ2sgbYzt8pq67+yb8dvG/wATfCcHiDxRfW0Wm%0a3viHUB4t0S6hgs9Ehu7CO2srPTo2la6+QxZYsiBdx2uzZkb9BaKAPkP4p/Bbxt448HaPoNx%0a8Ivh/wCLvinc6FDaat8UfE9nZSadb3CxhWeKMxyXU0n3toaGOMMVPK5Svn34N+GNQ8T+LZF%0asvhz4Z+KsFnavdXnhvxKIgZoQypvtGmRokuVd4yDJhSnmruUsGH6fV8KfsJ/8lc1f/sBzf+%0alFvX6Nw7/yI83/AMEPzP1nhT/km89/wQ/Nntfin4f+JvEWi+HbHw18N7Xwx4e0+1IttJj+I%0amoeFZ7NnPzxSQaPDNA4G1Sp85wNzYC5bPiPwl/Y2+Jnw18SeP8AU7vTtN1SPxPrL6pBDYfF%0a3xJpj2qMWPlzSw2m67cbv9dL85wfU193UV+cn5MYPgWDVrTwjpdvrljbadqUEXkyW1rq0+q%0aoqqSqH7VPFHLMxQKWZ0Dbi2S33jsQ/wCsn/3x/wCgrU1Qw/6yf/fH/oK0AfM/xq8A+NfEnx%0a90Dxn4G8CXzeLPD+m3ml6f4i8R63ZWvh1EnhY+a8EPn3szB22hNkIyDlscnxSL9g/4n/DTw%0aL4e8Lx+IrD4q+C9K8RxeLptJtIo9A1hb+NjgW88gniuFfzHLrOYifLRVkQE1+hNFAHwJ+2T%0a+yx8Xv2lfi1eahoWmWGk+HG8M6focM2qajGkkfnXyz3rhIxIfMjVUVhnayBtjO3ymrrv7Jv%0ax28b/ABN8JweIPFF9bRabe+IdQHi3RLqGCz0SG7sI7ays9OjaVrr5DFliyIF3Ha7NmRv0Fo%0aoA+IPjl+yP8T/il4K06WePwPN47vLLStC8QeI4LI3GpXFuR5N9Pb3FwAlsgSeYtHFGryqpY%0aOCRAfI5v+CeXj+LwPa6lDps66haZU+G7fxNNHcME1bVZQIQJhbIpt7u0dR5qAN55IV3fzP0%0a7ooA8Z+E3wJ0mX9nH4aeCfiV4S0TxBd6Do1lDPp+r2cF/Db3UcAR9u8Mu4ZZdy+pwSDXhPx%0ay/Yp1L4veBb7wloXwf+Dfw0a+urff4p0eczX9rbpOjuYo10qH52VSNvnKCCVLYJNfblFAFf%0aT7KLTbC2s4Btht41iQYAwqgAdPYVYoooAKKKKACiiigCFf+PuT/cX+bV4T8dPhR4m+Jnx++%0aBeoWtlG/gvwrqF9rOr3b3CBkuBAFtFWMncx3luQMAZzjjPuy/8AH3J/uL/NqmoA+VfH3wD8%0aeeNvj38UvG+o22nzaUfh5P4W8JWtpdBnmluPNaUy7wnlyBlAznZsmTDEq+3lov2S/iB4v+C%0aHwD8M3tzZeGbjwNpdzd3sD3rfaY9YFo0VgY5IA6BYpXMjOrE/KAoOcj7TooA/Oz4tfsZ+Mf%0aDfgXwt488Z/EmTX9X8H2CxXNlJNqmoG7uLkQQTv9pvL+REG8bx5VtCGGAy5Cld7wV+zl/w1%0aN+yHrvgX/hIf+EY8zxSLz7f9i+148uCA7fL8yPrnru49DX0v+1r/wAm++Kv+3T/ANK4a5D9%0ahP8A5JHq/wD2HJv/AEnt6/RqH/JG1/8Ar/H8kfrOG/5IDEf9hEfyRkeBP2NvE/8AwvLw98U%0afit8Xbz4pa14btpINFtk0G30i3tWcOGd0hdlc4c44U5C5JCgDNb9h3xN8O/HHiLXPgf8AGX%0aUPhPpniKY3mpaBLoVtrFn9oLEl4EmZRCMHGME9t20Kq/W1FfnJ+THkf7LP7O+n/svfCDT/A%0aALp+sXOvCGaS6nv7mJYvNmkwXKRrnYnHClmI7sa9Wh/1k/++P8A0FamqGH/AFk/++P/AEFa%0aAPnP4l/ADxj8SP2tPDnjT+2W8N+EtC8K3dnp+q6O8D6lBqM0yrIdk8LxqrwMyg7ZMbG+6zK%0aR4HffsY+OdM8S+BdR0DwrB/whfwf11V8O+GtUu7W61XxPBLcia/1CS43pDE7NseGOQrgxtu%0aEXyhv0OooA+Z/hj+ypH43+GPw31D48RXvin4oaBYMq3763cq+myPL5i+U0EqqLiMCFTcrmQ%0atCpErbVauW+BP7IU3hz47/GzWPFOn6+vhbVdR0+XQmn8XXs6apCkUgmW8jW6ZrlMlVKXgcF%0aWZcFSwP2DRQB594M+AHw88A6ZoFho/hSxWDw9NPPorXwa9l0tpiDL9lknLvArEDKxlV46V5%0aV8Fvg14o8M/tYftCeLte0VIvCfi5dJTS7mSeGVbxYrdo5gY1YsoBOMOoznjIr6WooA87uf2%0aefhzNc+FJ4fCGmac3hQ3R0KPToRbQ6cblWWcxQx4jBfeWOVPzAN95QR8z+CP2Zvj/8L/2Z3%0a+DHhPW/CWktb6k0tj47tNbvbe+htzfC5JNmLNl3soZCvn7cOVJIyT9uUUAZPhnw3ZeFtLFp%0aZwW8TSSPc3U0FtHAbq5kO6a4dY1VfMkcs7EDlmJrWoooAKKKKACiiigAooooAKKKKACobn/%0aVr/vp/wChCpqhuf8AVr/vp/6EKAMjx54Y/wCE38DeIvDv2n7F/a+nXOn/AGny/M8rzYmj37%0acjdjdnGRnHUV8yax/wT7sNW/Za8D/CoeMpbPxN4LvTqGi+NbbTik1rMbp5mIgE2cFX24Eo+%0aZEf+ELX1xRQB8/r+ys+tfHQ/EjxZ4ltvEDXngc+DNV0iLSjbQ3oeTdNOG89jGrgsPKwcZ+/%0aXk/h/wD4Jnab4b/Zd8bfCK18cu974o1a31GbxLLpGXjigeJoYPJE43BRG3zbxzKxxgAV9sU%0aUAfP3xB+AvxY1LXdPvPh98ebv4fafDpFpptzpcnhq21aCaWAyf6RGJ5MQlhIAwUc7FyTgY8%0aH+LP8AwTltPC37GOteBPAtpceOfiALhb+2u72WC1M13Pc2H2uSMOypCvk2YAQucAEZZiDX3%0azRQB8iy/ADxz4zP7UPi/WtKi03xF470S68L+GdGa5icpZRWksMEskquyK08jq5XPyY564Hi%0aXhj9kn4xav8AAe/8Can4UGjReJtd8M2mr215qtqwt9M03TrSO4uN0UsgPmTWyhEUM2FJZRx%0an9J6KAPi34cfs06pBqHj34pfG34V6Z8VPH/i7WFSPw7YQabfR6RYwK8cJie+lijwyqucNvK%0a+Vld28LD8C/wBjfWtI/ZK8I+BPGfhHw3qWvweJJPEE2meIL2WWx0t2MojkaK2+S+KKy5tmd%0aIpN7AyLtFfbFFAH5ufF/wDYx+KOofEPVZfDvhDR7rSTrvhK6tm0C5i8O2LQ2UN2t00MaTyT%0aWio0sYyhaQbi0YYjj2b9mv8AZm8S6F4s+NH/AAnul6r4e0zxDrFhe6ZLo/jm/uZp1igdGP2%0a9JYrt1BbkTBc8fKQoNfXtFAHh3jT9nuOx0uKTwkvibW9SMwWS31r4teJdOhWLa2WEkctwS2%0a4KNuwAgk7hgA0f2WfgB4i+EGs/E3xL4rvrCbW/GutDUPsOmXU13DZW8YZYYzcTIkk0m1vmd%0akG4jPUmvf6KAIW/4+4/9xv5rXhH7YHwn8R/Hbwx4P8AAelaek3hvUvEVrc+Jr+WeNVttPty%0aZmURsQ0jSOqKAobB5IxyPd2/4+4/9xv5rU1AH5t/Hf8AYD8WfEPw1rnhXwj4dXRPC3hSK4m%0a0CfVryzuNZ8QTEs1vZrcL/qLCDzJREk7l+VDBcho+9vPgF8RfGX7L3xh8LXPwy0Xw3fXdwJ%0aPCGh28enW95va1hiuJ5pbeUwbpCJPnd/MOXDErsA+56KAPht/2YPGN/wDtB23iPVfhL4M8d%0a+Ho/AWl6MF8a6lClvBewkeYI1W2u3LgZG7y1UgnDnofTf2EPg34p+Cngj4i6b4q8NWXhSXV%0aPHOo6vp+m6ddRXFsllLFbrF5TRgYjHlsqhkjbCjKLkCvpeigDB8f+ELb4g+BPEfha9dorPX%0aNNudMndRkrHNE0bEDvwxr5C8BfBbx38Yf2OdR/Z78S32ofDnxF4auI9Dvdbl0SW5s9V06OQ%0avbyWcjPGkiOixoxVyy7GDoodRX23RQB8tfGL/gnn8MfiJ8H4fCPhnRNC8AeILQ2rWnizS9C%0ah+2I0JXc0jIY3k3qGBzIPmIY5K4Nb4s+C/Ffxl/aI+DHhS5sb+48P8Aw+ni8V+IvFT6ZJZ2%0aN7qMcai2itt+Vdi+XZUdwivgtuUivq6igAooooAhtv8AVt/vv/6Ea+WZvhr8V/Dv7bXjX4i%0a+G/CGjav4c1XwxaaXFea14g/s+NpUdGZVEVvcylht/ijVcZ+bsfqa2/1bf77/APoRqagD5P%0a8AH3w6+L/xC/ah+Afi7WPBegad4e8IT6w9/eaH4la/8oXFrGiGRJ7W1flkAHliTqd2wAbuU%0a8Q/sZeK/il8bvixquo6nN4I0e88YeGvE+iazbRW97LdiwtJo5FSMufKYPKMNKhGR9xxmvtu%0aigD4M/aQ/Y78R+KbvxbbeG7fxr428V+NDo9pqHi/xDeaJb6VaW1vdxSFjFAIJ9yJFzsgbI6%0abjWn+03+xt4u+Jvi06h4d0XwjZ6ZrWtSXeumytVOrXcMMIlgE97cHc0cs1rbp5EIjWJnBJl%0aG6RPuCigD8rvG3/BOj4mL8M7C403Tp9V1m40q0tZdEj8US+dazf2JZWsnmedMsBRLm3mBVJ%0aHHlGJEBRQifor4z+D/hPx3oVivibwR4Y8aanplo0diniGwiuI0kKjKiSSKQxqzKuSqk4AO0%0a4ArvKKAPi3xn+xdqPxD8V/DqW3+F/wAKPhVpfh7xJa67qWoeFJzc317DBuItVA022G12Izu%0akIGA21ioB+0qKKACiiigAooooAKKKKAIbb/Vt/vv/AOhGodZl1CDSbyTSrW2vdTWJjbW15c%0atbwyyY+VXlWOQopPVgjEf3T0qa2/1bf77/APoRqagD5h/Y0+Bnjzwbq3j/AOKHxbe0X4l+P%0abuKa70+xcSQ6bawqVht1YMwOAdvDPhY4/mY7jR+xt8LvG3wN+HfxbXxD4akXVtR8a6vr+la%0abFe27Pf28kMHk7XEhSMu0bKBIVx1bA5r6eooA/LTx1/wTu+MWo/DD4jeKNMudIs/F/j4Lc6%0ap8OtGgto7aEf2ha3EFtHdSMqKYVWZ3dSAzIFUyZ3n6Tl+F/xc8TftbfBXxr4g8G6JpXhzwv%0apOpWd5e6N4i+3iNprZkQOktvbuCWwP3ayDkksMc/XFFAHzj+zH+yMPgb4y8e+Lta1+fX9b8%0aRa/qOpWdrFNKun6bBcTBiY4GO37RIqRCSU5ICJGp2hmksfsU/s7+If2cfhf4j8NeJ73Tb28%0a1PxHeavHJo88rosMyRKqlnSNg48ts4GBkYPp9DUUAfAHjf8AYdi8f6546tfC3wrfwxN4sS3%0agv/FnxH1Gy1RtNWOQLLc6ZHC9zcy3MyNLI73FxES+0luoHZfA/wDZh8TfAX44aN4kuPAXhz%0aULZNMfwvFrHw+mh0uJbLfEyXmo6fcqGe4LKxeWG6lOAoETEbj9m0UAfHfwx+Ffxj+G/wC1X%0a8d/GWleCdC1Dw94suLB7C81vxL9gEqxRuCUWC2un6tyJFj7Y3ZOLviP4Y/F3xr+2f8ABXx9%0arvgzQ9L8M+GLTVob690TxGdQWIz2ksce9Zre2kyXZQPLSQc5JXFfW9FAH55+Kf2G/iNr2i/%0aEXU0sdM+1az4ztdTtvCU3izWpLe9sIJArvcXP2tQ0suyOUO0ZeMKQu0siRZ/hn9irxtoX/C%0atXvPAlte+O0+KkXjjxF4zW7tJkttOS4l3WgupZfts5YJDMFMbAmTLMHDAfo5RQAVDN/rIP9%0a8/+gtU1Qzf6yD/fP/oLUATV5nr/AIS8YT/EO61jwzYeBvDnmW8UE3iS/wBPm1LU9QhU5+zv%0aHG1t5KIxYqxnmBz/AKta9MooA+ZPE3wk8XWPjW68XX/w48NeL9XW6Qv4k8C+ILzwt4gvrVj%0aCDDLCW2XIj8sYSe/EbLEmFQgLSftlfBP4j/tE+HvC2heF9P8ADVhp+lazY+IXu9d1qeG4aW%0aEShrYww2kqAYkX94JTyCNpGCfpyigD5K8MfBr41+HP2ofGXxh/4R7wDcf8JFo1vpP9i/8AC%0aW3q/Z/K8v8Aeed/ZR3Z8v7uwYz1OK6H9oX9m/xZ+0/pXwwXWtWtvh/eeHvEJ1XUm8NalNdT%0axxLHIIzZ3TQwlZtwj5aNQm9mBYxhZPpSigD5p+NX7LGpeMPiF+zzqHg+XS9L8NfDPUWnubO%0a+uJjM1ti3CLCdj+Y4ELZMjAkkEsSSan/bI+BukfGXw/Y2974A8WeO76NGa2Xw/rFjaw2rxu%0akiiSO+nWFTKfkM0cMkgjEikhSFb6PooA/PfXf+CeHifV9T8cayvhT4Q28fjCaG1l8MWlnLb%0aroFjFEyLJpmoi2YRXMhKtIzWRBbkY+6ex/am+C3xC+NH7GHgrwd4Y8A6hp3ifSb7TRJoGra%0atYNNFFbQvGzm5SXyZB93DDazA58tTlR9r0UAeEfEt/jf4r+HHivRIvh94HMupaTd2aC38b3%0aTSZkhdBtD6Uilvm4DOoz1ZRyPBYf2SviN4h/ZR+Anw7n0i00bX9B1iO51m7vNduYxo8SXEl%0ax50cVlOiXMjBVjVvM3RmX5DGWaWL7xooA/Oe4/YU8cN8bRqGveH7DxV8P7TxTc+I7r/ieXN%0a/ea7DHZ5s7aW01G4eFn3k25kkkDHe24hFDHkfEHwh174O/D22std8PR+ExrPjHxFrWnaKkk%0aDmzspTZrBGwt3eJCFj+6jMAMDPYfqNXyH/wUA/5kP/t//wDbevuOCf8AkfYf/t7/ANIkfo/%0ah3/yU+F/7f/8ASJH0b8Hf+SR+CP8AsB2P/pOldTaf8ekP+4v8q5b4O/8AJI/BH/YDsf8A0n%0aSuptP+PSH/AHF/lXyuP/3yt/jn/wClSPisz/3/ABH+Of8A6XMmooorhPNMjxfc63ZeGNTn8%0aNWFnqevRwM1lZ6hctbwSy4+VXkVHKj/AICfw6jwL9iz4D+MfhfpvjXxr8TLi3m+Jfj/AFJN%0aU1eCzcNDZRorCG2BBIJTzJQSpK4KqCwXc30pRQB8o/scfC/4jfs//s2+NNP1LwqreMzrGqa%0appWiyX9uVvC6IbdWmR2RA7LgknKjJIrz34S/sPfED4Qw6Vvj8NeML2y0C+0NLpfEVxo8ccN%0a87T3KGH+zroyOk0koSbzEDJs3QqQS33hRQB8k/AD9lnxZ8LPid4U1/VbC0urHQNAbwzYmXx%0aiLw2FmSH/dwx6JamVy64Jkm4EjkdFAx/wBkv4X/ABx+BsXxOtm8A+GpLXXfGN9rFpLrXixr%0aSWSGTYEZUtrO6G0hc/O6tnIKDAJ+zqKAPk3wD8J/ijdftw+JfiT4u8J6Zonh698BnQobrRv%0aEBvIXuftUEgQO0UE6MVRzuEO0YGGJIFeNRfsMfFCDwjo2opY6PLrI8fSeI7jwnN4v11LWCB%0awyRzC8W7z9ojc+eZ1i85jj5ztaGT9F6KAPzy+DH7GXizwB4p/Z2eXwJBa634au77WPGPjHf%0aYKLh7mN3jtt8chuJ2iZvL5TYDyrFeR+htFFABRRRQBC3/H3H/uN/NamqFv+PuP/AHG/mtTU%0aAFFFFAHhnx10/wCK/wAULy7+Hng6wTwT4WvoRHq/xBvLuKSc27riWDTraNmcTEMF86bywmH%0aKBm2OPmT9pj9mrwJ8ALvwpP4J0xtK/tHTl067jDArP9jCLHO3AJmYTsHbPzbVOAck/odXyH%0a/wUA/5kP8A7f8A/wBt6+44J/5H2H/7e/8ASJH6P4d/8lPhf+3/AP0iRxd9+zz8SPix8Wfhl%0a4l0C+u/A3hST4XweHtR8S2/2eW8izKWkit184NFJLCQUn2v5YfO0OMLoeJf2a/HHgbxtr2t%0a+Fvh9p1x4aHwzu/htoOgeGNbjluV3XDzw3l096tqiK2cSBHmk3tu/eZZh9Y/B3/kkfgj/sB%0a2P/pOldfXyuP/AN8rf45/+lSPisz/AN/xH+Of/pcz5J+Ff7OXjbwNd/sk2l1Yw3UfgK31df%0aENzb3Mfl2jXGnSxxgBmDSfvHCZQN0ycDmvs6s2z/4+E/H+VaVcJ5oV8N/tyWcFx8WdJaWCO%0aRhokIy6AnHn3FfclfEP7b//ACVfSf8AsCRf+j56TSejQ02tUeL+bJ/cX/vr/wCtUcksmPuL%0a1/vf/WqSo5On40xFWeV8fcX/AL6/+tXu/wCxGzH4tatlQB/Yk3Q5/wCW8HtXhE/SveP2JP8%0aAkrWrf9gSb/0fBQI+3KKKKBmNOxF7dfJI3zjlI2YfcX0FN3n/AJ5Tf9+X/wAK0rX/AF95/w%0aBdR/6AtWaAMTef+eU3/fl/8KN5/wCeU3/fl/8ACtuigDE3n/nlN/35f/Cjef8AnlN/35f/A%0aArbooAxN5/55Tf9+X/wqK2c+Wf3cp+d+kTH+I+1dBVaw/1Df9dZP/Q2oAzd5/55Tf8Afl/8%0aKN5/55Tf9+X/AMK26KAMTef+eU3/AH5f/Cjef+eU3/fl/wDCtuigDE3n/nlN/wB+X/wr4W/%0aYUOPi5q/ys3/Ejm4RSx/4+Lf0r9BK+Bf2BP8AksWsf9gGb/0ot6/RuHf+RHm/+CH5n6zwp/%0ayTee/4Ifmz7f3n/nlN/wB+X/wo3n/nlN/35f8Awrbor85PyYxN5/55Tf8Afl/8Kihc+ZP+7%0alPzjpE390e1dBVa1/195/11H/oC0AZu8/8APKb/AL8v/hRvP/PKb/vy/wDhW3RQBibz/wA8%0apv8Avy/+FG8/88pv+/L/AOFbdFAGJvP/ADym/wC/L/4Ubz/zym/78v8A4Vt0UAYm8/8APKb%0a/AL8v/hRvP/PKb/vy/wDhW3RQBibz/wA8pv8Avy/+FG8/88pv+/L/AOFbdFAGJvP/ADym/w%0aC/L/4Ubz/zym/78v8A4Vt0UAYm8/8APKb/AL8v/hRvP/PKb/vy/wDhW3RQBz6uftUn7uX7i%0a8eU2ere1S7z/wA8pv8Avy/+FaUf/IQn/wCuUf8AN6s0AYm8/wDPKb/vy/8AhRvP/PKb/vy/%0a+FbdFAHg/wC1oxP7P3ir93Kv/Hpy0bAf8fcPciuQ/YUYj4R6v8kjf8TyblI2Yf8AHvb+gr0%0aP9sD/AJN08W/9un/pXDXG/sCf8kd1j/sPTf8ApPb1+jUP+SNr/wDX+P5I/WcN/wAkBiP+wi%0aP5I973n/nlN/35f/Cjef8AnlN/35f/AArbor85PyYxN5/55Tf9+X/wqKFz5k/7uU/OOkTf3%0aR7V0FVrX/X3n/XUf+gLQBm7z/zym/78v/hRvP8Azym/78v/AIVt0UAYm8/88pv+/L/4Ubz/%0aAM8pv+/L/wCFbdFAGJvP/PKb/vy/+FG8/wDPKb/vy/8AhW3RQBibz/zym/78v/hRvP8Azym%0a/78v/AIVt0UAYm8/88pv+/L/4Ubz/AM8pv+/L/wCFbdFAGJvP/PKb/vy/+FG8/wDPKb/vy/%0a8AhW3RQBibz/zym/78v/hRvP8Azym/78v/AIVt0UAYm8/88pv+/L/4Ubz/AM8pv+/L/wCFb%0adFAGJvP/PKb/vy/+FG8/wDPKb/vy/8AhW3RQBibz/zym/78v/hUVy58sfu5R86dYmH8Q9q6%0aCq1//qF/66x/+hrQBm7z/wA8pv8Avy/+FG8/88pv+/L/AOFbdFAGJvP/ADym/wC/L/4Ubz/%0azym/78v8A4Vt0UAYm8/8APKb/AL8v/hRvP/PKb/vy/wDhW3RQBibz/wA8pv8Avy/+FG8/88%0apv+/L/AOFbdFAGJvP/ADym/wC/L/4Ubz/zym/78v8A4Vt0UAYm8/8APKb/AL8v/hRvP/PKb%0a/vy/wDhW3RQBibz/wA8pv8Avy/+FG8/88pv+/L/AOFbdFAHPs5+1R/u5fuNx5TZ6r7VLvP/%0aADym/wC/L/4VpSf8hCD/AK5SfzSrNAGJvP8Azym/78v/AIUbz/zym/78v/hW3RQBibz/AM8%0apv+/L/wCFG8/88pv+/L/4Vt0UAYm8/wDPKb/vy/8AhRvP/PKb/vy/+FbdFAGJvP8Azym/78%0av/AIUbz/zym/78v/hW3RQBibz/AM8pv+/L/wCFG8/88pv+/L/4Vt0UAc/bOfLP7uU/O/SJj%0a/Efapd5/wCeU3/fl/8ACtKw/wBQ3/XWT/0Nqs0AYm8/88pv+/L/AOFG8/8APKb/AL8v/hW3%0aRQBibz/zym/78v8A4Ubz/wA8pv8Avy/+FbdFAGJvP/PKb/vy/wDhRvP/ADym/wC/L/4Vt0U%0aAYm8/88pv+/L/AOFG8/8APKb/AL8v/hW3RQBibz/zym/78v8A4Ubz/wA8pv8Avy/+FbdFAG%0aJvP/PKb/vy/wDhRvP/ADym/wC/L/4Vt0UAYm8/88pv+/L/AOFG8/8APKb/AL8v/hW3RQBz9%0as58s/u5T879ImP8R9ql3n/nlN/35f8AwrSsP9Q3/XWT/wBDarNAGJvP/PKb/vy/+FG8/wDP%0aKb/vy/8AhW3RQBibz/zym/78v/hRvP8Azym/78v/AIVt0UAYm8/88pv+/L/4Ubz/AM8pv+/%0aL/wCFbdFAGJvP/PKb/vy/+FG8/wDPKb/vy/8AhW3RQBibz/zym/78v/hRvP8Azym/78v/AI%0aVt0UAYm8/88pv+/L/4Ubz/AM8pv+/L/wCFbdFAGJvP/PKb/vy/+FRTOfMg/dyj5z1ib+6fa%0augqtdf6+z/66n/0BqAM3ef+eU3/AH5f/Cjef+eU3/fl/wDCtuigDE3n/nlN/wB+X/wo3n/n%0alN/35f8AwrbooAxN5/55Tf8Afl/8KN5/55Tf9+X/AMK26KAMTef+eU3/AH5f/Cjef+eU3/f%0al/wDCtuigDE3n/nlN/wB+X/wo3n/nlN/35f8AwrbooAxN5/55Tf8Afl/8KN5/55Tf9+X/AM%0aK26KAMTef+eU3/AH5f/CvkX9v5if8AhBPkdf8Aj/8AvoV/59/UV9q18b/8FEP+af8A/cQ/9%0atq+44J/5H2H/wC3v/SJH6P4d/8AJT4X/t//ANIke/8Awecj4R+CP3cp/wCJHY8iJiP+PdPa%0auptHItYf3cp+QciJiOn0rN+C/wDyR3wJ/wBgGw/9J0rqdO/5B9r/ANcl/kK+Vx/++Vv8c/8%0aA0qR8Vmf+/wCI/wAc/wD0uZm7z/zym/78v/hRvP8Azym/78v/AIVt0VwnmmJvP/PKb/vy/w%0aDhRvP/ADym/wC/L/4Vt0UAYm8/88pv+/L/AOFG8/8APKb/AL8v/hW3RQBibz/zym/78v8A4%0aUbz/wA8pv8Avy/+FbdFAGJvP/PKb/vy/wDhRvP/ADym/wC/L/4Vt0UAYm8/88pv+/L/AOFG%0a8/8APKb/AL8v/hW3RQBibz/zym/78v8A4Ubz/wA8pv8Avy/+FbdFAHPs5+1R/u5fuNx5TZ6%0ar7VLvP/PKb/vy/wDhWlJ/yEIP+uUn80qzQBibz/zym/78v/hRvP8Azym/78v/AIVt0UAYm8%0a/88pv+/L/4V8i/t/MT/wAIJ8jr/wAf/wB9Cv8Az7+or7Vr43/4KIf80/8A+4h/7bV9xwT/A%0aMj7D/8Ab3/pEj9H8O/+Snwv/b//AKRI9/8Ag85Hwj8Efu5T/wASOx5ETEf8e6e1ddvP/PKb%0a/vy/+FZHwX/5I74E/wCwDYf+k6V2VfK4/wD3yt/jn/6VI+KzP/f8R/jn/wClzMuyYm5T93K%0avXlo2A6epFalFFcJ5oV8P/twsw+LGk4UEf2JF1OP+W8/tX3BXw/8Atwf8lY0n/sCRf+j56B%0aM8ZqOTp+Ncc0Kp4VTWgF/tPzFuDcH7xJfG3P8Ad2nGOlXHsIdak1qW6RZJI5TBCzf8sgqAg%0ar6HJzkV1ugldt6LT56f5nPGs5WSW+34/wCX4m3P0r3j9iT/AJK1q3/YEm/9HwV8u2sx16fS%0ao70CaIWP2ho3GVd8hckdD3/Ovof9gFzF8XPElmDmG30y5SIZztXz7Yhfw3GonS5E7vVf5tf%0aoOFXnaaWj/wArn3vRRRXOdBWtf9fef9dR/wCgLVmq1r/r7z/rqP8A0Bas0AFFFeAfthfEP4%0ai/DD4cXXiHwdd6LpOn2k9hHcXl1C91eytPfQwNHFEQsUQCSbvNYy55Xy14ehayjHu0vvaS/%0aFoHom+yb+5N/oe/0UUUAFVrD/UN/wBdZP8A0Nqs1WsP9Q3/AF1k/wDQ2oAs0V8rfF/41eL/%0aAAr+2F8MvB9u3hm0sNQ0/Umt7K/8X3Fl/aKu1okbTQ/YmTzldZhDGrSl8SfNF0PP+CviD8R%0ajpHwU8W33xJ1rVE8YeNrjQtS0O50/S1sVtVTUmURmOzSdWBs4uTKf4s5zwAfZNFfLP7QHiG%0aeP48+FrSL426z8PdB0i1m1fxJ5Nzpdtp+lwvE1taCWS5tXDSXE0p2xztIp8l2RFZEYeN2X7%0aQnxGuPBt9eeIPiH470jV7L4b6X4ktE8O+Dbe+iuL24Gou0l6y6ZOLdCLe2wGMK7fMPZioB+%0ahVfAv7An/JYtY/7AM3/pRb19r/DjVrvXvh54X1O/l8++vdKtbmeXaF3yPCrM2AABkknAAFf%0aFH7An/JYtY/7AM3/pRb1+jcO/8iPN/wDBD8z9Z4U/5JvPf8EPzZ99UUUV+cn5MFVrX/X3n/%0aXUf+gLVmq1r/r7z/rqP/QFoAs0V83fGf46az+zH8Wx4h8balcah8GPEOnNFA0VnG0ug6tbx%0atIIQUVXeO7RWC7zIwmQKCisAeR8VePvjf8ACv4DeH/i94r1aQ3FrrY1rxV4MSytWSy0K4fZ%0a9jicQrKZbVGjkLltzMsoYsoUUAfX9FfJer/tY3E3in4q+PtI1JtQ+D3w00VLUw2EcLJ4i1u%0aVRKY0uCjMqwq8EeFI+ecE7gMV6p4T8A/Fa6t9P17xJ8T5rLX5TFcXXhnTdIsm0K3yF8y2Xd%0aGbuTA3jzftS5fD7VX91QB7BRXyV4H+PnjW2/bM8aeE/EWqi8+Hdzq3/CO6NCbaGMadqK6Zb%0a3yIZVQO/nxm8xvY4aFQPvAVd+MHx48YWX7Vfw38H+F9RWx8IQazDo/iYG3ilN9dXVlcXcVu%0arshMZhit45G2lSReR9QKAPqiivmL9pv4h+JPBl7qP/CEfFWOf4kq1pLoHwrtbWwuDqab0Mi%0aTwtG14wdVuC08csKRRgMQPKd3pftAfGG78K/tO+E/B+q/F3/hUvgq+8LXepzX2/SoPOvEuY%0a44086/t5VGUZ/lXBO3PY0AfVVFc38OLu0v/BOlXNj4vfx7ZzRs8XiN5LWQ3qliQ261jjhIH%0a3QUQDCjOTkn52+OfxiufDn7VmjeC9a+MX/Co/BM/gqbWPte/Sbf7RqC3yRInnX9vKOYmkOx%0acE+XnscgH1bRXPfD+5trzwZpNxZ+Kn8b2k0PmQ+IXktpDfISSJN1rHHCRg4BjQDAHfJPkX7%0aYHxC+Ivwx+Hk/iHwheaLpOmWl1pkNxd3ML3V7M1xqMFs8UUZCxRAJLu81jKWyVEaECSgD36%0aivC/2l/jNc/D3UfBfhTT/Eml+CrvxTNdtdeKdY8vyNHsLaIPcXC+aRF5u6WCOPzcoGlBZWA%0a2nvfg9d2WpeDlv9N+JE/wAU9Ourh3g1+WbT5VwMI0SPYwQxMqsjdVLBmYFsAAAHXR/8hCf/%0aAK5R/wA3qzVaP/kIT/8AXKP+b15X+0xb+JdL+FnizxZ4a8ea54RvfD2g3+oxWumW2nTQXUs%0aUDyp5wurWZsZQDCMmQT3wQAeu0V8uWHxF8a+BPhZ8N7xfGGo+PPHnxL/s2z0u28SWljHYad%0aPLbNc3NwVsre3kaKOJZGKF2Zisahl3M1eteFPhz438O6lp17ffFjWPFAGF1DT9X0jTktJVK%0a/MbcW0EMsLb8bTJLMAu5WV2IdQDE/bA/wCTdPFv/bp/6Vw1xv7An/JHdY/7D03/AKT29eD/%0aABP+MN340Px48P8AiT4u/Zr7RPFI0zRPAG/Softtmn2aTfsNv9rk2M0r7klA/dc5AYH3j9g%0aT/kjusf8AYem/9J7ev0ah/wAkbX/6/wAfyR+s4b/kgMR/2ER/JH0tRRRX5yfkwVWtf9fef9%0adR/wCgLVmq1r/r7z/rqP8A0BaALNFePftU/ErXfhz8KjF4Plji8eeJdRtfDfhtpohIiX10+%0a0SlSCuIoxLMdwK4hO4EZFcb4B/aeu9D/ZJ1vx/47hF54v8ABEd3pXiSwtl8pptUtXMOxcLt%0aXzyYXUqu0CdcADgAH0nRXj/hPwD8Vrq30/XvEnxPmstflMVxdeGdN0iybQrfIXzLZd0Zu5M%0aDePN+1Ll8PtVf3VYXhjxJ4x/aG8T+LbrQvGF54A8CeHtXudAs5dFsrSbUtVu7dglzPJJdxT%0axJbrIJI0RI97FC5kAISgD32isPwdpGs6Howstc14+JbqKRhHqMlnHbTSRfwecseI2kx9540%0ajU9o16V4Xc/FzxZH8bf2gdAXVsaT4W8Jafqej2/2aH/AEW5lgumkfds3PkxIcOWA28AZOQD%0a6Qor5Q+GMvxh139m3wj8VNN+KGo+JPFF14ei1y48Na/pOm/2Xfs1sZGt0NrbQTwksRsk81w%0apA3JIMit1f2hNX+OWo/Dnwz8NbtPDMvivwwvjHVNcvIEubjSdOYpGkMETZje6eV2QNJujjE%0aLsUl4WgD6Sorw/4kz6h8D/AIR+MfEXiz4veJpdC0+2ju11gaZpP9r20gfBiiYWq2rrKTFGq%0ayW+5WdyZcMvl/H/AMWvjJ8ZbP4BQ6pbfFG98SSTWXn3GueC7pLm3gla4GbaW50/QJoFkhBW%0aMst5B5mN2wBgpAP0wor5B/Zp+N3xG1YfFZfHU+qX+h+H54ILa+Om3VzrdrNLbQMsa6dFoll%0aLMmZWk8xoFYYA2OmZa1vCXjv4m/GKw+G2jaL4l1CGxm+0anrnxE8OaLHaW17pnlXCWIjTUb%0aZ1S7lk+zvLDGjiLbJ8yhkBAPqiivnXw741vfBuqfFTwb8UvGPiYaHDMn9k+M9a04aZBHp8u%0an23mOdUtbWC0ikW5kuEUllkBVcZOCed174v22g/D/w7d+KfjN4r09bW3KSeKvh54U/tXR9X%0aie4MVrcSXTaXdwrPIoi3xxSBRLIygMNhIB9WUV88eDvigvhy38QagviL4v8AxFubTS7i7g0%0abxB4Al05ZXiXeEhkj0i1DTPt2KjOcluFJ5HzB4h/a81m08A6T4GXV7yy1fXfE0MOreOfEus%0aXmgW6P5ktzqltHJNB5umwRSRf2fCzR5by7nagaAswB+k1FfGf7OX7Vl/4s8S+ONI1Hxh8MV%0a0qLWtTuLSaX4gHUr2ygW2+0SPDE1rF9rs1lMrq5lhEcO5B8sK5840P9rDXYviQuqN+0L8Lk%0a1LVtSPh/UNCnt3fQrO2tTJKNWhmfWCqGSGSNQIyvmO6oyboZHjAP0Tqtf/6hf+usf/oa18d%0a/Az4oeO/iR8VfBmnr8UtSv3mGt6/r+iXNnpa2a6VBqVzp9nFb+XZrOWeSNSX847VgfdzIgP%0a2Jf/6hf+usf/oa0AWaK5f4pfEHT/hR8N/E/jPVVeTT9B06fUZo4zh5BGhbYv8AtMQFHuRXn%0aPgjwl8WPFei2HizXviTceHNav1ivk8KaZpNlLo9ijIhFtMZYjdzsOd8iXEW5idgjAAoA9uo%0ar5n0nVPHPxP/AGofjH4Ri+JfiDwl4e8J2mhS6fZ6FY6U2Wu4J3mMj3VlO7fNCpGCMZb2xke%0aKfjz478H/AAq+P3h3V9RtG+Ivw48PLqdj4msLFIYdShmtZXt7r7NI0ipKskEqyJym5QVADb%0aVAPq+ivj74W/tLeMtT/Zr+JNh4vu47H4z+CvC1xq73iQxCPUIJLN7ix1KGPYI2QjarqFIWS%0aNlZRkLWrqnxk8e+Bvh38Dfi7qmsvqngO/0XT4fHlk1pAv2Y3cERTV0ZI1dBHM+JUDFPLfKx%0agqWoA+rKK+QZfH3xq+IXwU8e/GDwjrU2k2bXMereCvCtxp1uVvtFtgrO07SQ+cHvkErqAwK%0aK0O0jcTWlo/7VyfGf4k+G5vAuuvYfDrw/4WPjPxnfxW8UzbZoz9k01yyt5UmEmlfbhsRbQw%0aOaAPqyivn34YQfE743+CNJ+Il78QLzwCmvWkepaR4W0XTbG4tLW1kzJbi9kuIZJp5HjaMye%0aU9uBkooUjzDxPxg+Pnjn4Y/te+G9Kk1iOT4Z22gaVN4isFs4kRJL6+vLJb0SFWlUJOtmCm8%0arsZiehJAPriivlf9t/48eMPhnZaHpfw+1FNM1e3ubLVtcvGt4pxFpsmoW9ikG2RGCvPLdEq%0a3XbaTY5wa+qKACiiigCtJ/wAhCD/rlJ/NKs1Wk/5CEH/XKT+aVn+LW8Q/2LInhdNMOryMsa%0aTau8n2e3VjhpikY3TFAdwh3R+Zjb5sWd4ANmivmv4UftGarpn7GOqfFzx7cQ6zqmkjXbm5F%0apCLSO4+zajdwwQRqN2wFYoo1Lbj0LMxyx2vgF4kufFWrg618crDxh40t7d5dc8E+H5NLFhp%0acxba0QiSJr1BCxEeZZySyksBnaAD3qivE/jZ428Sz/FP4c/DHwrrT+GLnxKl/qepa9b28M9%0azaWVmsWUgSdHi8yWSeNNzo4VQ5252keV6l+0f43+HnhL4s+Eby+j8R+PvC/ifTfD2ia3qNp%0aHEt3HqzQmymuUhCRl4VncP5aor+SvyqWNAH2BRXz54Z8T+Mvhb+0V4f+HnijxhqHjzRPFnh%0a+6v9P1HVLCzt7i1v7OSLz4wbWGFDE8c6sAysysgG4huPoOgAooooAKKKKAK1h/qG/66yf8A%0aobVZqtYf6hv+usn/AKG1cf4H8SajrHjjx5p95cedaaZeW8VpHsVfLVoFZhkAE5JJ5JraFKV%0aSE5r7KTfzaX6mM6sacoQf2nZfJX/Q7miuH+IUWr6Xpes67F4ul0W1srQyQWyWtuYd6gnMrS%0aKzPubAwjJxgDnk49p4t1zxnrHhbRoLt/DstzoUeu6lPaxRvKC+1Fhj81XVRvLEkqThQARkm%0aumGDlUh7SMlbW++llftrutuuhzzxcac/Zyi76W21u7d9Ou/TU9QorzzwZq2veMPDeqabLq5%0asNX0fV5dLudVitYy9wkTKwkSNgURnjZM5VgCWwvTCeFNa1m88T+NPDS62NTGmwwG11W5t4j%0aLBNKj5jkWIIj7SgbACnDYJ6GiWDlHnTkrx332utb2t9pO29vNWCOLjLkai7S223s9LXv9lq%0a+1/vPRKK85g1TWPDXxL0Pw9L4gm8RQanZ3FxcRXkMCTWnlY2ygwomEdmK4YHleDwansPEXi%0aH/hbseiajLZxaZJo099HaWiFirLcRRqXlbBY7SxwFUDeQd+0MR4OW6kmuXm6q622av/AFuC%0axcdnFp83L00fqnb+tjv6K4f4hRavpel6zrsXi6XRbWytDJBbJa25h3qCcytIrM+5sDCMnGA%0aOeTZ0+PW/Gfhzw7qX9s3Hhw3Onx3F1b2FvCzmZ0RsbpkkAVfnGNuTkfNxg5/V/wB2qrmrN2%0a66O17ba/Iv6x+8dPkd0r9NVe199PmdfRXi1j8TNb1Lwx4ci/tCGNtT1+XRV8RxQLtngjZ1W%0aaNTmMSSmPaOCu4nC4wKtal8T7/wM3j3T7u+XxDc6DZW95aTTRokpabKiKcRhF4bYcqq5Vx3%0a5rreWV78is5dtf5lG+1t2tHZ+Wljl/tKhbmd0u//AG65W3vsnqrrz1uev0V5rFqXiHwX4y8%0aJ6dq+uS69a67HLbzmW2hjW3uo4/MDRmNFOxsOu19xGAd3WoL3xFqlv420iy0jxWniS7l1Bo%0atU0WKG3MVlbYYtISi+ZEUwoHmOdzHABJxWSwUm/dkmmm09bWV0+mmqtrZaruaPGxS96LTuk%0a1pfWzXXXR9Lvfseo0V5N8dfiTqvhfR7iz8MSomr28aXl7dGNZBZ2/mKq5DArvkYgKCD8oc8%0aYBr1msKmGnSpQrS2le3fS3530OiniIVKs6Ud42v21v8AlbUrWH+ob/rrJ/6G1WarWH+ob/r%0arJ/6G1Wa5TpCiuF+IXhHxH4i1C2urH4kal4D0OztpWuY9HsbB5p5CVIkkmvIZ0WNFVvlWNT%0aliS5AAHzp4L/aJ8e/Ev4afBPRLXWrTTvFPjzXNT0+bxdYWMe19M017gy3lvBJ5kaTXEcEYX%0acskamZmClQooA+xaK+e/hl4u8c3njb4w/CbUPFbX/iDw9b2d7oHi/U9LgaVre+hk8sz28Ah%0ailaCaGQfKIw425AIY0mj+KfFfw9/ad8N/Difx5e/EXTtf8O3usX1vrdpYxX+iC2ljjhnVrO%0aCBTDcNM8eJI2O6DKuPmUgH0LRXzBdfETxJY/HHwlovhL4rR/E69udbnsvFvhG1tLBrXQLIR%0aSs9wXgQT2jRSJHEEuZpDIZCACy8fT9ABRXxXqvxv8AiVcfAPxB+0TYeKrhND07Wbi5tPAkW%0anWhs7jRLa9NpIssrRG4Fy6Ryz+YswRSUXy8A59F/ad+IN54T0u/vdC+Mf8AwjPiptJN34Z8%0aE2NlY3Nzrlx83lxtbTRS3NwJXCxgW/lFRuySRkAH0fRWV4UutVvfC2j3GvWcen65NZwyX9n%0aC4ZILgoDLGpBIIVtwBBPTqa8a8WeJ/F3xH/aF1H4ceGvFl34G0fw54ft9X1PVNLs7Se9urm%0a6llS3gX7VDNGsSrA7sQm5iVAZQDkA96or55+EPxY+InxI+Ar3dt/Ycfj7QtWv/AA9rt/qsE%0aotUlspZYpLlLaIqZWk8uI+V5sSqZXIfEYV+w/ZV8c618TP2cvh54q8R3Yv9d1fR4bu8uREk%0aQkkYZJ2oAo+gAoA9Wqtdf6+z/wCup/8AQGqzVa6/19n/ANdT/wCgNQBZooooAKKKKACiiig%0aAooooAKKKKACiiigAr43/AOCiH/NP/wDuIf8AttX2RXxv/wAFEP8Amn//AHEP/bavuOCf+R%0a9h/wDt7/0iR+j+Hf8AyU+F/wC3/wD0iR9LfBf/AJI74E/7ANh/6TpXU6d/yD7X/rkv8hXLf%0aBf/AJI74E/7ANh/6TpXU6d/yD7X/rkv8hXyuP8A98rf45/+lSPisz/3/Ef45/8ApcyzRRXm%0avxU8KeJdUe+1e0+LN98ONBsNMZz9h0/TnSOVd7SXN1NeQygxKnl/Igi27JCztuGzhPNPSqK%0a+RfB/7QHj740eFvgHolrfJ4K8QePtNvdd1nWtNs45JLaxtPLx9liuVkjVrhpoSDIsgRGfgn%0aaa7P4W+KvHXjGb4t/C++8YS2/i3wdrVtb23jFtLtnuJtNukjuoXaFVWA3CwtLDvEYjDKjmJ%0avmQgH0PRXgPwt8a+JtJ/aS8XfC6/wDGE3xB0jTfD9nrj6pqFtaRX2mXM0rxiymNpFFEQ8cf%0anKDGrgNyWUqRgeEfiH4km+P3hLQ/DXxVj+LujzrqEXja0tbWwe08OusRa2eOS1jV7YtcRvC%0asFzLO7IXOWMTyUAfTtFVdU1GHR9Mu7+4JFvawvPIVGTtVSxwPoK+O7X4y/E7Rfg34A+PWr+%0aK5rrQ9f1fT5dU8Fx6fafYLLSL+dYIfJlEQuTPGJoHLPMys25digjAB9nUV8zftQ/EDxB4Jf%0aU5PB/xYig+IsUVtceHvhha2dhctrA8xcpPbsj3solInDTQSwJHGobC+VJI/0rbvJJbxPLH5%0aMrKC8e7dsOORnvj1oAkor5v1XX/iH8Zvij8VtB8HeOLnwFp/gaGDTbA2Gn2d02o6rParcmS%0a5+1QyYgjEkKBIvLZiZCZPu4LH48+N/iT+yFpPxR8JWuiaLq1z4eudU1CTVY5pks5oIXMiQ2%0a6lTLulidAXlTYCHIlwUYA+kKK4f4GeI9R8Y/BP4fa/rFx9s1bVfD2n315cbFTzZpbaN5G2q%0aAq5ZicAADPAFdxQBWk/5CEH/XKT+aVZqtJ/yEIP+uUn80qzQAUUUUAFfG//AAUQ/wCaf/8A%0acQ/9tq+yK+N/+CiH/NP/APuIf+21fccE/wDI+w//AG9/6RI/R/Dv/kp8L/2//wCkSPpb4L/%0a8kd8Cf9gGw/8ASdK7KuN+C/8AyR3wJ/2AbD/0nSuyr5XH/wC+Vv8AHP8A9KkfFZn/AL/iP8%0ac//S5hRRRXCeaFfD/7cH/JWNJ/7AkX/o+evuCvz5/4KD6dYXfxm0Z7rwd/wkMg0CEC68m0f%0aaPtFz8mZZFbjk8DHzfWgTPI4/DbJCLM3W7TFl80W5j+fGdwQvnld3PTPbNLd6JN5941tefZ%0a4rvHnIY9xBxglDkbSRjqD0rbqOTp+Nbe1nvcz9lD+v682YN5ogje0lspRayWyeSoZN6tH/d%0aIyD1AOc19AfsJacun/FTWBvMs0mjzySykY3MZ7fJx2HTj2rxOfpXvH7En/JWtW/7Ak3/o+C%0aoc5NWbGoRi7pf1sfblFFFQaFa1/wBfef8AXUf+gLVmq1r/AK+8/wCuo/8AQFqzQAV45+1z4%0aA174n/AfWfDvhmw/tPWbi+0yaK286OLckWoW80h3SMqjCRueTzjAySBXsdFHVPs0/uaf5pB%0aumu9196a/UKKKKACq1h/qG/66yf+htVmq1h/qG/66yf+htQB8n/Gz4ZN4X+O9n4/1HwnqPx%0aTgvtL1jz9Nt9HN1GqIunJp+nbQroAZhPKJJMYaSVzhU+V/if4eaz8JPg9+zxDe6bqWuXXhT%0axXBq3iBfD+m3GoyRvJY6h9oeOGBHkaMXF0FBC8BlzX1tRQB8kaf/ws7xVaadqWlf8ACZeHP%0aiRrul6ffeJNP0fSNK0fQbG7a1iwJr3UNOubiYqoMZEBu2jaPYyxjFcB8DvCfxc8Jw+Oru9+%0aJPjPX9Bh8Walbanc+DdJ0VL2K6jkH2i+azuLOVpYXAZvKtnaZCESOCfeWT72ooA574f3X23%0awZpM/9pazrG+HP27xBp/2C/m5PzTW/kQeW3+z5SduK+Jv2BP+Sxax/wBgGb/0ot6++q+Bf2%0aBP+Sxax/2AZv8A0ot6/RuHf+RHm/8Agh+Z+s8Kf8k3nv8Agh+bPvqiiivzk/Jgqta/6+8/6%0a6j/ANAWrNVrX/X3n/XUf+gLQB85fFX4Fax+0/8AFy80n4haRcaZ8H/Dlg66XapeQmTW9UuI%0a3ja9IjdmjW2jZhEHVW8yTeOFxXc/A/RvG2sfCG88HfGLSo7/AFOzNxoVxqTyxSw+IrEAxpe%0aFEdmj86I/Oj4bduOACK9dooA+S/gb+yVcf8MAWnwW8W2R8H65qOnXMeovavHPJb3j3Dyxzs%0a0blZSpETYD8qoXIA49S8G/EP4qx6dpOi+JvhVdyeJY9lvf6/Y6xYf2DKyth7mNjKLsKyguI%0azaZDHZ90eZXsVFAHylr/wCz14t8Qf8ADQlxDaJpusar4i0/xJ4Mv3micNeWVlamCTAfKDz4%0aDGwfblS3BB5Zp/wF8ax6f8EtVvtMS48UL44n8ZeM3juo9tpLc2d0rICz/vFh823tlEe7KxK%0aQMZNfWFFAHz7+0pp/jT4tfDrxr8MLL4XS6g2u27WNl4jvdTsv7Gtg5Ux3cgMv2pZITiUIls%0a/7yJAr4O8Tr8KvFFr+1f4I8WPFJqfh3SfAd1od5rc00YeS8a5t3XdHu3kusbsSAVHQnOK97%0aooA5Dxx8LdG+IVxaTape+I7V7ZWRBofifUtJUgkE71tLiIOeOCwJHbGa89/4Vnr8P7Z2meN%0a47B28I23w7n0A6jJdI7fbDqMEyxFWcysTGjNvII45bJr3GigDjvG/wAKtF+IN3bXOqXviS1%0akt0MaLofijU9JQgnPzJaXESufdgT2ziuM/a0+Huu/Er4Cap4a8MWJ1PV5dR0eaK3a4SMtHB%0aqdrPKS8jAfLHE7cnJxgZJAPslFAHh3x8+Gmq6r8S/hZ8S9H8Np4yuvA89+kmhJPDDdSxXkc%0aUbTWzTskPmxGJW2yOgK78OGChm/s7fDvxFofjn4seO9e0RfCEXjfVra7s/DDXEU89mlvbi3%0aae4aFmhE05TzSsTOACu52bdj3OigCtH/AMhCf/rlH/N65D45+HNR8Y/BP4g6Bo9v9s1bVfD%0a2oWNnb71TzZpbaRI13MQq5ZgMkgDPJFdfH/yEJ/8ArlH/ADerNAHzx4n+CHirV/g38Gn0U2%0aen/EH4etpmowWmoTbbe4eK0NtdWck0YfYskcki+YqvhlU4IzXGePvhjrnxy+J/wq8TR/A5/%0ah/4l0PxPY67rvirWpdHeWW0t4JVa0Se0uJribLPHtDoqfuwTtwMfXVFAHwf8QfDnjL4c+Ev%0a2iLTWPAurLovizxemtWHiSC8097JLcmzRfMT7V9oDM8JUAQt95ScDJHrX7An/JHdY/7D03/%0apPb12X7YH/Juni3/t0/8ASuGuN/YE/wCSO6x/2Hpv/Se3r9Gof8kbX/6/x/JH6zhv+SAxH/%0aYRH8kfS1FFFfnJ+TBVa1/195/11H/oC1Zqta/6+8/66j/0BaAPDviT8HtW+Mf7Q3h641+21%0aSw+HvhTRZ7mwvdK1uXTri51i5cRMVktZknRYrZZF5KhvtDD5gDXn+ufshXk/if4reA9NOqw%0afC34jeHYrmfWr3WJdRutN1+CTYsn+kTtPKJIxA5JJB+zBdyAivrqigDx3wb8Q/irHp2k6L4%0am+FV3J4lj2W9/r9jrFh/YMrK2HuY2MouwrKC4jNpkMdn3R5lcTpnw98SfCK+8d+F7n4bt8X%0avhj4u1i+16C2sJtP8AOsJLl45ZrO5tb6WCKSEytK8bo7kYKsg+Un6YooA8D/Y5+D+qfB/wb%0a42h1HQLXwnb+IPGOpa/pvh+2aEnTbGYxrBBIsBMKOFi5SJ3RQQAx5xl3Pwj8WSfG39oHX10%0anOk+KfCWn6Zo9x9ph/0q5igulkTbv3JgyoMuFB3cE4OPpCigD5R+F9v8YNG/Zu8IfCvTvhp%0aqHhXxPaaBBolz4n8Qanpr6ZYlbfy5LiNbW6mnmYEZSMxoGONzoM1rf8M+ax8CvEnw48WfDa%0awPimLwz4Xj8F6v4fluY7a51HTlkSSO4tnkIiFzHIJHKSMiSLIw3oQN30xRQB4D8XfFXjzxf%0a8IPFEmneD/FngLXIDatoCxTwXepXeoJMJI43isZpYktHZY45HlnVdjzeYI0UO3xv8RvAXxC%0a1X4ReItM1vT/ABronjq7nmv9T8O2HhbxHe297eXV19rleG70vUn06SJPO8pDLGZAtuFYAhc%0afqNRQB85fsu3Nzo+pa7p134g8Sa+ktut0v9s+EfFuniLY21ts+tXdyrE7xiKIoxwThgvy/J%0avh6KDxx4A+HGhz/BY+K/iz8NYLO0Hg7XNOgvo9Ss7pGE8OoPteHSiApmga7dZN0WREVkKt+%0an9FAHxt+zL4o+GvwNtPH17r2kW3w5+I+qyLqms+CrDw/JZPa2sLSQW9vp8EUYXUIoysubm2%0aEgkeV3JVWRV8r0H4n3Ph3SPhF4C8R23hXwvH4KWbXNW0z4keL4vDJk1RLgmxjCGKaWeONZD%0acLJHG0DOiDzd8LRn9HaKAPjH4J/GLUpvFfxU0WLx98ODp+v2l5r/h238AeJB4pu9FvfK3XQ%0aFn5cc90ZJGe7WOGLG4TKeZFzwnjSx1rwN4H+Cej3+p/FG00uw8b2AsvEl14d0oXLgaVqYeS%0ax021gmulMhO9o723eUBvm+cOa/QmigD49/ZRnv9I8f+KotS8TfFaQap4ov7y1sdf8CvZafq%0aULwRhbq4uDpMXkuSjYUTQrmNRs+bDef6N+0L4zm+GngjxMfiZ8RLjxLqfiPTLG80+78EQxa%0aC8M2qR28qLe/2SqY8pmCsLnJbABJ4r9AqKAPiv4K+Htf8b6F8KBpXg/ULNfDHjXXNSl8ZzX%0aFmlsLNr7UkuLWMLObljKWiRkaERkoGJ+RTX2Xf/wCoX/rrH/6GtWarX/8AqF/66x/+hrQBz%0aXxc+HFj8X/hf4q8E6jNJbWev6bPp73EQy8PmIVEijIyVJDAHg4weK8+8B+Mviv4Z8OaT4W8%0aQfDC81vxDYQw2MnibT9YsE0S8Koq/amMkwu4geSyC1cq2QvmDDH2+igD5n0nS/HPww/ah+M%0afi6L4aeIPFvh7xZaaFFp95oV9pS4a0gnSYSJdXsDr80ygYBzhvbOZ4t+AnjnxZ8J/j7r+rW%0aNlJ8SPiNoB0yz8PaddiSDT4IbaWO1tBcyiMPIzzSPJIQibnwPlQMfquigD5H/aQ/Zx8ZeK/%0agP4e1DwHaRQ/FXR/C7eG57J54401TTrm3WG8sZZCwQ7SBLGzNtWSIEfeObM/wAGvHfxA8Hf%0aBT4S6/oTaR8OdE0DTbvxndvd28o1O5tYYlj0dUSRmMZlXzJX27GWIKr/ADEH6vooA8S/Zr8%0aG+MvhKniP4dazZTXngfQblf8AhDfEEl3HI0mmOoKWMqFzKHtTmIOwAdAmMbeeT/Zc/Zmh+G%0a3gL4yeFtY8NReH9N8V+Ltbkt47SaNmm0iY+Xa7WRm2KIs7UbBXJyoJOfpmigD55+E138UPg%0ar8P9J+Hep/DvUPHE3h6BdJ0rxRoupafBYXtnGoS1kukuLiOe3kCBVlWOKcDaWRpS20J4v8A%0agTqHxK+PvjS78R6Sn/CE+JPhnb+Fri6iuEcC6N5dvLGgyJMqkyMsmxRnGCCCB9D0UAfFF7+%0az18WPE/7N3jN/FtrFrXxb8RatoEM0UN3EqHT9Kv7URsHaTYN6RXd6RuB3XbLgMNtfa9FFAB%0aRRRQBWk/5CEH/XKT+aVZqtJ/yEIP8ArlJ/NKs0AfLPg79m7xFrv7DGv/CTX4o9A8RaquupG%0aJplljhafUrq4tXdoiwKkSRMQCSASCMgiprLwH4y+IfxU+CWpXHw1/4Vnpfw4iu3up57+zmj%0akEtl9lFlp620rsYM7WLTLCdsUfyZyq/UFFAHzN4j0r4n+IPEfwf+ML/DhrHxLocWqaZ4g8B%0a22tWlzdraXbRqrwXTvHbyOht4pSpZMrIy7srXNeKP2cPHHj3wf8VvGH2K30T4g+KPEmk+I9%0aG0G+ulkjtI9JaAWkFxJGzxiWVIHL7GZEaYAMwUk/X1FAHgfhvwr4t+KPx88OfEbxR4TvfAm%0al+FNDu9P0/StSvbW4urm9vGhM8p+yzSxrCkcCouWDuzklVCDd75RRQAUUUUAFFFFAFaw/1D%0af9dZP/Q2rzjQrbXvCPjzxvfN4X1HVLLVruCa2nsZ7QAqkKociSdGHIPavR7D/UN/11k/9Da%0arNdNGv7JTjypqSs9+9+noc1aj7Vxlezi7rbtbr6nkmv6Lq/iLxxdXXiHwrq+uaBZGI6Tp1r%0ac2YtS+0M806PcIXkDZUAgqBnAOc1ranY63a+OtK8Y2WhXV5HPpr6ZfaV51ul3bjzPNjkBMv%0alMN2VIEmRuBGeQPRaK6XjpNJcqsly21tZrXS+je7a1v9xzrBRV3zO7fNfS91trbVLZJ6W+8%0a8fn8LeL9H8FXw0+C4TVfEeuPf6nHplxCLmwtZR86QySsqGUJHGm7PBdivQGtbT7fUfDHgbV%0adN8H+Cb7Rr+OB5bT+0Li0YXFwxA3O6zuWf+LL4BC4z0FelUU5Y+U1acE9b9bPa10nqklZX6%0aX6tsUcDGDvGTWlumm97O2jbd3brbokjzf4b6K3hm5YSeFteOqX5B1DxBq1xZyyzMF43lLl2%0aCjAVUVcDjjqa1pfD9+3xhtdcEGdLTQZrJp968TNcROF253fdVjnGOOtdlRWU8XOc5VLayTT%0a3e9u+22i2XY1hhYwhGnfSLTWy29N99Xu+55N4j0PVtf8e3lx4g8Mar4g8PWLRf2RYWdzaC0%0aZwoLzzJJOhd92VUMNoGeCTmpfiDY+IPGV9pVnceH9aPhN7Z5dQsNPvLWK4nmLbRBMxuF/d7%0ack7GOdwGeOPVKK1jj5RcJKC91WW+mm6WyfW+99e1sZYGMlOLm/ed3trrs31XS21tO9+RlC3%0anhA2kngWU6fG6wHQLgWeWiABUxoJGhIDbflZ1wFYjkKG4k/B6bXfDvjTZptn4Xm1qCO107T%0aYlQLZxRMXQyeVlAzyFnYJuABHLHNeyUVFPHVKN/ZaXd929mn1dt1q7Xa0uXUwVOtb2utlbZ%0aLdNdFfZ6K9lvY84ttM1/xt4q8LanrOiyeHodCjkuJY5riKX7TdSRmPbH5btiNMudz4Jyo2/%0aew3xTp2u+OdQ8P2zeHZNHfTNThvptVuLmB41WNgXW32MZG8wZALpH8v3gD8tek0ULGSUlKM%0aUuVWW+l73667vfy7DeDi4uMpN3d3tra1ummy28+5478RPg3qNz4S8VLoet6vf6jrEy3Etnc%0aGz2zvvTCmRoQ4VFXCrvAAUAeh9Z020lsbKKCa9n1CVBhrm5WMSSc9SI1VfbhR0qzRWdXF1a%0a9NU6jvZ32V9kuy6JGlLC0qNR1KatdW3dt2+76tlaw/wBQ3/XWT/0Nqs1WsP8AUN/11k/9Da%0arNcZ1nzH+0x4N8Y/Ev4maNoGp+DPFPi34L22lG7vtM8Japp9k2r6m0roLe+NxeW8jWsUShx%0aHGdrvKpct5YWrXj/wAJeKtbm+Enj3wl8N73Rb34farNAfA99cadbzz6XcWv2WX7K0Fy9srR%0aqyPHG8sYIiKkrkbvpKigD5dl8IfFextfjZ8V/D/ho6f8RvFNlZaX4a8LX13ayzWMFoHjSae%0aQSm2813nmm8tZGQKkYLlmcDY/Zs8Hf8KxvprMfCvx5aa3rrifXvH3i7UdHvLq+mSLCNcSQ6%0ahNNs+QIkUcZRC33VBdq+iqKAPm/wCIHh7x18cvF3w2t5/h3ceB5PCfiK21+98T6jqVlPEUg%0aIEtrYG3leeQXAZlLTRW48oEsofEdevQfCbRLfxqfFK33iY6mZWl8h/FWqPYbmUqR9iNwbbb%0ag8L5eAcEAEA12VFAHxcvwO+JSfAjX/2cx4XePQtQ1e7tbb4gRX9sbGLRLi6a7eR4DKLk3Sr%0aJLAIhEYy4RjLsLMPa/jVceJ9U8L+IvAenfCe48X6fqtgbCzv21KxXS1SSMR/6aJ5UnTy23M%0aRDDPlAjKxdmjT2aigDyPw1+z9an4YeAvDvinXvEl7qvhvRLXS5r/RPE+p6St1JHCiPIwtbi%0aLzMsmQZAzAHryc8x4k8KeMfhd+0PfeP/DHhG98d+HfEHhq10bUNP06/to7+1u7SWZ4Jt15P%0aEjxOk7I2HLhlDYbNfQdFAHjvwC+E2sfDT4Qanp2tvDP4r1+/1PXtUS1lLwR3d7NJM0Mbtgs%0aqB1TcfvFS3GcC3+yl4H1v4a/s3/Drwt4ksv7O17SdHgtb2081JfKlUfMu9GZW+qkivV6KAC%0aq11/r7P/rqf/QGqzVa6/19n/11P/oDUAWaKKKACiiigAooooAwPGngnTvHukpp2p3Gr2tuk%0awnD6LrN5pc24AgAzWssUhX5jlS20nBIyBjB1P4KeHtW0DSdHn1HxclppfmeRJbeM9YguX3t%0aubzriO6WWfB+75rvtHC4HFd7RQBV0zT4tI020sYHnkgtYUgje6uJLiVlUAAvLIzO7YHLMSx%0aOSSSSatUUUAFFFFABXxv/AMFEP+af/wDcQ/8Abavsivjf/goh/wA0/wD+4h/7bV9xwT/yPs%0aP/ANvf+kSP0fw7/wCSnwv/AG//AOkSPpb4L/8AJHfAn/YBsP8A0nSup07/AJB9r/1yX+Qrl%0avgv/wAkd8Cf9gGw/wDSdK6nTv8AkH2v/XJf5Cvlcf8A75W/xz/9KkfFZn/v+I/xz/8AS5lm%0avlf48+CPF/xL+MpsvFXw/wDFXjf4PaXZ2s1loPhzUtMhs9Yv/MaSR9Rjub23eSOJkg8uEho%0a2YMzZAwfqiiuE80+c/Hnh7xlfeOPhR8VfDfw+1GKbw3FqWj6p4KubvT4dRaxuhEqyQOty1r%0auje3jcIZl3IxGQwxXJ658Pvi9pnhn4q+NfDei3mmeO/iPr+no2mWF5ZvfaJo1vHHa+YjSzL%0abteeQkkm0SlFklUB22bj9cUUAeFfs+eHI/hvo994f0H4Q+KfCbzrNqN3r3izU9MuZdYv2OW%0aku7m3vbmd5pGYsXMZUAEDACrWV4k8PeM/jT8WfhVrE3w/vfh9D4K1O41S913WL6xluJ4ntX%0agaxsxazzM0czOrSGXycLDHhWY4X6KooA4Nfgt4eTXdT1f7b4nludQFws8Fz4r1S4sgJgwcJ%0aaSXDW6ABjtVYwE42hcDHzhoPwa+Juv/BDwL8BvEfhVtO0nw9qWnx6p4ziv7Y2N/plhcpPCL%0aaJJjcCeUQwoVliVU+dtzEKG+y6KAPAv2krXxl8T/h744+Gdl8KpNbXxBZSadZa9e6nYjRoP%0aNUBLqcPJ9qR4GPmbY7eQ7ok2vk7l7e8+COma9p+grr2veK73U9L0+Cxe903xTqmlLdtGOZp%0aYbW5jRnZskswZuQCSAK9GooA+b5dB+I3wc+MXxW1vwt4Hk8c6P45W11LTntNQtbYabqUNol%0as0d4LiaNvIfy4pN8IkZQHHlk7Qd3wn8Cb/AOGf7HMnwr0+f+29atvC13pqyhgi3V5LDIW2l%0ayAqtLIcFiMAjJr3OigDh/gZ4c1Hwd8E/h9oGsW/2PVtK8PafY3lvvV/Kmito0kXcpKthlIy%0aCQccE13FFFAFaT/kIQf9cpP5pVmq0n/IQg/65SfzSrNABRRRQAV8b/8ABRD/AJp//wBxD/2%0a2r7Ir43/4KIf80/8A+4h/7bV9xwT/AMj7D/8Ab3/pEj9H8O/+Snwv/b//AKRI+lvgv/yR3w%0aJ/2AbD/wBJ0q9438AaZ8QbK3tdUutbtYoJPNRtE16+0mQnGMM9pNEzjn7rEjPOM1R+C/8Ay%0aR3wJ/2AbD/0nSuyr5XH/wC+Vv8AHP8A9KkfFZn/AL/iP8c//S5nL2Pw50rT73w/dRXevPLo%0acL29qs/iHUJY5FZSpNyjzlbpsHh5xIynBBBANdRRRXCeaFfA37fWiahqXxh0eW01260uMaD%0aCphgiiZSftFx82XUnPIH4V9818P8A7cH/ACVjSf8AsCRf+j56APE/ttv/AM94v++xUcl7b4%0a/18XX++K5mo5On40AdBPeQY/18f/fYr3r9iCeKX4t6sEkRz/YkxwrA/wDLe3r5dm+7X0T+w%0aP8A8lk1j/sAzf8ApRb0AffNFFFAFa1/195/11H/AKAtWaoxWkE9zdtLDHIwkAy6gnGxal/s%0a60/59Yf+/YoAs0VW/s60/wCfWH/v2KP7OtP+fWH/AL9igCzRVb+zrT/n1h/79ij+zrT/AJ9%0aYf+/YoAs1WsP9Q3/XWT/0NqP7OtP+fWH/AL9ioLKwtXhYtbRE+ZIMlB0DnFAGhRVb+zrT/n%0a1h/wC/Yo/s60/59Yf+/YoAs0VW/s60/wCfWH/v2KP7OtP+fWH/AL9igCzXwL+wJ/yWLWP+w%0aDN/6UW9feP9nWn/AD6w/wDfsV8F/sEwRz/GDWFljWRRoUxw4BGftFvX6Nw7/wAiPN/8EPzP%0a1nhT/km89/wQ/Nn37RVb+zrT/n1h/wC/Yo/s60/59Yf+/Yr85PyYs1Wtf9fef9dR/wCgLR/%0aZ1p/z6w/9+xUFtYWrTXQNtEQsgABQcDYtAGhRVb+zrT/n1h/79ij+zrT/AJ9Yf+/YoAs0VW%0a/s60/59Yf+/Yo/s60/59Yf+/YoAs0VW/s60/59Yf8Av2KP7OtP+fWH/v2KALNFVv7OtP8An%0a1h/79ij+zrT/n1h/wC/YoAs0VW/s60/59Yf+/Yo/s60/wCfWH/v2KALNFVv7OtP+fWH/v2K%0aP7OtP+fWH/v2KALNFVv7OtP+fWH/AL9ij+zrT/n1h/79igAj/wCQhP8A9co/5vVms9LC1N9%0aMv2aLaI0IGwYzl/8AAVP/AGdaf8+sP/fsUAWaKrf2daf8+sP/AH7FH9nWn/PrD/37FAHkn7%0aYH/Juni3/t0/8ASuGuN/YE/wCSO6x/2Hpv/Se3rq/2vLK3h/Z38WPHBEjj7JhlQAj/AEuGu%0aO/YJtIJ/g/rDSwxyMNdmGXUE4+z29fo1D/kja//AF/j+SP1nDf8kBiP+wiP5I+nKKrf2daf%0a8+sP/fsUf2daf8+sP/fsV+cn5MWarWv+vvP+uo/9AWj+zrT/AJ9Yf+/YqC2sLVproG2iIWQ%0aAAoOBsWgDQoqt/Z1p/wA+sP8A37FH9nWn/PrD/wB+xQBZoqt/Z1p/z6w/9+xR/Z1p/wA+sP%0a8A37FAFmiq39nWn/PrD/37FH9nWn/PrD/37FAFmiq39nWn/PrD/wB+xR/Z1p/z6w/9+xQBZ%0aoqt/Z1p/wA+sP8A37FH9nWn/PrD/wB+xQBZoqt/Z1p/z6w/9+xR/Z1p/wA+sP8A37FAFmiq%0a39nWn/PrD/37FH9nWn/PrD/37FAFmiq39nWn/PrD/wB+xR/Z1p/z6w/9+xQBZoqt/Z1p/wA%0a+sP8A37FH9nWn/PrD/wB+xQBZqtf/AOoX/rrH/wChrR/Z1p/z6w/9+xUF7YWqQqVtogfMjG%0aQg6FxmgDQoqt/Z1p/z6w/9+xR/Z1p/z6w/9+xQBZoqt/Z1p/z6w/8AfsUf2daf8+sP/fsUA%0aWaKrf2daf8APrD/AN+xR/Z1p/z6w/8AfsUAWaKrf2daf8+sP/fsUf2daf8APrD/AN+xQBZo%0aqt/Z1p/z6w/9+xR/Z1p/z6w/9+xQBZoqt/Z1p/z6w/8AfsUf2daf8+sP/fsUAWaKrf2daf8%0aAPrD/AN+xR/Z1p/z6w/8AfsUAEn/IQg/65SfzSrNZ72FqL6Ffs0W0xuSNgxnKf4mp/wCzrT%0a/n1h/79igCzRVb+zrT/n1h/wC/Yo/s60/59Yf+/YoAs0VW/s60/wCfWH/v2KP7OtP+fWH/A%0aL9igCzRVb+zrT/n1h/79ij+zrT/AJ9Yf+/YoAs0VW/s60/59Yf+/Yo/s60/59Yf+/YoAs0V%0aW/s60/59Yf8Av2KP7OtP+fWH/v2KACw/1Df9dZP/AENqs1n2VhavCxa2iJ8yQZKDoHOKn/s%0a60/59Yf8Av2KALNFVv7OtP+fWH/v2KP7OtP8An1h/79igCzRVb+zrT/n1h/79ij+zrT/n1h%0a/79igCzRVb+zrT/n1h/wC/Yo/s60/59Yf+/YoAs0VW/s60/wCfWH/v2KP7OtP+fWH/AL9ig%0aCzRVb+zrT/n1h/79ij+zrT/AJ9Yf+/YoAs0VW/s60/59Yf+/Yo/s60/59Yf+/YoAs0VW/s6%0a0/59Yf8Av2KP7OtP+fWH/v2KACw/1Df9dZP/AENqs1n2VhavCxa2iJ8yQZKDoHOKn/s60/5%0a9Yf8Av2KALNFVv7OtP+fWH/v2KP7OtP8An1h/79igCzRVb+zrT/n1h/79ij+zrT/n1h/79i%0agCzRVb+zrT/n1h/wC/Yo/s60/59Yf+/YoAs0VW/s60/wCfWH/v2KP7OtP+fWH/AL9igCzRV%0ab+zrT/n1h/79ij+zrT/AJ9Yf+/YoAs0VW/s60/59Yf+/Yo/s60/59Yf+/YoAs1Wuv8AX2f/%0aAF1P/oDUf2daf8+sP/fsVBc2Fqs1qBbRANIQQEHI2NQBoUVW/s60/wCfWH/v2KP7OtP+fWH%0a/AL9igCzRVb+zrT/n1h/79ij+zrT/AJ9Yf+/YoAs0VW/s60/59Yf+/Yo/s60/59Yf+/YoAs%0a0VW/s60/59Yf8Av2KP7OtP+fWH/v2KALNFVv7OtP8An1h/79ij+zrT/n1h/wC/YoAs0VW/s%0a60/59Yf+/Yo/s60/wCfWH/v2KALNfG//BRD/mn/AP3EP/bavr/+zrT/AJ9Yf+/Yr48/4KFW%0a0Vv/AMID5USR5/tDOxQM/wDHtX3HBP8AyPsP/wBvf+kSP0fw7/5KfC/9v/8ApEj6a+C//JH%0afAn/YBsP/AEnSup07/kH2v/XJf5CuO+DNhav8H/ArNbRMx0KxJJQZJ+zpXVWFhavY2zNbRM%0axjUklBknAr5XH/AO+Vv8c//SpHxWZ/7/iP8c//AEuZoUVW/s60/wCfWH/v2KP7OtP+fWH/A%0aL9iuE80s0VW/s60/wCfWH/v2KP7OtP+fWH/AL9igCzRVb+zrT/n1h/79ij+zrT/AJ9Yf+/Y%0aoAs0VW/s60/59Yf+/Yo/s60/59Yf+/YoAs0VW/s60/59Yf8Av2KP7OtP+fWH/v2KALNFVv7%0aOtP8An1h/79ij+zrT/n1h/wC/YoAs0VW/s60/59Yf+/Yo/s60/wCfWH/v2KACT/kIQf8AXK%0aT+aVZrPewtRfQr9mi2mNyRsGM5T/E1P/Z1p/z6w/8AfsUAWaKrf2daf8+sP/fsUf2daf8AP%0arD/AN+xQBZr43/4KIf80/8A+4h/7bV9f/2daf8APrD/AN+xXx5/wUKtorf/AIQHyokjz/aG%0adigZ/wCPavuOCf8AkfYf/t7/ANIkfo/h3/yU+F/7f/8ASJH018F/+SO+BP8AsA2H/pOldlX%0aC/BmwtX+D/gVmtomY6FYkkoMk/Z0rsf7OtP8An1h/79ivlcf/AL5W/wAc/wD0qR8Vmf8Av+%0aI/xz/9LmWaKgjsreFw8cESOOjKgBFT1wnmhXw/+3CwHxY0nJA/4kkX/o+evuCvhn9uf/krW%0ak/9gOH/ANH3FAHzfUcnT8akqOTp+NAFeb7tfRP7A/8AyWTWP+wDN/6UW9fO033a+if2B/8A%0aksmsf9gGb/0ot6APvmiiigCta/6+8/66j/0Bas1Wtf8AX3n/AF1H/oC1ZoAKKK8/+IHxVv8%0aAwVqpsNO+Hfi/xq8dmb64n0CC0WGFNzAJvuriASSHYx8uLe4GCwG5NybS3Gk3segUVznw7+%0aIGh/FTwVpPivw3dm+0TVIfOtpmjaNiASrKyMAysrKykEZBBFdHVNOLsyU01dBVaw/1Df8AX%0aWT/ANDarNVrD/UN/wBdZP8A0NqQyzRXjfjT9qrwD4H+Mvh74e6h4o8N299qMN217Jc67bwy%0a6bNGLcwQywsch5xOSgYqT5ZwGzxm+G/2tNO8RXnhEnwD4v0zRPFWsy6FpWvXn9mm1muUFwS%0aCkd686KRazYLRD7o6ZFAHu1FeO/FT4+6x8OPiN4T8KWPwv8R+LP7fnmjivtOvtNhRhHbSTP%0a5ST3SMzKUUMJBEuGJV2YKj8vYftqaRrugz6zofw68ba5YWfh238UahJbf2XGbGznNz5fmCa%0a+Qs+LOclY9+ABzk4oA+iq+Bf2BP+Sxax/2AZv8A0ot6+6fDeuweKPDul6zapJHa6jaxXcST%0aAB1SRA6hgCQDgjOCfrXwt+wJ/wAli1j/ALAM3/pRb1+jcO/8iPN/8EPzP1nhT/km89/wQ/N%0an31RRRX5yfkwVWtf9fef9dR/6AtWarWv+vvP+uo/9AWgCzRXA6d8ZtFvfjRq/wwuLTUNM8R%0a2WmQ6zayXkcYt9UtHYo8ls6uxPlSYR1kVGBYFQyndXC6T+2R4N1ew8M6vHpOvReFfEniebw%0arpfiaSG3/s+5uEZ0jnDLMXFvNJG8cchTll5CggkA94orz7Uvjd4e0z4rTeApEum1Cz0RvEG%0aqakPKSw0q0DlENzK8ilGcq5VQrfKjMdqjNYfhv8AaKh8Y/ZNR0T4f+NdR8G3jxi28Wx2Fut%0anPG4XZPHbtOL14SWGJFtipHzgmP56APXaK8n8IftKeFfGfx08XfCi2ttTtPEvhuJZZpryKN%0aLW7GyF3+zsJCzFBcwbgyrjeMZHNWPiD+0T4X+G/wAWfAXw71GHULrxD4yklSz+xRI8VqEUs%0aHuCzqUV9rhNoYkxvx8poA9Qoryb4rftEWPwe/tG/wBc8HeKpPCWlSW8eqeK7S2tzY2PmtGN%0a5R51uZkQSoXeCGVV+YZLRyKsnxA+P9v4I+J2k+ALDwb4k8Y+JdS0qbWY4NDNhGiW0UqxOzP%0ad3UAzudeBk8/WgD1Wisvwzq93r2h2t/faHf8Ahy6mDF9L1N7d7iDDEAObeWWI5ADDbI3BGc%0aHIHnnjn9oGHwj8VrL4d6b4K8TeMvE1zor6/wCTojWEccdos4gZme7u4BuDsg2jJwwPY4APV%0a6KzfDmq3WuaJa317o194euplJfTNSeB7iA5Iw5glljJOM/K7DBHOcgcJ8ZP2ivBnwNt4/8A%0ahIbm7ub6Q25Gm6VavdXCJNcLbxyy7flhiaVtoklZFZgVUs2FIB6bRXn3xe+Mtl8Il8LxTaF%0arHiXU/EmqjR9N0zRBbCaScwyzZLXE0MaqFhbkvnJGAecdJ4N8Rah4n0g3mpeF9W8I3AlaP+%0az9ZltJJyoAw+bWeaPacnHz54OQOMgGpH/yEJ/+uUf83qzVaP8A5CE//XKP+b1w/wAX/i1cf%0aCLQrvW38D+I/FGjWFlPqF/e6HJp4WzhhUu5dbm7hdjtDECNX6euAQD0GivJNB/aN0y7+H8v%0ajfxL4X8QeAvCxtrW6tL/AF37FO1+txgQrBDZXNxK0jFowIygZjIoUMcgaXhT4xaj4h1LToN%0aR+GPjbwtY6hgW2parbWckRYruVZY7a6mmt8qCd08caqRtYq7KpAMT9sD/AJN08W/9un/pXD%0aXG/sCf8kd1j/sPTf8ApPb1zn7Q/wAf7f4ifDr4peFdG8G+JJbXw5qsOjan4ilNgmnwXKTW8%0au3abr7QwYOgBWEjLjOACR0f7An/ACR3WP8AsPTf+k9vX6NQ/wCSNr/9f4/kj9Zw3/JAYj/s%0aIj+SPpaiiivzk/Jgqta/6+8/66j/ANAWrNVrX/X3n/XUf+gLQBZorkfi18UNE+C/w38QeNv%0aETTDR9FtjcTJbIHmlOQqRRqSAXd2VFBIG5hkgciP4d/Frw38TPhXo/wAQ9KvRb+GdS08akL%0am+ZYfs8W0lxMclUMeGDckAq3JAzQB2VFeReG/2iofGP2TUdE+H/jXUfBt48YtvFsdhbrZzx%0auF2Tx27Ti9eElhiRbYqR84Jj+etHxN8dbLS/Gd74S8O+GPEHj/xHpsSTanZeHY7ZU05XUNG%0aJ7i7nggWR1ZWEIkMpUh9mw7qAPTKKw/B3ig+LtGF8+j6roNwsjQz6drFt5M8Ei8MuVLRyD0%0akid42/hdhXJy/HnQIvG3xA8Lmz1I6h4J0i31nUZBFH5UsMySuiwnflnAhbIYKMkcnnAB6RR%0aXgehftfaZqPgrRfG+qfDzxv4a8A6rbJeR+Kb63sbm0t4HjMiTTx2l3PPFGQOZHiCpkbygyR%0a6D8RfjN4e+G9pov2j7Xrmr6/IYdE0PQ4hdXuquE3t5KZChFXDNM7JEgILuoINAHd0V51Y/F%0afWbzSNTmf4W+M7TWLLynTQ5/7N8+6jdiokiuFvDaHaVcsjTrIoUEph0L+B+L/wDgpb4K8Pe%0aAV8RWnhi/lupommg0vVPEGh2E7oJjGsnlm/aV43ALpJDHIrrhgdpzQB9g0V4n8Ev2uPA/x5%0au/EmneHpCmvaEnmzaMdT028ubiLYjebAbO7njkjBkRCwfCudpweKmn/ak8P3Hh3wbqOg+H/%0aEPifUPFOp3Oj2ug2UVta6hbXltFPJdQ3CXc8CxND9mmVgX+8BjcGBIB7NRXm/gn4w3PxB03%0axvFp/g/VdG8UeF7j7DNoPiG4tYmlumtIrqFPOtpbiMI6TxfOCxXccrxiqlh8c7vxB4T0TX/%0aDXw58V+KbfUEmW5g099OtpdNuYZWhntbhLy8gIljlSSNtgYZjbnpkA9TorifCHxD1bxBPeD%0aW/h94j8DWdtAZzf6/daW8L4PKj7LezsCBlssqrgHnPFeTa7+2n4e8PfB5PG2oQ6Vp15qGpW%0atpo+iajrsVtLNbXlw6WN3dOyYtI5oIprr5wwWOJ+WZSoAPo+ivFfhf+1z8N/idrGuaJZeK/%0aD8niHTdQurWHS9L1mDUJdSgjj8+O4tFiJe4DW5VmWNWMbrLGdxjLHndN/bd8J3niya2m8P8%0aAi6PwhcJBFpXiuLwlrL297etM8Mlk0ZslZJVdVC7d6tlgSjLtIB9GVWv/APUL/wBdY/8A0N%0aa8T8L/ALWemeKfFPhfSIfAni21tPEup3+laXrFx/ZptppLMzC4kMcd41wkSmBxvaIDJQcb1%0az7Zf/6hf+usf/oa0AWaKjuLiK0t5Z55UhgiUvJJIwVUUDJJJ4AA715Fon7SVp4szqPhzwH4%0az8ReDfOES+LrCyt/sMy4XdNBC863dxEC2N8Nu4faTHvHNAHsNFePal+0aB8UfFfgPw/8O/F%0avjHV/DENlNqc+kyaXDbxLdRu8GGu72BmJEb5wpwV9xm2P2lPCEnwf8VfESKPVWsPC1tPPrO%0ajzWTW2qWMkUQlkt5beYoUlCkEAkKwYMrFSGIB6tRXk/gn9pfwf8Qv2f7v4v6L9tn8NWenXe%0ao3Nm0cYvoPsyu00Dx79qyjYRtL4OVO7BBpum/tK+Gr7X/hjpk+n6vpsPxF0j+1dB1K7ihFr%0aI/krMbORllZo7jynDgFdjYYK7MCKAPWqK8I8W/tieD/CI8b3kuj+INR8O+C9XtNE1zxFp8F%0avJY2tzMUEgyZg7C382PztqEpuHDYOO88VfGLRfC3xB8F+CxbX2r674r+0S2sWmrG6W1tCga%0aW6nZnXZENyKCNxZmAVSaAO7orx+2/aTsfEFxeT+EPBPi3x34cspXguPE2g29r/AGfvjdkmE%0aHn3EUt35ZRgTaxygkFVLOCol1r9prwp4f8Aj34b+E17a6tBr2v6Ymp2d/JbpHYgP9p2QOzO%0aJEmYWk5CGP8AhxnPFAHrdFeXfHz9onwv+znomhal4mh1C8Gs6rDpNra6XFHLN5khx5jK7oB%0aEp2hmzwXQYJYA+o0AFFFFAFaT/kIQf9cpP5pVmq0n/IQg/wCuUn80rP8AFvjHRvAuiyarrl%0a8ljZqyxLlWkknlY4jhhjQF5ZXYhUijVndiFVWYgEA2aK4X4YfGbw38V/hnH4+0uW407w28l%0a6puNYj+yNGlrcTQSyyKx/drmB2+fBC43BTlRn/DL41t8V3s73R/A3iq18J38TT2HinU4rS2%0atLuIfckSBrn7WqyDlC9uuVIbgEEgHpVFcJ8Ufi9pnwubQbOXTdT8Q+INfuzZ6RoGixxPeXr%0aqpeUr5skcaJHGC7vI6KoHXJUHA079prwfN8NPFfjPVk1Hw1b+FLybTtc0rVLdft1jdRsqiE%0apE0iyNJ5kRjMTusglTaxzwAetUV5j8PPjvZ+OPGlz4Q1Lwr4i8D+KI9MTWYdM8Rx2we6s2f%0ayzNE1tPMh2OVV1ZldS6ZX5hXp1ABRRRQAUUUUAVrD/UN/11k/8AQ2qzVaw/1Df9dZP/AENq%0azND8X2ev65r2lW8U6XGjTRwXDSqoRmdA42EEkjB7gc1cYSknKK0W/wB9vzIlOMWot6vb8/y%0aNyiuX8R+Om8OzXn/FPa1qFpZQia5vbSGLyo1wScb5FaQgDJ8tWxnHXIDdR+IunW/9ipp1vd%0a69daxCbqztdOVN7wBQxmYysiomGUfMwJLAAE5xssNWkk1HR+na/fTTXW2hi8TSi2nLVeve3%0abXXTS+p1VFctY/EC01XwxHrGn6dqV87Tm1bTYYB9qinD7HjkVmCxlCDuLMFAGcnIyuk+P7X%0aUm1qCXTtRsNT0iNZrnTJ4VkuCjIWRo/KZ1k3YYAIxOQQQDQ8NWV7x20e3dLv3a121WoLE0n%0aa0t9t/N9uyem+j0OoorldL+IEV5r1to2oaPqegX93E01omorEVuFX74VopJAGUYJViDgjg1%0aJp3xD0bWPFp8PWMst1drayXZnjiP2fakiRsFkPDkM+Ds3AFGDEEYoeGrK/uvRX8rd7ptfiC%0axNF297d2+fazs/wOmorl/EfjpvDs15/xT2tahaWUImub20hi8qNcEnG+RWkIAyfLVsZx1yB%0aNdeM1NrplxpOkal4hh1C3+1QyaekaoIiFIZnmeNQSHGFzuPJxgHCWHqtKVtH5rtfvpprrYb%0axFJNxvqvJ+nbXXTS50VFcavxV0aXw/Z6nDHeTT3d3/Z0WmLDtu/tYJDwMrEKrKQ24lgoCk7%0asYJs6d8RNMurbW5L6O40SfRUEuoWuoKvmW8ZUsr5jZ1ZWVSQVY9COoxVPC10m3B6afjb13a%0aW1rta6olYqg2kprv+F/TZN97J6aHU0VyGgfEm11vVrHT7jSdT0WfULU3didSjjVbqMYLbdk%0ajEMAyko4VgD060s/xHt7HWbCyvtG1bT7bULo2dpqNzFGIJZedq7Q5kTdtOC6KDih4WspcvL%0ara/Tz2112e19n2BYqi483Npe3Xy8tN1vbddzrqK5j4hfETSfhnoI1XVzM8bzLBFBbKGllc9%0alBIHABYkkcKe+AenrF05xgqjXuu9n3tv8Adc2VSEpumnqrXXa+332K1h/qG/66yf8AobVZq%0atYf6hv+usn/AKG1WazNAoriPHXxIv8Awjq9jpml+AvFPjW6uYJLmRtCjtI4LZFZVAknu7iC%0aLexbiNGZ8KxKgYJ5X/hqbwbdfDHwz4z0yDV9XHiTUF0fStBtrMR6nPqHmPHJaNFKyLE8TRT%0aeY0jqiCJmL7cEgHsNFeYeEvj9pPivQfGd2fD/AIi0vXPCDvFrHha5skn1WJvK82MRxW8kqz%0aeahBjMTsHzgHIIB4U+PFtrXj+38FeIPCXiPwF4kvrJ9Q0y18QraOmpQxsFn8ia0uLiPdFuj%0aLo7K+JUIVhkgA9PoryWT9omx03xtoGg654O8VeGrLxDfPpmja/qlrbrZX1yFZ1iCpO1xCzp%0aHIyCeGPIQ9DxXrVABRXh2p/tceF9M1C/lbQPEc/g7TtcHhy+8bxW9v8A2Ra3u9Y2Vy04nMa%0ayusTTLCYg+Rv+UkdJ8Vvjivwng1G9uPA/izX9E0q0+3aprGj29sbexhAJZiJp4pJtqqzMIE%0alKgc4OBQB6bRVHQ9asvEmi6fq2mzi606/t47q2nUECSJ1DIwBAIypB5HeuE+IXxxsvA/i+w%0a8Jaf4c13xr4ru7GTVDo3h1LbzbezRthuJXuZ4Y1Uv8AIo37mbO1Tg4APSaK800v9orwNqfw%0aq0T4hf2nPb6FrB8q0gezlkvpLgFxJaraxq8sk8ZimDRxqxHkyH7qk10Pwr+I+l/F74deHvG%0amixXUGk65aJe2sd6ipMsbdN6qzAH6E0AdVVa6/wBfZ/8AXU/+gNVmq11/r7P/AK6n/wBAag%0aCzRRRQAUUUUAFFFFABRRRQAUUUUAFFFFABXxv/AMFEP+af/wDcQ/8Abavsivjf/goh/wA0/%0awD+4h/7bV9xwT/yPsP/ANvf+kSP0fw7/wCSnwv/AG//AOkSPpb4L/8AJHfAn/YBsP8A0nSu%0ap07/AJB9r/1yX+Qrlvgv/wAkd8Cf9gGw/wDSdK6nTv8AkH2v/XJf5Cvlcf8A75W/xz/9Kkf%0aFZn/v+I/xz/8AS5lmiivPviD8V7/wTqr2GnfDrxh41aGy+33E/h+3tBDEhZ1VA91cwCWU+W%0ax8qHe4G0sBvTdwnmnoNFeR3/7Tvg8+DfBev+H4tS8ZSeNJTF4f0jRYFF7fsoLSkLO8SRLEq%0au0jSugXbgncQDa8O/tA6X4p8C+INf0/w14km1bQdTfRtR8JpZxvq0F6JEQQlEkMRDCSOQTC%0aUw+W4kMgUMQAepUV5x8P/jdY+N/GOq+ENQ8Pa54M8X6dax6g+ieIEtzLNZudq3MUltNNDJH%0avDIcSblZSGUZGc3Rv2iLG8+IPhzwlrPg7xV4RuPE0d1JoF9rdtbrBqXkRiV0CxTyS27+UTI%0aEuY4WwjggOpWgD1miivDtG/a48L63qmhtFoHiOHwjr2sHQdJ8azW9uNJvbzcyIiYnNwFkkR%0ao0keFUdsAMQykgHuNFeU/Fj9oOz+DyajqOseDfFd34U0kw/2t4osLW3ay09XZNztG86XMyR%0arIju9vDKoG4Al45ET1SORJo1kjYOjAMrKcgg9CDQA6ivIviH+0jpngbxJrmhad4T8T+OdR8%0aP6YNX1xPDMFtINLt2DNH5pnni3ySKkjLDF5khCE7eV3a/if8AaE8B+FPh1pvja61v7VoWqW%0aX9oab/AGfby3VzfweV5xaG3jUyOFj+djtxGoZnKqrEAHo1FYfgbxdZ/EDwT4f8UadFPDp+t%0a6db6nbx3SqsqRTRrIgcKSAwDDIBIznk1uUAVpP+QhB/1yk/mlWarSf8hCD/AK5SfzSrNABR%0aRRQAV8b/APBRD/mn/wD3EP8A22r7Ir43/wCCiH/NP/8AuIf+21fccE/8j7D/APb3/pEj9H8%0aO/wDkp8L/ANv/APpEj6W+C/8AyR3wJ/2AbD/0nSuyrjfgv/yR3wJ/2AbD/wBJ0rsq+Vx/++%0aVv8c//AEqR8Vmf+/4j/HP/ANLmFFFFcJ5oV8M/tz/8la0n/sBw/wDo+4r7mr4Z/bn/AOSta%0aT/2A4f/AEfcUAePfYbb/n3i/wC+BUcljbY/494uv9wVbqKTp+NAGfPZW+P+PeL/AL4Fe7/s%0aRW8UXxb1YpGiH+xJhlVA/wCW9vXh0/SvdP2Jv+Ss6t/2BJv/AEfBQB9t0UUUAVrX/X3n/XU%0af+gLVmq1r/r7z/rqP/QFqzQAV4T8YPiv4z1jxxN8KfhPZWZ8YNYR3ureJ9VObDw3bSsyxyG%0aIAm4uHEcvlwjC5AZzsBB92rhfGHwG+GfxC1ltX8U/Dvwn4l1ZkWI3+saJbXc5Rfur5kiFsD%0asM8VEo81k9uvnp/V+60uik7J236ff8A5befRk/wc+F+nfBf4YeHfBOlTzXdlo9sIBc3OPMn%0acktJI2OMs7MxA9a7Osfwn4N0DwFokOjeGdD03w7o8LM0en6TaR2tuhY5YrHGAoJJJOByTWx%0aW05c0nJ9TOKsrBVaw/wBQ3/XWT/0Nqs1WsP8AUN/11k/9DaoKPkD4or4z8R/tp+EdWg16Tw%0aHo+i6Vq9pps+p2KTW90kIsJ72eRHK5t5RMkO9HjcG1Zg2Mbs7wrbTQfBn9kuaWJ4lvvH/9p%0aQrIMMYLmy1i4hYjsTHKhx2zX1H8Rvgx4O+LRtj4r0ltU+z2txZIBdzwAwTtE08TCJ13o/kR%0aBlbIKgqflZgZvH/wl8L/ABN0HTtG16xnaw065S7shpt/cadLbSpG8atHLbSRumEkdcBgMMR%0aigD508deN11fU7z4wWbeN7nwlcaLbDw34v0h/D2nWWkWU3lSXDqNYulPmXDrGryTW64RURM%0acu/hfwWXwx8Ux4o8ND4ZfGCC/t9IXwxa6XpPiK10GYaRZtLHHJcQSapAbm6U3hFxvWWJHdF%0a2J5jK/3foXwE8BeHdU0bULXw/HNc6JawWejjULia8j0mKKFYUFlHM7pakxoqu0IRpNoLliM%0a1Xg/Z+8GPo2s6XqWntrdtqWvXPiVXvyPOsL+bP760ljCvbyR7m8uWNhKmcq4PNAHTfDu2Nh%0a4E0CzOl6jootbKK2Ww1aSCS6hWNQiiVoHeIthQSUYjn8K+J/2BP8AksWsf9gGb/0ot6+6fD%0a+hW3hnRrTS7OW8mtrVNkcmoX017Owzn55pneRzz1difevhb9gT/ksWsf8AYBm/9KLev0bh3%0a/kR5v8A4IfmfrPCn/JN57/gh+bPvqiiivzk/Jgqta/6+8/66j/0Bas1Wtf9fef9dR/6AtAH%0axt+3J4f1T4+eN/Dnwz+GqBPiXoWn32uXevx3BhGk2E1tJbmzaUEbXvmZI9ucqsZkxhQa9D0%0azw54J/a4/YyHhjwxaDwxo97pQ02005kKzeH7+2wEhkUjcr280S56Ehcjhga930jwdoHh/WN%0aX1bS9D03TdV1h0k1K+s7SOKe+dAQjTOoDSFQSAWJwCcU7QfCWh+FpdTl0XRdP0iTVLt7+/e%0awtY4Dd3L43zSlQN8jYGXbJOBk0AfAPw1+H3jD4p/wDBO/4nfEATT+Kvir8UbJ7+/e2UrNcW%0a1s/kRWMQUZYeRFKFUDJadlGeDX3F4I+KPgzxb8M9E8Z6HrWmr4Pv7eJrS98+OOBAzCNYic7%0aUdZP3RTqrgpjIxXQeHPDOj+DtEtdG0DSrHQ9ItFKW+n6bbJb28KkkkJGgCqMkngdSa51Pgn%0a8O4vGZ8Xp4C8MJ4tMxuP7eXRrcX/mkYL+fs37iCRnOcUAfH+uWk/hr4qfHH4qabBJNqfw78%0adWOrXCQIWkn0mTRrWHUoQB1/cMZgP79tGe1TXsjeOfiX8JPivMvy+NPiYF0gncCNFtNM1CG%0axOCBgSk3F0OvF514wPtiHwjoVu+svFounRvrTb9UZLWMG/PliPM/H707FCfNn5QB0FRnwV4%0adNtodudB0w2+hMj6TF9jj26cyRmNDbjbiIrGzINmMKSOhxQB8/wD7Zlnb3PwU8d+L28cre6%0aFoVoXn8Haj9mk0PULqCQFbS5MKR3ZeSTZGIxcqpkMYeORC8b83460vVvHv7bnw4Nrr2t/D/%0aUJ/hvfXUsmlxWcl1ETeWxaBxdW80eAW5IQNlRggZB+kb74Q+BNT8aQ+MLzwV4du/FsLI0Wv%0aT6VA9+hUbUKzlPMBA4GG4FbUnhnR5vEUGvyaTYvrsFs1nFqjWyG6jgZgzRLLjcELKpKg4JA%0aOOKAOT1j/AIWL4W03SrDw1Y6R47eOJlvNV8Wa8dKuXfPynZaabJE2QTkqsYGB8pzmvCfHHh%0avVvFn/AAUA0K1s/FOq+Cb5fhZczS3mgJZzyN/xNYA0Wbu2mQplgciNWyi8gEg/WtZp8M6O3%0aiRfEJ0qxOvpaGwXVTbJ9qFsXDmES43eWXVWKZxkA4yKAOS1t/iP4ZstLsPDOm6N44EVvtu9%0aV8VeIG0q6kkB6mO102WJsjklRGAeAtec/t4lz+y7rhkUK/8Aa2gblU5AP9tWOcHAz+VfQtZ%0a2v+HdK8V6XJput6ZZ6xp0jxyPZ39uk8LNG6yRsUcEEq6KwOOGUEcgUAcF8YfhjpPxN17wQs%0a/jDV/CPiHRL2fVdGm0aS086SQQNBKfLuYJkkAjnbjZkbs1zf7KnxH8R+O9I8dab4i1iHxUf%0aC3ie60Oz8UQWyQDVoEWNw7LGBF5iNI0TGMBSYjwDmvVfGXgPwz8RdIGk+K/Duk+J9LEqzCx%0a1mxiu4BIoIV9kisu4ZODjPJq9oWg6Z4X0e00nRtOtNI0qzjENtY2MCwwQIOioigKoHoBigC%0aaP/kIT/8AXKP+b159+0z/AMm3/Ff/ALFPVv8A0jlr0GP/AJCE/wD1yj/m9JqemWet6bd6dq%0aNpBf6fdwvb3FpdRrJFNE4KujowIZWBIIIwQSKAPkT4g3CeHfg1+yn4v1UFvB3hzUdGutbkY%0afubOOTTJIILyYnhY4p5YiWPC7gegyPRvjb8X/Gfw28a/C260fV/C2reDfGvirT/AA+LF9Lm%0aa8SGeGWR7mO7W88tx+6G0eRjEgyTjn3Wz0uz0/TINOtbSC20+CFbeK0hjVIo4lXaqKgGAoA%0aAAAxjiuO8IfAX4ZfD7WU1jwt8OvCfhrVkRo1v9I0O1tZ1VhhlEkaBgD3GeaAPiXUvDmoXeg%0a/tWaxF4q1az061+IAjl8PwRWZsrtitgBJIz27XAYbgR5cyL8i5BG4N7/8AsCf8kd1j/sPTf%0a+k9vS/tbfBvwBY/Cvxf4ytvA3hu38Xs9vKfEEWkW66gXe5iR2+0BPMyysyk7uQSDwaT9gT/%0aAJI7rH/Yem/9J7ev0ah/yRtf/r/H8kfrOG/5IDEf9hEfyR9LUUUV+cn5MFVrX/X3n/XUf+g%0aLVmq1r/r7z/rqP/QFoA+bv2n7jWviP8Wfhr8MPDWmWGtzWE//AAnWtWGp6nJp1tLa2cgjtI%0apZkgnJV7uRJNnlNuFqRlRkjxDXtE8daX8Iv2kPgP8A2LbWnia5spfGXhvQdC1Ka+jm0u8uC%0a15aW0jQRM22aOcbPLUk3aqAep+9oPDOj2uv3euw6TYw63dwpbXGpx2yLczRISUjeQDcyqWY%0ahScDJx1ok8M6PN4ig1+TSbF9dgtms4tUa2Q3UcDMGaJZcbghZVJUHBIBxxQBgeCPij4M8W/%0aDPRPGeh61pq+D7+3ia0vfPjjgQMwjWInO1HWT90U6q4KYyMV4l+zLfXelt8aPAcGpWGifE2%0aDxpq+sFdYtTcG4tbmdZLW+NuksTSQtE0cYKyKFMe3Ixiva0+Cfw7i8ZnxengLwwni0zG4/t%0a5dGtxf+aRgv5+zfuIJGc5xVnx18J/A/xQ+w/wDCZeDfD/i37Dv+yf27pcF79n37d/l+ajbd%0a2xM4xnauegoA4D9lz4t+JvivpHxBTxW2jzal4W8Z6l4XW50S0ltYLiO1EQEhikmmKsWdsje%0aQOB2JPlN7/wAnI/tWf9iHpP8A6TX1fV3hzwzo/g7RLXRtA0qx0PSLRSlvp+m2yW9vCpJJCR%0aoAqjJJ4HUmoW8G6A2parqJ0PTTqGrW6Wuo3ZtI/NvYUDBI5nxmRFDsArEgBj6mgD5z+FXjj%0aw34B/4J7eAb/wAUSwnT7jwVZ2Udi/zSajNJZhUtIU6ySyn5VRQSc9K4b4KaHqvwO+LfwCt/%0aiIRYRXnwuh8I6ddXbgRW+spPFK9iWPCSvCI0TnMht2VckGvqDwl8Afhh4B1uLWfDHw48JeH%0aNXiVkj1DSdCtbW4RWGGAkjjDAEEg4PINdX4j8M6P4x0S60bX9Ksdc0i7UJcafqVslxbzKCC%0aA8bgqwyAeR1AoA8m/a21Owu/gZ450Z59QudthBNrNl4dvo4dVg0qScJcXEatFLlfKjuDtMe%0aJBHIgIPI+H/AIweN9c8R/s33stzZ+J/EmiyRzf2FrCz6/o8C6QL4pYeZa6XpiaXLvgSOQNI%0ayMolVdoKKD+hg+APw5t/B174TsPBukaJ4Zvrhbm90nQ7cadbXjjbkTpb7BKjBVV0fKuo2sG%0aXiuU1H9jb4SX1lqWnweHb7Q9F1KRZbvQ/Duv6jpGlyuFRd5srS4igDERpkiPJKgnJ5oA4H9%0amXwrY+I7X4j6fqOi+L/Dh165tL24e41vxP9oby4kiHlajqFjY3K8QplUllOGIyiYWvJvB/j%0aDVPD/g34LfEseI/DJu5NEh0bxN4z8ZwXuu3Ph5pgWtZZB9viFtFcN+7kmIUkmIyMycp9leD%0avg9oPgXUbi902/8AFNzNPbtbMus+LtW1SIISpJWO6uZEV8qMOoDAZAIDEHzbwz+wz8JvDE9%0a3bxaNPd+GJTbtF4RnmC6NG0QOHltY1QXrsSGMl6bhwUTayhQKAOX+AXhPXvilr/xF8e3HiI%0aaZFq13Da6N4s8HR3mmx6t5UCRTX39n3d1eWUqERxQxTtESyws4+UxtXk/iP4g6X4v+Gvwbk%0a8Y/FjUPCPjfxW4l1TxBL44uPD8EGl2lwxuJVtobiG18+UBLdMRZJlZ8EREj6dtv2X9A0aPV%0atP8AD3iXxd4V8L6nbmCfwxo+ssmnwkyO++0Dq0tl/rCvl2skMW0KNnArN0v9kbQPBuvnVPA%0afijX/AIe4tjZxW2jW2l3K20DOHeGCS+sriaGBnUOYI5FhD5cIGZiQDyf4SeJvhJ8Tv+Fz+H%0abXWfEPxAk8NW11BdWWi+Odb1mDWdJuYGeMW0ct66yT7Cbd/LJIlXKsgkUDxfVvhFqXh/Tfg%0a140Xw18UfDfjzU/G0LOLzUdMuNQn+0abeybbcXtzOCYIre2tl+3srJHDwqu8u77i0z4HXkW%0auNqWt/Erxb4nZrC400pew6VZyiCYDesd1ZWNvcxHKo4MUyHdGjdVFY3iP9jr4X6+mim30a4%0a8PXunatFrMur6DeSWeq6jOkM8QN3qCH7VMSLmRi5l8xm5LnLBgDxb9ky08dX/AIv+IltdXv%0axR02ym8UapHc3t8vhVrW3uDbRgSXAhV5jcKShHkK0G4R5BXzBXGaTHZi28N+Pl1L47WXh3U%0aPE4udP1yaPwa1lHqV/Ktgbv7KqM6l2kYFhDlfNmcANLIW+ufA/7OHgr4c662r6C/ie3u5Lm%0aS8mS58Yaxd29xO67XlmgmunjlYjHLqx+VT1AI42y/Yj8BWHhrQ9Fj1rxu0Gkala6pB53iu9%0akgaWC6W5RWs2kNoELqAQsC4HK7Ww1AHkHwSsrv4fzfCPx9b38upJrWua74Du9IuwpWKKfWN%0aQuxeWzKAUl8y2QSryskaoflMQJ+17/AP1C/wDXWP8A9DWvPPht+zl8P/hdcw6hpXhvTrjxF%0aFNdzL4jvLC3bVP9InlmdDcrGr7QZmQDP3AAc8k+h3/+oX/rrH/6GtAHm37UvhvXfGH7N/xM%0a0TwxHJNr1/4evbe0ghJEkztCw8pf9pxlR7sOR1qz8HviZ4N8QfA7w34o0nU9PsPC8OmQIzy%0azpFHp+yNVaCUkgRvGRsZWwVK4Nek1xd18E/h3feM18X3PgLwxceLVmS4GvS6NbtfiVAAj+e%0aU37lCqAc5AAx0oA8i+Cv8Ayev+0t/14eE//SW8rx74lXdp438K/tmfEDw28d34L1Twjb6Ta%0a6vbYa31W8s7O6FxNDJ0kSPzY4d65VmjYAnZX1r4t+APww8fa3LrPif4ceEvEeryqqSahq2h%0aWt1cOqjCgySRliAAAMngCuqvvDOj6n4dl0C80mxu9Cltvscmlz2yPavBt2+UYiNpTbxtIxj%0ajFAHwR8YNNf8AZs+DGs+M9Pjl/wCFe/ErwN/ZXiKygX93puuPpoistQVQCAtxxBMRt+cxOx%0abJx1PxBuIfGH7KX7PHww0SIXHxJ8S6doF34fuYxmTQTa28E0urk5G1YFBAGQXaQIMgsK+y9%0aU8I6FrnhqTw7qWi6dqHh+SFbZ9JurWOW1aIYxGYmBUqMDC4xwKqaV8PPCug6zb6vpnhnR9O%0a1a305NHhv7SwiinisUIKWqyKoYQqVUiMHaCBgcUAeBfsn6N4b8Xfs4az8Itb0kWOvaCLnw1%0a410uaYyzXF7IpM98XcbpEuxIbhJSMHeQCdhx5L+xr8JPFmoeDfjNq+reIv+Eh8faDFqHwq8%0aOX7fuvslnpyskZVuoMs7I7E5P7pDnJIr7is/COhaf4i1DxBa6Lp9tr2oRxw3mqQ2saXVyiD%0aEaySgbnCjoGJA7VJofhnR/DKXq6PpVjpK313Lf3S2NskIuLmQ5lmk2gbpHPLOcknqTQB47+%0ayB4y8PTfss+DBDNb6QPCujxaLr9pdMsL6RfWcKpeQ3KtgxOjKzNvwdrBzwwNeP8Ax28C3Xx%0aR/af8YJ4bmiPiaw+GOka94bvFIZV1C21e9ntiGH8DsvlsR1SVx3r6g8Q/BP4d+LfE8XiTXP%0aAXhjWvEURjaPV9Q0a3nu0MZzGRM6FxtIGMHjtXRr4d0pPEEmvLplmuuSWq2L6mLdPtLW6uz%0arCZcbjGGdmC5wCxOMk0AfAHxs8dQftKfCDxj8Xbe1nt/Dumv4Z8PaBDdKyvHPLq+m3WqsVK%0ajkS/ZbYkfxWUuODX6IVgSfD/AMLy+G28PP4b0h9Aac3TaU1hEbUzGf7QZDFt27/O/e7sZ3/%0aN97mt+gAooooArSf8hCD/AK5SfzSrNVpP+QhB/wBcpP5pVmgD4P0Sz1XUP+CVXju30USm/e%0a28U/LBne8X9r3xmUAcnMe8Y75xXpmn+N/E/wAPPip8DtJsfiInxA8P+P4LsXGmmys0tra3j%0ashcRXmnNbxJIturBU/fyT5SaP59w3n6T0Dw7pXhTS49N0TTLPR9OjeSRLOwt0ghVpHaSRgi%0aAAFndmJxyzEnkmsTwl8JfA3gDVb/AFPwx4M8P+HNSv8AIvLzSNLgtZrnLbj5jxoC/wA3PJP%0aPNAHh3jfxr4f1n9qv9n3xVp+t6frHhbV9L8RaVpur2NylxZyXrfZWVEmUlNzrBMowckxsvU%0aYrw74wRhtT/aJ8cQJv8F2PxG8HyXt3DlopBp7Waai23GD5Tna/YGJ8n5Tj7hn+EXgS68EQ+%0aDJvBXh2bwfCd0fh+TSoG09DvL5W3KeWDvJbhepJ61r6X4R0LQ/DUfh3TdF07T/D8cLWyaTa%0a2scVqsRzmMRKAoU5OVxjk0AeEeL2h8U/tv8Awqk0Ux3baJ4S1m+1a5t5NypbXUlrHaBiOPn%0aeOYoM5YI5AwpNfRtc34I+GvhD4Z2VxZ+D/CuieFLO5k86a30TTobOOV8Y3MsSqCcADJ5wK6%0aSgAooooAKKKKAK1h/qG/66yf8AobV578NP+SlfE/8A7CFr/wCky16FYf6hv+usn/obVj6l8%0aPPCus30t7qHhnR768lIMlxc2EUkjkDAyzKSeAB+FdlCrCnCpCd7SSWlujT6+hx16U5ypzhb%0a3W3rfqmunqcx4w1nWfG+q6r4N8MiK0igjWLV9buPmW2Eig+TCn8cpRs5OFUdTkjFTTdNtfC%0aXxp0PTULQ2Z8KDT9PMp/1hgmBZAe7BNrEDsM12F98N/CWp3L3N54W0W7uHADTT6fC7nAAGS%0aVzwAB9BVu68G6BfaRb6Vc6HptxpduweGyltI2giIBAKoRtB+Zug7n1rsWLowgqUE1Fpp7Xu%0a0k5XvrtotElpvq+R4WtObqSack01vaybaja2m+r1beu2i8x8IeLY/CGgeLtWgspNSbWPFlz%0aFo1rbuAL+VwiLtc/KqF45SX6AKx56HodEsZ/AFh4m8beMb2B9SuollukslPk20EQby4Ys4L%0aH5jknG4sBjjJ7DUfCui6vplvpt/o9he6db7TDaXFqkkUW1Sq7UIIGASBgcA4qnafDrwpYRX%0aMVt4Y0a3iuY/KnSLT4lEqZB2sAvzDIBwfQU54yjU5rxa5mr7XcVy2V+mkbvTV+SsKGErQ5b%0aST5U7b2UnzXduusrLXRebuc74X0PXfFXiiz8X+JYE0hbSCSLStERt8luJAoklnfAzIwUDYO%0aFGBy2aWf/k4Gx/7Fe4/9K4a6HTfh54V0a+ivdP8ADOj2N5ESY7i2sIo5EJGDhlUEcEj8a2D%0ap1odQW/NrCb5YjALryx5ojJDFN3XaSAcdMgVjPFQc5OK05XFLRWv83823dt3NYYWShFSevM%0apN6u9vkvlZWSRwHjDWdZ8b6rqvg3wyIrSKCNYtX1u4+ZbYSKD5MKfxylGzk4VR1OSMWNc12%0a68Gw6J4L8I6fHqWtfYgtut7KUt7S2iAjE07AZIztG1Rluelb+pfDzwrrN9Le6h4Z0e+vJSD%0aJcXNhFJI5AwMsykngAfhRd/DrwpfxW0Vz4Y0a4ito/KgSXT4mESZJ2qCvyjJJwPU1ccRhko%0aQcXyrW2msrWu3e79NNNO7cSw+IbnNSXM9L66RveyVrL11117Jcqvwmi03QtCto9fMfiS01R%0a9Tj1W4hUi7u5N7zhoQy5V0LjarAgLkNwSfOfGumatq9t8W7+S+TWBbafaWUsllbmKAyROZZ%0aY413OfkQ/MC7Hc7dB8o93h8E+HbbRp9Ii0DS4tKuHEk1glnGIJHG3DNGF2k/KvJH8I9BWjp%0aumWej2UVnYWkFjZxDEdvbRiONBnPCgADkmt6WZypSc37zv1SWnMpPbVXtstFv5GVXLY1YqC%0a91W6NvXlcVvo7X3er28zzvxZd2/iL4i/DKXS5EuyDdal50LE7bRrcr5hx0VmdFBPUkD1qv4%0a9IsNY8Ia2urnxFb3eswLZaZdeU0KiX5fOt/KCbmRGLBpDIAMng4avQNE8K6L4ZM50fR7DSj%0acYMxsbVIfMxnG7aBnGTjPqfWksfCOhaZqs+qWei6faanOWM17BaxpNIWOW3OBk5PJyeTWMc%0aXSg48qdoppba3cnq+m/2ddPM1lhKk1LmavJpvfS3KtO+32tNfI8K+M8WuX+ieL9X1zw1qMc%0acSLZ6U4ntXt7W386MvKcTb/MlKjOEyoCrnG4n6C027lvrKKeayn0+Vxlra5aMyR89CY2Zff%0ahj1o1DTbTV7OS0vrWG9tJcB4LiMSI+DkZUgg8gH8Ks1jiMWq9GFLktyt7XtayWz9LvzZrQw%0ajoVp1Oa/Mlva97t7/Oy8kVrD/UN/wBdZP8A0Nqs1WsP9Q3/AF1k/wDQ2qzXnHoninxr+L3i%0aqy8Yaf8ADH4X6TZ6r8RNT059Vnv9YlMWm6Dp4cxLd3GAWmd5QUjgjGWKyMxVU+byTVvhhZf%0as6ePf2U9MutWl1DTLHXdbs77Xb1Fj+1atqNnO6uwX5UM07yqi5ON6oCetfSPjX4IfDr4lar%0aFqfi/wD4X8ValFCLaO81vRra8mSIMzCMPIjEKGdztzjLE9zUlp8GvAGn+C7vwfa+BvDdt4S%0au5PNuNBh0i3SwmfKtueAJsY5RDkr1VfQUAeAaV4/wBE+HH7QX7TPxN1BnTwfoek6HYaheWg%0aMouL+CKd5IEH3WmRLi3QrngyoDjJx2Hwo8BeO/iH8T7L4v8AxPs7bwzc2Omz6b4Y8EWcguG%0a0qG4MTXFzeXGB5l1J5SJsQCONEA+Z2Yj1iH4W+DLfwOfBcXhHQY/BxVkPh5NMhGnlWkMjD7%0aPt8vBclz8v3jnrWP4W/Z6+FngbXbXW/Dfw08H+H9atd32fUdL0G1triHcpRtkiRhlyrMpwe%0aQxHQ0AeLfGphoPxE+DPi5PFz/Eix1zxhbR6N4e1P7M9taxXUbqb7TzaJEZTbwyM4kuPtGI2%0aYqyM28+7war8Qm8am1m8MeGU8I+awGqp4juGv/L2na32Q2Aj3FsAr9owAScnGDL4c+EXgXw%0ad4mv/ABHoHgvw9ofiHUBIt5q2m6VBb3dyJHEkgklRA77nVWOSckAnkV1tAH56LdWk3/BMHx%0al4NkVbzxVDqmqeFX0fJ+0trUusSGG3CfeaVjNDIFxkhgTgZI+kP2jfDa+JfhJ4vkn+Jc+ja%0adomjS2ut6SJbY6bcOIBK0V9IEW8QSRyRhliuIWKSKR97J9Sb4U+CW8dL41Pg/QD4yUYXxEd%0aMg/tEDy/KwLjb5n+rJT733eOnFR+I/hF4F8Y+JrDxHr/AIL8Pa54h08RrZ6tqWlQXF3bCNz%0aJGI5XQum12ZhgjBJI5NAHE+CvGfxC1z4Q/DnWfCvgDwvANT8P2d5d6Vquuz6Qumu8EbCCGO%0aKxuMouSACUKhQMdccn4W1FNB/bm8cQa28Nlfa34F0i708NJuR47e4u1ukjdgudjSoxGAcMG%0aIGa+j65nxx8MfB3xNtbW28Y+E9D8WW9q5kt4dc02G9SFiMFkEqsFJHGRQB4d+x3aE/Afxpq%0a8EPk6Jr3ijxFq+jYJKvYS3kxgdM4OxgNynHzKwYcMK6P9hj/AJM/+Ef/AGL1t/6DXt0dnbx%0aWi2iQRpaqgiWBUAQIBgKF6Yxxiq2haDpnhfR7TSdG0600jSrOMQ21jYwLDBAg6KiKAqgegG%0aKAL9Vrr/X2f/XU/wDoDVZqtdf6+z/66n/0BqALNFFFABRRRQAUUUUAYHjS98UWOkpJ4S0fS%0aNb1MzBXtta1aXToRFg5YSx21wSwO0BdgBBJ3DGDg6nrPxQi0DSZtP8AB/hG61uXzP7Ss7nx%0aXdQ21thv3fkzrprtNuXJbdFFtPA3da72igCrpkl5Lpto+owQWuoNCjXEFrO00UcpA3qkjIh%0adQcgMUUkAHaucC1RRQAUUUUAFfG//AAUQ/wCaf/8AcQ/9tq+yK+N/+CiH/NP/APuIf+21fc%0acE/wDI+w//AG9/6RI/R/Dv/kp8L/2//wCkSPpb4L/8kd8Cf9gGw/8ASdK6nTv+Qfa/9cl/k%0aK5b4L/8kd8Cf9gGw/8ASdK6nTv+Qfa/9cl/kK+Vx/8Avlb/ABz/APSpHxWZ/wC/4j/HP/0u%0aZZrwn4u/Ffxprnjm5+FPwks7QeLlsYbzWPFeq/NY+GbeZ2WKQwgE3Ny6xTGOH5Vyqs52ZB9%0a2rhPF/wABfhl8QdZfWPFPw68J+JdWdFja/wBX0O1up2VRhVMkiFiB2GeK4TzT5/i+HWjfs9%0afHj9mLwvDcyt4fsdA17w/ZX16eZL+RbSb524VZJhHMQB94ggDpUHhv4o6f8KfiZ+018QksL%0ajWdJvvE2jaBo9nppzJq+sR2UNrJbQg4G/7Q6xMegMb5+6a+kW+DXgB/BKeDW8DeG28II/mr%0a4fOkW5sFfeX3C32eXncS2dvU561Lf/CXwNqvg228IXvgzw/eeE7XaYNBuNLgexi2kldkBTY%0auCSRgcZNAHm3we+HXinT/ABn4l+MPxWvdM0/xVqmmpp8GjafKGsfDukxSSTLbtcMF8+Xc5e%0aWYgLuGEARVrk/iDbTeBv2hfgnq03iab4kXXiHV7+y0/TtZW38/SbWSylklvdP+yJAhRFEcc%0arzpO+yVAkke9/N9q8GfAz4b/DjVm1Xwn8PvC3hfVHiaBr3RdFtrSYxkglC8aK20lVJGccD0%0aq14O+EPgT4d6je6h4U8FeHfDN/erturrR9KgtJZxndh2jRSwzzyTzQBjalcfErWLrXtLuPD%0aPhmx0GaC7hs9UtPEtxNfNlHEDNbNYRojMdu4CchMnBfHPyM2o2HjD/gnR8GPDWjBJ/Et7qX%0ahzQ7KyUlJ4tStb+E3SlRyrRrb3LOTjaoZjivv+uV034U+CdG8Y3fi3T/B2gWPiq7DC51220%0auCO+mDY3b51UO2cDOTzgUAeLftkWNvqHwT+IfiY+P1XQ9B0yQ3nhS+Ns+i31zBiVbW6aJY7%0awNKxij8tLpAxZFMcis0cnplx4m+JF1pfh678N+BfDptbzToLi6tdf8R3Gm3NjMy5aDyo9Pn%0aDbAQNxZTnI2jGTtan8IfAmteMbbxbqPgrw7f+K7ZkaDXbrSoJL6Ip9wrOyF1K9sHjtXW0Af%0aMvwo8SaP4M+P37UEfia9t9P8m607xBPLenap0saVChny33okaCZGIyFKkd6xPgf4f1Lwx/w%0aTPt9P1azl0+9HgfUZvss5O+KOSKeSJTnkERunB5HSvovxd8KfBPxA1HT9Q8UeDtA8SX+nHN%0aldavpcF1LanIb920ikpyAflI5ArotQ0+11awubG+tobyyuYmhntriMSRyxsCGRlPDKQSCDw%0aQaAPPf2Zv+Tb/AIUf9inpP/pHFXpVVdM0yz0TTbTTtOtILDT7SFLe3tLWNY4oYkAVERFACq%0aoAAAGAABVqgCtJ/wAhCD/rlJ/NKs1Wk/5CEH/XKT+aVZoAKKKKACvjf/goh/zT/wD7iH/tt%0aX2RXxv/AMFEP+af/wDcQ/8AbavuOCf+R9h/+3v/AEiR+j+Hf/JT4X/t/wD9IkfS3wX/AOSO%0a+BP+wDYf+k6Ve8b3/i+wsrdvB+h6Jrt40mJotb1mbTY0TH3leK0uCxzgbSqjHOe1Ufgv/wA%0akd8Cf9gGw/wDSdK7Kvlcf/vlb/HP/ANKkfFZn/v8AiP8AHP8A9LmcvY6h40kvfD63mgaDBa%0aTwu2sywa5NLJZyhTsS2Q2ai5UtgFnaAgEkK2MHqKKK4TzQr4g/bgUH4r6TkA/8SSLqP+m89%0afb9fEH7cDqvxX0nJA/4kkXU/wDTeegDx6opOn41LUUnT8aAKs/SvdP2Jv8AkrOrf9gSb/0f%0aBXhc/SvdP2Jv+Ss6t/2BJv8A0fBQB9t0UUUAVrX/AF95/wBdR/6AtWaoxLObm78qSNF8wcP%0aGWOdi/wC0Kl2Xf/PeH/vyf/iqALNFVtl3/wA94f8Avyf/AIqjZd/894f+/J/+KoAs0VW2Xf%0a8Az3h/78n/AOKo2Xf/AD3h/wC/J/8AiqALNVrD/UN/11k/9DajZd/894f+/J/+KqCyS6MLb%0aZogPMk6xE87zn+KgDQoqtsu/wDnvD/35P8A8VRsu/8AnvD/AN+T/wDFUAWaKrbLv/nvD/35%0aP/xVGy7/AOe8P/fk/wDxVAFmvgX9gT/ksWsf9gGb/wBKLevvHZd/894f+/J/+Kr4L/YJEh+%0aMGseUyo39hTcupYY+0W/uK/RuHf8AkR5v/gh+Z+s8Kf8AJN57/gh+bPv2iq2y7/57w/8Afk%0a//ABVGy7/57w/9+T/8VX5yfkxZqta/6+8/66j/ANAWjZd/894f+/J/+KqC2S6866xNED5gz%0amI8nYv+1QBoUVW2Xf8Az3h/78n/AOKo2Xf/AD3h/wC/J/8AiqALNFVtl3/z3h/78n/4qjZd%0a/wDPeH/vyf8A4qgCzRVbZd/894f+/J/+Ko2Xf/PeH/vyf/iqALNFVtl3/wA94f8Avyf/AIq%0ajZd/894f+/J/+KoAs0VW2Xf8Az3h/78n/AOKo2Xf/AD3h/wC/J/8AiqALNFVtl3/z3h/78n%0a/4qjZd/wDPeH/vyf8A4qgCzRVbZd/894f+/J/+Ko2Xf/PeH/vyf/iqACP/AJCE/wD1yj/m9%0aWaz0S6+3Tfvot3lpk+UcYy/+19an2Xf/PeH/vyf/iqALNFVtl3/AM94f+/J/wDiqNl3/wA9%0a4f8Avyf/AIqgDyT9sD/k3Txb/wBun/pXDXG/sCf8kd1j/sPTf+k9vXV/teJcD9nfxYZJYmT%0a/AETIWMg/8fcPfca479glZz8H9Y8qSNF/t2bh4yxz9nt/9oV+jUP+SNr/APX+P5I/WcN/yQ%0aGI/wCwiP5I+nKKrbLv/nvD/wB+T/8AFUbLv/nvD/35P/xVfnJ+TFmq1r/r7z/rqP8A0BaNl%0a3/z3h/78n/4qoLZLrzrrE0QPmDOYjydi/7VAGhRVbZd/wDPeH/vyf8A4qjZd/8APeH/AL8n%0a/wCKoAs0VW2Xf/PeH/vyf/iqNl3/AM94f+/J/wDiqALNFVtl3/z3h/78n/4qjZd/894f+/J%0a/+KoAs0VW2Xf/AD3h/wC/J/8AiqNl3/z3h/78n/4qgCzRVbZd/wDPeH/vyf8A4qjZd/8APe%0aH/AL8n/wCKoAs0VW2Xf/PeH/vyf/iqNl3/AM94f+/J/wDiqALNFVtl3/z3h/78n/4qjZd/8%0a94f+/J/+KoAs0VW2Xf/AD3h/wC/J/8AiqNl3/z3h/78n/4qgCzRVbZd/wDPeH/vyf8A4qjZ%0ad/8APeH/AL8n/wCKoAs1Wv8A/UL/ANdY/wD0NaNl3/z3h/78n/4qoL1LoQrumiI8yPpERzv%0aGP4qANCiq2y7/AOe8P/fk/wDxVGy7/wCe8P8A35P/AMVQBZoqtsu/+e8P/fk//FUbLv8A57%0aw/9+T/APFUAWaKrbLv/nvD/wB+T/8AFUbLv/nvD/35P/xVAFmiq2y7/wCe8P8A35P/AMVRs%0au/+e8P/AH5P/wAVQBZoqtsu/wDnvD/35P8A8VRsu/8AnvD/AN+T/wDFUAWaKrbLv/nvD/35%0aP/xVGy7/AOe8P/fk/wDxVAFmiq2y7/57w/8Afk//ABVGy7/57w/9+T/8VQASf8hCD/rlJ/N%0aKs1nul19uh/fRbvLfB8o4xlP9r6VPsu/+e8P/AH5P/wAVQBZoqtsu/wDnvD/35P8A8VRsu/%0a8AnvD/AN+T/wDFUAWaKrbLv/nvD/35P/xVGy7/AOe8P/fk/wDxVAFmiq2y7/57w/8Afk//A%0aBVGy7/57w/9+T/8VQBZoqtsu/8AnvD/AN+T/wDFUbLv/nvD/wB+T/8AFUAWaKrbLv8A57w/%0a9+T/APFUbLv/AJ7w/wDfk/8AxVABYf6hv+usn/obVZrPskujC22aIDzJOsRPO85/iqfZd/8%0aAPeH/AL8n/wCKoAs0VW2Xf/PeH/vyf/iqNl3/AM94f+/J/wDiqALNFVtl3/z3h/78n/4qjZ%0ad/894f+/J/+KoAs0VW2Xf/AD3h/wC/J/8AiqNl3/z3h/78n/4qgCzRVbZd/wDPeH/vyf8A4%0aqjZd/8APeH/AL8n/wCKoAs0VW2Xf/PeH/vyf/iqNl3/AM94f+/J/wDiqALNFVtl3/z3h/78%0an/4qjZd/894f+/J/+KoAs0VW2Xf/AD3h/wC/J/8AiqNl3/z3h/78n/4qgAsP9Q3/AF1k/wD%0aQ2qzWfZJdGFts0QHmSdYied5z/FU+y7/57w/9+T/8VQBZoqtsu/8AnvD/AN+T/wDFUbLv/n%0avD/wB+T/8AFUAWaKrbLv8A57w/9+T/APFUbLv/AJ7w/wDfk/8AxVAFmiq2y7/57w/9+T/8V%0aRsu/wDnvD/35P8A8VQBZoqtsu/+e8P/AH5P/wAVRsu/+e8P/fk//FUAWaKrbLv/AJ7w/wDf%0ak/8AxVGy7/57w/8Afk//ABVAFmiq2y7/AOe8P/fk/wDxVGy7/wCe8P8A35P/AMVQBZqtdf6%0a+z/66n/0BqNl3/wA94f8Avyf/AIqoLlLrzrXM0RPmHGIjwdjf7VAGhRVbZd/894f+/J/+Ko%0a2Xf/PeH/vyf/iqALNFVtl3/wA94f8Avyf/AIqjZd/894f+/J/+KoAs0VW2Xf8Az3h/78n/A%0aOKo2Xf/AD3h/wC/J/8AiqALNFVtl3/z3h/78n/4qjZd/wDPeH/vyf8A4qgCzRVbZd/894f+%0a/J/+Ko2Xf/PeH/vyf/iqALNFVtl3/wA94f8Avyf/AIqjZd/894f+/J/+KoAs18b/APBRD/m%0an/wD3EP8A22r6/wBl3/z3h/78n/4qvjz/AIKFLKv/AAgPmuj/APIQxsQrj/j29zX3HBP/AC%0aPsP/29/wCkSP0fw7/5KfC/9v8A/pEj6a+C/wDyR3wJ/wBgGw/9J0rqdO/5B9r/ANcl/kK47%0a4MpdH4P+Bds0QX+wrHAMRJx9nT/AGq6qwS6NjbbZogvlrgGIk4wP9qvlcf/AL5W/wAc/wD0%0aqR8Vmf8Av+I/xz/9LmaFFVtl3/z3h/78n/4qjZd/894f+/J/+KrhPNLNFVtl3/z3h/78n/4%0aqjZd/894f+/J/+KoAs0VW2Xf/AD3h/wC/J/8AiqNl3/z3h/78n/4qgCzRVbZd/wDPeH/vyf%0a8A4qjZd/8APeH/AL8n/wCKoAs0VW2Xf/PeH/vyf/iqNl3/AM94f+/J/wDiqALNFVtl3/z3h%0a/78n/4qjZd/894f+/J/+KoAs0VW2Xf/AD3h/wC/J/8AiqNl3/z3h/78n/4qgAk/5CEH/XKT%0a+aVZrPdLr7dD++i3eW+D5RxjKf7X0qfZd/8APeH/AL8n/wCKoAs0VW2Xf/PeH/vyf/iqNl3%0a/AM94f+/J/wDiqALNfG//AAUQ/wCaf/8AcQ/9tq+v9l3/AM94f+/J/wDiq+PP+ChSyr/wgP%0amuj/8AIQxsQrj/AI9vc19xwT/yPsP/ANvf+kSP0fw7/wCSnwv/AG//AOkSPpr4L/8AJHfAn%0a/YBsP8A0nSuyrhfgyl0fg/4F2zRBf7CscAxEnH2dP8Aarsdl3/z3h/78n/4qvlcf/vlb/HP%0a/wBKkfFZn/v+I/xz/wDS5lmioI0uA4MksTJ3CxkH89xqeuE80K+If23/APkq+k/9gSL/ANH%0az19vV8Q/tv/8AJV9J/wCwJF/6PnoA8dqKTp+NS1FJ0/GgCrP0r3T9ib/krOrf9gSb/wBHwV%0a4XP0r3T9ib/krOrf8AYEm/9HwUAfbdFFFAFa1/195/11H/AKAtWarWv+vvP+uo/wDQFqzQA%0aUUVyvjj4r+Cfhj9i/4THxjoHhP7aXFr/bmqQWX2jbjf5fmsu7G5c4zjcPWjyA6qikVldQyk%0aMpGQQcgiloBO+qCq1h/qG/66yf8AobVZqtYf6hv+usn/AKG1AFmisXUfGWj6V4q0bw3dXnl%0aa1rENzcWNr5Tnzo7fy/OO4Dau3zo+GIJ3cZwcc1o/7QXwt8Q+JIvD2lfErwhqevyytBHpVn%0ar1rLdPIudyCJZCxYYORjIwaAO/orzfx5+0j8K/hf4msfD3i34heHPDut3jbUstR1GKKSMeW%0a8gaXJ/coVRsPJtVmKqCWZQTU/2lfhFoqWT6h8VPBNgl9brd2rXPiKzjFxAxZVlj3SDchKsA%0awyMqRng0AekV8C/sCf8AJYtY/wCwDN/6UW9felneQajaQXVrPHc2s6LLFPC4dJEYZVlYcEE%0aEEEda+C/2BP8AksWsf9gGb/0ot6/RuHf+RHm/+CH5n6zwp/yTee/4Ifmz76ooor85PyYKrW%0av+vvP+uo/9AWrNVrX/AF95/wBdR/6AtAFmisnTvFmh6xrur6JYazp97rWj+T/aWnW90klxY%0a+apeHzowS0e9QWXcBuAyMisu0+K/gi/1tdGtvGOgXGrtfTaYunxapA1wbuFQ81uIw27zUUh%0amTG5QckAUAdVRWXdeKtFsvENloFxrFhBrt9FJPa6ZLdItzcRpje8cRO5lXIyQCBkZrCf4y+%0aAIvGw8Gv458Np4vLiL/hH21e3F/vKbwv2ff5mSpDY29OelAHY0ViaZ448Oa14j1Xw9p/iDS%0a7/AF/SgjahpVtexyXVmHGUM0SsWj3AgjcBkdKfq/jHQPD+saRpOqa5pum6rrDvHptjeXccU%0a986AF1hRiGkKggkKDgEZoA2KK5TWvi14H8NeLLDwtq/jPw/pXie/wDL+yaLe6pBDe3PmMVj%0a8uFnDvuYFRgHJBAqHxv8ZPAHwyu7a18YeOfDfhS6uUMsEGuavb2byoDgsqyupYZ4yKAOxor%0aL8M+KdF8a6Ha614e1ew17RroMbfUdMuUubeYKxVikiEq2GVgcHqCO1YPjf40fD74Z39vY+M%0aPHfhnwpe3EXnQ22t6xb2ckkeSN6rK6krkEZHGQaAOyorN8OeJtH8Y6Ja6zoGq2OuaRdqXt9%0aQ025S4t5lBIJSRCVYZBHB6g1JrOuad4c06XUNW1C10uwiKrJdXsywxIWYKoLMQBlmUDnkkD%0avQBeoorL8OeKtF8Y6c1/oGsWGuWCyvAbrTbpLiISIxV03ISNysCCOoIwaALcf/IQn/65R/z%0aerNVo/wDkIT/9co/5vXM+OPjB4C+GNxaQeMfG/hzwnPdqz28euatb2TTKpAYoJXUsASMkdM%0a0AdfRXJeBvi74F+J8l5H4N8aeHvFr2YRrldD1WC9MAbO0uInbbna2M9cH0qDwl8bPh34+12%0abRfDHj3wx4j1mFGll07SdZt7q4jRSFZmjjcsACQCSOCQO9AHH/tgf8AJuni3/t0/wDSuGuN%0a/YE/5I7rH/Yem/8ASe3pf2tvjJ4AvvhX4v8ABtt458N3Hi9Xt4j4fi1e3bUA6XMTuv2cP5m%0aVVWYjbwASeBSfsCf8kd1j/sPTf+k9vX6NQ/5I2v8A9f4/kj9Zw3/JAYj/ALCI/kj6Wooor8%0a5PyYKrWv8Ar7z/AK6j/wBAWrNVrX/X3n/XUf8AoC0AWaKqatq1joGlXup6ne2+nabZQvc3V%0a5dyrFDBEilnkd2ICqqgksSAACTS6Zqdnrem2mo6ddwX+n3cKXFvd2siyRTROAyOjqSGVgQQ%0aQcEEGgC1RXHP8ZfAEXjYeDX8c+G08XlxF/wj7avbi/3lN4X7Pv8AMyVIbG3pz0q344+J3g7%0a4ZWtrc+MfFmh+E7e6cx282ualDZJMwGSqGVlDEDnAoA6aiqGha9pnijR7TVtG1G01fSryMT%0aW19YzrNBOh6MjqSrA+oOKrN4y0BdS1XTjrmmjUNJt0utRtDdx+bZQuGKSTJnMaMEYhmABCn%0a0NAGxRXAeFP2gvhd471y30Xw18SfCHiHWbgMYdO0rXbW6uJAqlmKxxyFjhQScDgAmuw13Xt%0aM8L6Pd6trOo2mkaVZxma5vr6dYYIEHVndiFUD1JxQBforhrT47/DS/8ACV94ptfiH4UufDF%0ajMttd61Drds1lbytt2xyTB9isd6YUkE7h6iue8Q/tb/BPwvoS6zf/ABX8HjT3UvE9trMFy8%0awDbG8pImZpMNwdgOMHPQ0AetUVy/hD4peC/iDpV7qfhbxfoPiXTbJit1eaPqcN3DAQu4h3j%0aYhTt55I45pvif4reCfBPh/T9d8ReMdA0HQ9QKCz1PU9Tgtra5LIXTy5XYK+VBYYJyBnpQB1%0aVFchonxf8E+KvCmreJfD3irSvFGh6UkjXl54euk1JYjHH5jri3LkuFwdgBY5GAciqniH47/%0aDXwhY6Pe6/wDEHwvoNprFst5p02q6zb2q3kBAIkiMjjeuGU5XI5HrQB3VFcb4I+NHw++Jl/%0acWPg/x34Z8V3tvF501tomsW95JHHkDeyxOxC5IGTxkiq03xx8EweBdU8ZNrRPhrTr+TTJr9%0aLSdle5S5+ytHEoQtNmf90DEGDNwpNAHd0Vj+GfF2keMIL+XSL1btbC+uNMul2MjwXMLlJI2%0aVgGByMg4wysjqSrKxrWfxA0C+8dal4Niv9vibT7KHUZtPlhkjY20rOiSxsyhZU3IysYy2xs%0aBtpYAgHQ1Wv8A/UL/ANdY/wD0Na4vS/j/APDDXPFCeGtO+JHhHUPEbzNbLpFrrtrJdtKud0%0aYhWQvuG1srjIwfSu0v/wDUL/11j/8AQ1oAs0UVx1/8ZfAGleNI/B97458N2fi2SSOJNBn1e%0a3S/Z3AaNRAX3ksGUgbeQRjrQB2NFcF4t+P3ww8A63Lo3if4j+EvDmrxKryafq2u2trcIrDK%0akxySBgCCCMjkGupuvFWi2Php/EVzrFhb+H0tftratLcototvt3+cZSdgTb827OMc5oA1KKx%0a7XxjoF74VHie31zTbjw0bVr3+2YruNrP7OFLNN5wOzYFBJbOMAnNQaf8AEHwtq+rWGlWPiT%0aSL3VL/AE9dXs7K3v4pJrmyYgLdRoGLPCSQBIAVOetAG/RXK6p8WPBGh65Louo+MfD+n6xFN%0ab28mnXWqQR3CSz/APHuhjZgwaTB2DGW7ZrW1jxVovh280y01XWLDTLrVLj7LYQXl0kT3c2C%0a3lxKxBkfAJ2rk4BoA1KK47xL8ZfAHgzxJa+HvEHjnw3oWv3Yja30rUtXt7e6mDsVQpE7hm3%0aMCowOSCBWtP448OW3i638KTeINLi8UXFsb2HRHvY1vZbcFgZVgLbymUYbgMZU88GgDborH8%0aT+MtA8EWMF74i1zTdAs550tYrjVLuO2jkmfOyNWcgF2wcKOTjitigAooooArSf8hCD/rlJ/%0aNKs1Wk/5CEH/XKT+aVZoAKKpaRrWn+ILM3ml39tqVoJZYDPaTLLH5kUjRypuUkbkkR0YdQy%0asDggiuf0z4veBNa8Y3PhLTvGvh2/8V2zOs+hWuqwSX0RT74aBXLqV75HHegDraKx/FfjDQf%0aAehz614m1vTvDujwFVl1DVruO1t4yzBVDSSEKMsQBk8kgUaD4x0DxV4bi8Q6Lrmm6xoEyPJ%0aHqthdxz2rohIdhKhKkKVYEg8FTnpQBsUVy/gf4peDPidDdzeDvF2g+LIrNlS5k0PU4b1YGY%0aEqHMTNtJwcZ64NdRQAUUUUAFFFFAFaw/wBQ3/XWT/0Nqs1WsP8AUN/11k/9DakttUs725ur%0aa3u4J7i1YJcRRSKzwsRkBwDlSRzz2ppN6oTaWjLVFY+reMtA0G+istT1zTdOvZVDx213dxx%0aSOCSAQrEEgkEfUGrOs6/pfhy0W61bUrTS7ZnEYmvZ1hQsQSF3MQM4B49jV+yqae69dtHr6a%0aa/K5HtIa+8tN9Vp666fOxforPm8RaVb6MNXl1Ozi0kosgv3uEEBViAreYTtwSRg55yKTS/E%0aWla5p732m6nZ6hYoSGubW4SWNSBkgspIGB1o9nO3Nyu22z37bb+W4e0hfl5lffdbd99vPY0%0aaKydD8XaF4naZdH1rT9WaEAyixuo5igOcbtpOM4PX0q+17breJaGeIXbxtKkBceYyKQGYL1%0aIBZQT23D1pShOL5ZJp+j/AMhxnCS5otNeq/zJ6Kx9W8ZaBoN9FZanrmm6deyqHjtru7jikc%0aEkAhWIJBII+oNS634n0fwzHFJrGrWOkxykrG99cpCHI6gFiM1SpVHa0Xrto9fTTX5XJdWmr%0a3ktN9Vp666fOxp0VRl1zTYNIGqy6hax6WY1mF68yiAxkAq+/O3acjBzjml0jWtP1+yW80u/%0attStGJUT2kyyxkjqNykjip5JJc1nbbZ79vXyK54t8t1fffp39C7RWTo3i3Q/EU88Olazp+p%0azQcyx2d1HM0fOPmCk459aLfxbod3rMmkQa1p82qxkh7CO6jadcdcxg7hj6VTpVE2nF6avR6%0aeumhKq02k1Ja7arX01Naiqup6pZaLZSXmoXkFhZx4D3FzKsca5IUZZiAMkgfUirVZ2dr20N%0aLq9upWsP9Q3/XWT/wBDarNVrD/UN/11k/8AQ2qzSGFFct45+K3gn4YJZv4y8YaB4SW9Li1b%0aXdTgshOUxvCeay7tu5c4zjcM9av6p418O6J4VbxNqOvaZYeG1hS5OsXV5HHZiJ8bJPOZgm1%0aty4bODkY60AbVFYHh34geF/F3hlvEeheJNI1rw8gkZtW06/iuLQBM+YTKjFPlwc88YOap+B%0afix4H+KH27/hDfGXh/xb9h2fa/7C1SC9+z792zzPKdtu7Y+M4ztbHQ0AdXRXJ6V8WvA+u+L%0a7zwnpnjPw/qPimz3i50O01SCW+g2EB98CuXXaSAcjjPNdZQAUVyd18WvA9h41i8HXPjPw/b%0a+Lptoj0CXVIFv33LuXFuX8w5X5hheRzR4t+LXgbwBqthpnifxn4f8Oalf4NnZ6vqkFrNc5b%0aaPLSRwX+bjgHnigDrKKK5vxv8SvCHwzsre88YeKtE8KWdzJ5MNxreow2ccr4ztVpWUE4BOB%0azgUAdJRVfT9QtdWsLa+sbmG8srmJZoLm3kEkcsbAFXVhwykEEEcEGotF1vTvEmlWuqaRf2u%0aqabdIJLe8splmhmQ9GR1JDD3BoAu1Wuv9fZ/wDXU/8AoDVZqtdf6+z/AOup/wDQGoAs0UUU%0aAFFFFABRRRQAUUUUAFFFFABRRRQAV8b/APBRD/mn/wD3EP8A22r7Ir43/wCCiH/NP/8AuIf%0a+21fccE/8j7D/APb3/pEj9H8O/wDkp8L/ANv/APpEj6W+C/8AyR3wJ/2AbD/0nSup07/kH2%0av/AFyX+Qrlvgv/AMkd8Cf9gGw/9J0rqdO/5B9r/wBcl/kK+Vx/++Vv8c//AEqR8Vmf+/4j/%0aHP/ANLmWaKK5Dxx8YPAXwxuLSDxj438OeE57tWe3j1zVreyaZVIDFBK6lgCRkjpmuE806+i%0asbxP408PeCfD8uu+Ite0zQNDi2eZqeqXkdtbJvIVMyuQo3EgDnkkYqra/Efwle+C28YW/ij%0aRZ/CKxPOdfi1CFrARoxV388N5e1WVgTuwCCD0oA6Oiud8E/Ebwn8S9On1Dwh4o0bxXYQS+R%0aLdaJqEV5FHJgNsZomYBsMpwecEetVvDfxa8D+MvEeo+H9A8Z+H9c1/Tt/23StN1SC4urXY4%0aR/NiRyybXIU7gMEgHmgDq6KK5O1+LXge/8AGsvg628Z+H7jxdDuEmgRapA1+m1dzZtw/mDC%0a/McrwOaAOsorlNf+LHgfwp4q03wxrfjLw/o3iTUvL+w6PqGqQQXl15jmOPyoXcO+51KLtBy%0awIHIrq6ACiuU8bfFrwP8ADSexh8X+M/D/AIVmvt32SPW9Ugs2uNpAbyxK67sFlzjONw9a6e%0a4uIrS3lnnlSGCJS8kkjBVRQMkkngADvQBJRVXTNTs9b0201HTruC/0+7hS4t7u1kWSKaJwG%0aR0dSQysCCCDggg1aoArSf8AIQg/65SfzSrNVpP+QhB/1yk/mlWaACiiigAr43/4KIf80/8A%0a+4h/7bV9kV8b/wDBRD/mn/8A3EP/AG2r7jgn/kfYf/t7/wBIkfo/h3/yU+F/7f8A/SJH0t8%0aF/wDkjvgT/sA2H/pOldlXG/Bf/kjvgT/sA2H/AKTpXZV8rj/98rf45/8ApUj4rM/9/wAR/j%0an/AOlzCiiiuE80K+If23/+Sr6T/wBgSL/0fPX29XxB+3AW/wCFr6TgA/8AEki6n/pvPQB49%0aUUnT8aXy2/56v8AkP8ACo5I2x/rX6+g/wAKAIJ+le6fsTf8lZ1b/sCTf+j4K8InjbH+tb8h%0a/hXuv7Eilfi1q2XLf8SSbg4/57wUAfbtFFFAFa1/195/11H/AKAtWarWv+vvP+uo/wDQFqz%0aQAV5f8bNH8U3mg6xH4R8H+GtfuNW0qfT9RudWvTDceVtfy40h8grdDMspEUs9umWI3qHZl9%0aQrz/x/8Kb7xtezzWXxD8X+D4Lq3+zXdpoM9p5cy8jcpuLeZ4HwxG+Bo26EnKqRlUh7SLh3u%0avvXXrbvbUuEuR8y6fo0/wBDG/ZPutAuv2bPhwPDF7f6hoUGi29pbT6pEsV0fKXymWVFJVXV%0akZSqswG3AZhgn1msPwR4J0T4ceEtK8MeG9PTS9C0uBba0tI2ZhHGOmWYlmJ5JZiSSSSSSTW%0a5XVVlz1JT7sxpx5IqK6f1/XzCq1h/qG/66yf+htVmq1h/qG/66yf+htWRZ8QfGUSeIP27fC%0aUXh3R/EXiaDStPvRqken+Nb/T8XR+wvLFbL9oWFGiga2leAGFJRON5YhateEOfg/8AsssPu%0av8AEy5dT2ZTDrZBHsQQQfevf/ir8Bbvxr4i03XfC3iSLwLq1pY6paNeWmmLNK0l99lWS5Ui%0aRMTKlsQrMG+ZlYghNrR+Of2e/wC0PAfw48PeCdXtfCcngG/tb3Rpr/T21CECC0mtVSSJZoS%0a3yTsd28cgEg0AedfGX4rabo/x9hu9X8UfDzQpPA9oW0TRvFfjO30qXUry8iVZrmUhZpIIor%0adpI0Vot0jyuflQIzfOvw38Q6DbeDfF+iaB8fvhJ4ehl8H2fgW7Hia5jmfULqzF+stxbMl7F%0a5Vq5vf3cpWZmGSY12Yf7F8H/s7ar4b8FeGfA8nj7ULXwR4f0q002HT/AA5bnS7u+MUKJI91%0aerI8w3SIZFFqbZl3srNKDWN8Nv2WZ/hqnia88M6vB4F1u7127vLB9AgWSwl09mDWtneWboq%0aPGmFH7oxyom5IbiIO+QD1n4Ry2Mvwu8JjTdW07XbOHS7aBNS0m5W4tbjy41QvFIvDLlTg18%0aZfsCf8li1j/sAzf+lFvX3T4fg1W20a0i1y9s9R1ZUxc3Wn2b2kEjZ6pE8srIOnBkb618Lfs%0aCf8li1j/sAzf+lFvX6Nw7/yI83/AMEPzP1nhT/km89/wQ/Nn31RRRX5yfkwVWtf9fef9dR/%0a6AtWarWv+vvP+uo/9AWgD42/bt8Q6l8GPHXhD4jfDZjN8WLzTdR0eXRorc3A1HSI7eS4kuJ%0aY/wDpzkVJVxy5kMfzBgBu+Kv2dNK1L9jDw9Y/CjUm1vxB4fSDxj4W8Rly8+paohNybl2OSz%0aXJeVWDHH77HAUY918P/BbR9C+L/iP4lS3+pax4l1ixh0uNtRkiaLTbKNi/2e1VI1KRvIQ77%0aixZlU54p3wa+DGjfAvw5f8Ah7w5eai+gTajcahZ6ZeSRtDpazOXa2tQqKUgDFiqMWI3HmgD%0a4qsfiL4v8Zfs1/Gz9qtoJtA8QeIdFXRfCsERMkui6RBJ5Us0bLhgzzvPOfTyY2BxX2/4H+F%0aXgvwj8OdL8JaJounSeFoIonigaFJo7llKutxISCJZWdVkMrZZn+Yknmqfwo+CPhv4R/BzS/%0ahlYrPrfhiwtJbHy9bEdw9zDIzs6TAIqOD5jAjaARwQawfCv7Oq+C7XTtH0j4jeObfwbpzKL%0aTwu19bPBDCrbktxdtbm+8pTgBTc8KBHny/koA+ZrKVvht+1l8T/AIrxs0enad42svDfiLBw%0an9mX+l2KJO59ILtbVyTwI3mNXfiNcN8R/wBqX4Z/EB2eTSdP+IZ8H6BuBCGK20++OoTp2Pm%0aXmYSeciwQg8kV9Nz/ALO/hW9tfipa3hvb60+I779ZguHjKR/6IlriDCDb8kasC24huQegEF%0al+zZ4U03w98LdGtZ9Rgs/h5eJf6YVlj33My28sLPckp85fz5HYrsJc5z1BAPOP21vD2qah8%0aGviBZTeFtLT4eXdtFqniTW9KuRLrmyAxNLNFZPFHDJJHHbxYle6DIsYZY5DGkT4XxC1/Xrz%0a9uT4e6p4F03R/Ec938Ob+aJNY1WXTYGt3vbZhIJY7a4bPK4UxjIJ5GMH2Px/+z5b/Eo6rp+%0ateOPFz+D9WcNqHhKG7t1srlMgvEZ/IN4kTlfmjjuFXBZAAhKncl+DehSfF3R/iIkl3b6vpW%0ahzeH7ayhaNbMW0kscpJTZu3AxKBhgAM8HrQBHrHxZj8DabpQ8YaLq8Gs3kTSS23hPRNV8Q2%0a0LA4I8+2svcY3pGTzgcZrwnxxqniiL/AIKAaFdeDtF0rW7+X4WXJe21/U59KjSE6rAS29LW%0a4feDsGxo14LEsCuD9a1xEnwk0eT41wfE83N9/b8Ph6Tw2tsJE+ym2e5S4Lldm7zN8agHdjB%0aPy55oAr638W4PA1lpcfi3RtZi1m6t/Nmt/Cug6r4gtYWzgqLi2s/XpvRGI52141+394G0HW%0aPgdeeLLvT/ALXrWn6hoUVhPdPIy2YfWbQO8ULHZFKyuyNIqiRkOxmKjFfUlcd8XPhbpXxn8%0aCXfhPW7i8tdOurmzunlsHRJg1tdRXMYBdWGC8Kg8fdJxg4IAPIv2sfj1pHhOfSfhbF410fw%0aN4j8XQO1x4g1jUYbOPRdLBKz3SmVlDzvgxQoDnexc/LE1c7/AME5tc8Fr8IvEfhjwhrOk3l%0avo/irWfJ0/T79Ll7eye+m+yuQGZtjxqCjt94DIJ619YVxvwt+FulfCPQ9S0rR7i8ube/1e+%0a1mVr50dxNdTtPIqlVUbAzkKCCQMZJPNAHUx/8AIQn/AOuUf83rz79pn/k2/wCK/wD2Kerf+%0akctegx/8hCf/rlH/N6zPHXhGz+IHgnxB4X1GWeHT9b0640y4ktWVZUimjaNyhYEBgGOCQRn%0aHBoA+W/HU51X4L/sueDNRl8jwh4uvNI0zXAWwt5CumSXEdk/+xNLCisP4lBU5DEH1j4jfFL%0aw58MvFvgDwvrfw21RtHvdcs9G8O65Bb6bJp1rfSQyCIRxm5E8OyNZl3iEAAMASGGer1b4I+%0aFfEXws0nwBq9rPqWh6Vb2kNpK9w0N3C9sFEE6TRbGjmUorB49pBzjAOK5WH9maHUNX8JXni%0a34h+MvHtt4WvotU0vT9dfT44oryONo4rh3tbOCWV1V3/wBZIwJYlg1AHyjqV54nj0H9qy2s%0a9H0mfwu/xABvdSn1WWO9hk22G1Y7UWzJIpIQFmnQjcx2naA3v/7An/JHdY/7D03/AKT29c5%0a+0P8AAC3+Hfw6+KXirRvGXiSK18R6rDrOp+HZRYPp89y81vFu3G1+0KFCIQFmAygzkEg9H+%0awJ/wAkd1j/ALD03/pPb1+jUP8Akja//X+P5I/WcN/yQGI/7CI/kj6Wooor85PyYKrWv+vvP%0a+uo/wDQFqzVa1/195/11H/oC0AfNn7cXiKz1bRfBXwtuV1Ca08Z6xG2uRaTpl3qN0ui2hWe%0a72Q2iSS/vHFvb7ghA+0EnABrxjw78X9S+GP7Fvxy8IeGptY03V/hsZrTRbnUdMvLG/h0a8k%0aLWV0YrhElVoo3nQMVH/HoG6cn7Ph+FWlR/GC4+JEl3fXOuPoq6DDbyun2a1tvO85/LUIG3S%0aOELFmbPloABiqWp/BDw3rHxVu/Hl2s9xfX3h1/DGoaZKI5LC/s2lMoE8TIS7As6g7sbZGBB%0aB4ALvgf4VeC/CPw50vwlomi6dJ4WgiieKBoUmjuWUq63EhIIllZ1WQytlmf5iSea8Y/ZxvB%0arF18YviZeaLP4r+IMXi3VfDxgszb/bbexs7gRW2nQPNJHHGmxUmILorvIXYkkGu98K/s6r4%0aLtdO0fSPiN45t/BunMotPC7X1s8EMKtuS3F21ub7ylOAFNzwoEefL+SrOu/s+2M/jXUPFnh%0aXxZ4k+HetaqD/a7eHJLV7fU3AjVJZre7t7iESqsYUSxojkMQzMMAAEnwB+J/hz4paR4suvD%0a/ha98IT6V4kvNJ1jT9Qt7WKY6jHsa4kY20sschJcAybyWIPsT4he/8AJyP7Vn/Yh6T/AOk1%0a9X0P8I/hBo3wb0PVbDSbm/1G51jVbnXNU1PU5Ve4vr64YGWZwipGmdqgJEiIAowo5zQl+A2%0agS+NviB4oN5qQ1DxtpFvo2oxiWPyooYUlRGhGzKuRM2SxYZA4HOQDyP4V+BvDXxA/4J5+BN%0aO8VW9u+mReCLW6W8nQFtPlSyyt1E55jlj5ZXXBUjg1wvwa8Q6j8dPif8BrD4lIdSSx+GFv4%0azt7K/TMN7rDTxwfbZIyNjyxxYdMj921yWUKcGvY9A/ZC0rTPBeieCdX8feM/FXgHSbeK1i8%0aLanNYQWc0MabI4p3tLSCeaMDGY5JWR8Derjiu9+I3wV0D4jJ4fuHlvfDuueHJTLoeu6DKtv%0aeaaSFV0j3K0bROqqrwyo8bgDch2qQAZH7ROs3HgP4ZeJfE3hy50Pw94yu4LXR7PxDrFvIYo%0aHluRFB5zxQytsSS4dl3I0au+WwpY18EfGHTYj+zvq8GnJr/hCDSJLrR57HT18Va9p+qT2uo%0aNBPem+tpbWxDyzxzM5nti7uC2fnQj7s8UfALUvFHw98T+GNQ+IOteIJPEVuunXmoeJLS0uP%0aJsjkSR29tbxW9skpDuVneJ2DFN4kWNEHh+v/APBOe3u/BU/g+w1zwZe6OkEVrp+seKfh9bX%0a/AIgsoUCHyxf289qrjertuaEv+9YMzHmgDT/Zf+E+t6ZffFTXdO8TahP4h1ee1js7/wAVaH%0a4oisvJEEKP5unardq875hdRItxIyqQNyIfKrifhbr6aM/7P2tt4S1q/t9Ws9Q1rw94Q8EW9%0ana6Zb6vNFcNfMZb/UFKjyLidorZNiIplI37cJ9G/BX4EXfwj1nUrqG0+Gem295a+Uy+CvAR%0a0Kd5AwKNLKL6YSRqN/ybQcsCGGCD434c/Yk8dr4NPw51v4mu3gSxk02ew1e2QvrsU1tlhJY%0aELHDpW1goBC3cjhpCZUyAADp/g/4l8Ya/8WfjXqvhbRG04/2lZS6h4c8Y28EAbUf7PtoPKi%0a1WwvLyNQkMEMjxm2Z1M6DI3fLz2kfEzxvpPwg+HGo/Cy18IeF4/GOp/Y9M8EX2kXmqGC4mu%0a5pr2UXaXkG22iQTz7RbgIqBFABQD0P4ffCj4q/Brw1qHg3wtqvg/V9D8qWbS/EWsW9zFqkV%0a1JNI7vfxRlkv5GVkZrhZLYs4YmM5rzW2/ZC8d+FdX8PRQXqeN9H8NaZcaXo0n/Cdal4Qkii%0annWaVpk0+0laWbcgUyLMkbIEBgDRh2APS9F174h+MdD+IFnqHxO8K6FLo0d9pV7PF4OuNPu%0atIuBETDelpdVlQxeW0dwhIAZGXLIQwX4c1m/u73wb8LdXf4n+CtW8AL4s0+x/4R7TvFs+h2%0aWkxQWV6dNM08M1xJp0hWBrmVjJJK886qxH2ZCfsD4Z/s3a/4R8Y+LdVTwd4e0MeLNIl07Wr%0ai+8dar4si1CQJtt5Lq0vrSJrgRjdHtFzGDHLIvOVK6Pjb9m74g6ha/DptB+Idg934Z8RW2r%0aLZapodvDoumwRWV3b+VY2dqsU+wfaI1WKa7baif6wkfMAeCfsj63pPiD4l+OYrbVPCHiLWr%0a/WtSWDT5vjRqmptqSJYJHEhspIWS/t9ihPtMqsyopIQ+SoPI6J8PPAb+JdF0W3039ly+ht/%0aE02oQaVF41tjqd15hP2fTWnGlF3jjuHYhdm51WGI8I/m/aPwh+EPxF+GviDWrjUPHXhjWtI%0a1zWbjW9RtLbwnc2lwZpY1UrDM2pSLGoMaH5o3P3hnkEeYWP7MPxgi+Dvg7wLdeMfBE2l6Lr%0amm6lLYw6JeRzmG31JLtlW9N0ys+1DjNqoY/L8v3wAcp8CpLzTfEHwc1TxVZxzeCW1LxLp+i%0ay20rP9j8Rzatf4e4jwMo1rHNFDIMhXklDqC8bD7bv/APUL/wBdY/8A0Na8I+FX7MF54dsPD%0aY8WeLdR1OPQdcv9cs/D1obb+y4riW6u5IZd/wBlS5Z1S6JKtKUD5wCFWvd7/wD1C/8AXWP/%0aANDWgDzj9qHxhrHw/wD2cviV4k8Pl01rTPD97c2ksaktC6xMRKB/sff9Pl54qX4PfC/wZoH%0awX0XQNK02x1Lw/qFjFdXUlxCs41WSWNWe5uCwPnSSnDM75JOPavRbyzg1G0ntbqCO5tZ0aK%0aWCZA6SIwwysp4IIJBB615H4f8A2bYfCFtDo/h/4heN9F8FwMvkeFLa9tmtYIRj9xFcvbtex%0aRccKlyuwHahRQAADkPgr/yev+0t/wBeHhP/ANJbyvHviXp1t4H8MftneBvDkUdl4J0/wjba%0apbaTaIsdrpd7dWV19pihQDCCRYoZii8BnJwN/P0jqX7OQPxR8V+PPD/xE8W+DtX8Tw2UOpw%0aaTHpc1vKtrG6QYW7sp2UgSPnDDJb2GLp/Zt8HR/B/xV8O7cahb6b4ot7iHWNVa7M+p3ss8e%0ayW4luJg5klIxgsCFAVQoVQoAPkewkuv2b/AIE+LvhrqNw7fDzxt8PtR1jwZd3DlvsN+dNaW%0a+0ot2DF3uIc4481csy11fxKhg8O/skfs4+P9IkaP4l+G7XQIfCNtHgvq1zdW0EU2lkH+C4h%0aDhjwVEYfPyHP0b8Vv2bfCHxl+CkXww8RfbX0KCC2itry3lRL23eAKI5o3KFRIAuCduCGYYw%0acVBoH7NHhrQ/Fnw/1yTU9Y1YeBNBGg6Dp2oSwta2v7tImvNqxKxuWjQIXLbQpbaik5oA8X+%0aDHwW0H9oH9jzxN/aWpnU/GHxIM2reIdVljeGbT9cUgLAEbLxLYyxRxInYQkgfOc8R+z94x+%0aInxouPFfxh8baMbXWvhL4cvvCmlaVIBJ9o8QRw7tTvNo5VmMcMIC5BDyDqDX154D+DGjfDf%0axz428SaHe6jbx+LrtNRv9FMkf9nx3gQJJcxRhAySyhV8w7yHKgkZFT/Cz4SaP8I7fxRDo9z%0afXK+IvEN94kujfSI5S5u5N8qR7UXEYP3QckDqxoA4L9kXwZ4dP7MvhC8WC21q48X6LBq3iH%0aUbtFnl1i7uoRJcvcuwJlJaR02vnaoCcBQB4N+0loN5pf7W994z8N2jNrPw7+H2k+I7OytFC%0atcWsOpahHeWqgdfMtJLhVQcFxH6V9E6Z+zTaeFRe2Hg/wAdeL/BHhW8uZbuTwvos9mbGJpT%0aumW3ae2lntUcljst5Y1QszRiMnNdba/CLRbT4q3Pj4T30urXHh6Dw09tPKJLc2sU8sysQyl%0a2kLTMCzOQQBxnJIB8f/tseIbP436FqWoaVeC/8IeBG8N3tvcQlvJutV1LUrJo3U9CYbB8j2%0a1P2r73rw7S/wBjzwFofwMvPhRpranY+G7vVY9Xlnhmj+1tLHeRXUa7zGV2L5EMIG3IijVc5%0aG6vcaACiiigCtJ/yEIP+uUn80rP8W+D9J8daLJo+uWz3ulzMpnsxPJHHcKDkxTKjASxMPle%0aJ8xyKSrqykg6En/IQg/65SfzSrNAHwv4A8V6j8LP+CW/inWPDA/s7UNMg8SpYvaAxm0J1e9%0ajWSPbjaYw25ccAqOwr1r4Y+Orv4IXvwt+F2qfDay8GeGNfgm0/wAPTaTqv2uS3mgg+0eVfw%0a+RGsMsiCVmaKS4BlV8uQRI3pPgz4DeFfB3weufhmYrjW/Ct2NQS5h1SRWedLy4mnnRmjVON%0a07gYAIAHJIzWL4W/Zs0vRPFvhrxBrPi3xR43ufC8EkHh+DxHc27xaYHjETOphgieaUxjZ5t%0aw0r4LHduZmIBzHxciTWv2wPgTpOoqJtKtdO1/Wba3lGY3v4ktYo5MHhnjjnmK918wn0r54+%0aLG/S9X/aM8EWztB4Q1P4i+EFvraNfLRV1P7G2oruHAEpwX9fNbOSxJ+pbj9l3Srnwj4I02X%0axp4yuPEng24mudI8b3eoxXOuRtMW81ZJZYXjlR0byykkTKUVRjKg1eP7Mngy8+F/inwRqwv%0a9dtfFN0+oa3qt9OBf314zq63LSRqio6NHF5YjRUjESBVAXFAHFeMLOLwt+3H8KJNGRLQ654%0aQ1rTdTgghCo1tayWkttnAx8ryuF/uhmAwGOfo+vNvh78D7LwP4puPFGo+JNe8b+KZNPTSYt%0aZ8RvbGe3slcOYI1t4IYwGcB3YoXcqu5iFUD0mgAooooAKKKKAK1h/qG/66yf+htXnvw0/5K%0aV8T/8AsIWv/pMtehWH+ob/AK6yf+htXKj4a/ZfEGs6vpviTWNJn1aVJrmK2W0eMsiBFx5sD%0akcD1ruw04RhVhN25kktG9pJ9PQ4cRCcp0pwV+VtvVLeLXUy/ibr2nWkGp+HNM0lda8V67aM%0ahsLaEFjGR5YmuXxhY13AZc+w74zPDeiyaX8VPDGjX8ovH0Lwgggc5IExkWGWRc9yqAZ64Pv%0aXTJ8NGtde1bV7DxPrOnXWqNE915KWbhzGgRf9ZbsQMDoDjJOAM1Z1T4fRapcaTfnWdSttc0%0a5HiTWLfyFnljcfNHIpiMTKTtONnBUEY5z3xxFGnT9lGWjTu7O/M4pfcrcumtnd9lxSw9apU%0a9rKOqasrq3KpN/e7310ureb47wBf6L4c8P+OJtaktoNB0LxNdyW5uIx5doP3cgEa44IkkcK%0aFGctgcmr3gawbXda8ZeK9W0r+ydE1qGG3Sy1JArzwRI6vNPGRgBg20Budq88EVsXvwm0q58%0aP6XpcF5f2J0/UF1Vb2Fo3nmuhuJllMiOrsWcscr1C4wABU2p/DyXXdC1TSNV8U61qNnqEBt%0a3Ei2kbICQSVMcC8kDHORgninPE0Jucozac3Z6PSKcdUlpduPM7u+y3uyYYevDli4JqKutVq%0a2paNvWyUuVWXd7WRzei3ifEj4laP4i0WzeHw5otrcW66tJGYhqLyBQI4lIDNFHg/MeC2QOm%0aS+x0Ox0X9oGE2kGyS48N3Es8zu0ksrfa4cF3YlmwMKMn5VAUYAAHW6P4SvtIuLZj4p1a8tY%0aBtFlNBZJCVAwF/d26MAOMYYdB2q2/ha0fxjF4kMk326OwfThHuHleW0iyE4xndlBznGM8Vl%0aLFQUpRg/c5HFb+qve19bvsuiNY4WbjGU173OpPb0drXtpZd31ZyPxN17TrSDU/DmmaSuteK%0a9dtGQ2FtCCxjI8sTXL4wsa7gMufYd8Wp9V0j4T+E/DiawDf6zbWMemWq2duZ7y8dUTfHCuN%0axDFFJzgZC5I4q23w3MHiLWNZ0/xJrGlXOqvHJcpbpaOpKIEUAywOwAA6ZxyfWkv/AIbG+1u%0aw1n/hJdYg1a0s2slu40tGLoz7mJVoCoY8DKqvAA9aaqYbkhSc3y7v4rt8treUeml3bXsknT%0axHNOooLm2Xw2Sve/nLrrZX07t8PY/DrxDp3hbw5dtpkMtzZ+IZNcufDkEybYkkdysUTkrGW%0ai3hwCVUsDg9Cea8ca1qkMvxbuIdOm0GOfSLAzRPIjSq7O8bO5jZkVmjLfdY/KqEkHIHuS+G%0arw6S1rJ4l1aW683zY9RItlmj4xtCrCImXG7h0bls9QpWtY/DzSLbR9X0+7WXV/7YLNqVzfO%0aGmuyV2/MVChQqgKoQKFAGAK6qeZQjNzq2lr0TWnNGT3dvs6X1vv3Oapl05RUKV46dWt+WUV%0asr/a1tpbbscx4t0+38P/Eb4YLpkK2u1rrTRFEmAbUWxYIcfwqUUgduvrVfx5bSWmu+Ejqmm%0aWml+HrLXI2tbnTJPNlMzlliEiskYhRmfLlTJngcZ3DqfDnw5tdBv7O9uNT1HXLmxtvsdi+p%0avG32SPADbNiJlmCqC7bmIXGeTkb4dQXWo2M+o6zq2rWthOtxZ2F5LGYYZFOY2LLGskhTHBl%0adz3OW5rnjiaUZRvK/Kmr2d3dy210a5re9fdm8sNVlGVo25mna6srKO+mq92/u22R4r8dvG+%0aj+O9M8Q2w1zT4rDQXWO1s/taLPfXu9VdwhO4xxKXUcYZizAkKM/R2m6nZ6xZRXlhdwX1nKM%0ax3FtIJI3GccMCQeQazvGPhW08b+G73RL6SaK0uwqu9uwVxhgwwSCOqjtW1WGJxNKrh6dKmm%0auVvTTZpeW7ab/pG+Hw1WliKlWbT5ktdejfnsk0v6ZWsP9Q3/AF1k/wDQ2qzVaw/1Df8AXWT%0a/ANDarNeUeoeU/Gz4ueDvgjNpusajpMmt+OdYjl0zQdH0ax+06zqu0ea8EIUFhEuA7sxEaf%0aKWIJUH5u8H/C7V/h3e/snfD3xdZWtrFN4i1/xHd6DauJLSyu1gur2zt0IAU/ZjP8u35d8O5%0acgCvo/xr+z9H4p+LEfxF0zxz4n8H+I10RfD5bRo9Olia1E7TkbbuznKszsu4qRkRx5Hy0vi%0af9n238b+F9H0/wAQ+M/E2q69omrR61pHiw/YbfU9PuE4Hl+TapAyFS6MkkLq6yMGDfLgA83%0a8DWGi2f7T/wC0loWqxWEvgm90fRNY1ex1GFPsCTSwXMdy8quPLIkit42kLcNs56Gm/D7W/w%0aDhpD9pXQfip4V0e5sPh54W0O/0iDxTeQNayeJp7p4H2QRsokezgEZYTPhWlkcIp2s1dzqf7%0aKvhrXPhj448Ianrev39542kEuv+KZZrcarfFSoRSywiFI0jRYliSJYwm75dzuzdJ4O+Fmve%0aFNWsbi4+Kni3xBp1qpT+xtQs9FitJF2FVB+zafDIAuQwCOvKgHIyCAeNfGiwu9K+JvwbPin%0aw3pPhbwPo3jRItD1Dwvcfa7mS6njmgtIblHhgFnDK0uXEX2nc4RSUA3n3eD4s6JceNT4WWx%0a8TDUxK0Xnv4V1RLDcqliftptxbbcDhvMwTgAkkCuWt/wBnSxuvEehaj4k8ZeK/Glh4fuRe6%0aNomu3Ns1pY3CEeTOWhgjmuZIlBVWuZZj8xc7pMOPW6APz2ubKC//wCCYfjbxjcMLfxXc6nq%0aniubVljBuBq8OryeVOD1WRfIiiBH3VQL0FfRX7TGh+Kte+EnjC00bwdoF3Ya94dkh13UZZz%0a/AGnGvlMG8myaJY7l40ZjGJbuHDcZGObw/ZG8KLql/ENa8Qf8IVf65/wkd34DM9u2izX2Vk%0aLMDCbjyjMizm3EwhMgOYypKnp/iD8FZPiDdagknj3xfomhamix6loGlXVsttdrtCOBJJbvc%0aW4eNVRlt5oh95gFkd3YAyfCPxj8F+FfhP8AD2fT08W6voOo6DaT6Xc2PhnUdWme28lPLNw1%0anbyLHIVK5DbTndgcVyfhdYPFf7cHjW51KHz/AOxvA+lRaRFdRFTDFd3F01ywRxkM5hiVjgH%0aCBT0xXvfh3w/p3hLw/pmh6PaR2Gk6ZaxWVnaRZ2QwxoEjRc9lVQB9K4L4g/Aaw8b+ObHxpp%0a3iXX/BHi62059IfV/Dslt5lzZM/mCCVLmCaNlVyXU7Ayljhhk0AeLfs1+BNE8afs5+LfCGu%0a2n9s+FfDHjHxDYaVYzl0tpbSC8uBBHLECFmiXecRSBkBSP5cxoV9D/YY/5M/wDhH/2L1t/6%0aDXpfgj4a6D8OvAFl4N0C2ey0S0geFFMhkkYuWaSR3bJeR3d3ZjkszEnrTPhR8NtM+D3w38O%0a+CtGnu7nStCs0sbaa+dXndEGAXKqqk/RQPagDrKrXX+vs/wDrqf8A0Bqs1Wuv9fZ/9dT/AO%0agNQBZooooAKKKKACiiigDA8aeNtO8BaSmo6nb6vdW7zCAJoujXmqTbiCQTDaxSyBflOWK7Q%0acAnJGcHU/jX4e0nQNJ1ifTvFz2mqeZ5Edt4M1ie5TY21vOt47VpYMn7vmom4crkc13tFAFX%0aTNQi1fTbS+gSeOC6hSeNLq3kt5VVgCA8Uiq6Ng8qwDA5BAIIq1RRQAUUUUAFfG//AAUQ/wC%0aaf/8AcQ/9tq+yK+N/+CiH/NP/APuIf+21fccE/wDI+w//AG9/6RI/R/Dv/kp8L/2//wCkSP%0apb4L/8kd8Cf9gGw/8ASdK6nTv+Qfa/9cl/kK5b4L/8kd8Cf9gGw/8ASdK6nTv+Qfa/9cl/k%0aK+Vx/8Avlb/ABz/APSpHxWZ/wC/4j/HP/0uZZrxn46/Fvwh8Krv7KPDI8a/ErxPY/2fpnhb%0aS7RZdQ1iFGbEc0hUiK0jM0rvJMRGitKQGYlW9mryHX/2dxqXxV1r4gaN8QfFfhLXdXsLXTb%0aoaXFpc8XkQFzGifa7KdowWkdmCsAxIJBwMcJ5p4P8PPhdqXw2+IH7KPw38WzQ37+H/Duu6o%0a0KsXtv7TjFsqbN3DeQl1MsZxlQcjHGOo+G1/4X8E/Ff9qWy8USadbfD/Rde0nxJKmqQIbS1%0au5rGC6mmwwwX8+OKYEDPmEEfMcn1fxT+z5beM9O8Kyar4z8TS+LvDF3LeaV4zh+ww6nAZQV%0alQqlqLZo3QiNkaAhlUZyw3Vj65+yV4X174eXPhabXNfjuL7xBD4o1HXxJayX2o6hHKsiSXC%0ayQNbugMcYEPkiMLGiqgUYoA5r4EJf/Ff9oDxZ8abTw9eeGPBWoaDbeH9HbUoTbXeviK4klO%0apPAQHjiKsqQ+b87R/NhQwUZnjCxu9C/aF+Bd54x8OaV4Q0HR7/AFHRPCbeFrj7bC889jJHH%0ab3RkhtzaRmCElIoY51Z413SRCNfN9q8MfDTW9Fu7l9X+J3i7xbZz2z25sdUj0y2RC2P3iSW%0aVlbyq4AIBEmBuJxkAjH0n9n61XxfoPiLxN4y8T+PLnw88sui22vy2i29hNIhjaYJa28PnSC%0aMsivOZSoZipDMxIBf1L4y6ZcXWvaLpdh4mXXLGC78uW78J6pBYtLCjn5buS3W3dSV+UrIQ/%0aG0tkZ+SL3SrTQv+Cdnwb8WaWQviax1Xw54jt75U8yabU7rUIRdOzdS0n2mcNn7wJU5BxX37%0aXh3hT9kbwr4Ru9FtrfW/EN54Q0HVG1nRvBl5PA2labd72eN48QidhG7s0cckzojEELlVKgH%0aNfto+HdX1H4LfEbT4/CWkS+BdQ07+0PEWr2NwJNZ2whDNLDYvFHDPKkFvGEke7Rl2KQjmNI%0a5PUr/AONvhfw/ZaGSnifWLbU7CG9s73SPCuq6pFLC4+R3ltraREYgZKuVYAgkAEVnfEL4AR%0afEs6vYar468YReEtYwup+FbS8t0s7uMgCSEzGA3ccUgGGjiuEUgsAAGYH0+zs4NOtILW1gj%0atrWBFiighQIkaKMKqqOAAAAAOlAHzf8LPDenfEL49/tNx+I7SLUXln07wy0VygfZpbaXFJ5%0aADA4jke4mcjoxbOOBXAfDTQLL4sf8E0dBv8AxfE/iCXTfBuoPbpeSSeRKYYp47eSWAtslZF%0ajjdDIrbHVXXDANXu3jf8AZq0jxb4x17xLp3ijxL4Mv/EenppniBPDtxbxx6vAilI/N86CRo%0a5FRmRZoTHIFbh+FI7a5+GuhP8ADG48A2Vr/ZHhuTSX0WK3sMKbe2aExAR7gQCFPBIPI5zQB%0az37M3/Jt/wo/wCxT0n/ANI4q9KrD8DeEbP4f+CfD/hfTpZ5tP0TTrfTLeS6ZWleKGNY0LlQ%0aAWIUZIAGc8CtygCtJ/yEIP8ArlJ/NKs1Wk/5CEH/AFyk/mlWaACiiigAr43/AOCiH/NP/wD%0auIf8AttX2RXxv/wAFEP8Amn//AHEP/bavuOCf+R9h/wDt7/0iR+j+Hf8AyU+F/wC3/wD0iR%0a9LfBf/AJI74E/7ANh/6TpV7xv4/wBM+H1lb3WqWut3UU8nlIuiaDfatIDjOWS0hlZBx95gB%0anjOao/Bf/kjvgT/ALANh/6TpXZV8rj/APfK3+Of/pUj4rM/9/xH+Of/AKXM5ex+I2lahe+H%0a7WK015Jdche4tWn8PahFHGqqWIuXeALatgcJOY2Y4ABJArqKKK4TzQr4h/bf/wCSr6T/ANg%0aSL/0fPX29Xw/+3Cpb4saThyv/ABJIuBj/AJ7z0AeP1FJ0/Gpaik6fjQBVn6V7p+xN/wAlZ1%0ab/ALAk3/o+CvC5+le6fsTf8lZ1b/sCTf8Ao+CgD7booooArWv+vvP+uo/9AWrNUYpnjubsL%0aBJKPMByhXH3F9SKl+1S/wDPnN+af/FUAWaKrfapf+fOb80/+Ko+1S/8+c35p/8AFUAWaKrf%0aapf+fOb80/8AiqPtUv8Az5zfmn/xVAFmq1h/qG/66yf+htR9ql/585vzT/4qoLK5kELYtZW%0a/eSHIKf3z/tUAaFFVvtUv/PnN+af/ABVH2qX/AJ85vzT/AOKoAs0VW+1S/wDPnN+af/FUfa%0apf+fOb80/+KoAs18C/sCf8li1j/sAzf+lFvX3j9ql/585vzT/4qvgv9gmRo/jBrBWNpT/YU%0awwhGf8Aj4t/Uiv0bh3/AJEeb/4IfmfrPCn/ACTee/4Ifmz79oqt9ql/585vzT/4qj7VL/z5%0azfmn/wAVX5yfkxZqta/6+8/66j/0BaPtUv8Az5zfmn/xVQW1zIJrr/RZTmQHAKcfIv8AtUA%0aaFFVvtUv/AD5zfmn/AMVR9ql/585vzT/4qgCzRVb7VL/z5zfmn/xVH2qX/nzm/NP/AIqgCz%0aRVb7VL/wA+c35p/wDFUfapf+fOb80/+KoAs0VW+1S/8+c35p/8VR9ql/585vzT/wCKoAs0V%0aW+1S/8APnN+af8AxVH2qX/nzm/NP/iqALNFVvtUv/PnN+af/FUfapf+fOb80/8AiqALNFVv%0atUv/AD5zfmn/AMVR9ql/585vzT/4qgAj/wCQhP8A9co/5vVms9LmT7dMfssuTGgxlMjl/wD%0aa/wA4qf7VL/z5zfmn/wAVQBZoqt9ql/585vzT/wCKo+1S/wDPnN+af/FUAeSftgf8m6eLf+%0a3T/wBK4a439gT/AJI7rH/Yem/9J7eur/a8nd/2d/Fim2ljB+yfMxXA/wBLh9GNcd+wTM8fw%0af1gLBJKP7dmOUK4/wCPe39SK/RqH/JG1/8Ar/H8kfrOG/5IDEf9hEfyR9OUVW+1S/8APnN+%0aaf8AxVH2qX/nzm/NP/iq/OT8mLNVrX/X3n/XUf8AoC0fapf+fOb80/8AiqgtrmQTXX+iynM%0agOAU4+Rf9qgDQoqt9ql/585vzT/4qj7VL/wA+c35p/wDFUAWaKrfapf8Anzm/NP8A4qj7VL%0a/z5zfmn/xVAFmiq32qX/nzm/NP/iqPtUv/AD5zfmn/AMVQBZoqt9ql/wCfOb80/wDiqPtUv%0a/PnN+af/FUAWaKrfapf+fOb80/+Ko+1S/8APnN+af8AxVAFmiq32qX/AJ85vzT/AOKo+1S/%0a8+c35p/8VQBZoqt9ql/585vzT/4qj7VL/wA+c35p/wDFUAWaKrfapf8Anzm/NP8A4qj7VL/%0az5zfmn/xVAFmiq32qX/nzm/NP/iqPtUv/AD5zfmn/AMVQBZqtf/6hf+usf/oa0fapf+fOb8%0a0/+KqC9uZDCubWVf3kZySn98f7VAGhRVb7VL/z5zfmn/xVH2qX/nzm/NP/AIqgCzRVb7VL/%0awA+c35p/wDFUfapf+fOb80/+KoAs0VW+1S/8+c35p/8VR9ql/585vzT/wCKoAs0VW+1S/8A%0aPnN+af8AxVH2qX/nzm/NP/iqALNFVvtUv/PnN+af/FUfapf+fOb80/8AiqALNFVvtUv/AD5%0azfmn/AMVR9ql/585vzT/4qgCzRVb7VL/z5zfmn/xVH2qX/nzm/NP/AIqgAk/5CEH/AFyk/m%0alWaz3uZPt0J+yy5EbjGUyeU/2v85qf7VL/AM+c35p/8VQBZoqt9ql/585vzT/4qj7VL/z5z%0afmn/wAVQBZoqt9ql/585vzT/wCKo+1S/wDPnN+af/FUAWaKrfapf+fOb80/+Ko+1S/8+c35%0ap/8AFUAWaKrfapf+fOb80/8AiqPtUv8Az5zfmn/xVAFmiq32qX/nzm/NP/iqPtUv/PnN+af%0a/ABVABYf6hv8ArrJ/6G1Waz7K5kELYtZW/eSHIKf3z/tVP9ql/wCfOb80/wDiqALNFVvtUv%0a8Az5zfmn/xVH2qX/nzm/NP/iqALNFVvtUv/PnN+af/ABVH2qX/AJ85vzT/AOKoAs0VW+1S/%0awDPnN+af/FUfapf+fOb80/+KoAs0VW+1S/8+c35p/8AFUfapf8Anzm/NP8A4qgCzRVb7VL/%0aAM+c35p/8VR9ql/585vzT/4qgCzRVb7VL/z5zfmn/wAVR9ql/wCfOb80/wDiqALNFVvtUv8%0aAz5zfmn/xVH2qX/nzm/NP/iqACw/1Df8AXWT/ANDarNZ9lcyCFsWsrfvJDkFP75/2qn+1S/%0a8APnN+af8AxVAFmiq32qX/AJ85vzT/AOKo+1S/8+c35p/8VQBZoqt9ql/585vzT/4qj7VL/%0awA+c35p/wDFUAWaKrfapf8Anzm/NP8A4qj7VL/z5zfmn/xVAFmiq32qX/nzm/NP/iqPtUv/%0aAD5zfmn/AMVQBZoqt9ql/wCfOb80/wDiqPtUv/PnN+af/FUAWaKrfapf+fOb80/+Ko+1S/8%0aAPnN+af8AxVAFmq11/r7P/rqf/QGo+1S/8+c35p/8VUFzcyGa1/0WUYkJwSnPyN/tUAaFFV%0avtUv8Az5zfmn/xVH2qX/nzm/NP/iqALNFVvtUv/PnN+af/ABVH2qX/AJ85vzT/AOKoAs0VW%0a+1S/wDPnN+af/FUfapf+fOb80/+KoAs0VW+1S/8+c35p/8AFUfapf8Anzm/NP8A4qgCzRVb%0a7VL/AM+c35p/8VR9ql/585vzT/4qgCzRVb7VL/z5zfmn/wAVR9ql/wCfOb80/wDiqALNfG/%0a/AAUQ/wCaf/8AcQ/9tq+v/tUv/PnN+af/ABVfHn/BQqVpP+EB3QvFj+0Pvlef+Pb0Jr7jgn%0a/kfYf/ALe/9Ikfo/h3/wAlPhf+3/8A0iR9NfBf/kjvgT/sA2H/AKTpXU6d/wAg+1/65L/IV%0ax3wZuZF+D/gUC1lYDQrEZBTB/0dP9quqsLmRbG2AtZWAjUZBTB4H+1XyuP/AN8rf45/+lSP%0aisz/AN/xH+Of/pczQoqt9ql/585vzT/4qj7VL/z5zfmn/wAVXCeaWaKrfapf+fOb80/+Ko+%0a1S/8APnN+af8AxVAFmiq32qX/AJ85vzT/AOKo+1S/8+c35p/8VQBZoqt9ql/585vzT/4qj7%0aVL/wA+c35p/wDFUAWaKrfapf8Anzm/NP8A4qj7VL/z5zfmn/xVAFmiq32qX/nzm/NP/iqPt%0aUv/AD5zfmn/AMVQBZoqt9ql/wCfOb80/wDiqPtUv/PnN+af/FUAEn/IQg/65SfzSrNZ73Mn%0a26E/ZZciNxjKZPKf7X+c1P8Aapf+fOb80/8AiqALNFVvtUv/AD5zfmn/AMVR9ql/585vzT/%0a4qgCzXxv/AMFEP+af/wDcQ/8Abavr/wC1S/8APnN+af8AxVfHn/BQqVpP+EB3QvFj+0Pvle%0af+Pb0Jr7jgn/kfYf8A7e/9Ikfo/h3/AMlPhf8At/8A9IkfTXwX/wCSO+BP+wDYf+k6V2VcL%0a8GbmRfg/wCBQLWVgNCsRkFMH/R0/wBqux+1S/8APnN+af8AxVfK4/8A3yt/jn/6VI+KzP8A%0a3/Ef45/+lzLNFQRzu7hTbSxg/wATFcD8mNT1wnmhXxD+2/8A8lX0n/sCRf8Ao+evt6viH9t%0a//kq+k/8AYEi/9Hz0AeO1FJ0/Gpaik6fjQBVn6V7p+xN/yVnVv+wJN/6PgrwufpXun7E3/J%0aWdW/7Ak3/o+CgD7booooArWv8Ar7z/AK6j/wBAWrNVrX/X3n/XUf8AoC1ZoAKKKKACiiigA%0aqtYf6hv+usn/obVZqtYf6hv+usn/obUAWaKKKACiiigAr4F/YE/5LFrH/YBm/8ASi3r76r4%0aF/YE/wCSxax/2AZv/Si3r9G4d/5Eeb/4IfmfrPCn/JN57/gh+bPvqiiivzk/Jgqta/6+8/6%0a6j/0Bas1Wtf8AX3n/AF1H/oC0AWaKKKACiiigAooooAKKKKACiiigAooooAKKKKAK0f8AyE%0aJ/+uUf83qzVaP/AJCE/wD1yj/m9WaACiiigDxv9sD/AJN08W/9un/pXDXG/sCf8kd1j/sPT%0af8ApPb12X7YH/Juni3/ALdP/SuGuN/YE/5I7rH/AGHpv/Se3r9Gof8AJG1/+v8AH8kfrOG/%0a5IDEf9hEfyR9LUUUV+cn5MFVrX/X3n/XUf8AoC1Zqta/6+8/66j/ANAWgCzRRRQAUUUUAFF%0aFFABRRRQAUUUUAFFFFABRRRQAUUUUAFFFFABVa/8A9Qv/AF1j/wDQ1qzVa/8A9Qv/AF1j/w%0aDQ1oAs0UUUAFFFFABRRRQAUUUUAFFFFABRRRQAUUUUAVpP+QhB/wBcpP5pVmq0n/IQg/65S%0afzSrNABRRRQAUUUUAFFFFABRRRQAUUUUAVrD/UN/wBdZP8A0Nqs1WsP9Q3/AF1k/wDQ2qzQ%0aAUUUUAFFFFABRRRQAUUUUAFFFFABRRRQAUUUUAVrD/UN/wBdZP8A0Nqs1WsP9Q3/AF1k/wD%0aQ2qzQAUUUUAFFFFABRRRQAUUUUAFFFFABRRRQAVWuv9fZ/wDXU/8AoDVZqtdf6+z/AOup/w%0aDQGoAs0UUUAFFFFABRRRQAUUUUAFFFFABRRRQAV8b/APBRD/mn/wD3EP8A22r7Ir43/wCCi%0aH/NP/8AuIf+21fccE/8j7D/APb3/pEj9H8O/wDkp8L/ANv/APpEj6W+C/8AyR3wJ/2AbD/0%0anSup07/kH2v/AFyX+Qrlvgv/AMkd8Cf9gGw/9J0rqdO/5B9r/wBcl/kK+Vx/++Vv8c//AEq%0aR8Vmf+/4j/HP/ANLmWaKKK4TzQooooAKKKKACiiigAooooAKKKKACiiigCtJ/yEIP+uUn80%0aqzVaT/AJCEH/XKT+aVZoAKKKKACvjf/goh/wA0/wD+4h/7bV9kV8b/APBRD/mn/wD3EP8A2%0a2r7jgn/AJH2H/7e/wDSJH6P4d/8lPhf+3//AEiR9LfBf/kjvgT/ALANh/6TpXZVxvwX/wCS%0aO+BP+wDYf+k6V2VfK4//AHyt/jn/AOlSPisz/wB/xH+Of/pcwooorhPNCviH9t//AJKvpP8%0aA2BIv/R89fb1fEP7b/wDyVfSf+wJF/wCj56APHaik6fjUtRSdPxoAqz9K90/Ym/5Kzq3/AG%0aBJv/R8FeFz9K90/Ym/5Kzq3/YEm/8AR8FAH23RRRQBWtf9fef9dR/6AtWarWv+vvP+uo/9A%0aWrNABXhX7Wnxo1n4ZeAbrSfBDRS/EfVrO6m0tJIxIljbwRmS5v5VIIEcSDA3AhpXiTB3EV7%0arXzz8Wv2X7/xFf8AxH8W+H/H/i218TeJNEfTRpsS6VJbGJIXEVpE1xZPJDCzsWYLKuWdmJB%0awRhW5uR8vZ/gnZfN2+V7atG1Hl51zd1+av9yv87dEz0v4C+JtS8afA/4f+INZuftmr6roFh%0ae3lx5ap5s0luju21QFGWJOAAB2Fd3XmH7M/gLXfhn8C/Bfh3xJqV/qGsWWlWkVxFf/AGUmy%0adYI1a2RreNFaOMqQGO9j3duDXp9d1fl9tPl2u7fezjo83s4829gqtYf6hv+usn/AKG1WarW%0aH+ob/rrJ/wChtWBsfL/xf+NXi/wr+2F8MvB9u3hm0sNQ0/Umt7K/8X3Fl/aKu1okbTQ/YmT%0azldZhDGrSl8SfNF0PP+CviD8RjpHwU8W33xJ1rVE8YeNrjQtS0O50/S1sVtVTUmURmOzSdW%0aBs4uTKf4s5zxofGz4ZN4X+O9n4/wBR8J6j8U4L7S9Y8/TbfRzdRqiLpyafp20K6AGYTyiST%0aGGklc4VPlf4n+Hms/CT4Pfs8Q3um6lrl14U8Vwat4gXw/ptxqMkbyWOofaHjhgR5GjFxdBQ%0aQvAZc0AaH7QHiGeP48+FrSL426z8PdB0i1m1fxJ5Nzpdtp+lwvE1taCWS5tXDSXE0p2xztI%0ap8l2RFZEYeN2X7QnxGuPBt9eeIPiH470jV7L4b6X4ktE8O+Dbe+iuL24Gou0l6y6ZOLdCLe%0a2wGMK7fMPZivqen/8ACzvFVpp2paV/wmXhz4ka7pen33iTT9H0jStH0Gxu2tYsCa91DTrm4%0amKqDGRAbto2j2MsYxXAfA7wn8XPCcPjq7vfiT4z1/QYfFmpW2p3Pg3SdFS9iuo5B9ovms7i%0azlaWFwGbyrZ2mQhEjgn3lkAPtP4catd698PPC+p38vn317pVrczy7Qu+R4VZmwAAMkk4AAr%0a4o/YE/wCSxax/2AZv/Si3r7Z+H919t8GaTP8A2lrOsb4c/bvEGn/YL+bk/NNb+RB5bf7PlJ%0a24r4m/YE/5LFrH/YBm/wDSi3r9G4d/5Eeb/wCCH5n6zwp/yTee/wCCH5s++qKKK/OT8mCq1%0ar/r7z/rqP8A0Bas1Wtf9fef9dR/6AtAHzv8Z/jprP7MfxbHiHxtqVxqHwY8Q6c0UDRWcbS6%0aDq1vG0ghBRVd47tFYLvMjCZAoKKwB5HxV4++N/wr+A3h/wCL3ivVpDcWutjWvFXgxLK1ZLL%0aQrh9n2OJxCspltUaOQuW3MyyhiyhRXU/FX4Fax+0/8XLzSfiFpFxpnwf8OWDrpdql5CZNb1%0aS4jeNr0iN2aNbaNmEQdVbzJN44XFdz8D9G8bax8Ibzwd8YtKjv9TszcaFcak8sUsPiKxAMa%0aXhRHZo/OiPzo+G3bjgAigDyjV/2sbibxT8VfH2kak2ofB74aaKlqYbCOFk8Ra3KolMaXBRm%0aVYVeCPCkfPOCdwGK9U8J+AfitdW+n694k+J81lr8piuLrwzpukWTaFb5C+ZbLujN3Jgbx5v%0a2pcvh9qr+6ryv4G/slXH/AAwBafBbxbZHwfrmo6dcx6i9q8c8lvePcPLHOzRuVlKkRNgPyq%0ahcgDj1Lwb8Q/irHp2k6L4m+FV3J4lj2W9/r9jrFh/YMrK2HuY2MouwrKC4jNpkMdn3R5lAH%0alngf4+eNbb9szxp4T8RaqLz4d3Orf8ACO6NCbaGMadqK6Zb3yIZVQO/nxm8xvY4aFQPvAVd%0a+MHx48YWX7Vfw38H+F9RWx8IQazDo/iYG3ilN9dXVlcXcVurshMZhit45G2lSReR9QKi1/8%0aAZ68W+IP+GhLiG0TTdY1XxFp/iTwZfvNE4a8srK1MEmA+UHnwGNg+3KluCDyzT/gL41j0/w%0aCCWq32mJceKF8cT+MvGbx3Ue20lubO6VkBZ/3iw+bb2yiPdlYlIGMmgDT/AGm/iH4k8GXuo%0a/8ACEfFWOf4kq1pLoHwrtbWwuDqab0MiTwtG14wdVuC08csKRRgMQPKd3pftAfGG78K/tO+%0aE/B+q/F3/hUvgq+8LXepzX2/SoPOvEuY44086/t5VGUZ/lXBO3PY11H7Smn+NPi18OvGvww%0asvhdLqDa7btY2XiO91Oy/sa2DlTHdyAy/alkhOJQiWz/vIkCvg7xOvwq8UWv7V/gjxY8Ump%0a+HdJ8B3Wh3mtzTRh5Lxrm3dd0e7eS6xuxIBUdCc4oA9X+HF3aX/gnSrmx8Xv49s5o2eLxG8%0alrIb1SxIbdaxxwkD7oKIBhRnJyT87fHP4xXPhz9qzRvBetfGL/hUfgmfwVNrH2vfpNv9o1B%0ab5IkTzr+3lHMTSHYuCfLz2OffvHHwt0b4hXFpNql74jtXtlZEGh+J9S0lSCQTvW0uIg544L%0aAkdsZrz3/AIVnr8P7Z2meN47B28I23w7n0A6jJdI7fbDqMEyxFWcysTGjNvII45bJoA9Q+H%0a9zbXngzSbiz8VP43tJofMh8QvJbSG+QkkSbrWOOEjBwDGgGAO+SfIv2wPiF8Rfhj8PJ/EPh%0aC80XSdMtLrTIbi7uYXur2ZrjUYLZ4ooyFiiASXd5rGUtkqI0IElem+N/hVovxBu7a51S98S%0aWsluhjRdD8UanpKEE5+ZLS4iVz7sCe2cVxn7Wnw9134lfATVPDXhixOp6vLqOjzRW7XCRlo%0a4NTtZ5SXkYD5Y4nbk5OMDJIBAOi+NWsWmheG7W71P4n23wo0n7SEn1qVrGKSRirbIo5b1Xh%0aQkgk5jdiFIG3rWH+y74r8X+Mvhrc3/AIvnk1Ipq97b6Prc9mtnLrGmJKVtb14VChDKoJGER%0aWXa6rtYE9r458U674USzuNI8Gaj4zt5S6TwaNeWkV3C3BRgl1LDE0ZAkDESh1bywEcMzR8F%0a+zD8Ndc+Huh+M7zXNOtvDz+KPEtz4htvDlpMsyaRFNFCvkMyDYZS0bySeWTHvkbaW5ZgD12%0aP/kIT/wDXKP8Am9eV/tMW/iXS/hZ4s8WeGvHmueEb3w9oN/qMVrpltp00F1LFA8qecLq1mb%0aGUAwjJkE98EeqR/wDIQn/65R/zeuQ+OfhzUfGPwT+IOgaPb/bNW1Xw9qFjZ2+9U82aW2kSN%0adzEKuWYDJIAzyRQB4pYfEXxr4E+Fnw3vF8Yaj488efEv+zbPS7bxJaWMdhp08ts1zc3BWyt%0a7eRoo4lkYoXZmKxqGXczV614U+HPjfw7qWnXt98WNY8UAYXUNP1fSNOS0lUr8xtxbQQywtv%0axtMkswC7lZXYh14HxP8EPFWr/AAb+DT6KbPT/AIg/D1tM1GC01Cbbb3DxWhtrqzkmjD7Fkj%0akkXzFV8MqnBGa4zx98Mdc+OXxP+FXiaP4HP8P/ABLofiex13XfFWtS6O8stpbwSq1ok9pcT%0aXE2WePaHRU/dgnbgYAPK/if8Ybvxofjx4f8SfF37NfaJ4pGmaJ4A36VD9ts0+zSb9ht/tcm%0axmlfckoH7rnIDA+8fsCf8kd1j/sPTf8ApPb15L8QfDnjL4c+Ev2iLTWPAurLovizxemtWHi%0aSC8097JLcmzRfMT7V9oDM8JUAQt95ScDJHrX7An/JHdY/7D03/pPb1+jUP+SNr/8AX+P5I/%0aWcN/yQGI/7CI/kj6Wooor85PyYKrWv+vvP+uo/9AWrNVrX/X3n/XUf+gLQB5P+1T8Std+HP%0awqMXg+WOLx54l1G18N+G2miEiJfXT7RKVIK4ijEsx3AriE7gRkVxvgH9p670P8AZJ1vx/47%0ahF54v8ER3eleJLC2Xymm1S1cw7Fwu1fPJhdSq7QJ1wAOBs/En4Pat8Y/2hvD1xr9tqlh8Pf%0aCmiz3Nhe6VrcunXFzrFy4iYrJazJOixWyyLyVDfaGHzAGvP8AXP2QryfxP8VvAemnVYPhb8%0aRvDsVzPrV7rEuo3Wm6/BJsWT/SJ2nlEkYgckkg/Zgu5ARQB614T8A/Fa6t9P17xJ8T5rLX5%0aTFcXXhnTdIsm0K3yF8y2XdGbuTA3jzftS5fD7VX91WF4Y8SeMf2hvE/i260LxheeAPAnh7V%0a7nQLOXRbK0m1LVbu3YJczySXcU8SW6yCSNESPexQuZACErb8G/EP4qx6dpOi+JvhVdyeJY9%0alvf6/Y6xYf2DKyth7mNjKLsKyguIzaZDHZ90eZXE6Z8PfEnwivvHfhe5+G7fF74Y+LtYvte%0agtrCbT/OsJLl45ZrO5tb6WCKSEytK8bo7kYKsg+UkA988HaRrOh6MLLXNePiW6ikYR6jJZx%0a200kX8HnLHiNpMfeeNI1PaNeleF3Pxc8WR/G39oHQF1bGk+FvCWn6no9v8AZof9FuZYLppH%0a3bNz5MSHDlgNvAGTnU/Y5+D+qfB/wb42h1HQLXwnb+IPGOpa/pvh+2aEnTbGYxrBBIsBMKO%0aFi5SJ3RQQAx5xl3Pwj8WSfG39oHX10nOk+KfCWn6Zo9x9ph/0q5igulkTbv3JgyoMuFB3cE%0a4OADA+GMvxh139m3wj8VNN+KGo+JPFF14ei1y48Na/pOm/2Xfs1sZGt0NrbQTwksRsk81wp%0aA3JIMit1f2hNX+OWo/Dnwz8NbtPDMvivwwvjHVNcvIEubjSdOYpGkMETZje6eV2QNJujjEL%0asUl4WsP4X2/xg0b9m7wh8K9O+GmoeFfE9poEGiXPifxBqemvpliVt/LkuI1tbqaeZgRlIzG%0agY43OgzWt/wAM+ax8CvEnw48WfDawPimLwz4Xj8F6v4fluY7a51HTlkSSO4tnkIiFzHIJHK%0aSMiSLIw3oQNwB1HxJn1D4H/CPxj4i8WfF7xNLoWn20d2usDTNJ/te2kD4MUTC1W1dZSYo1W%0aS33KzuTLhl8v4/+LXxk+Mtn8AodUtvije+JJJrLz7jXPBd0lzbwStcDNtLc6foE0CyQgrGW%0aW8g8zG7YAwU/WXxd8VePPF/wg8USad4P8WeAtcgNq2gLFPBd6ld6gkwkjjeKxmliS0dljjk%0aeWdV2PN5gjRQ7fG/xG8BfELVfhF4i0zW9P8a6J46u55r/AFPw7YeFvEd7b3t5dXX2uV4bvS%0a9SfTpIk87ykMsZkC24VgCFwAfRH7NPxu+I2rD4rL46n1S/0Pw/PBBbXx026udbtZpbaBljX%0aTotEspZkzK0nmNArDAGx0zLWt4S8d/E34xWHw20bRfEuoQ2M32jU9c+InhzRY7S2vdM8q4S%0axEaajbOqXcsn2d5YY0cRbZPmUMgO3+y7c3Oj6lrunXfiDxJr6S263S/2z4R8W6eItjbW2z6%0a1d3KsTvGIoijHBOGC/L8m+HooPHHgD4caHP8ABY+K/iz8NYLO0Hg7XNOgvo9Ss7pGE8OoPt%0aeHSiApmga7dZN0WREVkKsAfWvh3xre+DdU+Kng34peMfEw0OGZP7J8Z61pw0yCPT5dPtvMc%0a6pa2sFpFItzJcIpLLICq4ycE87r3xfttB+H/h278U/GbxXp62tuUk8VfDzwp/auj6vE9wYr%0aW4kum0u7hWeRRFvjikCiWRlAYbCcL9mXxR8NfgbaePr3XtItvhz8R9VkXVNZ8FWHh+Sye1t%0aYWkgt7fT4IowuoRRlZc3NsJBI8ruSqsir5XoPxPufDukfCLwF4jtvCvhePwUs2uatpnxI8X%0axeGTJqiXBNjGEMU0s8cayG4WSONoGdEHm74WjIB9LeDvigvhy38QagviL4v/EW5tNLuLuDR%0avEHgCXTlleJd4SGSPSLUNM+3YqM5yW4UnkfMHiH9rzWbTwDpPgZdXvLLV9d8TQw6t458S6x%0aeaBbo/mS3OqW0ck0Hm6bBFJF/Z8LNHlvLudqBoCzesfBP4xalN4r+KmixePvhwdP1+0vNf8%0aADtv4A8SDxTd6Le+VuugLPy457oySM92scMWNwmU8yLnhPGljrXgbwP8ABPR7/U/ijaaXYe%0aN7AWXiS68O6ULlwNK1MPJY6bawTXSmQne0d7bvKA3zfOHNAHe/s5ftWX/izxL440jUfGHwx%0aXSota1O4tJpfiAdSvbKBbb7RI8MTWsX2uzWUyurmWERw7kHywrnzjQ/2sNdi+JC6o37Qvwu%0aTUtW1I+H9Q0Ke3d9Cs7a1Mko1aGZ9YKoZIZI1AjK+Y7qjJuhkeP1H9lGe/0jx/4qi1LxN8V%0apBqnii/vLWx1/wK9lp+pQvBGFuri4OkxeS5KNhRNCuY1Gz5sN5/o37QvjOb4aeCPEx+JnxE%0auPEup+I9MsbzT7vwRDFoLwzapHbyot7/ZKpjymYKwuclsAEnigDtfgZ8UPHfxI+KvgzT1+K%0aWpX7zDW9f1/RLmz0tbNdKg1K50+zit/Ls1nLPJGpL+cdqwPu5kQH7Ev/wDUL/11j/8AQ1r4%0a0+Cvh7X/ABvoXwoGleD9Qs18MeNdc1KXxnNcWaWws2vtSS4tYws5uWMpaJGRoRGSgYn5FNf%0aZd/8A6hf+usf/AKGtAGB8UviDp/wo+G/ifxnqqvJp+g6dPqM0cZw8gjQtsX/aYgKPcivOfB%0aHhL4seK9FsPFmvfEm48Oa1frFfJ4U0zSbKXR7FGRCLaYyxG7nYc75EuItzE7BGABXoHxc+H%0aFj8X/hf4q8E6jNJbWev6bPp73EQy8PmIVEijIyVJDAHg4weK8+8B+Mviv4Z8OaT4W8QfDC8%0a1vxDYQw2MnibT9YsE0S8Koq/amMkwu4geSyC1cq2QvmDDEA5bSdU8c/E/wDah+MfhGL4l+I%0aPCXh7wnaaFLp9noVjpTZa7gneYyPdWU7t80KkYIxlvbGR4p+PPjvwf8Kvj94d1fUbRviL8O%0aPDy6nY+JrCxSGHUoZrWV7e6+zSNIqSrJBKsicpuUFQA21dfSdL8c/DD9qH4x+Lovhp4g8W+%0aHvFlpoUWn3mhX2lLhrSCdJhIl1ewOvzTKBgHOG9s5ni34CeOfFnwn+Puv6tY2UnxI+I2gHT%0aLPw9p12JINPghtpY7W0FzKIw8jPNI8khCJufA+VAxAMn4W/tLeMtT/Zr+JNh4vu47H4z+Cv%0aC1xq73iQxCPUIJLN7ix1KGPYI2QjarqFIWSNlZRkLWrqnxk8e+Bvh38Dfi7qmsvqngO/0XT%0a4fHlk1pAv2Y3cERTV0ZI1dBHM+JUDFPLfKxgqWqn+0h+zj4y8V/Afw9qHgO0ih+Kuj+F28N%0az2TzxxpqmnXNusN5YyyFgh2kCWNmbaskQI+8c2Z/g147+IHg74KfCXX9CbSPhzomgabd+M7%0at7u3lGp3NrDEsejqiSMxjMq+ZK+3YyxBVf5iCAUJfH3xq+IXwU8e/GDwjrU2k2bXMereCvC%0atxp1uVvtFtgrO07SQ+cHvkErqAwKK0O0jcTWlo/7VyfGf4k+G5vAuuvYfDrw/4WPjPxnfxW%0a8UzbZoz9k01yyt5UmEmlfbhsRbQwOa7/8AZr8G+MvhKniP4dazZTXngfQblf8AhDfEEl3HI%0a0mmOoKWMqFzKHtTmIOwAdAmMbeeT/Zc/Zmh+G3gL4yeFtY8NReH9N8V+Ltbkt47SaNmm0iY%0a+Xa7WRm2KIs7UbBXJyoJOQDX+GEHxO+N/gjSfiJe/EC88Apr1pHqWkeFtF02xuLS1tZMyW4%0avZLiGSaeR42jMnlPbgZKKFI8w8T8YPj545+GP7XvhvSpNYjk+GdtoGlTeIrBbOJESS+vryy%0aW9EhVpVCTrZgpvK7GYnoSey+E138UPgr8P9J+Hep/DvUPHE3h6BdJ0rxRoupafBYXtnGoS1%0akukuLiOe3kCBVlWOKcDaWRpS20J4v8AgTqHxK+PvjS78R6Sn/CE+JPhnb+Fri6iuEcC6N5d%0avLGgyJMqkyMsmxRnGCCCAAc9+2/8ePGHwzstD0v4faimmavb3Nlq2uXjW8U4i02TULexSDb%0aIjBXnluiVbrttJsc4NfVFfFF7+z18WPE/7N3jN/FtrFrXxb8RatoEM0UN3EqHT9Kv7URsHa%0aTYN6RXd6RuB3XbLgMNtfa9ABRRRQBWk/5CEH/XKT+aVn+LW8Q/2LInhdNMOryMsaTau8n2e%0a3VjhpikY3TFAdwh3R+Zjb5sWd40JP8AkIQf9cpP5pVmgD5r+FH7Rmq6Z+xjqnxc8e3EOs6p%0apI125uRaQi0juPs2o3cMEEajdsBWKKNS249CzMcsdr4BeJLnxVq4OtfHKw8YeNLe3eXXPBP%0ah+TSxYaXMW2tEIkia9QQsRHmWckspLAZ2jk/B37N3iLXf2GNf+EmvxR6B4i1VddSMTTLLHC%0a0+pXVxau7RFgVIkiYgEkAkEZBFTWXgPxl8Q/ip8EtSuPhr/wAKz0v4cRXb3U89/ZzRyCWy+%0ayiy09baV2MGdrFplhO2KP5M5VQDtPjZ428Sz/FP4c/DHwrrT+GLnxKl/qepa9b28M9zaWVm%0asWUgSdHi8yWSeNNzo4VQ5252keV6l+0f43+HnhL4s+Eby+j8R+PvC/ifTfD2ia3qNpHEt3H%0aqzQmymuUhCRl4VncP5aor+SvyqWNdP4j0r4n+IPEfwf8AjC/w4ax8S6HFqmmeIPAdtrVpc3%0aa2l20aq8F07x28jobeKUqWTKyMu7K1zXij9nDxx498H/Fbxh9it9E+IPijxJpPiPRtBvrpZ%0aI7SPSWgFpBcSRs8YllSBy+xmRGmADMFJIB3fhnxP4y+Fv7RXh/4eeKPGGoePNE8WeH7q/0/%0aUdUsLO3uLW/s5IvPjBtYYUMTxzqwDKzKyAbiG4+g68D8N+FfFvxR+Pnhz4jeKPCd74E0vwp%0aod3p+n6VqV7a3F1c3t40JnlP2WaWNYUjgVFywd2ckqoQbvfKACiiigAooooArWH+ob/rrJ/%0a6G1cf4H8SajrHjjx5p95cedaaZeW8VpHsVfLVoFZhkAE5JJ5JrsLD/AFDf9dZP/Q2rzjQrb%0aXvCPjzxvfN4X1HVLLVruCa2nsZ7QAqkKociSdGHIPau/DRjOnVi7XsrXsteZXtdrp+BwYmU%0aoVKTV7Xd7Xf2Xa9k+v4mx8QotX0vS9Z12LxdLotrZWhkgtktbcw71BOZWkVmfc2BhGTjAHP%0aJx7TxbrnjPWPC2jQXb+HZbnQo9d1Ke1ijeUF9qLDH5quqjeWJJUnCgAjJNVNf0XV/EXji6u%0avEPhXV9c0CyMR0nTrW5sxal9oZ5p0e4QvIGyoBBUDOAc5rW1Ox1u18daV4xstCuryOfTX0y%0a+0rzrdLu3HmebHICZfKYbsqQJMjcCM8gelCNOFOMZcrlZtP3bJ8qtHfV7tuStzaHnTlOdSU%0ao8yjdJr3rtczvLbRbJKLvy6jvBmra94w8N6ppsurmw1fR9Xl0u51WK1jL3CRMrCRI2BRGeN%0akzlWAJbC9MJ4U1rWbzxP408NLrY1MabDAbXVbm3iMsE0qPmORYgiPtKBsAKcNgnoaw5/C3i%0a/R/BV8NPguE1XxHrj3+px6ZcQi5sLWUfOkMkrKhlCRxpuzwXYr0BrW0+31Hwx4G1XTfB/gm%0a+0a/jgeW0/tC4tGFxcMQNzus7ln/iy+AQuM9BTqQptT5HF8zsvhsneN5NvW17pJXVrvawoT%0aqJw51Jcqu/iu1aVopLS9rNt2d7Le5JBqmseGviXofh6XxBN4ig1OzuLi4ivIYEmtPKxtlBh%0aRMI7MVwwPK8Hg1PYeIvEP/C3Y9E1GWzi0yTRp76O0tELFWW4ijUvK2Cx2ljgKoG8g79oY1v%0ahvoreGblhJ4W146pfkHUPEGrXFnLLMwXjeUuXYKMBVRVwOOOprWl8P37fGG11wQZ0tNBmsm%0an3rxM1xE4Xbnd91WOcY461jUdJTnFpfA9dNX3STsuy62WuptTVVwjJN/GtNdF2bau+76Xem%0ahD8QotX0vS9Z12LxdLotrZWhkgtktbcw71BOZWkVmfc2BhGTjAHPJs6fHrfjPw54d1L+2bj%0aw4bnT47i6t7C3hZzM6I2N0ySAKvzjG3JyPm4weV8R6Hq2v+Pby48QeGNV8QeHrFov7IsLO5%0atBaM4UF55kknQu+7KqGG0DPBJzUvxBsfEHjK+0qzuPD+tHwm9s8uoWGn3lrFcTzFtogmY3C%0a/u9uSdjHO4DPHFxpx5acOaN93L3dFy/ClfV+tve0voyJVHzVJ8srbJe9q7/ABN20XpfTW2q%0aMqx+Jmt6l4Y8ORf2hDG2p6/Loq+I4oF2zwRs6rNGpzGJJTHtHBXcThcYFWtS+J9/4Gbx7p9%0a3fL4hudBsre8tJpo0SUtNlRFOIwi8NsOVVcq47812MoW88IG0k8CynT43WA6BcCzy0QAKmN%0aBI0JAbb8rOuArEchQ3En4PTa74d8abNNs/C82tQR2unabEqBbOKJi6GTysoGeQs7BNwAI5Y%0a5ropzwk2/bQUY3/ALr3lHtrpG97e7Zu3RGFSGLil7KblK395bRl301la1/eulfqzai1LxD4%0aL8ZeE9O1fXJdetddjlt5zLbQxrb3UcfmBozGinY2HXa+4jAO7rUF74i1S38baRZaR4rTxJd%0ay6g0WqaLFDbmKytsMWkJRfMiKYUDzHO5jgAk4q1baZr/jbxV4W1PWdFk8PQ6FHJcSxzXEUv%0a2m6kjMe2Py3bEaZc7nwTlRt+9hvinTtd8c6h4ftm8OyaO+manDfTarcXMDxqsbAutvsYyN5%0agyAXSP5fvAH5axXs+dc/LflfN8Nr+9b10t8Ovw+Zq/acj5Oa3MuX4r292/prf4tPi8jP+Ov%0axJ1Xwvo9xZ+GJUTV7eNLy9ujGsgs7fzFVchgV3yMQFBB+UOeMA16zXjvxE+Deo3PhLxUuh6%0a3q9/qOsTLcS2dwbPbO+9MKZGhDhUVcKu8ABQB6H1nTbSWxsooJr2fUJUGGublYxJJz1IjVV%0a9uFHSuTErDrDU1RabTd9Gm9I7+V7pf53OvDPEPE1HWTSaVtU0tZbedrN/5WCw/1Df9dZP/A%0aENqs1WsP9Q3/XWT/wBDarNeSeqcL8QvCPiPxFqFtdWPxI1LwHodnbStcx6PY2DzTyEqRJJN%0aeQzosaKrfKsanLElyAAPnTwX+0T49+Jfw0+CeiWutWmneKfHmuanp83i6wsY9r6Zpr3BlvL%0aeCTzI0muI4Iwu5ZI1MzMFKhRXU/tMeDfGPxL+JmjaBqfgzxT4t+C9tpRu77TPCWqafZNq+p%0atK6C3vjcXlvI1rFEocRxna7yqXLeWFq14/8JeKtbm+Enj3wl8N73Rb34farNAfA99cadbzz%0a6XcWv2WX7K0Fy9srRqyPHG8sYIiKkrkbgC98MvF3jm88bfGH4Tah4ra/wDEHh63s73QPF+p%0a6XA0rW99DJ5Znt4BDFK0E0Mg+URhxtyAQxpNH8U+K/h7+074b+HE/jy9+Iuna/4dvdYvrfW%0a7Sxiv9EFtLHHDOrWcECmG4aZ48SRsd0GVcfMpwpfCHxXsbX42fFfw/wCGjp/xG8U2Vlpfhr%0awtfXdrLNYwWgeNJp5BKbbzXeeaby1kZAqRguWZwNj9mzwd/wAKxvprMfCvx5aa3rrifXvH3%0ai7UdHvLq+mSLCNcSQ6hNNs+QIkUcZRC33VBdqAMq6+IniSx+OPhLRfCXxWj+J17c63PZeLf%0aCNraWDWugWQilZ7gvAgntGikSOIJczSGQyEAFl4+n6+b/iB4e8dfHLxd8Nref4d3HgeTwn4%0aittfvfE+o6lZTxFICBLa2Bt5XnkFwGZS00VuPKBLKHxHXr0Hwm0S38anxSt94mOpmVpfIfx%0aVqj2G5lKkfYjcG224PC+XgHBABANAHy7qvxv8AiVcfAPxB+0TYeKrhND07Wbi5tPAkWnWhs%0a7jRLa9NpIssrRG4Fy6Ryz+YswRSUXy8A59F/ad+IN54T0u/vdC+Mf8AwjPiptJN34Z8E2Nl%0aY3Nzrlx83lxtbTRS3NwJXCxgW/lFRuySRkeer8DviUnwI1/9nMeF3j0LUNXu7W2+IEV/bGx%0ai0S4umu3keAyi5N0qySwCIRGMuEYy7CzD2v41XHifVPC/iLwHp3wnuPF+n6rYGws79tSsV0%0atUkjEf+mieVJ08ttzEQwz5QIysXZo0APUfCl1qt74W0e416zj0/XJrOGS/s4XDJBcFAZY1I%0aJBCtuAIJ6dTXjXizxP4u+I/7Quo/Djw14su/A2j+HPD9vq+p6ppdnaT3t1c3UsqW8C/aoZo%0a1iVYHdiE3MSoDKAc73hr9n61Pww8BeHfFOveJL3VfDeiWulzX+ieJ9T0lbqSOFEeRha3EXm%0aZZMgyBmAPXk55jxJ4U8Y/C79oe+8f+GPCN7478O+IPDVro2oafp1/bR39rd2kszwTbryeJH%0aidJ2RsOXDKGw2aAGfCH4sfET4kfAV7u2/sOPx9oWrX/h7Xb/VYJRapLZSyxSXKW0RUytJ5c%0aR8rzYlUyuQ+Iwr9h+yr451r4mfs5fDzxV4juxf67q+jw3d5ciJIhJIwyTtQBR9ABVP4BfCb%0aWPhp8INT07W3hn8V6/f6nr2qJayl4I7u9mkmaGN2wWVA6puP3ipbjOBb/ZS8D638Nf2b/h1%0a4W8SWX9na9pOjwWt7aeakvlSqPmXejMrfVSRQB6vVa6/19n/11P8A6A1WarXX+vs/+up/9A%0aagCzRRRQAUUUUAFFFFABRWB408E6d490lNO1O41e1t0mE4fRdZvNLm3AEAGa1likK/McqW2%0ak4JGQMYOp/BTw9q2gaTo8+o+LktNL8zyJLbxnrEFy+9tzedcR3Syz4P3fNd9o4XA4oA72iq%0aumafFpGm2ljA88kFrCkEb3VxJcSsqgAF5ZGZ3bA5ZiWJySSSTVqgAooooAK+N/8Agoh/zT/%0a/ALiH/ttX2RXxv/wUQ/5p/wD9xD/22r7jgn/kfYf/ALe/9Ikfo/h3/wAlPhf+3/8A0iR9Lf%0aBf/kjvgT/sA2H/AKTpXU6d/wAg+1/65L/IVy3wX/5I74E/7ANh/wCk6V1Onf8AIPtf+uS/y%0aFfK4/8A3yt/jn/6VI+KzP8A3/Ef45/+lzLNea/FTwp4l1R77V7T4s33w40Gw0xnP2HT9OdI%0a5V3tJc3U15DKDEqeX8iCLbskLO24bPSq+V/jz4I8X/Ev4ymy8VfD/wAVeN/g9pdnazWWg+H%0aNS0yGz1i/8xpJH1GO5vbd5I4mSDy4SGjZgzNkDB4TzTN8H/tAePvjR4W+AeiWt8ngrxB4+0%0a2913Wda02zjkktrG08vH2WK5WSNWuGmhIMiyBEZ+Cdprs/hb4q8deMZvi38L77xhLb+LfB2%0atW1vbeMW0u2e4m026SO6hdoVVYDcLC0sO8RiMMqOYm+ZDF488PeMr7xx8KPir4b+H2oxTeG%0a4tS0fVPBVzd6fDqLWN0IlWSB1uWtd0b28bhDMu5GIyGGK5PXPh98XtM8M/FXxr4b0W80zx3%0a8R9f09G0ywvLN77RNGt447XzEaWZbdrzyEkk2iUoskqgO2zcQDuvhb418TaT+0l4u+F1/4w%0am+IOkab4fs9cfVNQtrSK+0y5mleMWUxtIooiHjj85QY1cBuSylSMDwj8Q/Ek3x+8JaH4a+K%0asfxd0eddQi8bWlra2D2nh11iLWzxyWsavbFriN4VguZZ3ZC5yxieSuo/Z88OR/DfR77w/oP%0awh8U+E3nWbUbvXvFmp6Zcy6xfsctJd3Nve3M7zSMxYuYyoAIGAFWsrxJ4e8Z/Gn4s/CrWJv%0ah/e/D6HwVqdxql7rusX1jLcTxPavA1jZi1nmZo5mdWkMvk4WGPCsxwoB9AapqMOj6Zd39wS%0aLe1heeQqMnaqljgfQV8d2vxl+J2i/BvwB8etX8VzXWh6/q+ny6p4Lj0+0+wWWkX86wQ+TKI%0ahcmeMTQOWeZlZty7FBGPpJfgt4eTXdT1f7b4nludQFws8Fz4r1S4sgJgwcJaSXDW6ABjtVY%0awE42hcDHzhoPwa+Juv8AwQ8C/AbxH4VbTtJ8Palp8eqeM4r+2Njf6ZYXKTwi2iSY3AnlEMK%0aFZYlVPnbcxChgDsv2ofiB4g8Evqcng/4sRQfEWKK2uPD3wwtbOwuW1geYuUnt2R72USkThp%0aoJYEjjUNhfKkkf6Vt3kkt4nlj8mVlBePdu2HHIz3x614N+0la+Mvif8PfHHwzsvhVJra+IL%0aKTTrLXr3U7EaNB5qgJdTh5PtSPAx8zbHbyHdEm18ncvb3nwR0zXtP0Fde17xXe6npenwWL3%0aum+KdU0pbtoxzNLDa3MaM7NklmDNyASQBQB5rquv/EP4zfFH4raD4O8cXPgLT/A0MGm2BsN%0aPs7ptR1We1W5Mlz9qhkxBGJIUCReWzEyEyfdwWPx58b/En9kLSfij4StdE0XVrnw9c6pqEm%0aqxzTJZzQQuZEht1KmXdLE6AvKmwEORLgoxLoPxG+Dnxi+K2t+FvA8njnR/HK2upac9pqFrb%0aDTdShtEtmjvBcTRt5D+XFJvhEjKA48snaDu+E/gTf8Awz/Y5k+Fenz/ANt61beFrvTVlDBF%0auryWGQttLkBVaWQ4LEYBGTQB3fwM8R6j4x+Cfw+1/WLj7Zq2q+HtPvry42KnmzS20byNtUB%0aVyzE4AAGeAK7iuH+BnhzUfB3wT+H2gaxb/Y9W0rw9p9jeW+9X8qaK2jSRdykq2GUjIJBxwT%0aXcUAVpP+QhB/1yk/mlWarSf8hCD/rlJ/NKs0AFFFFABXxv/wAFEP8Amn//AHEP/bavsivjf%0a/goh/zT/wD7iH/ttX3HBP8AyPsP/wBvf+kSP0fw7/5KfC/9v/8ApEj6W+C//JHfAn/YBsP/%0aAEnSuyrjfgv/AMkd8Cf9gGw/9J0q9438AaZ8QbK3tdUutbtYoJPNRtE16+0mQnGMM9pNEzj%0an7rEjPOM18rj/APfK3+Of/pUj4rM/9/xH+Of/AKXM6SiuXsfhzpWn3vh+6iu9eeXQ4Xt7VZ%0a/EOoSxyKylSblHnK3TYPDziRlOCCCAa6iuE80K+If23/8Akq+k/wDYEi/9Hz19vV8Q/tv/A%0aPJV9J/7AkX/AKPnoA8dqKTp+NS1FJ0/GgCrP0r3T9ib/krOrf8AYEm/9HwV4XP0r3T9ib/k%0arOrf9gSb/wBHwUAfbdFFFAFa1/195/11H/oC1Zqta/6+8/66j/0Bas0AFFFFABRRRQAVWsP%0a9Q3/XWT/0Nqs1WsP9Q3/XWT/0NqALNFFFABRRRQAV8C/sCf8AJYtY/wCwDN/6UW9ffVfAv7%0aAn/JYtY/7AM3/pRb1+jcO/8iPN/wDBD8z9Z4U/5JvPf8EPzZ99UUUV+cn5MFVrX/X3n/XUf%0a+gLVmq1r/r7z/rqP/QFoAs0UUUAFFFFABRRRQAUUUUAFFFFABRRRQAUUUUAVo/+QhP/ANco%0a/wCb1ZqtH/yEJ/8ArlH/ADerNABRRRQB43+2B/ybp4t/7dP/AErhrjf2BP8Akjusf9h6b/0%0ant67L9sD/AJN08W/9un/pXDXG/sCf8kd1j/sPTf8ApPb1+jUP+SNr/wDX+P5I/WcN/wAkBi%0aP+wiP5I+lqKKK/OT8mCq1r/r7z/rqP/QFqzVa1/wBfef8AXUf+gLQBZooooAKKKKACiiigA%0aooooAKKKKACiiigAooooAKKKKACiiigAqtf/wCoX/rrH/6GtWarX/8AqF/66x/+hrQBZooo%0aoAKKKKACiiigAooooAKKKKACiiigAooooArSf8hCD/rlJ/NKs1Wk/wCQhB/1yk/mlWaACii%0aigAooooAKKKKACiiigAooooArWH+ob/rrJ/6G1WarWH+ob/rrJ/6G1WaACiiigAooooAKKK%0aKACiiigAooooAKKKKACiiigCtYf6hv+usn/obVZqtYf6hv+usn/obVZoAKKKKACiiigAooo%0aoAKKKKACiiigAooooAKrXX+vs/+up/9AarNVrr/AF9n/wBdT/6A1AFmiiigAooooAKKKKAC%0aiiigAooooAKKKKACvjf/AIKIf80//wC4h/7bV9kV8b/8FEP+af8A/cQ/9tq+44J/5H2H/wC%0a3v/SJH6P4d/8AJT4X/t//ANIkfS3wX/5I74E/7ANh/wCk6V1Onf8AIPtf+uS/yFct8F/+SO%0a+BP+wDYf8ApOldTp3/ACD7X/rkv8hXyuP/AN8rf45/+lSPisz/AN/xH+Of/pcyzRRRXCeaF%0aFFFABRRRQAUUUUAFFFFABRRRQAUUUUAVpP+QhB/1yk/mlWarSf8hCD/AK5SfzSrNABRRRQA%0aV8b/APBRD/mn/wD3EP8A22r7Ir43/wCCiH/NP/8AuIf+21fccE/8j7D/APb3/pEj9H8O/wD%0akp8L/ANv/APpEj6W+C/8AyR3wJ/2AbD/0nSuyrjfgv/yR3wJ/2AbD/wBJ0rsq+Vx/++Vv8c%0a//AEqR8Vmf+/4j/HP/ANLmFFFFcJ5oV8Q/tv8A/JV9J/7AkX/o+evt6viH9t//AJKvpP8A2%0aBIv/R89AHjtRSdPxqWopOn40AVZ+le6fsTf8lZ1b/sCTf8Ao+CvC5+le6fsTf8AJWdW/wCw%0aJN/6PgoA+26KKKAMPUJpIr2UI7ICQSFOMnAqD7VP/wA9pP8Avo1Lqf8Ax/S/h/IV8e/Hj4i%0aa38UPipb/AAks7k+ENIlnEN3e3/7trzjI2+qHoi5+ckZI7AH179qn/wCe0n/fRrlvG+r31p%0a9i8i9uId2/Plysufu9cGm/Dz4d6J8MPDNvoehWwgto/mkkbmSeTHMjt3Y4+g4AwABVbx//A%0aMuH/bT/ANloAwf+Ej1b/oKXv/gQ/wDjR/wkerf9BS9/8CH/AMazqKANH/hI9W/6Cl7/AOBD%0a/wCNIviHVEGF1K8AyTgTv1PXvWfRQBo/8JHq3/QUvf8AwIf/ABo/4SPVv+gpe/8AgQ/+NZ1%0aFAGj/AMJHq3/QUvf/AAIf/Gj/AISPVv8AoKXv/gQ/+NZ1FAGj/wAJHq3/AEFL3/wIf/Gvin%0a4GfEu3+FXi681a6N8qTWL2o+wYEmTJG3OWXj5D364r7FriNX+CngrXNSnv7zQ0e6nbfI8c8%0asYZu52q4GT9Oa+24dzjA5fQxWEzCEpU6ySfLa+j87b9/LbU/ReFM+y3K8NjcDmtOcqWIjFP%0akav7rfdrfuu22ph/8NlaT/f8Tfmn/wAeo/4bK0n+/wCJvzT/AOPVo/8ADP8A4B/6AP8A5OX%0aH/wAco/4Z/wDAP/QB/wDJy4/+OV6Ht+Df+fFf/wACX+Z6n1ngD/oHxH/gS/zM7/hsrSf7/i%0ab80/8Aj1IP2yNIUkhvEoLHJIKcn/v9Wl/wz/4B/wCgD/5OXH/xyj/hn/wD/wBAH/ycuP8A4%0a5R7fg3/AJ8V/wDwJf5h9Z4A/wCgfEf+BL/Mzv8AhsrSf7/ib80/+PUf8NlaT/f8Tfmn/wAe%0arR/4Z/8AAP8A0Af/ACcuP/jlH/DP/gH/AKAP/k5cf/HKPb8G/wDPiv8A+BL/ADD6zwB/0D4%0aj/wACX+Znf8NlaT/f8Tfmn/x6j/hsrSf7/ib80/8Aj1aP/DP/AIB/6AP/AJOXH/xyj/hn/w%0aAA/wDQB/8AJy4/+OUe34N/58V//Al/mH1ngD/oHxH/AIEv8zO/4bK0n+/4m/NP/j1H/DZWk%0a/3/ABN+af8Ax6tH/hn/AMA/9AH/AMnLj/45R/wz/wCAf+gD/wCTlx/8co9vwb/z4r/+BL/M%0aPrPAH/QPiP8AwJf5md/w2VpP9/xN+af/AB6j/hsrSf7/AIm/NP8A49Wj/wAM/wDgH/oA/wD%0ak5cf/AByj/hn/AMA/9AH/AMnLj/45R7fg3/nxX/8AAl/mH1ngD/oHxH/gS/zM7/hsrSf7/i%0ab80/8Aj1H/AA2VpP8Af8Tfmn/x6tH/AIZ/8A/9AH/ycuP/AI5R/wAM/wDgH/oA/wDk5cf/A%0aByj2/Bv/Piv/wCBL/MPrPAH/QPiP/Al/mZ3/DZWk/3/ABN+af8Ax6j/AIbK0n+/4m/NP/j1%0aaP8Awz/4B/6AP/k5cf8Axyj/AIZ/8A/9AH/ycuP/AI5R7fg3/nxX/wDAl/mH1ngD/oHxH/g%0aS/wAzO/4bK0n+/wCJvzT/AOPUf8NlaT/f8Tfmn/x6tH/hn/wD/wBAH/ycuP8A45R/wz/4B/%0a6AP/k5cf8Axyj2/Bv/AD4r/wDgS/zD6zwB/wBA+I/8CX+Zm/8ADZGkBi27xLuIwTlM4/7/A%0aHuaX/hsrSf7/ib80/8Aj1aP/DP/AIB/6AP/AJOXH/xyj/hn/wAA/wDQB/8AJy4/+OUe34N/%0a58V//Al/mH1ngD/oHxH/AIEv8zO/4bK0n+/4m/NP/j1H/DZWk/3/ABN+af8Ax6tH/hn/AMA%0a/9AH/AMnLj/45R/wz/wCAf+gD/wCTlx/8co9vwb/z4r/+BL/MPrPAH/QPiP8AwJf5nAfFj9%0apjT/iD8P8AVdAgfXDLd+VgXhXyvklR/mxIf7vHHXFdR+ybqt9YfDnUY7a8uLeM6rI22KVlB%0aPkwjOAfb9K1/wDhn/wD/wBAH/ycuP8A45Xa6Lolj4d0yDT9NtktLOBdscUfQfieSfUnk1OZ%0a5zk/9kSyvKqU4qU1NubT2+d9dPzIzjiDIf7ClkuSUakVOopt1Gna3bVvXRW6bm9/wkerf9B%0aS9/8AAh/8aP8AhI9W/wCgpe/+BD/41nUV+dn5SaP/AAkerf8AQUvf/Ah/8aQeIdUUkjUrwF%0ajkkTvyfzrPooA0f+Ej1b/oKXv/AIEP/jR/wkerf9BS9/8AAh/8azqKANH/AISPVv8AoKXv/%0agQ/+NH/AAkerf8AQUvf/Ah/8azqKANH/hI9W/6Cl7/4EP8A40f8JHq3/QUvf/Ah/wDGs6ig%0aDR/4SPVv+gpe/wDgQ/8AjR/wkerf9BS9/wDAh/8AGs6igDR/4SPVv+gpe/8AgQ/+NH/CR6t%0a/0FL3/wACH/xrOooA0f8AhI9W/wCgpe/+BD/40f8ACR6t/wBBS9/8CH/xrOooA0f+Ej1b/o%0aKXv/gQ/wDjR/wkerf9BS9/8CH/AMazqKANH/hI9W/6Cl7/AOBD/wCNH/CR6t/0FL3/AMCH/%0awAazqKANH/hI9W/6Cl7/wCBD/40f8JHq3/QUvf/AAIf/Gs6igDR/wCEj1b/AKCl7/4EP/jS%0aN4h1RxhtSvCMg4M79R071n0UAaP/AAkerf8AQUvf/Ah/8aP+Ej1b/oKXv/gQ/wDjWdRQBo/%0a8JHq3/QUvf/Ah/wDGj/hI9W/6Cl7/AOBD/wCNZ1FAGj/wkerf9BS9/wDAh/8AGj/hI9W/6C%0al7/wCBD/41nUUAaP8Awkerf9BS9/8AAh/8aP8AhI9W/wCgpe/+BD/41nUUAaP/AAkerf8AQ%0aUvf/Ah/8aP+Ej1b/oKXv/gQ/wDjWdRQBo/8JHq3/QUvf/Ah/wDGj/hI9W/6Cl7/AOBD/wCN%0aZ1FAGj/wkerf9BS9/wDAh/8AGj/hI9W/6Cl7/wCBD/41nUUAaH/CQ6oWDf2lebgMA+e+cfn%0a7Cl/4SPVv+gpe/wDgQ/8AjWdRQBo/8JHq3/QUvf8AwIf/ABo/4SPVv+gpe/8AgQ/+NZ1FAG%0aj/AMJHq3/QUvf/AAIf/Gj/AISPVv8AoKXv/gQ/+NZ1FAGj/wAJHq3/AEFL3/wIf/Gj/hI9W%0a/6Cl7/4EP8A41nUUAaP/CR6t/0FL3/wIf8Axo/4SPVv+gpe/wDgQ/8AjWdRQBo/8JHq3/QU%0avf8AwIf/ABo/4SPVv+gpe/8AgQ/+NZ1FAGgviHVEGF1K8AyTgTv1PXvS/wDCR6t/0FL3/wA%0aCH/xrOooA0f8AhI9W/wCgpe/+BD/40f8ACR6t/wBBS9/8CH/xrOooA0f+Ej1b/oKXv/gQ/w%0aDjR/wkerf9BS9/8CH/AMazqKANH/hI9W/6Cl7/AOBD/wCNH/CR6t/0FL3/AMCH/wAazqKAN%0aH/hI9W/6Cl7/wCBD/40f8JHq3/QUvf/AAIf/Gs6igDR/wCEj1b/AKCl7/4EP/jR/wAJHq3/%0aAEFL3/wIf/Gs6igDR/4SPVv+gpe/+BD/AONH/CR6t/0FL3/wIf8AxrOooA0f+Ej1b/oKXv8%0aA4EP/AI0f8JHq3/QUvf8AwIf/ABrOooA0F8Q6ogwupXgGScCd+p696X/hI9W/6Cl7/wCBD/%0a41nUUAaP8Awkerf9BS9/8AAh/8aP8AhI9W/wCgpe/+BD/41nUUAaP/AAkerf8AQUvf/Ah/8%0aa73wxqN1caHbSS3M0kh3ZZ5CSfmPevMa9G8Jf8AIv2n/A//AEM0Abv2qf8A57Sf99Gj7VP/%0aAM9pP++jUVFAEv2qf/ntJ/30aPtU/wDz2k/76NRUUAS/ap/+e0n/AH0aPtU//PaT/vo1FRQ%0aBL9qn/wCe0n/fRo+1T/8APaT/AL6NRUUAS/ap/wDntJ/30aQ3ErEEyuSpyCWPBqOigCX7VP%0a8A89pP++jR9qn/AOe0n/fRqKigCX7VP/z2k/76NH2qf/ntJ/30aiooAl+1T/8APaT/AL6NH%0a2qf/ntJ/wB9GoqKAJftU/8Az2k/76NH2qf/AJ7Sf99GoqKAJftU/wDz2k/76NH2qf8A57Sf%0a99GoqKAJftU//PaT/vo0fap/+e0n/fRqKigCX7VP/wA9pP8Avo18kft8SvL/AMILvdnx9vx%0auOf8An3r6yr5L/b1/5kb/ALfv/bevuOCf+R9h/wDt7/0iR+j+Hf8AyU+F/wC3/wD0iR9F/C%0aC5mX4TeCQJXAGiWQADH/ngldatxKihVldVAwAGOAK474Q/8kn8Ff8AYEsv/RCV1tfK4/8A3%0ayt/jn/6VI+KzP8A3/Ef45/+lzJftU//AD2k/wC+jR9qn/57Sf8AfRqKiuE80l+1T/8APaT/%0aAL6NH2qf/ntJ/wB9GoqKAJftU/8Az2k/76NH2qf/AJ7Sf99GoqKAJftU/wDz2k/76NH2qf8%0aA57Sf99GoqKAJftU//PaT/vo0fap/+e0n/fRqKigCX7VP/wA9pP8Avo0fap/+e0n/AH0aio%0aoAl+1T/wDPaT/vo0fap/8AntJ/30aiooAk+0Slg3mvuAwDuOcf5ApftU//AD2k/wC+jUVFA%0aEv2qf8A57Sf99Gj7VP/AM9pP++jUVFAEv2qf/ntJ/30a+SP2+JXl/4QXe7Pj7fjcc/8+9fW%0aVfJf7ev/ADI3/b9/7b19xwT/AMj7D/8Ab3/pEj9H8O/+Snwv/b//AKRI+i/hBczL8JvBIEr%0agDRLIABj/AM8ErrvtU/8Az2k/76NeT6L8O9F+J/wA8JaHrlt59tLolk0cq8SQSfZ0xIjdmG%0afoeQcgkV418BviJrXwv+Klx8I7y5Pi7SIpzDaXthmRrPjJ3eiDo65+Qg4J7/K4/wD3yt/jn%0a/6VI+KzP/f8R/jn/wClzPsXTriV7yNWkdlOeCxI6GtusHTP+P6L8f5Gt6uE80K+If23/wDk%0aq+k/9gSL/wBHz19vV8Q/tv8A/JV9J/7AkX/o+egDx2opOn41LUb9DQBUn6V7p+xN/wAlZ1b%0a/ALAk3/o+CvC5+le6/sTf8lZ1b/sCS/8Ao+CgD7aooooAwdT/AOP6X8P5CvLPjX8C9F+NOj%0aRw3j/2dq9t/wAemqxR7pIuclSMjep/u5HPIIr2WfTIriVpGZwx9CMfypn9jQf3pPzH+FAHA%0afDzw5rXhTwxbaXrniAeJrm3+SPUGtfIkaMdA/zvuYf3uM8Zyck1vH//AC4f9tP/AGWvSP7G%0ag/vSfmP8KzdY8E2Ot+T58twnlZx5bKOuOuVPpQB41RXqn/Cq9J/5+L3/AL7T/wCJo/4VXpP%0a/AD8Xv/faf/E0AeV0V6p/wqvSf+fi9/77T/4mj/hVek/8/F7/AN9p/wDE0AeV0V6p/wAKr0%0an/AJ+L3/vtP/iaP+FV6T/z8Xv/AH2n/wATQB5XRXqn/Cq9J/5+L3/vtP8A4mj/AIVXpP8Az%0a8Xv/faf/E0AeV0V6p/wqvSf+fi9/wC+0/8AiaP+FV6T/wA/F7/32n/xNAHldFeqf8Kr0n/n%0a4vf++0/+Jo/4VXpP/Pxe/wDfaf8AxNAHldFeqf8ACq9J/wCfi9/77T/4mj/hVek/8/F7/wB%0a9p/8AE0AeV0V6p/wqvSf+fi9/77T/AOJo/wCFV6T/AM/F7/32n/xNAHldFeqf8Kr0n/n4vf%0a8AvtP/AImj/hVek/8APxe/99p/8TQB5XRXqn/Cq9J/5+L3/vtP/iaP+FV6T/z8Xv8A32n/A%0aMTQB5XRXqn/AAqvSf8An4vf++0/+Jo/4VXpP/Pxe/8Afaf/ABNAHldFeqf8Kr0n/n4vf++0%0a/wDiaP8AhVek/wDPxe/99p/8TQB5XRXqn/Cq9J/5+L3/AL7T/wCJo/4VXpP/AD8Xv/faf/E%0a0AeV0V6p/wqvSf+fi9/77T/4mj/hVek/8/F7/AN9p/wDE0AeV0V6p/wAKr0n/AJ+L3/vtP/%0aiaP+FV6T/z8Xv/AH2n/wATQB5XRXqn/Cq9J/5+L3/vtP8A4mj/AIVXpP8Az8Xv/faf/E0Ae%0aV0V6p/wqvSf+fi9/wC+0/8AiaP+FV6T/wA/F7/32n/xNAHldFeqf8Kr0n/n4vf++0/+Jo/4%0aVXpP/Pxe/wDfaf8AxNAHldFeqf8ACq9J/wCfi9/77T/4mj/hVek/8/F7/wB9p/8AE0AeV0V%0a6p/wqvSf+fi9/77T/AOJo/wCFV6T/AM/F7/32n/xNAHldFeqf8Kr0n/n4vf8AvtP/AImj/h%0aVek/8APxe/99p/8TQB5XRXqn/Cq9J/5+L3/vtP/iaP+FV6T/z8Xv8A32n/AMTQB5XRXqn/A%0aAqvSf8An4vf++0/+Jo/4VXpP/Pxe/8Afaf/ABNAHldFeqf8Kr0n/n4vf++0/wDiaP8AhVek%0a/wDPxe/99p/8TQB5XRXqn/Cq9J/5+L3/AL7T/wCJo/4VXpP/AD8Xv/faf/E0AeV0V6p/wqv%0aSf+fi9/77T/4mj/hVek/8/F7/AN9p/wDE0AeV0V6p/wAKr0n/AJ+L3/vtP/iaP+FV6T/z8X%0av/AH2n/wATQB5XRXqn/Cq9J/5+L3/vtP8A4mj/AIVXpP8Az8Xv/faf/E0AeV0V6p/wqvSf+%0afi9/wC+0/8AiaP+FV6T/wA/F7/32n/xNAHldFeqf8Kr0n/n4vf++0/+Jo/4VXpP/Pxe/wDf%0aaf8AxNAHldFeqf8ACq9J/wCfi9/77T/4mj/hVek/8/F7/wB9p/8AE0AeV0V6p/wqvSf+fi9%0a/77T/AOJo/wCFV6T/AM/F7/32n/xNAHldFeqf8Kr0n/n4vf8AvtP/AImj/hVek/8APxe/99%0ap/8TQB5XRXqn/Cq9J/5+L3/vtP/iaP+FV6T/z8Xv8A32n/AMTQB5XRXqn/AAqvSf8An4vf+%0a+0/+Jo/4VXpP/Pxe/8Afaf/ABNAHldFeqf8Kr0n/n4vf++0/wDiaP8AhVek/wDPxe/99p/8%0aTQB5XRXqn/Cq9J/5+L3/AL7T/wCJo/4VXpP/AD8Xv/faf/E0AeV0V6p/wqvSf+fi9/77T/4%0amj/hVek/8/F7/AN9p/wDE0AeV0V6p/wAKr0n/AJ+L3/vtP/iaP+FV6T/z8Xv/AH2n/wATQB%0a5XRXqn/Cq9J/5+L3/vtP8A4mj/AIVXpP8Az8Xv/faf/E0AeV0V6p/wqvSf+fi9/wC+0/8Ai%0aaP+FV6T/wA/F7/32n/xNAHldFeqf8Kr0n/n4vf++0/+Jo/4VXpP/Pxe/wDfaf8AxNAHldFe%0aqf8ACq9J/wCfi9/77T/4mj/hVek/8/F7/wB9p/8AE0AeV0V6p/wqvSf+fi9/77T/AOJo/wC%0aFV6T/AM/F7/32n/xNAHldFeqf8Kr0n/n4vf8AvtP/AImj/hVek/8APxe/99p/8TQB5XRXqn%0a/Cq9J/5+L3/vtP/iaP+FV6T/z8Xv8A32n/AMTQB5XRXqn/AAqvSf8An4vf++0/+Jo/4VXpP%0a/Pxe/8Afaf/ABNAHldFeqf8Kr0n/n4vf++0/wDiaP8AhVek/wDPxe/99p/8TQB5XRXqn/Cq%0a9J/5+L3/AL7T/wCJo/4VXpP/AD8Xv/faf/E0AeV0V6p/wqvSf+fi9/77T/4mj/hVek/8/F7%0a/AN9p/wDE0AeV0V6p/wAKr0n/AJ+L3/vtP/iaP+FV6T/z8Xv/AH2n/wATQB5XRXqn/Cq9J/%0a5+L3/vtP8A4mj/AIVXpP8Az8Xv/faf/E0AeV16N4S/5F+0/wCB/wDoZq9/wqvSf+fi9/77T%0a/4mtrTvC9rplnHbRSTNGmcF2BPJJ9PegDPorZ/saD+9J+Y/wo/saD+9J+Y/woAxqK2f7Gg/%0avSfmP8KP7Gg/vSfmP8KAMaitn+xoP70n5j/Cj+xoP70n5j/CgDGorZ/saD+9J+Y/wo/saD+%0a9J+Y/woAxqK2f7Gg/vSfmP8KP7Gg/vSfmP8KAMaitn+xoP70n5j/Cj+xoP70n5j/CgDGorZ%0a/saD+9J+Y/wo/saD+9J+Y/woAxqK2f7Gg/vSfmP8KP7Gg/vSfmP8KAMaitn+xoP70n5j/Cj%0a+xoP70n5j/CgDGorZ/saD+9J+Y/wo/saD+9J+Y/woAxqK2f7Gg/vSfmP8KP7Gg/vSfmP8KA%0aMavlD9vK0ne18FXKwu1vE95G8oU7VZhCVBPQEhWwO+0+lfZH9jQf3pPzH+FU9W8G6Tr9jJZ%0aanZxajZSYL213EksbYORlWBBwRmvdyPM1k+YUsc48yje6vbRpr9T6XhvOFkOa0cxlDnUL3V%0a7Nppxdn31ur6HxP4Q/bW/4RXwnouif8Ib9q/s2xgs/P/tTZ5nlxqm7b5JxnbnGTj1rX/4b1%0a/6kb/yr/wD2ivqD/hRHw+/6EzQf/BXb/wDxFH/CiPh9/wBCZoP/AIK7f/4ivramccL1ZyqT%0ay6d223+86ttvr3bPuauf8GVqkqs8pm5Sbb/e9W2317tny/8A8N6/9SN/5V//ALRR/wAN6/8%0aAUjf+Vf8A+0V9Qf8ACiPh9/0Jmg/+Cu3/APiKP+FEfD7/AKEzQf8AwV2//wARWf8AavCv/Q%0aun/wCDP+CZf21wT/0KZ/8Ag3/7Y+X/APhvX/qRv/Kv/wDaKP8AhvX/AKkb/wAq/wD9or6g/%0awCFEfD7/oTNB/8ABXb/APxFH/CiPh9/0Jmg/wDgrt//AIij+1eFf+hdP/wZ/wAEP7a4J/6F%0aM/8Awb/9sfL/APw3r/1I3/lX/wDtFH/Dev8A1I3/AJV//tFfUH/CiPh9/wBCZoP/AIK7f/4%0aij/hRHw+/6EzQf/BXb/8AxFH9q8K/9C6f/gz/AIIf21wT/wBCmf8A4N/+2Pl//hvX/qRv/K%0av/APaKP+G9f+pG/wDKv/8AaK+oP+FEfD7/AKEzQf8AwV2//wARR/woj4ff9CZoP/grt/8A4%0aij+1eFf+hdP/wAGf8EP7a4J/wChTP8A8G//AGx8v/8ADev/AFI3/lX/APtFH/Dev/Ujf+Vf%0a/wC0V9Qf8KI+H3/QmaD/AOCu3/8AiKP+FEfD7/oTNB/8Fdv/APEUf2rwr/0Lp/8Agz/gh/b%0aXBP8A0KZ/+Df/ALY+X/8AhvX/AKkb/wAq/wD9oo/4b1/6kb/yr/8A2ivqD/hRHw+/6EzQf/%0aBXb/8AxFH/AAoj4ff9CZoP/grt/wD4ij+1eFf+hdP/AMGf8EP7a4J/6FM//Bv/ANsfL/8Aw%0a3r/ANSN/wCVf/7RR/w3r/1I3/lX/wDtFfUH/CiPh9/0Jmg/+Cu3/wDiKP8AhRHw+/6EzQf/%0aAAV2/wD8RR/avCv/AELp/wDgz/gh/bXBP/Qpn/4N/wDtj5f/AOG9f+pG/wDKv/8AaKP+G9f%0a+pG/8q/8A9or6g/4UR8Pv+hM0H/wV2/8A8RR/woj4ff8AQmaD/wCCu3/+Io/tXhX/AKF0/w%0aDwZ/wQ/trgn/oUz/8ABv8A9sfL/wDw3r/1I3/lX/8AtFH/AA3r/wBSN/5V/wD7RX1B/wAKI%0a+H3/QmaD/4K7f8A+Io/4UR8Pv8AoTNB/wDBXb//ABFH9q8K/wDQun/4M/4If21wT/0KZ/8A%0ag3/7Y+X/APhvX/qRv/Kv/wDaK8l+PXx6PxwOhAaF/Yx0zz/+Xv7R5vmeX/0zXGPL9857Yr7%0a6/wCFEfD7/oTNB/8ABXb/APxFS2vwT8CWNzFc23hLRbe4hcSRyxabArowOQQQmQQe4rtwXE%0aXDuXV44rCZfONSN7Pnvumurffsejl/FnCmU4mOMwOVzjVjez9pfdNbNtbPscBp/hLxDrvwK%0a8MaFpetv4R1FtHs4Li6azMs8QECh0Ub02PnjdyRzjBwRL8FfgZonwW0aSGzc6jq9zzd6rLH%0atkm54UDJ2IP7uTzySa9i/saD+9J+Y/wo/saD+9J+Y/wr8yr1XXqzqtW5m397b/U/HcRWeIr%0a1K7VnKTl97b/UoaZ/x/Rfj/I1vVTg0yK3lWRWcsPUjH8quVic4V8Q/tv/APJV9J/7AkX/AK%0aPnr7er4h/bf/5KvpP/AGBIv/R89AHjtMkHBpv2mP1b/vk01riP1b/vk0AQzDINe6/sUDHxY%0a1U/9QWX/wBHwV4S86erf98mvSP2c/iZpnwy+JSahqpePTby2eymnWNm8kMyMHwBkgMgBx2J%0aoA/QaiuQi+MPgSWNXHjPQArDID6nCp/EFsj8aX/hb/gTP/I6+Hf/AAawf/F0AddRXI/8Le8%0aCf9Dr4d/8GsH/AMXR/wALe8Cf9Dr4d/8ABrB/8XQB11Fcj/wt7wJ/0Ovh3/wawf8AxdH/AA%0at7wJ/0Ovh3/wAGsH/xdAHXUVyP/C3vAn/Q6+Hf/BrB/wDF0f8AC3vAn/Q6+Hf/AAawf/F0A%0addRXI/8Le8Cf9Dr4d/8GsH/AMXR/wALe8Cf9Dr4d/8ABrB/8XQB11Fcj/wt7wJ/0Ovh3/wa%0awf8AxdH/AAt7wJ/0Ovh3/wAGsH/xdAHXUVyP/C3vAn/Q6+Hf/BrB/wDF0f8AC3vAn/Q6+Hf%0a/AAawf/F0AddRXI/8Le8Cf9Dr4d/8GsH/AMXR/wALf8B5/wCR28O/+DaD/wCLoA66iuR/4W%0a94E/6HXw7/AODWD/4uj/hb3gT/AKHXw7/4NYP/AIugDrqK5H/hb3gT/odfDv8A4NYP/i6P+%0aFveBP8AodfDv/g1g/8Ai6AOuorkf+FveBP+h18O/wDg1g/+Lo/4W94E/wCh18O/+DWD/wCL%0aoA66iuR/4W94E/6HXw7/AODWD/4uj/hb3gT/AKHXw7/4NYP/AIugDrqK5H/hb3gT/odfDv8%0aA4NYP/i6P+FveBP8AodfDv/g1g/8Ai6AOuorkf+FveBP+h18O/wDg1g/+Lo/4W94E/wCh18%0aO/+DWD/wCLoA66iuR/4W94E/6HXw7/AODWD/4uj/hb3gT/AKHXw7/4NYP/AIugDrqK5H/hb%0a3gT/odfDv8A4NYP/i6P+FveBP8AodfDv/g1g/8Ai6AOuorkf+FveBP+h18O/wDg1g/+Lo/4%0aW94E/wCh18O/+DWD/wCLoA66iuRHxf8AAZH/ACO3h3/wbQf/ABdH/C3vAn/Q6+Hf/BrB/wD%0aF0AddRXI/8Le8Cf8AQ6+Hf/BrB/8AF0f8Le8Cf9Dr4d/8GsH/AMXQB11Fcj/wt7wJ/wBDr4%0ad/8GsH/wAXR/wt7wJ/0Ovh3/wawf8AxdAHXUVyP/C3vAn/AEOvh3/wawf/ABdH/C3vAn/Q6%0a+Hf/BrB/wDF0AddRXIn4v8AgMD/AJHbw7/4NoP/AIuj/hb3gT/odfDv/g1g/wDi6AOuorkf%0a+FveBP8AodfDv/g1g/8Ai6P+FveBP+h18O/+DWD/AOLoA66iuR/4W94E/wCh18O/+DWD/wC%0aLo/4W94E/6HXw7/4NYP8A4ugDrqK5H/hb3gT/AKHXw7/4NYP/AIuj/hb3gT/odfDv/g1g/w%0aDi6AOuorkf+FveBP8AodfDv/g1g/8Ai6P+FveBP+h18O/+DWD/AOLoA66iuR/4W94E/wCh1%0a8O/+DWD/wCLo/4W94E/6HXw7/4NYP8A4ugDrqK5H/hb3gT/AKHXw7/4NYP/AIuj/hb3gT/o%0adfDv/g1g/wDi6AOuorkf+FveBP8AodfDv/g1g/8Ai6P+FveBP+h18O/+DWD/AOLoA66iuR/%0a4W94E/wCh18O/+DWD/wCLo/4W94E/6HXw7/4NYP8A4ugDrqK5H/hb3gT/AKHXw7/4NYP/AI%0auj/hb3gT/odfDv/g1g/wDi6AOuorkf+FveBP8AodfDv/g1g/8Ai6P+Fv8AgPP/ACO3h3/wb%0aQf/ABdAHXUVyP8Awt7wJ/0Ovh3/AMGsH/xdH/C3vAn/AEOvh3/wawf/ABdAHXUVyP8Awt7w%0aJ/0Ovh3/AMGsH/xdH/C3vAn/AEOvh3/wawf/ABdAHXUVyP8Awt7wJ/0Ovh3/AMGsH/xdH/C%0a3vAn/AEOvh3/wawf/ABdAHXUVyP8Awt7wJ/0Ovh3/AMGsH/xdH/C3vAn/AEOvh3/wawf/AB%0adAHXUVyP8Awt7wJ/0Ovh3/AMGsH/xdH/C3/Af/AEO3h3/wbQf/ABdAHXUVyP8Awt7wJ/0Ov%0ah3/AMGsH/xdH/C3vAn/AEOvh3/wawf/ABdAHXUVyP8Awt7wJ/0Ovh3/AMGsH/xdH/C3vAn/%0aAEOvh3/wawf/ABdAHXUVyP8Awt7wJ/0Ovh3/AMGsH/xdH/C3vAn/AEOvh3/wawf/ABdAHXU%0aVyP8Awt7wJ/0Ovh3/AMGsH/xdH/C3vAn/AEOvh3/wawf/ABdAHXUVyP8Awt7wJ/0Ovh3/AM%0aGsH/xdH/C3vAn/AEOvh3/wawf/ABdAHXUVyP8Awt7wJ/0Ovh3/AMGsH/xdH/C3vAn/AEOvh%0a3/wawf/ABdAHXUVyP8Awt7wJ/0Ovh3/AMGsH/xdH/C3vAn/AEOvh3/wawf/ABdAHXUVyP8A%0awt/wHn/kdvDv/g2g/wDi6P8Ahb3gT/odfDv/AINYP/i6AOuorkf+FveBP+h18O/+DWD/AOL%0ao/wCFveBP+h18O/8Ag1g/+LoA66iuR/4W94E/6HXw7/4NYP8A4uj/AIW94E/6HXw7/wCDWD%0a/4ugDrqK5H/hb3gT/odfDv/g1g/wDi6P8Ahb3gT/odfDv/AINYP/i6AOuorkf+FveBP+h18%0aO/+DWD/AOLo/wCFveBP+h18O/8Ag1g/+LoA66iuR/4W94E/6HXw7/4NYP8A4ug/F/wGB/yO%0a3h3/AMG0H/xdAHXUVyP/AAt7wJ/0Ovh3/wAGsH/xdH/C3vAn/Q6+Hf8Awawf/F0AddRXI/8%0aAC3vAn/Q6+Hf/AAawf/F0f8Le8Cf9Dr4d/wDBrB/8XQB11Fcj/wALe8Cf9Dr4d/8ABrB/8X%0aR/wt7wJ/0Ovh3/AMGsH/xdAHXUVyP/AAt7wJ/0Ovh3/wAGsH/xdH/C3vAn/Q6+Hf8Awawf/%0aF0AddRXI/8AC3/Af/Q7eHf/AAbQf/F0f8Le8Cf9Dr4d/wDBrB/8XQB11Fcj/wALe8Cf9Dr4%0ad/8ABrB/8XR/wt7wJ/0Ovh3/AMGsH/xdAHXUVyP/AAt7wJ/0Ovh3/wAGsH/xdH/C3vAn/Q6%0a+Hf8Awawf/F0AddRXI/8AC3/AZ/5nbw7/AODaD/4uj/hb3gT/AKHXw7/4NYP/AIugDrqK5H%0a/hb3gT/odfDv8A4NYP/i6P+FveBP8AodfDv/g1g/8Ai6AOuorkf+FveBP+h18O/wDg1g/+L%0ao/4W94E/wCh18O/+DWD/wCLoA66iuR/4W94E/6HXw7/AODWD/4uj/hb3gT/AKHXw7/4NYP/%0aAIugDrqK5H/hb3gT/odfDv8A4NYP/i6P+FveBP8AodfDv/g1g/8Ai6AOuorkf+FveBP+h18%0aO/wDg1g/+Lo/4W94E/wCh18O/+DWD/wCLoA66iuR/4W94E/6HXw7/AODWD/4uj/hb3gT/AK%0aHXw7/4NYP/AIugDrqK5H/hb3gT/odfDv8A4NYP/i6P+FveBP8AodfDv/g1g/8Ai6AOuorkf%0a+FveBP+h18O/wDg1g/+Lo/4W94E/wCh18O/+DWD/wCLoA66iuR/4W94E/6HXw7/AODWD/4u%0aj/hb3gT/AKHXw7/4NYP/AIugDrqK5H/hb3gT/odfDv8A4NYP/i6P+FveBP8AodfDv/g1g/8%0aAi6AOuorkf+FveBP+h18O/wDg1g/+Lo/4W94E/wCh18O/+DWD/wCLoA66iuR/4W94E/6HXw%0a7/AODWD/4uj/hb3gT/AKHXw7/4NYP/AIugDrqK5H/hb3gT/odfDv8A4NYP/i6P+FveBP8Ao%0adfDv/g1g/8Ai6AOuorkR8X/AAGR/wAjt4d/8G0H/wAXR/wt7wJ/0Ovh3/wawf8AxdAHXUVy%0aP/C3vAn/AEOvh3/wawf/ABdH/C3vAn/Q6+Hf/BrB/wDF0AddRXI/8Le8Cf8AQ6+Hf/BrB/8%0aAF0f8Le8Cf9Dr4d/8GsH/AMXQB11Fcj/wt7wJ/wBDr4d/8GsH/wAXR/wt7wJ/0Ovh3/wawf%0a8AxdAHXUVyP/C3vAn/AEOvh3/wawf/ABdH/C3vAn/Q6+Hf/BrB/wDF0AddRXIj4v8AgMj/A%0aJHbw7/4NoP/AIuj/hb3gT/odfDv/g1g/wDi6AOuorkf+FveBP8AodfDv/g1g/8Ai6P+FveB%0aP+h18O/+DWD/AOLoA66iuR/4W94E/wCh18O/+DWD/wCLo/4W94E/6HXw7/4NYP8A4ugDrqK%0a5H/hb3gT/AKHXw7/4NYP/AIuj/hb3gT/odfDv/g1g/wDi6AOuorkf+FveBP8AodfDv/g1g/%0a8Ai6X/AIW94E/6HXw7/wCDWD/4ugDra+JP23Fz8VtK/wCwLF/6Pnr6sl+MPgSKNnPjPQCqj%0aJCanCx/ABsn8K+Jv2kPiZpnxN+JD3+lM8mnWlsllDOY2XzgrOxfBGQNznGewFAHnlB5oooA%0ajdc/WomXd1qyRmmMgPWgCm8Oah+z/vG47D+tXyhpgQ+Y3HYf1oAp/Z/Y0fZ/Y1dK46ijFAF%0aL7P7Gj7P7GruKMUAUvs/saPs/sau4oxQBS+z+xo+z+xq7ijFAFL7P7Gj7P7GruKMUAUvs/s%0aaPs/sau4oxQBS+z+xppt/3i8Hof6VfxTSB5i/Q/wBKAKn2f2NH2f2NXcUYoApfZ/Y0fZ/Y1%0adxRigCl9n9jR9n9jV3FGKAKX2f2NH2f2NXcUYoApfZ/Y0fZ/Y1dxRigCl9n9jR9n9jV3FGK%0aAKX2f2NH2f2NXcUYoApfZ/Y0fZ/Y1dxRigCl9n9jR9n9jV3FGKAKEdv+7Xg9BTvs/satxge%0aWn0FOxQBS+z+xo+z+xq7ijFAFL7P7Gj7P7GruKMUAUvs/saPs/sau4oxQBQkt/wB23B6Gnf%0aZ/Y1bkA8t/oadigCl9n9jR9n9jV3FGKAKX2f2NH2f2NXcUYoApfZ/Y0fZ/Y1dxRigCl9n9j%0aR9n9jV3FGKAKX2f2NH2f2NXcUYoApfZ/Y0fZ/Y1dxRigCl9n9jR9n9jV3FGKAKX2f2NH2f2%0aNXcUYoApfZ/Y0fZ/Y1dxRigCl9n9jTRb/vG4PQf1q/imgDzG+g/rQBU+z+xo+z+xq7ijFAF%0aL7P7Gj7P7GruKMUAUvs/saPs/sau4oxQBS+z+xo+z+xq7ijFAFL7P7Gmvb/MnB6/0NX8U1w%0aNyfX+hoAqfZ/Y0fZ/Y1dxRigCl9n9jR9n9jV3FGKAKX2f2NH2f2NXcUYoApfZ/Y0fZ/Y1dx%0aRigCl9n9jR9n9jV3FGKAKX2f2NH2f2NXcUYoApfZ/Y0fZ/Y1dxRigCgLf8AeNweg/rTvs/s%0aatgDzG+g/rTsUAUvs/saPs/sau4oxQBS+z+xo+z+xq7ijFAFL7P7Gj7P7GruKMUAUvs/saP%0as/sau4oxQBS+z+xpslv8Au24PQ1fxTZAPLf6GgCp9n9jR9n9jV3FGKAKX2f2NH2f2NXcUYo%0aApfZ/Y0fZ/Y1dxRigCl9n9jR9n9jV3FGKAKC2/zPwev9BTvs/satoBuf6/0FOxQBS+z+xo+%0az+xq7ijFAFL7P7Gj7P7GruKMUAUI7f5Twep/nTvs/satxgbT9T/ADp2KAKX2f2NH2f2NXcU%0aYoApfZ/Y0fZ/Y1dxRigCl9n9jR9n9jV3FGKAKX2f2NH2f2NXcUYoApfZ/Y0fZ/Y1dxRigCl%0a9n9jR9n9jV3FGKAKX2f2NH2f2NXcUYoApfZ/Y0fZ/Y1dxRigCl9n9jR9n9jV3FGKAKX2f2N%0aH2f2NXcUYoApfZ/Y0fZ/Y1dxRigCl9n9jR9n9jV3FGKAKX2f2NH2f2NXcUYoAoR2/7teD0F%0aO+z+xq3GB5afQU7FAFL7P7Gj7P7GruKMUAUvs/saPs/sau4oxQBS+z+xo+z+xq7ijFAFL7P%0a7Gj7P7GruKMUAUI7f92vB6CnfZ/Y1bjA8tPoKdigCl9n9jR9n9jV3FGKAKX2f2NH2f2NXcU%0aYoApfZ/Y0fZ/Y1dxRigCl9n9jThb+1Wwuegpdh9KAK6Q4qUIAKkCGnbBQB//Z"/>
        <xdr:cNvSpPr>
          <a:spLocks noChangeAspect="1" noChangeArrowheads="1"/>
        </xdr:cNvSpPr>
      </xdr:nvSpPr>
      <xdr:spPr>
        <a:xfrm>
          <a:off x="13982700" y="13804900"/>
          <a:ext cx="304800" cy="3016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476249</xdr:colOff>
      <xdr:row>1</xdr:row>
      <xdr:rowOff>19049</xdr:rowOff>
    </xdr:from>
    <xdr:to>
      <xdr:col>20</xdr:col>
      <xdr:colOff>445891</xdr:colOff>
      <xdr:row>14</xdr:row>
      <xdr:rowOff>9525</xdr:rowOff>
    </xdr:to>
    <xdr:pic>
      <xdr:nvPicPr>
        <xdr:cNvPr id="13" name="图片 12"/>
        <xdr:cNvPicPr>
          <a:picLocks noChangeAspect="1"/>
        </xdr:cNvPicPr>
      </xdr:nvPicPr>
      <xdr:blipFill>
        <a:blip r:embed="rId4"/>
        <a:stretch>
          <a:fillRect/>
        </a:stretch>
      </xdr:blipFill>
      <xdr:spPr>
        <a:xfrm>
          <a:off x="11651615" y="196215"/>
          <a:ext cx="3176905" cy="2302510"/>
        </a:xfrm>
        <a:prstGeom prst="rect">
          <a:avLst/>
        </a:prstGeom>
      </xdr:spPr>
    </xdr:pic>
    <xdr:clientData/>
  </xdr:twoCellAnchor>
  <xdr:twoCellAnchor editAs="oneCell">
    <xdr:from>
      <xdr:col>1</xdr:col>
      <xdr:colOff>641350</xdr:colOff>
      <xdr:row>3</xdr:row>
      <xdr:rowOff>98425</xdr:rowOff>
    </xdr:from>
    <xdr:to>
      <xdr:col>12</xdr:col>
      <xdr:colOff>222250</xdr:colOff>
      <xdr:row>13</xdr:row>
      <xdr:rowOff>106727</xdr:rowOff>
    </xdr:to>
    <xdr:pic>
      <xdr:nvPicPr>
        <xdr:cNvPr id="17" name="图片 16"/>
        <xdr:cNvPicPr>
          <a:picLocks noChangeAspect="1"/>
        </xdr:cNvPicPr>
      </xdr:nvPicPr>
      <xdr:blipFill>
        <a:blip r:embed="rId5"/>
        <a:stretch>
          <a:fillRect/>
        </a:stretch>
      </xdr:blipFill>
      <xdr:spPr>
        <a:xfrm>
          <a:off x="1327150" y="631825"/>
          <a:ext cx="7245350" cy="1786255"/>
        </a:xfrm>
        <a:prstGeom prst="rect">
          <a:avLst/>
        </a:prstGeom>
      </xdr:spPr>
    </xdr:pic>
    <xdr:clientData/>
  </xdr:twoCellAnchor>
  <xdr:twoCellAnchor editAs="oneCell">
    <xdr:from>
      <xdr:col>1</xdr:col>
      <xdr:colOff>495300</xdr:colOff>
      <xdr:row>15</xdr:row>
      <xdr:rowOff>47625</xdr:rowOff>
    </xdr:from>
    <xdr:to>
      <xdr:col>13</xdr:col>
      <xdr:colOff>301625</xdr:colOff>
      <xdr:row>26</xdr:row>
      <xdr:rowOff>11093</xdr:rowOff>
    </xdr:to>
    <xdr:pic>
      <xdr:nvPicPr>
        <xdr:cNvPr id="18" name="图片 17"/>
        <xdr:cNvPicPr>
          <a:picLocks noChangeAspect="1"/>
        </xdr:cNvPicPr>
      </xdr:nvPicPr>
      <xdr:blipFill>
        <a:blip r:embed="rId6"/>
        <a:stretch>
          <a:fillRect/>
        </a:stretch>
      </xdr:blipFill>
      <xdr:spPr>
        <a:xfrm>
          <a:off x="1181100" y="2714625"/>
          <a:ext cx="8156575" cy="1918970"/>
        </a:xfrm>
        <a:prstGeom prst="rect">
          <a:avLst/>
        </a:prstGeom>
      </xdr:spPr>
    </xdr:pic>
    <xdr:clientData/>
  </xdr:twoCellAnchor>
  <xdr:twoCellAnchor editAs="oneCell">
    <xdr:from>
      <xdr:col>0</xdr:col>
      <xdr:colOff>635000</xdr:colOff>
      <xdr:row>121</xdr:row>
      <xdr:rowOff>111125</xdr:rowOff>
    </xdr:from>
    <xdr:to>
      <xdr:col>11</xdr:col>
      <xdr:colOff>311150</xdr:colOff>
      <xdr:row>135</xdr:row>
      <xdr:rowOff>96495</xdr:rowOff>
    </xdr:to>
    <xdr:pic>
      <xdr:nvPicPr>
        <xdr:cNvPr id="14" name="图片 13"/>
        <xdr:cNvPicPr>
          <a:picLocks noChangeAspect="1"/>
        </xdr:cNvPicPr>
      </xdr:nvPicPr>
      <xdr:blipFill>
        <a:blip r:embed="rId7"/>
        <a:stretch>
          <a:fillRect/>
        </a:stretch>
      </xdr:blipFill>
      <xdr:spPr>
        <a:xfrm>
          <a:off x="635000" y="21751925"/>
          <a:ext cx="7340600" cy="2473960"/>
        </a:xfrm>
        <a:prstGeom prst="rect">
          <a:avLst/>
        </a:prstGeom>
      </xdr:spPr>
    </xdr:pic>
    <xdr:clientData/>
  </xdr:twoCellAnchor>
  <xdr:twoCellAnchor editAs="oneCell">
    <xdr:from>
      <xdr:col>0</xdr:col>
      <xdr:colOff>619125</xdr:colOff>
      <xdr:row>100</xdr:row>
      <xdr:rowOff>123825</xdr:rowOff>
    </xdr:from>
    <xdr:to>
      <xdr:col>13</xdr:col>
      <xdr:colOff>301625</xdr:colOff>
      <xdr:row>114</xdr:row>
      <xdr:rowOff>114668</xdr:rowOff>
    </xdr:to>
    <xdr:pic>
      <xdr:nvPicPr>
        <xdr:cNvPr id="16" name="图片 15"/>
        <xdr:cNvPicPr>
          <a:picLocks noChangeAspect="1"/>
        </xdr:cNvPicPr>
      </xdr:nvPicPr>
      <xdr:blipFill>
        <a:blip r:embed="rId8"/>
        <a:stretch>
          <a:fillRect/>
        </a:stretch>
      </xdr:blipFill>
      <xdr:spPr>
        <a:xfrm>
          <a:off x="619125" y="18030825"/>
          <a:ext cx="8718550" cy="2479675"/>
        </a:xfrm>
        <a:prstGeom prst="rect">
          <a:avLst/>
        </a:prstGeom>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0</xdr:row>
      <xdr:rowOff>0</xdr:rowOff>
    </xdr:from>
    <xdr:to>
      <xdr:col>14</xdr:col>
      <xdr:colOff>429784</xdr:colOff>
      <xdr:row>20</xdr:row>
      <xdr:rowOff>57728</xdr:rowOff>
    </xdr:to>
    <xdr:pic>
      <xdr:nvPicPr>
        <xdr:cNvPr id="2" name="图片 1"/>
        <xdr:cNvPicPr>
          <a:picLocks noChangeAspect="1"/>
        </xdr:cNvPicPr>
      </xdr:nvPicPr>
      <xdr:blipFill>
        <a:blip r:embed="rId1"/>
        <a:stretch>
          <a:fillRect/>
        </a:stretch>
      </xdr:blipFill>
      <xdr:spPr>
        <a:xfrm>
          <a:off x="0" y="0"/>
          <a:ext cx="11611610" cy="3613150"/>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92D050"/>
  </sheetPr>
  <dimension ref="A1:AE7066"/>
  <sheetViews>
    <sheetView tabSelected="1" zoomScale="70" zoomScaleNormal="70" workbookViewId="0">
      <pane ySplit="1" topLeftCell="A6825" activePane="bottomLeft" state="frozen"/>
      <selection/>
      <selection pane="bottomLeft" activeCell="A1" sqref="$A1:$XFD1"/>
    </sheetView>
  </sheetViews>
  <sheetFormatPr defaultColWidth="8.41666666666667" defaultRowHeight="15" customHeight="1"/>
  <cols>
    <col min="1" max="2" width="10.5833333333333" style="88" customWidth="1"/>
    <col min="3" max="3" width="6.41666666666667" style="88" customWidth="1"/>
    <col min="4" max="4" width="9.16666666666667" style="88" customWidth="1"/>
    <col min="5" max="5" width="25.5833333333333" style="89" customWidth="1"/>
    <col min="6" max="6" width="8.75" style="88" customWidth="1"/>
    <col min="7" max="7" width="8" style="88" customWidth="1"/>
    <col min="8" max="8" width="16.25" style="90" customWidth="1"/>
    <col min="9" max="9" width="13.75" style="90" customWidth="1"/>
    <col min="10" max="10" width="13.25" style="88" customWidth="1"/>
    <col min="11" max="11" width="17.1666666666667" style="88" customWidth="1"/>
    <col min="12" max="12" width="10.5" style="88" customWidth="1"/>
    <col min="13" max="15" width="13" style="88" customWidth="1"/>
    <col min="16" max="17" width="10.75" style="91" customWidth="1"/>
    <col min="18" max="18" width="16.25" style="91" customWidth="1"/>
    <col min="19" max="19" width="8.5" style="92" customWidth="1"/>
    <col min="20" max="20" width="20.8333333333333" style="89" customWidth="1"/>
    <col min="21" max="22" width="12.8333333333333" style="92" customWidth="1"/>
    <col min="23" max="23" width="12" style="92" customWidth="1"/>
    <col min="24" max="25" width="13" style="93" customWidth="1"/>
    <col min="26" max="16384" width="8.41666666666667" style="92"/>
  </cols>
  <sheetData>
    <row r="1" s="8" customFormat="1" customHeight="1" spans="1:25">
      <c r="A1" s="12" t="s">
        <v>0</v>
      </c>
      <c r="B1" s="12" t="s">
        <v>1</v>
      </c>
      <c r="C1" s="12" t="s">
        <v>2</v>
      </c>
      <c r="D1" s="13" t="s">
        <v>3</v>
      </c>
      <c r="E1" s="14" t="s">
        <v>4</v>
      </c>
      <c r="F1" s="12" t="s">
        <v>5</v>
      </c>
      <c r="G1" s="12" t="s">
        <v>6</v>
      </c>
      <c r="H1" s="15" t="s">
        <v>7</v>
      </c>
      <c r="I1" s="46" t="s">
        <v>8</v>
      </c>
      <c r="J1" s="20" t="s">
        <v>9</v>
      </c>
      <c r="K1" s="20" t="s">
        <v>10</v>
      </c>
      <c r="L1" s="20" t="s">
        <v>11</v>
      </c>
      <c r="M1" s="20" t="s">
        <v>12</v>
      </c>
      <c r="N1" s="21" t="s">
        <v>13</v>
      </c>
      <c r="O1" s="20" t="s">
        <v>14</v>
      </c>
      <c r="P1" s="22" t="s">
        <v>15</v>
      </c>
      <c r="Q1" s="22" t="s">
        <v>16</v>
      </c>
      <c r="R1" s="22" t="s">
        <v>17</v>
      </c>
      <c r="S1" s="30" t="s">
        <v>18</v>
      </c>
      <c r="T1" s="31" t="s">
        <v>19</v>
      </c>
      <c r="U1" s="32" t="s">
        <v>20</v>
      </c>
      <c r="V1" s="33" t="s">
        <v>21</v>
      </c>
      <c r="W1" s="34" t="s">
        <v>22</v>
      </c>
      <c r="X1" s="21" t="s">
        <v>23</v>
      </c>
      <c r="Y1" s="21" t="s">
        <v>24</v>
      </c>
    </row>
    <row r="2" s="79" customFormat="1" customHeight="1" spans="1:25">
      <c r="A2" s="94" t="s">
        <v>25</v>
      </c>
      <c r="B2" s="95" t="s">
        <v>26</v>
      </c>
      <c r="C2" s="94" t="s">
        <v>27</v>
      </c>
      <c r="D2" s="95" t="s">
        <v>28</v>
      </c>
      <c r="E2" s="23" t="s">
        <v>29</v>
      </c>
      <c r="F2" s="94" t="s">
        <v>30</v>
      </c>
      <c r="G2" s="96" t="s">
        <v>31</v>
      </c>
      <c r="H2" s="97" t="s">
        <v>32</v>
      </c>
      <c r="I2" s="23" t="e">
        <f>VLOOKUP(H2,'合同综合查询数据（3月返）'!$A:$A,1,FALSE)</f>
        <v>#N/A</v>
      </c>
      <c r="J2" s="24" t="s">
        <v>33</v>
      </c>
      <c r="K2" s="94" t="s">
        <v>34</v>
      </c>
      <c r="L2" s="94" t="s">
        <v>35</v>
      </c>
      <c r="M2" s="94" t="s">
        <v>36</v>
      </c>
      <c r="N2" s="106">
        <v>44682</v>
      </c>
      <c r="O2" s="94" t="s">
        <v>37</v>
      </c>
      <c r="P2" s="107">
        <v>0</v>
      </c>
      <c r="Q2" s="116">
        <v>64</v>
      </c>
      <c r="R2" s="107">
        <f t="shared" ref="R2:R10" si="0">ROUND(P2*Q2,2)</f>
        <v>0</v>
      </c>
      <c r="S2" s="117">
        <v>202303</v>
      </c>
      <c r="T2" s="97" t="s">
        <v>38</v>
      </c>
      <c r="U2" s="97"/>
      <c r="V2" s="97"/>
      <c r="W2" s="97"/>
      <c r="X2" s="118">
        <v>44682</v>
      </c>
      <c r="Y2" s="118">
        <v>45046</v>
      </c>
    </row>
    <row r="3" s="79" customFormat="1" customHeight="1" spans="1:25">
      <c r="A3" s="94" t="s">
        <v>25</v>
      </c>
      <c r="B3" s="95" t="s">
        <v>26</v>
      </c>
      <c r="C3" s="94" t="s">
        <v>39</v>
      </c>
      <c r="D3" s="95" t="s">
        <v>28</v>
      </c>
      <c r="E3" s="23" t="s">
        <v>29</v>
      </c>
      <c r="F3" s="94" t="s">
        <v>30</v>
      </c>
      <c r="G3" s="96" t="s">
        <v>31</v>
      </c>
      <c r="H3" s="97" t="s">
        <v>32</v>
      </c>
      <c r="I3" s="23" t="e">
        <f>VLOOKUP(H3,'合同综合查询数据（3月返）'!$A:$A,1,FALSE)</f>
        <v>#N/A</v>
      </c>
      <c r="J3" s="24" t="s">
        <v>33</v>
      </c>
      <c r="K3" s="94" t="s">
        <v>40</v>
      </c>
      <c r="L3" s="94" t="s">
        <v>41</v>
      </c>
      <c r="M3" s="94" t="s">
        <v>42</v>
      </c>
      <c r="N3" s="106">
        <v>44682</v>
      </c>
      <c r="O3" s="94" t="s">
        <v>37</v>
      </c>
      <c r="P3" s="107">
        <v>0</v>
      </c>
      <c r="Q3" s="116">
        <v>64</v>
      </c>
      <c r="R3" s="107">
        <f t="shared" si="0"/>
        <v>0</v>
      </c>
      <c r="S3" s="117">
        <v>202303</v>
      </c>
      <c r="T3" s="97" t="s">
        <v>43</v>
      </c>
      <c r="U3" s="97"/>
      <c r="V3" s="97"/>
      <c r="W3" s="97"/>
      <c r="X3" s="118">
        <v>44682</v>
      </c>
      <c r="Y3" s="118">
        <v>45046</v>
      </c>
    </row>
    <row r="4" s="79" customFormat="1" customHeight="1" spans="1:25">
      <c r="A4" s="94" t="s">
        <v>25</v>
      </c>
      <c r="B4" s="95" t="s">
        <v>26</v>
      </c>
      <c r="C4" s="94" t="s">
        <v>44</v>
      </c>
      <c r="D4" s="95" t="s">
        <v>28</v>
      </c>
      <c r="E4" s="23" t="s">
        <v>29</v>
      </c>
      <c r="F4" s="94" t="s">
        <v>30</v>
      </c>
      <c r="G4" s="96" t="s">
        <v>31</v>
      </c>
      <c r="H4" s="97" t="s">
        <v>45</v>
      </c>
      <c r="I4" s="23" t="e">
        <f>VLOOKUP(H4,'合同综合查询数据（3月返）'!$A:$A,1,FALSE)</f>
        <v>#N/A</v>
      </c>
      <c r="J4" s="24" t="s">
        <v>33</v>
      </c>
      <c r="K4" s="94" t="s">
        <v>46</v>
      </c>
      <c r="L4" s="94" t="s">
        <v>47</v>
      </c>
      <c r="M4" s="94" t="s">
        <v>48</v>
      </c>
      <c r="N4" s="106">
        <v>44682</v>
      </c>
      <c r="O4" s="94" t="s">
        <v>37</v>
      </c>
      <c r="P4" s="107"/>
      <c r="Q4" s="116">
        <v>64</v>
      </c>
      <c r="R4" s="107">
        <f t="shared" si="0"/>
        <v>0</v>
      </c>
      <c r="S4" s="117">
        <v>202303</v>
      </c>
      <c r="T4" s="97" t="s">
        <v>49</v>
      </c>
      <c r="U4" s="97"/>
      <c r="V4" s="97"/>
      <c r="W4" s="97"/>
      <c r="X4" s="118">
        <v>44835</v>
      </c>
      <c r="Y4" s="118">
        <v>45046</v>
      </c>
    </row>
    <row r="5" s="79" customFormat="1" customHeight="1" spans="1:25">
      <c r="A5" s="94" t="s">
        <v>25</v>
      </c>
      <c r="B5" s="95" t="s">
        <v>26</v>
      </c>
      <c r="C5" s="94" t="s">
        <v>50</v>
      </c>
      <c r="D5" s="95" t="s">
        <v>28</v>
      </c>
      <c r="E5" s="23" t="s">
        <v>29</v>
      </c>
      <c r="F5" s="94" t="s">
        <v>30</v>
      </c>
      <c r="G5" s="96" t="s">
        <v>31</v>
      </c>
      <c r="H5" s="97" t="s">
        <v>45</v>
      </c>
      <c r="I5" s="23" t="e">
        <f>VLOOKUP(H5,'合同综合查询数据（3月返）'!$A:$A,1,FALSE)</f>
        <v>#N/A</v>
      </c>
      <c r="J5" s="24" t="s">
        <v>33</v>
      </c>
      <c r="K5" s="94" t="s">
        <v>51</v>
      </c>
      <c r="L5" s="94" t="s">
        <v>52</v>
      </c>
      <c r="M5" s="94" t="s">
        <v>53</v>
      </c>
      <c r="N5" s="106">
        <v>44682</v>
      </c>
      <c r="O5" s="94" t="s">
        <v>37</v>
      </c>
      <c r="P5" s="107">
        <v>0</v>
      </c>
      <c r="Q5" s="116">
        <v>64</v>
      </c>
      <c r="R5" s="107">
        <f t="shared" si="0"/>
        <v>0</v>
      </c>
      <c r="S5" s="117">
        <v>202303</v>
      </c>
      <c r="T5" s="97" t="s">
        <v>54</v>
      </c>
      <c r="U5" s="97"/>
      <c r="V5" s="97"/>
      <c r="W5" s="97"/>
      <c r="X5" s="118">
        <v>44835</v>
      </c>
      <c r="Y5" s="118">
        <v>45046</v>
      </c>
    </row>
    <row r="6" s="80" customFormat="1" customHeight="1" spans="1:25">
      <c r="A6" s="96" t="s">
        <v>25</v>
      </c>
      <c r="B6" s="95" t="s">
        <v>26</v>
      </c>
      <c r="C6" s="94" t="s">
        <v>44</v>
      </c>
      <c r="D6" s="95" t="s">
        <v>28</v>
      </c>
      <c r="E6" s="23" t="s">
        <v>29</v>
      </c>
      <c r="F6" s="94" t="s">
        <v>30</v>
      </c>
      <c r="G6" s="96" t="s">
        <v>31</v>
      </c>
      <c r="H6" s="97" t="s">
        <v>55</v>
      </c>
      <c r="I6" s="23" t="e">
        <f>VLOOKUP(H6,'合同综合查询数据（3月返）'!$A:$A,1,FALSE)</f>
        <v>#N/A</v>
      </c>
      <c r="J6" s="24" t="s">
        <v>33</v>
      </c>
      <c r="K6" s="94" t="s">
        <v>46</v>
      </c>
      <c r="L6" s="94" t="s">
        <v>56</v>
      </c>
      <c r="M6" s="94" t="s">
        <v>57</v>
      </c>
      <c r="N6" s="106">
        <v>44835</v>
      </c>
      <c r="O6" s="94" t="s">
        <v>37</v>
      </c>
      <c r="P6" s="107">
        <v>0</v>
      </c>
      <c r="Q6" s="116">
        <v>64</v>
      </c>
      <c r="R6" s="119">
        <f t="shared" si="0"/>
        <v>0</v>
      </c>
      <c r="S6" s="117">
        <v>202303</v>
      </c>
      <c r="T6" s="97" t="s">
        <v>58</v>
      </c>
      <c r="U6" s="97"/>
      <c r="V6" s="97"/>
      <c r="W6" s="97"/>
      <c r="X6" s="118">
        <v>44835</v>
      </c>
      <c r="Y6" s="118">
        <v>45046</v>
      </c>
    </row>
    <row r="7" s="80" customFormat="1" customHeight="1" spans="1:25">
      <c r="A7" s="96" t="s">
        <v>25</v>
      </c>
      <c r="B7" s="95" t="s">
        <v>26</v>
      </c>
      <c r="C7" s="94" t="s">
        <v>50</v>
      </c>
      <c r="D7" s="95" t="s">
        <v>28</v>
      </c>
      <c r="E7" s="23" t="s">
        <v>29</v>
      </c>
      <c r="F7" s="94" t="s">
        <v>30</v>
      </c>
      <c r="G7" s="96" t="s">
        <v>31</v>
      </c>
      <c r="H7" s="97" t="s">
        <v>55</v>
      </c>
      <c r="I7" s="23" t="e">
        <f>VLOOKUP(H7,'合同综合查询数据（3月返）'!$A:$A,1,FALSE)</f>
        <v>#N/A</v>
      </c>
      <c r="J7" s="24" t="s">
        <v>33</v>
      </c>
      <c r="K7" s="94" t="s">
        <v>51</v>
      </c>
      <c r="L7" s="94" t="s">
        <v>59</v>
      </c>
      <c r="M7" s="94" t="s">
        <v>53</v>
      </c>
      <c r="N7" s="106">
        <v>44835</v>
      </c>
      <c r="O7" s="94" t="s">
        <v>37</v>
      </c>
      <c r="P7" s="107">
        <v>0</v>
      </c>
      <c r="Q7" s="116">
        <v>64</v>
      </c>
      <c r="R7" s="119">
        <f t="shared" si="0"/>
        <v>0</v>
      </c>
      <c r="S7" s="117">
        <v>202303</v>
      </c>
      <c r="T7" s="97" t="s">
        <v>60</v>
      </c>
      <c r="U7" s="97"/>
      <c r="V7" s="97"/>
      <c r="W7" s="97"/>
      <c r="X7" s="118">
        <v>44835</v>
      </c>
      <c r="Y7" s="118">
        <v>45046</v>
      </c>
    </row>
    <row r="8" s="80" customFormat="1" customHeight="1" spans="1:25">
      <c r="A8" s="94" t="s">
        <v>61</v>
      </c>
      <c r="B8" s="98" t="s">
        <v>62</v>
      </c>
      <c r="C8" s="96" t="s">
        <v>63</v>
      </c>
      <c r="D8" s="96" t="s">
        <v>64</v>
      </c>
      <c r="E8" s="23" t="s">
        <v>65</v>
      </c>
      <c r="F8" s="94" t="s">
        <v>66</v>
      </c>
      <c r="G8" s="99" t="s">
        <v>67</v>
      </c>
      <c r="H8" s="100" t="s">
        <v>68</v>
      </c>
      <c r="I8" s="23" t="e">
        <f>VLOOKUP(H8,'合同综合查询数据（3月返）'!$A:$A,1,FALSE)</f>
        <v>#N/A</v>
      </c>
      <c r="J8" s="99" t="s">
        <v>69</v>
      </c>
      <c r="K8" s="108" t="s">
        <v>70</v>
      </c>
      <c r="L8" s="109"/>
      <c r="M8" s="26"/>
      <c r="N8" s="28">
        <v>44345</v>
      </c>
      <c r="O8" s="109" t="s">
        <v>71</v>
      </c>
      <c r="P8" s="110">
        <v>1730</v>
      </c>
      <c r="Q8" s="120">
        <v>2</v>
      </c>
      <c r="R8" s="120">
        <f t="shared" si="0"/>
        <v>3460</v>
      </c>
      <c r="S8" s="117">
        <v>202303</v>
      </c>
      <c r="T8" s="121" t="s">
        <v>72</v>
      </c>
      <c r="U8" s="121"/>
      <c r="V8" s="122"/>
      <c r="W8" s="122"/>
      <c r="X8" s="118">
        <v>44331</v>
      </c>
      <c r="Y8" s="118">
        <v>45426</v>
      </c>
    </row>
    <row r="9" s="80" customFormat="1" customHeight="1" spans="1:25">
      <c r="A9" s="94" t="s">
        <v>61</v>
      </c>
      <c r="B9" s="98" t="s">
        <v>62</v>
      </c>
      <c r="C9" s="96" t="s">
        <v>63</v>
      </c>
      <c r="D9" s="96" t="s">
        <v>64</v>
      </c>
      <c r="E9" s="23" t="s">
        <v>65</v>
      </c>
      <c r="F9" s="94" t="s">
        <v>66</v>
      </c>
      <c r="G9" s="99" t="s">
        <v>67</v>
      </c>
      <c r="H9" s="100" t="s">
        <v>68</v>
      </c>
      <c r="I9" s="23" t="e">
        <f>VLOOKUP(H9,'合同综合查询数据（3月返）'!$A:$A,1,FALSE)</f>
        <v>#N/A</v>
      </c>
      <c r="J9" s="99" t="s">
        <v>69</v>
      </c>
      <c r="K9" s="108" t="s">
        <v>73</v>
      </c>
      <c r="L9" s="109"/>
      <c r="M9" s="26"/>
      <c r="N9" s="28">
        <v>44345</v>
      </c>
      <c r="O9" s="109" t="s">
        <v>71</v>
      </c>
      <c r="P9" s="110">
        <v>1660</v>
      </c>
      <c r="Q9" s="120">
        <v>1</v>
      </c>
      <c r="R9" s="120">
        <f t="shared" si="0"/>
        <v>1660</v>
      </c>
      <c r="S9" s="117">
        <v>202303</v>
      </c>
      <c r="T9" s="121" t="s">
        <v>74</v>
      </c>
      <c r="U9" s="121"/>
      <c r="V9" s="123"/>
      <c r="W9" s="123"/>
      <c r="X9" s="118">
        <v>44331</v>
      </c>
      <c r="Y9" s="118">
        <v>45426</v>
      </c>
    </row>
    <row r="10" s="80" customFormat="1" customHeight="1" spans="1:25">
      <c r="A10" s="94" t="s">
        <v>61</v>
      </c>
      <c r="B10" s="98" t="s">
        <v>62</v>
      </c>
      <c r="C10" s="96" t="s">
        <v>63</v>
      </c>
      <c r="D10" s="96" t="s">
        <v>75</v>
      </c>
      <c r="E10" s="23" t="s">
        <v>76</v>
      </c>
      <c r="F10" s="94" t="s">
        <v>77</v>
      </c>
      <c r="G10" s="99" t="s">
        <v>78</v>
      </c>
      <c r="H10" s="100" t="s">
        <v>79</v>
      </c>
      <c r="I10" s="23" t="e">
        <f>VLOOKUP(H10,'合同综合查询数据（3月返）'!$A:$A,1,FALSE)</f>
        <v>#N/A</v>
      </c>
      <c r="J10" s="99" t="s">
        <v>80</v>
      </c>
      <c r="K10" s="108" t="s">
        <v>81</v>
      </c>
      <c r="L10" s="109"/>
      <c r="M10" s="26"/>
      <c r="N10" s="28">
        <v>44348</v>
      </c>
      <c r="O10" s="109"/>
      <c r="P10" s="110">
        <f>160/1.09*1.06</f>
        <v>155.596330275229</v>
      </c>
      <c r="Q10" s="120">
        <v>55</v>
      </c>
      <c r="R10" s="120">
        <f t="shared" si="0"/>
        <v>8557.8</v>
      </c>
      <c r="S10" s="117">
        <v>202303</v>
      </c>
      <c r="T10" s="121" t="s">
        <v>82</v>
      </c>
      <c r="U10" s="121"/>
      <c r="V10" s="123"/>
      <c r="W10" s="123"/>
      <c r="X10" s="118">
        <v>43714</v>
      </c>
      <c r="Y10" s="118">
        <v>45163</v>
      </c>
    </row>
    <row r="11" s="80" customFormat="1" customHeight="1" spans="1:25">
      <c r="A11" s="94" t="s">
        <v>61</v>
      </c>
      <c r="B11" s="98" t="s">
        <v>62</v>
      </c>
      <c r="C11" s="96" t="s">
        <v>63</v>
      </c>
      <c r="D11" s="96" t="s">
        <v>75</v>
      </c>
      <c r="E11" s="23" t="s">
        <v>76</v>
      </c>
      <c r="F11" s="94" t="s">
        <v>77</v>
      </c>
      <c r="G11" s="99" t="s">
        <v>78</v>
      </c>
      <c r="H11" s="100" t="s">
        <v>79</v>
      </c>
      <c r="I11" s="23" t="e">
        <f>VLOOKUP(H11,'合同综合查询数据（3月返）'!$A:$A,1,FALSE)</f>
        <v>#N/A</v>
      </c>
      <c r="J11" s="99" t="s">
        <v>80</v>
      </c>
      <c r="K11" s="108" t="s">
        <v>81</v>
      </c>
      <c r="L11" s="109"/>
      <c r="M11" s="26"/>
      <c r="N11" s="28">
        <v>44348</v>
      </c>
      <c r="O11" s="109"/>
      <c r="P11" s="110">
        <f>160/1.09*1.06</f>
        <v>155.596330275229</v>
      </c>
      <c r="Q11" s="120">
        <v>107.2</v>
      </c>
      <c r="R11" s="120">
        <f>ROUND(P11*Q11,2)-0.01</f>
        <v>16679.92</v>
      </c>
      <c r="S11" s="117">
        <v>202303</v>
      </c>
      <c r="T11" s="121" t="s">
        <v>82</v>
      </c>
      <c r="U11" s="121"/>
      <c r="V11" s="123"/>
      <c r="W11" s="123"/>
      <c r="X11" s="118">
        <v>43714</v>
      </c>
      <c r="Y11" s="118">
        <v>45163</v>
      </c>
    </row>
    <row r="12" s="80" customFormat="1" customHeight="1" spans="1:25">
      <c r="A12" s="94" t="s">
        <v>61</v>
      </c>
      <c r="B12" s="96" t="s">
        <v>83</v>
      </c>
      <c r="C12" s="96" t="s">
        <v>84</v>
      </c>
      <c r="D12" s="96" t="s">
        <v>85</v>
      </c>
      <c r="E12" s="23" t="s">
        <v>86</v>
      </c>
      <c r="F12" s="94" t="s">
        <v>87</v>
      </c>
      <c r="G12" s="99" t="s">
        <v>88</v>
      </c>
      <c r="H12" s="100" t="s">
        <v>89</v>
      </c>
      <c r="I12" s="23" t="e">
        <f>VLOOKUP(H12,'合同综合查询数据（3月返）'!$A:$A,1,FALSE)</f>
        <v>#N/A</v>
      </c>
      <c r="J12" s="99" t="s">
        <v>90</v>
      </c>
      <c r="K12" s="108"/>
      <c r="L12" s="109"/>
      <c r="M12" s="26" t="s">
        <v>91</v>
      </c>
      <c r="N12" s="28">
        <v>43313</v>
      </c>
      <c r="O12" s="109" t="s">
        <v>92</v>
      </c>
      <c r="P12" s="110">
        <v>5000</v>
      </c>
      <c r="Q12" s="120">
        <v>2</v>
      </c>
      <c r="R12" s="120">
        <f>P12*Q12</f>
        <v>10000</v>
      </c>
      <c r="S12" s="117">
        <v>202303</v>
      </c>
      <c r="T12" s="121" t="s">
        <v>93</v>
      </c>
      <c r="U12" s="121"/>
      <c r="V12" s="123"/>
      <c r="W12" s="123"/>
      <c r="X12" s="118">
        <v>44044</v>
      </c>
      <c r="Y12" s="118">
        <v>45138</v>
      </c>
    </row>
    <row r="13" s="80" customFormat="1" customHeight="1" spans="1:25">
      <c r="A13" s="94" t="s">
        <v>61</v>
      </c>
      <c r="B13" s="96" t="s">
        <v>83</v>
      </c>
      <c r="C13" s="96" t="s">
        <v>84</v>
      </c>
      <c r="D13" s="96" t="s">
        <v>85</v>
      </c>
      <c r="E13" s="23" t="s">
        <v>86</v>
      </c>
      <c r="F13" s="94" t="s">
        <v>87</v>
      </c>
      <c r="G13" s="99" t="s">
        <v>67</v>
      </c>
      <c r="H13" s="100" t="s">
        <v>89</v>
      </c>
      <c r="I13" s="23" t="e">
        <f>VLOOKUP(H13,'合同综合查询数据（3月返）'!$A:$A,1,FALSE)</f>
        <v>#N/A</v>
      </c>
      <c r="J13" s="99" t="s">
        <v>69</v>
      </c>
      <c r="K13" s="108" t="s">
        <v>94</v>
      </c>
      <c r="L13" s="109"/>
      <c r="M13" s="26"/>
      <c r="N13" s="28">
        <v>43819</v>
      </c>
      <c r="O13" s="109" t="s">
        <v>71</v>
      </c>
      <c r="P13" s="110">
        <v>500</v>
      </c>
      <c r="Q13" s="120">
        <v>1</v>
      </c>
      <c r="R13" s="120">
        <f t="shared" ref="R13:R44" si="1">ROUND(P13*Q13,2)</f>
        <v>500</v>
      </c>
      <c r="S13" s="117">
        <v>202303</v>
      </c>
      <c r="T13" s="121" t="s">
        <v>95</v>
      </c>
      <c r="U13" s="121"/>
      <c r="V13" s="123"/>
      <c r="W13" s="123"/>
      <c r="X13" s="118">
        <v>44044</v>
      </c>
      <c r="Y13" s="118">
        <v>45138</v>
      </c>
    </row>
    <row r="14" s="80" customFormat="1" customHeight="1" spans="1:25">
      <c r="A14" s="94" t="s">
        <v>61</v>
      </c>
      <c r="B14" s="96" t="s">
        <v>83</v>
      </c>
      <c r="C14" s="96" t="s">
        <v>84</v>
      </c>
      <c r="D14" s="96" t="s">
        <v>85</v>
      </c>
      <c r="E14" s="23" t="s">
        <v>86</v>
      </c>
      <c r="F14" s="94" t="s">
        <v>87</v>
      </c>
      <c r="G14" s="99" t="s">
        <v>67</v>
      </c>
      <c r="H14" s="100" t="s">
        <v>89</v>
      </c>
      <c r="I14" s="23" t="e">
        <f>VLOOKUP(H14,'合同综合查询数据（3月返）'!$A:$A,1,FALSE)</f>
        <v>#N/A</v>
      </c>
      <c r="J14" s="99" t="s">
        <v>69</v>
      </c>
      <c r="K14" s="108"/>
      <c r="L14" s="109"/>
      <c r="M14" s="26"/>
      <c r="N14" s="28">
        <v>44805</v>
      </c>
      <c r="O14" s="109" t="s">
        <v>71</v>
      </c>
      <c r="P14" s="110">
        <v>500</v>
      </c>
      <c r="Q14" s="120">
        <v>1</v>
      </c>
      <c r="R14" s="120">
        <f t="shared" si="1"/>
        <v>500</v>
      </c>
      <c r="S14" s="117">
        <v>202303</v>
      </c>
      <c r="T14" s="121" t="s">
        <v>96</v>
      </c>
      <c r="U14" s="121"/>
      <c r="V14" s="123"/>
      <c r="W14" s="123"/>
      <c r="X14" s="118">
        <v>44044</v>
      </c>
      <c r="Y14" s="118">
        <v>45138</v>
      </c>
    </row>
    <row r="15" s="80" customFormat="1" customHeight="1" spans="1:25">
      <c r="A15" s="94" t="s">
        <v>61</v>
      </c>
      <c r="B15" s="96" t="s">
        <v>83</v>
      </c>
      <c r="C15" s="96" t="s">
        <v>84</v>
      </c>
      <c r="D15" s="96" t="s">
        <v>85</v>
      </c>
      <c r="E15" s="23" t="s">
        <v>86</v>
      </c>
      <c r="F15" s="94" t="s">
        <v>87</v>
      </c>
      <c r="G15" s="99" t="s">
        <v>67</v>
      </c>
      <c r="H15" s="100" t="s">
        <v>89</v>
      </c>
      <c r="I15" s="23" t="e">
        <f>VLOOKUP(H15,'合同综合查询数据（3月返）'!$A:$A,1,FALSE)</f>
        <v>#N/A</v>
      </c>
      <c r="J15" s="99" t="s">
        <v>69</v>
      </c>
      <c r="K15" s="108"/>
      <c r="L15" s="109"/>
      <c r="M15" s="26"/>
      <c r="N15" s="28">
        <v>44805</v>
      </c>
      <c r="O15" s="109" t="s">
        <v>71</v>
      </c>
      <c r="P15" s="110">
        <v>500</v>
      </c>
      <c r="Q15" s="120">
        <v>1</v>
      </c>
      <c r="R15" s="120">
        <f t="shared" si="1"/>
        <v>500</v>
      </c>
      <c r="S15" s="117">
        <v>202303</v>
      </c>
      <c r="T15" s="121" t="s">
        <v>97</v>
      </c>
      <c r="U15" s="121"/>
      <c r="V15" s="123"/>
      <c r="W15" s="123"/>
      <c r="X15" s="118">
        <v>44044</v>
      </c>
      <c r="Y15" s="118">
        <v>45138</v>
      </c>
    </row>
    <row r="16" s="80" customFormat="1" customHeight="1" spans="1:25">
      <c r="A16" s="94" t="s">
        <v>61</v>
      </c>
      <c r="B16" s="96" t="s">
        <v>83</v>
      </c>
      <c r="C16" s="96" t="s">
        <v>84</v>
      </c>
      <c r="D16" s="96" t="s">
        <v>85</v>
      </c>
      <c r="E16" s="23" t="s">
        <v>86</v>
      </c>
      <c r="F16" s="94" t="s">
        <v>87</v>
      </c>
      <c r="G16" s="99" t="s">
        <v>67</v>
      </c>
      <c r="H16" s="100" t="s">
        <v>89</v>
      </c>
      <c r="I16" s="23" t="e">
        <f>VLOOKUP(H16,'合同综合查询数据（3月返）'!$A:$A,1,FALSE)</f>
        <v>#N/A</v>
      </c>
      <c r="J16" s="99" t="s">
        <v>69</v>
      </c>
      <c r="K16" s="108"/>
      <c r="L16" s="109"/>
      <c r="M16" s="26"/>
      <c r="N16" s="28">
        <v>44805</v>
      </c>
      <c r="O16" s="109" t="s">
        <v>71</v>
      </c>
      <c r="P16" s="110">
        <v>500</v>
      </c>
      <c r="Q16" s="120">
        <v>1</v>
      </c>
      <c r="R16" s="120">
        <f t="shared" si="1"/>
        <v>500</v>
      </c>
      <c r="S16" s="117">
        <v>202303</v>
      </c>
      <c r="T16" s="121" t="s">
        <v>98</v>
      </c>
      <c r="U16" s="121"/>
      <c r="V16" s="123"/>
      <c r="W16" s="123"/>
      <c r="X16" s="118">
        <v>44044</v>
      </c>
      <c r="Y16" s="118">
        <v>45138</v>
      </c>
    </row>
    <row r="17" s="80" customFormat="1" customHeight="1" spans="1:25">
      <c r="A17" s="94" t="s">
        <v>61</v>
      </c>
      <c r="B17" s="96" t="s">
        <v>83</v>
      </c>
      <c r="C17" s="96" t="s">
        <v>84</v>
      </c>
      <c r="D17" s="96" t="s">
        <v>85</v>
      </c>
      <c r="E17" s="23" t="s">
        <v>86</v>
      </c>
      <c r="F17" s="94" t="s">
        <v>87</v>
      </c>
      <c r="G17" s="99" t="s">
        <v>67</v>
      </c>
      <c r="H17" s="100" t="s">
        <v>89</v>
      </c>
      <c r="I17" s="23" t="e">
        <f>VLOOKUP(H17,'合同综合查询数据（3月返）'!$A:$A,1,FALSE)</f>
        <v>#N/A</v>
      </c>
      <c r="J17" s="99" t="s">
        <v>69</v>
      </c>
      <c r="K17" s="108"/>
      <c r="L17" s="109"/>
      <c r="M17" s="26"/>
      <c r="N17" s="28">
        <v>44805</v>
      </c>
      <c r="O17" s="109" t="s">
        <v>71</v>
      </c>
      <c r="P17" s="110">
        <v>500</v>
      </c>
      <c r="Q17" s="120">
        <v>1</v>
      </c>
      <c r="R17" s="120">
        <f t="shared" si="1"/>
        <v>500</v>
      </c>
      <c r="S17" s="117">
        <v>202303</v>
      </c>
      <c r="T17" s="121" t="s">
        <v>99</v>
      </c>
      <c r="U17" s="121"/>
      <c r="V17" s="123"/>
      <c r="W17" s="123"/>
      <c r="X17" s="118">
        <v>44044</v>
      </c>
      <c r="Y17" s="118">
        <v>45138</v>
      </c>
    </row>
    <row r="18" s="80" customFormat="1" customHeight="1" spans="1:25">
      <c r="A18" s="94" t="s">
        <v>61</v>
      </c>
      <c r="B18" s="96" t="s">
        <v>83</v>
      </c>
      <c r="C18" s="96" t="s">
        <v>84</v>
      </c>
      <c r="D18" s="96" t="s">
        <v>85</v>
      </c>
      <c r="E18" s="23" t="s">
        <v>86</v>
      </c>
      <c r="F18" s="94" t="s">
        <v>87</v>
      </c>
      <c r="G18" s="99" t="s">
        <v>67</v>
      </c>
      <c r="H18" s="100" t="s">
        <v>89</v>
      </c>
      <c r="I18" s="23" t="e">
        <f>VLOOKUP(H18,'合同综合查询数据（3月返）'!$A:$A,1,FALSE)</f>
        <v>#N/A</v>
      </c>
      <c r="J18" s="99" t="s">
        <v>69</v>
      </c>
      <c r="K18" s="108"/>
      <c r="L18" s="109"/>
      <c r="M18" s="26"/>
      <c r="N18" s="28">
        <v>44805</v>
      </c>
      <c r="O18" s="109" t="s">
        <v>71</v>
      </c>
      <c r="P18" s="110">
        <v>500</v>
      </c>
      <c r="Q18" s="120">
        <v>1</v>
      </c>
      <c r="R18" s="120">
        <f t="shared" si="1"/>
        <v>500</v>
      </c>
      <c r="S18" s="117">
        <v>202303</v>
      </c>
      <c r="T18" s="121" t="s">
        <v>100</v>
      </c>
      <c r="U18" s="121"/>
      <c r="V18" s="123"/>
      <c r="W18" s="123"/>
      <c r="X18" s="118">
        <v>44044</v>
      </c>
      <c r="Y18" s="118">
        <v>45138</v>
      </c>
    </row>
    <row r="19" s="80" customFormat="1" customHeight="1" spans="1:25">
      <c r="A19" s="94" t="s">
        <v>61</v>
      </c>
      <c r="B19" s="96" t="s">
        <v>83</v>
      </c>
      <c r="C19" s="96" t="s">
        <v>84</v>
      </c>
      <c r="D19" s="96" t="s">
        <v>85</v>
      </c>
      <c r="E19" s="23" t="s">
        <v>86</v>
      </c>
      <c r="F19" s="94" t="s">
        <v>87</v>
      </c>
      <c r="G19" s="99" t="s">
        <v>67</v>
      </c>
      <c r="H19" s="100" t="s">
        <v>89</v>
      </c>
      <c r="I19" s="23" t="e">
        <f>VLOOKUP(H19,'合同综合查询数据（3月返）'!$A:$A,1,FALSE)</f>
        <v>#N/A</v>
      </c>
      <c r="J19" s="99" t="s">
        <v>69</v>
      </c>
      <c r="K19" s="108"/>
      <c r="L19" s="109"/>
      <c r="M19" s="26"/>
      <c r="N19" s="28">
        <v>44805</v>
      </c>
      <c r="O19" s="109" t="s">
        <v>71</v>
      </c>
      <c r="P19" s="110">
        <v>500</v>
      </c>
      <c r="Q19" s="120">
        <v>1</v>
      </c>
      <c r="R19" s="120">
        <f t="shared" si="1"/>
        <v>500</v>
      </c>
      <c r="S19" s="117">
        <v>202303</v>
      </c>
      <c r="T19" s="121" t="s">
        <v>101</v>
      </c>
      <c r="U19" s="121"/>
      <c r="V19" s="123"/>
      <c r="W19" s="123"/>
      <c r="X19" s="118">
        <v>44044</v>
      </c>
      <c r="Y19" s="118">
        <v>45138</v>
      </c>
    </row>
    <row r="20" s="80" customFormat="1" customHeight="1" spans="1:25">
      <c r="A20" s="94" t="s">
        <v>61</v>
      </c>
      <c r="B20" s="96" t="s">
        <v>83</v>
      </c>
      <c r="C20" s="96" t="s">
        <v>84</v>
      </c>
      <c r="D20" s="96" t="s">
        <v>85</v>
      </c>
      <c r="E20" s="23" t="s">
        <v>86</v>
      </c>
      <c r="F20" s="94" t="s">
        <v>87</v>
      </c>
      <c r="G20" s="99" t="s">
        <v>67</v>
      </c>
      <c r="H20" s="100" t="s">
        <v>89</v>
      </c>
      <c r="I20" s="23" t="e">
        <f>VLOOKUP(H20,'合同综合查询数据（3月返）'!$A:$A,1,FALSE)</f>
        <v>#N/A</v>
      </c>
      <c r="J20" s="99" t="s">
        <v>69</v>
      </c>
      <c r="K20" s="108"/>
      <c r="L20" s="109"/>
      <c r="M20" s="26"/>
      <c r="N20" s="28">
        <v>44805</v>
      </c>
      <c r="O20" s="109" t="s">
        <v>71</v>
      </c>
      <c r="P20" s="110">
        <v>500</v>
      </c>
      <c r="Q20" s="120">
        <v>1</v>
      </c>
      <c r="R20" s="120">
        <f t="shared" si="1"/>
        <v>500</v>
      </c>
      <c r="S20" s="117">
        <v>202303</v>
      </c>
      <c r="T20" s="121" t="s">
        <v>102</v>
      </c>
      <c r="U20" s="121"/>
      <c r="V20" s="123"/>
      <c r="W20" s="123"/>
      <c r="X20" s="118">
        <v>44044</v>
      </c>
      <c r="Y20" s="118">
        <v>45138</v>
      </c>
    </row>
    <row r="21" s="80" customFormat="1" customHeight="1" spans="1:25">
      <c r="A21" s="94" t="s">
        <v>61</v>
      </c>
      <c r="B21" s="96" t="s">
        <v>83</v>
      </c>
      <c r="C21" s="96" t="s">
        <v>84</v>
      </c>
      <c r="D21" s="96" t="s">
        <v>85</v>
      </c>
      <c r="E21" s="23" t="s">
        <v>86</v>
      </c>
      <c r="F21" s="94" t="s">
        <v>87</v>
      </c>
      <c r="G21" s="99" t="s">
        <v>67</v>
      </c>
      <c r="H21" s="100" t="s">
        <v>89</v>
      </c>
      <c r="I21" s="23" t="e">
        <f>VLOOKUP(H21,'合同综合查询数据（3月返）'!$A:$A,1,FALSE)</f>
        <v>#N/A</v>
      </c>
      <c r="J21" s="99" t="s">
        <v>69</v>
      </c>
      <c r="K21" s="108"/>
      <c r="L21" s="109"/>
      <c r="M21" s="26"/>
      <c r="N21" s="28">
        <v>44805</v>
      </c>
      <c r="O21" s="109" t="s">
        <v>71</v>
      </c>
      <c r="P21" s="110">
        <v>500</v>
      </c>
      <c r="Q21" s="120">
        <v>1</v>
      </c>
      <c r="R21" s="120">
        <f t="shared" si="1"/>
        <v>500</v>
      </c>
      <c r="S21" s="117">
        <v>202303</v>
      </c>
      <c r="T21" s="121" t="s">
        <v>103</v>
      </c>
      <c r="U21" s="121"/>
      <c r="V21" s="123"/>
      <c r="W21" s="123"/>
      <c r="X21" s="118">
        <v>44044</v>
      </c>
      <c r="Y21" s="118">
        <v>45138</v>
      </c>
    </row>
    <row r="22" s="80" customFormat="1" customHeight="1" spans="1:25">
      <c r="A22" s="94" t="s">
        <v>61</v>
      </c>
      <c r="B22" s="96" t="s">
        <v>83</v>
      </c>
      <c r="C22" s="96" t="s">
        <v>84</v>
      </c>
      <c r="D22" s="96" t="s">
        <v>85</v>
      </c>
      <c r="E22" s="23" t="s">
        <v>86</v>
      </c>
      <c r="F22" s="94" t="s">
        <v>87</v>
      </c>
      <c r="G22" s="99" t="s">
        <v>67</v>
      </c>
      <c r="H22" s="100" t="s">
        <v>89</v>
      </c>
      <c r="I22" s="23" t="e">
        <f>VLOOKUP(H22,'合同综合查询数据（3月返）'!$A:$A,1,FALSE)</f>
        <v>#N/A</v>
      </c>
      <c r="J22" s="99" t="s">
        <v>69</v>
      </c>
      <c r="K22" s="108"/>
      <c r="L22" s="109"/>
      <c r="M22" s="26"/>
      <c r="N22" s="28">
        <v>44805</v>
      </c>
      <c r="O22" s="109" t="s">
        <v>71</v>
      </c>
      <c r="P22" s="110">
        <v>500</v>
      </c>
      <c r="Q22" s="120">
        <v>1</v>
      </c>
      <c r="R22" s="120">
        <f t="shared" si="1"/>
        <v>500</v>
      </c>
      <c r="S22" s="117">
        <v>202303</v>
      </c>
      <c r="T22" s="121" t="s">
        <v>104</v>
      </c>
      <c r="U22" s="121"/>
      <c r="V22" s="123"/>
      <c r="W22" s="123"/>
      <c r="X22" s="118">
        <v>44044</v>
      </c>
      <c r="Y22" s="118">
        <v>45138</v>
      </c>
    </row>
    <row r="23" s="80" customFormat="1" customHeight="1" spans="1:25">
      <c r="A23" s="94" t="s">
        <v>61</v>
      </c>
      <c r="B23" s="96" t="s">
        <v>83</v>
      </c>
      <c r="C23" s="96" t="s">
        <v>84</v>
      </c>
      <c r="D23" s="96" t="s">
        <v>85</v>
      </c>
      <c r="E23" s="23" t="s">
        <v>86</v>
      </c>
      <c r="F23" s="94" t="s">
        <v>87</v>
      </c>
      <c r="G23" s="99" t="s">
        <v>67</v>
      </c>
      <c r="H23" s="100" t="s">
        <v>89</v>
      </c>
      <c r="I23" s="23" t="e">
        <f>VLOOKUP(H23,'合同综合查询数据（3月返）'!$A:$A,1,FALSE)</f>
        <v>#N/A</v>
      </c>
      <c r="J23" s="99" t="s">
        <v>69</v>
      </c>
      <c r="K23" s="108"/>
      <c r="L23" s="109"/>
      <c r="M23" s="26"/>
      <c r="N23" s="28">
        <v>44805</v>
      </c>
      <c r="O23" s="109" t="s">
        <v>71</v>
      </c>
      <c r="P23" s="110">
        <v>500</v>
      </c>
      <c r="Q23" s="120">
        <v>1</v>
      </c>
      <c r="R23" s="120">
        <f t="shared" si="1"/>
        <v>500</v>
      </c>
      <c r="S23" s="117">
        <v>202303</v>
      </c>
      <c r="T23" s="121" t="s">
        <v>105</v>
      </c>
      <c r="U23" s="121"/>
      <c r="V23" s="123"/>
      <c r="W23" s="123"/>
      <c r="X23" s="118">
        <v>44044</v>
      </c>
      <c r="Y23" s="118">
        <v>45138</v>
      </c>
    </row>
    <row r="24" s="80" customFormat="1" customHeight="1" spans="1:25">
      <c r="A24" s="94" t="s">
        <v>61</v>
      </c>
      <c r="B24" s="96" t="s">
        <v>83</v>
      </c>
      <c r="C24" s="96" t="s">
        <v>84</v>
      </c>
      <c r="D24" s="96" t="s">
        <v>85</v>
      </c>
      <c r="E24" s="23" t="s">
        <v>86</v>
      </c>
      <c r="F24" s="94" t="s">
        <v>87</v>
      </c>
      <c r="G24" s="99" t="s">
        <v>67</v>
      </c>
      <c r="H24" s="100" t="s">
        <v>89</v>
      </c>
      <c r="I24" s="23" t="e">
        <f>VLOOKUP(H24,'合同综合查询数据（3月返）'!$A:$A,1,FALSE)</f>
        <v>#N/A</v>
      </c>
      <c r="J24" s="99" t="s">
        <v>69</v>
      </c>
      <c r="K24" s="108"/>
      <c r="L24" s="109"/>
      <c r="M24" s="26"/>
      <c r="N24" s="28">
        <v>44805</v>
      </c>
      <c r="O24" s="109" t="s">
        <v>71</v>
      </c>
      <c r="P24" s="110">
        <v>500</v>
      </c>
      <c r="Q24" s="120">
        <v>1</v>
      </c>
      <c r="R24" s="120">
        <f t="shared" si="1"/>
        <v>500</v>
      </c>
      <c r="S24" s="117">
        <v>202303</v>
      </c>
      <c r="T24" s="121" t="s">
        <v>106</v>
      </c>
      <c r="U24" s="121"/>
      <c r="V24" s="123"/>
      <c r="W24" s="123"/>
      <c r="X24" s="118">
        <v>44044</v>
      </c>
      <c r="Y24" s="118">
        <v>45138</v>
      </c>
    </row>
    <row r="25" s="80" customFormat="1" customHeight="1" spans="1:25">
      <c r="A25" s="94" t="s">
        <v>61</v>
      </c>
      <c r="B25" s="96" t="s">
        <v>83</v>
      </c>
      <c r="C25" s="96" t="s">
        <v>84</v>
      </c>
      <c r="D25" s="96" t="s">
        <v>85</v>
      </c>
      <c r="E25" s="23" t="s">
        <v>86</v>
      </c>
      <c r="F25" s="94" t="s">
        <v>87</v>
      </c>
      <c r="G25" s="99" t="s">
        <v>67</v>
      </c>
      <c r="H25" s="100" t="s">
        <v>89</v>
      </c>
      <c r="I25" s="23" t="e">
        <f>VLOOKUP(H25,'合同综合查询数据（3月返）'!$A:$A,1,FALSE)</f>
        <v>#N/A</v>
      </c>
      <c r="J25" s="99" t="s">
        <v>69</v>
      </c>
      <c r="K25" s="108"/>
      <c r="L25" s="109"/>
      <c r="M25" s="26"/>
      <c r="N25" s="28">
        <v>44805</v>
      </c>
      <c r="O25" s="109" t="s">
        <v>71</v>
      </c>
      <c r="P25" s="110">
        <v>500</v>
      </c>
      <c r="Q25" s="120">
        <v>1</v>
      </c>
      <c r="R25" s="120">
        <f t="shared" si="1"/>
        <v>500</v>
      </c>
      <c r="S25" s="117">
        <v>202303</v>
      </c>
      <c r="T25" s="121" t="s">
        <v>107</v>
      </c>
      <c r="U25" s="121"/>
      <c r="V25" s="123"/>
      <c r="W25" s="123"/>
      <c r="X25" s="118">
        <v>44044</v>
      </c>
      <c r="Y25" s="118">
        <v>45138</v>
      </c>
    </row>
    <row r="26" s="80" customFormat="1" ht="14.5" customHeight="1" spans="1:25">
      <c r="A26" s="94" t="s">
        <v>61</v>
      </c>
      <c r="B26" s="96" t="s">
        <v>83</v>
      </c>
      <c r="C26" s="96" t="s">
        <v>84</v>
      </c>
      <c r="D26" s="96" t="s">
        <v>85</v>
      </c>
      <c r="E26" s="23" t="s">
        <v>86</v>
      </c>
      <c r="F26" s="94" t="s">
        <v>87</v>
      </c>
      <c r="G26" s="99" t="s">
        <v>67</v>
      </c>
      <c r="H26" s="100" t="s">
        <v>89</v>
      </c>
      <c r="I26" s="23" t="e">
        <f>VLOOKUP(H26,'合同综合查询数据（3月返）'!$A:$A,1,FALSE)</f>
        <v>#N/A</v>
      </c>
      <c r="J26" s="99" t="s">
        <v>69</v>
      </c>
      <c r="K26" s="108"/>
      <c r="L26" s="109"/>
      <c r="M26" s="26"/>
      <c r="N26" s="28">
        <v>44971</v>
      </c>
      <c r="O26" s="109" t="s">
        <v>71</v>
      </c>
      <c r="P26" s="110">
        <v>500</v>
      </c>
      <c r="Q26" s="120">
        <v>2</v>
      </c>
      <c r="R26" s="120">
        <f t="shared" si="1"/>
        <v>1000</v>
      </c>
      <c r="S26" s="117">
        <v>202303</v>
      </c>
      <c r="T26" s="121" t="s">
        <v>108</v>
      </c>
      <c r="U26" s="121"/>
      <c r="V26" s="123"/>
      <c r="W26" s="123"/>
      <c r="X26" s="118">
        <v>44044</v>
      </c>
      <c r="Y26" s="118">
        <v>45138</v>
      </c>
    </row>
    <row r="27" s="81" customFormat="1" customHeight="1" spans="1:25">
      <c r="A27" s="62" t="s">
        <v>109</v>
      </c>
      <c r="B27" s="101" t="s">
        <v>26</v>
      </c>
      <c r="C27" s="62" t="s">
        <v>110</v>
      </c>
      <c r="D27" s="101" t="s">
        <v>28</v>
      </c>
      <c r="E27" s="47" t="s">
        <v>111</v>
      </c>
      <c r="F27" s="62" t="s">
        <v>112</v>
      </c>
      <c r="G27" s="60" t="s">
        <v>31</v>
      </c>
      <c r="H27" s="102" t="s">
        <v>113</v>
      </c>
      <c r="I27" s="47" t="e">
        <f>VLOOKUP(H27,'合同综合查询数据（3月返）'!$A:$A,1,FALSE)</f>
        <v>#N/A</v>
      </c>
      <c r="J27" s="48" t="s">
        <v>33</v>
      </c>
      <c r="K27" s="62" t="s">
        <v>114</v>
      </c>
      <c r="L27" s="62" t="s">
        <v>115</v>
      </c>
      <c r="M27" s="62" t="s">
        <v>116</v>
      </c>
      <c r="N27" s="111">
        <v>44805</v>
      </c>
      <c r="O27" s="62" t="s">
        <v>37</v>
      </c>
      <c r="P27" s="112">
        <v>0</v>
      </c>
      <c r="Q27" s="124">
        <v>64</v>
      </c>
      <c r="R27" s="112">
        <f t="shared" si="1"/>
        <v>0</v>
      </c>
      <c r="S27" s="70">
        <v>202303</v>
      </c>
      <c r="T27" s="102" t="s">
        <v>117</v>
      </c>
      <c r="U27" s="102"/>
      <c r="V27" s="102"/>
      <c r="W27" s="102"/>
      <c r="X27" s="73"/>
      <c r="Y27" s="73"/>
    </row>
    <row r="28" s="81" customFormat="1" customHeight="1" spans="1:25">
      <c r="A28" s="103" t="s">
        <v>109</v>
      </c>
      <c r="B28" s="101" t="s">
        <v>26</v>
      </c>
      <c r="C28" s="62" t="s">
        <v>118</v>
      </c>
      <c r="D28" s="101" t="s">
        <v>28</v>
      </c>
      <c r="E28" s="63" t="s">
        <v>119</v>
      </c>
      <c r="F28" s="60" t="s">
        <v>120</v>
      </c>
      <c r="G28" s="60" t="s">
        <v>31</v>
      </c>
      <c r="H28" s="45" t="s">
        <v>121</v>
      </c>
      <c r="I28" s="47" t="e">
        <f>VLOOKUP(H28,'合同综合查询数据（3月返）'!$A:$A,1,FALSE)</f>
        <v>#N/A</v>
      </c>
      <c r="J28" s="48" t="s">
        <v>33</v>
      </c>
      <c r="K28" s="60" t="s">
        <v>122</v>
      </c>
      <c r="L28" s="113" t="s">
        <v>123</v>
      </c>
      <c r="M28" s="50" t="s">
        <v>124</v>
      </c>
      <c r="N28" s="111">
        <v>44622</v>
      </c>
      <c r="O28" s="111" t="s">
        <v>37</v>
      </c>
      <c r="P28" s="112">
        <v>0</v>
      </c>
      <c r="Q28" s="124">
        <v>40</v>
      </c>
      <c r="R28" s="69">
        <f t="shared" si="1"/>
        <v>0</v>
      </c>
      <c r="S28" s="70">
        <v>202303</v>
      </c>
      <c r="T28" s="125" t="s">
        <v>125</v>
      </c>
      <c r="U28" s="102"/>
      <c r="V28" s="126"/>
      <c r="W28" s="126"/>
      <c r="X28" s="73"/>
      <c r="Y28" s="73"/>
    </row>
    <row r="29" s="81" customFormat="1" customHeight="1" spans="1:25">
      <c r="A29" s="103" t="s">
        <v>109</v>
      </c>
      <c r="B29" s="101" t="s">
        <v>26</v>
      </c>
      <c r="C29" s="62" t="s">
        <v>118</v>
      </c>
      <c r="D29" s="101" t="s">
        <v>28</v>
      </c>
      <c r="E29" s="63" t="s">
        <v>119</v>
      </c>
      <c r="F29" s="60" t="s">
        <v>120</v>
      </c>
      <c r="G29" s="60" t="s">
        <v>78</v>
      </c>
      <c r="H29" s="45" t="s">
        <v>121</v>
      </c>
      <c r="I29" s="47" t="e">
        <f>VLOOKUP(H29,'合同综合查询数据（3月返）'!$A:$A,1,FALSE)</f>
        <v>#N/A</v>
      </c>
      <c r="J29" s="48" t="s">
        <v>126</v>
      </c>
      <c r="K29" s="60" t="s">
        <v>122</v>
      </c>
      <c r="L29" s="113" t="s">
        <v>123</v>
      </c>
      <c r="M29" s="50" t="s">
        <v>124</v>
      </c>
      <c r="N29" s="111">
        <v>44622</v>
      </c>
      <c r="O29" s="111" t="s">
        <v>127</v>
      </c>
      <c r="P29" s="112">
        <v>0</v>
      </c>
      <c r="Q29" s="124">
        <v>2</v>
      </c>
      <c r="R29" s="69">
        <f t="shared" si="1"/>
        <v>0</v>
      </c>
      <c r="S29" s="70">
        <v>202303</v>
      </c>
      <c r="T29" s="125" t="s">
        <v>128</v>
      </c>
      <c r="U29" s="102"/>
      <c r="V29" s="126"/>
      <c r="W29" s="126"/>
      <c r="X29" s="73"/>
      <c r="Y29" s="73"/>
    </row>
    <row r="30" s="79" customFormat="1" customHeight="1" spans="1:25">
      <c r="A30" s="104" t="s">
        <v>129</v>
      </c>
      <c r="B30" s="95" t="s">
        <v>26</v>
      </c>
      <c r="C30" s="94" t="s">
        <v>130</v>
      </c>
      <c r="D30" s="95" t="s">
        <v>28</v>
      </c>
      <c r="E30" s="105" t="s">
        <v>119</v>
      </c>
      <c r="F30" s="96" t="s">
        <v>120</v>
      </c>
      <c r="G30" s="96" t="s">
        <v>31</v>
      </c>
      <c r="H30" s="19" t="s">
        <v>131</v>
      </c>
      <c r="I30" s="23" t="e">
        <f>VLOOKUP(H30,'合同综合查询数据（3月返）'!$A:$A,1,FALSE)</f>
        <v>#N/A</v>
      </c>
      <c r="J30" s="24" t="s">
        <v>33</v>
      </c>
      <c r="K30" s="96" t="s">
        <v>132</v>
      </c>
      <c r="L30" s="114" t="s">
        <v>133</v>
      </c>
      <c r="M30" s="26" t="s">
        <v>134</v>
      </c>
      <c r="N30" s="106">
        <v>44660</v>
      </c>
      <c r="O30" s="106" t="s">
        <v>37</v>
      </c>
      <c r="P30" s="107">
        <v>0</v>
      </c>
      <c r="Q30" s="116">
        <v>80</v>
      </c>
      <c r="R30" s="119">
        <f t="shared" si="1"/>
        <v>0</v>
      </c>
      <c r="S30" s="117">
        <v>202303</v>
      </c>
      <c r="T30" s="127" t="s">
        <v>135</v>
      </c>
      <c r="U30" s="97"/>
      <c r="V30" s="128"/>
      <c r="W30" s="128"/>
      <c r="X30" s="118">
        <v>44660</v>
      </c>
      <c r="Y30" s="118">
        <v>44712</v>
      </c>
    </row>
    <row r="31" s="79" customFormat="1" customHeight="1" spans="1:25">
      <c r="A31" s="104" t="s">
        <v>129</v>
      </c>
      <c r="B31" s="95" t="s">
        <v>26</v>
      </c>
      <c r="C31" s="94" t="s">
        <v>130</v>
      </c>
      <c r="D31" s="95" t="s">
        <v>28</v>
      </c>
      <c r="E31" s="105" t="s">
        <v>119</v>
      </c>
      <c r="F31" s="96" t="s">
        <v>120</v>
      </c>
      <c r="G31" s="96" t="s">
        <v>31</v>
      </c>
      <c r="H31" s="19" t="s">
        <v>131</v>
      </c>
      <c r="I31" s="23" t="e">
        <f>VLOOKUP(H31,'合同综合查询数据（3月返）'!$A:$A,1,FALSE)</f>
        <v>#N/A</v>
      </c>
      <c r="J31" s="24" t="s">
        <v>33</v>
      </c>
      <c r="K31" s="96" t="s">
        <v>132</v>
      </c>
      <c r="L31" s="114" t="s">
        <v>133</v>
      </c>
      <c r="M31" s="26" t="s">
        <v>134</v>
      </c>
      <c r="N31" s="106">
        <v>44712</v>
      </c>
      <c r="O31" s="106" t="s">
        <v>37</v>
      </c>
      <c r="P31" s="107">
        <v>0</v>
      </c>
      <c r="Q31" s="116">
        <v>-80</v>
      </c>
      <c r="R31" s="119">
        <f t="shared" si="1"/>
        <v>0</v>
      </c>
      <c r="S31" s="117">
        <v>202303</v>
      </c>
      <c r="T31" s="127" t="s">
        <v>136</v>
      </c>
      <c r="U31" s="97"/>
      <c r="V31" s="128"/>
      <c r="W31" s="128"/>
      <c r="X31" s="118">
        <v>44660</v>
      </c>
      <c r="Y31" s="118">
        <v>44712</v>
      </c>
    </row>
    <row r="32" s="79" customFormat="1" customHeight="1" spans="1:25">
      <c r="A32" s="104" t="s">
        <v>129</v>
      </c>
      <c r="B32" s="95" t="s">
        <v>26</v>
      </c>
      <c r="C32" s="94" t="s">
        <v>130</v>
      </c>
      <c r="D32" s="95" t="s">
        <v>28</v>
      </c>
      <c r="E32" s="105" t="s">
        <v>119</v>
      </c>
      <c r="F32" s="96" t="s">
        <v>120</v>
      </c>
      <c r="G32" s="96" t="s">
        <v>78</v>
      </c>
      <c r="H32" s="19" t="s">
        <v>131</v>
      </c>
      <c r="I32" s="23" t="e">
        <f>VLOOKUP(H32,'合同综合查询数据（3月返）'!$A:$A,1,FALSE)</f>
        <v>#N/A</v>
      </c>
      <c r="J32" s="24" t="s">
        <v>126</v>
      </c>
      <c r="K32" s="96" t="s">
        <v>132</v>
      </c>
      <c r="L32" s="114" t="s">
        <v>133</v>
      </c>
      <c r="M32" s="26" t="s">
        <v>134</v>
      </c>
      <c r="N32" s="106">
        <v>44660</v>
      </c>
      <c r="O32" s="106" t="s">
        <v>127</v>
      </c>
      <c r="P32" s="107">
        <v>0</v>
      </c>
      <c r="Q32" s="116">
        <v>3</v>
      </c>
      <c r="R32" s="119">
        <f t="shared" si="1"/>
        <v>0</v>
      </c>
      <c r="S32" s="117">
        <v>202303</v>
      </c>
      <c r="T32" s="127" t="s">
        <v>137</v>
      </c>
      <c r="U32" s="97"/>
      <c r="V32" s="128"/>
      <c r="W32" s="128"/>
      <c r="X32" s="118">
        <v>44660</v>
      </c>
      <c r="Y32" s="118">
        <v>44712</v>
      </c>
    </row>
    <row r="33" s="79" customFormat="1" customHeight="1" spans="1:25">
      <c r="A33" s="104" t="s">
        <v>129</v>
      </c>
      <c r="B33" s="95" t="s">
        <v>26</v>
      </c>
      <c r="C33" s="94" t="s">
        <v>130</v>
      </c>
      <c r="D33" s="95" t="s">
        <v>28</v>
      </c>
      <c r="E33" s="105" t="s">
        <v>119</v>
      </c>
      <c r="F33" s="96" t="s">
        <v>120</v>
      </c>
      <c r="G33" s="96" t="s">
        <v>78</v>
      </c>
      <c r="H33" s="19" t="s">
        <v>131</v>
      </c>
      <c r="I33" s="23" t="e">
        <f>VLOOKUP(H33,'合同综合查询数据（3月返）'!$A:$A,1,FALSE)</f>
        <v>#N/A</v>
      </c>
      <c r="J33" s="24" t="s">
        <v>126</v>
      </c>
      <c r="K33" s="96" t="s">
        <v>132</v>
      </c>
      <c r="L33" s="114" t="s">
        <v>133</v>
      </c>
      <c r="M33" s="26" t="s">
        <v>134</v>
      </c>
      <c r="N33" s="106">
        <v>44712</v>
      </c>
      <c r="O33" s="106" t="s">
        <v>127</v>
      </c>
      <c r="P33" s="107">
        <v>0</v>
      </c>
      <c r="Q33" s="116">
        <v>-3</v>
      </c>
      <c r="R33" s="119">
        <f t="shared" si="1"/>
        <v>0</v>
      </c>
      <c r="S33" s="117">
        <v>202303</v>
      </c>
      <c r="T33" s="127" t="s">
        <v>138</v>
      </c>
      <c r="U33" s="97"/>
      <c r="V33" s="128"/>
      <c r="W33" s="128"/>
      <c r="X33" s="118">
        <v>44660</v>
      </c>
      <c r="Y33" s="118">
        <v>44712</v>
      </c>
    </row>
    <row r="34" s="79" customFormat="1" customHeight="1" spans="1:25">
      <c r="A34" s="104" t="s">
        <v>25</v>
      </c>
      <c r="B34" s="95" t="s">
        <v>26</v>
      </c>
      <c r="C34" s="94" t="s">
        <v>130</v>
      </c>
      <c r="D34" s="95" t="s">
        <v>28</v>
      </c>
      <c r="E34" s="105" t="s">
        <v>119</v>
      </c>
      <c r="F34" s="96" t="s">
        <v>120</v>
      </c>
      <c r="G34" s="96" t="s">
        <v>31</v>
      </c>
      <c r="H34" s="19" t="s">
        <v>139</v>
      </c>
      <c r="I34" s="23" t="e">
        <f>VLOOKUP(H34,'合同综合查询数据（3月返）'!$A:$A,1,FALSE)</f>
        <v>#N/A</v>
      </c>
      <c r="J34" s="24" t="s">
        <v>33</v>
      </c>
      <c r="K34" s="96" t="s">
        <v>132</v>
      </c>
      <c r="L34" s="114" t="s">
        <v>140</v>
      </c>
      <c r="M34" s="26" t="s">
        <v>141</v>
      </c>
      <c r="N34" s="106">
        <v>44658</v>
      </c>
      <c r="O34" s="106" t="s">
        <v>37</v>
      </c>
      <c r="P34" s="107">
        <v>0</v>
      </c>
      <c r="Q34" s="116">
        <v>160</v>
      </c>
      <c r="R34" s="119">
        <f t="shared" si="1"/>
        <v>0</v>
      </c>
      <c r="S34" s="117">
        <v>202303</v>
      </c>
      <c r="T34" s="127" t="s">
        <v>142</v>
      </c>
      <c r="U34" s="97"/>
      <c r="V34" s="128"/>
      <c r="W34" s="128"/>
      <c r="X34" s="118">
        <v>44658</v>
      </c>
      <c r="Y34" s="118">
        <v>45016</v>
      </c>
    </row>
    <row r="35" s="79" customFormat="1" customHeight="1" spans="1:25">
      <c r="A35" s="104" t="s">
        <v>25</v>
      </c>
      <c r="B35" s="95" t="s">
        <v>26</v>
      </c>
      <c r="C35" s="94" t="s">
        <v>130</v>
      </c>
      <c r="D35" s="95" t="s">
        <v>28</v>
      </c>
      <c r="E35" s="105" t="s">
        <v>119</v>
      </c>
      <c r="F35" s="96" t="s">
        <v>120</v>
      </c>
      <c r="G35" s="96" t="s">
        <v>78</v>
      </c>
      <c r="H35" s="19" t="s">
        <v>139</v>
      </c>
      <c r="I35" s="23" t="e">
        <f>VLOOKUP(H35,'合同综合查询数据（3月返）'!$A:$A,1,FALSE)</f>
        <v>#N/A</v>
      </c>
      <c r="J35" s="24" t="s">
        <v>126</v>
      </c>
      <c r="K35" s="96" t="s">
        <v>132</v>
      </c>
      <c r="L35" s="114" t="s">
        <v>140</v>
      </c>
      <c r="M35" s="26" t="s">
        <v>141</v>
      </c>
      <c r="N35" s="106">
        <v>44658</v>
      </c>
      <c r="O35" s="106" t="s">
        <v>127</v>
      </c>
      <c r="P35" s="107">
        <v>0</v>
      </c>
      <c r="Q35" s="116">
        <v>6</v>
      </c>
      <c r="R35" s="119">
        <f t="shared" si="1"/>
        <v>0</v>
      </c>
      <c r="S35" s="117">
        <v>202303</v>
      </c>
      <c r="T35" s="127" t="s">
        <v>143</v>
      </c>
      <c r="U35" s="97"/>
      <c r="V35" s="128"/>
      <c r="W35" s="128"/>
      <c r="X35" s="118">
        <v>44658</v>
      </c>
      <c r="Y35" s="118">
        <v>45016</v>
      </c>
    </row>
    <row r="36" s="79" customFormat="1" customHeight="1" spans="1:25">
      <c r="A36" s="104" t="s">
        <v>25</v>
      </c>
      <c r="B36" s="95" t="s">
        <v>26</v>
      </c>
      <c r="C36" s="94" t="s">
        <v>130</v>
      </c>
      <c r="D36" s="95" t="s">
        <v>28</v>
      </c>
      <c r="E36" s="105" t="s">
        <v>119</v>
      </c>
      <c r="F36" s="96" t="s">
        <v>120</v>
      </c>
      <c r="G36" s="96" t="s">
        <v>31</v>
      </c>
      <c r="H36" s="19" t="s">
        <v>144</v>
      </c>
      <c r="I36" s="23" t="e">
        <f>VLOOKUP(H36,'合同综合查询数据（3月返）'!$A:$A,1,FALSE)</f>
        <v>#N/A</v>
      </c>
      <c r="J36" s="24" t="s">
        <v>33</v>
      </c>
      <c r="K36" s="96" t="s">
        <v>132</v>
      </c>
      <c r="L36" s="114" t="s">
        <v>145</v>
      </c>
      <c r="M36" s="26" t="s">
        <v>146</v>
      </c>
      <c r="N36" s="106">
        <v>44624</v>
      </c>
      <c r="O36" s="106" t="s">
        <v>37</v>
      </c>
      <c r="P36" s="107">
        <v>0</v>
      </c>
      <c r="Q36" s="116">
        <v>80</v>
      </c>
      <c r="R36" s="119">
        <f t="shared" si="1"/>
        <v>0</v>
      </c>
      <c r="S36" s="117">
        <v>202303</v>
      </c>
      <c r="T36" s="127" t="s">
        <v>147</v>
      </c>
      <c r="U36" s="97"/>
      <c r="V36" s="128"/>
      <c r="W36" s="128"/>
      <c r="X36" s="118">
        <v>44713</v>
      </c>
      <c r="Y36" s="118">
        <v>45016</v>
      </c>
    </row>
    <row r="37" s="79" customFormat="1" customHeight="1" spans="1:25">
      <c r="A37" s="104" t="s">
        <v>25</v>
      </c>
      <c r="B37" s="95" t="s">
        <v>26</v>
      </c>
      <c r="C37" s="94" t="s">
        <v>130</v>
      </c>
      <c r="D37" s="95" t="s">
        <v>28</v>
      </c>
      <c r="E37" s="105" t="s">
        <v>119</v>
      </c>
      <c r="F37" s="96" t="s">
        <v>120</v>
      </c>
      <c r="G37" s="96" t="s">
        <v>78</v>
      </c>
      <c r="H37" s="19" t="s">
        <v>144</v>
      </c>
      <c r="I37" s="23" t="e">
        <f>VLOOKUP(H37,'合同综合查询数据（3月返）'!$A:$A,1,FALSE)</f>
        <v>#N/A</v>
      </c>
      <c r="J37" s="24" t="s">
        <v>126</v>
      </c>
      <c r="K37" s="96" t="s">
        <v>132</v>
      </c>
      <c r="L37" s="114" t="s">
        <v>145</v>
      </c>
      <c r="M37" s="26" t="s">
        <v>146</v>
      </c>
      <c r="N37" s="106">
        <v>44624</v>
      </c>
      <c r="O37" s="106" t="s">
        <v>127</v>
      </c>
      <c r="P37" s="107">
        <v>0</v>
      </c>
      <c r="Q37" s="116">
        <v>3</v>
      </c>
      <c r="R37" s="119">
        <f t="shared" si="1"/>
        <v>0</v>
      </c>
      <c r="S37" s="117">
        <v>202303</v>
      </c>
      <c r="T37" s="127" t="s">
        <v>148</v>
      </c>
      <c r="U37" s="97"/>
      <c r="V37" s="128"/>
      <c r="W37" s="128"/>
      <c r="X37" s="118">
        <v>44713</v>
      </c>
      <c r="Y37" s="118">
        <v>45016</v>
      </c>
    </row>
    <row r="38" s="79" customFormat="1" customHeight="1" spans="1:25">
      <c r="A38" s="104" t="s">
        <v>25</v>
      </c>
      <c r="B38" s="95" t="s">
        <v>26</v>
      </c>
      <c r="C38" s="94" t="s">
        <v>130</v>
      </c>
      <c r="D38" s="95" t="s">
        <v>28</v>
      </c>
      <c r="E38" s="105" t="s">
        <v>119</v>
      </c>
      <c r="F38" s="96" t="s">
        <v>120</v>
      </c>
      <c r="G38" s="96" t="s">
        <v>31</v>
      </c>
      <c r="H38" s="19" t="s">
        <v>149</v>
      </c>
      <c r="I38" s="23" t="e">
        <f>VLOOKUP(H38,'合同综合查询数据（3月返）'!$A:$A,1,FALSE)</f>
        <v>#N/A</v>
      </c>
      <c r="J38" s="24" t="s">
        <v>33</v>
      </c>
      <c r="K38" s="96" t="s">
        <v>132</v>
      </c>
      <c r="L38" s="114" t="s">
        <v>150</v>
      </c>
      <c r="M38" s="26" t="s">
        <v>146</v>
      </c>
      <c r="N38" s="106">
        <v>44652</v>
      </c>
      <c r="O38" s="106" t="s">
        <v>37</v>
      </c>
      <c r="P38" s="107">
        <v>0</v>
      </c>
      <c r="Q38" s="116">
        <v>1</v>
      </c>
      <c r="R38" s="119">
        <f t="shared" si="1"/>
        <v>0</v>
      </c>
      <c r="S38" s="117">
        <v>202303</v>
      </c>
      <c r="T38" s="127" t="s">
        <v>151</v>
      </c>
      <c r="U38" s="97"/>
      <c r="V38" s="128"/>
      <c r="W38" s="128"/>
      <c r="X38" s="118">
        <v>44652</v>
      </c>
      <c r="Y38" s="118">
        <v>45016</v>
      </c>
    </row>
    <row r="39" s="79" customFormat="1" customHeight="1" spans="1:25">
      <c r="A39" s="104" t="s">
        <v>25</v>
      </c>
      <c r="B39" s="95" t="s">
        <v>26</v>
      </c>
      <c r="C39" s="94" t="s">
        <v>130</v>
      </c>
      <c r="D39" s="95" t="s">
        <v>28</v>
      </c>
      <c r="E39" s="105" t="s">
        <v>119</v>
      </c>
      <c r="F39" s="96" t="s">
        <v>120</v>
      </c>
      <c r="G39" s="96" t="s">
        <v>31</v>
      </c>
      <c r="H39" s="19" t="s">
        <v>149</v>
      </c>
      <c r="I39" s="23" t="e">
        <f>VLOOKUP(H39,'合同综合查询数据（3月返）'!$A:$A,1,FALSE)</f>
        <v>#N/A</v>
      </c>
      <c r="J39" s="24" t="s">
        <v>33</v>
      </c>
      <c r="K39" s="96" t="s">
        <v>132</v>
      </c>
      <c r="L39" s="114" t="s">
        <v>150</v>
      </c>
      <c r="M39" s="26" t="s">
        <v>146</v>
      </c>
      <c r="N39" s="106">
        <v>44652</v>
      </c>
      <c r="O39" s="94" t="s">
        <v>152</v>
      </c>
      <c r="P39" s="107">
        <v>0</v>
      </c>
      <c r="Q39" s="107">
        <v>0</v>
      </c>
      <c r="R39" s="119">
        <f t="shared" si="1"/>
        <v>0</v>
      </c>
      <c r="S39" s="117">
        <v>202303</v>
      </c>
      <c r="T39" s="97" t="s">
        <v>153</v>
      </c>
      <c r="U39" s="97"/>
      <c r="V39" s="128"/>
      <c r="W39" s="128"/>
      <c r="X39" s="118">
        <v>44652</v>
      </c>
      <c r="Y39" s="118">
        <v>45016</v>
      </c>
    </row>
    <row r="40" s="79" customFormat="1" customHeight="1" spans="1:25">
      <c r="A40" s="104" t="s">
        <v>25</v>
      </c>
      <c r="B40" s="95" t="s">
        <v>26</v>
      </c>
      <c r="C40" s="94" t="s">
        <v>130</v>
      </c>
      <c r="D40" s="95" t="s">
        <v>28</v>
      </c>
      <c r="E40" s="105" t="s">
        <v>119</v>
      </c>
      <c r="F40" s="96" t="s">
        <v>120</v>
      </c>
      <c r="G40" s="96" t="s">
        <v>78</v>
      </c>
      <c r="H40" s="19" t="s">
        <v>149</v>
      </c>
      <c r="I40" s="23" t="e">
        <f>VLOOKUP(H40,'合同综合查询数据（3月返）'!$A:$A,1,FALSE)</f>
        <v>#N/A</v>
      </c>
      <c r="J40" s="24" t="s">
        <v>126</v>
      </c>
      <c r="K40" s="96" t="s">
        <v>132</v>
      </c>
      <c r="L40" s="114" t="s">
        <v>150</v>
      </c>
      <c r="M40" s="26" t="s">
        <v>146</v>
      </c>
      <c r="N40" s="106">
        <v>44652</v>
      </c>
      <c r="O40" s="94" t="s">
        <v>92</v>
      </c>
      <c r="P40" s="107">
        <v>0</v>
      </c>
      <c r="Q40" s="107">
        <v>0</v>
      </c>
      <c r="R40" s="119">
        <f t="shared" si="1"/>
        <v>0</v>
      </c>
      <c r="S40" s="117">
        <v>202303</v>
      </c>
      <c r="T40" s="97" t="s">
        <v>154</v>
      </c>
      <c r="U40" s="97"/>
      <c r="V40" s="128"/>
      <c r="W40" s="128"/>
      <c r="X40" s="118">
        <v>44652</v>
      </c>
      <c r="Y40" s="118">
        <v>45016</v>
      </c>
    </row>
    <row r="41" s="79" customFormat="1" customHeight="1" spans="1:25">
      <c r="A41" s="94" t="s">
        <v>129</v>
      </c>
      <c r="B41" s="95" t="s">
        <v>26</v>
      </c>
      <c r="C41" s="94" t="s">
        <v>130</v>
      </c>
      <c r="D41" s="95" t="s">
        <v>28</v>
      </c>
      <c r="E41" s="23" t="s">
        <v>119</v>
      </c>
      <c r="F41" s="94" t="s">
        <v>120</v>
      </c>
      <c r="G41" s="96" t="s">
        <v>31</v>
      </c>
      <c r="H41" s="97" t="s">
        <v>155</v>
      </c>
      <c r="I41" s="23" t="e">
        <f>VLOOKUP(H41,'合同综合查询数据（3月返）'!$A:$A,1,FALSE)</f>
        <v>#N/A</v>
      </c>
      <c r="J41" s="24" t="s">
        <v>33</v>
      </c>
      <c r="K41" s="94" t="s">
        <v>156</v>
      </c>
      <c r="L41" s="94" t="s">
        <v>157</v>
      </c>
      <c r="M41" s="94" t="s">
        <v>158</v>
      </c>
      <c r="N41" s="106">
        <v>44682</v>
      </c>
      <c r="O41" s="94" t="s">
        <v>37</v>
      </c>
      <c r="P41" s="107">
        <v>0</v>
      </c>
      <c r="Q41" s="116">
        <v>1</v>
      </c>
      <c r="R41" s="119">
        <f t="shared" si="1"/>
        <v>0</v>
      </c>
      <c r="S41" s="117">
        <v>202303</v>
      </c>
      <c r="T41" s="97" t="s">
        <v>159</v>
      </c>
      <c r="U41" s="97"/>
      <c r="V41" s="97"/>
      <c r="W41" s="97"/>
      <c r="X41" s="118">
        <v>44682</v>
      </c>
      <c r="Y41" s="118">
        <v>45016</v>
      </c>
    </row>
    <row r="42" s="79" customFormat="1" customHeight="1" spans="1:25">
      <c r="A42" s="94" t="s">
        <v>129</v>
      </c>
      <c r="B42" s="95" t="s">
        <v>26</v>
      </c>
      <c r="C42" s="94" t="s">
        <v>130</v>
      </c>
      <c r="D42" s="95" t="s">
        <v>28</v>
      </c>
      <c r="E42" s="23" t="s">
        <v>119</v>
      </c>
      <c r="F42" s="94" t="s">
        <v>120</v>
      </c>
      <c r="G42" s="96" t="s">
        <v>31</v>
      </c>
      <c r="H42" s="97" t="s">
        <v>155</v>
      </c>
      <c r="I42" s="23" t="e">
        <f>VLOOKUP(H42,'合同综合查询数据（3月返）'!$A:$A,1,FALSE)</f>
        <v>#N/A</v>
      </c>
      <c r="J42" s="24" t="s">
        <v>33</v>
      </c>
      <c r="K42" s="94" t="s">
        <v>156</v>
      </c>
      <c r="L42" s="94" t="s">
        <v>157</v>
      </c>
      <c r="M42" s="94" t="s">
        <v>158</v>
      </c>
      <c r="N42" s="106">
        <v>44813</v>
      </c>
      <c r="O42" s="94" t="s">
        <v>37</v>
      </c>
      <c r="P42" s="107">
        <v>0</v>
      </c>
      <c r="Q42" s="116">
        <v>-1</v>
      </c>
      <c r="R42" s="119">
        <f t="shared" si="1"/>
        <v>0</v>
      </c>
      <c r="S42" s="117">
        <v>202303</v>
      </c>
      <c r="T42" s="97" t="s">
        <v>160</v>
      </c>
      <c r="U42" s="97"/>
      <c r="V42" s="97"/>
      <c r="W42" s="97"/>
      <c r="X42" s="118">
        <v>44682</v>
      </c>
      <c r="Y42" s="118">
        <v>45016</v>
      </c>
    </row>
    <row r="43" s="79" customFormat="1" customHeight="1" spans="1:25">
      <c r="A43" s="94" t="s">
        <v>129</v>
      </c>
      <c r="B43" s="95" t="s">
        <v>26</v>
      </c>
      <c r="C43" s="94" t="s">
        <v>130</v>
      </c>
      <c r="D43" s="95" t="s">
        <v>28</v>
      </c>
      <c r="E43" s="23" t="s">
        <v>119</v>
      </c>
      <c r="F43" s="94" t="s">
        <v>120</v>
      </c>
      <c r="G43" s="96" t="s">
        <v>31</v>
      </c>
      <c r="H43" s="97" t="s">
        <v>155</v>
      </c>
      <c r="I43" s="23" t="e">
        <f>VLOOKUP(H43,'合同综合查询数据（3月返）'!$A:$A,1,FALSE)</f>
        <v>#N/A</v>
      </c>
      <c r="J43" s="24" t="s">
        <v>33</v>
      </c>
      <c r="K43" s="94" t="s">
        <v>156</v>
      </c>
      <c r="L43" s="94" t="s">
        <v>157</v>
      </c>
      <c r="M43" s="94" t="s">
        <v>158</v>
      </c>
      <c r="N43" s="106">
        <v>44682</v>
      </c>
      <c r="O43" s="94" t="s">
        <v>152</v>
      </c>
      <c r="P43" s="107">
        <v>0</v>
      </c>
      <c r="Q43" s="107">
        <v>0</v>
      </c>
      <c r="R43" s="119">
        <f t="shared" si="1"/>
        <v>0</v>
      </c>
      <c r="S43" s="117">
        <v>202303</v>
      </c>
      <c r="T43" s="97" t="s">
        <v>153</v>
      </c>
      <c r="U43" s="97"/>
      <c r="V43" s="97"/>
      <c r="W43" s="97"/>
      <c r="X43" s="118">
        <v>44682</v>
      </c>
      <c r="Y43" s="118">
        <v>45016</v>
      </c>
    </row>
    <row r="44" s="79" customFormat="1" customHeight="1" spans="1:25">
      <c r="A44" s="94" t="s">
        <v>129</v>
      </c>
      <c r="B44" s="95" t="s">
        <v>26</v>
      </c>
      <c r="C44" s="94" t="s">
        <v>130</v>
      </c>
      <c r="D44" s="95" t="s">
        <v>28</v>
      </c>
      <c r="E44" s="23" t="s">
        <v>119</v>
      </c>
      <c r="F44" s="94" t="s">
        <v>120</v>
      </c>
      <c r="G44" s="96" t="s">
        <v>78</v>
      </c>
      <c r="H44" s="97" t="s">
        <v>155</v>
      </c>
      <c r="I44" s="23" t="e">
        <f>VLOOKUP(H44,'合同综合查询数据（3月返）'!$A:$A,1,FALSE)</f>
        <v>#N/A</v>
      </c>
      <c r="J44" s="24" t="s">
        <v>126</v>
      </c>
      <c r="K44" s="94" t="s">
        <v>156</v>
      </c>
      <c r="L44" s="94" t="s">
        <v>157</v>
      </c>
      <c r="M44" s="94" t="s">
        <v>158</v>
      </c>
      <c r="N44" s="106">
        <v>44682</v>
      </c>
      <c r="O44" s="94" t="s">
        <v>92</v>
      </c>
      <c r="P44" s="107">
        <v>0</v>
      </c>
      <c r="Q44" s="107">
        <v>0</v>
      </c>
      <c r="R44" s="119">
        <f t="shared" si="1"/>
        <v>0</v>
      </c>
      <c r="S44" s="117">
        <v>202303</v>
      </c>
      <c r="T44" s="97" t="s">
        <v>154</v>
      </c>
      <c r="U44" s="97"/>
      <c r="V44" s="97"/>
      <c r="W44" s="97"/>
      <c r="X44" s="118">
        <v>44682</v>
      </c>
      <c r="Y44" s="118">
        <v>45016</v>
      </c>
    </row>
    <row r="45" s="79" customFormat="1" customHeight="1" spans="1:25">
      <c r="A45" s="94" t="s">
        <v>25</v>
      </c>
      <c r="B45" s="95" t="s">
        <v>26</v>
      </c>
      <c r="C45" s="94" t="s">
        <v>161</v>
      </c>
      <c r="D45" s="95" t="s">
        <v>28</v>
      </c>
      <c r="E45" s="23" t="s">
        <v>119</v>
      </c>
      <c r="F45" s="94" t="s">
        <v>120</v>
      </c>
      <c r="G45" s="96" t="s">
        <v>31</v>
      </c>
      <c r="H45" s="97" t="s">
        <v>162</v>
      </c>
      <c r="I45" s="23" t="e">
        <f>VLOOKUP(H45,'合同综合查询数据（3月返）'!$A:$A,1,FALSE)</f>
        <v>#N/A</v>
      </c>
      <c r="J45" s="24" t="s">
        <v>33</v>
      </c>
      <c r="K45" s="94" t="s">
        <v>163</v>
      </c>
      <c r="L45" s="94" t="s">
        <v>164</v>
      </c>
      <c r="M45" s="94" t="s">
        <v>165</v>
      </c>
      <c r="N45" s="106">
        <v>44682</v>
      </c>
      <c r="O45" s="94" t="s">
        <v>37</v>
      </c>
      <c r="P45" s="107">
        <v>0</v>
      </c>
      <c r="Q45" s="116">
        <v>1</v>
      </c>
      <c r="R45" s="119">
        <f t="shared" ref="R45:R76" si="2">ROUND(P45*Q45,2)</f>
        <v>0</v>
      </c>
      <c r="S45" s="117">
        <v>202303</v>
      </c>
      <c r="T45" s="97" t="s">
        <v>166</v>
      </c>
      <c r="U45" s="97"/>
      <c r="V45" s="97"/>
      <c r="W45" s="97"/>
      <c r="X45" s="118">
        <v>44682</v>
      </c>
      <c r="Y45" s="118">
        <v>45016</v>
      </c>
    </row>
    <row r="46" s="79" customFormat="1" customHeight="1" spans="1:25">
      <c r="A46" s="94" t="s">
        <v>25</v>
      </c>
      <c r="B46" s="95" t="s">
        <v>26</v>
      </c>
      <c r="C46" s="94" t="s">
        <v>161</v>
      </c>
      <c r="D46" s="95" t="s">
        <v>28</v>
      </c>
      <c r="E46" s="23" t="s">
        <v>119</v>
      </c>
      <c r="F46" s="94" t="s">
        <v>120</v>
      </c>
      <c r="G46" s="96" t="s">
        <v>31</v>
      </c>
      <c r="H46" s="97" t="s">
        <v>162</v>
      </c>
      <c r="I46" s="23" t="e">
        <f>VLOOKUP(H46,'合同综合查询数据（3月返）'!$A:$A,1,FALSE)</f>
        <v>#N/A</v>
      </c>
      <c r="J46" s="24" t="s">
        <v>33</v>
      </c>
      <c r="K46" s="94" t="s">
        <v>163</v>
      </c>
      <c r="L46" s="94" t="s">
        <v>164</v>
      </c>
      <c r="M46" s="94" t="s">
        <v>165</v>
      </c>
      <c r="N46" s="106">
        <v>44682</v>
      </c>
      <c r="O46" s="94" t="s">
        <v>152</v>
      </c>
      <c r="P46" s="107">
        <v>0</v>
      </c>
      <c r="Q46" s="107">
        <v>0</v>
      </c>
      <c r="R46" s="119">
        <f t="shared" si="2"/>
        <v>0</v>
      </c>
      <c r="S46" s="117">
        <v>202303</v>
      </c>
      <c r="T46" s="97" t="s">
        <v>153</v>
      </c>
      <c r="U46" s="97"/>
      <c r="V46" s="97"/>
      <c r="W46" s="97"/>
      <c r="X46" s="118">
        <v>44682</v>
      </c>
      <c r="Y46" s="118">
        <v>45016</v>
      </c>
    </row>
    <row r="47" s="79" customFormat="1" customHeight="1" spans="1:25">
      <c r="A47" s="94" t="s">
        <v>25</v>
      </c>
      <c r="B47" s="95" t="s">
        <v>26</v>
      </c>
      <c r="C47" s="94" t="s">
        <v>161</v>
      </c>
      <c r="D47" s="95" t="s">
        <v>28</v>
      </c>
      <c r="E47" s="23" t="s">
        <v>119</v>
      </c>
      <c r="F47" s="94" t="s">
        <v>120</v>
      </c>
      <c r="G47" s="96" t="s">
        <v>78</v>
      </c>
      <c r="H47" s="97" t="s">
        <v>162</v>
      </c>
      <c r="I47" s="23" t="e">
        <f>VLOOKUP(H47,'合同综合查询数据（3月返）'!$A:$A,1,FALSE)</f>
        <v>#N/A</v>
      </c>
      <c r="J47" s="24" t="s">
        <v>126</v>
      </c>
      <c r="K47" s="94" t="s">
        <v>163</v>
      </c>
      <c r="L47" s="94" t="s">
        <v>164</v>
      </c>
      <c r="M47" s="94" t="s">
        <v>165</v>
      </c>
      <c r="N47" s="106">
        <v>44682</v>
      </c>
      <c r="O47" s="94" t="s">
        <v>92</v>
      </c>
      <c r="P47" s="107">
        <v>0</v>
      </c>
      <c r="Q47" s="107">
        <v>0</v>
      </c>
      <c r="R47" s="119">
        <f t="shared" si="2"/>
        <v>0</v>
      </c>
      <c r="S47" s="117">
        <v>202303</v>
      </c>
      <c r="T47" s="97" t="s">
        <v>154</v>
      </c>
      <c r="U47" s="97"/>
      <c r="V47" s="97"/>
      <c r="W47" s="97"/>
      <c r="X47" s="118">
        <v>44682</v>
      </c>
      <c r="Y47" s="118">
        <v>45016</v>
      </c>
    </row>
    <row r="48" s="79" customFormat="1" customHeight="1" spans="1:25">
      <c r="A48" s="94" t="s">
        <v>25</v>
      </c>
      <c r="B48" s="95" t="s">
        <v>26</v>
      </c>
      <c r="C48" s="94" t="s">
        <v>161</v>
      </c>
      <c r="D48" s="95" t="s">
        <v>28</v>
      </c>
      <c r="E48" s="23" t="s">
        <v>119</v>
      </c>
      <c r="F48" s="94" t="s">
        <v>120</v>
      </c>
      <c r="G48" s="96" t="s">
        <v>31</v>
      </c>
      <c r="H48" s="97" t="s">
        <v>162</v>
      </c>
      <c r="I48" s="23" t="e">
        <f>VLOOKUP(H48,'合同综合查询数据（3月返）'!$A:$A,1,FALSE)</f>
        <v>#N/A</v>
      </c>
      <c r="J48" s="24" t="s">
        <v>33</v>
      </c>
      <c r="K48" s="94" t="s">
        <v>163</v>
      </c>
      <c r="L48" s="94" t="s">
        <v>167</v>
      </c>
      <c r="M48" s="94" t="s">
        <v>165</v>
      </c>
      <c r="N48" s="106">
        <v>44682</v>
      </c>
      <c r="O48" s="94" t="s">
        <v>37</v>
      </c>
      <c r="P48" s="107">
        <v>0</v>
      </c>
      <c r="Q48" s="116">
        <v>1</v>
      </c>
      <c r="R48" s="119">
        <f t="shared" si="2"/>
        <v>0</v>
      </c>
      <c r="S48" s="117">
        <v>202303</v>
      </c>
      <c r="T48" s="97" t="s">
        <v>168</v>
      </c>
      <c r="U48" s="97"/>
      <c r="V48" s="97"/>
      <c r="W48" s="97"/>
      <c r="X48" s="118">
        <v>44682</v>
      </c>
      <c r="Y48" s="118">
        <v>45016</v>
      </c>
    </row>
    <row r="49" s="79" customFormat="1" customHeight="1" spans="1:25">
      <c r="A49" s="94" t="s">
        <v>25</v>
      </c>
      <c r="B49" s="95" t="s">
        <v>26</v>
      </c>
      <c r="C49" s="94" t="s">
        <v>161</v>
      </c>
      <c r="D49" s="95" t="s">
        <v>28</v>
      </c>
      <c r="E49" s="23" t="s">
        <v>119</v>
      </c>
      <c r="F49" s="94" t="s">
        <v>120</v>
      </c>
      <c r="G49" s="96" t="s">
        <v>31</v>
      </c>
      <c r="H49" s="97" t="s">
        <v>162</v>
      </c>
      <c r="I49" s="23" t="e">
        <f>VLOOKUP(H49,'合同综合查询数据（3月返）'!$A:$A,1,FALSE)</f>
        <v>#N/A</v>
      </c>
      <c r="J49" s="24" t="s">
        <v>33</v>
      </c>
      <c r="K49" s="94" t="s">
        <v>163</v>
      </c>
      <c r="L49" s="94" t="s">
        <v>167</v>
      </c>
      <c r="M49" s="94" t="s">
        <v>165</v>
      </c>
      <c r="N49" s="106">
        <v>44682</v>
      </c>
      <c r="O49" s="94" t="s">
        <v>152</v>
      </c>
      <c r="P49" s="107">
        <v>0</v>
      </c>
      <c r="Q49" s="107">
        <v>0</v>
      </c>
      <c r="R49" s="119">
        <f t="shared" si="2"/>
        <v>0</v>
      </c>
      <c r="S49" s="117">
        <v>202303</v>
      </c>
      <c r="T49" s="97" t="s">
        <v>153</v>
      </c>
      <c r="U49" s="97"/>
      <c r="V49" s="97"/>
      <c r="W49" s="97"/>
      <c r="X49" s="118">
        <v>44682</v>
      </c>
      <c r="Y49" s="118">
        <v>45016</v>
      </c>
    </row>
    <row r="50" s="79" customFormat="1" customHeight="1" spans="1:25">
      <c r="A50" s="94" t="s">
        <v>25</v>
      </c>
      <c r="B50" s="95" t="s">
        <v>26</v>
      </c>
      <c r="C50" s="94" t="s">
        <v>161</v>
      </c>
      <c r="D50" s="95" t="s">
        <v>28</v>
      </c>
      <c r="E50" s="23" t="s">
        <v>119</v>
      </c>
      <c r="F50" s="94" t="s">
        <v>120</v>
      </c>
      <c r="G50" s="96" t="s">
        <v>78</v>
      </c>
      <c r="H50" s="97" t="s">
        <v>162</v>
      </c>
      <c r="I50" s="23" t="e">
        <f>VLOOKUP(H50,'合同综合查询数据（3月返）'!$A:$A,1,FALSE)</f>
        <v>#N/A</v>
      </c>
      <c r="J50" s="24" t="s">
        <v>126</v>
      </c>
      <c r="K50" s="94" t="s">
        <v>163</v>
      </c>
      <c r="L50" s="94" t="s">
        <v>167</v>
      </c>
      <c r="M50" s="94" t="s">
        <v>165</v>
      </c>
      <c r="N50" s="106">
        <v>44682</v>
      </c>
      <c r="O50" s="94" t="s">
        <v>92</v>
      </c>
      <c r="P50" s="107">
        <v>0</v>
      </c>
      <c r="Q50" s="107">
        <v>0</v>
      </c>
      <c r="R50" s="119">
        <f t="shared" si="2"/>
        <v>0</v>
      </c>
      <c r="S50" s="117">
        <v>202303</v>
      </c>
      <c r="T50" s="97" t="s">
        <v>154</v>
      </c>
      <c r="U50" s="97"/>
      <c r="V50" s="97"/>
      <c r="W50" s="97"/>
      <c r="X50" s="118">
        <v>44682</v>
      </c>
      <c r="Y50" s="118">
        <v>45016</v>
      </c>
    </row>
    <row r="51" s="79" customFormat="1" customHeight="1" spans="1:25">
      <c r="A51" s="96" t="s">
        <v>25</v>
      </c>
      <c r="B51" s="95" t="s">
        <v>26</v>
      </c>
      <c r="C51" s="94" t="s">
        <v>169</v>
      </c>
      <c r="D51" s="95" t="s">
        <v>28</v>
      </c>
      <c r="E51" s="23" t="s">
        <v>119</v>
      </c>
      <c r="F51" s="94" t="s">
        <v>120</v>
      </c>
      <c r="G51" s="96" t="s">
        <v>31</v>
      </c>
      <c r="H51" s="97" t="s">
        <v>170</v>
      </c>
      <c r="I51" s="23" t="e">
        <f>VLOOKUP(H51,'合同综合查询数据（3月返）'!$A:$A,1,FALSE)</f>
        <v>#N/A</v>
      </c>
      <c r="J51" s="24" t="s">
        <v>33</v>
      </c>
      <c r="K51" s="94" t="s">
        <v>171</v>
      </c>
      <c r="L51" s="94" t="s">
        <v>172</v>
      </c>
      <c r="M51" s="94" t="s">
        <v>173</v>
      </c>
      <c r="N51" s="106">
        <v>44682</v>
      </c>
      <c r="O51" s="94" t="s">
        <v>37</v>
      </c>
      <c r="P51" s="107">
        <v>0</v>
      </c>
      <c r="Q51" s="116">
        <v>1</v>
      </c>
      <c r="R51" s="119">
        <f t="shared" si="2"/>
        <v>0</v>
      </c>
      <c r="S51" s="117">
        <v>202303</v>
      </c>
      <c r="T51" s="97" t="s">
        <v>174</v>
      </c>
      <c r="U51" s="97"/>
      <c r="V51" s="97"/>
      <c r="W51" s="97"/>
      <c r="X51" s="118">
        <v>44682</v>
      </c>
      <c r="Y51" s="118">
        <v>45016</v>
      </c>
    </row>
    <row r="52" s="79" customFormat="1" customHeight="1" spans="1:25">
      <c r="A52" s="96" t="s">
        <v>25</v>
      </c>
      <c r="B52" s="95" t="s">
        <v>26</v>
      </c>
      <c r="C52" s="94" t="s">
        <v>169</v>
      </c>
      <c r="D52" s="95" t="s">
        <v>28</v>
      </c>
      <c r="E52" s="23" t="s">
        <v>119</v>
      </c>
      <c r="F52" s="94" t="s">
        <v>120</v>
      </c>
      <c r="G52" s="96" t="s">
        <v>31</v>
      </c>
      <c r="H52" s="97" t="s">
        <v>170</v>
      </c>
      <c r="I52" s="23" t="e">
        <f>VLOOKUP(H52,'合同综合查询数据（3月返）'!$A:$A,1,FALSE)</f>
        <v>#N/A</v>
      </c>
      <c r="J52" s="24" t="s">
        <v>33</v>
      </c>
      <c r="K52" s="94" t="s">
        <v>171</v>
      </c>
      <c r="L52" s="94" t="s">
        <v>172</v>
      </c>
      <c r="M52" s="94" t="s">
        <v>173</v>
      </c>
      <c r="N52" s="106">
        <v>44682</v>
      </c>
      <c r="O52" s="94" t="s">
        <v>152</v>
      </c>
      <c r="P52" s="107">
        <v>0</v>
      </c>
      <c r="Q52" s="107">
        <v>0</v>
      </c>
      <c r="R52" s="119">
        <f t="shared" si="2"/>
        <v>0</v>
      </c>
      <c r="S52" s="117">
        <v>202303</v>
      </c>
      <c r="T52" s="97" t="s">
        <v>153</v>
      </c>
      <c r="U52" s="97"/>
      <c r="V52" s="97"/>
      <c r="W52" s="97"/>
      <c r="X52" s="118">
        <v>44682</v>
      </c>
      <c r="Y52" s="118">
        <v>45016</v>
      </c>
    </row>
    <row r="53" s="79" customFormat="1" customHeight="1" spans="1:25">
      <c r="A53" s="96" t="s">
        <v>25</v>
      </c>
      <c r="B53" s="95" t="s">
        <v>26</v>
      </c>
      <c r="C53" s="94" t="s">
        <v>169</v>
      </c>
      <c r="D53" s="95" t="s">
        <v>28</v>
      </c>
      <c r="E53" s="23" t="s">
        <v>119</v>
      </c>
      <c r="F53" s="94" t="s">
        <v>120</v>
      </c>
      <c r="G53" s="96" t="s">
        <v>78</v>
      </c>
      <c r="H53" s="97" t="s">
        <v>170</v>
      </c>
      <c r="I53" s="23" t="e">
        <f>VLOOKUP(H53,'合同综合查询数据（3月返）'!$A:$A,1,FALSE)</f>
        <v>#N/A</v>
      </c>
      <c r="J53" s="24" t="s">
        <v>126</v>
      </c>
      <c r="K53" s="94" t="s">
        <v>171</v>
      </c>
      <c r="L53" s="94" t="s">
        <v>172</v>
      </c>
      <c r="M53" s="94" t="s">
        <v>173</v>
      </c>
      <c r="N53" s="106">
        <v>44682</v>
      </c>
      <c r="O53" s="94" t="s">
        <v>92</v>
      </c>
      <c r="P53" s="107">
        <v>0</v>
      </c>
      <c r="Q53" s="107">
        <v>0</v>
      </c>
      <c r="R53" s="119">
        <f t="shared" si="2"/>
        <v>0</v>
      </c>
      <c r="S53" s="117">
        <v>202303</v>
      </c>
      <c r="T53" s="97" t="s">
        <v>154</v>
      </c>
      <c r="U53" s="97"/>
      <c r="V53" s="97"/>
      <c r="W53" s="97"/>
      <c r="X53" s="118">
        <v>44682</v>
      </c>
      <c r="Y53" s="118">
        <v>45016</v>
      </c>
    </row>
    <row r="54" s="79" customFormat="1" customHeight="1" spans="1:25">
      <c r="A54" s="104" t="s">
        <v>109</v>
      </c>
      <c r="B54" s="95" t="s">
        <v>26</v>
      </c>
      <c r="C54" s="94" t="s">
        <v>44</v>
      </c>
      <c r="D54" s="95" t="s">
        <v>28</v>
      </c>
      <c r="E54" s="105" t="s">
        <v>119</v>
      </c>
      <c r="F54" s="96" t="s">
        <v>120</v>
      </c>
      <c r="G54" s="96" t="s">
        <v>31</v>
      </c>
      <c r="H54" s="19" t="s">
        <v>175</v>
      </c>
      <c r="I54" s="23" t="e">
        <f>VLOOKUP(H54,'合同综合查询数据（3月返）'!$A:$A,1,FALSE)</f>
        <v>#N/A</v>
      </c>
      <c r="J54" s="24" t="s">
        <v>33</v>
      </c>
      <c r="K54" s="96" t="s">
        <v>176</v>
      </c>
      <c r="L54" s="114" t="s">
        <v>177</v>
      </c>
      <c r="M54" s="26" t="s">
        <v>178</v>
      </c>
      <c r="N54" s="106">
        <v>44652</v>
      </c>
      <c r="O54" s="106" t="s">
        <v>37</v>
      </c>
      <c r="P54" s="107">
        <v>0</v>
      </c>
      <c r="Q54" s="116">
        <v>1</v>
      </c>
      <c r="R54" s="119">
        <f t="shared" si="2"/>
        <v>0</v>
      </c>
      <c r="S54" s="117">
        <v>202303</v>
      </c>
      <c r="T54" s="127" t="s">
        <v>179</v>
      </c>
      <c r="U54" s="97"/>
      <c r="V54" s="128"/>
      <c r="W54" s="128"/>
      <c r="X54" s="118">
        <v>44652</v>
      </c>
      <c r="Y54" s="118">
        <v>45016</v>
      </c>
    </row>
    <row r="55" s="79" customFormat="1" customHeight="1" spans="1:25">
      <c r="A55" s="104" t="s">
        <v>109</v>
      </c>
      <c r="B55" s="95" t="s">
        <v>26</v>
      </c>
      <c r="C55" s="94" t="s">
        <v>44</v>
      </c>
      <c r="D55" s="95" t="s">
        <v>28</v>
      </c>
      <c r="E55" s="105" t="s">
        <v>119</v>
      </c>
      <c r="F55" s="96" t="s">
        <v>120</v>
      </c>
      <c r="G55" s="96" t="s">
        <v>31</v>
      </c>
      <c r="H55" s="19" t="s">
        <v>175</v>
      </c>
      <c r="I55" s="23" t="e">
        <f>VLOOKUP(H55,'合同综合查询数据（3月返）'!$A:$A,1,FALSE)</f>
        <v>#N/A</v>
      </c>
      <c r="J55" s="24" t="s">
        <v>33</v>
      </c>
      <c r="K55" s="96" t="s">
        <v>176</v>
      </c>
      <c r="L55" s="114" t="s">
        <v>177</v>
      </c>
      <c r="M55" s="26" t="s">
        <v>178</v>
      </c>
      <c r="N55" s="106">
        <v>44926</v>
      </c>
      <c r="O55" s="106" t="s">
        <v>37</v>
      </c>
      <c r="P55" s="107">
        <v>0</v>
      </c>
      <c r="Q55" s="116">
        <v>-1</v>
      </c>
      <c r="R55" s="119">
        <f t="shared" si="2"/>
        <v>0</v>
      </c>
      <c r="S55" s="117">
        <v>202303</v>
      </c>
      <c r="T55" s="127" t="s">
        <v>179</v>
      </c>
      <c r="U55" s="97"/>
      <c r="V55" s="128"/>
      <c r="W55" s="128"/>
      <c r="X55" s="118">
        <v>44652</v>
      </c>
      <c r="Y55" s="118">
        <v>45016</v>
      </c>
    </row>
    <row r="56" s="79" customFormat="1" customHeight="1" spans="1:25">
      <c r="A56" s="104" t="s">
        <v>109</v>
      </c>
      <c r="B56" s="95" t="s">
        <v>26</v>
      </c>
      <c r="C56" s="94" t="s">
        <v>44</v>
      </c>
      <c r="D56" s="95" t="s">
        <v>28</v>
      </c>
      <c r="E56" s="105" t="s">
        <v>119</v>
      </c>
      <c r="F56" s="96" t="s">
        <v>120</v>
      </c>
      <c r="G56" s="96" t="s">
        <v>31</v>
      </c>
      <c r="H56" s="19" t="s">
        <v>175</v>
      </c>
      <c r="I56" s="23" t="e">
        <f>VLOOKUP(H56,'合同综合查询数据（3月返）'!$A:$A,1,FALSE)</f>
        <v>#N/A</v>
      </c>
      <c r="J56" s="24" t="s">
        <v>33</v>
      </c>
      <c r="K56" s="96" t="s">
        <v>176</v>
      </c>
      <c r="L56" s="114" t="s">
        <v>177</v>
      </c>
      <c r="M56" s="26" t="s">
        <v>178</v>
      </c>
      <c r="N56" s="106">
        <v>44652</v>
      </c>
      <c r="O56" s="94" t="s">
        <v>152</v>
      </c>
      <c r="P56" s="107">
        <v>0</v>
      </c>
      <c r="Q56" s="107">
        <v>0</v>
      </c>
      <c r="R56" s="119">
        <f t="shared" si="2"/>
        <v>0</v>
      </c>
      <c r="S56" s="117">
        <v>202303</v>
      </c>
      <c r="T56" s="97" t="s">
        <v>180</v>
      </c>
      <c r="U56" s="97"/>
      <c r="V56" s="128"/>
      <c r="W56" s="128"/>
      <c r="X56" s="118">
        <v>44652</v>
      </c>
      <c r="Y56" s="118">
        <v>45016</v>
      </c>
    </row>
    <row r="57" s="79" customFormat="1" customHeight="1" spans="1:25">
      <c r="A57" s="104" t="s">
        <v>109</v>
      </c>
      <c r="B57" s="95" t="s">
        <v>26</v>
      </c>
      <c r="C57" s="94" t="s">
        <v>44</v>
      </c>
      <c r="D57" s="95" t="s">
        <v>28</v>
      </c>
      <c r="E57" s="105" t="s">
        <v>119</v>
      </c>
      <c r="F57" s="96" t="s">
        <v>120</v>
      </c>
      <c r="G57" s="96" t="s">
        <v>78</v>
      </c>
      <c r="H57" s="19" t="s">
        <v>175</v>
      </c>
      <c r="I57" s="23" t="e">
        <f>VLOOKUP(H57,'合同综合查询数据（3月返）'!$A:$A,1,FALSE)</f>
        <v>#N/A</v>
      </c>
      <c r="J57" s="24" t="s">
        <v>126</v>
      </c>
      <c r="K57" s="96" t="s">
        <v>176</v>
      </c>
      <c r="L57" s="114" t="s">
        <v>177</v>
      </c>
      <c r="M57" s="26" t="s">
        <v>178</v>
      </c>
      <c r="N57" s="106">
        <v>44652</v>
      </c>
      <c r="O57" s="94" t="s">
        <v>92</v>
      </c>
      <c r="P57" s="107">
        <v>0</v>
      </c>
      <c r="Q57" s="107">
        <v>0</v>
      </c>
      <c r="R57" s="119">
        <f t="shared" si="2"/>
        <v>0</v>
      </c>
      <c r="S57" s="117">
        <v>202303</v>
      </c>
      <c r="T57" s="97" t="s">
        <v>181</v>
      </c>
      <c r="U57" s="97"/>
      <c r="V57" s="128"/>
      <c r="W57" s="128"/>
      <c r="X57" s="118">
        <v>44652</v>
      </c>
      <c r="Y57" s="118">
        <v>45016</v>
      </c>
    </row>
    <row r="58" s="79" customFormat="1" customHeight="1" spans="1:25">
      <c r="A58" s="104" t="s">
        <v>109</v>
      </c>
      <c r="B58" s="95" t="s">
        <v>26</v>
      </c>
      <c r="C58" s="94" t="s">
        <v>44</v>
      </c>
      <c r="D58" s="95" t="s">
        <v>28</v>
      </c>
      <c r="E58" s="105" t="s">
        <v>119</v>
      </c>
      <c r="F58" s="96" t="s">
        <v>120</v>
      </c>
      <c r="G58" s="96" t="s">
        <v>31</v>
      </c>
      <c r="H58" s="19" t="s">
        <v>182</v>
      </c>
      <c r="I58" s="23" t="e">
        <f>VLOOKUP(H58,'合同综合查询数据（3月返）'!$A:$A,1,FALSE)</f>
        <v>#N/A</v>
      </c>
      <c r="J58" s="24" t="s">
        <v>33</v>
      </c>
      <c r="K58" s="96" t="s">
        <v>176</v>
      </c>
      <c r="L58" s="114" t="s">
        <v>183</v>
      </c>
      <c r="M58" s="26" t="s">
        <v>178</v>
      </c>
      <c r="N58" s="106">
        <v>44652</v>
      </c>
      <c r="O58" s="106" t="s">
        <v>37</v>
      </c>
      <c r="P58" s="107">
        <v>0</v>
      </c>
      <c r="Q58" s="116">
        <v>1</v>
      </c>
      <c r="R58" s="119">
        <f t="shared" si="2"/>
        <v>0</v>
      </c>
      <c r="S58" s="117">
        <v>202303</v>
      </c>
      <c r="T58" s="127" t="s">
        <v>184</v>
      </c>
      <c r="U58" s="97"/>
      <c r="V58" s="128"/>
      <c r="W58" s="128"/>
      <c r="X58" s="118">
        <v>44652</v>
      </c>
      <c r="Y58" s="118">
        <v>45016</v>
      </c>
    </row>
    <row r="59" s="79" customFormat="1" customHeight="1" spans="1:25">
      <c r="A59" s="104" t="s">
        <v>109</v>
      </c>
      <c r="B59" s="95" t="s">
        <v>26</v>
      </c>
      <c r="C59" s="94" t="s">
        <v>44</v>
      </c>
      <c r="D59" s="95" t="s">
        <v>28</v>
      </c>
      <c r="E59" s="105" t="s">
        <v>119</v>
      </c>
      <c r="F59" s="96" t="s">
        <v>120</v>
      </c>
      <c r="G59" s="96" t="s">
        <v>31</v>
      </c>
      <c r="H59" s="19" t="s">
        <v>182</v>
      </c>
      <c r="I59" s="23" t="e">
        <f>VLOOKUP(H59,'合同综合查询数据（3月返）'!$A:$A,1,FALSE)</f>
        <v>#N/A</v>
      </c>
      <c r="J59" s="24" t="s">
        <v>33</v>
      </c>
      <c r="K59" s="96" t="s">
        <v>176</v>
      </c>
      <c r="L59" s="114" t="s">
        <v>183</v>
      </c>
      <c r="M59" s="26" t="s">
        <v>178</v>
      </c>
      <c r="N59" s="106">
        <v>44818</v>
      </c>
      <c r="O59" s="106" t="s">
        <v>37</v>
      </c>
      <c r="P59" s="107">
        <v>0</v>
      </c>
      <c r="Q59" s="116">
        <v>-1</v>
      </c>
      <c r="R59" s="119">
        <f t="shared" si="2"/>
        <v>0</v>
      </c>
      <c r="S59" s="117">
        <v>202303</v>
      </c>
      <c r="T59" s="127" t="s">
        <v>185</v>
      </c>
      <c r="U59" s="97"/>
      <c r="V59" s="128"/>
      <c r="W59" s="128"/>
      <c r="X59" s="118">
        <v>44652</v>
      </c>
      <c r="Y59" s="118">
        <v>45016</v>
      </c>
    </row>
    <row r="60" s="79" customFormat="1" customHeight="1" spans="1:25">
      <c r="A60" s="104" t="s">
        <v>109</v>
      </c>
      <c r="B60" s="95" t="s">
        <v>26</v>
      </c>
      <c r="C60" s="94" t="s">
        <v>44</v>
      </c>
      <c r="D60" s="95" t="s">
        <v>28</v>
      </c>
      <c r="E60" s="105" t="s">
        <v>119</v>
      </c>
      <c r="F60" s="96" t="s">
        <v>120</v>
      </c>
      <c r="G60" s="96" t="s">
        <v>31</v>
      </c>
      <c r="H60" s="19" t="s">
        <v>182</v>
      </c>
      <c r="I60" s="23" t="e">
        <f>VLOOKUP(H60,'合同综合查询数据（3月返）'!$A:$A,1,FALSE)</f>
        <v>#N/A</v>
      </c>
      <c r="J60" s="24" t="s">
        <v>33</v>
      </c>
      <c r="K60" s="96" t="s">
        <v>176</v>
      </c>
      <c r="L60" s="114" t="s">
        <v>183</v>
      </c>
      <c r="M60" s="26" t="s">
        <v>178</v>
      </c>
      <c r="N60" s="106">
        <v>44652</v>
      </c>
      <c r="O60" s="94" t="s">
        <v>152</v>
      </c>
      <c r="P60" s="107">
        <v>0</v>
      </c>
      <c r="Q60" s="107">
        <v>0</v>
      </c>
      <c r="R60" s="119">
        <f t="shared" si="2"/>
        <v>0</v>
      </c>
      <c r="S60" s="117">
        <v>202303</v>
      </c>
      <c r="T60" s="97" t="s">
        <v>153</v>
      </c>
      <c r="U60" s="97"/>
      <c r="V60" s="128"/>
      <c r="W60" s="128"/>
      <c r="X60" s="118">
        <v>44652</v>
      </c>
      <c r="Y60" s="118">
        <v>45016</v>
      </c>
    </row>
    <row r="61" s="79" customFormat="1" customHeight="1" spans="1:25">
      <c r="A61" s="104" t="s">
        <v>109</v>
      </c>
      <c r="B61" s="95" t="s">
        <v>26</v>
      </c>
      <c r="C61" s="94" t="s">
        <v>44</v>
      </c>
      <c r="D61" s="95" t="s">
        <v>28</v>
      </c>
      <c r="E61" s="105" t="s">
        <v>119</v>
      </c>
      <c r="F61" s="96" t="s">
        <v>120</v>
      </c>
      <c r="G61" s="96" t="s">
        <v>78</v>
      </c>
      <c r="H61" s="19" t="s">
        <v>182</v>
      </c>
      <c r="I61" s="23" t="e">
        <f>VLOOKUP(H61,'合同综合查询数据（3月返）'!$A:$A,1,FALSE)</f>
        <v>#N/A</v>
      </c>
      <c r="J61" s="24" t="s">
        <v>126</v>
      </c>
      <c r="K61" s="96" t="s">
        <v>176</v>
      </c>
      <c r="L61" s="114" t="s">
        <v>183</v>
      </c>
      <c r="M61" s="26" t="s">
        <v>178</v>
      </c>
      <c r="N61" s="106">
        <v>44652</v>
      </c>
      <c r="O61" s="94" t="s">
        <v>92</v>
      </c>
      <c r="P61" s="107">
        <v>0</v>
      </c>
      <c r="Q61" s="107">
        <v>0</v>
      </c>
      <c r="R61" s="119">
        <f t="shared" si="2"/>
        <v>0</v>
      </c>
      <c r="S61" s="117">
        <v>202303</v>
      </c>
      <c r="T61" s="97" t="s">
        <v>154</v>
      </c>
      <c r="U61" s="97"/>
      <c r="V61" s="128"/>
      <c r="W61" s="128"/>
      <c r="X61" s="118">
        <v>44652</v>
      </c>
      <c r="Y61" s="118">
        <v>45016</v>
      </c>
    </row>
    <row r="62" s="79" customFormat="1" customHeight="1" spans="1:25">
      <c r="A62" s="96" t="s">
        <v>109</v>
      </c>
      <c r="B62" s="95" t="s">
        <v>26</v>
      </c>
      <c r="C62" s="94" t="s">
        <v>44</v>
      </c>
      <c r="D62" s="95" t="s">
        <v>28</v>
      </c>
      <c r="E62" s="23" t="s">
        <v>119</v>
      </c>
      <c r="F62" s="94" t="s">
        <v>120</v>
      </c>
      <c r="G62" s="96" t="s">
        <v>31</v>
      </c>
      <c r="H62" s="19" t="s">
        <v>182</v>
      </c>
      <c r="I62" s="23" t="e">
        <f>VLOOKUP(H62,'合同综合查询数据（3月返）'!$A:$A,1,FALSE)</f>
        <v>#N/A</v>
      </c>
      <c r="J62" s="24" t="s">
        <v>33</v>
      </c>
      <c r="K62" s="94" t="s">
        <v>176</v>
      </c>
      <c r="L62" s="94" t="s">
        <v>186</v>
      </c>
      <c r="M62" s="94" t="s">
        <v>178</v>
      </c>
      <c r="N62" s="106">
        <v>44818</v>
      </c>
      <c r="O62" s="94" t="s">
        <v>37</v>
      </c>
      <c r="P62" s="107"/>
      <c r="Q62" s="116">
        <v>1</v>
      </c>
      <c r="R62" s="119">
        <f t="shared" si="2"/>
        <v>0</v>
      </c>
      <c r="S62" s="117">
        <v>202303</v>
      </c>
      <c r="T62" s="97" t="s">
        <v>187</v>
      </c>
      <c r="U62" s="97"/>
      <c r="V62" s="128"/>
      <c r="W62" s="128"/>
      <c r="X62" s="118">
        <v>44652</v>
      </c>
      <c r="Y62" s="118">
        <v>45016</v>
      </c>
    </row>
    <row r="63" s="79" customFormat="1" customHeight="1" spans="1:25">
      <c r="A63" s="96" t="s">
        <v>109</v>
      </c>
      <c r="B63" s="95" t="s">
        <v>26</v>
      </c>
      <c r="C63" s="94" t="s">
        <v>44</v>
      </c>
      <c r="D63" s="95" t="s">
        <v>28</v>
      </c>
      <c r="E63" s="23" t="s">
        <v>119</v>
      </c>
      <c r="F63" s="94" t="s">
        <v>120</v>
      </c>
      <c r="G63" s="96" t="s">
        <v>31</v>
      </c>
      <c r="H63" s="19" t="s">
        <v>182</v>
      </c>
      <c r="I63" s="23" t="e">
        <f>VLOOKUP(H63,'合同综合查询数据（3月返）'!$A:$A,1,FALSE)</f>
        <v>#N/A</v>
      </c>
      <c r="J63" s="24" t="s">
        <v>33</v>
      </c>
      <c r="K63" s="94" t="s">
        <v>176</v>
      </c>
      <c r="L63" s="94" t="s">
        <v>186</v>
      </c>
      <c r="M63" s="94" t="s">
        <v>178</v>
      </c>
      <c r="N63" s="106">
        <v>44926</v>
      </c>
      <c r="O63" s="94" t="s">
        <v>37</v>
      </c>
      <c r="P63" s="107"/>
      <c r="Q63" s="116">
        <v>-1</v>
      </c>
      <c r="R63" s="119">
        <f t="shared" si="2"/>
        <v>0</v>
      </c>
      <c r="S63" s="117">
        <v>202303</v>
      </c>
      <c r="T63" s="97" t="s">
        <v>188</v>
      </c>
      <c r="U63" s="97"/>
      <c r="V63" s="97"/>
      <c r="W63" s="97"/>
      <c r="X63" s="118">
        <v>44652</v>
      </c>
      <c r="Y63" s="118">
        <v>45016</v>
      </c>
    </row>
    <row r="64" s="79" customFormat="1" customHeight="1" spans="1:25">
      <c r="A64" s="96" t="s">
        <v>129</v>
      </c>
      <c r="B64" s="95" t="s">
        <v>26</v>
      </c>
      <c r="C64" s="94" t="s">
        <v>39</v>
      </c>
      <c r="D64" s="95" t="s">
        <v>28</v>
      </c>
      <c r="E64" s="23" t="s">
        <v>119</v>
      </c>
      <c r="F64" s="94" t="s">
        <v>120</v>
      </c>
      <c r="G64" s="96" t="s">
        <v>31</v>
      </c>
      <c r="H64" s="97" t="s">
        <v>189</v>
      </c>
      <c r="I64" s="23" t="e">
        <f>VLOOKUP(H64,'合同综合查询数据（3月返）'!$A:$A,1,FALSE)</f>
        <v>#N/A</v>
      </c>
      <c r="J64" s="24" t="s">
        <v>33</v>
      </c>
      <c r="K64" s="94" t="s">
        <v>190</v>
      </c>
      <c r="L64" s="94" t="s">
        <v>191</v>
      </c>
      <c r="M64" s="94" t="s">
        <v>192</v>
      </c>
      <c r="N64" s="106">
        <v>44774</v>
      </c>
      <c r="O64" s="94" t="s">
        <v>37</v>
      </c>
      <c r="P64" s="115">
        <v>0</v>
      </c>
      <c r="Q64" s="116">
        <v>1</v>
      </c>
      <c r="R64" s="119">
        <f t="shared" si="2"/>
        <v>0</v>
      </c>
      <c r="S64" s="117">
        <v>202303</v>
      </c>
      <c r="T64" s="97" t="s">
        <v>193</v>
      </c>
      <c r="U64" s="97"/>
      <c r="V64" s="97"/>
      <c r="W64" s="97"/>
      <c r="X64" s="118">
        <v>44774</v>
      </c>
      <c r="Y64" s="118">
        <v>45016</v>
      </c>
    </row>
    <row r="65" s="79" customFormat="1" customHeight="1" spans="1:25">
      <c r="A65" s="96" t="s">
        <v>109</v>
      </c>
      <c r="B65" s="95" t="s">
        <v>26</v>
      </c>
      <c r="C65" s="94" t="s">
        <v>44</v>
      </c>
      <c r="D65" s="95" t="s">
        <v>28</v>
      </c>
      <c r="E65" s="23" t="s">
        <v>119</v>
      </c>
      <c r="F65" s="94" t="s">
        <v>120</v>
      </c>
      <c r="G65" s="96" t="s">
        <v>31</v>
      </c>
      <c r="H65" s="97" t="s">
        <v>194</v>
      </c>
      <c r="I65" s="23" t="e">
        <f>VLOOKUP(H65,'合同综合查询数据（3月返）'!$A:$A,1,FALSE)</f>
        <v>#N/A</v>
      </c>
      <c r="J65" s="24" t="s">
        <v>33</v>
      </c>
      <c r="K65" s="94" t="s">
        <v>176</v>
      </c>
      <c r="L65" s="94" t="s">
        <v>195</v>
      </c>
      <c r="M65" s="94" t="s">
        <v>196</v>
      </c>
      <c r="N65" s="106">
        <v>44774</v>
      </c>
      <c r="O65" s="94" t="s">
        <v>37</v>
      </c>
      <c r="P65" s="115">
        <v>0</v>
      </c>
      <c r="Q65" s="116">
        <v>1</v>
      </c>
      <c r="R65" s="119">
        <f t="shared" si="2"/>
        <v>0</v>
      </c>
      <c r="S65" s="117">
        <v>202303</v>
      </c>
      <c r="T65" s="97" t="s">
        <v>197</v>
      </c>
      <c r="U65" s="97"/>
      <c r="V65" s="97"/>
      <c r="W65" s="97"/>
      <c r="X65" s="118">
        <v>44774</v>
      </c>
      <c r="Y65" s="118">
        <v>45016</v>
      </c>
    </row>
    <row r="66" s="79" customFormat="1" customHeight="1" spans="1:25">
      <c r="A66" s="96" t="s">
        <v>109</v>
      </c>
      <c r="B66" s="95" t="s">
        <v>26</v>
      </c>
      <c r="C66" s="94" t="s">
        <v>44</v>
      </c>
      <c r="D66" s="95" t="s">
        <v>28</v>
      </c>
      <c r="E66" s="23" t="s">
        <v>119</v>
      </c>
      <c r="F66" s="94" t="s">
        <v>120</v>
      </c>
      <c r="G66" s="96" t="s">
        <v>31</v>
      </c>
      <c r="H66" s="97" t="s">
        <v>194</v>
      </c>
      <c r="I66" s="23" t="e">
        <f>VLOOKUP(H66,'合同综合查询数据（3月返）'!$A:$A,1,FALSE)</f>
        <v>#N/A</v>
      </c>
      <c r="J66" s="24" t="s">
        <v>33</v>
      </c>
      <c r="K66" s="94" t="s">
        <v>176</v>
      </c>
      <c r="L66" s="94" t="s">
        <v>195</v>
      </c>
      <c r="M66" s="94" t="s">
        <v>196</v>
      </c>
      <c r="N66" s="106">
        <v>44926</v>
      </c>
      <c r="O66" s="94" t="s">
        <v>37</v>
      </c>
      <c r="P66" s="115">
        <v>0</v>
      </c>
      <c r="Q66" s="116">
        <v>-1</v>
      </c>
      <c r="R66" s="119">
        <f t="shared" si="2"/>
        <v>0</v>
      </c>
      <c r="S66" s="117">
        <v>202303</v>
      </c>
      <c r="T66" s="97" t="s">
        <v>197</v>
      </c>
      <c r="U66" s="97"/>
      <c r="V66" s="97"/>
      <c r="W66" s="97"/>
      <c r="X66" s="118">
        <v>44774</v>
      </c>
      <c r="Y66" s="118">
        <v>45016</v>
      </c>
    </row>
    <row r="67" s="79" customFormat="1" customHeight="1" spans="1:25">
      <c r="A67" s="96" t="s">
        <v>129</v>
      </c>
      <c r="B67" s="95" t="s">
        <v>26</v>
      </c>
      <c r="C67" s="94" t="s">
        <v>130</v>
      </c>
      <c r="D67" s="95" t="s">
        <v>28</v>
      </c>
      <c r="E67" s="23" t="s">
        <v>119</v>
      </c>
      <c r="F67" s="94" t="s">
        <v>120</v>
      </c>
      <c r="G67" s="96" t="s">
        <v>31</v>
      </c>
      <c r="H67" s="97" t="s">
        <v>198</v>
      </c>
      <c r="I67" s="23" t="e">
        <f>VLOOKUP(H67,'合同综合查询数据（3月返）'!$A:$A,1,FALSE)</f>
        <v>#N/A</v>
      </c>
      <c r="J67" s="24" t="s">
        <v>33</v>
      </c>
      <c r="K67" s="94" t="s">
        <v>199</v>
      </c>
      <c r="L67" s="94" t="s">
        <v>200</v>
      </c>
      <c r="M67" s="94" t="s">
        <v>201</v>
      </c>
      <c r="N67" s="106">
        <v>44774</v>
      </c>
      <c r="O67" s="94" t="s">
        <v>37</v>
      </c>
      <c r="P67" s="115">
        <v>0</v>
      </c>
      <c r="Q67" s="116">
        <v>1</v>
      </c>
      <c r="R67" s="119">
        <f t="shared" si="2"/>
        <v>0</v>
      </c>
      <c r="S67" s="117">
        <v>202303</v>
      </c>
      <c r="T67" s="97" t="s">
        <v>202</v>
      </c>
      <c r="U67" s="97"/>
      <c r="V67" s="97"/>
      <c r="W67" s="97"/>
      <c r="X67" s="118">
        <v>44774</v>
      </c>
      <c r="Y67" s="118">
        <v>45016</v>
      </c>
    </row>
    <row r="68" s="79" customFormat="1" customHeight="1" spans="1:25">
      <c r="A68" s="96" t="s">
        <v>129</v>
      </c>
      <c r="B68" s="95" t="s">
        <v>26</v>
      </c>
      <c r="C68" s="94" t="s">
        <v>130</v>
      </c>
      <c r="D68" s="95" t="s">
        <v>28</v>
      </c>
      <c r="E68" s="23" t="s">
        <v>119</v>
      </c>
      <c r="F68" s="94" t="s">
        <v>120</v>
      </c>
      <c r="G68" s="96" t="s">
        <v>31</v>
      </c>
      <c r="H68" s="97" t="s">
        <v>198</v>
      </c>
      <c r="I68" s="23" t="e">
        <f>VLOOKUP(H68,'合同综合查询数据（3月返）'!$A:$A,1,FALSE)</f>
        <v>#N/A</v>
      </c>
      <c r="J68" s="24" t="s">
        <v>33</v>
      </c>
      <c r="K68" s="94" t="s">
        <v>199</v>
      </c>
      <c r="L68" s="94" t="s">
        <v>200</v>
      </c>
      <c r="M68" s="94" t="s">
        <v>201</v>
      </c>
      <c r="N68" s="106">
        <v>44929</v>
      </c>
      <c r="O68" s="94" t="s">
        <v>37</v>
      </c>
      <c r="P68" s="115">
        <v>0</v>
      </c>
      <c r="Q68" s="116">
        <v>-1</v>
      </c>
      <c r="R68" s="119">
        <f t="shared" si="2"/>
        <v>0</v>
      </c>
      <c r="S68" s="117">
        <v>202303</v>
      </c>
      <c r="T68" s="97" t="s">
        <v>203</v>
      </c>
      <c r="U68" s="97"/>
      <c r="V68" s="97"/>
      <c r="W68" s="97"/>
      <c r="X68" s="118">
        <v>44774</v>
      </c>
      <c r="Y68" s="118">
        <v>45016</v>
      </c>
    </row>
    <row r="69" s="79" customFormat="1" customHeight="1" spans="1:25">
      <c r="A69" s="96" t="s">
        <v>109</v>
      </c>
      <c r="B69" s="95" t="s">
        <v>26</v>
      </c>
      <c r="C69" s="94" t="s">
        <v>204</v>
      </c>
      <c r="D69" s="95" t="s">
        <v>28</v>
      </c>
      <c r="E69" s="23" t="s">
        <v>119</v>
      </c>
      <c r="F69" s="94" t="s">
        <v>120</v>
      </c>
      <c r="G69" s="96" t="s">
        <v>31</v>
      </c>
      <c r="H69" s="97" t="s">
        <v>205</v>
      </c>
      <c r="I69" s="23" t="e">
        <f>VLOOKUP(H69,'合同综合查询数据（3月返）'!$A:$A,1,FALSE)</f>
        <v>#N/A</v>
      </c>
      <c r="J69" s="24" t="s">
        <v>33</v>
      </c>
      <c r="K69" s="94" t="s">
        <v>206</v>
      </c>
      <c r="L69" s="94" t="s">
        <v>207</v>
      </c>
      <c r="M69" s="94" t="s">
        <v>208</v>
      </c>
      <c r="N69" s="106">
        <v>44774</v>
      </c>
      <c r="O69" s="94" t="s">
        <v>37</v>
      </c>
      <c r="P69" s="115">
        <v>0</v>
      </c>
      <c r="Q69" s="116">
        <v>1</v>
      </c>
      <c r="R69" s="119">
        <f t="shared" si="2"/>
        <v>0</v>
      </c>
      <c r="S69" s="117">
        <v>202303</v>
      </c>
      <c r="T69" s="97" t="s">
        <v>209</v>
      </c>
      <c r="U69" s="97"/>
      <c r="V69" s="97"/>
      <c r="W69" s="97"/>
      <c r="X69" s="118">
        <v>44774</v>
      </c>
      <c r="Y69" s="118">
        <v>45016</v>
      </c>
    </row>
    <row r="70" s="79" customFormat="1" customHeight="1" spans="1:25">
      <c r="A70" s="96" t="s">
        <v>109</v>
      </c>
      <c r="B70" s="95" t="s">
        <v>26</v>
      </c>
      <c r="C70" s="94" t="s">
        <v>210</v>
      </c>
      <c r="D70" s="95" t="s">
        <v>28</v>
      </c>
      <c r="E70" s="23" t="s">
        <v>119</v>
      </c>
      <c r="F70" s="94" t="s">
        <v>120</v>
      </c>
      <c r="G70" s="96" t="s">
        <v>31</v>
      </c>
      <c r="H70" s="97" t="s">
        <v>211</v>
      </c>
      <c r="I70" s="23" t="e">
        <f>VLOOKUP(H70,'合同综合查询数据（3月返）'!$A:$A,1,FALSE)</f>
        <v>#N/A</v>
      </c>
      <c r="J70" s="24" t="s">
        <v>33</v>
      </c>
      <c r="K70" s="94" t="s">
        <v>212</v>
      </c>
      <c r="L70" s="94" t="s">
        <v>213</v>
      </c>
      <c r="M70" s="94" t="s">
        <v>214</v>
      </c>
      <c r="N70" s="106">
        <v>44774</v>
      </c>
      <c r="O70" s="94" t="s">
        <v>37</v>
      </c>
      <c r="P70" s="115">
        <v>0</v>
      </c>
      <c r="Q70" s="116">
        <v>1</v>
      </c>
      <c r="R70" s="119">
        <f t="shared" si="2"/>
        <v>0</v>
      </c>
      <c r="S70" s="117">
        <v>202303</v>
      </c>
      <c r="T70" s="97" t="s">
        <v>215</v>
      </c>
      <c r="U70" s="97"/>
      <c r="V70" s="97"/>
      <c r="W70" s="97"/>
      <c r="X70" s="118">
        <v>44774</v>
      </c>
      <c r="Y70" s="118">
        <v>45016</v>
      </c>
    </row>
    <row r="71" s="79" customFormat="1" customHeight="1" spans="1:25">
      <c r="A71" s="96" t="s">
        <v>109</v>
      </c>
      <c r="B71" s="95" t="s">
        <v>26</v>
      </c>
      <c r="C71" s="94" t="s">
        <v>210</v>
      </c>
      <c r="D71" s="95" t="s">
        <v>28</v>
      </c>
      <c r="E71" s="23" t="s">
        <v>119</v>
      </c>
      <c r="F71" s="94" t="s">
        <v>120</v>
      </c>
      <c r="G71" s="96" t="s">
        <v>31</v>
      </c>
      <c r="H71" s="97" t="s">
        <v>211</v>
      </c>
      <c r="I71" s="23" t="e">
        <f>VLOOKUP(H71,'合同综合查询数据（3月返）'!$A:$A,1,FALSE)</f>
        <v>#N/A</v>
      </c>
      <c r="J71" s="24" t="s">
        <v>33</v>
      </c>
      <c r="K71" s="94" t="s">
        <v>212</v>
      </c>
      <c r="L71" s="94" t="s">
        <v>213</v>
      </c>
      <c r="M71" s="94" t="s">
        <v>214</v>
      </c>
      <c r="N71" s="106">
        <v>44804</v>
      </c>
      <c r="O71" s="94" t="s">
        <v>37</v>
      </c>
      <c r="P71" s="115">
        <v>0</v>
      </c>
      <c r="Q71" s="116">
        <v>-1</v>
      </c>
      <c r="R71" s="119">
        <f t="shared" si="2"/>
        <v>0</v>
      </c>
      <c r="S71" s="117">
        <v>202303</v>
      </c>
      <c r="T71" s="97" t="s">
        <v>216</v>
      </c>
      <c r="U71" s="97"/>
      <c r="V71" s="97"/>
      <c r="W71" s="97"/>
      <c r="X71" s="118">
        <v>44774</v>
      </c>
      <c r="Y71" s="118">
        <v>45016</v>
      </c>
    </row>
    <row r="72" s="79" customFormat="1" customHeight="1" spans="1:25">
      <c r="A72" s="96" t="s">
        <v>109</v>
      </c>
      <c r="B72" s="95" t="s">
        <v>26</v>
      </c>
      <c r="C72" s="94" t="s">
        <v>217</v>
      </c>
      <c r="D72" s="95" t="s">
        <v>28</v>
      </c>
      <c r="E72" s="23" t="s">
        <v>119</v>
      </c>
      <c r="F72" s="94" t="s">
        <v>120</v>
      </c>
      <c r="G72" s="96" t="s">
        <v>31</v>
      </c>
      <c r="H72" s="97" t="s">
        <v>218</v>
      </c>
      <c r="I72" s="23" t="e">
        <f>VLOOKUP(H72,'合同综合查询数据（3月返）'!$A:$A,1,FALSE)</f>
        <v>#N/A</v>
      </c>
      <c r="J72" s="24" t="s">
        <v>33</v>
      </c>
      <c r="K72" s="94" t="s">
        <v>219</v>
      </c>
      <c r="L72" s="94" t="s">
        <v>220</v>
      </c>
      <c r="M72" s="94" t="s">
        <v>221</v>
      </c>
      <c r="N72" s="106">
        <v>44774</v>
      </c>
      <c r="O72" s="94" t="s">
        <v>37</v>
      </c>
      <c r="P72" s="115">
        <v>0</v>
      </c>
      <c r="Q72" s="116">
        <v>1</v>
      </c>
      <c r="R72" s="119">
        <f t="shared" si="2"/>
        <v>0</v>
      </c>
      <c r="S72" s="117">
        <v>202303</v>
      </c>
      <c r="T72" s="97" t="s">
        <v>222</v>
      </c>
      <c r="U72" s="97"/>
      <c r="V72" s="97"/>
      <c r="W72" s="97"/>
      <c r="X72" s="118">
        <v>44774</v>
      </c>
      <c r="Y72" s="118">
        <v>45016</v>
      </c>
    </row>
    <row r="73" s="79" customFormat="1" customHeight="1" spans="1:25">
      <c r="A73" s="96" t="s">
        <v>109</v>
      </c>
      <c r="B73" s="95" t="s">
        <v>26</v>
      </c>
      <c r="C73" s="94" t="s">
        <v>217</v>
      </c>
      <c r="D73" s="95" t="s">
        <v>28</v>
      </c>
      <c r="E73" s="23" t="s">
        <v>119</v>
      </c>
      <c r="F73" s="94" t="s">
        <v>120</v>
      </c>
      <c r="G73" s="96" t="s">
        <v>31</v>
      </c>
      <c r="H73" s="97" t="s">
        <v>218</v>
      </c>
      <c r="I73" s="23" t="e">
        <f>VLOOKUP(H73,'合同综合查询数据（3月返）'!$A:$A,1,FALSE)</f>
        <v>#N/A</v>
      </c>
      <c r="J73" s="24" t="s">
        <v>33</v>
      </c>
      <c r="K73" s="94" t="s">
        <v>219</v>
      </c>
      <c r="L73" s="94" t="s">
        <v>223</v>
      </c>
      <c r="M73" s="94" t="s">
        <v>221</v>
      </c>
      <c r="N73" s="106">
        <v>44774</v>
      </c>
      <c r="O73" s="94" t="s">
        <v>37</v>
      </c>
      <c r="P73" s="115">
        <v>0</v>
      </c>
      <c r="Q73" s="116">
        <v>1</v>
      </c>
      <c r="R73" s="119">
        <f t="shared" si="2"/>
        <v>0</v>
      </c>
      <c r="S73" s="117">
        <v>202303</v>
      </c>
      <c r="T73" s="97" t="s">
        <v>224</v>
      </c>
      <c r="U73" s="97"/>
      <c r="V73" s="97"/>
      <c r="W73" s="97"/>
      <c r="X73" s="118">
        <v>44774</v>
      </c>
      <c r="Y73" s="118">
        <v>45016</v>
      </c>
    </row>
    <row r="74" s="79" customFormat="1" customHeight="1" spans="1:25">
      <c r="A74" s="96" t="s">
        <v>129</v>
      </c>
      <c r="B74" s="95" t="s">
        <v>26</v>
      </c>
      <c r="C74" s="94" t="s">
        <v>130</v>
      </c>
      <c r="D74" s="95" t="s">
        <v>28</v>
      </c>
      <c r="E74" s="23" t="s">
        <v>119</v>
      </c>
      <c r="F74" s="94" t="s">
        <v>120</v>
      </c>
      <c r="G74" s="96" t="s">
        <v>31</v>
      </c>
      <c r="H74" s="97" t="s">
        <v>225</v>
      </c>
      <c r="I74" s="23" t="e">
        <f>VLOOKUP(H74,'合同综合查询数据（3月返）'!$A:$A,1,FALSE)</f>
        <v>#N/A</v>
      </c>
      <c r="J74" s="24" t="s">
        <v>33</v>
      </c>
      <c r="K74" s="94" t="s">
        <v>199</v>
      </c>
      <c r="L74" s="94" t="s">
        <v>226</v>
      </c>
      <c r="M74" s="94" t="s">
        <v>227</v>
      </c>
      <c r="N74" s="106">
        <v>44775</v>
      </c>
      <c r="O74" s="94" t="s">
        <v>37</v>
      </c>
      <c r="P74" s="115">
        <v>0</v>
      </c>
      <c r="Q74" s="116">
        <v>1</v>
      </c>
      <c r="R74" s="119">
        <f t="shared" si="2"/>
        <v>0</v>
      </c>
      <c r="S74" s="117">
        <v>202303</v>
      </c>
      <c r="T74" s="97" t="s">
        <v>228</v>
      </c>
      <c r="U74" s="97"/>
      <c r="V74" s="97"/>
      <c r="W74" s="97"/>
      <c r="X74" s="118">
        <v>44775</v>
      </c>
      <c r="Y74" s="118">
        <v>45016</v>
      </c>
    </row>
    <row r="75" s="79" customFormat="1" customHeight="1" spans="1:25">
      <c r="A75" s="96" t="s">
        <v>129</v>
      </c>
      <c r="B75" s="95" t="s">
        <v>26</v>
      </c>
      <c r="C75" s="94" t="s">
        <v>130</v>
      </c>
      <c r="D75" s="95" t="s">
        <v>28</v>
      </c>
      <c r="E75" s="23" t="s">
        <v>119</v>
      </c>
      <c r="F75" s="94" t="s">
        <v>120</v>
      </c>
      <c r="G75" s="96" t="s">
        <v>31</v>
      </c>
      <c r="H75" s="97" t="s">
        <v>225</v>
      </c>
      <c r="I75" s="23" t="e">
        <f>VLOOKUP(H75,'合同综合查询数据（3月返）'!$A:$A,1,FALSE)</f>
        <v>#N/A</v>
      </c>
      <c r="J75" s="24" t="s">
        <v>33</v>
      </c>
      <c r="K75" s="94" t="s">
        <v>199</v>
      </c>
      <c r="L75" s="94" t="s">
        <v>226</v>
      </c>
      <c r="M75" s="94" t="s">
        <v>227</v>
      </c>
      <c r="N75" s="106">
        <v>44929</v>
      </c>
      <c r="O75" s="94" t="s">
        <v>37</v>
      </c>
      <c r="P75" s="115">
        <v>0</v>
      </c>
      <c r="Q75" s="116">
        <v>-1</v>
      </c>
      <c r="R75" s="119">
        <f t="shared" si="2"/>
        <v>0</v>
      </c>
      <c r="S75" s="117">
        <v>202303</v>
      </c>
      <c r="T75" s="97" t="s">
        <v>229</v>
      </c>
      <c r="U75" s="97"/>
      <c r="V75" s="97"/>
      <c r="W75" s="97"/>
      <c r="X75" s="118">
        <v>44775</v>
      </c>
      <c r="Y75" s="118">
        <v>45016</v>
      </c>
    </row>
    <row r="76" s="79" customFormat="1" customHeight="1" spans="1:25">
      <c r="A76" s="96" t="s">
        <v>109</v>
      </c>
      <c r="B76" s="95" t="s">
        <v>26</v>
      </c>
      <c r="C76" s="94" t="s">
        <v>44</v>
      </c>
      <c r="D76" s="95" t="s">
        <v>28</v>
      </c>
      <c r="E76" s="23" t="s">
        <v>119</v>
      </c>
      <c r="F76" s="94" t="s">
        <v>120</v>
      </c>
      <c r="G76" s="96" t="s">
        <v>31</v>
      </c>
      <c r="H76" s="97" t="s">
        <v>230</v>
      </c>
      <c r="I76" s="23" t="e">
        <f>VLOOKUP(H76,'合同综合查询数据（3月返）'!$A:$A,1,FALSE)</f>
        <v>#N/A</v>
      </c>
      <c r="J76" s="24" t="s">
        <v>33</v>
      </c>
      <c r="K76" s="94" t="s">
        <v>176</v>
      </c>
      <c r="L76" s="94" t="s">
        <v>231</v>
      </c>
      <c r="M76" s="94" t="s">
        <v>178</v>
      </c>
      <c r="N76" s="106">
        <v>44805</v>
      </c>
      <c r="O76" s="94" t="s">
        <v>37</v>
      </c>
      <c r="P76" s="107">
        <v>0</v>
      </c>
      <c r="Q76" s="116">
        <v>1</v>
      </c>
      <c r="R76" s="119">
        <f t="shared" si="2"/>
        <v>0</v>
      </c>
      <c r="S76" s="117">
        <v>202303</v>
      </c>
      <c r="T76" s="97" t="s">
        <v>232</v>
      </c>
      <c r="U76" s="97"/>
      <c r="V76" s="97"/>
      <c r="W76" s="97"/>
      <c r="X76" s="118">
        <v>44805</v>
      </c>
      <c r="Y76" s="118">
        <v>45016</v>
      </c>
    </row>
    <row r="77" s="79" customFormat="1" customHeight="1" spans="1:25">
      <c r="A77" s="96" t="s">
        <v>109</v>
      </c>
      <c r="B77" s="95" t="s">
        <v>26</v>
      </c>
      <c r="C77" s="94" t="s">
        <v>44</v>
      </c>
      <c r="D77" s="95" t="s">
        <v>28</v>
      </c>
      <c r="E77" s="23" t="s">
        <v>119</v>
      </c>
      <c r="F77" s="94" t="s">
        <v>120</v>
      </c>
      <c r="G77" s="96" t="s">
        <v>31</v>
      </c>
      <c r="H77" s="97" t="s">
        <v>230</v>
      </c>
      <c r="I77" s="23" t="e">
        <f>VLOOKUP(H77,'合同综合查询数据（3月返）'!$A:$A,1,FALSE)</f>
        <v>#N/A</v>
      </c>
      <c r="J77" s="24" t="s">
        <v>33</v>
      </c>
      <c r="K77" s="94" t="s">
        <v>176</v>
      </c>
      <c r="L77" s="94" t="s">
        <v>231</v>
      </c>
      <c r="M77" s="94" t="s">
        <v>178</v>
      </c>
      <c r="N77" s="106">
        <v>44926</v>
      </c>
      <c r="O77" s="94" t="s">
        <v>37</v>
      </c>
      <c r="P77" s="107">
        <v>0</v>
      </c>
      <c r="Q77" s="116">
        <v>-1</v>
      </c>
      <c r="R77" s="119">
        <f t="shared" ref="R77:R102" si="3">ROUND(P77*Q77,2)</f>
        <v>0</v>
      </c>
      <c r="S77" s="117">
        <v>202303</v>
      </c>
      <c r="T77" s="97" t="s">
        <v>232</v>
      </c>
      <c r="U77" s="97"/>
      <c r="V77" s="97"/>
      <c r="W77" s="97"/>
      <c r="X77" s="118">
        <v>44805</v>
      </c>
      <c r="Y77" s="118">
        <v>45016</v>
      </c>
    </row>
    <row r="78" s="79" customFormat="1" customHeight="1" spans="1:25">
      <c r="A78" s="96" t="s">
        <v>109</v>
      </c>
      <c r="B78" s="95" t="s">
        <v>26</v>
      </c>
      <c r="C78" s="94" t="s">
        <v>44</v>
      </c>
      <c r="D78" s="95" t="s">
        <v>28</v>
      </c>
      <c r="E78" s="23" t="s">
        <v>119</v>
      </c>
      <c r="F78" s="94" t="s">
        <v>120</v>
      </c>
      <c r="G78" s="96" t="s">
        <v>31</v>
      </c>
      <c r="H78" s="97" t="s">
        <v>230</v>
      </c>
      <c r="I78" s="23" t="e">
        <f>VLOOKUP(H78,'合同综合查询数据（3月返）'!$A:$A,1,FALSE)</f>
        <v>#N/A</v>
      </c>
      <c r="J78" s="24" t="s">
        <v>33</v>
      </c>
      <c r="K78" s="94" t="s">
        <v>176</v>
      </c>
      <c r="L78" s="94" t="s">
        <v>233</v>
      </c>
      <c r="M78" s="94" t="s">
        <v>178</v>
      </c>
      <c r="N78" s="106">
        <v>44805</v>
      </c>
      <c r="O78" s="94" t="s">
        <v>37</v>
      </c>
      <c r="P78" s="107">
        <v>0</v>
      </c>
      <c r="Q78" s="116">
        <v>1</v>
      </c>
      <c r="R78" s="119">
        <f t="shared" si="3"/>
        <v>0</v>
      </c>
      <c r="S78" s="117">
        <v>202303</v>
      </c>
      <c r="T78" s="97" t="s">
        <v>234</v>
      </c>
      <c r="U78" s="97"/>
      <c r="V78" s="97"/>
      <c r="W78" s="97"/>
      <c r="X78" s="118">
        <v>44805</v>
      </c>
      <c r="Y78" s="118">
        <v>45016</v>
      </c>
    </row>
    <row r="79" s="79" customFormat="1" customHeight="1" spans="1:25">
      <c r="A79" s="96" t="s">
        <v>109</v>
      </c>
      <c r="B79" s="95" t="s">
        <v>26</v>
      </c>
      <c r="C79" s="94" t="s">
        <v>44</v>
      </c>
      <c r="D79" s="95" t="s">
        <v>28</v>
      </c>
      <c r="E79" s="23" t="s">
        <v>119</v>
      </c>
      <c r="F79" s="94" t="s">
        <v>120</v>
      </c>
      <c r="G79" s="96" t="s">
        <v>31</v>
      </c>
      <c r="H79" s="97" t="s">
        <v>230</v>
      </c>
      <c r="I79" s="23" t="e">
        <f>VLOOKUP(H79,'合同综合查询数据（3月返）'!$A:$A,1,FALSE)</f>
        <v>#N/A</v>
      </c>
      <c r="J79" s="24" t="s">
        <v>33</v>
      </c>
      <c r="K79" s="94" t="s">
        <v>176</v>
      </c>
      <c r="L79" s="94" t="s">
        <v>233</v>
      </c>
      <c r="M79" s="94" t="s">
        <v>178</v>
      </c>
      <c r="N79" s="106">
        <v>44813</v>
      </c>
      <c r="O79" s="94" t="s">
        <v>37</v>
      </c>
      <c r="P79" s="107">
        <v>0</v>
      </c>
      <c r="Q79" s="116">
        <v>-1</v>
      </c>
      <c r="R79" s="119">
        <f t="shared" si="3"/>
        <v>0</v>
      </c>
      <c r="S79" s="117">
        <v>202303</v>
      </c>
      <c r="T79" s="97" t="s">
        <v>235</v>
      </c>
      <c r="U79" s="97"/>
      <c r="V79" s="97"/>
      <c r="W79" s="97"/>
      <c r="X79" s="118">
        <v>44805</v>
      </c>
      <c r="Y79" s="118">
        <v>45016</v>
      </c>
    </row>
    <row r="80" s="79" customFormat="1" customHeight="1" spans="1:25">
      <c r="A80" s="96" t="s">
        <v>109</v>
      </c>
      <c r="B80" s="95" t="s">
        <v>26</v>
      </c>
      <c r="C80" s="94" t="s">
        <v>44</v>
      </c>
      <c r="D80" s="95" t="s">
        <v>28</v>
      </c>
      <c r="E80" s="23" t="s">
        <v>119</v>
      </c>
      <c r="F80" s="94" t="s">
        <v>120</v>
      </c>
      <c r="G80" s="96" t="s">
        <v>31</v>
      </c>
      <c r="H80" s="97" t="s">
        <v>230</v>
      </c>
      <c r="I80" s="23" t="e">
        <f>VLOOKUP(H80,'合同综合查询数据（3月返）'!$A:$A,1,FALSE)</f>
        <v>#N/A</v>
      </c>
      <c r="J80" s="24" t="s">
        <v>33</v>
      </c>
      <c r="K80" s="94" t="s">
        <v>176</v>
      </c>
      <c r="L80" s="94" t="s">
        <v>236</v>
      </c>
      <c r="M80" s="94" t="s">
        <v>178</v>
      </c>
      <c r="N80" s="106">
        <v>44805</v>
      </c>
      <c r="O80" s="94" t="s">
        <v>37</v>
      </c>
      <c r="P80" s="107">
        <v>0</v>
      </c>
      <c r="Q80" s="116">
        <v>1</v>
      </c>
      <c r="R80" s="119">
        <f t="shared" si="3"/>
        <v>0</v>
      </c>
      <c r="S80" s="117">
        <v>202303</v>
      </c>
      <c r="T80" s="97" t="s">
        <v>237</v>
      </c>
      <c r="U80" s="97"/>
      <c r="V80" s="97"/>
      <c r="W80" s="97"/>
      <c r="X80" s="118">
        <v>44805</v>
      </c>
      <c r="Y80" s="118">
        <v>45016</v>
      </c>
    </row>
    <row r="81" s="79" customFormat="1" customHeight="1" spans="1:25">
      <c r="A81" s="96" t="s">
        <v>109</v>
      </c>
      <c r="B81" s="95" t="s">
        <v>26</v>
      </c>
      <c r="C81" s="94" t="s">
        <v>44</v>
      </c>
      <c r="D81" s="95" t="s">
        <v>28</v>
      </c>
      <c r="E81" s="23" t="s">
        <v>119</v>
      </c>
      <c r="F81" s="94" t="s">
        <v>120</v>
      </c>
      <c r="G81" s="96" t="s">
        <v>31</v>
      </c>
      <c r="H81" s="97" t="s">
        <v>230</v>
      </c>
      <c r="I81" s="23" t="e">
        <f>VLOOKUP(H81,'合同综合查询数据（3月返）'!$A:$A,1,FALSE)</f>
        <v>#N/A</v>
      </c>
      <c r="J81" s="24" t="s">
        <v>33</v>
      </c>
      <c r="K81" s="94" t="s">
        <v>176</v>
      </c>
      <c r="L81" s="94" t="s">
        <v>236</v>
      </c>
      <c r="M81" s="94" t="s">
        <v>178</v>
      </c>
      <c r="N81" s="106">
        <v>44926</v>
      </c>
      <c r="O81" s="94" t="s">
        <v>37</v>
      </c>
      <c r="P81" s="107">
        <v>0</v>
      </c>
      <c r="Q81" s="116">
        <v>-1</v>
      </c>
      <c r="R81" s="119">
        <f t="shared" si="3"/>
        <v>0</v>
      </c>
      <c r="S81" s="117">
        <v>202303</v>
      </c>
      <c r="T81" s="97" t="s">
        <v>237</v>
      </c>
      <c r="U81" s="97"/>
      <c r="V81" s="97"/>
      <c r="W81" s="97"/>
      <c r="X81" s="118">
        <v>44805</v>
      </c>
      <c r="Y81" s="118">
        <v>45016</v>
      </c>
    </row>
    <row r="82" s="79" customFormat="1" customHeight="1" spans="1:25">
      <c r="A82" s="96" t="s">
        <v>129</v>
      </c>
      <c r="B82" s="95" t="s">
        <v>26</v>
      </c>
      <c r="C82" s="94" t="s">
        <v>130</v>
      </c>
      <c r="D82" s="95" t="s">
        <v>28</v>
      </c>
      <c r="E82" s="23" t="s">
        <v>119</v>
      </c>
      <c r="F82" s="94" t="s">
        <v>120</v>
      </c>
      <c r="G82" s="96" t="s">
        <v>31</v>
      </c>
      <c r="H82" s="97" t="s">
        <v>238</v>
      </c>
      <c r="I82" s="23" t="e">
        <f>VLOOKUP(H82,'合同综合查询数据（3月返）'!$A:$A,1,FALSE)</f>
        <v>#N/A</v>
      </c>
      <c r="J82" s="24" t="s">
        <v>33</v>
      </c>
      <c r="K82" s="94" t="s">
        <v>132</v>
      </c>
      <c r="L82" s="94" t="s">
        <v>239</v>
      </c>
      <c r="M82" s="94" t="s">
        <v>240</v>
      </c>
      <c r="N82" s="106">
        <v>44805</v>
      </c>
      <c r="O82" s="94" t="s">
        <v>37</v>
      </c>
      <c r="P82" s="107">
        <v>0</v>
      </c>
      <c r="Q82" s="116">
        <v>1</v>
      </c>
      <c r="R82" s="119">
        <f t="shared" si="3"/>
        <v>0</v>
      </c>
      <c r="S82" s="117">
        <v>202303</v>
      </c>
      <c r="T82" s="97" t="s">
        <v>241</v>
      </c>
      <c r="U82" s="97"/>
      <c r="V82" s="97"/>
      <c r="W82" s="97"/>
      <c r="X82" s="118">
        <v>44805</v>
      </c>
      <c r="Y82" s="118">
        <v>45016</v>
      </c>
    </row>
    <row r="83" s="79" customFormat="1" customHeight="1" spans="1:25">
      <c r="A83" s="96" t="s">
        <v>129</v>
      </c>
      <c r="B83" s="95" t="s">
        <v>26</v>
      </c>
      <c r="C83" s="94" t="s">
        <v>130</v>
      </c>
      <c r="D83" s="95" t="s">
        <v>28</v>
      </c>
      <c r="E83" s="23" t="s">
        <v>119</v>
      </c>
      <c r="F83" s="94" t="s">
        <v>120</v>
      </c>
      <c r="G83" s="96" t="s">
        <v>31</v>
      </c>
      <c r="H83" s="97" t="s">
        <v>238</v>
      </c>
      <c r="I83" s="23" t="e">
        <f>VLOOKUP(H83,'合同综合查询数据（3月返）'!$A:$A,1,FALSE)</f>
        <v>#N/A</v>
      </c>
      <c r="J83" s="24" t="s">
        <v>33</v>
      </c>
      <c r="K83" s="94" t="s">
        <v>132</v>
      </c>
      <c r="L83" s="94" t="s">
        <v>239</v>
      </c>
      <c r="M83" s="94" t="s">
        <v>240</v>
      </c>
      <c r="N83" s="106">
        <v>44985</v>
      </c>
      <c r="O83" s="94" t="s">
        <v>37</v>
      </c>
      <c r="P83" s="107">
        <v>0</v>
      </c>
      <c r="Q83" s="116">
        <v>-1</v>
      </c>
      <c r="R83" s="119">
        <f t="shared" si="3"/>
        <v>0</v>
      </c>
      <c r="S83" s="117">
        <v>202303</v>
      </c>
      <c r="T83" s="97" t="s">
        <v>242</v>
      </c>
      <c r="U83" s="97"/>
      <c r="V83" s="97"/>
      <c r="W83" s="97"/>
      <c r="X83" s="118">
        <v>44805</v>
      </c>
      <c r="Y83" s="118">
        <v>45016</v>
      </c>
    </row>
    <row r="84" s="79" customFormat="1" customHeight="1" spans="1:25">
      <c r="A84" s="96" t="s">
        <v>129</v>
      </c>
      <c r="B84" s="95" t="s">
        <v>26</v>
      </c>
      <c r="C84" s="94" t="s">
        <v>130</v>
      </c>
      <c r="D84" s="95" t="s">
        <v>28</v>
      </c>
      <c r="E84" s="23" t="s">
        <v>119</v>
      </c>
      <c r="F84" s="94" t="s">
        <v>120</v>
      </c>
      <c r="G84" s="96" t="s">
        <v>31</v>
      </c>
      <c r="H84" s="97" t="s">
        <v>238</v>
      </c>
      <c r="I84" s="23" t="e">
        <f>VLOOKUP(H84,'合同综合查询数据（3月返）'!$A:$A,1,FALSE)</f>
        <v>#N/A</v>
      </c>
      <c r="J84" s="24" t="s">
        <v>33</v>
      </c>
      <c r="K84" s="94" t="s">
        <v>132</v>
      </c>
      <c r="L84" s="94" t="s">
        <v>243</v>
      </c>
      <c r="M84" s="94" t="s">
        <v>240</v>
      </c>
      <c r="N84" s="106">
        <v>44805</v>
      </c>
      <c r="O84" s="94" t="s">
        <v>37</v>
      </c>
      <c r="P84" s="107">
        <v>0</v>
      </c>
      <c r="Q84" s="116">
        <v>1</v>
      </c>
      <c r="R84" s="119">
        <f t="shared" si="3"/>
        <v>0</v>
      </c>
      <c r="S84" s="117">
        <v>202303</v>
      </c>
      <c r="T84" s="97" t="s">
        <v>244</v>
      </c>
      <c r="U84" s="97"/>
      <c r="V84" s="97"/>
      <c r="W84" s="97"/>
      <c r="X84" s="118">
        <v>44805</v>
      </c>
      <c r="Y84" s="118">
        <v>45016</v>
      </c>
    </row>
    <row r="85" s="79" customFormat="1" customHeight="1" spans="1:25">
      <c r="A85" s="96" t="s">
        <v>129</v>
      </c>
      <c r="B85" s="95" t="s">
        <v>26</v>
      </c>
      <c r="C85" s="94" t="s">
        <v>130</v>
      </c>
      <c r="D85" s="95" t="s">
        <v>28</v>
      </c>
      <c r="E85" s="23" t="s">
        <v>119</v>
      </c>
      <c r="F85" s="94" t="s">
        <v>120</v>
      </c>
      <c r="G85" s="96" t="s">
        <v>31</v>
      </c>
      <c r="H85" s="97" t="s">
        <v>238</v>
      </c>
      <c r="I85" s="23" t="e">
        <f>VLOOKUP(H85,'合同综合查询数据（3月返）'!$A:$A,1,FALSE)</f>
        <v>#N/A</v>
      </c>
      <c r="J85" s="24" t="s">
        <v>33</v>
      </c>
      <c r="K85" s="94" t="s">
        <v>132</v>
      </c>
      <c r="L85" s="94" t="s">
        <v>243</v>
      </c>
      <c r="M85" s="94" t="s">
        <v>240</v>
      </c>
      <c r="N85" s="106">
        <v>44985</v>
      </c>
      <c r="O85" s="94" t="s">
        <v>37</v>
      </c>
      <c r="P85" s="107">
        <v>0</v>
      </c>
      <c r="Q85" s="116">
        <v>-1</v>
      </c>
      <c r="R85" s="119">
        <f t="shared" si="3"/>
        <v>0</v>
      </c>
      <c r="S85" s="117">
        <v>202303</v>
      </c>
      <c r="T85" s="97" t="s">
        <v>245</v>
      </c>
      <c r="U85" s="97"/>
      <c r="V85" s="97"/>
      <c r="W85" s="97"/>
      <c r="X85" s="118">
        <v>44805</v>
      </c>
      <c r="Y85" s="118">
        <v>45016</v>
      </c>
    </row>
    <row r="86" s="79" customFormat="1" customHeight="1" spans="1:25">
      <c r="A86" s="96" t="s">
        <v>129</v>
      </c>
      <c r="B86" s="95" t="s">
        <v>26</v>
      </c>
      <c r="C86" s="94" t="s">
        <v>39</v>
      </c>
      <c r="D86" s="95" t="s">
        <v>28</v>
      </c>
      <c r="E86" s="23" t="s">
        <v>119</v>
      </c>
      <c r="F86" s="94" t="s">
        <v>120</v>
      </c>
      <c r="G86" s="96" t="s">
        <v>31</v>
      </c>
      <c r="H86" s="97" t="s">
        <v>246</v>
      </c>
      <c r="I86" s="23" t="e">
        <f>VLOOKUP(H86,'合同综合查询数据（3月返）'!$A:$A,1,FALSE)</f>
        <v>#N/A</v>
      </c>
      <c r="J86" s="24" t="s">
        <v>33</v>
      </c>
      <c r="K86" s="94" t="s">
        <v>190</v>
      </c>
      <c r="L86" s="94" t="s">
        <v>247</v>
      </c>
      <c r="M86" s="94" t="s">
        <v>248</v>
      </c>
      <c r="N86" s="106">
        <v>44805</v>
      </c>
      <c r="O86" s="94" t="s">
        <v>37</v>
      </c>
      <c r="P86" s="107">
        <v>0</v>
      </c>
      <c r="Q86" s="116">
        <v>1</v>
      </c>
      <c r="R86" s="119">
        <f t="shared" si="3"/>
        <v>0</v>
      </c>
      <c r="S86" s="117">
        <v>202303</v>
      </c>
      <c r="T86" s="97" t="s">
        <v>249</v>
      </c>
      <c r="U86" s="97"/>
      <c r="V86" s="97"/>
      <c r="W86" s="97"/>
      <c r="X86" s="118">
        <v>44805</v>
      </c>
      <c r="Y86" s="118">
        <v>45016</v>
      </c>
    </row>
    <row r="87" s="79" customFormat="1" customHeight="1" spans="1:25">
      <c r="A87" s="96" t="s">
        <v>109</v>
      </c>
      <c r="B87" s="95" t="s">
        <v>26</v>
      </c>
      <c r="C87" s="94" t="s">
        <v>217</v>
      </c>
      <c r="D87" s="95" t="s">
        <v>28</v>
      </c>
      <c r="E87" s="23" t="s">
        <v>119</v>
      </c>
      <c r="F87" s="94" t="s">
        <v>120</v>
      </c>
      <c r="G87" s="96" t="s">
        <v>31</v>
      </c>
      <c r="H87" s="97" t="s">
        <v>250</v>
      </c>
      <c r="I87" s="23" t="e">
        <f>VLOOKUP(H87,'合同综合查询数据（3月返）'!$A:$A,1,FALSE)</f>
        <v>#N/A</v>
      </c>
      <c r="J87" s="24" t="s">
        <v>33</v>
      </c>
      <c r="K87" s="94" t="s">
        <v>219</v>
      </c>
      <c r="L87" s="94" t="s">
        <v>251</v>
      </c>
      <c r="M87" s="94" t="s">
        <v>221</v>
      </c>
      <c r="N87" s="106">
        <v>44805</v>
      </c>
      <c r="O87" s="94" t="s">
        <v>37</v>
      </c>
      <c r="P87" s="107">
        <v>0</v>
      </c>
      <c r="Q87" s="116">
        <v>1</v>
      </c>
      <c r="R87" s="119">
        <f t="shared" si="3"/>
        <v>0</v>
      </c>
      <c r="S87" s="117">
        <v>202303</v>
      </c>
      <c r="T87" s="97" t="s">
        <v>252</v>
      </c>
      <c r="U87" s="97"/>
      <c r="V87" s="97"/>
      <c r="W87" s="97"/>
      <c r="X87" s="118">
        <v>44805</v>
      </c>
      <c r="Y87" s="118">
        <v>45016</v>
      </c>
    </row>
    <row r="88" s="79" customFormat="1" customHeight="1" spans="1:25">
      <c r="A88" s="96" t="s">
        <v>109</v>
      </c>
      <c r="B88" s="95" t="s">
        <v>26</v>
      </c>
      <c r="C88" s="94" t="s">
        <v>253</v>
      </c>
      <c r="D88" s="95" t="s">
        <v>28</v>
      </c>
      <c r="E88" s="23" t="s">
        <v>119</v>
      </c>
      <c r="F88" s="94" t="s">
        <v>120</v>
      </c>
      <c r="G88" s="96" t="s">
        <v>31</v>
      </c>
      <c r="H88" s="97" t="s">
        <v>254</v>
      </c>
      <c r="I88" s="23" t="e">
        <f>VLOOKUP(H88,'合同综合查询数据（3月返）'!$A:$A,1,FALSE)</f>
        <v>#N/A</v>
      </c>
      <c r="J88" s="24" t="s">
        <v>33</v>
      </c>
      <c r="K88" s="94" t="s">
        <v>255</v>
      </c>
      <c r="L88" s="94" t="s">
        <v>256</v>
      </c>
      <c r="M88" s="94" t="s">
        <v>257</v>
      </c>
      <c r="N88" s="106">
        <v>44805</v>
      </c>
      <c r="O88" s="94" t="s">
        <v>37</v>
      </c>
      <c r="P88" s="107">
        <v>0</v>
      </c>
      <c r="Q88" s="116">
        <v>1</v>
      </c>
      <c r="R88" s="119">
        <f t="shared" si="3"/>
        <v>0</v>
      </c>
      <c r="S88" s="117">
        <v>202303</v>
      </c>
      <c r="T88" s="97" t="s">
        <v>258</v>
      </c>
      <c r="U88" s="97"/>
      <c r="V88" s="97"/>
      <c r="W88" s="97"/>
      <c r="X88" s="118">
        <v>44805</v>
      </c>
      <c r="Y88" s="118">
        <v>45016</v>
      </c>
    </row>
    <row r="89" s="79" customFormat="1" customHeight="1" spans="1:25">
      <c r="A89" s="96" t="s">
        <v>109</v>
      </c>
      <c r="B89" s="95" t="s">
        <v>26</v>
      </c>
      <c r="C89" s="94" t="s">
        <v>204</v>
      </c>
      <c r="D89" s="95" t="s">
        <v>28</v>
      </c>
      <c r="E89" s="23" t="s">
        <v>119</v>
      </c>
      <c r="F89" s="94" t="s">
        <v>120</v>
      </c>
      <c r="G89" s="96" t="s">
        <v>31</v>
      </c>
      <c r="H89" s="97" t="s">
        <v>259</v>
      </c>
      <c r="I89" s="23" t="e">
        <f>VLOOKUP(H89,'合同综合查询数据（3月返）'!$A:$A,1,FALSE)</f>
        <v>#N/A</v>
      </c>
      <c r="J89" s="24" t="s">
        <v>33</v>
      </c>
      <c r="K89" s="94" t="s">
        <v>206</v>
      </c>
      <c r="L89" s="94" t="s">
        <v>260</v>
      </c>
      <c r="M89" s="94" t="s">
        <v>261</v>
      </c>
      <c r="N89" s="106">
        <v>44805</v>
      </c>
      <c r="O89" s="94" t="s">
        <v>37</v>
      </c>
      <c r="P89" s="107">
        <v>0</v>
      </c>
      <c r="Q89" s="116">
        <v>1</v>
      </c>
      <c r="R89" s="119">
        <f t="shared" si="3"/>
        <v>0</v>
      </c>
      <c r="S89" s="117">
        <v>202303</v>
      </c>
      <c r="T89" s="97" t="s">
        <v>262</v>
      </c>
      <c r="U89" s="97"/>
      <c r="V89" s="97"/>
      <c r="W89" s="97"/>
      <c r="X89" s="118">
        <v>44805</v>
      </c>
      <c r="Y89" s="118">
        <v>45016</v>
      </c>
    </row>
    <row r="90" s="79" customFormat="1" customHeight="1" spans="1:25">
      <c r="A90" s="96" t="s">
        <v>109</v>
      </c>
      <c r="B90" s="95" t="s">
        <v>26</v>
      </c>
      <c r="C90" s="94" t="s">
        <v>44</v>
      </c>
      <c r="D90" s="95" t="s">
        <v>28</v>
      </c>
      <c r="E90" s="23" t="s">
        <v>119</v>
      </c>
      <c r="F90" s="94" t="s">
        <v>120</v>
      </c>
      <c r="G90" s="96" t="s">
        <v>31</v>
      </c>
      <c r="H90" s="97" t="s">
        <v>263</v>
      </c>
      <c r="I90" s="23" t="e">
        <f>VLOOKUP(H90,'合同综合查询数据（3月返）'!$A:$A,1,FALSE)</f>
        <v>#N/A</v>
      </c>
      <c r="J90" s="24" t="s">
        <v>33</v>
      </c>
      <c r="K90" s="94" t="s">
        <v>264</v>
      </c>
      <c r="L90" s="94" t="s">
        <v>265</v>
      </c>
      <c r="M90" s="94" t="s">
        <v>266</v>
      </c>
      <c r="N90" s="106">
        <v>44805</v>
      </c>
      <c r="O90" s="94" t="s">
        <v>37</v>
      </c>
      <c r="P90" s="107">
        <v>0</v>
      </c>
      <c r="Q90" s="116">
        <v>1</v>
      </c>
      <c r="R90" s="119">
        <f t="shared" si="3"/>
        <v>0</v>
      </c>
      <c r="S90" s="117">
        <v>202303</v>
      </c>
      <c r="T90" s="97" t="s">
        <v>267</v>
      </c>
      <c r="U90" s="97"/>
      <c r="V90" s="97"/>
      <c r="W90" s="97"/>
      <c r="X90" s="118">
        <v>44805</v>
      </c>
      <c r="Y90" s="118">
        <v>45016</v>
      </c>
    </row>
    <row r="91" s="79" customFormat="1" customHeight="1" spans="1:25">
      <c r="A91" s="96" t="s">
        <v>109</v>
      </c>
      <c r="B91" s="95" t="s">
        <v>26</v>
      </c>
      <c r="C91" s="94" t="s">
        <v>44</v>
      </c>
      <c r="D91" s="95" t="s">
        <v>28</v>
      </c>
      <c r="E91" s="23" t="s">
        <v>119</v>
      </c>
      <c r="F91" s="94" t="s">
        <v>120</v>
      </c>
      <c r="G91" s="96" t="s">
        <v>31</v>
      </c>
      <c r="H91" s="97" t="s">
        <v>263</v>
      </c>
      <c r="I91" s="23" t="e">
        <f>VLOOKUP(H91,'合同综合查询数据（3月返）'!$A:$A,1,FALSE)</f>
        <v>#N/A</v>
      </c>
      <c r="J91" s="24" t="s">
        <v>33</v>
      </c>
      <c r="K91" s="94" t="s">
        <v>264</v>
      </c>
      <c r="L91" s="94" t="s">
        <v>265</v>
      </c>
      <c r="M91" s="94" t="s">
        <v>266</v>
      </c>
      <c r="N91" s="106">
        <v>44834</v>
      </c>
      <c r="O91" s="94" t="s">
        <v>37</v>
      </c>
      <c r="P91" s="107">
        <v>0</v>
      </c>
      <c r="Q91" s="116">
        <v>-1</v>
      </c>
      <c r="R91" s="119">
        <f t="shared" si="3"/>
        <v>0</v>
      </c>
      <c r="S91" s="117">
        <v>202303</v>
      </c>
      <c r="T91" s="97" t="s">
        <v>268</v>
      </c>
      <c r="U91" s="97"/>
      <c r="V91" s="97"/>
      <c r="W91" s="97"/>
      <c r="X91" s="118">
        <v>44805</v>
      </c>
      <c r="Y91" s="118">
        <v>45016</v>
      </c>
    </row>
    <row r="92" s="79" customFormat="1" customHeight="1" spans="1:25">
      <c r="A92" s="96" t="s">
        <v>25</v>
      </c>
      <c r="B92" s="95" t="s">
        <v>26</v>
      </c>
      <c r="C92" s="94" t="s">
        <v>169</v>
      </c>
      <c r="D92" s="95" t="s">
        <v>28</v>
      </c>
      <c r="E92" s="23" t="s">
        <v>119</v>
      </c>
      <c r="F92" s="94" t="s">
        <v>120</v>
      </c>
      <c r="G92" s="96" t="s">
        <v>31</v>
      </c>
      <c r="H92" s="97" t="s">
        <v>269</v>
      </c>
      <c r="I92" s="23" t="e">
        <f>VLOOKUP(H92,'合同综合查询数据（3月返）'!$A:$A,1,FALSE)</f>
        <v>#N/A</v>
      </c>
      <c r="J92" s="24" t="s">
        <v>33</v>
      </c>
      <c r="K92" s="94" t="s">
        <v>270</v>
      </c>
      <c r="L92" s="94" t="s">
        <v>271</v>
      </c>
      <c r="M92" s="94" t="s">
        <v>272</v>
      </c>
      <c r="N92" s="106">
        <v>44805</v>
      </c>
      <c r="O92" s="94" t="s">
        <v>37</v>
      </c>
      <c r="P92" s="107">
        <v>0</v>
      </c>
      <c r="Q92" s="116">
        <v>1</v>
      </c>
      <c r="R92" s="119">
        <f t="shared" si="3"/>
        <v>0</v>
      </c>
      <c r="S92" s="117">
        <v>202303</v>
      </c>
      <c r="T92" s="97" t="s">
        <v>273</v>
      </c>
      <c r="U92" s="97"/>
      <c r="V92" s="97"/>
      <c r="W92" s="97"/>
      <c r="X92" s="118">
        <v>44805</v>
      </c>
      <c r="Y92" s="118">
        <v>45016</v>
      </c>
    </row>
    <row r="93" s="79" customFormat="1" customHeight="1" spans="1:25">
      <c r="A93" s="96" t="s">
        <v>25</v>
      </c>
      <c r="B93" s="95" t="s">
        <v>26</v>
      </c>
      <c r="C93" s="94" t="s">
        <v>169</v>
      </c>
      <c r="D93" s="95" t="s">
        <v>28</v>
      </c>
      <c r="E93" s="23" t="s">
        <v>119</v>
      </c>
      <c r="F93" s="94" t="s">
        <v>120</v>
      </c>
      <c r="G93" s="96" t="s">
        <v>31</v>
      </c>
      <c r="H93" s="97" t="s">
        <v>274</v>
      </c>
      <c r="I93" s="23" t="e">
        <f>VLOOKUP(H93,'合同综合查询数据（3月返）'!$A:$A,1,FALSE)</f>
        <v>#N/A</v>
      </c>
      <c r="J93" s="24" t="s">
        <v>33</v>
      </c>
      <c r="K93" s="94" t="s">
        <v>171</v>
      </c>
      <c r="L93" s="94" t="s">
        <v>275</v>
      </c>
      <c r="M93" s="94" t="s">
        <v>276</v>
      </c>
      <c r="N93" s="106">
        <v>44805</v>
      </c>
      <c r="O93" s="94" t="s">
        <v>37</v>
      </c>
      <c r="P93" s="107">
        <v>0</v>
      </c>
      <c r="Q93" s="116">
        <v>1</v>
      </c>
      <c r="R93" s="119">
        <f t="shared" si="3"/>
        <v>0</v>
      </c>
      <c r="S93" s="117">
        <v>202303</v>
      </c>
      <c r="T93" s="97" t="s">
        <v>277</v>
      </c>
      <c r="U93" s="97"/>
      <c r="V93" s="97"/>
      <c r="W93" s="97"/>
      <c r="X93" s="118">
        <v>44805</v>
      </c>
      <c r="Y93" s="118">
        <v>45016</v>
      </c>
    </row>
    <row r="94" s="79" customFormat="1" customHeight="1" spans="1:25">
      <c r="A94" s="96" t="s">
        <v>25</v>
      </c>
      <c r="B94" s="95" t="s">
        <v>26</v>
      </c>
      <c r="C94" s="94" t="s">
        <v>169</v>
      </c>
      <c r="D94" s="95" t="s">
        <v>28</v>
      </c>
      <c r="E94" s="23" t="s">
        <v>119</v>
      </c>
      <c r="F94" s="94" t="s">
        <v>120</v>
      </c>
      <c r="G94" s="96" t="s">
        <v>31</v>
      </c>
      <c r="H94" s="97" t="s">
        <v>274</v>
      </c>
      <c r="I94" s="23" t="e">
        <f>VLOOKUP(H94,'合同综合查询数据（3月返）'!$A:$A,1,FALSE)</f>
        <v>#N/A</v>
      </c>
      <c r="J94" s="24" t="s">
        <v>33</v>
      </c>
      <c r="K94" s="94" t="s">
        <v>171</v>
      </c>
      <c r="L94" s="94" t="s">
        <v>278</v>
      </c>
      <c r="M94" s="94" t="s">
        <v>276</v>
      </c>
      <c r="N94" s="106">
        <v>44805</v>
      </c>
      <c r="O94" s="94" t="s">
        <v>37</v>
      </c>
      <c r="P94" s="107">
        <v>0</v>
      </c>
      <c r="Q94" s="116">
        <v>1</v>
      </c>
      <c r="R94" s="119">
        <f t="shared" si="3"/>
        <v>0</v>
      </c>
      <c r="S94" s="117">
        <v>202303</v>
      </c>
      <c r="T94" s="97" t="s">
        <v>279</v>
      </c>
      <c r="U94" s="97"/>
      <c r="V94" s="97"/>
      <c r="W94" s="97"/>
      <c r="X94" s="118">
        <v>44805</v>
      </c>
      <c r="Y94" s="118">
        <v>45016</v>
      </c>
    </row>
    <row r="95" s="79" customFormat="1" customHeight="1" spans="1:25">
      <c r="A95" s="96" t="s">
        <v>25</v>
      </c>
      <c r="B95" s="95" t="s">
        <v>26</v>
      </c>
      <c r="C95" s="94" t="s">
        <v>169</v>
      </c>
      <c r="D95" s="95" t="s">
        <v>28</v>
      </c>
      <c r="E95" s="23" t="s">
        <v>119</v>
      </c>
      <c r="F95" s="94" t="s">
        <v>120</v>
      </c>
      <c r="G95" s="96" t="s">
        <v>31</v>
      </c>
      <c r="H95" s="97" t="s">
        <v>280</v>
      </c>
      <c r="I95" s="23" t="e">
        <f>VLOOKUP(H95,'合同综合查询数据（3月返）'!$A:$A,1,FALSE)</f>
        <v>#N/A</v>
      </c>
      <c r="J95" s="24" t="s">
        <v>33</v>
      </c>
      <c r="K95" s="94" t="s">
        <v>171</v>
      </c>
      <c r="L95" s="94" t="s">
        <v>281</v>
      </c>
      <c r="M95" s="94" t="s">
        <v>276</v>
      </c>
      <c r="N95" s="106">
        <v>44807</v>
      </c>
      <c r="O95" s="94" t="s">
        <v>37</v>
      </c>
      <c r="P95" s="107">
        <v>0</v>
      </c>
      <c r="Q95" s="116">
        <v>32</v>
      </c>
      <c r="R95" s="119">
        <f t="shared" si="3"/>
        <v>0</v>
      </c>
      <c r="S95" s="117">
        <v>202303</v>
      </c>
      <c r="T95" s="97" t="s">
        <v>282</v>
      </c>
      <c r="U95" s="97"/>
      <c r="V95" s="97"/>
      <c r="W95" s="97"/>
      <c r="X95" s="118">
        <v>44807</v>
      </c>
      <c r="Y95" s="118">
        <v>45016</v>
      </c>
    </row>
    <row r="96" s="81" customFormat="1" customHeight="1" spans="1:25">
      <c r="A96" s="60" t="s">
        <v>129</v>
      </c>
      <c r="B96" s="101" t="s">
        <v>26</v>
      </c>
      <c r="C96" s="62" t="s">
        <v>283</v>
      </c>
      <c r="D96" s="101" t="s">
        <v>28</v>
      </c>
      <c r="E96" s="47" t="s">
        <v>119</v>
      </c>
      <c r="F96" s="62" t="s">
        <v>120</v>
      </c>
      <c r="G96" s="60" t="s">
        <v>31</v>
      </c>
      <c r="H96" s="102" t="s">
        <v>284</v>
      </c>
      <c r="I96" s="47" t="e">
        <f>VLOOKUP(H96,'合同综合查询数据（3月返）'!$A:$A,1,FALSE)</f>
        <v>#N/A</v>
      </c>
      <c r="J96" s="48" t="s">
        <v>33</v>
      </c>
      <c r="K96" s="62" t="s">
        <v>285</v>
      </c>
      <c r="L96" s="62" t="s">
        <v>286</v>
      </c>
      <c r="M96" s="62" t="s">
        <v>287</v>
      </c>
      <c r="N96" s="111">
        <v>44807</v>
      </c>
      <c r="O96" s="62" t="s">
        <v>37</v>
      </c>
      <c r="P96" s="112">
        <v>0</v>
      </c>
      <c r="Q96" s="124">
        <v>32</v>
      </c>
      <c r="R96" s="69">
        <f t="shared" si="3"/>
        <v>0</v>
      </c>
      <c r="S96" s="70">
        <v>202303</v>
      </c>
      <c r="T96" s="102" t="s">
        <v>288</v>
      </c>
      <c r="U96" s="102"/>
      <c r="V96" s="102"/>
      <c r="W96" s="102"/>
      <c r="X96" s="73"/>
      <c r="Y96" s="73"/>
    </row>
    <row r="97" s="81" customFormat="1" customHeight="1" spans="1:25">
      <c r="A97" s="60" t="s">
        <v>129</v>
      </c>
      <c r="B97" s="101" t="s">
        <v>26</v>
      </c>
      <c r="C97" s="62" t="s">
        <v>283</v>
      </c>
      <c r="D97" s="101" t="s">
        <v>28</v>
      </c>
      <c r="E97" s="47" t="s">
        <v>119</v>
      </c>
      <c r="F97" s="62" t="s">
        <v>120</v>
      </c>
      <c r="G97" s="60" t="s">
        <v>31</v>
      </c>
      <c r="H97" s="102" t="s">
        <v>284</v>
      </c>
      <c r="I97" s="47" t="e">
        <f>VLOOKUP(H97,'合同综合查询数据（3月返）'!$A:$A,1,FALSE)</f>
        <v>#N/A</v>
      </c>
      <c r="J97" s="48" t="s">
        <v>33</v>
      </c>
      <c r="K97" s="62" t="s">
        <v>285</v>
      </c>
      <c r="L97" s="62" t="s">
        <v>286</v>
      </c>
      <c r="M97" s="62" t="s">
        <v>287</v>
      </c>
      <c r="N97" s="111">
        <v>44817</v>
      </c>
      <c r="O97" s="62" t="s">
        <v>37</v>
      </c>
      <c r="P97" s="112">
        <v>0</v>
      </c>
      <c r="Q97" s="124">
        <v>-32</v>
      </c>
      <c r="R97" s="69">
        <f t="shared" si="3"/>
        <v>0</v>
      </c>
      <c r="S97" s="70">
        <v>202303</v>
      </c>
      <c r="T97" s="102" t="s">
        <v>289</v>
      </c>
      <c r="U97" s="102"/>
      <c r="V97" s="102"/>
      <c r="W97" s="102"/>
      <c r="X97" s="73"/>
      <c r="Y97" s="73"/>
    </row>
    <row r="98" s="79" customFormat="1" customHeight="1" spans="1:25">
      <c r="A98" s="96" t="s">
        <v>109</v>
      </c>
      <c r="B98" s="95" t="s">
        <v>26</v>
      </c>
      <c r="C98" s="94" t="s">
        <v>210</v>
      </c>
      <c r="D98" s="95" t="s">
        <v>28</v>
      </c>
      <c r="E98" s="23" t="s">
        <v>119</v>
      </c>
      <c r="F98" s="94" t="s">
        <v>120</v>
      </c>
      <c r="G98" s="96" t="s">
        <v>31</v>
      </c>
      <c r="H98" s="97" t="s">
        <v>290</v>
      </c>
      <c r="I98" s="23" t="e">
        <f>VLOOKUP(H98,'合同综合查询数据（3月返）'!$A:$A,1,FALSE)</f>
        <v>#N/A</v>
      </c>
      <c r="J98" s="24" t="s">
        <v>33</v>
      </c>
      <c r="K98" s="94" t="s">
        <v>291</v>
      </c>
      <c r="L98" s="94" t="s">
        <v>292</v>
      </c>
      <c r="M98" s="94" t="s">
        <v>293</v>
      </c>
      <c r="N98" s="106">
        <v>44807</v>
      </c>
      <c r="O98" s="94" t="s">
        <v>37</v>
      </c>
      <c r="P98" s="107">
        <v>0</v>
      </c>
      <c r="Q98" s="116">
        <v>32</v>
      </c>
      <c r="R98" s="119">
        <f t="shared" si="3"/>
        <v>0</v>
      </c>
      <c r="S98" s="117">
        <v>202303</v>
      </c>
      <c r="T98" s="97" t="s">
        <v>294</v>
      </c>
      <c r="U98" s="97"/>
      <c r="V98" s="97"/>
      <c r="W98" s="97"/>
      <c r="X98" s="118">
        <v>44807</v>
      </c>
      <c r="Y98" s="118">
        <v>45016</v>
      </c>
    </row>
    <row r="99" s="79" customFormat="1" customHeight="1" spans="1:25">
      <c r="A99" s="96" t="s">
        <v>109</v>
      </c>
      <c r="B99" s="95" t="s">
        <v>26</v>
      </c>
      <c r="C99" s="94" t="s">
        <v>210</v>
      </c>
      <c r="D99" s="95" t="s">
        <v>28</v>
      </c>
      <c r="E99" s="23" t="s">
        <v>119</v>
      </c>
      <c r="F99" s="94" t="s">
        <v>120</v>
      </c>
      <c r="G99" s="96" t="s">
        <v>31</v>
      </c>
      <c r="H99" s="97" t="s">
        <v>290</v>
      </c>
      <c r="I99" s="23" t="e">
        <f>VLOOKUP(H99,'合同综合查询数据（3月返）'!$A:$A,1,FALSE)</f>
        <v>#N/A</v>
      </c>
      <c r="J99" s="24" t="s">
        <v>33</v>
      </c>
      <c r="K99" s="94" t="s">
        <v>291</v>
      </c>
      <c r="L99" s="94" t="s">
        <v>292</v>
      </c>
      <c r="M99" s="94" t="s">
        <v>293</v>
      </c>
      <c r="N99" s="106">
        <v>45002</v>
      </c>
      <c r="O99" s="94" t="s">
        <v>37</v>
      </c>
      <c r="P99" s="107">
        <v>0</v>
      </c>
      <c r="Q99" s="116">
        <v>-32</v>
      </c>
      <c r="R99" s="119">
        <f t="shared" si="3"/>
        <v>0</v>
      </c>
      <c r="S99" s="117">
        <v>202303</v>
      </c>
      <c r="T99" s="97" t="s">
        <v>295</v>
      </c>
      <c r="U99" s="97"/>
      <c r="V99" s="97"/>
      <c r="W99" s="97"/>
      <c r="X99" s="118">
        <v>44807</v>
      </c>
      <c r="Y99" s="118">
        <v>45016</v>
      </c>
    </row>
    <row r="100" s="79" customFormat="1" customHeight="1" spans="1:25">
      <c r="A100" s="96" t="s">
        <v>129</v>
      </c>
      <c r="B100" s="95" t="s">
        <v>26</v>
      </c>
      <c r="C100" s="94" t="s">
        <v>130</v>
      </c>
      <c r="D100" s="95" t="s">
        <v>28</v>
      </c>
      <c r="E100" s="23" t="s">
        <v>119</v>
      </c>
      <c r="F100" s="94" t="s">
        <v>120</v>
      </c>
      <c r="G100" s="96" t="s">
        <v>31</v>
      </c>
      <c r="H100" s="97" t="s">
        <v>296</v>
      </c>
      <c r="I100" s="23" t="e">
        <f>VLOOKUP(H100,'合同综合查询数据（3月返）'!$A:$A,1,FALSE)</f>
        <v>#N/A</v>
      </c>
      <c r="J100" s="24" t="s">
        <v>33</v>
      </c>
      <c r="K100" s="94" t="s">
        <v>132</v>
      </c>
      <c r="L100" s="94" t="s">
        <v>297</v>
      </c>
      <c r="M100" s="94" t="s">
        <v>240</v>
      </c>
      <c r="N100" s="106">
        <v>44826</v>
      </c>
      <c r="O100" s="94" t="s">
        <v>37</v>
      </c>
      <c r="P100" s="107">
        <v>0</v>
      </c>
      <c r="Q100" s="116">
        <v>1</v>
      </c>
      <c r="R100" s="119">
        <f t="shared" si="3"/>
        <v>0</v>
      </c>
      <c r="S100" s="117">
        <v>202303</v>
      </c>
      <c r="T100" s="97" t="s">
        <v>298</v>
      </c>
      <c r="U100" s="97"/>
      <c r="V100" s="97"/>
      <c r="W100" s="97"/>
      <c r="X100" s="118">
        <v>44835</v>
      </c>
      <c r="Y100" s="118">
        <v>45016</v>
      </c>
    </row>
    <row r="101" s="79" customFormat="1" customHeight="1" spans="1:25">
      <c r="A101" s="96" t="s">
        <v>129</v>
      </c>
      <c r="B101" s="95" t="s">
        <v>26</v>
      </c>
      <c r="C101" s="94" t="s">
        <v>130</v>
      </c>
      <c r="D101" s="95" t="s">
        <v>28</v>
      </c>
      <c r="E101" s="23" t="s">
        <v>119</v>
      </c>
      <c r="F101" s="94" t="s">
        <v>120</v>
      </c>
      <c r="G101" s="96" t="s">
        <v>31</v>
      </c>
      <c r="H101" s="97" t="s">
        <v>296</v>
      </c>
      <c r="I101" s="23" t="e">
        <f>VLOOKUP(H101,'合同综合查询数据（3月返）'!$A:$A,1,FALSE)</f>
        <v>#N/A</v>
      </c>
      <c r="J101" s="24" t="s">
        <v>33</v>
      </c>
      <c r="K101" s="94" t="s">
        <v>132</v>
      </c>
      <c r="L101" s="94" t="s">
        <v>297</v>
      </c>
      <c r="M101" s="94" t="s">
        <v>240</v>
      </c>
      <c r="N101" s="106">
        <v>44985</v>
      </c>
      <c r="O101" s="94" t="s">
        <v>37</v>
      </c>
      <c r="P101" s="107">
        <v>0</v>
      </c>
      <c r="Q101" s="116">
        <v>-1</v>
      </c>
      <c r="R101" s="119">
        <f t="shared" si="3"/>
        <v>0</v>
      </c>
      <c r="S101" s="117">
        <v>202303</v>
      </c>
      <c r="T101" s="97" t="s">
        <v>299</v>
      </c>
      <c r="U101" s="97"/>
      <c r="V101" s="97"/>
      <c r="W101" s="97"/>
      <c r="X101" s="118">
        <v>44835</v>
      </c>
      <c r="Y101" s="118">
        <v>45016</v>
      </c>
    </row>
    <row r="102" s="79" customFormat="1" customHeight="1" spans="1:25">
      <c r="A102" s="129" t="s">
        <v>61</v>
      </c>
      <c r="B102" s="96" t="s">
        <v>83</v>
      </c>
      <c r="C102" s="98" t="s">
        <v>217</v>
      </c>
      <c r="D102" s="96" t="s">
        <v>85</v>
      </c>
      <c r="E102" s="130" t="s">
        <v>300</v>
      </c>
      <c r="F102" s="129" t="s">
        <v>301</v>
      </c>
      <c r="G102" s="99" t="s">
        <v>302</v>
      </c>
      <c r="H102" s="100" t="s">
        <v>303</v>
      </c>
      <c r="I102" s="23" t="e">
        <f>VLOOKUP(H102,'合同综合查询数据（3月返）'!$A:$A,1,FALSE)</f>
        <v>#N/A</v>
      </c>
      <c r="J102" s="99" t="s">
        <v>304</v>
      </c>
      <c r="K102" s="108" t="s">
        <v>63</v>
      </c>
      <c r="L102" s="109"/>
      <c r="M102" s="26"/>
      <c r="N102" s="28">
        <v>43034</v>
      </c>
      <c r="O102" s="109" t="s">
        <v>305</v>
      </c>
      <c r="P102" s="131">
        <v>111100</v>
      </c>
      <c r="Q102" s="120">
        <v>1</v>
      </c>
      <c r="R102" s="120">
        <f t="shared" si="3"/>
        <v>111100</v>
      </c>
      <c r="S102" s="117">
        <v>202303</v>
      </c>
      <c r="T102" s="121" t="s">
        <v>306</v>
      </c>
      <c r="U102" s="132"/>
      <c r="V102" s="133"/>
      <c r="W102" s="133"/>
      <c r="X102" s="118"/>
      <c r="Y102" s="118"/>
    </row>
    <row r="103" s="79" customFormat="1" customHeight="1" spans="1:25">
      <c r="A103" s="129" t="s">
        <v>61</v>
      </c>
      <c r="B103" s="96" t="s">
        <v>83</v>
      </c>
      <c r="C103" s="98" t="s">
        <v>63</v>
      </c>
      <c r="D103" s="96" t="s">
        <v>85</v>
      </c>
      <c r="E103" s="130" t="s">
        <v>300</v>
      </c>
      <c r="F103" s="129" t="s">
        <v>301</v>
      </c>
      <c r="G103" s="99" t="s">
        <v>302</v>
      </c>
      <c r="H103" s="100" t="s">
        <v>303</v>
      </c>
      <c r="I103" s="23" t="e">
        <f>VLOOKUP(H103,'合同综合查询数据（3月返）'!$A:$A,1,FALSE)</f>
        <v>#N/A</v>
      </c>
      <c r="J103" s="99" t="s">
        <v>307</v>
      </c>
      <c r="K103" s="108" t="s">
        <v>63</v>
      </c>
      <c r="L103" s="109"/>
      <c r="M103" s="26"/>
      <c r="N103" s="28">
        <v>43112</v>
      </c>
      <c r="O103" s="109" t="s">
        <v>308</v>
      </c>
      <c r="P103" s="131">
        <v>1300</v>
      </c>
      <c r="Q103" s="120">
        <v>1</v>
      </c>
      <c r="R103" s="120">
        <v>0</v>
      </c>
      <c r="S103" s="117">
        <v>202303</v>
      </c>
      <c r="T103" s="121" t="s">
        <v>309</v>
      </c>
      <c r="U103" s="132"/>
      <c r="V103" s="133"/>
      <c r="W103" s="133"/>
      <c r="X103" s="118"/>
      <c r="Y103" s="118"/>
    </row>
    <row r="104" s="79" customFormat="1" customHeight="1" spans="1:25">
      <c r="A104" s="129" t="s">
        <v>61</v>
      </c>
      <c r="B104" s="96" t="s">
        <v>83</v>
      </c>
      <c r="C104" s="98" t="s">
        <v>63</v>
      </c>
      <c r="D104" s="96" t="s">
        <v>85</v>
      </c>
      <c r="E104" s="130" t="s">
        <v>300</v>
      </c>
      <c r="F104" s="129" t="s">
        <v>301</v>
      </c>
      <c r="G104" s="99" t="s">
        <v>302</v>
      </c>
      <c r="H104" s="100" t="s">
        <v>303</v>
      </c>
      <c r="I104" s="23" t="e">
        <f>VLOOKUP(H104,'合同综合查询数据（3月返）'!$A:$A,1,FALSE)</f>
        <v>#N/A</v>
      </c>
      <c r="J104" s="99" t="s">
        <v>310</v>
      </c>
      <c r="K104" s="108" t="s">
        <v>63</v>
      </c>
      <c r="L104" s="109"/>
      <c r="M104" s="26"/>
      <c r="N104" s="28">
        <v>43238</v>
      </c>
      <c r="O104" s="109" t="s">
        <v>311</v>
      </c>
      <c r="P104" s="131">
        <v>2730</v>
      </c>
      <c r="Q104" s="120">
        <v>1</v>
      </c>
      <c r="R104" s="120">
        <v>0</v>
      </c>
      <c r="S104" s="117">
        <v>202303</v>
      </c>
      <c r="T104" s="121" t="s">
        <v>309</v>
      </c>
      <c r="U104" s="132"/>
      <c r="V104" s="133"/>
      <c r="W104" s="133"/>
      <c r="X104" s="118"/>
      <c r="Y104" s="118"/>
    </row>
    <row r="105" s="79" customFormat="1" customHeight="1" spans="1:25">
      <c r="A105" s="129" t="s">
        <v>61</v>
      </c>
      <c r="B105" s="96" t="s">
        <v>83</v>
      </c>
      <c r="C105" s="98" t="s">
        <v>63</v>
      </c>
      <c r="D105" s="96" t="s">
        <v>85</v>
      </c>
      <c r="E105" s="130" t="s">
        <v>300</v>
      </c>
      <c r="F105" s="129" t="s">
        <v>301</v>
      </c>
      <c r="G105" s="99" t="s">
        <v>88</v>
      </c>
      <c r="H105" s="100" t="s">
        <v>303</v>
      </c>
      <c r="I105" s="23" t="e">
        <f>VLOOKUP(H105,'合同综合查询数据（3月返）'!$A:$A,1,FALSE)</f>
        <v>#N/A</v>
      </c>
      <c r="J105" s="99" t="s">
        <v>312</v>
      </c>
      <c r="K105" s="108" t="s">
        <v>63</v>
      </c>
      <c r="L105" s="109"/>
      <c r="M105" s="26" t="s">
        <v>313</v>
      </c>
      <c r="N105" s="28">
        <v>43893</v>
      </c>
      <c r="O105" s="109" t="s">
        <v>314</v>
      </c>
      <c r="P105" s="131">
        <f>0.843301*1.55</f>
        <v>1.30711655</v>
      </c>
      <c r="Q105" s="131">
        <v>240000</v>
      </c>
      <c r="R105" s="120">
        <f t="shared" ref="R105:R136" si="4">ROUND(P105*Q105,2)</f>
        <v>313707.97</v>
      </c>
      <c r="S105" s="117">
        <v>202303</v>
      </c>
      <c r="T105" s="121" t="s">
        <v>315</v>
      </c>
      <c r="U105" s="132"/>
      <c r="V105" s="133"/>
      <c r="W105" s="133"/>
      <c r="X105" s="118"/>
      <c r="Y105" s="118"/>
    </row>
    <row r="106" s="79" customFormat="1" customHeight="1" spans="1:25">
      <c r="A106" s="129" t="s">
        <v>61</v>
      </c>
      <c r="B106" s="96" t="s">
        <v>83</v>
      </c>
      <c r="C106" s="98" t="s">
        <v>63</v>
      </c>
      <c r="D106" s="96" t="s">
        <v>85</v>
      </c>
      <c r="E106" s="130" t="s">
        <v>300</v>
      </c>
      <c r="F106" s="129" t="s">
        <v>301</v>
      </c>
      <c r="G106" s="99" t="s">
        <v>67</v>
      </c>
      <c r="H106" s="100" t="s">
        <v>303</v>
      </c>
      <c r="I106" s="23" t="e">
        <f>VLOOKUP(H106,'合同综合查询数据（3月返）'!$A:$A,1,FALSE)</f>
        <v>#N/A</v>
      </c>
      <c r="J106" s="99" t="s">
        <v>69</v>
      </c>
      <c r="K106" s="108" t="s">
        <v>63</v>
      </c>
      <c r="L106" s="109"/>
      <c r="M106" s="26"/>
      <c r="N106" s="28">
        <v>42994</v>
      </c>
      <c r="O106" s="109" t="s">
        <v>71</v>
      </c>
      <c r="P106" s="131">
        <v>600</v>
      </c>
      <c r="Q106" s="120">
        <v>1</v>
      </c>
      <c r="R106" s="120">
        <f t="shared" si="4"/>
        <v>600</v>
      </c>
      <c r="S106" s="117">
        <v>202303</v>
      </c>
      <c r="T106" s="121" t="s">
        <v>316</v>
      </c>
      <c r="U106" s="132"/>
      <c r="V106" s="133"/>
      <c r="W106" s="133"/>
      <c r="X106" s="118"/>
      <c r="Y106" s="118"/>
    </row>
    <row r="107" s="79" customFormat="1" customHeight="1" spans="1:25">
      <c r="A107" s="129" t="s">
        <v>61</v>
      </c>
      <c r="B107" s="96" t="s">
        <v>83</v>
      </c>
      <c r="C107" s="98" t="s">
        <v>63</v>
      </c>
      <c r="D107" s="96" t="s">
        <v>85</v>
      </c>
      <c r="E107" s="130" t="s">
        <v>300</v>
      </c>
      <c r="F107" s="129" t="s">
        <v>301</v>
      </c>
      <c r="G107" s="99" t="s">
        <v>67</v>
      </c>
      <c r="H107" s="100" t="s">
        <v>303</v>
      </c>
      <c r="I107" s="23" t="e">
        <f>VLOOKUP(H107,'合同综合查询数据（3月返）'!$A:$A,1,FALSE)</f>
        <v>#N/A</v>
      </c>
      <c r="J107" s="99" t="s">
        <v>69</v>
      </c>
      <c r="K107" s="108" t="s">
        <v>63</v>
      </c>
      <c r="L107" s="109"/>
      <c r="M107" s="26"/>
      <c r="N107" s="28">
        <v>43006</v>
      </c>
      <c r="O107" s="109" t="s">
        <v>71</v>
      </c>
      <c r="P107" s="131">
        <v>600</v>
      </c>
      <c r="Q107" s="120">
        <v>1</v>
      </c>
      <c r="R107" s="120">
        <f t="shared" si="4"/>
        <v>600</v>
      </c>
      <c r="S107" s="117">
        <v>202303</v>
      </c>
      <c r="T107" s="121" t="s">
        <v>317</v>
      </c>
      <c r="U107" s="132"/>
      <c r="V107" s="133"/>
      <c r="W107" s="133"/>
      <c r="X107" s="118"/>
      <c r="Y107" s="118"/>
    </row>
    <row r="108" s="79" customFormat="1" customHeight="1" spans="1:25">
      <c r="A108" s="129" t="s">
        <v>61</v>
      </c>
      <c r="B108" s="96" t="s">
        <v>83</v>
      </c>
      <c r="C108" s="98" t="s">
        <v>63</v>
      </c>
      <c r="D108" s="96" t="s">
        <v>85</v>
      </c>
      <c r="E108" s="130" t="s">
        <v>300</v>
      </c>
      <c r="F108" s="129" t="s">
        <v>301</v>
      </c>
      <c r="G108" s="99" t="s">
        <v>67</v>
      </c>
      <c r="H108" s="100" t="s">
        <v>303</v>
      </c>
      <c r="I108" s="23" t="e">
        <f>VLOOKUP(H108,'合同综合查询数据（3月返）'!$A:$A,1,FALSE)</f>
        <v>#N/A</v>
      </c>
      <c r="J108" s="99" t="s">
        <v>69</v>
      </c>
      <c r="K108" s="108" t="s">
        <v>63</v>
      </c>
      <c r="L108" s="109"/>
      <c r="M108" s="26"/>
      <c r="N108" s="28">
        <v>43076</v>
      </c>
      <c r="O108" s="109" t="s">
        <v>71</v>
      </c>
      <c r="P108" s="131">
        <v>600</v>
      </c>
      <c r="Q108" s="120">
        <v>1</v>
      </c>
      <c r="R108" s="120">
        <f t="shared" si="4"/>
        <v>600</v>
      </c>
      <c r="S108" s="117">
        <v>202303</v>
      </c>
      <c r="T108" s="121" t="s">
        <v>318</v>
      </c>
      <c r="U108" s="132"/>
      <c r="V108" s="133"/>
      <c r="W108" s="133"/>
      <c r="X108" s="118"/>
      <c r="Y108" s="118"/>
    </row>
    <row r="109" s="79" customFormat="1" customHeight="1" spans="1:25">
      <c r="A109" s="129" t="s">
        <v>61</v>
      </c>
      <c r="B109" s="96" t="s">
        <v>83</v>
      </c>
      <c r="C109" s="98" t="s">
        <v>63</v>
      </c>
      <c r="D109" s="96" t="s">
        <v>85</v>
      </c>
      <c r="E109" s="130" t="s">
        <v>300</v>
      </c>
      <c r="F109" s="129" t="s">
        <v>301</v>
      </c>
      <c r="G109" s="99" t="s">
        <v>67</v>
      </c>
      <c r="H109" s="100" t="s">
        <v>303</v>
      </c>
      <c r="I109" s="23" t="e">
        <f>VLOOKUP(H109,'合同综合查询数据（3月返）'!$A:$A,1,FALSE)</f>
        <v>#N/A</v>
      </c>
      <c r="J109" s="99" t="s">
        <v>69</v>
      </c>
      <c r="K109" s="108" t="s">
        <v>63</v>
      </c>
      <c r="L109" s="109"/>
      <c r="M109" s="26"/>
      <c r="N109" s="28">
        <v>43077</v>
      </c>
      <c r="O109" s="109" t="s">
        <v>71</v>
      </c>
      <c r="P109" s="131">
        <v>600</v>
      </c>
      <c r="Q109" s="120">
        <v>1</v>
      </c>
      <c r="R109" s="120">
        <f t="shared" si="4"/>
        <v>600</v>
      </c>
      <c r="S109" s="117">
        <v>202303</v>
      </c>
      <c r="T109" s="121" t="s">
        <v>319</v>
      </c>
      <c r="U109" s="132"/>
      <c r="V109" s="133"/>
      <c r="W109" s="133"/>
      <c r="X109" s="118"/>
      <c r="Y109" s="118"/>
    </row>
    <row r="110" s="79" customFormat="1" customHeight="1" spans="1:25">
      <c r="A110" s="129" t="s">
        <v>61</v>
      </c>
      <c r="B110" s="96" t="s">
        <v>83</v>
      </c>
      <c r="C110" s="98" t="s">
        <v>63</v>
      </c>
      <c r="D110" s="96" t="s">
        <v>85</v>
      </c>
      <c r="E110" s="130" t="s">
        <v>300</v>
      </c>
      <c r="F110" s="129" t="s">
        <v>301</v>
      </c>
      <c r="G110" s="99" t="s">
        <v>67</v>
      </c>
      <c r="H110" s="100" t="s">
        <v>303</v>
      </c>
      <c r="I110" s="23" t="e">
        <f>VLOOKUP(H110,'合同综合查询数据（3月返）'!$A:$A,1,FALSE)</f>
        <v>#N/A</v>
      </c>
      <c r="J110" s="99" t="s">
        <v>69</v>
      </c>
      <c r="K110" s="108" t="s">
        <v>63</v>
      </c>
      <c r="L110" s="109"/>
      <c r="M110" s="26"/>
      <c r="N110" s="28">
        <v>43103</v>
      </c>
      <c r="O110" s="109" t="s">
        <v>71</v>
      </c>
      <c r="P110" s="131">
        <v>600</v>
      </c>
      <c r="Q110" s="120">
        <v>1</v>
      </c>
      <c r="R110" s="120">
        <f t="shared" si="4"/>
        <v>600</v>
      </c>
      <c r="S110" s="117">
        <v>202303</v>
      </c>
      <c r="T110" s="121" t="s">
        <v>320</v>
      </c>
      <c r="U110" s="132"/>
      <c r="V110" s="133"/>
      <c r="W110" s="133"/>
      <c r="X110" s="118"/>
      <c r="Y110" s="118"/>
    </row>
    <row r="111" s="79" customFormat="1" customHeight="1" spans="1:25">
      <c r="A111" s="129" t="s">
        <v>61</v>
      </c>
      <c r="B111" s="96" t="s">
        <v>83</v>
      </c>
      <c r="C111" s="98" t="s">
        <v>63</v>
      </c>
      <c r="D111" s="96" t="s">
        <v>85</v>
      </c>
      <c r="E111" s="130" t="s">
        <v>300</v>
      </c>
      <c r="F111" s="129" t="s">
        <v>301</v>
      </c>
      <c r="G111" s="99" t="s">
        <v>67</v>
      </c>
      <c r="H111" s="100" t="s">
        <v>303</v>
      </c>
      <c r="I111" s="23" t="e">
        <f>VLOOKUP(H111,'合同综合查询数据（3月返）'!$A:$A,1,FALSE)</f>
        <v>#N/A</v>
      </c>
      <c r="J111" s="99" t="s">
        <v>69</v>
      </c>
      <c r="K111" s="108" t="s">
        <v>63</v>
      </c>
      <c r="L111" s="109"/>
      <c r="M111" s="26"/>
      <c r="N111" s="28">
        <v>43008</v>
      </c>
      <c r="O111" s="109" t="s">
        <v>71</v>
      </c>
      <c r="P111" s="131">
        <v>600</v>
      </c>
      <c r="Q111" s="120">
        <v>1</v>
      </c>
      <c r="R111" s="120">
        <f t="shared" si="4"/>
        <v>600</v>
      </c>
      <c r="S111" s="117">
        <v>202303</v>
      </c>
      <c r="T111" s="121" t="s">
        <v>321</v>
      </c>
      <c r="U111" s="132"/>
      <c r="V111" s="133"/>
      <c r="W111" s="133"/>
      <c r="X111" s="118"/>
      <c r="Y111" s="118"/>
    </row>
    <row r="112" s="79" customFormat="1" customHeight="1" spans="1:25">
      <c r="A112" s="129" t="s">
        <v>61</v>
      </c>
      <c r="B112" s="96" t="s">
        <v>83</v>
      </c>
      <c r="C112" s="98" t="s">
        <v>63</v>
      </c>
      <c r="D112" s="96" t="s">
        <v>85</v>
      </c>
      <c r="E112" s="130" t="s">
        <v>300</v>
      </c>
      <c r="F112" s="129" t="s">
        <v>301</v>
      </c>
      <c r="G112" s="99" t="s">
        <v>67</v>
      </c>
      <c r="H112" s="100" t="s">
        <v>303</v>
      </c>
      <c r="I112" s="23" t="e">
        <f>VLOOKUP(H112,'合同综合查询数据（3月返）'!$A:$A,1,FALSE)</f>
        <v>#N/A</v>
      </c>
      <c r="J112" s="99" t="s">
        <v>69</v>
      </c>
      <c r="K112" s="108" t="s">
        <v>63</v>
      </c>
      <c r="L112" s="109"/>
      <c r="M112" s="26"/>
      <c r="N112" s="28">
        <v>43229</v>
      </c>
      <c r="O112" s="109" t="s">
        <v>71</v>
      </c>
      <c r="P112" s="131">
        <v>600</v>
      </c>
      <c r="Q112" s="120">
        <v>1</v>
      </c>
      <c r="R112" s="120">
        <f t="shared" si="4"/>
        <v>600</v>
      </c>
      <c r="S112" s="117">
        <v>202303</v>
      </c>
      <c r="T112" s="121" t="s">
        <v>322</v>
      </c>
      <c r="U112" s="132"/>
      <c r="V112" s="133"/>
      <c r="W112" s="133"/>
      <c r="X112" s="118"/>
      <c r="Y112" s="118"/>
    </row>
    <row r="113" s="79" customFormat="1" customHeight="1" spans="1:25">
      <c r="A113" s="129" t="s">
        <v>61</v>
      </c>
      <c r="B113" s="96" t="s">
        <v>83</v>
      </c>
      <c r="C113" s="98" t="s">
        <v>63</v>
      </c>
      <c r="D113" s="96" t="s">
        <v>85</v>
      </c>
      <c r="E113" s="130" t="s">
        <v>300</v>
      </c>
      <c r="F113" s="129" t="s">
        <v>301</v>
      </c>
      <c r="G113" s="99" t="s">
        <v>67</v>
      </c>
      <c r="H113" s="100" t="s">
        <v>303</v>
      </c>
      <c r="I113" s="23" t="e">
        <f>VLOOKUP(H113,'合同综合查询数据（3月返）'!$A:$A,1,FALSE)</f>
        <v>#N/A</v>
      </c>
      <c r="J113" s="99" t="s">
        <v>69</v>
      </c>
      <c r="K113" s="108" t="s">
        <v>63</v>
      </c>
      <c r="L113" s="109"/>
      <c r="M113" s="26"/>
      <c r="N113" s="28">
        <v>43236</v>
      </c>
      <c r="O113" s="109" t="s">
        <v>71</v>
      </c>
      <c r="P113" s="131">
        <v>600</v>
      </c>
      <c r="Q113" s="120">
        <v>1</v>
      </c>
      <c r="R113" s="120">
        <f t="shared" si="4"/>
        <v>600</v>
      </c>
      <c r="S113" s="117">
        <v>202303</v>
      </c>
      <c r="T113" s="121" t="s">
        <v>323</v>
      </c>
      <c r="U113" s="132"/>
      <c r="V113" s="133"/>
      <c r="W113" s="133"/>
      <c r="X113" s="118"/>
      <c r="Y113" s="118"/>
    </row>
    <row r="114" s="79" customFormat="1" customHeight="1" spans="1:25">
      <c r="A114" s="129" t="s">
        <v>61</v>
      </c>
      <c r="B114" s="96" t="s">
        <v>83</v>
      </c>
      <c r="C114" s="98" t="s">
        <v>63</v>
      </c>
      <c r="D114" s="96" t="s">
        <v>85</v>
      </c>
      <c r="E114" s="130" t="s">
        <v>300</v>
      </c>
      <c r="F114" s="129" t="s">
        <v>301</v>
      </c>
      <c r="G114" s="99" t="s">
        <v>67</v>
      </c>
      <c r="H114" s="100" t="s">
        <v>303</v>
      </c>
      <c r="I114" s="23" t="e">
        <f>VLOOKUP(H114,'合同综合查询数据（3月返）'!$A:$A,1,FALSE)</f>
        <v>#N/A</v>
      </c>
      <c r="J114" s="99" t="s">
        <v>69</v>
      </c>
      <c r="K114" s="108" t="s">
        <v>63</v>
      </c>
      <c r="L114" s="109"/>
      <c r="M114" s="26"/>
      <c r="N114" s="28">
        <v>43242</v>
      </c>
      <c r="O114" s="109" t="s">
        <v>71</v>
      </c>
      <c r="P114" s="131">
        <v>600</v>
      </c>
      <c r="Q114" s="120">
        <v>1</v>
      </c>
      <c r="R114" s="120">
        <f t="shared" si="4"/>
        <v>600</v>
      </c>
      <c r="S114" s="117">
        <v>202303</v>
      </c>
      <c r="T114" s="121" t="s">
        <v>324</v>
      </c>
      <c r="U114" s="132"/>
      <c r="V114" s="133"/>
      <c r="W114" s="133"/>
      <c r="X114" s="118"/>
      <c r="Y114" s="118"/>
    </row>
    <row r="115" s="79" customFormat="1" customHeight="1" spans="1:25">
      <c r="A115" s="129" t="s">
        <v>61</v>
      </c>
      <c r="B115" s="96" t="s">
        <v>83</v>
      </c>
      <c r="C115" s="98" t="s">
        <v>63</v>
      </c>
      <c r="D115" s="96" t="s">
        <v>85</v>
      </c>
      <c r="E115" s="130" t="s">
        <v>300</v>
      </c>
      <c r="F115" s="129" t="s">
        <v>301</v>
      </c>
      <c r="G115" s="99" t="s">
        <v>67</v>
      </c>
      <c r="H115" s="100" t="s">
        <v>303</v>
      </c>
      <c r="I115" s="23" t="e">
        <f>VLOOKUP(H115,'合同综合查询数据（3月返）'!$A:$A,1,FALSE)</f>
        <v>#N/A</v>
      </c>
      <c r="J115" s="99" t="s">
        <v>69</v>
      </c>
      <c r="K115" s="108" t="s">
        <v>63</v>
      </c>
      <c r="L115" s="109"/>
      <c r="M115" s="26"/>
      <c r="N115" s="28">
        <v>43351</v>
      </c>
      <c r="O115" s="109" t="s">
        <v>71</v>
      </c>
      <c r="P115" s="131">
        <v>600</v>
      </c>
      <c r="Q115" s="120">
        <v>1</v>
      </c>
      <c r="R115" s="120">
        <f t="shared" si="4"/>
        <v>600</v>
      </c>
      <c r="S115" s="117">
        <v>202303</v>
      </c>
      <c r="T115" s="121" t="s">
        <v>325</v>
      </c>
      <c r="U115" s="132"/>
      <c r="V115" s="133"/>
      <c r="W115" s="133"/>
      <c r="X115" s="118"/>
      <c r="Y115" s="118"/>
    </row>
    <row r="116" s="79" customFormat="1" customHeight="1" spans="1:25">
      <c r="A116" s="129" t="s">
        <v>61</v>
      </c>
      <c r="B116" s="96" t="s">
        <v>83</v>
      </c>
      <c r="C116" s="98" t="s">
        <v>63</v>
      </c>
      <c r="D116" s="96" t="s">
        <v>85</v>
      </c>
      <c r="E116" s="130" t="s">
        <v>300</v>
      </c>
      <c r="F116" s="129" t="s">
        <v>301</v>
      </c>
      <c r="G116" s="99" t="s">
        <v>67</v>
      </c>
      <c r="H116" s="100" t="s">
        <v>303</v>
      </c>
      <c r="I116" s="23" t="e">
        <f>VLOOKUP(H116,'合同综合查询数据（3月返）'!$A:$A,1,FALSE)</f>
        <v>#N/A</v>
      </c>
      <c r="J116" s="99" t="s">
        <v>69</v>
      </c>
      <c r="K116" s="108" t="s">
        <v>63</v>
      </c>
      <c r="L116" s="109"/>
      <c r="M116" s="26"/>
      <c r="N116" s="28">
        <v>43351</v>
      </c>
      <c r="O116" s="109" t="s">
        <v>71</v>
      </c>
      <c r="P116" s="131">
        <v>600</v>
      </c>
      <c r="Q116" s="120">
        <v>1</v>
      </c>
      <c r="R116" s="120">
        <f t="shared" si="4"/>
        <v>600</v>
      </c>
      <c r="S116" s="117">
        <v>202303</v>
      </c>
      <c r="T116" s="121" t="s">
        <v>326</v>
      </c>
      <c r="U116" s="132"/>
      <c r="V116" s="133"/>
      <c r="W116" s="133"/>
      <c r="X116" s="118"/>
      <c r="Y116" s="118"/>
    </row>
    <row r="117" s="79" customFormat="1" customHeight="1" spans="1:25">
      <c r="A117" s="129" t="s">
        <v>61</v>
      </c>
      <c r="B117" s="96" t="s">
        <v>83</v>
      </c>
      <c r="C117" s="98" t="s">
        <v>63</v>
      </c>
      <c r="D117" s="96" t="s">
        <v>85</v>
      </c>
      <c r="E117" s="130" t="s">
        <v>300</v>
      </c>
      <c r="F117" s="129" t="s">
        <v>301</v>
      </c>
      <c r="G117" s="99" t="s">
        <v>67</v>
      </c>
      <c r="H117" s="100" t="s">
        <v>303</v>
      </c>
      <c r="I117" s="23" t="e">
        <f>VLOOKUP(H117,'合同综合查询数据（3月返）'!$A:$A,1,FALSE)</f>
        <v>#N/A</v>
      </c>
      <c r="J117" s="99" t="s">
        <v>69</v>
      </c>
      <c r="K117" s="108" t="s">
        <v>63</v>
      </c>
      <c r="L117" s="109"/>
      <c r="M117" s="26"/>
      <c r="N117" s="28">
        <v>43351</v>
      </c>
      <c r="O117" s="109" t="s">
        <v>71</v>
      </c>
      <c r="P117" s="131">
        <v>600</v>
      </c>
      <c r="Q117" s="120">
        <v>1</v>
      </c>
      <c r="R117" s="120">
        <f t="shared" si="4"/>
        <v>600</v>
      </c>
      <c r="S117" s="117">
        <v>202303</v>
      </c>
      <c r="T117" s="121" t="s">
        <v>327</v>
      </c>
      <c r="U117" s="132"/>
      <c r="V117" s="133"/>
      <c r="W117" s="133"/>
      <c r="X117" s="118"/>
      <c r="Y117" s="118"/>
    </row>
    <row r="118" s="79" customFormat="1" customHeight="1" spans="1:25">
      <c r="A118" s="129" t="s">
        <v>61</v>
      </c>
      <c r="B118" s="96" t="s">
        <v>83</v>
      </c>
      <c r="C118" s="98" t="s">
        <v>63</v>
      </c>
      <c r="D118" s="96" t="s">
        <v>85</v>
      </c>
      <c r="E118" s="130" t="s">
        <v>300</v>
      </c>
      <c r="F118" s="129" t="s">
        <v>301</v>
      </c>
      <c r="G118" s="99" t="s">
        <v>67</v>
      </c>
      <c r="H118" s="100" t="s">
        <v>303</v>
      </c>
      <c r="I118" s="23" t="e">
        <f>VLOOKUP(H118,'合同综合查询数据（3月返）'!$A:$A,1,FALSE)</f>
        <v>#N/A</v>
      </c>
      <c r="J118" s="99" t="s">
        <v>69</v>
      </c>
      <c r="K118" s="108" t="s">
        <v>63</v>
      </c>
      <c r="L118" s="109"/>
      <c r="M118" s="26"/>
      <c r="N118" s="28">
        <v>43351</v>
      </c>
      <c r="O118" s="109" t="s">
        <v>71</v>
      </c>
      <c r="P118" s="131">
        <v>600</v>
      </c>
      <c r="Q118" s="120">
        <v>1</v>
      </c>
      <c r="R118" s="120">
        <f t="shared" si="4"/>
        <v>600</v>
      </c>
      <c r="S118" s="117">
        <v>202303</v>
      </c>
      <c r="T118" s="121" t="s">
        <v>328</v>
      </c>
      <c r="U118" s="132"/>
      <c r="V118" s="133"/>
      <c r="W118" s="133"/>
      <c r="X118" s="118"/>
      <c r="Y118" s="118"/>
    </row>
    <row r="119" s="79" customFormat="1" customHeight="1" spans="1:25">
      <c r="A119" s="129" t="s">
        <v>61</v>
      </c>
      <c r="B119" s="96" t="s">
        <v>83</v>
      </c>
      <c r="C119" s="98" t="s">
        <v>63</v>
      </c>
      <c r="D119" s="96" t="s">
        <v>85</v>
      </c>
      <c r="E119" s="130" t="s">
        <v>300</v>
      </c>
      <c r="F119" s="129" t="s">
        <v>301</v>
      </c>
      <c r="G119" s="99" t="s">
        <v>67</v>
      </c>
      <c r="H119" s="100" t="s">
        <v>303</v>
      </c>
      <c r="I119" s="23" t="e">
        <f>VLOOKUP(H119,'合同综合查询数据（3月返）'!$A:$A,1,FALSE)</f>
        <v>#N/A</v>
      </c>
      <c r="J119" s="99" t="s">
        <v>69</v>
      </c>
      <c r="K119" s="108" t="s">
        <v>63</v>
      </c>
      <c r="L119" s="109"/>
      <c r="M119" s="26"/>
      <c r="N119" s="28">
        <v>43392</v>
      </c>
      <c r="O119" s="109" t="s">
        <v>71</v>
      </c>
      <c r="P119" s="131">
        <v>600</v>
      </c>
      <c r="Q119" s="120">
        <v>1</v>
      </c>
      <c r="R119" s="120">
        <f t="shared" si="4"/>
        <v>600</v>
      </c>
      <c r="S119" s="117">
        <v>202303</v>
      </c>
      <c r="T119" s="121" t="s">
        <v>329</v>
      </c>
      <c r="U119" s="132"/>
      <c r="V119" s="133"/>
      <c r="W119" s="133"/>
      <c r="X119" s="118"/>
      <c r="Y119" s="118"/>
    </row>
    <row r="120" s="79" customFormat="1" customHeight="1" spans="1:25">
      <c r="A120" s="129" t="s">
        <v>61</v>
      </c>
      <c r="B120" s="96" t="s">
        <v>83</v>
      </c>
      <c r="C120" s="98" t="s">
        <v>63</v>
      </c>
      <c r="D120" s="96" t="s">
        <v>85</v>
      </c>
      <c r="E120" s="130" t="s">
        <v>300</v>
      </c>
      <c r="F120" s="129" t="s">
        <v>301</v>
      </c>
      <c r="G120" s="99" t="s">
        <v>67</v>
      </c>
      <c r="H120" s="100" t="s">
        <v>303</v>
      </c>
      <c r="I120" s="23" t="e">
        <f>VLOOKUP(H120,'合同综合查询数据（3月返）'!$A:$A,1,FALSE)</f>
        <v>#N/A</v>
      </c>
      <c r="J120" s="99" t="s">
        <v>69</v>
      </c>
      <c r="K120" s="108" t="s">
        <v>63</v>
      </c>
      <c r="L120" s="109"/>
      <c r="M120" s="26"/>
      <c r="N120" s="28">
        <v>44868</v>
      </c>
      <c r="O120" s="109" t="s">
        <v>71</v>
      </c>
      <c r="P120" s="131">
        <v>600</v>
      </c>
      <c r="Q120" s="120">
        <v>-1</v>
      </c>
      <c r="R120" s="120">
        <f t="shared" si="4"/>
        <v>-600</v>
      </c>
      <c r="S120" s="117">
        <v>202303</v>
      </c>
      <c r="T120" s="121" t="s">
        <v>330</v>
      </c>
      <c r="U120" s="132"/>
      <c r="V120" s="133"/>
      <c r="W120" s="133"/>
      <c r="X120" s="118"/>
      <c r="Y120" s="118"/>
    </row>
    <row r="121" s="79" customFormat="1" customHeight="1" spans="1:25">
      <c r="A121" s="129" t="s">
        <v>61</v>
      </c>
      <c r="B121" s="96" t="s">
        <v>83</v>
      </c>
      <c r="C121" s="98" t="s">
        <v>63</v>
      </c>
      <c r="D121" s="96" t="s">
        <v>85</v>
      </c>
      <c r="E121" s="130" t="s">
        <v>300</v>
      </c>
      <c r="F121" s="129" t="s">
        <v>301</v>
      </c>
      <c r="G121" s="99" t="s">
        <v>67</v>
      </c>
      <c r="H121" s="100" t="s">
        <v>303</v>
      </c>
      <c r="I121" s="23" t="e">
        <f>VLOOKUP(H121,'合同综合查询数据（3月返）'!$A:$A,1,FALSE)</f>
        <v>#N/A</v>
      </c>
      <c r="J121" s="99" t="s">
        <v>69</v>
      </c>
      <c r="K121" s="108" t="s">
        <v>63</v>
      </c>
      <c r="L121" s="109"/>
      <c r="M121" s="26"/>
      <c r="N121" s="28">
        <v>43615</v>
      </c>
      <c r="O121" s="109" t="s">
        <v>71</v>
      </c>
      <c r="P121" s="131">
        <v>600</v>
      </c>
      <c r="Q121" s="120">
        <v>1</v>
      </c>
      <c r="R121" s="120">
        <f t="shared" si="4"/>
        <v>600</v>
      </c>
      <c r="S121" s="117">
        <v>202303</v>
      </c>
      <c r="T121" s="121" t="s">
        <v>331</v>
      </c>
      <c r="U121" s="132"/>
      <c r="V121" s="133"/>
      <c r="W121" s="133"/>
      <c r="X121" s="118"/>
      <c r="Y121" s="118"/>
    </row>
    <row r="122" s="79" customFormat="1" customHeight="1" spans="1:25">
      <c r="A122" s="129" t="s">
        <v>61</v>
      </c>
      <c r="B122" s="96" t="s">
        <v>83</v>
      </c>
      <c r="C122" s="98" t="s">
        <v>63</v>
      </c>
      <c r="D122" s="96" t="s">
        <v>85</v>
      </c>
      <c r="E122" s="130" t="s">
        <v>300</v>
      </c>
      <c r="F122" s="129" t="s">
        <v>301</v>
      </c>
      <c r="G122" s="99" t="s">
        <v>67</v>
      </c>
      <c r="H122" s="100" t="s">
        <v>303</v>
      </c>
      <c r="I122" s="23" t="e">
        <f>VLOOKUP(H122,'合同综合查询数据（3月返）'!$A:$A,1,FALSE)</f>
        <v>#N/A</v>
      </c>
      <c r="J122" s="99" t="s">
        <v>69</v>
      </c>
      <c r="K122" s="108" t="s">
        <v>63</v>
      </c>
      <c r="L122" s="109"/>
      <c r="M122" s="26"/>
      <c r="N122" s="28">
        <v>43706</v>
      </c>
      <c r="O122" s="109" t="s">
        <v>71</v>
      </c>
      <c r="P122" s="131">
        <v>600</v>
      </c>
      <c r="Q122" s="120">
        <v>1</v>
      </c>
      <c r="R122" s="120">
        <f t="shared" si="4"/>
        <v>600</v>
      </c>
      <c r="S122" s="117">
        <v>202303</v>
      </c>
      <c r="T122" s="121" t="s">
        <v>332</v>
      </c>
      <c r="U122" s="132"/>
      <c r="V122" s="133"/>
      <c r="W122" s="133"/>
      <c r="X122" s="118"/>
      <c r="Y122" s="118"/>
    </row>
    <row r="123" s="79" customFormat="1" customHeight="1" spans="1:25">
      <c r="A123" s="129" t="s">
        <v>61</v>
      </c>
      <c r="B123" s="96" t="s">
        <v>83</v>
      </c>
      <c r="C123" s="98" t="s">
        <v>63</v>
      </c>
      <c r="D123" s="96" t="s">
        <v>85</v>
      </c>
      <c r="E123" s="130" t="s">
        <v>300</v>
      </c>
      <c r="F123" s="129" t="s">
        <v>301</v>
      </c>
      <c r="G123" s="99" t="s">
        <v>67</v>
      </c>
      <c r="H123" s="100" t="s">
        <v>303</v>
      </c>
      <c r="I123" s="23" t="e">
        <f>VLOOKUP(H123,'合同综合查询数据（3月返）'!$A:$A,1,FALSE)</f>
        <v>#N/A</v>
      </c>
      <c r="J123" s="99" t="s">
        <v>69</v>
      </c>
      <c r="K123" s="108" t="s">
        <v>63</v>
      </c>
      <c r="L123" s="109"/>
      <c r="M123" s="26"/>
      <c r="N123" s="28" t="s">
        <v>333</v>
      </c>
      <c r="O123" s="109" t="s">
        <v>71</v>
      </c>
      <c r="P123" s="131">
        <v>600</v>
      </c>
      <c r="Q123" s="120">
        <v>0</v>
      </c>
      <c r="R123" s="120">
        <f t="shared" si="4"/>
        <v>0</v>
      </c>
      <c r="S123" s="117">
        <v>202303</v>
      </c>
      <c r="T123" s="121" t="s">
        <v>334</v>
      </c>
      <c r="U123" s="132"/>
      <c r="V123" s="133"/>
      <c r="W123" s="133"/>
      <c r="X123" s="118"/>
      <c r="Y123" s="118"/>
    </row>
    <row r="124" s="79" customFormat="1" customHeight="1" spans="1:25">
      <c r="A124" s="129" t="s">
        <v>61</v>
      </c>
      <c r="B124" s="96" t="s">
        <v>83</v>
      </c>
      <c r="C124" s="98" t="s">
        <v>63</v>
      </c>
      <c r="D124" s="96" t="s">
        <v>85</v>
      </c>
      <c r="E124" s="130" t="s">
        <v>300</v>
      </c>
      <c r="F124" s="129" t="s">
        <v>301</v>
      </c>
      <c r="G124" s="99" t="s">
        <v>67</v>
      </c>
      <c r="H124" s="100" t="s">
        <v>303</v>
      </c>
      <c r="I124" s="23" t="e">
        <f>VLOOKUP(H124,'合同综合查询数据（3月返）'!$A:$A,1,FALSE)</f>
        <v>#N/A</v>
      </c>
      <c r="J124" s="99" t="s">
        <v>69</v>
      </c>
      <c r="K124" s="108" t="s">
        <v>63</v>
      </c>
      <c r="L124" s="109"/>
      <c r="M124" s="26"/>
      <c r="N124" s="28" t="s">
        <v>333</v>
      </c>
      <c r="O124" s="109" t="s">
        <v>71</v>
      </c>
      <c r="P124" s="131">
        <v>600</v>
      </c>
      <c r="Q124" s="120">
        <v>0</v>
      </c>
      <c r="R124" s="120">
        <f t="shared" si="4"/>
        <v>0</v>
      </c>
      <c r="S124" s="117">
        <v>202303</v>
      </c>
      <c r="T124" s="121" t="s">
        <v>335</v>
      </c>
      <c r="U124" s="132"/>
      <c r="V124" s="133"/>
      <c r="W124" s="133"/>
      <c r="X124" s="118"/>
      <c r="Y124" s="118"/>
    </row>
    <row r="125" s="79" customFormat="1" customHeight="1" spans="1:25">
      <c r="A125" s="129" t="s">
        <v>61</v>
      </c>
      <c r="B125" s="96" t="s">
        <v>83</v>
      </c>
      <c r="C125" s="98" t="s">
        <v>63</v>
      </c>
      <c r="D125" s="96" t="s">
        <v>85</v>
      </c>
      <c r="E125" s="130" t="s">
        <v>300</v>
      </c>
      <c r="F125" s="129" t="s">
        <v>301</v>
      </c>
      <c r="G125" s="99" t="s">
        <v>67</v>
      </c>
      <c r="H125" s="100" t="s">
        <v>303</v>
      </c>
      <c r="I125" s="23" t="e">
        <f>VLOOKUP(H125,'合同综合查询数据（3月返）'!$A:$A,1,FALSE)</f>
        <v>#N/A</v>
      </c>
      <c r="J125" s="99" t="s">
        <v>69</v>
      </c>
      <c r="K125" s="108" t="s">
        <v>63</v>
      </c>
      <c r="L125" s="109"/>
      <c r="M125" s="26"/>
      <c r="N125" s="28" t="s">
        <v>333</v>
      </c>
      <c r="O125" s="109" t="s">
        <v>71</v>
      </c>
      <c r="P125" s="131">
        <v>600</v>
      </c>
      <c r="Q125" s="120">
        <v>0</v>
      </c>
      <c r="R125" s="120">
        <f t="shared" si="4"/>
        <v>0</v>
      </c>
      <c r="S125" s="117">
        <v>202303</v>
      </c>
      <c r="T125" s="121" t="s">
        <v>336</v>
      </c>
      <c r="U125" s="132"/>
      <c r="V125" s="133"/>
      <c r="W125" s="133"/>
      <c r="X125" s="118"/>
      <c r="Y125" s="118"/>
    </row>
    <row r="126" s="79" customFormat="1" customHeight="1" spans="1:25">
      <c r="A126" s="129" t="s">
        <v>61</v>
      </c>
      <c r="B126" s="96" t="s">
        <v>83</v>
      </c>
      <c r="C126" s="98" t="s">
        <v>63</v>
      </c>
      <c r="D126" s="96" t="s">
        <v>85</v>
      </c>
      <c r="E126" s="130" t="s">
        <v>300</v>
      </c>
      <c r="F126" s="129" t="s">
        <v>301</v>
      </c>
      <c r="G126" s="99" t="s">
        <v>67</v>
      </c>
      <c r="H126" s="100" t="s">
        <v>303</v>
      </c>
      <c r="I126" s="23" t="e">
        <f>VLOOKUP(H126,'合同综合查询数据（3月返）'!$A:$A,1,FALSE)</f>
        <v>#N/A</v>
      </c>
      <c r="J126" s="99" t="s">
        <v>69</v>
      </c>
      <c r="K126" s="108" t="s">
        <v>63</v>
      </c>
      <c r="L126" s="109"/>
      <c r="M126" s="26"/>
      <c r="N126" s="28" t="s">
        <v>333</v>
      </c>
      <c r="O126" s="109" t="s">
        <v>71</v>
      </c>
      <c r="P126" s="131">
        <v>600</v>
      </c>
      <c r="Q126" s="120">
        <v>0</v>
      </c>
      <c r="R126" s="120">
        <f t="shared" si="4"/>
        <v>0</v>
      </c>
      <c r="S126" s="117">
        <v>202303</v>
      </c>
      <c r="T126" s="121" t="s">
        <v>337</v>
      </c>
      <c r="U126" s="132"/>
      <c r="V126" s="133"/>
      <c r="W126" s="133"/>
      <c r="X126" s="118"/>
      <c r="Y126" s="118"/>
    </row>
    <row r="127" s="79" customFormat="1" customHeight="1" spans="1:25">
      <c r="A127" s="129" t="s">
        <v>61</v>
      </c>
      <c r="B127" s="96" t="s">
        <v>83</v>
      </c>
      <c r="C127" s="98" t="s">
        <v>63</v>
      </c>
      <c r="D127" s="96" t="s">
        <v>85</v>
      </c>
      <c r="E127" s="130" t="s">
        <v>300</v>
      </c>
      <c r="F127" s="129" t="s">
        <v>301</v>
      </c>
      <c r="G127" s="99" t="s">
        <v>67</v>
      </c>
      <c r="H127" s="100" t="s">
        <v>303</v>
      </c>
      <c r="I127" s="23" t="e">
        <f>VLOOKUP(H127,'合同综合查询数据（3月返）'!$A:$A,1,FALSE)</f>
        <v>#N/A</v>
      </c>
      <c r="J127" s="99" t="s">
        <v>69</v>
      </c>
      <c r="K127" s="108" t="s">
        <v>63</v>
      </c>
      <c r="L127" s="109"/>
      <c r="M127" s="26"/>
      <c r="N127" s="28">
        <v>43711</v>
      </c>
      <c r="O127" s="109" t="s">
        <v>71</v>
      </c>
      <c r="P127" s="131">
        <v>600</v>
      </c>
      <c r="Q127" s="120">
        <v>1</v>
      </c>
      <c r="R127" s="120">
        <f t="shared" si="4"/>
        <v>600</v>
      </c>
      <c r="S127" s="117">
        <v>202303</v>
      </c>
      <c r="T127" s="121" t="s">
        <v>338</v>
      </c>
      <c r="U127" s="132"/>
      <c r="V127" s="133"/>
      <c r="W127" s="133"/>
      <c r="X127" s="118"/>
      <c r="Y127" s="118"/>
    </row>
    <row r="128" s="79" customFormat="1" customHeight="1" spans="1:25">
      <c r="A128" s="129" t="s">
        <v>61</v>
      </c>
      <c r="B128" s="96" t="s">
        <v>83</v>
      </c>
      <c r="C128" s="98" t="s">
        <v>63</v>
      </c>
      <c r="D128" s="96" t="s">
        <v>85</v>
      </c>
      <c r="E128" s="130" t="s">
        <v>300</v>
      </c>
      <c r="F128" s="129" t="s">
        <v>301</v>
      </c>
      <c r="G128" s="99" t="s">
        <v>67</v>
      </c>
      <c r="H128" s="100" t="s">
        <v>303</v>
      </c>
      <c r="I128" s="23" t="e">
        <f>VLOOKUP(H128,'合同综合查询数据（3月返）'!$A:$A,1,FALSE)</f>
        <v>#N/A</v>
      </c>
      <c r="J128" s="99" t="s">
        <v>69</v>
      </c>
      <c r="K128" s="108" t="s">
        <v>63</v>
      </c>
      <c r="L128" s="109"/>
      <c r="M128" s="26"/>
      <c r="N128" s="28">
        <v>43784</v>
      </c>
      <c r="O128" s="109" t="s">
        <v>71</v>
      </c>
      <c r="P128" s="131">
        <v>600</v>
      </c>
      <c r="Q128" s="120">
        <v>1</v>
      </c>
      <c r="R128" s="120">
        <f t="shared" si="4"/>
        <v>600</v>
      </c>
      <c r="S128" s="117">
        <v>202303</v>
      </c>
      <c r="T128" s="121" t="s">
        <v>339</v>
      </c>
      <c r="U128" s="132"/>
      <c r="V128" s="133"/>
      <c r="W128" s="133"/>
      <c r="X128" s="118"/>
      <c r="Y128" s="118"/>
    </row>
    <row r="129" s="79" customFormat="1" customHeight="1" spans="1:25">
      <c r="A129" s="129" t="s">
        <v>61</v>
      </c>
      <c r="B129" s="96" t="s">
        <v>83</v>
      </c>
      <c r="C129" s="98" t="s">
        <v>63</v>
      </c>
      <c r="D129" s="96" t="s">
        <v>85</v>
      </c>
      <c r="E129" s="130" t="s">
        <v>300</v>
      </c>
      <c r="F129" s="129" t="s">
        <v>301</v>
      </c>
      <c r="G129" s="99" t="s">
        <v>67</v>
      </c>
      <c r="H129" s="100" t="s">
        <v>303</v>
      </c>
      <c r="I129" s="23" t="e">
        <f>VLOOKUP(H129,'合同综合查询数据（3月返）'!$A:$A,1,FALSE)</f>
        <v>#N/A</v>
      </c>
      <c r="J129" s="99" t="s">
        <v>69</v>
      </c>
      <c r="K129" s="108" t="s">
        <v>63</v>
      </c>
      <c r="L129" s="109"/>
      <c r="M129" s="26"/>
      <c r="N129" s="28">
        <v>43784</v>
      </c>
      <c r="O129" s="109" t="s">
        <v>71</v>
      </c>
      <c r="P129" s="131">
        <v>600</v>
      </c>
      <c r="Q129" s="120">
        <v>1</v>
      </c>
      <c r="R129" s="120">
        <f t="shared" si="4"/>
        <v>600</v>
      </c>
      <c r="S129" s="117">
        <v>202303</v>
      </c>
      <c r="T129" s="121" t="s">
        <v>340</v>
      </c>
      <c r="U129" s="132"/>
      <c r="V129" s="133"/>
      <c r="W129" s="133"/>
      <c r="X129" s="118"/>
      <c r="Y129" s="118"/>
    </row>
    <row r="130" s="79" customFormat="1" customHeight="1" spans="1:25">
      <c r="A130" s="129" t="s">
        <v>61</v>
      </c>
      <c r="B130" s="96" t="s">
        <v>83</v>
      </c>
      <c r="C130" s="98" t="s">
        <v>63</v>
      </c>
      <c r="D130" s="96" t="s">
        <v>85</v>
      </c>
      <c r="E130" s="130" t="s">
        <v>300</v>
      </c>
      <c r="F130" s="129" t="s">
        <v>301</v>
      </c>
      <c r="G130" s="99" t="s">
        <v>67</v>
      </c>
      <c r="H130" s="100" t="s">
        <v>303</v>
      </c>
      <c r="I130" s="23" t="e">
        <f>VLOOKUP(H130,'合同综合查询数据（3月返）'!$A:$A,1,FALSE)</f>
        <v>#N/A</v>
      </c>
      <c r="J130" s="99" t="s">
        <v>69</v>
      </c>
      <c r="K130" s="108" t="s">
        <v>63</v>
      </c>
      <c r="L130" s="109"/>
      <c r="M130" s="26"/>
      <c r="N130" s="28">
        <v>43825</v>
      </c>
      <c r="O130" s="109" t="s">
        <v>71</v>
      </c>
      <c r="P130" s="131">
        <v>600</v>
      </c>
      <c r="Q130" s="120">
        <v>1</v>
      </c>
      <c r="R130" s="120">
        <f t="shared" si="4"/>
        <v>600</v>
      </c>
      <c r="S130" s="117">
        <v>202303</v>
      </c>
      <c r="T130" s="121" t="s">
        <v>341</v>
      </c>
      <c r="U130" s="132"/>
      <c r="V130" s="133"/>
      <c r="W130" s="133"/>
      <c r="X130" s="118"/>
      <c r="Y130" s="118"/>
    </row>
    <row r="131" s="79" customFormat="1" customHeight="1" spans="1:25">
      <c r="A131" s="129" t="s">
        <v>61</v>
      </c>
      <c r="B131" s="96" t="s">
        <v>83</v>
      </c>
      <c r="C131" s="98" t="s">
        <v>63</v>
      </c>
      <c r="D131" s="96" t="s">
        <v>85</v>
      </c>
      <c r="E131" s="130" t="s">
        <v>300</v>
      </c>
      <c r="F131" s="129" t="s">
        <v>301</v>
      </c>
      <c r="G131" s="99" t="s">
        <v>67</v>
      </c>
      <c r="H131" s="100" t="s">
        <v>303</v>
      </c>
      <c r="I131" s="23" t="e">
        <f>VLOOKUP(H131,'合同综合查询数据（3月返）'!$A:$A,1,FALSE)</f>
        <v>#N/A</v>
      </c>
      <c r="J131" s="99" t="s">
        <v>69</v>
      </c>
      <c r="K131" s="108" t="s">
        <v>63</v>
      </c>
      <c r="L131" s="109"/>
      <c r="M131" s="26"/>
      <c r="N131" s="28">
        <v>43825</v>
      </c>
      <c r="O131" s="109" t="s">
        <v>71</v>
      </c>
      <c r="P131" s="131">
        <v>600</v>
      </c>
      <c r="Q131" s="120">
        <v>1</v>
      </c>
      <c r="R131" s="120">
        <f t="shared" si="4"/>
        <v>600</v>
      </c>
      <c r="S131" s="117">
        <v>202303</v>
      </c>
      <c r="T131" s="121" t="s">
        <v>342</v>
      </c>
      <c r="U131" s="132"/>
      <c r="V131" s="133"/>
      <c r="W131" s="133"/>
      <c r="X131" s="118"/>
      <c r="Y131" s="118"/>
    </row>
    <row r="132" s="79" customFormat="1" customHeight="1" spans="1:25">
      <c r="A132" s="129" t="s">
        <v>61</v>
      </c>
      <c r="B132" s="96" t="s">
        <v>83</v>
      </c>
      <c r="C132" s="98" t="s">
        <v>63</v>
      </c>
      <c r="D132" s="96" t="s">
        <v>85</v>
      </c>
      <c r="E132" s="130" t="s">
        <v>300</v>
      </c>
      <c r="F132" s="129" t="s">
        <v>301</v>
      </c>
      <c r="G132" s="99" t="s">
        <v>67</v>
      </c>
      <c r="H132" s="100" t="s">
        <v>303</v>
      </c>
      <c r="I132" s="23" t="e">
        <f>VLOOKUP(H132,'合同综合查询数据（3月返）'!$A:$A,1,FALSE)</f>
        <v>#N/A</v>
      </c>
      <c r="J132" s="99" t="s">
        <v>69</v>
      </c>
      <c r="K132" s="108" t="s">
        <v>63</v>
      </c>
      <c r="L132" s="109"/>
      <c r="M132" s="26"/>
      <c r="N132" s="28" t="s">
        <v>343</v>
      </c>
      <c r="O132" s="109" t="s">
        <v>71</v>
      </c>
      <c r="P132" s="131">
        <v>600</v>
      </c>
      <c r="Q132" s="120">
        <v>0</v>
      </c>
      <c r="R132" s="120">
        <f t="shared" si="4"/>
        <v>0</v>
      </c>
      <c r="S132" s="117">
        <v>202303</v>
      </c>
      <c r="T132" s="121" t="s">
        <v>344</v>
      </c>
      <c r="U132" s="132"/>
      <c r="V132" s="133"/>
      <c r="W132" s="133"/>
      <c r="X132" s="118"/>
      <c r="Y132" s="118"/>
    </row>
    <row r="133" s="79" customFormat="1" customHeight="1" spans="1:25">
      <c r="A133" s="129" t="s">
        <v>61</v>
      </c>
      <c r="B133" s="96" t="s">
        <v>83</v>
      </c>
      <c r="C133" s="98" t="s">
        <v>63</v>
      </c>
      <c r="D133" s="96" t="s">
        <v>85</v>
      </c>
      <c r="E133" s="130" t="s">
        <v>300</v>
      </c>
      <c r="F133" s="129" t="s">
        <v>301</v>
      </c>
      <c r="G133" s="99" t="s">
        <v>67</v>
      </c>
      <c r="H133" s="100" t="s">
        <v>303</v>
      </c>
      <c r="I133" s="23" t="e">
        <f>VLOOKUP(H133,'合同综合查询数据（3月返）'!$A:$A,1,FALSE)</f>
        <v>#N/A</v>
      </c>
      <c r="J133" s="99" t="s">
        <v>69</v>
      </c>
      <c r="K133" s="108" t="s">
        <v>63</v>
      </c>
      <c r="L133" s="109"/>
      <c r="M133" s="26"/>
      <c r="N133" s="28" t="s">
        <v>343</v>
      </c>
      <c r="O133" s="109" t="s">
        <v>71</v>
      </c>
      <c r="P133" s="131">
        <v>600</v>
      </c>
      <c r="Q133" s="120">
        <v>0</v>
      </c>
      <c r="R133" s="120">
        <f t="shared" si="4"/>
        <v>0</v>
      </c>
      <c r="S133" s="117">
        <v>202303</v>
      </c>
      <c r="T133" s="121" t="s">
        <v>345</v>
      </c>
      <c r="U133" s="132"/>
      <c r="V133" s="133"/>
      <c r="W133" s="133"/>
      <c r="X133" s="118"/>
      <c r="Y133" s="118"/>
    </row>
    <row r="134" s="79" customFormat="1" customHeight="1" spans="1:25">
      <c r="A134" s="129" t="s">
        <v>61</v>
      </c>
      <c r="B134" s="96" t="s">
        <v>83</v>
      </c>
      <c r="C134" s="98" t="s">
        <v>63</v>
      </c>
      <c r="D134" s="96" t="s">
        <v>85</v>
      </c>
      <c r="E134" s="130" t="s">
        <v>300</v>
      </c>
      <c r="F134" s="129" t="s">
        <v>301</v>
      </c>
      <c r="G134" s="99" t="s">
        <v>67</v>
      </c>
      <c r="H134" s="100" t="s">
        <v>303</v>
      </c>
      <c r="I134" s="23" t="e">
        <f>VLOOKUP(H134,'合同综合查询数据（3月返）'!$A:$A,1,FALSE)</f>
        <v>#N/A</v>
      </c>
      <c r="J134" s="99" t="s">
        <v>69</v>
      </c>
      <c r="K134" s="108" t="s">
        <v>63</v>
      </c>
      <c r="L134" s="109"/>
      <c r="M134" s="26"/>
      <c r="N134" s="28">
        <v>43894</v>
      </c>
      <c r="O134" s="109" t="s">
        <v>71</v>
      </c>
      <c r="P134" s="131">
        <v>600</v>
      </c>
      <c r="Q134" s="120">
        <v>1</v>
      </c>
      <c r="R134" s="120">
        <f t="shared" si="4"/>
        <v>600</v>
      </c>
      <c r="S134" s="117">
        <v>202303</v>
      </c>
      <c r="T134" s="121" t="s">
        <v>346</v>
      </c>
      <c r="U134" s="132"/>
      <c r="V134" s="133"/>
      <c r="W134" s="133"/>
      <c r="X134" s="118"/>
      <c r="Y134" s="118"/>
    </row>
    <row r="135" s="79" customFormat="1" customHeight="1" spans="1:25">
      <c r="A135" s="129" t="s">
        <v>61</v>
      </c>
      <c r="B135" s="96" t="s">
        <v>83</v>
      </c>
      <c r="C135" s="98" t="s">
        <v>63</v>
      </c>
      <c r="D135" s="96" t="s">
        <v>85</v>
      </c>
      <c r="E135" s="130" t="s">
        <v>300</v>
      </c>
      <c r="F135" s="129" t="s">
        <v>301</v>
      </c>
      <c r="G135" s="99" t="s">
        <v>67</v>
      </c>
      <c r="H135" s="100" t="s">
        <v>303</v>
      </c>
      <c r="I135" s="23" t="e">
        <f>VLOOKUP(H135,'合同综合查询数据（3月返）'!$A:$A,1,FALSE)</f>
        <v>#N/A</v>
      </c>
      <c r="J135" s="99" t="s">
        <v>69</v>
      </c>
      <c r="K135" s="108" t="s">
        <v>63</v>
      </c>
      <c r="L135" s="109"/>
      <c r="M135" s="26"/>
      <c r="N135" s="28">
        <v>44368</v>
      </c>
      <c r="O135" s="109" t="s">
        <v>71</v>
      </c>
      <c r="P135" s="131">
        <v>600</v>
      </c>
      <c r="Q135" s="120">
        <v>-1</v>
      </c>
      <c r="R135" s="120">
        <f t="shared" si="4"/>
        <v>-600</v>
      </c>
      <c r="S135" s="117">
        <v>202303</v>
      </c>
      <c r="T135" s="132" t="s">
        <v>347</v>
      </c>
      <c r="U135" s="132"/>
      <c r="V135" s="133"/>
      <c r="W135" s="133"/>
      <c r="X135" s="118"/>
      <c r="Y135" s="118"/>
    </row>
    <row r="136" s="79" customFormat="1" customHeight="1" spans="1:25">
      <c r="A136" s="129" t="s">
        <v>61</v>
      </c>
      <c r="B136" s="96" t="s">
        <v>83</v>
      </c>
      <c r="C136" s="98" t="s">
        <v>63</v>
      </c>
      <c r="D136" s="96" t="s">
        <v>85</v>
      </c>
      <c r="E136" s="130" t="s">
        <v>300</v>
      </c>
      <c r="F136" s="129" t="s">
        <v>301</v>
      </c>
      <c r="G136" s="99" t="s">
        <v>67</v>
      </c>
      <c r="H136" s="100" t="s">
        <v>303</v>
      </c>
      <c r="I136" s="23" t="e">
        <f>VLOOKUP(H136,'合同综合查询数据（3月返）'!$A:$A,1,FALSE)</f>
        <v>#N/A</v>
      </c>
      <c r="J136" s="99" t="s">
        <v>69</v>
      </c>
      <c r="K136" s="108" t="s">
        <v>348</v>
      </c>
      <c r="L136" s="109"/>
      <c r="M136" s="26"/>
      <c r="N136" s="28">
        <v>43935</v>
      </c>
      <c r="O136" s="109" t="s">
        <v>71</v>
      </c>
      <c r="P136" s="131">
        <v>600</v>
      </c>
      <c r="Q136" s="120">
        <v>1</v>
      </c>
      <c r="R136" s="120">
        <f t="shared" si="4"/>
        <v>600</v>
      </c>
      <c r="S136" s="117">
        <v>202303</v>
      </c>
      <c r="T136" s="121" t="s">
        <v>349</v>
      </c>
      <c r="U136" s="132"/>
      <c r="V136" s="133"/>
      <c r="W136" s="133"/>
      <c r="X136" s="118"/>
      <c r="Y136" s="118"/>
    </row>
    <row r="137" s="79" customFormat="1" customHeight="1" spans="1:25">
      <c r="A137" s="129" t="s">
        <v>61</v>
      </c>
      <c r="B137" s="96" t="s">
        <v>83</v>
      </c>
      <c r="C137" s="98" t="s">
        <v>63</v>
      </c>
      <c r="D137" s="96" t="s">
        <v>85</v>
      </c>
      <c r="E137" s="130" t="s">
        <v>300</v>
      </c>
      <c r="F137" s="129" t="s">
        <v>301</v>
      </c>
      <c r="G137" s="99" t="s">
        <v>67</v>
      </c>
      <c r="H137" s="100" t="s">
        <v>303</v>
      </c>
      <c r="I137" s="23" t="e">
        <f>VLOOKUP(H137,'合同综合查询数据（3月返）'!$A:$A,1,FALSE)</f>
        <v>#N/A</v>
      </c>
      <c r="J137" s="99" t="s">
        <v>69</v>
      </c>
      <c r="K137" s="108" t="s">
        <v>350</v>
      </c>
      <c r="L137" s="109"/>
      <c r="M137" s="26"/>
      <c r="N137" s="28">
        <v>43952</v>
      </c>
      <c r="O137" s="109" t="s">
        <v>71</v>
      </c>
      <c r="P137" s="131">
        <v>600</v>
      </c>
      <c r="Q137" s="120">
        <v>1</v>
      </c>
      <c r="R137" s="120">
        <f t="shared" ref="R137:R168" si="5">ROUND(P137*Q137,2)</f>
        <v>600</v>
      </c>
      <c r="S137" s="117">
        <v>202303</v>
      </c>
      <c r="T137" s="121" t="s">
        <v>351</v>
      </c>
      <c r="U137" s="132"/>
      <c r="V137" s="133"/>
      <c r="W137" s="133"/>
      <c r="X137" s="118"/>
      <c r="Y137" s="118"/>
    </row>
    <row r="138" s="79" customFormat="1" customHeight="1" spans="1:25">
      <c r="A138" s="129" t="s">
        <v>61</v>
      </c>
      <c r="B138" s="96" t="s">
        <v>83</v>
      </c>
      <c r="C138" s="98" t="s">
        <v>63</v>
      </c>
      <c r="D138" s="96" t="s">
        <v>85</v>
      </c>
      <c r="E138" s="130" t="s">
        <v>300</v>
      </c>
      <c r="F138" s="129" t="s">
        <v>301</v>
      </c>
      <c r="G138" s="99" t="s">
        <v>67</v>
      </c>
      <c r="H138" s="100" t="s">
        <v>303</v>
      </c>
      <c r="I138" s="23" t="e">
        <f>VLOOKUP(H138,'合同综合查询数据（3月返）'!$A:$A,1,FALSE)</f>
        <v>#N/A</v>
      </c>
      <c r="J138" s="99" t="s">
        <v>69</v>
      </c>
      <c r="K138" s="108" t="s">
        <v>352</v>
      </c>
      <c r="L138" s="109"/>
      <c r="M138" s="26"/>
      <c r="N138" s="28">
        <v>43952</v>
      </c>
      <c r="O138" s="109" t="s">
        <v>71</v>
      </c>
      <c r="P138" s="131">
        <v>600</v>
      </c>
      <c r="Q138" s="120">
        <v>1</v>
      </c>
      <c r="R138" s="120">
        <f t="shared" si="5"/>
        <v>600</v>
      </c>
      <c r="S138" s="117">
        <v>202303</v>
      </c>
      <c r="T138" s="121" t="s">
        <v>353</v>
      </c>
      <c r="U138" s="132"/>
      <c r="V138" s="133"/>
      <c r="W138" s="133"/>
      <c r="X138" s="118"/>
      <c r="Y138" s="118"/>
    </row>
    <row r="139" s="79" customFormat="1" customHeight="1" spans="1:25">
      <c r="A139" s="129" t="s">
        <v>61</v>
      </c>
      <c r="B139" s="96" t="s">
        <v>83</v>
      </c>
      <c r="C139" s="98" t="s">
        <v>63</v>
      </c>
      <c r="D139" s="96" t="s">
        <v>85</v>
      </c>
      <c r="E139" s="130" t="s">
        <v>300</v>
      </c>
      <c r="F139" s="129" t="s">
        <v>301</v>
      </c>
      <c r="G139" s="99" t="s">
        <v>67</v>
      </c>
      <c r="H139" s="100" t="s">
        <v>303</v>
      </c>
      <c r="I139" s="23" t="e">
        <f>VLOOKUP(H139,'合同综合查询数据（3月返）'!$A:$A,1,FALSE)</f>
        <v>#N/A</v>
      </c>
      <c r="J139" s="99" t="s">
        <v>69</v>
      </c>
      <c r="K139" s="108" t="s">
        <v>348</v>
      </c>
      <c r="L139" s="109"/>
      <c r="M139" s="26"/>
      <c r="N139" s="28">
        <v>43935</v>
      </c>
      <c r="O139" s="109" t="s">
        <v>71</v>
      </c>
      <c r="P139" s="131">
        <v>600</v>
      </c>
      <c r="Q139" s="120">
        <v>1</v>
      </c>
      <c r="R139" s="120">
        <f t="shared" si="5"/>
        <v>600</v>
      </c>
      <c r="S139" s="117">
        <v>202303</v>
      </c>
      <c r="T139" s="121" t="s">
        <v>354</v>
      </c>
      <c r="U139" s="132"/>
      <c r="V139" s="133"/>
      <c r="W139" s="133"/>
      <c r="X139" s="118"/>
      <c r="Y139" s="118"/>
    </row>
    <row r="140" s="79" customFormat="1" customHeight="1" spans="1:25">
      <c r="A140" s="129" t="s">
        <v>61</v>
      </c>
      <c r="B140" s="96" t="s">
        <v>83</v>
      </c>
      <c r="C140" s="98" t="s">
        <v>63</v>
      </c>
      <c r="D140" s="96" t="s">
        <v>85</v>
      </c>
      <c r="E140" s="130" t="s">
        <v>300</v>
      </c>
      <c r="F140" s="129" t="s">
        <v>301</v>
      </c>
      <c r="G140" s="99" t="s">
        <v>67</v>
      </c>
      <c r="H140" s="100" t="s">
        <v>303</v>
      </c>
      <c r="I140" s="23" t="e">
        <f>VLOOKUP(H140,'合同综合查询数据（3月返）'!$A:$A,1,FALSE)</f>
        <v>#N/A</v>
      </c>
      <c r="J140" s="99" t="s">
        <v>69</v>
      </c>
      <c r="K140" s="108" t="s">
        <v>348</v>
      </c>
      <c r="L140" s="109"/>
      <c r="M140" s="26"/>
      <c r="N140" s="28">
        <v>43935</v>
      </c>
      <c r="O140" s="109" t="s">
        <v>71</v>
      </c>
      <c r="P140" s="131">
        <v>600</v>
      </c>
      <c r="Q140" s="120">
        <v>1</v>
      </c>
      <c r="R140" s="120">
        <f t="shared" si="5"/>
        <v>600</v>
      </c>
      <c r="S140" s="117">
        <v>202303</v>
      </c>
      <c r="T140" s="121" t="s">
        <v>355</v>
      </c>
      <c r="U140" s="132"/>
      <c r="V140" s="133"/>
      <c r="W140" s="133"/>
      <c r="X140" s="118"/>
      <c r="Y140" s="118"/>
    </row>
    <row r="141" s="79" customFormat="1" customHeight="1" spans="1:25">
      <c r="A141" s="129" t="s">
        <v>61</v>
      </c>
      <c r="B141" s="96" t="s">
        <v>83</v>
      </c>
      <c r="C141" s="98" t="s">
        <v>63</v>
      </c>
      <c r="D141" s="96" t="s">
        <v>85</v>
      </c>
      <c r="E141" s="130" t="s">
        <v>300</v>
      </c>
      <c r="F141" s="129" t="s">
        <v>301</v>
      </c>
      <c r="G141" s="99" t="s">
        <v>67</v>
      </c>
      <c r="H141" s="100" t="s">
        <v>303</v>
      </c>
      <c r="I141" s="23" t="e">
        <f>VLOOKUP(H141,'合同综合查询数据（3月返）'!$A:$A,1,FALSE)</f>
        <v>#N/A</v>
      </c>
      <c r="J141" s="99" t="s">
        <v>69</v>
      </c>
      <c r="K141" s="108" t="s">
        <v>350</v>
      </c>
      <c r="L141" s="109"/>
      <c r="M141" s="26"/>
      <c r="N141" s="28">
        <v>43952</v>
      </c>
      <c r="O141" s="109" t="s">
        <v>71</v>
      </c>
      <c r="P141" s="131">
        <v>600</v>
      </c>
      <c r="Q141" s="120">
        <v>1</v>
      </c>
      <c r="R141" s="120">
        <f t="shared" si="5"/>
        <v>600</v>
      </c>
      <c r="S141" s="117">
        <v>202303</v>
      </c>
      <c r="T141" s="121" t="s">
        <v>356</v>
      </c>
      <c r="U141" s="132"/>
      <c r="V141" s="133"/>
      <c r="W141" s="133"/>
      <c r="X141" s="118"/>
      <c r="Y141" s="118"/>
    </row>
    <row r="142" s="79" customFormat="1" customHeight="1" spans="1:25">
      <c r="A142" s="129" t="s">
        <v>61</v>
      </c>
      <c r="B142" s="96" t="s">
        <v>83</v>
      </c>
      <c r="C142" s="98" t="s">
        <v>63</v>
      </c>
      <c r="D142" s="96" t="s">
        <v>85</v>
      </c>
      <c r="E142" s="130" t="s">
        <v>300</v>
      </c>
      <c r="F142" s="129" t="s">
        <v>301</v>
      </c>
      <c r="G142" s="99" t="s">
        <v>67</v>
      </c>
      <c r="H142" s="100" t="s">
        <v>303</v>
      </c>
      <c r="I142" s="23" t="e">
        <f>VLOOKUP(H142,'合同综合查询数据（3月返）'!$A:$A,1,FALSE)</f>
        <v>#N/A</v>
      </c>
      <c r="J142" s="99" t="s">
        <v>69</v>
      </c>
      <c r="K142" s="108" t="s">
        <v>350</v>
      </c>
      <c r="L142" s="109"/>
      <c r="M142" s="26"/>
      <c r="N142" s="28">
        <v>44127</v>
      </c>
      <c r="O142" s="109" t="s">
        <v>71</v>
      </c>
      <c r="P142" s="131">
        <v>600</v>
      </c>
      <c r="Q142" s="120">
        <v>-1</v>
      </c>
      <c r="R142" s="120">
        <f t="shared" si="5"/>
        <v>-600</v>
      </c>
      <c r="S142" s="117">
        <v>202303</v>
      </c>
      <c r="T142" s="132" t="s">
        <v>357</v>
      </c>
      <c r="U142" s="132"/>
      <c r="V142" s="133"/>
      <c r="W142" s="133"/>
      <c r="X142" s="118"/>
      <c r="Y142" s="118"/>
    </row>
    <row r="143" s="79" customFormat="1" customHeight="1" spans="1:25">
      <c r="A143" s="129" t="s">
        <v>61</v>
      </c>
      <c r="B143" s="96" t="s">
        <v>83</v>
      </c>
      <c r="C143" s="98" t="s">
        <v>63</v>
      </c>
      <c r="D143" s="96" t="s">
        <v>85</v>
      </c>
      <c r="E143" s="130" t="s">
        <v>300</v>
      </c>
      <c r="F143" s="129" t="s">
        <v>301</v>
      </c>
      <c r="G143" s="99" t="s">
        <v>67</v>
      </c>
      <c r="H143" s="100" t="s">
        <v>303</v>
      </c>
      <c r="I143" s="23" t="e">
        <f>VLOOKUP(H143,'合同综合查询数据（3月返）'!$A:$A,1,FALSE)</f>
        <v>#N/A</v>
      </c>
      <c r="J143" s="99" t="s">
        <v>69</v>
      </c>
      <c r="K143" s="108" t="s">
        <v>350</v>
      </c>
      <c r="L143" s="109"/>
      <c r="M143" s="26"/>
      <c r="N143" s="28">
        <v>43952</v>
      </c>
      <c r="O143" s="109" t="s">
        <v>71</v>
      </c>
      <c r="P143" s="131">
        <v>600</v>
      </c>
      <c r="Q143" s="120">
        <v>1</v>
      </c>
      <c r="R143" s="120">
        <f t="shared" si="5"/>
        <v>600</v>
      </c>
      <c r="S143" s="117">
        <v>202303</v>
      </c>
      <c r="T143" s="121" t="s">
        <v>358</v>
      </c>
      <c r="U143" s="132"/>
      <c r="V143" s="133"/>
      <c r="W143" s="133"/>
      <c r="X143" s="118"/>
      <c r="Y143" s="118"/>
    </row>
    <row r="144" s="79" customFormat="1" customHeight="1" spans="1:25">
      <c r="A144" s="129" t="s">
        <v>61</v>
      </c>
      <c r="B144" s="96" t="s">
        <v>83</v>
      </c>
      <c r="C144" s="98" t="s">
        <v>63</v>
      </c>
      <c r="D144" s="96" t="s">
        <v>85</v>
      </c>
      <c r="E144" s="130" t="s">
        <v>300</v>
      </c>
      <c r="F144" s="129" t="s">
        <v>301</v>
      </c>
      <c r="G144" s="99" t="s">
        <v>67</v>
      </c>
      <c r="H144" s="100" t="s">
        <v>303</v>
      </c>
      <c r="I144" s="23" t="e">
        <f>VLOOKUP(H144,'合同综合查询数据（3月返）'!$A:$A,1,FALSE)</f>
        <v>#N/A</v>
      </c>
      <c r="J144" s="99" t="s">
        <v>69</v>
      </c>
      <c r="K144" s="108" t="s">
        <v>348</v>
      </c>
      <c r="L144" s="109"/>
      <c r="M144" s="26"/>
      <c r="N144" s="28">
        <v>43935</v>
      </c>
      <c r="O144" s="109" t="s">
        <v>71</v>
      </c>
      <c r="P144" s="131">
        <v>600</v>
      </c>
      <c r="Q144" s="120">
        <v>1</v>
      </c>
      <c r="R144" s="120">
        <f t="shared" si="5"/>
        <v>600</v>
      </c>
      <c r="S144" s="117">
        <v>202303</v>
      </c>
      <c r="T144" s="121" t="s">
        <v>359</v>
      </c>
      <c r="U144" s="132"/>
      <c r="V144" s="133"/>
      <c r="W144" s="133"/>
      <c r="X144" s="118"/>
      <c r="Y144" s="118"/>
    </row>
    <row r="145" s="79" customFormat="1" customHeight="1" spans="1:25">
      <c r="A145" s="129" t="s">
        <v>61</v>
      </c>
      <c r="B145" s="96" t="s">
        <v>83</v>
      </c>
      <c r="C145" s="98" t="s">
        <v>63</v>
      </c>
      <c r="D145" s="96" t="s">
        <v>85</v>
      </c>
      <c r="E145" s="130" t="s">
        <v>300</v>
      </c>
      <c r="F145" s="129" t="s">
        <v>301</v>
      </c>
      <c r="G145" s="99" t="s">
        <v>67</v>
      </c>
      <c r="H145" s="100" t="s">
        <v>303</v>
      </c>
      <c r="I145" s="23" t="e">
        <f>VLOOKUP(H145,'合同综合查询数据（3月返）'!$A:$A,1,FALSE)</f>
        <v>#N/A</v>
      </c>
      <c r="J145" s="99" t="s">
        <v>69</v>
      </c>
      <c r="K145" s="108" t="s">
        <v>360</v>
      </c>
      <c r="L145" s="109"/>
      <c r="M145" s="26"/>
      <c r="N145" s="28">
        <v>43935</v>
      </c>
      <c r="O145" s="109" t="s">
        <v>71</v>
      </c>
      <c r="P145" s="131">
        <v>600</v>
      </c>
      <c r="Q145" s="120">
        <v>1</v>
      </c>
      <c r="R145" s="120">
        <f t="shared" si="5"/>
        <v>600</v>
      </c>
      <c r="S145" s="117">
        <v>202303</v>
      </c>
      <c r="T145" s="121" t="s">
        <v>361</v>
      </c>
      <c r="U145" s="132"/>
      <c r="V145" s="133"/>
      <c r="W145" s="133"/>
      <c r="X145" s="118"/>
      <c r="Y145" s="118"/>
    </row>
    <row r="146" s="79" customFormat="1" customHeight="1" spans="1:25">
      <c r="A146" s="129" t="s">
        <v>61</v>
      </c>
      <c r="B146" s="96" t="s">
        <v>83</v>
      </c>
      <c r="C146" s="98" t="s">
        <v>63</v>
      </c>
      <c r="D146" s="96" t="s">
        <v>85</v>
      </c>
      <c r="E146" s="130" t="s">
        <v>300</v>
      </c>
      <c r="F146" s="129" t="s">
        <v>301</v>
      </c>
      <c r="G146" s="99" t="s">
        <v>67</v>
      </c>
      <c r="H146" s="100" t="s">
        <v>303</v>
      </c>
      <c r="I146" s="23" t="e">
        <f>VLOOKUP(H146,'合同综合查询数据（3月返）'!$A:$A,1,FALSE)</f>
        <v>#N/A</v>
      </c>
      <c r="J146" s="99" t="s">
        <v>69</v>
      </c>
      <c r="K146" s="108" t="s">
        <v>360</v>
      </c>
      <c r="L146" s="109"/>
      <c r="M146" s="26"/>
      <c r="N146" s="28">
        <v>44102</v>
      </c>
      <c r="O146" s="109" t="s">
        <v>71</v>
      </c>
      <c r="P146" s="131">
        <v>600</v>
      </c>
      <c r="Q146" s="120">
        <v>-1</v>
      </c>
      <c r="R146" s="120">
        <f t="shared" si="5"/>
        <v>-600</v>
      </c>
      <c r="S146" s="117">
        <v>202303</v>
      </c>
      <c r="T146" s="132" t="s">
        <v>362</v>
      </c>
      <c r="U146" s="132"/>
      <c r="V146" s="133"/>
      <c r="W146" s="133"/>
      <c r="X146" s="118"/>
      <c r="Y146" s="118"/>
    </row>
    <row r="147" s="79" customFormat="1" customHeight="1" spans="1:25">
      <c r="A147" s="129" t="s">
        <v>61</v>
      </c>
      <c r="B147" s="96" t="s">
        <v>83</v>
      </c>
      <c r="C147" s="98" t="s">
        <v>63</v>
      </c>
      <c r="D147" s="96" t="s">
        <v>85</v>
      </c>
      <c r="E147" s="130" t="s">
        <v>300</v>
      </c>
      <c r="F147" s="129" t="s">
        <v>301</v>
      </c>
      <c r="G147" s="99" t="s">
        <v>67</v>
      </c>
      <c r="H147" s="100" t="s">
        <v>303</v>
      </c>
      <c r="I147" s="23" t="e">
        <f>VLOOKUP(H147,'合同综合查询数据（3月返）'!$A:$A,1,FALSE)</f>
        <v>#N/A</v>
      </c>
      <c r="J147" s="99" t="s">
        <v>69</v>
      </c>
      <c r="K147" s="108" t="s">
        <v>363</v>
      </c>
      <c r="L147" s="109"/>
      <c r="M147" s="26"/>
      <c r="N147" s="28">
        <v>43935</v>
      </c>
      <c r="O147" s="109" t="s">
        <v>71</v>
      </c>
      <c r="P147" s="131">
        <v>600</v>
      </c>
      <c r="Q147" s="120">
        <v>1</v>
      </c>
      <c r="R147" s="120">
        <f t="shared" si="5"/>
        <v>600</v>
      </c>
      <c r="S147" s="117">
        <v>202303</v>
      </c>
      <c r="T147" s="121" t="s">
        <v>364</v>
      </c>
      <c r="U147" s="132"/>
      <c r="V147" s="133"/>
      <c r="W147" s="133"/>
      <c r="X147" s="118"/>
      <c r="Y147" s="118"/>
    </row>
    <row r="148" s="79" customFormat="1" customHeight="1" spans="1:25">
      <c r="A148" s="129" t="s">
        <v>61</v>
      </c>
      <c r="B148" s="96" t="s">
        <v>83</v>
      </c>
      <c r="C148" s="98" t="s">
        <v>63</v>
      </c>
      <c r="D148" s="96" t="s">
        <v>85</v>
      </c>
      <c r="E148" s="130" t="s">
        <v>300</v>
      </c>
      <c r="F148" s="129" t="s">
        <v>301</v>
      </c>
      <c r="G148" s="99" t="s">
        <v>67</v>
      </c>
      <c r="H148" s="100" t="s">
        <v>303</v>
      </c>
      <c r="I148" s="23" t="e">
        <f>VLOOKUP(H148,'合同综合查询数据（3月返）'!$A:$A,1,FALSE)</f>
        <v>#N/A</v>
      </c>
      <c r="J148" s="99" t="s">
        <v>69</v>
      </c>
      <c r="K148" s="108" t="s">
        <v>363</v>
      </c>
      <c r="L148" s="109"/>
      <c r="M148" s="26"/>
      <c r="N148" s="28">
        <v>44664</v>
      </c>
      <c r="O148" s="109" t="s">
        <v>71</v>
      </c>
      <c r="P148" s="131">
        <v>600</v>
      </c>
      <c r="Q148" s="120">
        <v>-1</v>
      </c>
      <c r="R148" s="120">
        <f t="shared" si="5"/>
        <v>-600</v>
      </c>
      <c r="S148" s="117">
        <v>202303</v>
      </c>
      <c r="T148" s="132" t="s">
        <v>365</v>
      </c>
      <c r="U148" s="132"/>
      <c r="V148" s="133"/>
      <c r="W148" s="133"/>
      <c r="X148" s="118"/>
      <c r="Y148" s="118"/>
    </row>
    <row r="149" s="79" customFormat="1" customHeight="1" spans="1:25">
      <c r="A149" s="129" t="s">
        <v>61</v>
      </c>
      <c r="B149" s="96" t="s">
        <v>83</v>
      </c>
      <c r="C149" s="98" t="s">
        <v>63</v>
      </c>
      <c r="D149" s="96" t="s">
        <v>85</v>
      </c>
      <c r="E149" s="130" t="s">
        <v>300</v>
      </c>
      <c r="F149" s="129" t="s">
        <v>301</v>
      </c>
      <c r="G149" s="99" t="s">
        <v>67</v>
      </c>
      <c r="H149" s="100" t="s">
        <v>303</v>
      </c>
      <c r="I149" s="23" t="e">
        <f>VLOOKUP(H149,'合同综合查询数据（3月返）'!$A:$A,1,FALSE)</f>
        <v>#N/A</v>
      </c>
      <c r="J149" s="99" t="s">
        <v>69</v>
      </c>
      <c r="K149" s="108" t="s">
        <v>363</v>
      </c>
      <c r="L149" s="109"/>
      <c r="M149" s="26"/>
      <c r="N149" s="28">
        <v>43935</v>
      </c>
      <c r="O149" s="109" t="s">
        <v>71</v>
      </c>
      <c r="P149" s="131">
        <v>600</v>
      </c>
      <c r="Q149" s="120">
        <v>1</v>
      </c>
      <c r="R149" s="120">
        <f t="shared" si="5"/>
        <v>600</v>
      </c>
      <c r="S149" s="117">
        <v>202303</v>
      </c>
      <c r="T149" s="132" t="s">
        <v>366</v>
      </c>
      <c r="U149" s="132"/>
      <c r="V149" s="133"/>
      <c r="W149" s="133"/>
      <c r="X149" s="118"/>
      <c r="Y149" s="118"/>
    </row>
    <row r="150" s="79" customFormat="1" customHeight="1" spans="1:25">
      <c r="A150" s="129" t="s">
        <v>61</v>
      </c>
      <c r="B150" s="96" t="s">
        <v>83</v>
      </c>
      <c r="C150" s="98" t="s">
        <v>63</v>
      </c>
      <c r="D150" s="96" t="s">
        <v>85</v>
      </c>
      <c r="E150" s="130" t="s">
        <v>300</v>
      </c>
      <c r="F150" s="129" t="s">
        <v>301</v>
      </c>
      <c r="G150" s="99" t="s">
        <v>67</v>
      </c>
      <c r="H150" s="100" t="s">
        <v>303</v>
      </c>
      <c r="I150" s="23" t="e">
        <f>VLOOKUP(H150,'合同综合查询数据（3月返）'!$A:$A,1,FALSE)</f>
        <v>#N/A</v>
      </c>
      <c r="J150" s="99" t="s">
        <v>69</v>
      </c>
      <c r="K150" s="108" t="s">
        <v>363</v>
      </c>
      <c r="L150" s="109"/>
      <c r="M150" s="26"/>
      <c r="N150" s="28">
        <v>44798</v>
      </c>
      <c r="O150" s="109" t="s">
        <v>71</v>
      </c>
      <c r="P150" s="131">
        <v>600</v>
      </c>
      <c r="Q150" s="120">
        <v>-1</v>
      </c>
      <c r="R150" s="120">
        <f t="shared" si="5"/>
        <v>-600</v>
      </c>
      <c r="S150" s="117">
        <v>202303</v>
      </c>
      <c r="T150" s="134" t="s">
        <v>367</v>
      </c>
      <c r="U150" s="132"/>
      <c r="V150" s="133"/>
      <c r="W150" s="133"/>
      <c r="X150" s="118"/>
      <c r="Y150" s="118"/>
    </row>
    <row r="151" s="79" customFormat="1" customHeight="1" spans="1:25">
      <c r="A151" s="129" t="s">
        <v>61</v>
      </c>
      <c r="B151" s="96" t="s">
        <v>83</v>
      </c>
      <c r="C151" s="98" t="s">
        <v>63</v>
      </c>
      <c r="D151" s="96" t="s">
        <v>85</v>
      </c>
      <c r="E151" s="130" t="s">
        <v>300</v>
      </c>
      <c r="F151" s="129" t="s">
        <v>301</v>
      </c>
      <c r="G151" s="99" t="s">
        <v>67</v>
      </c>
      <c r="H151" s="100" t="s">
        <v>303</v>
      </c>
      <c r="I151" s="23" t="e">
        <f>VLOOKUP(H151,'合同综合查询数据（3月返）'!$A:$A,1,FALSE)</f>
        <v>#N/A</v>
      </c>
      <c r="J151" s="99" t="s">
        <v>69</v>
      </c>
      <c r="K151" s="108" t="s">
        <v>352</v>
      </c>
      <c r="L151" s="109"/>
      <c r="M151" s="26"/>
      <c r="N151" s="28">
        <v>44116</v>
      </c>
      <c r="O151" s="109" t="s">
        <v>71</v>
      </c>
      <c r="P151" s="131">
        <v>600</v>
      </c>
      <c r="Q151" s="120">
        <v>1</v>
      </c>
      <c r="R151" s="120">
        <f t="shared" si="5"/>
        <v>600</v>
      </c>
      <c r="S151" s="117">
        <v>202303</v>
      </c>
      <c r="T151" s="121" t="s">
        <v>368</v>
      </c>
      <c r="U151" s="132"/>
      <c r="V151" s="133"/>
      <c r="W151" s="133"/>
      <c r="X151" s="118"/>
      <c r="Y151" s="118"/>
    </row>
    <row r="152" s="79" customFormat="1" customHeight="1" spans="1:25">
      <c r="A152" s="129" t="s">
        <v>61</v>
      </c>
      <c r="B152" s="96" t="s">
        <v>83</v>
      </c>
      <c r="C152" s="98" t="s">
        <v>63</v>
      </c>
      <c r="D152" s="96" t="s">
        <v>85</v>
      </c>
      <c r="E152" s="130" t="s">
        <v>300</v>
      </c>
      <c r="F152" s="129" t="s">
        <v>301</v>
      </c>
      <c r="G152" s="99" t="s">
        <v>67</v>
      </c>
      <c r="H152" s="100" t="s">
        <v>303</v>
      </c>
      <c r="I152" s="23" t="e">
        <f>VLOOKUP(H152,'合同综合查询数据（3月返）'!$A:$A,1,FALSE)</f>
        <v>#N/A</v>
      </c>
      <c r="J152" s="99" t="s">
        <v>69</v>
      </c>
      <c r="K152" s="108" t="s">
        <v>352</v>
      </c>
      <c r="L152" s="109"/>
      <c r="M152" s="26"/>
      <c r="N152" s="28">
        <v>44116</v>
      </c>
      <c r="O152" s="109" t="s">
        <v>71</v>
      </c>
      <c r="P152" s="131">
        <v>600</v>
      </c>
      <c r="Q152" s="120">
        <v>-1</v>
      </c>
      <c r="R152" s="120">
        <f t="shared" si="5"/>
        <v>-600</v>
      </c>
      <c r="S152" s="117">
        <v>202303</v>
      </c>
      <c r="T152" s="132" t="s">
        <v>369</v>
      </c>
      <c r="U152" s="132"/>
      <c r="V152" s="133"/>
      <c r="W152" s="133"/>
      <c r="X152" s="118"/>
      <c r="Y152" s="118"/>
    </row>
    <row r="153" s="79" customFormat="1" customHeight="1" spans="1:25">
      <c r="A153" s="129" t="s">
        <v>61</v>
      </c>
      <c r="B153" s="96" t="s">
        <v>83</v>
      </c>
      <c r="C153" s="98" t="s">
        <v>63</v>
      </c>
      <c r="D153" s="96" t="s">
        <v>85</v>
      </c>
      <c r="E153" s="130" t="s">
        <v>300</v>
      </c>
      <c r="F153" s="129" t="s">
        <v>301</v>
      </c>
      <c r="G153" s="99" t="s">
        <v>67</v>
      </c>
      <c r="H153" s="100" t="s">
        <v>303</v>
      </c>
      <c r="I153" s="23" t="e">
        <f>VLOOKUP(H153,'合同综合查询数据（3月返）'!$A:$A,1,FALSE)</f>
        <v>#N/A</v>
      </c>
      <c r="J153" s="99" t="s">
        <v>69</v>
      </c>
      <c r="K153" s="108" t="s">
        <v>370</v>
      </c>
      <c r="L153" s="109"/>
      <c r="M153" s="26"/>
      <c r="N153" s="28">
        <v>43935</v>
      </c>
      <c r="O153" s="109" t="s">
        <v>71</v>
      </c>
      <c r="P153" s="131">
        <v>600</v>
      </c>
      <c r="Q153" s="120">
        <v>1</v>
      </c>
      <c r="R153" s="120">
        <f t="shared" si="5"/>
        <v>600</v>
      </c>
      <c r="S153" s="117">
        <v>202303</v>
      </c>
      <c r="T153" s="121" t="s">
        <v>371</v>
      </c>
      <c r="U153" s="132"/>
      <c r="V153" s="133"/>
      <c r="W153" s="133"/>
      <c r="X153" s="118"/>
      <c r="Y153" s="118"/>
    </row>
    <row r="154" s="79" customFormat="1" customHeight="1" spans="1:25">
      <c r="A154" s="129" t="s">
        <v>61</v>
      </c>
      <c r="B154" s="96" t="s">
        <v>83</v>
      </c>
      <c r="C154" s="98" t="s">
        <v>63</v>
      </c>
      <c r="D154" s="96" t="s">
        <v>85</v>
      </c>
      <c r="E154" s="130" t="s">
        <v>300</v>
      </c>
      <c r="F154" s="129" t="s">
        <v>301</v>
      </c>
      <c r="G154" s="99" t="s">
        <v>67</v>
      </c>
      <c r="H154" s="100" t="s">
        <v>303</v>
      </c>
      <c r="I154" s="23" t="e">
        <f>VLOOKUP(H154,'合同综合查询数据（3月返）'!$A:$A,1,FALSE)</f>
        <v>#N/A</v>
      </c>
      <c r="J154" s="99" t="s">
        <v>69</v>
      </c>
      <c r="K154" s="108" t="s">
        <v>372</v>
      </c>
      <c r="L154" s="109"/>
      <c r="M154" s="26"/>
      <c r="N154" s="28">
        <v>43952</v>
      </c>
      <c r="O154" s="109" t="s">
        <v>71</v>
      </c>
      <c r="P154" s="131">
        <v>600</v>
      </c>
      <c r="Q154" s="120">
        <v>1</v>
      </c>
      <c r="R154" s="120">
        <f t="shared" si="5"/>
        <v>600</v>
      </c>
      <c r="S154" s="117">
        <v>202303</v>
      </c>
      <c r="T154" s="121" t="s">
        <v>373</v>
      </c>
      <c r="U154" s="132"/>
      <c r="V154" s="133"/>
      <c r="W154" s="133"/>
      <c r="X154" s="118"/>
      <c r="Y154" s="118"/>
    </row>
    <row r="155" s="79" customFormat="1" customHeight="1" spans="1:25">
      <c r="A155" s="129" t="s">
        <v>61</v>
      </c>
      <c r="B155" s="96" t="s">
        <v>83</v>
      </c>
      <c r="C155" s="98" t="s">
        <v>63</v>
      </c>
      <c r="D155" s="96" t="s">
        <v>85</v>
      </c>
      <c r="E155" s="130" t="s">
        <v>300</v>
      </c>
      <c r="F155" s="129" t="s">
        <v>301</v>
      </c>
      <c r="G155" s="99" t="s">
        <v>67</v>
      </c>
      <c r="H155" s="100" t="s">
        <v>303</v>
      </c>
      <c r="I155" s="23" t="e">
        <f>VLOOKUP(H155,'合同综合查询数据（3月返）'!$A:$A,1,FALSE)</f>
        <v>#N/A</v>
      </c>
      <c r="J155" s="99" t="s">
        <v>69</v>
      </c>
      <c r="K155" s="108" t="s">
        <v>372</v>
      </c>
      <c r="L155" s="109"/>
      <c r="M155" s="26"/>
      <c r="N155" s="28">
        <v>44127</v>
      </c>
      <c r="O155" s="109" t="s">
        <v>71</v>
      </c>
      <c r="P155" s="131">
        <v>600</v>
      </c>
      <c r="Q155" s="120">
        <v>-1</v>
      </c>
      <c r="R155" s="120">
        <f t="shared" si="5"/>
        <v>-600</v>
      </c>
      <c r="S155" s="117">
        <v>202303</v>
      </c>
      <c r="T155" s="132" t="s">
        <v>374</v>
      </c>
      <c r="U155" s="132"/>
      <c r="V155" s="133"/>
      <c r="W155" s="133"/>
      <c r="X155" s="118"/>
      <c r="Y155" s="118"/>
    </row>
    <row r="156" s="79" customFormat="1" customHeight="1" spans="1:25">
      <c r="A156" s="129" t="s">
        <v>61</v>
      </c>
      <c r="B156" s="96" t="s">
        <v>83</v>
      </c>
      <c r="C156" s="98" t="s">
        <v>63</v>
      </c>
      <c r="D156" s="96" t="s">
        <v>85</v>
      </c>
      <c r="E156" s="130" t="s">
        <v>300</v>
      </c>
      <c r="F156" s="129" t="s">
        <v>301</v>
      </c>
      <c r="G156" s="99" t="s">
        <v>67</v>
      </c>
      <c r="H156" s="100" t="s">
        <v>303</v>
      </c>
      <c r="I156" s="23" t="e">
        <f>VLOOKUP(H156,'合同综合查询数据（3月返）'!$A:$A,1,FALSE)</f>
        <v>#N/A</v>
      </c>
      <c r="J156" s="99" t="s">
        <v>69</v>
      </c>
      <c r="K156" s="108" t="s">
        <v>375</v>
      </c>
      <c r="L156" s="109"/>
      <c r="M156" s="26"/>
      <c r="N156" s="28">
        <v>43952</v>
      </c>
      <c r="O156" s="109" t="s">
        <v>71</v>
      </c>
      <c r="P156" s="131">
        <v>600</v>
      </c>
      <c r="Q156" s="120">
        <v>0</v>
      </c>
      <c r="R156" s="120">
        <f t="shared" si="5"/>
        <v>0</v>
      </c>
      <c r="S156" s="117">
        <v>202303</v>
      </c>
      <c r="T156" s="121" t="s">
        <v>376</v>
      </c>
      <c r="U156" s="132"/>
      <c r="V156" s="133"/>
      <c r="W156" s="133"/>
      <c r="X156" s="118"/>
      <c r="Y156" s="118"/>
    </row>
    <row r="157" s="79" customFormat="1" customHeight="1" spans="1:25">
      <c r="A157" s="129" t="s">
        <v>61</v>
      </c>
      <c r="B157" s="96" t="s">
        <v>83</v>
      </c>
      <c r="C157" s="98" t="s">
        <v>63</v>
      </c>
      <c r="D157" s="96" t="s">
        <v>85</v>
      </c>
      <c r="E157" s="130" t="s">
        <v>300</v>
      </c>
      <c r="F157" s="129" t="s">
        <v>301</v>
      </c>
      <c r="G157" s="99" t="s">
        <v>67</v>
      </c>
      <c r="H157" s="100" t="s">
        <v>303</v>
      </c>
      <c r="I157" s="23" t="e">
        <f>VLOOKUP(H157,'合同综合查询数据（3月返）'!$A:$A,1,FALSE)</f>
        <v>#N/A</v>
      </c>
      <c r="J157" s="99" t="s">
        <v>69</v>
      </c>
      <c r="K157" s="108" t="s">
        <v>377</v>
      </c>
      <c r="L157" s="109"/>
      <c r="M157" s="26"/>
      <c r="N157" s="28">
        <v>43952</v>
      </c>
      <c r="O157" s="109" t="s">
        <v>71</v>
      </c>
      <c r="P157" s="131">
        <v>600</v>
      </c>
      <c r="Q157" s="120">
        <v>1</v>
      </c>
      <c r="R157" s="120">
        <f t="shared" si="5"/>
        <v>600</v>
      </c>
      <c r="S157" s="117">
        <v>202303</v>
      </c>
      <c r="T157" s="121" t="s">
        <v>378</v>
      </c>
      <c r="U157" s="132"/>
      <c r="V157" s="133"/>
      <c r="W157" s="133"/>
      <c r="X157" s="118"/>
      <c r="Y157" s="118"/>
    </row>
    <row r="158" s="79" customFormat="1" customHeight="1" spans="1:25">
      <c r="A158" s="129" t="s">
        <v>61</v>
      </c>
      <c r="B158" s="96" t="s">
        <v>83</v>
      </c>
      <c r="C158" s="98" t="s">
        <v>63</v>
      </c>
      <c r="D158" s="96" t="s">
        <v>85</v>
      </c>
      <c r="E158" s="130" t="s">
        <v>300</v>
      </c>
      <c r="F158" s="129" t="s">
        <v>301</v>
      </c>
      <c r="G158" s="99" t="s">
        <v>67</v>
      </c>
      <c r="H158" s="100" t="s">
        <v>303</v>
      </c>
      <c r="I158" s="23" t="e">
        <f>VLOOKUP(H158,'合同综合查询数据（3月返）'!$A:$A,1,FALSE)</f>
        <v>#N/A</v>
      </c>
      <c r="J158" s="99" t="s">
        <v>69</v>
      </c>
      <c r="K158" s="108" t="s">
        <v>363</v>
      </c>
      <c r="L158" s="109"/>
      <c r="M158" s="26"/>
      <c r="N158" s="28">
        <v>43958</v>
      </c>
      <c r="O158" s="109" t="s">
        <v>71</v>
      </c>
      <c r="P158" s="131">
        <v>600</v>
      </c>
      <c r="Q158" s="120">
        <v>1</v>
      </c>
      <c r="R158" s="120">
        <f t="shared" si="5"/>
        <v>600</v>
      </c>
      <c r="S158" s="117">
        <v>202303</v>
      </c>
      <c r="T158" s="121" t="s">
        <v>379</v>
      </c>
      <c r="U158" s="132"/>
      <c r="V158" s="133"/>
      <c r="W158" s="133"/>
      <c r="X158" s="118"/>
      <c r="Y158" s="118"/>
    </row>
    <row r="159" s="79" customFormat="1" customHeight="1" spans="1:25">
      <c r="A159" s="129" t="s">
        <v>61</v>
      </c>
      <c r="B159" s="96" t="s">
        <v>83</v>
      </c>
      <c r="C159" s="98" t="s">
        <v>63</v>
      </c>
      <c r="D159" s="96" t="s">
        <v>85</v>
      </c>
      <c r="E159" s="130" t="s">
        <v>300</v>
      </c>
      <c r="F159" s="129" t="s">
        <v>301</v>
      </c>
      <c r="G159" s="99" t="s">
        <v>67</v>
      </c>
      <c r="H159" s="100" t="s">
        <v>303</v>
      </c>
      <c r="I159" s="23" t="e">
        <f>VLOOKUP(H159,'合同综合查询数据（3月返）'!$A:$A,1,FALSE)</f>
        <v>#N/A</v>
      </c>
      <c r="J159" s="99" t="s">
        <v>69</v>
      </c>
      <c r="K159" s="108" t="s">
        <v>363</v>
      </c>
      <c r="L159" s="109"/>
      <c r="M159" s="26"/>
      <c r="N159" s="28">
        <v>44644</v>
      </c>
      <c r="O159" s="109" t="s">
        <v>71</v>
      </c>
      <c r="P159" s="131">
        <v>600</v>
      </c>
      <c r="Q159" s="120">
        <v>-1</v>
      </c>
      <c r="R159" s="120">
        <f t="shared" si="5"/>
        <v>-600</v>
      </c>
      <c r="S159" s="117">
        <v>202303</v>
      </c>
      <c r="T159" s="132" t="s">
        <v>380</v>
      </c>
      <c r="U159" s="132"/>
      <c r="V159" s="133"/>
      <c r="W159" s="133"/>
      <c r="X159" s="118"/>
      <c r="Y159" s="118"/>
    </row>
    <row r="160" s="79" customFormat="1" customHeight="1" spans="1:25">
      <c r="A160" s="129" t="s">
        <v>61</v>
      </c>
      <c r="B160" s="96" t="s">
        <v>83</v>
      </c>
      <c r="C160" s="98" t="s">
        <v>63</v>
      </c>
      <c r="D160" s="96" t="s">
        <v>85</v>
      </c>
      <c r="E160" s="130" t="s">
        <v>300</v>
      </c>
      <c r="F160" s="129" t="s">
        <v>301</v>
      </c>
      <c r="G160" s="99" t="s">
        <v>67</v>
      </c>
      <c r="H160" s="100" t="s">
        <v>303</v>
      </c>
      <c r="I160" s="23" t="e">
        <f>VLOOKUP(H160,'合同综合查询数据（3月返）'!$A:$A,1,FALSE)</f>
        <v>#N/A</v>
      </c>
      <c r="J160" s="99" t="s">
        <v>69</v>
      </c>
      <c r="K160" s="108" t="s">
        <v>372</v>
      </c>
      <c r="L160" s="109"/>
      <c r="M160" s="26"/>
      <c r="N160" s="28">
        <v>43952</v>
      </c>
      <c r="O160" s="109" t="s">
        <v>71</v>
      </c>
      <c r="P160" s="131">
        <v>600</v>
      </c>
      <c r="Q160" s="120">
        <v>1</v>
      </c>
      <c r="R160" s="120">
        <f t="shared" si="5"/>
        <v>600</v>
      </c>
      <c r="S160" s="117">
        <v>202303</v>
      </c>
      <c r="T160" s="121" t="s">
        <v>381</v>
      </c>
      <c r="U160" s="132"/>
      <c r="V160" s="133"/>
      <c r="W160" s="133"/>
      <c r="X160" s="118"/>
      <c r="Y160" s="118"/>
    </row>
    <row r="161" s="79" customFormat="1" customHeight="1" spans="1:25">
      <c r="A161" s="129" t="s">
        <v>61</v>
      </c>
      <c r="B161" s="96" t="s">
        <v>83</v>
      </c>
      <c r="C161" s="98" t="s">
        <v>63</v>
      </c>
      <c r="D161" s="96" t="s">
        <v>85</v>
      </c>
      <c r="E161" s="130" t="s">
        <v>300</v>
      </c>
      <c r="F161" s="129" t="s">
        <v>301</v>
      </c>
      <c r="G161" s="99" t="s">
        <v>67</v>
      </c>
      <c r="H161" s="100" t="s">
        <v>303</v>
      </c>
      <c r="I161" s="23" t="e">
        <f>VLOOKUP(H161,'合同综合查询数据（3月返）'!$A:$A,1,FALSE)</f>
        <v>#N/A</v>
      </c>
      <c r="J161" s="99" t="s">
        <v>69</v>
      </c>
      <c r="K161" s="108" t="s">
        <v>382</v>
      </c>
      <c r="L161" s="109"/>
      <c r="M161" s="26"/>
      <c r="N161" s="28">
        <v>43952</v>
      </c>
      <c r="O161" s="109" t="s">
        <v>71</v>
      </c>
      <c r="P161" s="131">
        <v>600</v>
      </c>
      <c r="Q161" s="120">
        <v>0</v>
      </c>
      <c r="R161" s="120">
        <f t="shared" si="5"/>
        <v>0</v>
      </c>
      <c r="S161" s="117">
        <v>202303</v>
      </c>
      <c r="T161" s="121" t="s">
        <v>383</v>
      </c>
      <c r="U161" s="132"/>
      <c r="V161" s="133"/>
      <c r="W161" s="133"/>
      <c r="X161" s="118"/>
      <c r="Y161" s="118"/>
    </row>
    <row r="162" s="79" customFormat="1" customHeight="1" spans="1:25">
      <c r="A162" s="129" t="s">
        <v>61</v>
      </c>
      <c r="B162" s="96" t="s">
        <v>83</v>
      </c>
      <c r="C162" s="98" t="s">
        <v>63</v>
      </c>
      <c r="D162" s="96" t="s">
        <v>85</v>
      </c>
      <c r="E162" s="130" t="s">
        <v>300</v>
      </c>
      <c r="F162" s="129" t="s">
        <v>301</v>
      </c>
      <c r="G162" s="99" t="s">
        <v>67</v>
      </c>
      <c r="H162" s="100" t="s">
        <v>303</v>
      </c>
      <c r="I162" s="23" t="e">
        <f>VLOOKUP(H162,'合同综合查询数据（3月返）'!$A:$A,1,FALSE)</f>
        <v>#N/A</v>
      </c>
      <c r="J162" s="99" t="s">
        <v>69</v>
      </c>
      <c r="K162" s="108" t="s">
        <v>348</v>
      </c>
      <c r="L162" s="109"/>
      <c r="M162" s="26"/>
      <c r="N162" s="28">
        <v>43958</v>
      </c>
      <c r="O162" s="109" t="s">
        <v>71</v>
      </c>
      <c r="P162" s="131">
        <v>600</v>
      </c>
      <c r="Q162" s="120">
        <v>1</v>
      </c>
      <c r="R162" s="120">
        <f t="shared" si="5"/>
        <v>600</v>
      </c>
      <c r="S162" s="117">
        <v>202303</v>
      </c>
      <c r="T162" s="121" t="s">
        <v>384</v>
      </c>
      <c r="U162" s="132"/>
      <c r="V162" s="133"/>
      <c r="W162" s="133"/>
      <c r="X162" s="118"/>
      <c r="Y162" s="118"/>
    </row>
    <row r="163" s="79" customFormat="1" customHeight="1" spans="1:25">
      <c r="A163" s="129" t="s">
        <v>61</v>
      </c>
      <c r="B163" s="96" t="s">
        <v>83</v>
      </c>
      <c r="C163" s="98" t="s">
        <v>63</v>
      </c>
      <c r="D163" s="96" t="s">
        <v>85</v>
      </c>
      <c r="E163" s="130" t="s">
        <v>300</v>
      </c>
      <c r="F163" s="129" t="s">
        <v>301</v>
      </c>
      <c r="G163" s="99" t="s">
        <v>67</v>
      </c>
      <c r="H163" s="100" t="s">
        <v>303</v>
      </c>
      <c r="I163" s="23" t="e">
        <f>VLOOKUP(H163,'合同综合查询数据（3月返）'!$A:$A,1,FALSE)</f>
        <v>#N/A</v>
      </c>
      <c r="J163" s="99" t="s">
        <v>69</v>
      </c>
      <c r="K163" s="108" t="s">
        <v>348</v>
      </c>
      <c r="L163" s="109"/>
      <c r="M163" s="26"/>
      <c r="N163" s="28">
        <v>44127</v>
      </c>
      <c r="O163" s="109" t="s">
        <v>71</v>
      </c>
      <c r="P163" s="131">
        <v>600</v>
      </c>
      <c r="Q163" s="120">
        <v>-1</v>
      </c>
      <c r="R163" s="120">
        <f t="shared" si="5"/>
        <v>-600</v>
      </c>
      <c r="S163" s="117">
        <v>202303</v>
      </c>
      <c r="T163" s="132" t="s">
        <v>385</v>
      </c>
      <c r="U163" s="132"/>
      <c r="V163" s="133"/>
      <c r="W163" s="133"/>
      <c r="X163" s="118"/>
      <c r="Y163" s="118"/>
    </row>
    <row r="164" s="79" customFormat="1" customHeight="1" spans="1:25">
      <c r="A164" s="129" t="s">
        <v>61</v>
      </c>
      <c r="B164" s="96" t="s">
        <v>83</v>
      </c>
      <c r="C164" s="98" t="s">
        <v>63</v>
      </c>
      <c r="D164" s="96" t="s">
        <v>85</v>
      </c>
      <c r="E164" s="130" t="s">
        <v>300</v>
      </c>
      <c r="F164" s="129" t="s">
        <v>301</v>
      </c>
      <c r="G164" s="99" t="s">
        <v>67</v>
      </c>
      <c r="H164" s="100" t="s">
        <v>303</v>
      </c>
      <c r="I164" s="23" t="e">
        <f>VLOOKUP(H164,'合同综合查询数据（3月返）'!$A:$A,1,FALSE)</f>
        <v>#N/A</v>
      </c>
      <c r="J164" s="99" t="s">
        <v>69</v>
      </c>
      <c r="K164" s="108" t="s">
        <v>372</v>
      </c>
      <c r="L164" s="109"/>
      <c r="M164" s="26"/>
      <c r="N164" s="28">
        <v>43952</v>
      </c>
      <c r="O164" s="109" t="s">
        <v>71</v>
      </c>
      <c r="P164" s="131">
        <v>600</v>
      </c>
      <c r="Q164" s="120">
        <v>1</v>
      </c>
      <c r="R164" s="120">
        <f t="shared" si="5"/>
        <v>600</v>
      </c>
      <c r="S164" s="117">
        <v>202303</v>
      </c>
      <c r="T164" s="121" t="s">
        <v>386</v>
      </c>
      <c r="U164" s="132"/>
      <c r="V164" s="133"/>
      <c r="W164" s="133"/>
      <c r="X164" s="118"/>
      <c r="Y164" s="118"/>
    </row>
    <row r="165" s="79" customFormat="1" customHeight="1" spans="1:25">
      <c r="A165" s="129" t="s">
        <v>61</v>
      </c>
      <c r="B165" s="96" t="s">
        <v>83</v>
      </c>
      <c r="C165" s="98" t="s">
        <v>63</v>
      </c>
      <c r="D165" s="96" t="s">
        <v>85</v>
      </c>
      <c r="E165" s="130" t="s">
        <v>300</v>
      </c>
      <c r="F165" s="129" t="s">
        <v>301</v>
      </c>
      <c r="G165" s="99" t="s">
        <v>67</v>
      </c>
      <c r="H165" s="100" t="s">
        <v>303</v>
      </c>
      <c r="I165" s="23" t="e">
        <f>VLOOKUP(H165,'合同综合查询数据（3月返）'!$A:$A,1,FALSE)</f>
        <v>#N/A</v>
      </c>
      <c r="J165" s="99" t="s">
        <v>69</v>
      </c>
      <c r="K165" s="108" t="s">
        <v>363</v>
      </c>
      <c r="L165" s="109"/>
      <c r="M165" s="26"/>
      <c r="N165" s="28">
        <v>43958</v>
      </c>
      <c r="O165" s="109" t="s">
        <v>71</v>
      </c>
      <c r="P165" s="131">
        <v>600</v>
      </c>
      <c r="Q165" s="120">
        <v>1</v>
      </c>
      <c r="R165" s="120">
        <f t="shared" si="5"/>
        <v>600</v>
      </c>
      <c r="S165" s="117">
        <v>202303</v>
      </c>
      <c r="T165" s="121" t="s">
        <v>387</v>
      </c>
      <c r="U165" s="132"/>
      <c r="V165" s="133"/>
      <c r="W165" s="133"/>
      <c r="X165" s="118"/>
      <c r="Y165" s="118"/>
    </row>
    <row r="166" s="79" customFormat="1" customHeight="1" spans="1:25">
      <c r="A166" s="129" t="s">
        <v>61</v>
      </c>
      <c r="B166" s="96" t="s">
        <v>83</v>
      </c>
      <c r="C166" s="98" t="s">
        <v>63</v>
      </c>
      <c r="D166" s="96" t="s">
        <v>85</v>
      </c>
      <c r="E166" s="130" t="s">
        <v>300</v>
      </c>
      <c r="F166" s="129" t="s">
        <v>301</v>
      </c>
      <c r="G166" s="99" t="s">
        <v>67</v>
      </c>
      <c r="H166" s="100" t="s">
        <v>303</v>
      </c>
      <c r="I166" s="23" t="e">
        <f>VLOOKUP(H166,'合同综合查询数据（3月返）'!$A:$A,1,FALSE)</f>
        <v>#N/A</v>
      </c>
      <c r="J166" s="99" t="s">
        <v>69</v>
      </c>
      <c r="K166" s="108" t="s">
        <v>360</v>
      </c>
      <c r="L166" s="109"/>
      <c r="M166" s="26"/>
      <c r="N166" s="28">
        <v>43958</v>
      </c>
      <c r="O166" s="109" t="s">
        <v>71</v>
      </c>
      <c r="P166" s="131">
        <v>600</v>
      </c>
      <c r="Q166" s="120">
        <v>1</v>
      </c>
      <c r="R166" s="120">
        <f t="shared" si="5"/>
        <v>600</v>
      </c>
      <c r="S166" s="117">
        <v>202303</v>
      </c>
      <c r="T166" s="121" t="s">
        <v>388</v>
      </c>
      <c r="U166" s="132"/>
      <c r="V166" s="133"/>
      <c r="W166" s="133"/>
      <c r="X166" s="118"/>
      <c r="Y166" s="118"/>
    </row>
    <row r="167" s="79" customFormat="1" customHeight="1" spans="1:25">
      <c r="A167" s="129" t="s">
        <v>61</v>
      </c>
      <c r="B167" s="96" t="s">
        <v>83</v>
      </c>
      <c r="C167" s="98" t="s">
        <v>63</v>
      </c>
      <c r="D167" s="96" t="s">
        <v>85</v>
      </c>
      <c r="E167" s="130" t="s">
        <v>300</v>
      </c>
      <c r="F167" s="129" t="s">
        <v>301</v>
      </c>
      <c r="G167" s="99" t="s">
        <v>67</v>
      </c>
      <c r="H167" s="100" t="s">
        <v>303</v>
      </c>
      <c r="I167" s="23" t="e">
        <f>VLOOKUP(H167,'合同综合查询数据（3月返）'!$A:$A,1,FALSE)</f>
        <v>#N/A</v>
      </c>
      <c r="J167" s="99" t="s">
        <v>69</v>
      </c>
      <c r="K167" s="108" t="s">
        <v>363</v>
      </c>
      <c r="L167" s="109"/>
      <c r="M167" s="26"/>
      <c r="N167" s="28">
        <v>43958</v>
      </c>
      <c r="O167" s="109" t="s">
        <v>71</v>
      </c>
      <c r="P167" s="131">
        <v>600</v>
      </c>
      <c r="Q167" s="120">
        <v>1</v>
      </c>
      <c r="R167" s="120">
        <f t="shared" si="5"/>
        <v>600</v>
      </c>
      <c r="S167" s="117">
        <v>202303</v>
      </c>
      <c r="T167" s="121" t="s">
        <v>389</v>
      </c>
      <c r="U167" s="132"/>
      <c r="V167" s="133"/>
      <c r="W167" s="133"/>
      <c r="X167" s="118"/>
      <c r="Y167" s="118"/>
    </row>
    <row r="168" s="79" customFormat="1" customHeight="1" spans="1:25">
      <c r="A168" s="129" t="s">
        <v>61</v>
      </c>
      <c r="B168" s="96" t="s">
        <v>83</v>
      </c>
      <c r="C168" s="98" t="s">
        <v>63</v>
      </c>
      <c r="D168" s="96" t="s">
        <v>85</v>
      </c>
      <c r="E168" s="130" t="s">
        <v>300</v>
      </c>
      <c r="F168" s="129" t="s">
        <v>301</v>
      </c>
      <c r="G168" s="99" t="s">
        <v>67</v>
      </c>
      <c r="H168" s="100" t="s">
        <v>303</v>
      </c>
      <c r="I168" s="23" t="e">
        <f>VLOOKUP(H168,'合同综合查询数据（3月返）'!$A:$A,1,FALSE)</f>
        <v>#N/A</v>
      </c>
      <c r="J168" s="99" t="s">
        <v>69</v>
      </c>
      <c r="K168" s="108" t="s">
        <v>390</v>
      </c>
      <c r="L168" s="109"/>
      <c r="M168" s="26"/>
      <c r="N168" s="28">
        <v>43958</v>
      </c>
      <c r="O168" s="109" t="s">
        <v>71</v>
      </c>
      <c r="P168" s="131">
        <v>600</v>
      </c>
      <c r="Q168" s="120">
        <v>1</v>
      </c>
      <c r="R168" s="120">
        <f t="shared" si="5"/>
        <v>600</v>
      </c>
      <c r="S168" s="117">
        <v>202303</v>
      </c>
      <c r="T168" s="121" t="s">
        <v>391</v>
      </c>
      <c r="U168" s="132"/>
      <c r="V168" s="133"/>
      <c r="W168" s="133"/>
      <c r="X168" s="118"/>
      <c r="Y168" s="118"/>
    </row>
    <row r="169" s="79" customFormat="1" customHeight="1" spans="1:25">
      <c r="A169" s="129" t="s">
        <v>61</v>
      </c>
      <c r="B169" s="96" t="s">
        <v>83</v>
      </c>
      <c r="C169" s="98" t="s">
        <v>63</v>
      </c>
      <c r="D169" s="96" t="s">
        <v>85</v>
      </c>
      <c r="E169" s="130" t="s">
        <v>300</v>
      </c>
      <c r="F169" s="129" t="s">
        <v>301</v>
      </c>
      <c r="G169" s="99" t="s">
        <v>67</v>
      </c>
      <c r="H169" s="100" t="s">
        <v>303</v>
      </c>
      <c r="I169" s="23" t="e">
        <f>VLOOKUP(H169,'合同综合查询数据（3月返）'!$A:$A,1,FALSE)</f>
        <v>#N/A</v>
      </c>
      <c r="J169" s="99" t="s">
        <v>69</v>
      </c>
      <c r="K169" s="108" t="s">
        <v>348</v>
      </c>
      <c r="L169" s="109"/>
      <c r="M169" s="26"/>
      <c r="N169" s="28">
        <v>43958</v>
      </c>
      <c r="O169" s="109" t="s">
        <v>71</v>
      </c>
      <c r="P169" s="131">
        <v>600</v>
      </c>
      <c r="Q169" s="120">
        <v>1</v>
      </c>
      <c r="R169" s="120">
        <f t="shared" ref="R169:R193" si="6">ROUND(P169*Q169,2)</f>
        <v>600</v>
      </c>
      <c r="S169" s="117">
        <v>202303</v>
      </c>
      <c r="T169" s="121" t="s">
        <v>392</v>
      </c>
      <c r="U169" s="132"/>
      <c r="V169" s="133"/>
      <c r="W169" s="133"/>
      <c r="X169" s="118"/>
      <c r="Y169" s="118"/>
    </row>
    <row r="170" s="79" customFormat="1" customHeight="1" spans="1:25">
      <c r="A170" s="129" t="s">
        <v>61</v>
      </c>
      <c r="B170" s="96" t="s">
        <v>83</v>
      </c>
      <c r="C170" s="98" t="s">
        <v>63</v>
      </c>
      <c r="D170" s="96" t="s">
        <v>85</v>
      </c>
      <c r="E170" s="130" t="s">
        <v>300</v>
      </c>
      <c r="F170" s="129" t="s">
        <v>301</v>
      </c>
      <c r="G170" s="99" t="s">
        <v>67</v>
      </c>
      <c r="H170" s="100" t="s">
        <v>303</v>
      </c>
      <c r="I170" s="23" t="e">
        <f>VLOOKUP(H170,'合同综合查询数据（3月返）'!$A:$A,1,FALSE)</f>
        <v>#N/A</v>
      </c>
      <c r="J170" s="99" t="s">
        <v>69</v>
      </c>
      <c r="K170" s="108" t="s">
        <v>390</v>
      </c>
      <c r="L170" s="109"/>
      <c r="M170" s="26"/>
      <c r="N170" s="28">
        <v>43958</v>
      </c>
      <c r="O170" s="109" t="s">
        <v>71</v>
      </c>
      <c r="P170" s="131">
        <v>600</v>
      </c>
      <c r="Q170" s="120">
        <v>1</v>
      </c>
      <c r="R170" s="120">
        <f t="shared" si="6"/>
        <v>600</v>
      </c>
      <c r="S170" s="117">
        <v>202303</v>
      </c>
      <c r="T170" s="121" t="s">
        <v>393</v>
      </c>
      <c r="U170" s="132"/>
      <c r="V170" s="133"/>
      <c r="W170" s="133"/>
      <c r="X170" s="118"/>
      <c r="Y170" s="118"/>
    </row>
    <row r="171" s="79" customFormat="1" customHeight="1" spans="1:25">
      <c r="A171" s="129" t="s">
        <v>61</v>
      </c>
      <c r="B171" s="96" t="s">
        <v>83</v>
      </c>
      <c r="C171" s="98" t="s">
        <v>63</v>
      </c>
      <c r="D171" s="96" t="s">
        <v>85</v>
      </c>
      <c r="E171" s="130" t="s">
        <v>300</v>
      </c>
      <c r="F171" s="129" t="s">
        <v>301</v>
      </c>
      <c r="G171" s="99" t="s">
        <v>67</v>
      </c>
      <c r="H171" s="100" t="s">
        <v>303</v>
      </c>
      <c r="I171" s="23" t="e">
        <f>VLOOKUP(H171,'合同综合查询数据（3月返）'!$A:$A,1,FALSE)</f>
        <v>#N/A</v>
      </c>
      <c r="J171" s="99" t="s">
        <v>69</v>
      </c>
      <c r="K171" s="108" t="s">
        <v>394</v>
      </c>
      <c r="L171" s="109"/>
      <c r="M171" s="26"/>
      <c r="N171" s="28">
        <v>43952</v>
      </c>
      <c r="O171" s="109" t="s">
        <v>71</v>
      </c>
      <c r="P171" s="131">
        <v>600</v>
      </c>
      <c r="Q171" s="120">
        <v>1</v>
      </c>
      <c r="R171" s="120">
        <f t="shared" si="6"/>
        <v>600</v>
      </c>
      <c r="S171" s="117">
        <v>202303</v>
      </c>
      <c r="T171" s="121" t="s">
        <v>395</v>
      </c>
      <c r="U171" s="132"/>
      <c r="V171" s="133"/>
      <c r="W171" s="133"/>
      <c r="X171" s="118"/>
      <c r="Y171" s="118"/>
    </row>
    <row r="172" s="79" customFormat="1" customHeight="1" spans="1:25">
      <c r="A172" s="129" t="s">
        <v>61</v>
      </c>
      <c r="B172" s="96" t="s">
        <v>83</v>
      </c>
      <c r="C172" s="98" t="s">
        <v>63</v>
      </c>
      <c r="D172" s="96" t="s">
        <v>85</v>
      </c>
      <c r="E172" s="130" t="s">
        <v>300</v>
      </c>
      <c r="F172" s="129" t="s">
        <v>301</v>
      </c>
      <c r="G172" s="99" t="s">
        <v>67</v>
      </c>
      <c r="H172" s="100" t="s">
        <v>303</v>
      </c>
      <c r="I172" s="23" t="e">
        <f>VLOOKUP(H172,'合同综合查询数据（3月返）'!$A:$A,1,FALSE)</f>
        <v>#N/A</v>
      </c>
      <c r="J172" s="99" t="s">
        <v>69</v>
      </c>
      <c r="K172" s="108" t="s">
        <v>394</v>
      </c>
      <c r="L172" s="109"/>
      <c r="M172" s="26"/>
      <c r="N172" s="28">
        <v>44868</v>
      </c>
      <c r="O172" s="109" t="s">
        <v>71</v>
      </c>
      <c r="P172" s="131">
        <v>600</v>
      </c>
      <c r="Q172" s="120">
        <v>-1</v>
      </c>
      <c r="R172" s="120">
        <f t="shared" si="6"/>
        <v>-600</v>
      </c>
      <c r="S172" s="117">
        <v>202303</v>
      </c>
      <c r="T172" s="121" t="s">
        <v>396</v>
      </c>
      <c r="U172" s="132"/>
      <c r="V172" s="133"/>
      <c r="W172" s="133"/>
      <c r="X172" s="118"/>
      <c r="Y172" s="118"/>
    </row>
    <row r="173" s="79" customFormat="1" customHeight="1" spans="1:25">
      <c r="A173" s="129" t="s">
        <v>61</v>
      </c>
      <c r="B173" s="96" t="s">
        <v>83</v>
      </c>
      <c r="C173" s="98" t="s">
        <v>63</v>
      </c>
      <c r="D173" s="96" t="s">
        <v>85</v>
      </c>
      <c r="E173" s="130" t="s">
        <v>300</v>
      </c>
      <c r="F173" s="129" t="s">
        <v>301</v>
      </c>
      <c r="G173" s="99" t="s">
        <v>67</v>
      </c>
      <c r="H173" s="100" t="s">
        <v>303</v>
      </c>
      <c r="I173" s="23" t="e">
        <f>VLOOKUP(H173,'合同综合查询数据（3月返）'!$A:$A,1,FALSE)</f>
        <v>#N/A</v>
      </c>
      <c r="J173" s="99" t="s">
        <v>69</v>
      </c>
      <c r="K173" s="108" t="s">
        <v>372</v>
      </c>
      <c r="L173" s="109"/>
      <c r="M173" s="26"/>
      <c r="N173" s="28">
        <v>43952</v>
      </c>
      <c r="O173" s="109" t="s">
        <v>71</v>
      </c>
      <c r="P173" s="131">
        <v>600</v>
      </c>
      <c r="Q173" s="120">
        <v>1</v>
      </c>
      <c r="R173" s="120">
        <f t="shared" si="6"/>
        <v>600</v>
      </c>
      <c r="S173" s="117">
        <v>202303</v>
      </c>
      <c r="T173" s="121" t="s">
        <v>397</v>
      </c>
      <c r="U173" s="132"/>
      <c r="V173" s="133"/>
      <c r="W173" s="133"/>
      <c r="X173" s="118"/>
      <c r="Y173" s="118"/>
    </row>
    <row r="174" s="79" customFormat="1" customHeight="1" spans="1:25">
      <c r="A174" s="129" t="s">
        <v>61</v>
      </c>
      <c r="B174" s="96" t="s">
        <v>83</v>
      </c>
      <c r="C174" s="98" t="s">
        <v>63</v>
      </c>
      <c r="D174" s="96" t="s">
        <v>85</v>
      </c>
      <c r="E174" s="130" t="s">
        <v>300</v>
      </c>
      <c r="F174" s="129" t="s">
        <v>301</v>
      </c>
      <c r="G174" s="99" t="s">
        <v>67</v>
      </c>
      <c r="H174" s="100" t="s">
        <v>303</v>
      </c>
      <c r="I174" s="23" t="e">
        <f>VLOOKUP(H174,'合同综合查询数据（3月返）'!$A:$A,1,FALSE)</f>
        <v>#N/A</v>
      </c>
      <c r="J174" s="99" t="s">
        <v>69</v>
      </c>
      <c r="K174" s="108" t="s">
        <v>372</v>
      </c>
      <c r="L174" s="109"/>
      <c r="M174" s="26"/>
      <c r="N174" s="28">
        <v>44798</v>
      </c>
      <c r="O174" s="109" t="s">
        <v>71</v>
      </c>
      <c r="P174" s="131">
        <v>600</v>
      </c>
      <c r="Q174" s="120">
        <v>-1</v>
      </c>
      <c r="R174" s="120">
        <f t="shared" si="6"/>
        <v>-600</v>
      </c>
      <c r="S174" s="117">
        <v>202303</v>
      </c>
      <c r="T174" s="134" t="s">
        <v>398</v>
      </c>
      <c r="U174" s="132"/>
      <c r="V174" s="133"/>
      <c r="W174" s="133"/>
      <c r="X174" s="118"/>
      <c r="Y174" s="118"/>
    </row>
    <row r="175" s="79" customFormat="1" customHeight="1" spans="1:25">
      <c r="A175" s="129" t="s">
        <v>61</v>
      </c>
      <c r="B175" s="96" t="s">
        <v>83</v>
      </c>
      <c r="C175" s="98" t="s">
        <v>63</v>
      </c>
      <c r="D175" s="96" t="s">
        <v>85</v>
      </c>
      <c r="E175" s="130" t="s">
        <v>300</v>
      </c>
      <c r="F175" s="129" t="s">
        <v>301</v>
      </c>
      <c r="G175" s="99" t="s">
        <v>67</v>
      </c>
      <c r="H175" s="100" t="s">
        <v>303</v>
      </c>
      <c r="I175" s="23" t="e">
        <f>VLOOKUP(H175,'合同综合查询数据（3月返）'!$A:$A,1,FALSE)</f>
        <v>#N/A</v>
      </c>
      <c r="J175" s="99" t="s">
        <v>69</v>
      </c>
      <c r="K175" s="108" t="s">
        <v>399</v>
      </c>
      <c r="L175" s="109"/>
      <c r="M175" s="26"/>
      <c r="N175" s="28">
        <v>44015</v>
      </c>
      <c r="O175" s="109" t="s">
        <v>71</v>
      </c>
      <c r="P175" s="131">
        <v>600</v>
      </c>
      <c r="Q175" s="120">
        <v>2</v>
      </c>
      <c r="R175" s="120">
        <f t="shared" si="6"/>
        <v>1200</v>
      </c>
      <c r="S175" s="117">
        <v>202303</v>
      </c>
      <c r="T175" s="121" t="s">
        <v>400</v>
      </c>
      <c r="U175" s="132"/>
      <c r="V175" s="133"/>
      <c r="W175" s="133"/>
      <c r="X175" s="118"/>
      <c r="Y175" s="118"/>
    </row>
    <row r="176" s="79" customFormat="1" customHeight="1" spans="1:25">
      <c r="A176" s="129" t="s">
        <v>61</v>
      </c>
      <c r="B176" s="96" t="s">
        <v>83</v>
      </c>
      <c r="C176" s="98" t="s">
        <v>63</v>
      </c>
      <c r="D176" s="96" t="s">
        <v>85</v>
      </c>
      <c r="E176" s="130" t="s">
        <v>300</v>
      </c>
      <c r="F176" s="129" t="s">
        <v>301</v>
      </c>
      <c r="G176" s="99" t="s">
        <v>67</v>
      </c>
      <c r="H176" s="100" t="s">
        <v>303</v>
      </c>
      <c r="I176" s="23" t="e">
        <f>VLOOKUP(H176,'合同综合查询数据（3月返）'!$A:$A,1,FALSE)</f>
        <v>#N/A</v>
      </c>
      <c r="J176" s="99" t="s">
        <v>69</v>
      </c>
      <c r="K176" s="108" t="s">
        <v>401</v>
      </c>
      <c r="L176" s="109"/>
      <c r="M176" s="26"/>
      <c r="N176" s="28">
        <v>43948</v>
      </c>
      <c r="O176" s="109" t="s">
        <v>71</v>
      </c>
      <c r="P176" s="131">
        <v>600</v>
      </c>
      <c r="Q176" s="120">
        <v>1</v>
      </c>
      <c r="R176" s="120">
        <f t="shared" si="6"/>
        <v>600</v>
      </c>
      <c r="S176" s="117">
        <v>202303</v>
      </c>
      <c r="T176" s="121" t="s">
        <v>402</v>
      </c>
      <c r="U176" s="132"/>
      <c r="V176" s="133"/>
      <c r="W176" s="133"/>
      <c r="X176" s="118"/>
      <c r="Y176" s="118"/>
    </row>
    <row r="177" s="79" customFormat="1" customHeight="1" spans="1:25">
      <c r="A177" s="129" t="s">
        <v>61</v>
      </c>
      <c r="B177" s="96" t="s">
        <v>83</v>
      </c>
      <c r="C177" s="98" t="s">
        <v>63</v>
      </c>
      <c r="D177" s="96" t="s">
        <v>85</v>
      </c>
      <c r="E177" s="130" t="s">
        <v>300</v>
      </c>
      <c r="F177" s="129" t="s">
        <v>301</v>
      </c>
      <c r="G177" s="99" t="s">
        <v>67</v>
      </c>
      <c r="H177" s="100" t="s">
        <v>303</v>
      </c>
      <c r="I177" s="23" t="e">
        <f>VLOOKUP(H177,'合同综合查询数据（3月返）'!$A:$A,1,FALSE)</f>
        <v>#N/A</v>
      </c>
      <c r="J177" s="99" t="s">
        <v>69</v>
      </c>
      <c r="K177" s="108" t="s">
        <v>403</v>
      </c>
      <c r="L177" s="109"/>
      <c r="M177" s="26"/>
      <c r="N177" s="28">
        <v>43966</v>
      </c>
      <c r="O177" s="109" t="s">
        <v>71</v>
      </c>
      <c r="P177" s="131">
        <v>600</v>
      </c>
      <c r="Q177" s="120">
        <v>1</v>
      </c>
      <c r="R177" s="120">
        <f t="shared" si="6"/>
        <v>600</v>
      </c>
      <c r="S177" s="117">
        <v>202303</v>
      </c>
      <c r="T177" s="121" t="s">
        <v>404</v>
      </c>
      <c r="U177" s="132"/>
      <c r="V177" s="133"/>
      <c r="W177" s="133"/>
      <c r="X177" s="118"/>
      <c r="Y177" s="118"/>
    </row>
    <row r="178" s="79" customFormat="1" customHeight="1" spans="1:25">
      <c r="A178" s="129" t="s">
        <v>61</v>
      </c>
      <c r="B178" s="96" t="s">
        <v>83</v>
      </c>
      <c r="C178" s="98" t="s">
        <v>63</v>
      </c>
      <c r="D178" s="96" t="s">
        <v>85</v>
      </c>
      <c r="E178" s="130" t="s">
        <v>300</v>
      </c>
      <c r="F178" s="129" t="s">
        <v>301</v>
      </c>
      <c r="G178" s="99" t="s">
        <v>67</v>
      </c>
      <c r="H178" s="100" t="s">
        <v>303</v>
      </c>
      <c r="I178" s="23" t="e">
        <f>VLOOKUP(H178,'合同综合查询数据（3月返）'!$A:$A,1,FALSE)</f>
        <v>#N/A</v>
      </c>
      <c r="J178" s="99" t="s">
        <v>69</v>
      </c>
      <c r="K178" s="108" t="s">
        <v>405</v>
      </c>
      <c r="L178" s="109"/>
      <c r="M178" s="26"/>
      <c r="N178" s="28">
        <v>43991</v>
      </c>
      <c r="O178" s="109" t="s">
        <v>71</v>
      </c>
      <c r="P178" s="131">
        <v>600</v>
      </c>
      <c r="Q178" s="120">
        <v>1</v>
      </c>
      <c r="R178" s="120">
        <f t="shared" si="6"/>
        <v>600</v>
      </c>
      <c r="S178" s="117">
        <v>202303</v>
      </c>
      <c r="T178" s="121" t="s">
        <v>406</v>
      </c>
      <c r="U178" s="132"/>
      <c r="V178" s="133"/>
      <c r="W178" s="133"/>
      <c r="X178" s="118"/>
      <c r="Y178" s="118"/>
    </row>
    <row r="179" s="79" customFormat="1" customHeight="1" spans="1:25">
      <c r="A179" s="129" t="s">
        <v>61</v>
      </c>
      <c r="B179" s="96" t="s">
        <v>83</v>
      </c>
      <c r="C179" s="98" t="s">
        <v>63</v>
      </c>
      <c r="D179" s="96" t="s">
        <v>85</v>
      </c>
      <c r="E179" s="130" t="s">
        <v>300</v>
      </c>
      <c r="F179" s="129" t="s">
        <v>301</v>
      </c>
      <c r="G179" s="99" t="s">
        <v>67</v>
      </c>
      <c r="H179" s="100" t="s">
        <v>303</v>
      </c>
      <c r="I179" s="23" t="e">
        <f>VLOOKUP(H179,'合同综合查询数据（3月返）'!$A:$A,1,FALSE)</f>
        <v>#N/A</v>
      </c>
      <c r="J179" s="99" t="s">
        <v>69</v>
      </c>
      <c r="K179" s="108" t="s">
        <v>382</v>
      </c>
      <c r="L179" s="109"/>
      <c r="M179" s="26"/>
      <c r="N179" s="28">
        <v>44075</v>
      </c>
      <c r="O179" s="109" t="s">
        <v>71</v>
      </c>
      <c r="P179" s="131">
        <v>600</v>
      </c>
      <c r="Q179" s="120">
        <v>1</v>
      </c>
      <c r="R179" s="120">
        <f t="shared" si="6"/>
        <v>600</v>
      </c>
      <c r="S179" s="117">
        <v>202303</v>
      </c>
      <c r="T179" s="121" t="s">
        <v>407</v>
      </c>
      <c r="U179" s="132"/>
      <c r="V179" s="133"/>
      <c r="W179" s="133"/>
      <c r="X179" s="118"/>
      <c r="Y179" s="118"/>
    </row>
    <row r="180" s="79" customFormat="1" customHeight="1" spans="1:25">
      <c r="A180" s="129" t="s">
        <v>61</v>
      </c>
      <c r="B180" s="96" t="s">
        <v>83</v>
      </c>
      <c r="C180" s="98" t="s">
        <v>63</v>
      </c>
      <c r="D180" s="96" t="s">
        <v>85</v>
      </c>
      <c r="E180" s="130" t="s">
        <v>300</v>
      </c>
      <c r="F180" s="129" t="s">
        <v>301</v>
      </c>
      <c r="G180" s="99" t="s">
        <v>67</v>
      </c>
      <c r="H180" s="100" t="s">
        <v>303</v>
      </c>
      <c r="I180" s="23" t="e">
        <f>VLOOKUP(H180,'合同综合查询数据（3月返）'!$A:$A,1,FALSE)</f>
        <v>#N/A</v>
      </c>
      <c r="J180" s="99" t="s">
        <v>69</v>
      </c>
      <c r="K180" s="108" t="s">
        <v>375</v>
      </c>
      <c r="L180" s="109"/>
      <c r="M180" s="26"/>
      <c r="N180" s="28">
        <v>44075</v>
      </c>
      <c r="O180" s="109" t="s">
        <v>71</v>
      </c>
      <c r="P180" s="131">
        <v>600</v>
      </c>
      <c r="Q180" s="120">
        <v>1</v>
      </c>
      <c r="R180" s="120">
        <f t="shared" si="6"/>
        <v>600</v>
      </c>
      <c r="S180" s="117">
        <v>202303</v>
      </c>
      <c r="T180" s="121" t="s">
        <v>408</v>
      </c>
      <c r="U180" s="132"/>
      <c r="V180" s="133"/>
      <c r="W180" s="133"/>
      <c r="X180" s="118"/>
      <c r="Y180" s="118"/>
    </row>
    <row r="181" s="79" customFormat="1" customHeight="1" spans="1:25">
      <c r="A181" s="129" t="s">
        <v>61</v>
      </c>
      <c r="B181" s="96" t="s">
        <v>83</v>
      </c>
      <c r="C181" s="98" t="s">
        <v>63</v>
      </c>
      <c r="D181" s="96" t="s">
        <v>85</v>
      </c>
      <c r="E181" s="130" t="s">
        <v>300</v>
      </c>
      <c r="F181" s="129" t="s">
        <v>301</v>
      </c>
      <c r="G181" s="99" t="s">
        <v>67</v>
      </c>
      <c r="H181" s="100" t="s">
        <v>303</v>
      </c>
      <c r="I181" s="23" t="e">
        <f>VLOOKUP(H181,'合同综合查询数据（3月返）'!$A:$A,1,FALSE)</f>
        <v>#N/A</v>
      </c>
      <c r="J181" s="99" t="s">
        <v>69</v>
      </c>
      <c r="K181" s="108" t="s">
        <v>375</v>
      </c>
      <c r="L181" s="109"/>
      <c r="M181" s="26"/>
      <c r="N181" s="28">
        <v>44127</v>
      </c>
      <c r="O181" s="109" t="s">
        <v>71</v>
      </c>
      <c r="P181" s="131">
        <v>600</v>
      </c>
      <c r="Q181" s="120">
        <v>-1</v>
      </c>
      <c r="R181" s="120">
        <f t="shared" si="6"/>
        <v>-600</v>
      </c>
      <c r="S181" s="117">
        <v>202303</v>
      </c>
      <c r="T181" s="132" t="s">
        <v>409</v>
      </c>
      <c r="U181" s="132"/>
      <c r="V181" s="133"/>
      <c r="W181" s="133"/>
      <c r="X181" s="118"/>
      <c r="Y181" s="118"/>
    </row>
    <row r="182" s="79" customFormat="1" customHeight="1" spans="1:25">
      <c r="A182" s="129" t="s">
        <v>61</v>
      </c>
      <c r="B182" s="96" t="s">
        <v>83</v>
      </c>
      <c r="C182" s="98" t="s">
        <v>63</v>
      </c>
      <c r="D182" s="96" t="s">
        <v>85</v>
      </c>
      <c r="E182" s="130" t="s">
        <v>300</v>
      </c>
      <c r="F182" s="129" t="s">
        <v>301</v>
      </c>
      <c r="G182" s="99" t="s">
        <v>67</v>
      </c>
      <c r="H182" s="100" t="s">
        <v>303</v>
      </c>
      <c r="I182" s="23" t="e">
        <f>VLOOKUP(H182,'合同综合查询数据（3月返）'!$A:$A,1,FALSE)</f>
        <v>#N/A</v>
      </c>
      <c r="J182" s="99" t="s">
        <v>69</v>
      </c>
      <c r="K182" s="108" t="s">
        <v>401</v>
      </c>
      <c r="L182" s="109"/>
      <c r="M182" s="26"/>
      <c r="N182" s="28">
        <v>44127</v>
      </c>
      <c r="O182" s="109" t="s">
        <v>71</v>
      </c>
      <c r="P182" s="131">
        <v>600</v>
      </c>
      <c r="Q182" s="120">
        <v>1</v>
      </c>
      <c r="R182" s="120">
        <f t="shared" si="6"/>
        <v>600</v>
      </c>
      <c r="S182" s="117">
        <v>202303</v>
      </c>
      <c r="T182" s="121" t="s">
        <v>410</v>
      </c>
      <c r="U182" s="132"/>
      <c r="V182" s="133"/>
      <c r="W182" s="133"/>
      <c r="X182" s="118"/>
      <c r="Y182" s="118"/>
    </row>
    <row r="183" s="79" customFormat="1" customHeight="1" spans="1:25">
      <c r="A183" s="129" t="s">
        <v>61</v>
      </c>
      <c r="B183" s="96" t="s">
        <v>83</v>
      </c>
      <c r="C183" s="98" t="s">
        <v>63</v>
      </c>
      <c r="D183" s="96" t="s">
        <v>85</v>
      </c>
      <c r="E183" s="130" t="s">
        <v>300</v>
      </c>
      <c r="F183" s="129" t="s">
        <v>301</v>
      </c>
      <c r="G183" s="99" t="s">
        <v>67</v>
      </c>
      <c r="H183" s="100" t="s">
        <v>303</v>
      </c>
      <c r="I183" s="23" t="e">
        <f>VLOOKUP(H183,'合同综合查询数据（3月返）'!$A:$A,1,FALSE)</f>
        <v>#N/A</v>
      </c>
      <c r="J183" s="99" t="s">
        <v>69</v>
      </c>
      <c r="K183" s="108" t="s">
        <v>403</v>
      </c>
      <c r="L183" s="109"/>
      <c r="M183" s="26"/>
      <c r="N183" s="28">
        <v>44253</v>
      </c>
      <c r="O183" s="109" t="s">
        <v>71</v>
      </c>
      <c r="P183" s="131">
        <v>600</v>
      </c>
      <c r="Q183" s="120">
        <v>1</v>
      </c>
      <c r="R183" s="120">
        <f t="shared" si="6"/>
        <v>600</v>
      </c>
      <c r="S183" s="117">
        <v>202303</v>
      </c>
      <c r="T183" s="121" t="s">
        <v>411</v>
      </c>
      <c r="U183" s="132"/>
      <c r="V183" s="133"/>
      <c r="W183" s="133"/>
      <c r="X183" s="118"/>
      <c r="Y183" s="118"/>
    </row>
    <row r="184" s="79" customFormat="1" customHeight="1" spans="1:25">
      <c r="A184" s="129" t="s">
        <v>61</v>
      </c>
      <c r="B184" s="96" t="s">
        <v>83</v>
      </c>
      <c r="C184" s="98" t="s">
        <v>63</v>
      </c>
      <c r="D184" s="96" t="s">
        <v>85</v>
      </c>
      <c r="E184" s="130" t="s">
        <v>300</v>
      </c>
      <c r="F184" s="129" t="s">
        <v>301</v>
      </c>
      <c r="G184" s="99" t="s">
        <v>67</v>
      </c>
      <c r="H184" s="100" t="s">
        <v>303</v>
      </c>
      <c r="I184" s="23" t="e">
        <f>VLOOKUP(H184,'合同综合查询数据（3月返）'!$A:$A,1,FALSE)</f>
        <v>#N/A</v>
      </c>
      <c r="J184" s="99" t="s">
        <v>69</v>
      </c>
      <c r="K184" s="108" t="s">
        <v>401</v>
      </c>
      <c r="L184" s="109"/>
      <c r="M184" s="26"/>
      <c r="N184" s="28">
        <v>44439</v>
      </c>
      <c r="O184" s="109" t="s">
        <v>71</v>
      </c>
      <c r="P184" s="131">
        <v>600</v>
      </c>
      <c r="Q184" s="120">
        <v>1</v>
      </c>
      <c r="R184" s="120">
        <f t="shared" si="6"/>
        <v>600</v>
      </c>
      <c r="S184" s="117">
        <v>202303</v>
      </c>
      <c r="T184" s="121" t="s">
        <v>412</v>
      </c>
      <c r="U184" s="132"/>
      <c r="V184" s="133"/>
      <c r="W184" s="133"/>
      <c r="X184" s="118"/>
      <c r="Y184" s="118"/>
    </row>
    <row r="185" s="79" customFormat="1" customHeight="1" spans="1:25">
      <c r="A185" s="129" t="s">
        <v>61</v>
      </c>
      <c r="B185" s="96" t="s">
        <v>83</v>
      </c>
      <c r="C185" s="98" t="s">
        <v>63</v>
      </c>
      <c r="D185" s="96" t="s">
        <v>85</v>
      </c>
      <c r="E185" s="130" t="s">
        <v>300</v>
      </c>
      <c r="F185" s="129" t="s">
        <v>301</v>
      </c>
      <c r="G185" s="99" t="s">
        <v>67</v>
      </c>
      <c r="H185" s="100" t="s">
        <v>303</v>
      </c>
      <c r="I185" s="23" t="e">
        <f>VLOOKUP(H185,'合同综合查询数据（3月返）'!$A:$A,1,FALSE)</f>
        <v>#N/A</v>
      </c>
      <c r="J185" s="99" t="s">
        <v>69</v>
      </c>
      <c r="K185" s="108" t="s">
        <v>401</v>
      </c>
      <c r="L185" s="109"/>
      <c r="M185" s="26"/>
      <c r="N185" s="28">
        <v>44487</v>
      </c>
      <c r="O185" s="109" t="s">
        <v>71</v>
      </c>
      <c r="P185" s="131">
        <v>600</v>
      </c>
      <c r="Q185" s="120">
        <v>1</v>
      </c>
      <c r="R185" s="120">
        <f t="shared" si="6"/>
        <v>600</v>
      </c>
      <c r="S185" s="117">
        <v>202303</v>
      </c>
      <c r="T185" s="121" t="s">
        <v>413</v>
      </c>
      <c r="U185" s="132"/>
      <c r="V185" s="133"/>
      <c r="W185" s="133"/>
      <c r="X185" s="118"/>
      <c r="Y185" s="118"/>
    </row>
    <row r="186" s="79" customFormat="1" customHeight="1" spans="1:25">
      <c r="A186" s="129" t="s">
        <v>61</v>
      </c>
      <c r="B186" s="96" t="s">
        <v>83</v>
      </c>
      <c r="C186" s="98" t="s">
        <v>63</v>
      </c>
      <c r="D186" s="96" t="s">
        <v>85</v>
      </c>
      <c r="E186" s="130" t="s">
        <v>300</v>
      </c>
      <c r="F186" s="129" t="s">
        <v>301</v>
      </c>
      <c r="G186" s="99" t="s">
        <v>67</v>
      </c>
      <c r="H186" s="100" t="s">
        <v>303</v>
      </c>
      <c r="I186" s="23" t="e">
        <f>VLOOKUP(H186,'合同综合查询数据（3月返）'!$A:$A,1,FALSE)</f>
        <v>#N/A</v>
      </c>
      <c r="J186" s="99" t="s">
        <v>69</v>
      </c>
      <c r="K186" s="108" t="s">
        <v>401</v>
      </c>
      <c r="L186" s="109"/>
      <c r="M186" s="26"/>
      <c r="N186" s="28">
        <v>44487</v>
      </c>
      <c r="O186" s="109" t="s">
        <v>71</v>
      </c>
      <c r="P186" s="131">
        <v>600</v>
      </c>
      <c r="Q186" s="120">
        <v>1</v>
      </c>
      <c r="R186" s="120">
        <f t="shared" si="6"/>
        <v>600</v>
      </c>
      <c r="S186" s="117">
        <v>202303</v>
      </c>
      <c r="T186" s="121" t="s">
        <v>414</v>
      </c>
      <c r="U186" s="132"/>
      <c r="V186" s="133"/>
      <c r="W186" s="133"/>
      <c r="X186" s="118"/>
      <c r="Y186" s="118"/>
    </row>
    <row r="187" s="79" customFormat="1" customHeight="1" spans="1:25">
      <c r="A187" s="129" t="s">
        <v>61</v>
      </c>
      <c r="B187" s="96" t="s">
        <v>83</v>
      </c>
      <c r="C187" s="98" t="s">
        <v>63</v>
      </c>
      <c r="D187" s="96" t="s">
        <v>85</v>
      </c>
      <c r="E187" s="130" t="s">
        <v>300</v>
      </c>
      <c r="F187" s="129" t="s">
        <v>301</v>
      </c>
      <c r="G187" s="99" t="s">
        <v>67</v>
      </c>
      <c r="H187" s="100" t="s">
        <v>303</v>
      </c>
      <c r="I187" s="23" t="e">
        <f>VLOOKUP(H187,'合同综合查询数据（3月返）'!$A:$A,1,FALSE)</f>
        <v>#N/A</v>
      </c>
      <c r="J187" s="99" t="s">
        <v>69</v>
      </c>
      <c r="K187" s="108" t="s">
        <v>401</v>
      </c>
      <c r="L187" s="109"/>
      <c r="M187" s="26"/>
      <c r="N187" s="28">
        <v>44648</v>
      </c>
      <c r="O187" s="109" t="s">
        <v>71</v>
      </c>
      <c r="P187" s="131">
        <v>600</v>
      </c>
      <c r="Q187" s="120">
        <v>1</v>
      </c>
      <c r="R187" s="120">
        <f t="shared" si="6"/>
        <v>600</v>
      </c>
      <c r="S187" s="117">
        <v>202303</v>
      </c>
      <c r="T187" s="121" t="s">
        <v>415</v>
      </c>
      <c r="U187" s="132"/>
      <c r="V187" s="133"/>
      <c r="W187" s="133"/>
      <c r="X187" s="118"/>
      <c r="Y187" s="118"/>
    </row>
    <row r="188" s="79" customFormat="1" customHeight="1" spans="1:25">
      <c r="A188" s="129" t="s">
        <v>61</v>
      </c>
      <c r="B188" s="96" t="s">
        <v>83</v>
      </c>
      <c r="C188" s="98" t="s">
        <v>63</v>
      </c>
      <c r="D188" s="96" t="s">
        <v>85</v>
      </c>
      <c r="E188" s="130" t="s">
        <v>300</v>
      </c>
      <c r="F188" s="129" t="s">
        <v>301</v>
      </c>
      <c r="G188" s="99" t="s">
        <v>67</v>
      </c>
      <c r="H188" s="100" t="s">
        <v>303</v>
      </c>
      <c r="I188" s="23" t="e">
        <f>VLOOKUP(H188,'合同综合查询数据（3月返）'!$A:$A,1,FALSE)</f>
        <v>#N/A</v>
      </c>
      <c r="J188" s="99" t="s">
        <v>69</v>
      </c>
      <c r="K188" s="108" t="s">
        <v>401</v>
      </c>
      <c r="L188" s="109"/>
      <c r="M188" s="26"/>
      <c r="N188" s="28">
        <v>44658</v>
      </c>
      <c r="O188" s="109" t="s">
        <v>71</v>
      </c>
      <c r="P188" s="131">
        <v>600</v>
      </c>
      <c r="Q188" s="120">
        <v>1</v>
      </c>
      <c r="R188" s="120">
        <f t="shared" si="6"/>
        <v>600</v>
      </c>
      <c r="S188" s="117">
        <v>202303</v>
      </c>
      <c r="T188" s="121" t="s">
        <v>416</v>
      </c>
      <c r="U188" s="132"/>
      <c r="V188" s="133"/>
      <c r="W188" s="133"/>
      <c r="X188" s="118"/>
      <c r="Y188" s="118"/>
    </row>
    <row r="189" s="79" customFormat="1" customHeight="1" spans="1:25">
      <c r="A189" s="129" t="s">
        <v>61</v>
      </c>
      <c r="B189" s="96" t="s">
        <v>83</v>
      </c>
      <c r="C189" s="98" t="s">
        <v>63</v>
      </c>
      <c r="D189" s="96" t="s">
        <v>85</v>
      </c>
      <c r="E189" s="130" t="s">
        <v>300</v>
      </c>
      <c r="F189" s="129" t="s">
        <v>301</v>
      </c>
      <c r="G189" s="99" t="s">
        <v>67</v>
      </c>
      <c r="H189" s="100" t="s">
        <v>303</v>
      </c>
      <c r="I189" s="23" t="e">
        <f>VLOOKUP(H189,'合同综合查询数据（3月返）'!$A:$A,1,FALSE)</f>
        <v>#N/A</v>
      </c>
      <c r="J189" s="99" t="s">
        <v>69</v>
      </c>
      <c r="K189" s="108" t="s">
        <v>401</v>
      </c>
      <c r="L189" s="109"/>
      <c r="M189" s="26"/>
      <c r="N189" s="28">
        <v>44677</v>
      </c>
      <c r="O189" s="109" t="s">
        <v>71</v>
      </c>
      <c r="P189" s="131">
        <v>600</v>
      </c>
      <c r="Q189" s="120">
        <v>1</v>
      </c>
      <c r="R189" s="120">
        <f t="shared" si="6"/>
        <v>600</v>
      </c>
      <c r="S189" s="117">
        <v>202303</v>
      </c>
      <c r="T189" s="121" t="s">
        <v>417</v>
      </c>
      <c r="U189" s="132"/>
      <c r="V189" s="133"/>
      <c r="W189" s="133"/>
      <c r="X189" s="118"/>
      <c r="Y189" s="118"/>
    </row>
    <row r="190" s="79" customFormat="1" customHeight="1" spans="1:25">
      <c r="A190" s="129" t="s">
        <v>61</v>
      </c>
      <c r="B190" s="96" t="s">
        <v>83</v>
      </c>
      <c r="C190" s="98" t="s">
        <v>63</v>
      </c>
      <c r="D190" s="96" t="s">
        <v>85</v>
      </c>
      <c r="E190" s="130" t="s">
        <v>300</v>
      </c>
      <c r="F190" s="129" t="s">
        <v>301</v>
      </c>
      <c r="G190" s="99" t="s">
        <v>67</v>
      </c>
      <c r="H190" s="100" t="s">
        <v>303</v>
      </c>
      <c r="I190" s="23" t="e">
        <f>VLOOKUP(H190,'合同综合查询数据（3月返）'!$A:$A,1,FALSE)</f>
        <v>#N/A</v>
      </c>
      <c r="J190" s="99" t="s">
        <v>69</v>
      </c>
      <c r="K190" s="108" t="s">
        <v>401</v>
      </c>
      <c r="L190" s="109"/>
      <c r="M190" s="26"/>
      <c r="N190" s="28">
        <v>44676</v>
      </c>
      <c r="O190" s="109" t="s">
        <v>71</v>
      </c>
      <c r="P190" s="131">
        <v>600</v>
      </c>
      <c r="Q190" s="120">
        <v>1</v>
      </c>
      <c r="R190" s="120">
        <f t="shared" si="6"/>
        <v>600</v>
      </c>
      <c r="S190" s="117">
        <v>202303</v>
      </c>
      <c r="T190" s="121" t="s">
        <v>418</v>
      </c>
      <c r="U190" s="132"/>
      <c r="V190" s="133"/>
      <c r="W190" s="133"/>
      <c r="X190" s="118"/>
      <c r="Y190" s="118"/>
    </row>
    <row r="191" s="79" customFormat="1" customHeight="1" spans="1:25">
      <c r="A191" s="129" t="s">
        <v>61</v>
      </c>
      <c r="B191" s="96" t="s">
        <v>83</v>
      </c>
      <c r="C191" s="98" t="s">
        <v>63</v>
      </c>
      <c r="D191" s="96" t="s">
        <v>85</v>
      </c>
      <c r="E191" s="130" t="s">
        <v>300</v>
      </c>
      <c r="F191" s="129" t="s">
        <v>301</v>
      </c>
      <c r="G191" s="99" t="s">
        <v>67</v>
      </c>
      <c r="H191" s="100" t="s">
        <v>303</v>
      </c>
      <c r="I191" s="23" t="e">
        <f>VLOOKUP(H191,'合同综合查询数据（3月返）'!$A:$A,1,FALSE)</f>
        <v>#N/A</v>
      </c>
      <c r="J191" s="99" t="s">
        <v>69</v>
      </c>
      <c r="K191" s="108" t="s">
        <v>403</v>
      </c>
      <c r="L191" s="109"/>
      <c r="M191" s="26"/>
      <c r="N191" s="28">
        <v>44764</v>
      </c>
      <c r="O191" s="109" t="s">
        <v>71</v>
      </c>
      <c r="P191" s="131">
        <v>600</v>
      </c>
      <c r="Q191" s="120">
        <v>1</v>
      </c>
      <c r="R191" s="120">
        <f t="shared" si="6"/>
        <v>600</v>
      </c>
      <c r="S191" s="117">
        <v>202303</v>
      </c>
      <c r="T191" s="121" t="s">
        <v>419</v>
      </c>
      <c r="U191" s="132"/>
      <c r="V191" s="133"/>
      <c r="W191" s="133"/>
      <c r="X191" s="118"/>
      <c r="Y191" s="118"/>
    </row>
    <row r="192" s="79" customFormat="1" customHeight="1" spans="1:25">
      <c r="A192" s="129" t="s">
        <v>61</v>
      </c>
      <c r="B192" s="96" t="s">
        <v>83</v>
      </c>
      <c r="C192" s="98" t="s">
        <v>63</v>
      </c>
      <c r="D192" s="96" t="s">
        <v>85</v>
      </c>
      <c r="E192" s="130" t="s">
        <v>300</v>
      </c>
      <c r="F192" s="129" t="s">
        <v>301</v>
      </c>
      <c r="G192" s="99" t="s">
        <v>67</v>
      </c>
      <c r="H192" s="100" t="s">
        <v>303</v>
      </c>
      <c r="I192" s="23" t="e">
        <f>VLOOKUP(H192,'合同综合查询数据（3月返）'!$A:$A,1,FALSE)</f>
        <v>#N/A</v>
      </c>
      <c r="J192" s="99" t="s">
        <v>69</v>
      </c>
      <c r="K192" s="108" t="s">
        <v>401</v>
      </c>
      <c r="L192" s="109"/>
      <c r="M192" s="26"/>
      <c r="N192" s="28">
        <v>44775</v>
      </c>
      <c r="O192" s="109" t="s">
        <v>71</v>
      </c>
      <c r="P192" s="131">
        <v>600</v>
      </c>
      <c r="Q192" s="120">
        <v>1</v>
      </c>
      <c r="R192" s="120">
        <f t="shared" si="6"/>
        <v>600</v>
      </c>
      <c r="S192" s="117">
        <v>202303</v>
      </c>
      <c r="T192" s="121" t="s">
        <v>420</v>
      </c>
      <c r="U192" s="132"/>
      <c r="V192" s="133"/>
      <c r="W192" s="133"/>
      <c r="X192" s="118"/>
      <c r="Y192" s="118"/>
    </row>
    <row r="193" s="79" customFormat="1" customHeight="1" spans="1:25">
      <c r="A193" s="129" t="s">
        <v>61</v>
      </c>
      <c r="B193" s="96" t="s">
        <v>83</v>
      </c>
      <c r="C193" s="98" t="s">
        <v>63</v>
      </c>
      <c r="D193" s="96" t="s">
        <v>85</v>
      </c>
      <c r="E193" s="130" t="s">
        <v>300</v>
      </c>
      <c r="F193" s="129" t="s">
        <v>301</v>
      </c>
      <c r="G193" s="99" t="s">
        <v>78</v>
      </c>
      <c r="H193" s="100" t="s">
        <v>303</v>
      </c>
      <c r="I193" s="23" t="e">
        <f>VLOOKUP(H193,'合同综合查询数据（3月返）'!$A:$A,1,FALSE)</f>
        <v>#N/A</v>
      </c>
      <c r="J193" s="99" t="s">
        <v>421</v>
      </c>
      <c r="K193" s="108" t="s">
        <v>63</v>
      </c>
      <c r="L193" s="109"/>
      <c r="M193" s="26"/>
      <c r="N193" s="28">
        <v>42819</v>
      </c>
      <c r="O193" s="109" t="s">
        <v>422</v>
      </c>
      <c r="P193" s="131">
        <v>1925</v>
      </c>
      <c r="Q193" s="131">
        <v>384</v>
      </c>
      <c r="R193" s="120">
        <f t="shared" si="6"/>
        <v>739200</v>
      </c>
      <c r="S193" s="117">
        <v>202303</v>
      </c>
      <c r="T193" s="121" t="s">
        <v>423</v>
      </c>
      <c r="U193" s="132"/>
      <c r="V193" s="133"/>
      <c r="W193" s="133"/>
      <c r="X193" s="118"/>
      <c r="Y193" s="118"/>
    </row>
    <row r="194" s="79" customFormat="1" customHeight="1" spans="1:25">
      <c r="A194" s="129" t="s">
        <v>61</v>
      </c>
      <c r="B194" s="96" t="s">
        <v>83</v>
      </c>
      <c r="C194" s="98" t="s">
        <v>63</v>
      </c>
      <c r="D194" s="96" t="s">
        <v>85</v>
      </c>
      <c r="E194" s="130" t="s">
        <v>300</v>
      </c>
      <c r="F194" s="129" t="s">
        <v>301</v>
      </c>
      <c r="G194" s="99" t="s">
        <v>78</v>
      </c>
      <c r="H194" s="100" t="s">
        <v>303</v>
      </c>
      <c r="I194" s="23" t="e">
        <f>VLOOKUP(H194,'合同综合查询数据（3月返）'!$A:$A,1,FALSE)</f>
        <v>#N/A</v>
      </c>
      <c r="J194" s="99" t="s">
        <v>424</v>
      </c>
      <c r="K194" s="108" t="s">
        <v>63</v>
      </c>
      <c r="L194" s="109"/>
      <c r="M194" s="26"/>
      <c r="N194" s="28">
        <v>42819</v>
      </c>
      <c r="O194" s="109" t="s">
        <v>424</v>
      </c>
      <c r="P194" s="131">
        <v>10</v>
      </c>
      <c r="Q194" s="131">
        <v>75</v>
      </c>
      <c r="R194" s="120">
        <v>22812.5</v>
      </c>
      <c r="S194" s="117">
        <v>202303</v>
      </c>
      <c r="T194" s="121" t="s">
        <v>425</v>
      </c>
      <c r="U194" s="132"/>
      <c r="V194" s="133"/>
      <c r="W194" s="133"/>
      <c r="X194" s="118"/>
      <c r="Y194" s="118"/>
    </row>
    <row r="195" s="81" customFormat="1" customHeight="1" spans="1:25">
      <c r="A195" s="135" t="s">
        <v>61</v>
      </c>
      <c r="B195" s="60" t="s">
        <v>83</v>
      </c>
      <c r="C195" s="61" t="s">
        <v>63</v>
      </c>
      <c r="D195" s="60" t="s">
        <v>85</v>
      </c>
      <c r="E195" s="136" t="s">
        <v>300</v>
      </c>
      <c r="F195" s="135" t="s">
        <v>301</v>
      </c>
      <c r="G195" s="66" t="s">
        <v>302</v>
      </c>
      <c r="H195" s="137" t="s">
        <v>426</v>
      </c>
      <c r="I195" s="47" t="e">
        <f>VLOOKUP(H195,'合同综合查询数据（3月返）'!$A:$A,1,FALSE)</f>
        <v>#N/A</v>
      </c>
      <c r="J195" s="66" t="s">
        <v>427</v>
      </c>
      <c r="K195" s="139" t="s">
        <v>63</v>
      </c>
      <c r="L195" s="138" t="s">
        <v>428</v>
      </c>
      <c r="M195" s="50"/>
      <c r="N195" s="51">
        <v>42817</v>
      </c>
      <c r="O195" s="138" t="s">
        <v>305</v>
      </c>
      <c r="P195" s="140">
        <v>68200</v>
      </c>
      <c r="Q195" s="68">
        <v>0</v>
      </c>
      <c r="R195" s="68">
        <f>ROUND(P195*Q195,2)</f>
        <v>0</v>
      </c>
      <c r="S195" s="70">
        <v>202303</v>
      </c>
      <c r="T195" s="72" t="s">
        <v>429</v>
      </c>
      <c r="U195" s="142"/>
      <c r="V195" s="143"/>
      <c r="W195" s="143"/>
      <c r="X195" s="73"/>
      <c r="Y195" s="73"/>
    </row>
    <row r="196" s="81" customFormat="1" customHeight="1" spans="1:25">
      <c r="A196" s="135" t="s">
        <v>61</v>
      </c>
      <c r="B196" s="60" t="s">
        <v>83</v>
      </c>
      <c r="C196" s="61" t="s">
        <v>63</v>
      </c>
      <c r="D196" s="60" t="s">
        <v>85</v>
      </c>
      <c r="E196" s="136" t="s">
        <v>300</v>
      </c>
      <c r="F196" s="135" t="s">
        <v>301</v>
      </c>
      <c r="G196" s="66" t="s">
        <v>302</v>
      </c>
      <c r="H196" s="137" t="s">
        <v>426</v>
      </c>
      <c r="I196" s="47" t="e">
        <f>VLOOKUP(H196,'合同综合查询数据（3月返）'!$A:$A,1,FALSE)</f>
        <v>#N/A</v>
      </c>
      <c r="J196" s="66" t="s">
        <v>430</v>
      </c>
      <c r="K196" s="139" t="s">
        <v>63</v>
      </c>
      <c r="L196" s="138"/>
      <c r="M196" s="50"/>
      <c r="N196" s="51" t="s">
        <v>431</v>
      </c>
      <c r="O196" s="138" t="s">
        <v>432</v>
      </c>
      <c r="P196" s="140">
        <v>2392</v>
      </c>
      <c r="Q196" s="68">
        <v>1</v>
      </c>
      <c r="R196" s="68">
        <v>0</v>
      </c>
      <c r="S196" s="70">
        <v>202303</v>
      </c>
      <c r="T196" s="72" t="s">
        <v>349</v>
      </c>
      <c r="U196" s="142"/>
      <c r="V196" s="143"/>
      <c r="W196" s="143"/>
      <c r="X196" s="73"/>
      <c r="Y196" s="73"/>
    </row>
    <row r="197" s="81" customFormat="1" customHeight="1" spans="1:25">
      <c r="A197" s="135" t="s">
        <v>61</v>
      </c>
      <c r="B197" s="60" t="s">
        <v>83</v>
      </c>
      <c r="C197" s="61" t="s">
        <v>63</v>
      </c>
      <c r="D197" s="60" t="s">
        <v>85</v>
      </c>
      <c r="E197" s="136" t="s">
        <v>300</v>
      </c>
      <c r="F197" s="135" t="s">
        <v>301</v>
      </c>
      <c r="G197" s="66" t="s">
        <v>302</v>
      </c>
      <c r="H197" s="137" t="s">
        <v>426</v>
      </c>
      <c r="I197" s="47" t="e">
        <f>VLOOKUP(H197,'合同综合查询数据（3月返）'!$A:$A,1,FALSE)</f>
        <v>#N/A</v>
      </c>
      <c r="J197" s="66" t="s">
        <v>433</v>
      </c>
      <c r="K197" s="139" t="s">
        <v>63</v>
      </c>
      <c r="L197" s="138"/>
      <c r="M197" s="50"/>
      <c r="N197" s="51" t="s">
        <v>434</v>
      </c>
      <c r="O197" s="138" t="s">
        <v>432</v>
      </c>
      <c r="P197" s="140">
        <v>2427</v>
      </c>
      <c r="Q197" s="68">
        <v>1</v>
      </c>
      <c r="R197" s="68">
        <v>0</v>
      </c>
      <c r="S197" s="70">
        <v>202303</v>
      </c>
      <c r="T197" s="72" t="s">
        <v>351</v>
      </c>
      <c r="U197" s="142"/>
      <c r="V197" s="143"/>
      <c r="W197" s="143"/>
      <c r="X197" s="73"/>
      <c r="Y197" s="73"/>
    </row>
    <row r="198" s="81" customFormat="1" customHeight="1" spans="1:25">
      <c r="A198" s="135" t="s">
        <v>61</v>
      </c>
      <c r="B198" s="60" t="s">
        <v>83</v>
      </c>
      <c r="C198" s="61" t="s">
        <v>63</v>
      </c>
      <c r="D198" s="60" t="s">
        <v>85</v>
      </c>
      <c r="E198" s="136" t="s">
        <v>300</v>
      </c>
      <c r="F198" s="135" t="s">
        <v>301</v>
      </c>
      <c r="G198" s="66" t="s">
        <v>302</v>
      </c>
      <c r="H198" s="137" t="s">
        <v>426</v>
      </c>
      <c r="I198" s="47" t="e">
        <f>VLOOKUP(H198,'合同综合查询数据（3月返）'!$A:$A,1,FALSE)</f>
        <v>#N/A</v>
      </c>
      <c r="J198" s="66" t="s">
        <v>435</v>
      </c>
      <c r="K198" s="139" t="s">
        <v>63</v>
      </c>
      <c r="L198" s="138"/>
      <c r="M198" s="50"/>
      <c r="N198" s="51">
        <v>42965</v>
      </c>
      <c r="O198" s="138" t="s">
        <v>308</v>
      </c>
      <c r="P198" s="140">
        <v>5850</v>
      </c>
      <c r="Q198" s="68">
        <v>1</v>
      </c>
      <c r="R198" s="68">
        <v>0</v>
      </c>
      <c r="S198" s="70">
        <v>202303</v>
      </c>
      <c r="T198" s="72" t="s">
        <v>353</v>
      </c>
      <c r="U198" s="142"/>
      <c r="V198" s="143"/>
      <c r="W198" s="143"/>
      <c r="X198" s="73"/>
      <c r="Y198" s="73"/>
    </row>
    <row r="199" s="81" customFormat="1" customHeight="1" spans="1:25">
      <c r="A199" s="135" t="s">
        <v>61</v>
      </c>
      <c r="B199" s="60" t="s">
        <v>83</v>
      </c>
      <c r="C199" s="61" t="s">
        <v>63</v>
      </c>
      <c r="D199" s="60" t="s">
        <v>85</v>
      </c>
      <c r="E199" s="136" t="s">
        <v>300</v>
      </c>
      <c r="F199" s="135" t="s">
        <v>301</v>
      </c>
      <c r="G199" s="66" t="s">
        <v>302</v>
      </c>
      <c r="H199" s="137" t="s">
        <v>426</v>
      </c>
      <c r="I199" s="47" t="e">
        <f>VLOOKUP(H199,'合同综合查询数据（3月返）'!$A:$A,1,FALSE)</f>
        <v>#N/A</v>
      </c>
      <c r="J199" s="66" t="s">
        <v>430</v>
      </c>
      <c r="K199" s="139" t="s">
        <v>63</v>
      </c>
      <c r="L199" s="138"/>
      <c r="M199" s="50"/>
      <c r="N199" s="51">
        <v>42934</v>
      </c>
      <c r="O199" s="138" t="s">
        <v>311</v>
      </c>
      <c r="P199" s="140">
        <v>3484</v>
      </c>
      <c r="Q199" s="68">
        <v>1</v>
      </c>
      <c r="R199" s="68">
        <v>0</v>
      </c>
      <c r="S199" s="70">
        <v>202303</v>
      </c>
      <c r="T199" s="72" t="s">
        <v>354</v>
      </c>
      <c r="U199" s="142"/>
      <c r="V199" s="143"/>
      <c r="W199" s="143"/>
      <c r="X199" s="73"/>
      <c r="Y199" s="73"/>
    </row>
    <row r="200" s="81" customFormat="1" customHeight="1" spans="1:25">
      <c r="A200" s="135" t="s">
        <v>61</v>
      </c>
      <c r="B200" s="60" t="s">
        <v>83</v>
      </c>
      <c r="C200" s="61" t="s">
        <v>63</v>
      </c>
      <c r="D200" s="60" t="s">
        <v>85</v>
      </c>
      <c r="E200" s="136" t="s">
        <v>300</v>
      </c>
      <c r="F200" s="135" t="s">
        <v>301</v>
      </c>
      <c r="G200" s="66" t="s">
        <v>302</v>
      </c>
      <c r="H200" s="137" t="s">
        <v>426</v>
      </c>
      <c r="I200" s="47" t="e">
        <f>VLOOKUP(H200,'合同综合查询数据（3月返）'!$A:$A,1,FALSE)</f>
        <v>#N/A</v>
      </c>
      <c r="J200" s="66" t="s">
        <v>430</v>
      </c>
      <c r="K200" s="139" t="s">
        <v>63</v>
      </c>
      <c r="L200" s="138"/>
      <c r="M200" s="50"/>
      <c r="N200" s="51">
        <v>42937</v>
      </c>
      <c r="O200" s="138" t="s">
        <v>311</v>
      </c>
      <c r="P200" s="140">
        <v>3484</v>
      </c>
      <c r="Q200" s="68">
        <v>1</v>
      </c>
      <c r="R200" s="68">
        <v>0</v>
      </c>
      <c r="S200" s="70">
        <v>202303</v>
      </c>
      <c r="T200" s="72" t="s">
        <v>355</v>
      </c>
      <c r="U200" s="142"/>
      <c r="V200" s="143"/>
      <c r="W200" s="143"/>
      <c r="X200" s="73"/>
      <c r="Y200" s="73"/>
    </row>
    <row r="201" s="81" customFormat="1" customHeight="1" spans="1:25">
      <c r="A201" s="135" t="s">
        <v>61</v>
      </c>
      <c r="B201" s="60" t="s">
        <v>83</v>
      </c>
      <c r="C201" s="61" t="s">
        <v>63</v>
      </c>
      <c r="D201" s="60" t="s">
        <v>85</v>
      </c>
      <c r="E201" s="136" t="s">
        <v>300</v>
      </c>
      <c r="F201" s="135" t="s">
        <v>301</v>
      </c>
      <c r="G201" s="66" t="s">
        <v>302</v>
      </c>
      <c r="H201" s="137" t="s">
        <v>426</v>
      </c>
      <c r="I201" s="47" t="e">
        <f>VLOOKUP(H201,'合同综合查询数据（3月返）'!$A:$A,1,FALSE)</f>
        <v>#N/A</v>
      </c>
      <c r="J201" s="66" t="s">
        <v>433</v>
      </c>
      <c r="K201" s="139" t="s">
        <v>63</v>
      </c>
      <c r="L201" s="138"/>
      <c r="M201" s="50"/>
      <c r="N201" s="51">
        <v>42937</v>
      </c>
      <c r="O201" s="138" t="s">
        <v>311</v>
      </c>
      <c r="P201" s="140">
        <v>3520</v>
      </c>
      <c r="Q201" s="68">
        <v>1</v>
      </c>
      <c r="R201" s="68">
        <v>0</v>
      </c>
      <c r="S201" s="70">
        <v>202303</v>
      </c>
      <c r="T201" s="72" t="s">
        <v>356</v>
      </c>
      <c r="U201" s="142"/>
      <c r="V201" s="143"/>
      <c r="W201" s="143"/>
      <c r="X201" s="73"/>
      <c r="Y201" s="73"/>
    </row>
    <row r="202" s="81" customFormat="1" customHeight="1" spans="1:25">
      <c r="A202" s="135" t="s">
        <v>61</v>
      </c>
      <c r="B202" s="60" t="s">
        <v>83</v>
      </c>
      <c r="C202" s="61" t="s">
        <v>63</v>
      </c>
      <c r="D202" s="60" t="s">
        <v>85</v>
      </c>
      <c r="E202" s="136" t="s">
        <v>300</v>
      </c>
      <c r="F202" s="135" t="s">
        <v>301</v>
      </c>
      <c r="G202" s="66" t="s">
        <v>302</v>
      </c>
      <c r="H202" s="137" t="s">
        <v>426</v>
      </c>
      <c r="I202" s="47" t="e">
        <f>VLOOKUP(H202,'合同综合查询数据（3月返）'!$A:$A,1,FALSE)</f>
        <v>#N/A</v>
      </c>
      <c r="J202" s="66" t="s">
        <v>430</v>
      </c>
      <c r="K202" s="139" t="s">
        <v>63</v>
      </c>
      <c r="L202" s="138"/>
      <c r="M202" s="50"/>
      <c r="N202" s="51">
        <v>43545</v>
      </c>
      <c r="O202" s="138" t="s">
        <v>311</v>
      </c>
      <c r="P202" s="140">
        <v>3484</v>
      </c>
      <c r="Q202" s="68">
        <v>1</v>
      </c>
      <c r="R202" s="68">
        <v>0</v>
      </c>
      <c r="S202" s="70">
        <v>202303</v>
      </c>
      <c r="T202" s="72" t="s">
        <v>359</v>
      </c>
      <c r="U202" s="142"/>
      <c r="V202" s="143"/>
      <c r="W202" s="143"/>
      <c r="X202" s="73"/>
      <c r="Y202" s="73"/>
    </row>
    <row r="203" s="81" customFormat="1" customHeight="1" spans="1:25">
      <c r="A203" s="135" t="s">
        <v>61</v>
      </c>
      <c r="B203" s="60" t="s">
        <v>83</v>
      </c>
      <c r="C203" s="61" t="s">
        <v>63</v>
      </c>
      <c r="D203" s="60" t="s">
        <v>85</v>
      </c>
      <c r="E203" s="136" t="s">
        <v>300</v>
      </c>
      <c r="F203" s="135" t="s">
        <v>301</v>
      </c>
      <c r="G203" s="66" t="s">
        <v>302</v>
      </c>
      <c r="H203" s="137" t="s">
        <v>426</v>
      </c>
      <c r="I203" s="47" t="e">
        <f>VLOOKUP(H203,'合同综合查询数据（3月返）'!$A:$A,1,FALSE)</f>
        <v>#N/A</v>
      </c>
      <c r="J203" s="66" t="s">
        <v>436</v>
      </c>
      <c r="K203" s="139" t="s">
        <v>63</v>
      </c>
      <c r="L203" s="138"/>
      <c r="M203" s="50"/>
      <c r="N203" s="51">
        <v>43006</v>
      </c>
      <c r="O203" s="138" t="s">
        <v>308</v>
      </c>
      <c r="P203" s="140">
        <v>5200</v>
      </c>
      <c r="Q203" s="68">
        <v>1</v>
      </c>
      <c r="R203" s="68">
        <v>0</v>
      </c>
      <c r="S203" s="70">
        <v>202303</v>
      </c>
      <c r="T203" s="72" t="s">
        <v>361</v>
      </c>
      <c r="U203" s="142"/>
      <c r="V203" s="143"/>
      <c r="W203" s="143"/>
      <c r="X203" s="73"/>
      <c r="Y203" s="73"/>
    </row>
    <row r="204" s="81" customFormat="1" customHeight="1" spans="1:25">
      <c r="A204" s="135" t="s">
        <v>61</v>
      </c>
      <c r="B204" s="60" t="s">
        <v>83</v>
      </c>
      <c r="C204" s="61" t="s">
        <v>63</v>
      </c>
      <c r="D204" s="60" t="s">
        <v>85</v>
      </c>
      <c r="E204" s="136" t="s">
        <v>300</v>
      </c>
      <c r="F204" s="135" t="s">
        <v>301</v>
      </c>
      <c r="G204" s="66" t="s">
        <v>302</v>
      </c>
      <c r="H204" s="137" t="s">
        <v>426</v>
      </c>
      <c r="I204" s="47" t="e">
        <f>VLOOKUP(H204,'合同综合查询数据（3月返）'!$A:$A,1,FALSE)</f>
        <v>#N/A</v>
      </c>
      <c r="J204" s="66" t="s">
        <v>437</v>
      </c>
      <c r="K204" s="139" t="s">
        <v>63</v>
      </c>
      <c r="L204" s="138"/>
      <c r="M204" s="50"/>
      <c r="N204" s="51">
        <v>43027</v>
      </c>
      <c r="O204" s="138" t="s">
        <v>308</v>
      </c>
      <c r="P204" s="140">
        <v>1040</v>
      </c>
      <c r="Q204" s="68">
        <v>1</v>
      </c>
      <c r="R204" s="68">
        <v>0</v>
      </c>
      <c r="S204" s="70">
        <v>202303</v>
      </c>
      <c r="T204" s="72" t="s">
        <v>438</v>
      </c>
      <c r="U204" s="142"/>
      <c r="V204" s="143"/>
      <c r="W204" s="143"/>
      <c r="X204" s="73"/>
      <c r="Y204" s="73"/>
    </row>
    <row r="205" s="81" customFormat="1" customHeight="1" spans="1:25">
      <c r="A205" s="135" t="s">
        <v>61</v>
      </c>
      <c r="B205" s="60" t="s">
        <v>83</v>
      </c>
      <c r="C205" s="61" t="s">
        <v>63</v>
      </c>
      <c r="D205" s="60" t="s">
        <v>85</v>
      </c>
      <c r="E205" s="136" t="s">
        <v>300</v>
      </c>
      <c r="F205" s="135" t="s">
        <v>301</v>
      </c>
      <c r="G205" s="66" t="s">
        <v>302</v>
      </c>
      <c r="H205" s="137" t="s">
        <v>426</v>
      </c>
      <c r="I205" s="47" t="e">
        <f>VLOOKUP(H205,'合同综合查询数据（3月返）'!$A:$A,1,FALSE)</f>
        <v>#N/A</v>
      </c>
      <c r="J205" s="66" t="s">
        <v>437</v>
      </c>
      <c r="K205" s="139" t="s">
        <v>63</v>
      </c>
      <c r="L205" s="138"/>
      <c r="M205" s="50"/>
      <c r="N205" s="51">
        <v>43027</v>
      </c>
      <c r="O205" s="138" t="s">
        <v>308</v>
      </c>
      <c r="P205" s="140">
        <v>1040</v>
      </c>
      <c r="Q205" s="68">
        <v>1</v>
      </c>
      <c r="R205" s="68">
        <v>0</v>
      </c>
      <c r="S205" s="70">
        <v>202303</v>
      </c>
      <c r="T205" s="72" t="s">
        <v>366</v>
      </c>
      <c r="U205" s="142"/>
      <c r="V205" s="143"/>
      <c r="W205" s="143"/>
      <c r="X205" s="73"/>
      <c r="Y205" s="73"/>
    </row>
    <row r="206" s="81" customFormat="1" customHeight="1" spans="1:25">
      <c r="A206" s="135" t="s">
        <v>61</v>
      </c>
      <c r="B206" s="60" t="s">
        <v>83</v>
      </c>
      <c r="C206" s="61" t="s">
        <v>63</v>
      </c>
      <c r="D206" s="60" t="s">
        <v>85</v>
      </c>
      <c r="E206" s="136" t="s">
        <v>300</v>
      </c>
      <c r="F206" s="135" t="s">
        <v>301</v>
      </c>
      <c r="G206" s="66" t="s">
        <v>302</v>
      </c>
      <c r="H206" s="137" t="s">
        <v>426</v>
      </c>
      <c r="I206" s="47" t="e">
        <f>VLOOKUP(H206,'合同综合查询数据（3月返）'!$A:$A,1,FALSE)</f>
        <v>#N/A</v>
      </c>
      <c r="J206" s="66" t="s">
        <v>435</v>
      </c>
      <c r="K206" s="139" t="s">
        <v>63</v>
      </c>
      <c r="L206" s="138"/>
      <c r="M206" s="50"/>
      <c r="N206" s="51">
        <v>43073</v>
      </c>
      <c r="O206" s="138" t="s">
        <v>308</v>
      </c>
      <c r="P206" s="140">
        <v>5850</v>
      </c>
      <c r="Q206" s="68">
        <v>1</v>
      </c>
      <c r="R206" s="68">
        <v>0</v>
      </c>
      <c r="S206" s="70">
        <v>202303</v>
      </c>
      <c r="T206" s="72" t="s">
        <v>368</v>
      </c>
      <c r="U206" s="142"/>
      <c r="V206" s="143"/>
      <c r="W206" s="143"/>
      <c r="X206" s="73"/>
      <c r="Y206" s="73"/>
    </row>
    <row r="207" s="81" customFormat="1" customHeight="1" spans="1:25">
      <c r="A207" s="135" t="s">
        <v>61</v>
      </c>
      <c r="B207" s="60" t="s">
        <v>83</v>
      </c>
      <c r="C207" s="61" t="s">
        <v>63</v>
      </c>
      <c r="D207" s="60" t="s">
        <v>85</v>
      </c>
      <c r="E207" s="136" t="s">
        <v>300</v>
      </c>
      <c r="F207" s="135" t="s">
        <v>301</v>
      </c>
      <c r="G207" s="66" t="s">
        <v>302</v>
      </c>
      <c r="H207" s="137" t="s">
        <v>426</v>
      </c>
      <c r="I207" s="47" t="e">
        <f>VLOOKUP(H207,'合同综合查询数据（3月返）'!$A:$A,1,FALSE)</f>
        <v>#N/A</v>
      </c>
      <c r="J207" s="66" t="s">
        <v>439</v>
      </c>
      <c r="K207" s="139" t="s">
        <v>63</v>
      </c>
      <c r="L207" s="138"/>
      <c r="M207" s="50"/>
      <c r="N207" s="51">
        <v>43075</v>
      </c>
      <c r="O207" s="138" t="s">
        <v>440</v>
      </c>
      <c r="P207" s="140">
        <v>3120</v>
      </c>
      <c r="Q207" s="68">
        <v>1</v>
      </c>
      <c r="R207" s="68">
        <v>0</v>
      </c>
      <c r="S207" s="70">
        <v>202303</v>
      </c>
      <c r="T207" s="72" t="s">
        <v>371</v>
      </c>
      <c r="U207" s="142"/>
      <c r="V207" s="143"/>
      <c r="W207" s="143"/>
      <c r="X207" s="73"/>
      <c r="Y207" s="73"/>
    </row>
    <row r="208" s="81" customFormat="1" customHeight="1" spans="1:25">
      <c r="A208" s="135" t="s">
        <v>61</v>
      </c>
      <c r="B208" s="60" t="s">
        <v>83</v>
      </c>
      <c r="C208" s="61" t="s">
        <v>63</v>
      </c>
      <c r="D208" s="60" t="s">
        <v>85</v>
      </c>
      <c r="E208" s="136" t="s">
        <v>300</v>
      </c>
      <c r="F208" s="135" t="s">
        <v>301</v>
      </c>
      <c r="G208" s="66" t="s">
        <v>302</v>
      </c>
      <c r="H208" s="137" t="s">
        <v>426</v>
      </c>
      <c r="I208" s="47" t="e">
        <f>VLOOKUP(H208,'合同综合查询数据（3月返）'!$A:$A,1,FALSE)</f>
        <v>#N/A</v>
      </c>
      <c r="J208" s="66" t="s">
        <v>441</v>
      </c>
      <c r="K208" s="139" t="s">
        <v>63</v>
      </c>
      <c r="L208" s="138"/>
      <c r="M208" s="50"/>
      <c r="N208" s="51">
        <v>43117</v>
      </c>
      <c r="O208" s="138" t="s">
        <v>308</v>
      </c>
      <c r="P208" s="140">
        <v>1040</v>
      </c>
      <c r="Q208" s="68">
        <v>1</v>
      </c>
      <c r="R208" s="68">
        <v>0</v>
      </c>
      <c r="S208" s="70">
        <v>202303</v>
      </c>
      <c r="T208" s="72" t="s">
        <v>373</v>
      </c>
      <c r="U208" s="142"/>
      <c r="V208" s="143"/>
      <c r="W208" s="143"/>
      <c r="X208" s="73"/>
      <c r="Y208" s="73"/>
    </row>
    <row r="209" s="81" customFormat="1" customHeight="1" spans="1:25">
      <c r="A209" s="135" t="s">
        <v>61</v>
      </c>
      <c r="B209" s="60" t="s">
        <v>83</v>
      </c>
      <c r="C209" s="61" t="s">
        <v>63</v>
      </c>
      <c r="D209" s="60" t="s">
        <v>85</v>
      </c>
      <c r="E209" s="136" t="s">
        <v>300</v>
      </c>
      <c r="F209" s="135" t="s">
        <v>301</v>
      </c>
      <c r="G209" s="66" t="s">
        <v>302</v>
      </c>
      <c r="H209" s="137" t="s">
        <v>426</v>
      </c>
      <c r="I209" s="47" t="e">
        <f>VLOOKUP(H209,'合同综合查询数据（3月返）'!$A:$A,1,FALSE)</f>
        <v>#N/A</v>
      </c>
      <c r="J209" s="66" t="s">
        <v>442</v>
      </c>
      <c r="K209" s="139" t="s">
        <v>63</v>
      </c>
      <c r="L209" s="138"/>
      <c r="M209" s="50"/>
      <c r="N209" s="51">
        <v>43593</v>
      </c>
      <c r="O209" s="138" t="s">
        <v>440</v>
      </c>
      <c r="P209" s="140">
        <v>16965</v>
      </c>
      <c r="Q209" s="68">
        <v>1</v>
      </c>
      <c r="R209" s="68">
        <v>0</v>
      </c>
      <c r="S209" s="70">
        <v>202303</v>
      </c>
      <c r="T209" s="72" t="s">
        <v>378</v>
      </c>
      <c r="U209" s="142"/>
      <c r="V209" s="143"/>
      <c r="W209" s="143"/>
      <c r="X209" s="73"/>
      <c r="Y209" s="73"/>
    </row>
    <row r="210" s="81" customFormat="1" customHeight="1" spans="1:25">
      <c r="A210" s="135" t="s">
        <v>61</v>
      </c>
      <c r="B210" s="60" t="s">
        <v>83</v>
      </c>
      <c r="C210" s="61" t="s">
        <v>63</v>
      </c>
      <c r="D210" s="60" t="s">
        <v>85</v>
      </c>
      <c r="E210" s="136" t="s">
        <v>300</v>
      </c>
      <c r="F210" s="135" t="s">
        <v>301</v>
      </c>
      <c r="G210" s="66" t="s">
        <v>302</v>
      </c>
      <c r="H210" s="137" t="s">
        <v>426</v>
      </c>
      <c r="I210" s="47" t="e">
        <f>VLOOKUP(H210,'合同综合查询数据（3月返）'!$A:$A,1,FALSE)</f>
        <v>#N/A</v>
      </c>
      <c r="J210" s="66" t="s">
        <v>437</v>
      </c>
      <c r="K210" s="139" t="s">
        <v>63</v>
      </c>
      <c r="L210" s="138"/>
      <c r="M210" s="50"/>
      <c r="N210" s="51">
        <v>43200</v>
      </c>
      <c r="O210" s="138" t="s">
        <v>308</v>
      </c>
      <c r="P210" s="140">
        <v>1040</v>
      </c>
      <c r="Q210" s="68">
        <v>1</v>
      </c>
      <c r="R210" s="68">
        <v>0</v>
      </c>
      <c r="S210" s="70">
        <v>202303</v>
      </c>
      <c r="T210" s="72" t="s">
        <v>379</v>
      </c>
      <c r="U210" s="142"/>
      <c r="V210" s="143"/>
      <c r="W210" s="143"/>
      <c r="X210" s="73"/>
      <c r="Y210" s="73"/>
    </row>
    <row r="211" s="81" customFormat="1" customHeight="1" spans="1:25">
      <c r="A211" s="135" t="s">
        <v>61</v>
      </c>
      <c r="B211" s="60" t="s">
        <v>83</v>
      </c>
      <c r="C211" s="61" t="s">
        <v>63</v>
      </c>
      <c r="D211" s="60" t="s">
        <v>85</v>
      </c>
      <c r="E211" s="136" t="s">
        <v>300</v>
      </c>
      <c r="F211" s="135" t="s">
        <v>301</v>
      </c>
      <c r="G211" s="66" t="s">
        <v>302</v>
      </c>
      <c r="H211" s="137" t="s">
        <v>426</v>
      </c>
      <c r="I211" s="47" t="e">
        <f>VLOOKUP(H211,'合同综合查询数据（3月返）'!$A:$A,1,FALSE)</f>
        <v>#N/A</v>
      </c>
      <c r="J211" s="66" t="s">
        <v>441</v>
      </c>
      <c r="K211" s="139" t="s">
        <v>63</v>
      </c>
      <c r="L211" s="138"/>
      <c r="M211" s="50"/>
      <c r="N211" s="51">
        <v>43206</v>
      </c>
      <c r="O211" s="138" t="s">
        <v>308</v>
      </c>
      <c r="P211" s="140">
        <v>1040</v>
      </c>
      <c r="Q211" s="68">
        <v>1</v>
      </c>
      <c r="R211" s="68">
        <v>0</v>
      </c>
      <c r="S211" s="70">
        <v>202303</v>
      </c>
      <c r="T211" s="72" t="s">
        <v>381</v>
      </c>
      <c r="U211" s="142"/>
      <c r="V211" s="143"/>
      <c r="W211" s="143"/>
      <c r="X211" s="73"/>
      <c r="Y211" s="73"/>
    </row>
    <row r="212" s="81" customFormat="1" customHeight="1" spans="1:25">
      <c r="A212" s="135" t="s">
        <v>61</v>
      </c>
      <c r="B212" s="60" t="s">
        <v>83</v>
      </c>
      <c r="C212" s="61" t="s">
        <v>63</v>
      </c>
      <c r="D212" s="60" t="s">
        <v>85</v>
      </c>
      <c r="E212" s="136" t="s">
        <v>300</v>
      </c>
      <c r="F212" s="135" t="s">
        <v>301</v>
      </c>
      <c r="G212" s="66" t="s">
        <v>302</v>
      </c>
      <c r="H212" s="137" t="s">
        <v>426</v>
      </c>
      <c r="I212" s="47" t="e">
        <f>VLOOKUP(H212,'合同综合查询数据（3月返）'!$A:$A,1,FALSE)</f>
        <v>#N/A</v>
      </c>
      <c r="J212" s="66" t="s">
        <v>430</v>
      </c>
      <c r="K212" s="139" t="s">
        <v>63</v>
      </c>
      <c r="L212" s="138"/>
      <c r="M212" s="50"/>
      <c r="N212" s="51">
        <v>43238</v>
      </c>
      <c r="O212" s="138" t="s">
        <v>311</v>
      </c>
      <c r="P212" s="140">
        <v>3484</v>
      </c>
      <c r="Q212" s="68">
        <v>1</v>
      </c>
      <c r="R212" s="68">
        <v>0</v>
      </c>
      <c r="S212" s="70">
        <v>202303</v>
      </c>
      <c r="T212" s="72" t="s">
        <v>384</v>
      </c>
      <c r="U212" s="142"/>
      <c r="V212" s="143"/>
      <c r="W212" s="143"/>
      <c r="X212" s="73"/>
      <c r="Y212" s="73"/>
    </row>
    <row r="213" s="81" customFormat="1" customHeight="1" spans="1:25">
      <c r="A213" s="135" t="s">
        <v>61</v>
      </c>
      <c r="B213" s="60" t="s">
        <v>83</v>
      </c>
      <c r="C213" s="61" t="s">
        <v>63</v>
      </c>
      <c r="D213" s="60" t="s">
        <v>85</v>
      </c>
      <c r="E213" s="136" t="s">
        <v>300</v>
      </c>
      <c r="F213" s="135" t="s">
        <v>301</v>
      </c>
      <c r="G213" s="66" t="s">
        <v>302</v>
      </c>
      <c r="H213" s="137" t="s">
        <v>426</v>
      </c>
      <c r="I213" s="47" t="e">
        <f>VLOOKUP(H213,'合同综合查询数据（3月返）'!$A:$A,1,FALSE)</f>
        <v>#N/A</v>
      </c>
      <c r="J213" s="66" t="s">
        <v>441</v>
      </c>
      <c r="K213" s="139" t="s">
        <v>63</v>
      </c>
      <c r="L213" s="138"/>
      <c r="M213" s="50"/>
      <c r="N213" s="51">
        <v>43294</v>
      </c>
      <c r="O213" s="138" t="s">
        <v>308</v>
      </c>
      <c r="P213" s="140">
        <v>1040</v>
      </c>
      <c r="Q213" s="68">
        <v>1</v>
      </c>
      <c r="R213" s="68">
        <v>0</v>
      </c>
      <c r="S213" s="70">
        <v>202303</v>
      </c>
      <c r="T213" s="72" t="s">
        <v>386</v>
      </c>
      <c r="U213" s="142"/>
      <c r="V213" s="143"/>
      <c r="W213" s="143"/>
      <c r="X213" s="73"/>
      <c r="Y213" s="73"/>
    </row>
    <row r="214" s="81" customFormat="1" customHeight="1" spans="1:25">
      <c r="A214" s="135" t="s">
        <v>61</v>
      </c>
      <c r="B214" s="60" t="s">
        <v>83</v>
      </c>
      <c r="C214" s="61" t="s">
        <v>63</v>
      </c>
      <c r="D214" s="60" t="s">
        <v>85</v>
      </c>
      <c r="E214" s="136" t="s">
        <v>300</v>
      </c>
      <c r="F214" s="135" t="s">
        <v>301</v>
      </c>
      <c r="G214" s="66" t="s">
        <v>302</v>
      </c>
      <c r="H214" s="137" t="s">
        <v>426</v>
      </c>
      <c r="I214" s="47" t="e">
        <f>VLOOKUP(H214,'合同综合查询数据（3月返）'!$A:$A,1,FALSE)</f>
        <v>#N/A</v>
      </c>
      <c r="J214" s="66" t="s">
        <v>435</v>
      </c>
      <c r="K214" s="139" t="s">
        <v>63</v>
      </c>
      <c r="L214" s="138"/>
      <c r="M214" s="50"/>
      <c r="N214" s="51">
        <v>43150</v>
      </c>
      <c r="O214" s="138" t="s">
        <v>308</v>
      </c>
      <c r="P214" s="140">
        <v>5850</v>
      </c>
      <c r="Q214" s="68">
        <v>0</v>
      </c>
      <c r="R214" s="68">
        <f>ROUND(P214*Q214,2)</f>
        <v>0</v>
      </c>
      <c r="S214" s="70">
        <v>202303</v>
      </c>
      <c r="T214" s="72" t="s">
        <v>443</v>
      </c>
      <c r="U214" s="142"/>
      <c r="V214" s="143"/>
      <c r="W214" s="143"/>
      <c r="X214" s="73"/>
      <c r="Y214" s="73"/>
    </row>
    <row r="215" s="81" customFormat="1" customHeight="1" spans="1:25">
      <c r="A215" s="135" t="s">
        <v>61</v>
      </c>
      <c r="B215" s="60" t="s">
        <v>83</v>
      </c>
      <c r="C215" s="61" t="s">
        <v>63</v>
      </c>
      <c r="D215" s="60" t="s">
        <v>85</v>
      </c>
      <c r="E215" s="136" t="s">
        <v>300</v>
      </c>
      <c r="F215" s="135" t="s">
        <v>301</v>
      </c>
      <c r="G215" s="66" t="s">
        <v>302</v>
      </c>
      <c r="H215" s="137" t="s">
        <v>426</v>
      </c>
      <c r="I215" s="47" t="e">
        <f>VLOOKUP(H215,'合同综合查询数据（3月返）'!$A:$A,1,FALSE)</f>
        <v>#N/A</v>
      </c>
      <c r="J215" s="66" t="s">
        <v>437</v>
      </c>
      <c r="K215" s="139" t="s">
        <v>63</v>
      </c>
      <c r="L215" s="138"/>
      <c r="M215" s="50"/>
      <c r="N215" s="51">
        <v>43353</v>
      </c>
      <c r="O215" s="138" t="s">
        <v>308</v>
      </c>
      <c r="P215" s="140">
        <v>1040</v>
      </c>
      <c r="Q215" s="68">
        <v>1</v>
      </c>
      <c r="R215" s="68">
        <v>0</v>
      </c>
      <c r="S215" s="70">
        <v>202303</v>
      </c>
      <c r="T215" s="72" t="s">
        <v>387</v>
      </c>
      <c r="U215" s="142"/>
      <c r="V215" s="143"/>
      <c r="W215" s="143"/>
      <c r="X215" s="73"/>
      <c r="Y215" s="73"/>
    </row>
    <row r="216" s="81" customFormat="1" customHeight="1" spans="1:25">
      <c r="A216" s="135" t="s">
        <v>61</v>
      </c>
      <c r="B216" s="60" t="s">
        <v>83</v>
      </c>
      <c r="C216" s="61" t="s">
        <v>63</v>
      </c>
      <c r="D216" s="60" t="s">
        <v>85</v>
      </c>
      <c r="E216" s="136" t="s">
        <v>300</v>
      </c>
      <c r="F216" s="135" t="s">
        <v>301</v>
      </c>
      <c r="G216" s="66" t="s">
        <v>302</v>
      </c>
      <c r="H216" s="137" t="s">
        <v>426</v>
      </c>
      <c r="I216" s="47" t="e">
        <f>VLOOKUP(H216,'合同综合查询数据（3月返）'!$A:$A,1,FALSE)</f>
        <v>#N/A</v>
      </c>
      <c r="J216" s="66" t="s">
        <v>436</v>
      </c>
      <c r="K216" s="139" t="s">
        <v>63</v>
      </c>
      <c r="L216" s="138"/>
      <c r="M216" s="50"/>
      <c r="N216" s="51">
        <v>43397</v>
      </c>
      <c r="O216" s="138" t="s">
        <v>308</v>
      </c>
      <c r="P216" s="140">
        <v>5200</v>
      </c>
      <c r="Q216" s="68">
        <v>1</v>
      </c>
      <c r="R216" s="68">
        <v>0</v>
      </c>
      <c r="S216" s="70">
        <v>202303</v>
      </c>
      <c r="T216" s="72" t="s">
        <v>444</v>
      </c>
      <c r="U216" s="142"/>
      <c r="V216" s="143"/>
      <c r="W216" s="143"/>
      <c r="X216" s="73"/>
      <c r="Y216" s="73"/>
    </row>
    <row r="217" s="81" customFormat="1" customHeight="1" spans="1:25">
      <c r="A217" s="135" t="s">
        <v>61</v>
      </c>
      <c r="B217" s="60" t="s">
        <v>83</v>
      </c>
      <c r="C217" s="61" t="s">
        <v>63</v>
      </c>
      <c r="D217" s="60" t="s">
        <v>85</v>
      </c>
      <c r="E217" s="136" t="s">
        <v>300</v>
      </c>
      <c r="F217" s="135" t="s">
        <v>301</v>
      </c>
      <c r="G217" s="66" t="s">
        <v>302</v>
      </c>
      <c r="H217" s="137" t="s">
        <v>426</v>
      </c>
      <c r="I217" s="47" t="e">
        <f>VLOOKUP(H217,'合同综合查询数据（3月返）'!$A:$A,1,FALSE)</f>
        <v>#N/A</v>
      </c>
      <c r="J217" s="66" t="s">
        <v>436</v>
      </c>
      <c r="K217" s="139" t="s">
        <v>63</v>
      </c>
      <c r="L217" s="138"/>
      <c r="M217" s="50"/>
      <c r="N217" s="51">
        <v>43384</v>
      </c>
      <c r="O217" s="138" t="s">
        <v>308</v>
      </c>
      <c r="P217" s="140">
        <v>5200</v>
      </c>
      <c r="Q217" s="68">
        <v>1</v>
      </c>
      <c r="R217" s="68">
        <v>0</v>
      </c>
      <c r="S217" s="70">
        <v>202303</v>
      </c>
      <c r="T217" s="72" t="s">
        <v>388</v>
      </c>
      <c r="U217" s="142"/>
      <c r="V217" s="143"/>
      <c r="W217" s="143"/>
      <c r="X217" s="73"/>
      <c r="Y217" s="73"/>
    </row>
    <row r="218" s="81" customFormat="1" customHeight="1" spans="1:25">
      <c r="A218" s="135" t="s">
        <v>61</v>
      </c>
      <c r="B218" s="60" t="s">
        <v>83</v>
      </c>
      <c r="C218" s="61" t="s">
        <v>63</v>
      </c>
      <c r="D218" s="60" t="s">
        <v>85</v>
      </c>
      <c r="E218" s="136" t="s">
        <v>300</v>
      </c>
      <c r="F218" s="135" t="s">
        <v>301</v>
      </c>
      <c r="G218" s="66" t="s">
        <v>302</v>
      </c>
      <c r="H218" s="137" t="s">
        <v>426</v>
      </c>
      <c r="I218" s="47" t="e">
        <f>VLOOKUP(H218,'合同综合查询数据（3月返）'!$A:$A,1,FALSE)</f>
        <v>#N/A</v>
      </c>
      <c r="J218" s="66" t="s">
        <v>437</v>
      </c>
      <c r="K218" s="139" t="s">
        <v>63</v>
      </c>
      <c r="L218" s="138"/>
      <c r="M218" s="50"/>
      <c r="N218" s="51">
        <v>43371</v>
      </c>
      <c r="O218" s="138" t="s">
        <v>308</v>
      </c>
      <c r="P218" s="140">
        <v>1040</v>
      </c>
      <c r="Q218" s="68">
        <v>1</v>
      </c>
      <c r="R218" s="68">
        <v>0</v>
      </c>
      <c r="S218" s="70">
        <v>202303</v>
      </c>
      <c r="T218" s="72" t="s">
        <v>389</v>
      </c>
      <c r="U218" s="142"/>
      <c r="V218" s="143"/>
      <c r="W218" s="143"/>
      <c r="X218" s="73"/>
      <c r="Y218" s="73"/>
    </row>
    <row r="219" s="81" customFormat="1" customHeight="1" spans="1:25">
      <c r="A219" s="135" t="s">
        <v>61</v>
      </c>
      <c r="B219" s="60" t="s">
        <v>83</v>
      </c>
      <c r="C219" s="61" t="s">
        <v>63</v>
      </c>
      <c r="D219" s="60" t="s">
        <v>85</v>
      </c>
      <c r="E219" s="136" t="s">
        <v>300</v>
      </c>
      <c r="F219" s="135" t="s">
        <v>301</v>
      </c>
      <c r="G219" s="66" t="s">
        <v>302</v>
      </c>
      <c r="H219" s="137" t="s">
        <v>426</v>
      </c>
      <c r="I219" s="47" t="e">
        <f>VLOOKUP(H219,'合同综合查询数据（3月返）'!$A:$A,1,FALSE)</f>
        <v>#N/A</v>
      </c>
      <c r="J219" s="66" t="s">
        <v>445</v>
      </c>
      <c r="K219" s="139" t="s">
        <v>63</v>
      </c>
      <c r="L219" s="138"/>
      <c r="M219" s="50"/>
      <c r="N219" s="51">
        <v>43373</v>
      </c>
      <c r="O219" s="138" t="s">
        <v>446</v>
      </c>
      <c r="P219" s="140">
        <v>8424</v>
      </c>
      <c r="Q219" s="68">
        <v>1</v>
      </c>
      <c r="R219" s="68">
        <v>0</v>
      </c>
      <c r="S219" s="70">
        <v>202303</v>
      </c>
      <c r="T219" s="72" t="s">
        <v>391</v>
      </c>
      <c r="U219" s="142"/>
      <c r="V219" s="143"/>
      <c r="W219" s="143"/>
      <c r="X219" s="73"/>
      <c r="Y219" s="73"/>
    </row>
    <row r="220" s="81" customFormat="1" customHeight="1" spans="1:25">
      <c r="A220" s="135" t="s">
        <v>61</v>
      </c>
      <c r="B220" s="60" t="s">
        <v>83</v>
      </c>
      <c r="C220" s="61" t="s">
        <v>63</v>
      </c>
      <c r="D220" s="60" t="s">
        <v>85</v>
      </c>
      <c r="E220" s="136" t="s">
        <v>300</v>
      </c>
      <c r="F220" s="135" t="s">
        <v>301</v>
      </c>
      <c r="G220" s="66" t="s">
        <v>302</v>
      </c>
      <c r="H220" s="137" t="s">
        <v>426</v>
      </c>
      <c r="I220" s="47" t="e">
        <f>VLOOKUP(H220,'合同综合查询数据（3月返）'!$A:$A,1,FALSE)</f>
        <v>#N/A</v>
      </c>
      <c r="J220" s="66" t="s">
        <v>430</v>
      </c>
      <c r="K220" s="139" t="s">
        <v>63</v>
      </c>
      <c r="L220" s="138"/>
      <c r="M220" s="50"/>
      <c r="N220" s="51">
        <v>43511</v>
      </c>
      <c r="O220" s="138" t="s">
        <v>311</v>
      </c>
      <c r="P220" s="140">
        <v>3484</v>
      </c>
      <c r="Q220" s="68">
        <v>1</v>
      </c>
      <c r="R220" s="68">
        <v>0</v>
      </c>
      <c r="S220" s="70">
        <v>202303</v>
      </c>
      <c r="T220" s="72" t="s">
        <v>392</v>
      </c>
      <c r="U220" s="142"/>
      <c r="V220" s="143"/>
      <c r="W220" s="143"/>
      <c r="X220" s="73"/>
      <c r="Y220" s="73"/>
    </row>
    <row r="221" s="81" customFormat="1" customHeight="1" spans="1:25">
      <c r="A221" s="135" t="s">
        <v>61</v>
      </c>
      <c r="B221" s="60" t="s">
        <v>83</v>
      </c>
      <c r="C221" s="61" t="s">
        <v>63</v>
      </c>
      <c r="D221" s="60" t="s">
        <v>85</v>
      </c>
      <c r="E221" s="136" t="s">
        <v>300</v>
      </c>
      <c r="F221" s="135" t="s">
        <v>301</v>
      </c>
      <c r="G221" s="66" t="s">
        <v>302</v>
      </c>
      <c r="H221" s="137" t="s">
        <v>426</v>
      </c>
      <c r="I221" s="47" t="e">
        <f>VLOOKUP(H221,'合同综合查询数据（3月返）'!$A:$A,1,FALSE)</f>
        <v>#N/A</v>
      </c>
      <c r="J221" s="66" t="s">
        <v>445</v>
      </c>
      <c r="K221" s="139" t="s">
        <v>63</v>
      </c>
      <c r="L221" s="138"/>
      <c r="M221" s="50"/>
      <c r="N221" s="51">
        <v>43593</v>
      </c>
      <c r="O221" s="138" t="s">
        <v>446</v>
      </c>
      <c r="P221" s="140">
        <v>9555</v>
      </c>
      <c r="Q221" s="68">
        <v>1</v>
      </c>
      <c r="R221" s="68">
        <v>0</v>
      </c>
      <c r="S221" s="70">
        <v>202303</v>
      </c>
      <c r="T221" s="72" t="s">
        <v>393</v>
      </c>
      <c r="U221" s="142"/>
      <c r="V221" s="143"/>
      <c r="W221" s="143"/>
      <c r="X221" s="73"/>
      <c r="Y221" s="73"/>
    </row>
    <row r="222" s="81" customFormat="1" customHeight="1" spans="1:25">
      <c r="A222" s="135" t="s">
        <v>61</v>
      </c>
      <c r="B222" s="60" t="s">
        <v>83</v>
      </c>
      <c r="C222" s="61" t="s">
        <v>63</v>
      </c>
      <c r="D222" s="60" t="s">
        <v>85</v>
      </c>
      <c r="E222" s="136" t="s">
        <v>300</v>
      </c>
      <c r="F222" s="135" t="s">
        <v>301</v>
      </c>
      <c r="G222" s="66" t="s">
        <v>302</v>
      </c>
      <c r="H222" s="137" t="s">
        <v>426</v>
      </c>
      <c r="I222" s="47" t="e">
        <f>VLOOKUP(H222,'合同综合查询数据（3月返）'!$A:$A,1,FALSE)</f>
        <v>#N/A</v>
      </c>
      <c r="J222" s="66" t="s">
        <v>447</v>
      </c>
      <c r="K222" s="139" t="s">
        <v>63</v>
      </c>
      <c r="L222" s="138"/>
      <c r="M222" s="50"/>
      <c r="N222" s="51">
        <v>43608</v>
      </c>
      <c r="O222" s="138" t="s">
        <v>446</v>
      </c>
      <c r="P222" s="140">
        <v>8424</v>
      </c>
      <c r="Q222" s="68">
        <v>1</v>
      </c>
      <c r="R222" s="68">
        <v>0</v>
      </c>
      <c r="S222" s="70">
        <v>202303</v>
      </c>
      <c r="T222" s="72" t="s">
        <v>448</v>
      </c>
      <c r="U222" s="142"/>
      <c r="V222" s="143"/>
      <c r="W222" s="143"/>
      <c r="X222" s="73"/>
      <c r="Y222" s="73"/>
    </row>
    <row r="223" s="81" customFormat="1" customHeight="1" spans="1:25">
      <c r="A223" s="135" t="s">
        <v>61</v>
      </c>
      <c r="B223" s="60" t="s">
        <v>83</v>
      </c>
      <c r="C223" s="61" t="s">
        <v>63</v>
      </c>
      <c r="D223" s="60" t="s">
        <v>85</v>
      </c>
      <c r="E223" s="136" t="s">
        <v>300</v>
      </c>
      <c r="F223" s="135" t="s">
        <v>301</v>
      </c>
      <c r="G223" s="66" t="s">
        <v>302</v>
      </c>
      <c r="H223" s="137" t="s">
        <v>426</v>
      </c>
      <c r="I223" s="47" t="e">
        <f>VLOOKUP(H223,'合同综合查询数据（3月返）'!$A:$A,1,FALSE)</f>
        <v>#N/A</v>
      </c>
      <c r="J223" s="66" t="s">
        <v>441</v>
      </c>
      <c r="K223" s="139" t="s">
        <v>63</v>
      </c>
      <c r="L223" s="138"/>
      <c r="M223" s="50"/>
      <c r="N223" s="51">
        <v>43073</v>
      </c>
      <c r="O223" s="138" t="s">
        <v>308</v>
      </c>
      <c r="P223" s="140">
        <v>1040</v>
      </c>
      <c r="Q223" s="68">
        <v>1</v>
      </c>
      <c r="R223" s="68">
        <v>0</v>
      </c>
      <c r="S223" s="70">
        <v>202303</v>
      </c>
      <c r="T223" s="72" t="s">
        <v>449</v>
      </c>
      <c r="U223" s="142"/>
      <c r="V223" s="143"/>
      <c r="W223" s="143"/>
      <c r="X223" s="73"/>
      <c r="Y223" s="73"/>
    </row>
    <row r="224" s="81" customFormat="1" customHeight="1" spans="1:25">
      <c r="A224" s="135" t="s">
        <v>61</v>
      </c>
      <c r="B224" s="60" t="s">
        <v>83</v>
      </c>
      <c r="C224" s="61" t="s">
        <v>63</v>
      </c>
      <c r="D224" s="60" t="s">
        <v>85</v>
      </c>
      <c r="E224" s="136" t="s">
        <v>300</v>
      </c>
      <c r="F224" s="135" t="s">
        <v>301</v>
      </c>
      <c r="G224" s="66" t="s">
        <v>31</v>
      </c>
      <c r="H224" s="137" t="s">
        <v>450</v>
      </c>
      <c r="I224" s="47" t="e">
        <f>VLOOKUP(H224,'合同综合查询数据（3月返）'!$A:$A,1,FALSE)</f>
        <v>#N/A</v>
      </c>
      <c r="J224" s="66" t="s">
        <v>451</v>
      </c>
      <c r="K224" s="139" t="s">
        <v>63</v>
      </c>
      <c r="L224" s="138"/>
      <c r="M224" s="50"/>
      <c r="N224" s="51">
        <v>42817</v>
      </c>
      <c r="O224" s="138" t="s">
        <v>37</v>
      </c>
      <c r="P224" s="140">
        <v>40</v>
      </c>
      <c r="Q224" s="144">
        <v>0</v>
      </c>
      <c r="R224" s="68">
        <f>ROUND(P224*Q224,2)</f>
        <v>0</v>
      </c>
      <c r="S224" s="70">
        <v>202303</v>
      </c>
      <c r="T224" s="72"/>
      <c r="U224" s="142"/>
      <c r="V224" s="143"/>
      <c r="W224" s="143"/>
      <c r="X224" s="73"/>
      <c r="Y224" s="73"/>
    </row>
    <row r="225" s="81" customFormat="1" customHeight="1" spans="1:25">
      <c r="A225" s="135" t="s">
        <v>61</v>
      </c>
      <c r="B225" s="60" t="s">
        <v>83</v>
      </c>
      <c r="C225" s="61" t="s">
        <v>63</v>
      </c>
      <c r="D225" s="60" t="s">
        <v>85</v>
      </c>
      <c r="E225" s="136" t="s">
        <v>300</v>
      </c>
      <c r="F225" s="135" t="s">
        <v>301</v>
      </c>
      <c r="G225" s="66" t="s">
        <v>302</v>
      </c>
      <c r="H225" s="137" t="s">
        <v>450</v>
      </c>
      <c r="I225" s="47" t="e">
        <f>VLOOKUP(H225,'合同综合查询数据（3月返）'!$A:$A,1,FALSE)</f>
        <v>#N/A</v>
      </c>
      <c r="J225" s="66" t="s">
        <v>452</v>
      </c>
      <c r="K225" s="139" t="s">
        <v>63</v>
      </c>
      <c r="L225" s="138"/>
      <c r="M225" s="50"/>
      <c r="N225" s="51">
        <v>43034</v>
      </c>
      <c r="O225" s="138" t="s">
        <v>453</v>
      </c>
      <c r="P225" s="140">
        <v>18480</v>
      </c>
      <c r="Q225" s="68">
        <v>0</v>
      </c>
      <c r="R225" s="68">
        <f>ROUND(P225*Q225,2)</f>
        <v>0</v>
      </c>
      <c r="S225" s="70">
        <v>202303</v>
      </c>
      <c r="T225" s="72" t="s">
        <v>454</v>
      </c>
      <c r="U225" s="142"/>
      <c r="V225" s="143"/>
      <c r="W225" s="143"/>
      <c r="X225" s="73"/>
      <c r="Y225" s="73"/>
    </row>
    <row r="226" s="81" customFormat="1" customHeight="1" spans="1:25">
      <c r="A226" s="135" t="s">
        <v>61</v>
      </c>
      <c r="B226" s="60" t="s">
        <v>83</v>
      </c>
      <c r="C226" s="61" t="s">
        <v>63</v>
      </c>
      <c r="D226" s="60" t="s">
        <v>85</v>
      </c>
      <c r="E226" s="136" t="s">
        <v>300</v>
      </c>
      <c r="F226" s="135" t="s">
        <v>301</v>
      </c>
      <c r="G226" s="66" t="s">
        <v>302</v>
      </c>
      <c r="H226" s="137" t="s">
        <v>450</v>
      </c>
      <c r="I226" s="47" t="e">
        <f>VLOOKUP(H226,'合同综合查询数据（3月返）'!$A:$A,1,FALSE)</f>
        <v>#N/A</v>
      </c>
      <c r="J226" s="66" t="s">
        <v>433</v>
      </c>
      <c r="K226" s="139" t="s">
        <v>63</v>
      </c>
      <c r="L226" s="138"/>
      <c r="M226" s="50"/>
      <c r="N226" s="51">
        <v>42978</v>
      </c>
      <c r="O226" s="138" t="s">
        <v>311</v>
      </c>
      <c r="P226" s="140">
        <v>3520</v>
      </c>
      <c r="Q226" s="68">
        <v>1</v>
      </c>
      <c r="R226" s="68">
        <v>0</v>
      </c>
      <c r="S226" s="70">
        <v>202303</v>
      </c>
      <c r="T226" s="72" t="s">
        <v>358</v>
      </c>
      <c r="U226" s="142"/>
      <c r="V226" s="143"/>
      <c r="W226" s="143"/>
      <c r="X226" s="73"/>
      <c r="Y226" s="73"/>
    </row>
    <row r="227" s="81" customFormat="1" customHeight="1" spans="1:25">
      <c r="A227" s="62" t="s">
        <v>61</v>
      </c>
      <c r="B227" s="61" t="s">
        <v>83</v>
      </c>
      <c r="C227" s="62" t="s">
        <v>63</v>
      </c>
      <c r="D227" s="60" t="s">
        <v>85</v>
      </c>
      <c r="E227" s="44" t="s">
        <v>300</v>
      </c>
      <c r="F227" s="42" t="s">
        <v>301</v>
      </c>
      <c r="G227" s="138" t="s">
        <v>88</v>
      </c>
      <c r="H227" s="137" t="s">
        <v>455</v>
      </c>
      <c r="I227" s="47" t="e">
        <f>VLOOKUP(H227,'合同综合查询数据（3月返）'!$A:$A,1,FALSE)</f>
        <v>#N/A</v>
      </c>
      <c r="J227" s="65" t="s">
        <v>456</v>
      </c>
      <c r="K227" s="138" t="s">
        <v>63</v>
      </c>
      <c r="L227" s="138"/>
      <c r="M227" s="50" t="s">
        <v>313</v>
      </c>
      <c r="N227" s="51">
        <v>44774</v>
      </c>
      <c r="O227" s="138" t="s">
        <v>457</v>
      </c>
      <c r="P227" s="141">
        <v>6900</v>
      </c>
      <c r="Q227" s="141">
        <v>15</v>
      </c>
      <c r="R227" s="68">
        <f>ROUND(P227*Q227,2)</f>
        <v>103500</v>
      </c>
      <c r="S227" s="145">
        <v>202303</v>
      </c>
      <c r="T227" s="72" t="s">
        <v>458</v>
      </c>
      <c r="U227" s="139"/>
      <c r="V227" s="146"/>
      <c r="W227" s="146"/>
      <c r="X227" s="73"/>
      <c r="Y227" s="73"/>
    </row>
    <row r="228" s="81" customFormat="1" customHeight="1" spans="1:25">
      <c r="A228" s="62" t="s">
        <v>61</v>
      </c>
      <c r="B228" s="61" t="s">
        <v>83</v>
      </c>
      <c r="C228" s="62" t="s">
        <v>63</v>
      </c>
      <c r="D228" s="60" t="s">
        <v>85</v>
      </c>
      <c r="E228" s="44" t="s">
        <v>300</v>
      </c>
      <c r="F228" s="42" t="s">
        <v>301</v>
      </c>
      <c r="G228" s="138" t="s">
        <v>88</v>
      </c>
      <c r="H228" s="137" t="s">
        <v>455</v>
      </c>
      <c r="I228" s="47" t="e">
        <f>VLOOKUP(H228,'合同综合查询数据（3月返）'!$A:$A,1,FALSE)</f>
        <v>#N/A</v>
      </c>
      <c r="J228" s="65" t="s">
        <v>456</v>
      </c>
      <c r="K228" s="138" t="s">
        <v>63</v>
      </c>
      <c r="L228" s="138"/>
      <c r="M228" s="50" t="s">
        <v>459</v>
      </c>
      <c r="N228" s="51">
        <v>44774</v>
      </c>
      <c r="O228" s="138" t="s">
        <v>457</v>
      </c>
      <c r="P228" s="141">
        <v>6900</v>
      </c>
      <c r="Q228" s="141">
        <v>4</v>
      </c>
      <c r="R228" s="68">
        <f>ROUND(P228*Q228,2)</f>
        <v>27600</v>
      </c>
      <c r="S228" s="145">
        <v>202303</v>
      </c>
      <c r="T228" s="72" t="s">
        <v>460</v>
      </c>
      <c r="U228" s="139"/>
      <c r="V228" s="146"/>
      <c r="W228" s="146"/>
      <c r="X228" s="73"/>
      <c r="Y228" s="73"/>
    </row>
    <row r="229" s="81" customFormat="1" customHeight="1" spans="1:25">
      <c r="A229" s="62" t="s">
        <v>61</v>
      </c>
      <c r="B229" s="61" t="s">
        <v>83</v>
      </c>
      <c r="C229" s="62" t="s">
        <v>63</v>
      </c>
      <c r="D229" s="60" t="s">
        <v>85</v>
      </c>
      <c r="E229" s="44" t="s">
        <v>300</v>
      </c>
      <c r="F229" s="42" t="s">
        <v>301</v>
      </c>
      <c r="G229" s="138" t="s">
        <v>88</v>
      </c>
      <c r="H229" s="137" t="s">
        <v>455</v>
      </c>
      <c r="I229" s="47" t="e">
        <f>VLOOKUP(H229,'合同综合查询数据（3月返）'!$A:$A,1,FALSE)</f>
        <v>#N/A</v>
      </c>
      <c r="J229" s="65" t="s">
        <v>456</v>
      </c>
      <c r="K229" s="138" t="s">
        <v>63</v>
      </c>
      <c r="L229" s="138"/>
      <c r="M229" s="50" t="s">
        <v>313</v>
      </c>
      <c r="N229" s="51">
        <v>44774</v>
      </c>
      <c r="O229" s="138" t="s">
        <v>461</v>
      </c>
      <c r="P229" s="141">
        <v>13000</v>
      </c>
      <c r="Q229" s="141">
        <v>6</v>
      </c>
      <c r="R229" s="68">
        <f>ROUND(P229*Q229,2)</f>
        <v>78000</v>
      </c>
      <c r="S229" s="145">
        <v>202303</v>
      </c>
      <c r="T229" s="72" t="s">
        <v>462</v>
      </c>
      <c r="U229" s="139"/>
      <c r="V229" s="146"/>
      <c r="W229" s="146"/>
      <c r="X229" s="73"/>
      <c r="Y229" s="73"/>
    </row>
    <row r="230" s="81" customFormat="1" customHeight="1" spans="1:25">
      <c r="A230" s="62" t="s">
        <v>61</v>
      </c>
      <c r="B230" s="61" t="s">
        <v>83</v>
      </c>
      <c r="C230" s="62" t="s">
        <v>63</v>
      </c>
      <c r="D230" s="60" t="s">
        <v>85</v>
      </c>
      <c r="E230" s="44" t="s">
        <v>300</v>
      </c>
      <c r="F230" s="42" t="s">
        <v>301</v>
      </c>
      <c r="G230" s="138" t="s">
        <v>88</v>
      </c>
      <c r="H230" s="137" t="s">
        <v>455</v>
      </c>
      <c r="I230" s="47" t="e">
        <f>VLOOKUP(H230,'合同综合查询数据（3月返）'!$A:$A,1,FALSE)</f>
        <v>#N/A</v>
      </c>
      <c r="J230" s="65" t="s">
        <v>456</v>
      </c>
      <c r="K230" s="138" t="s">
        <v>63</v>
      </c>
      <c r="L230" s="138"/>
      <c r="M230" s="50" t="s">
        <v>459</v>
      </c>
      <c r="N230" s="51">
        <v>44774</v>
      </c>
      <c r="O230" s="138" t="s">
        <v>461</v>
      </c>
      <c r="P230" s="141">
        <v>13000</v>
      </c>
      <c r="Q230" s="141">
        <v>2</v>
      </c>
      <c r="R230" s="68">
        <f>ROUND(P230*Q230,2)</f>
        <v>26000</v>
      </c>
      <c r="S230" s="145">
        <v>202303</v>
      </c>
      <c r="T230" s="72" t="s">
        <v>463</v>
      </c>
      <c r="U230" s="139"/>
      <c r="V230" s="146"/>
      <c r="W230" s="146"/>
      <c r="X230" s="73"/>
      <c r="Y230" s="73"/>
    </row>
    <row r="231" s="81" customFormat="1" customHeight="1" spans="1:25">
      <c r="A231" s="62" t="s">
        <v>61</v>
      </c>
      <c r="B231" s="61" t="s">
        <v>83</v>
      </c>
      <c r="C231" s="62" t="s">
        <v>63</v>
      </c>
      <c r="D231" s="60" t="s">
        <v>85</v>
      </c>
      <c r="E231" s="44" t="s">
        <v>300</v>
      </c>
      <c r="F231" s="42" t="s">
        <v>301</v>
      </c>
      <c r="G231" s="138" t="s">
        <v>88</v>
      </c>
      <c r="H231" s="137" t="s">
        <v>455</v>
      </c>
      <c r="I231" s="47" t="e">
        <f>VLOOKUP(H231,'合同综合查询数据（3月返）'!$A:$A,1,FALSE)</f>
        <v>#N/A</v>
      </c>
      <c r="J231" s="65" t="s">
        <v>456</v>
      </c>
      <c r="K231" s="138" t="s">
        <v>63</v>
      </c>
      <c r="L231" s="138"/>
      <c r="M231" s="50" t="s">
        <v>313</v>
      </c>
      <c r="N231" s="51">
        <v>44789</v>
      </c>
      <c r="O231" s="138" t="s">
        <v>457</v>
      </c>
      <c r="P231" s="141">
        <v>6900</v>
      </c>
      <c r="Q231" s="141">
        <v>-2</v>
      </c>
      <c r="R231" s="68">
        <f>ROUND(P231*Q231,2)</f>
        <v>-13800</v>
      </c>
      <c r="S231" s="145">
        <v>202303</v>
      </c>
      <c r="T231" s="72" t="s">
        <v>464</v>
      </c>
      <c r="U231" s="139"/>
      <c r="V231" s="146"/>
      <c r="W231" s="146"/>
      <c r="X231" s="73"/>
      <c r="Y231" s="73"/>
    </row>
    <row r="232" s="79" customFormat="1" customHeight="1" spans="1:25">
      <c r="A232" s="94" t="s">
        <v>61</v>
      </c>
      <c r="B232" s="96" t="s">
        <v>83</v>
      </c>
      <c r="C232" s="96" t="s">
        <v>63</v>
      </c>
      <c r="D232" s="96" t="s">
        <v>85</v>
      </c>
      <c r="E232" s="23" t="s">
        <v>465</v>
      </c>
      <c r="F232" s="94" t="s">
        <v>466</v>
      </c>
      <c r="G232" s="99" t="s">
        <v>88</v>
      </c>
      <c r="H232" s="100" t="s">
        <v>467</v>
      </c>
      <c r="I232" s="23" t="e">
        <f>VLOOKUP(H232,'合同综合查询数据（3月返）'!$A:$A,1,FALSE)</f>
        <v>#N/A</v>
      </c>
      <c r="J232" s="99" t="s">
        <v>90</v>
      </c>
      <c r="K232" s="108" t="s">
        <v>63</v>
      </c>
      <c r="L232" s="109"/>
      <c r="M232" s="26" t="s">
        <v>468</v>
      </c>
      <c r="N232" s="28">
        <v>43346</v>
      </c>
      <c r="O232" s="109" t="s">
        <v>469</v>
      </c>
      <c r="P232" s="110">
        <v>5195</v>
      </c>
      <c r="Q232" s="120">
        <v>24</v>
      </c>
      <c r="R232" s="120">
        <f t="shared" ref="R232:R238" si="7">P232*Q232</f>
        <v>124680</v>
      </c>
      <c r="S232" s="117">
        <v>202303</v>
      </c>
      <c r="T232" s="121"/>
      <c r="U232" s="121"/>
      <c r="V232" s="123"/>
      <c r="W232" s="123"/>
      <c r="X232" s="118">
        <v>43344</v>
      </c>
      <c r="Y232" s="118">
        <v>45169</v>
      </c>
    </row>
    <row r="233" s="79" customFormat="1" customHeight="1" spans="1:25">
      <c r="A233" s="94" t="s">
        <v>61</v>
      </c>
      <c r="B233" s="96" t="s">
        <v>83</v>
      </c>
      <c r="C233" s="96" t="s">
        <v>63</v>
      </c>
      <c r="D233" s="96" t="s">
        <v>85</v>
      </c>
      <c r="E233" s="23" t="s">
        <v>465</v>
      </c>
      <c r="F233" s="94" t="s">
        <v>466</v>
      </c>
      <c r="G233" s="99" t="s">
        <v>88</v>
      </c>
      <c r="H233" s="100" t="s">
        <v>467</v>
      </c>
      <c r="I233" s="23" t="e">
        <f>VLOOKUP(H233,'合同综合查询数据（3月返）'!$A:$A,1,FALSE)</f>
        <v>#N/A</v>
      </c>
      <c r="J233" s="99" t="s">
        <v>90</v>
      </c>
      <c r="K233" s="108" t="s">
        <v>63</v>
      </c>
      <c r="L233" s="109"/>
      <c r="M233" s="26" t="s">
        <v>468</v>
      </c>
      <c r="N233" s="28">
        <v>43346</v>
      </c>
      <c r="O233" s="109" t="s">
        <v>457</v>
      </c>
      <c r="P233" s="110">
        <v>7422</v>
      </c>
      <c r="Q233" s="120">
        <v>6</v>
      </c>
      <c r="R233" s="120">
        <f t="shared" si="7"/>
        <v>44532</v>
      </c>
      <c r="S233" s="117">
        <v>202303</v>
      </c>
      <c r="T233" s="121"/>
      <c r="U233" s="121"/>
      <c r="V233" s="123"/>
      <c r="W233" s="123"/>
      <c r="X233" s="118">
        <v>43344</v>
      </c>
      <c r="Y233" s="118">
        <v>45169</v>
      </c>
    </row>
    <row r="234" s="79" customFormat="1" customHeight="1" spans="1:25">
      <c r="A234" s="94" t="s">
        <v>61</v>
      </c>
      <c r="B234" s="96" t="s">
        <v>83</v>
      </c>
      <c r="C234" s="96" t="s">
        <v>63</v>
      </c>
      <c r="D234" s="96" t="s">
        <v>85</v>
      </c>
      <c r="E234" s="23" t="s">
        <v>465</v>
      </c>
      <c r="F234" s="94" t="s">
        <v>466</v>
      </c>
      <c r="G234" s="99" t="s">
        <v>88</v>
      </c>
      <c r="H234" s="100" t="s">
        <v>467</v>
      </c>
      <c r="I234" s="23" t="e">
        <f>VLOOKUP(H234,'合同综合查询数据（3月返）'!$A:$A,1,FALSE)</f>
        <v>#N/A</v>
      </c>
      <c r="J234" s="99" t="s">
        <v>90</v>
      </c>
      <c r="K234" s="108" t="s">
        <v>63</v>
      </c>
      <c r="L234" s="109"/>
      <c r="M234" s="26" t="s">
        <v>468</v>
      </c>
      <c r="N234" s="28">
        <v>43346</v>
      </c>
      <c r="O234" s="109" t="s">
        <v>470</v>
      </c>
      <c r="P234" s="110">
        <v>11132</v>
      </c>
      <c r="Q234" s="120">
        <v>6</v>
      </c>
      <c r="R234" s="120">
        <f t="shared" si="7"/>
        <v>66792</v>
      </c>
      <c r="S234" s="117">
        <v>202303</v>
      </c>
      <c r="T234" s="121"/>
      <c r="U234" s="121"/>
      <c r="V234" s="123"/>
      <c r="W234" s="123"/>
      <c r="X234" s="118">
        <v>43344</v>
      </c>
      <c r="Y234" s="118">
        <v>45169</v>
      </c>
    </row>
    <row r="235" s="79" customFormat="1" customHeight="1" spans="1:25">
      <c r="A235" s="94" t="s">
        <v>61</v>
      </c>
      <c r="B235" s="96" t="s">
        <v>83</v>
      </c>
      <c r="C235" s="96" t="s">
        <v>63</v>
      </c>
      <c r="D235" s="96" t="s">
        <v>85</v>
      </c>
      <c r="E235" s="23" t="s">
        <v>465</v>
      </c>
      <c r="F235" s="94" t="s">
        <v>466</v>
      </c>
      <c r="G235" s="99" t="s">
        <v>88</v>
      </c>
      <c r="H235" s="100" t="s">
        <v>467</v>
      </c>
      <c r="I235" s="23" t="e">
        <f>VLOOKUP(H235,'合同综合查询数据（3月返）'!$A:$A,1,FALSE)</f>
        <v>#N/A</v>
      </c>
      <c r="J235" s="99" t="s">
        <v>90</v>
      </c>
      <c r="K235" s="108" t="s">
        <v>63</v>
      </c>
      <c r="L235" s="109"/>
      <c r="M235" s="26" t="s">
        <v>468</v>
      </c>
      <c r="N235" s="28">
        <v>43346</v>
      </c>
      <c r="O235" s="109" t="s">
        <v>461</v>
      </c>
      <c r="P235" s="110">
        <v>14842</v>
      </c>
      <c r="Q235" s="120">
        <v>2</v>
      </c>
      <c r="R235" s="120">
        <f t="shared" si="7"/>
        <v>29684</v>
      </c>
      <c r="S235" s="117">
        <v>202303</v>
      </c>
      <c r="T235" s="121"/>
      <c r="U235" s="121"/>
      <c r="V235" s="123"/>
      <c r="W235" s="123"/>
      <c r="X235" s="118">
        <v>43344</v>
      </c>
      <c r="Y235" s="118">
        <v>45169</v>
      </c>
    </row>
    <row r="236" s="79" customFormat="1" customHeight="1" spans="1:25">
      <c r="A236" s="94" t="s">
        <v>61</v>
      </c>
      <c r="B236" s="96" t="s">
        <v>83</v>
      </c>
      <c r="C236" s="96" t="s">
        <v>63</v>
      </c>
      <c r="D236" s="96" t="s">
        <v>85</v>
      </c>
      <c r="E236" s="23" t="s">
        <v>465</v>
      </c>
      <c r="F236" s="94" t="s">
        <v>466</v>
      </c>
      <c r="G236" s="99" t="s">
        <v>88</v>
      </c>
      <c r="H236" s="100" t="s">
        <v>467</v>
      </c>
      <c r="I236" s="23" t="e">
        <f>VLOOKUP(H236,'合同综合查询数据（3月返）'!$A:$A,1,FALSE)</f>
        <v>#N/A</v>
      </c>
      <c r="J236" s="99" t="s">
        <v>90</v>
      </c>
      <c r="K236" s="108" t="s">
        <v>63</v>
      </c>
      <c r="L236" s="109"/>
      <c r="M236" s="26" t="s">
        <v>468</v>
      </c>
      <c r="N236" s="28">
        <v>43689</v>
      </c>
      <c r="O236" s="109" t="s">
        <v>469</v>
      </c>
      <c r="P236" s="110">
        <v>5195</v>
      </c>
      <c r="Q236" s="120">
        <v>5</v>
      </c>
      <c r="R236" s="120">
        <f t="shared" si="7"/>
        <v>25975</v>
      </c>
      <c r="S236" s="117">
        <v>202303</v>
      </c>
      <c r="T236" s="121"/>
      <c r="U236" s="121"/>
      <c r="V236" s="123"/>
      <c r="W236" s="123"/>
      <c r="X236" s="118">
        <v>43344</v>
      </c>
      <c r="Y236" s="118">
        <v>45169</v>
      </c>
    </row>
    <row r="237" s="79" customFormat="1" customHeight="1" spans="1:25">
      <c r="A237" s="94" t="s">
        <v>61</v>
      </c>
      <c r="B237" s="96" t="s">
        <v>83</v>
      </c>
      <c r="C237" s="96" t="s">
        <v>63</v>
      </c>
      <c r="D237" s="96" t="s">
        <v>85</v>
      </c>
      <c r="E237" s="23" t="s">
        <v>465</v>
      </c>
      <c r="F237" s="94" t="s">
        <v>466</v>
      </c>
      <c r="G237" s="99" t="s">
        <v>88</v>
      </c>
      <c r="H237" s="100" t="s">
        <v>467</v>
      </c>
      <c r="I237" s="23" t="e">
        <f>VLOOKUP(H237,'合同综合查询数据（3月返）'!$A:$A,1,FALSE)</f>
        <v>#N/A</v>
      </c>
      <c r="J237" s="99" t="s">
        <v>90</v>
      </c>
      <c r="K237" s="108" t="s">
        <v>63</v>
      </c>
      <c r="L237" s="109"/>
      <c r="M237" s="26" t="s">
        <v>468</v>
      </c>
      <c r="N237" s="28">
        <v>43914</v>
      </c>
      <c r="O237" s="109" t="s">
        <v>469</v>
      </c>
      <c r="P237" s="110">
        <v>5195</v>
      </c>
      <c r="Q237" s="120">
        <v>10</v>
      </c>
      <c r="R237" s="120">
        <f t="shared" si="7"/>
        <v>51950</v>
      </c>
      <c r="S237" s="117">
        <v>202303</v>
      </c>
      <c r="T237" s="121"/>
      <c r="U237" s="121"/>
      <c r="V237" s="123"/>
      <c r="W237" s="123"/>
      <c r="X237" s="118">
        <v>43344</v>
      </c>
      <c r="Y237" s="118">
        <v>45169</v>
      </c>
    </row>
    <row r="238" s="79" customFormat="1" customHeight="1" spans="1:25">
      <c r="A238" s="94" t="s">
        <v>61</v>
      </c>
      <c r="B238" s="96" t="s">
        <v>83</v>
      </c>
      <c r="C238" s="96" t="s">
        <v>63</v>
      </c>
      <c r="D238" s="96" t="s">
        <v>85</v>
      </c>
      <c r="E238" s="23" t="s">
        <v>465</v>
      </c>
      <c r="F238" s="94" t="s">
        <v>466</v>
      </c>
      <c r="G238" s="99" t="s">
        <v>88</v>
      </c>
      <c r="H238" s="100" t="s">
        <v>467</v>
      </c>
      <c r="I238" s="23" t="e">
        <f>VLOOKUP(H238,'合同综合查询数据（3月返）'!$A:$A,1,FALSE)</f>
        <v>#N/A</v>
      </c>
      <c r="J238" s="99" t="s">
        <v>90</v>
      </c>
      <c r="K238" s="108" t="s">
        <v>63</v>
      </c>
      <c r="L238" s="109"/>
      <c r="M238" s="26" t="s">
        <v>468</v>
      </c>
      <c r="N238" s="28">
        <v>43938</v>
      </c>
      <c r="O238" s="109" t="s">
        <v>469</v>
      </c>
      <c r="P238" s="110">
        <v>5195</v>
      </c>
      <c r="Q238" s="120">
        <v>1</v>
      </c>
      <c r="R238" s="120">
        <f t="shared" si="7"/>
        <v>5195</v>
      </c>
      <c r="S238" s="117">
        <v>202303</v>
      </c>
      <c r="T238" s="121"/>
      <c r="U238" s="121"/>
      <c r="V238" s="123"/>
      <c r="W238" s="123"/>
      <c r="X238" s="118">
        <v>43344</v>
      </c>
      <c r="Y238" s="118">
        <v>45169</v>
      </c>
    </row>
    <row r="239" s="79" customFormat="1" customHeight="1" spans="1:25">
      <c r="A239" s="94" t="s">
        <v>61</v>
      </c>
      <c r="B239" s="96" t="s">
        <v>83</v>
      </c>
      <c r="C239" s="96" t="s">
        <v>63</v>
      </c>
      <c r="D239" s="96" t="s">
        <v>85</v>
      </c>
      <c r="E239" s="23" t="s">
        <v>465</v>
      </c>
      <c r="F239" s="94" t="s">
        <v>466</v>
      </c>
      <c r="G239" s="99" t="s">
        <v>88</v>
      </c>
      <c r="H239" s="100" t="s">
        <v>467</v>
      </c>
      <c r="I239" s="23" t="e">
        <f>VLOOKUP(H239,'合同综合查询数据（3月返）'!$A:$A,1,FALSE)</f>
        <v>#N/A</v>
      </c>
      <c r="J239" s="99" t="s">
        <v>90</v>
      </c>
      <c r="K239" s="108" t="s">
        <v>63</v>
      </c>
      <c r="L239" s="109"/>
      <c r="M239" s="26" t="s">
        <v>468</v>
      </c>
      <c r="N239" s="28">
        <v>44410</v>
      </c>
      <c r="O239" s="109" t="s">
        <v>469</v>
      </c>
      <c r="P239" s="110">
        <v>5195</v>
      </c>
      <c r="Q239" s="120">
        <v>3</v>
      </c>
      <c r="R239" s="120">
        <f>ROUND(P239*Q239,2)</f>
        <v>15585</v>
      </c>
      <c r="S239" s="117">
        <v>202303</v>
      </c>
      <c r="T239" s="121" t="s">
        <v>471</v>
      </c>
      <c r="U239" s="121"/>
      <c r="V239" s="123"/>
      <c r="W239" s="123"/>
      <c r="X239" s="118">
        <v>43344</v>
      </c>
      <c r="Y239" s="118">
        <v>45169</v>
      </c>
    </row>
    <row r="240" s="79" customFormat="1" customHeight="1" spans="1:25">
      <c r="A240" s="94" t="s">
        <v>61</v>
      </c>
      <c r="B240" s="96" t="s">
        <v>83</v>
      </c>
      <c r="C240" s="96" t="s">
        <v>63</v>
      </c>
      <c r="D240" s="96" t="s">
        <v>85</v>
      </c>
      <c r="E240" s="23" t="s">
        <v>465</v>
      </c>
      <c r="F240" s="94" t="s">
        <v>466</v>
      </c>
      <c r="G240" s="99" t="s">
        <v>88</v>
      </c>
      <c r="H240" s="100" t="s">
        <v>467</v>
      </c>
      <c r="I240" s="23" t="e">
        <f>VLOOKUP(H240,'合同综合查询数据（3月返）'!$A:$A,1,FALSE)</f>
        <v>#N/A</v>
      </c>
      <c r="J240" s="99" t="s">
        <v>90</v>
      </c>
      <c r="K240" s="108" t="s">
        <v>63</v>
      </c>
      <c r="L240" s="109"/>
      <c r="M240" s="26" t="s">
        <v>468</v>
      </c>
      <c r="N240" s="28">
        <v>44494</v>
      </c>
      <c r="O240" s="109" t="s">
        <v>469</v>
      </c>
      <c r="P240" s="110">
        <v>5195</v>
      </c>
      <c r="Q240" s="120">
        <v>3</v>
      </c>
      <c r="R240" s="120">
        <f>ROUND(P240*Q240,2)</f>
        <v>15585</v>
      </c>
      <c r="S240" s="117">
        <v>202303</v>
      </c>
      <c r="T240" s="121" t="s">
        <v>472</v>
      </c>
      <c r="U240" s="121"/>
      <c r="V240" s="123"/>
      <c r="W240" s="123"/>
      <c r="X240" s="118">
        <v>43344</v>
      </c>
      <c r="Y240" s="118">
        <v>45169</v>
      </c>
    </row>
    <row r="241" s="79" customFormat="1" customHeight="1" spans="1:25">
      <c r="A241" s="94" t="s">
        <v>61</v>
      </c>
      <c r="B241" s="96" t="s">
        <v>83</v>
      </c>
      <c r="C241" s="96" t="s">
        <v>63</v>
      </c>
      <c r="D241" s="96" t="s">
        <v>85</v>
      </c>
      <c r="E241" s="23" t="s">
        <v>465</v>
      </c>
      <c r="F241" s="94" t="s">
        <v>466</v>
      </c>
      <c r="G241" s="99" t="s">
        <v>88</v>
      </c>
      <c r="H241" s="100" t="s">
        <v>467</v>
      </c>
      <c r="I241" s="23" t="e">
        <f>VLOOKUP(H241,'合同综合查询数据（3月返）'!$A:$A,1,FALSE)</f>
        <v>#N/A</v>
      </c>
      <c r="J241" s="99" t="s">
        <v>90</v>
      </c>
      <c r="K241" s="108" t="s">
        <v>63</v>
      </c>
      <c r="L241" s="109"/>
      <c r="M241" s="26" t="s">
        <v>468</v>
      </c>
      <c r="N241" s="28">
        <v>44537</v>
      </c>
      <c r="O241" s="109" t="s">
        <v>469</v>
      </c>
      <c r="P241" s="110">
        <v>5195</v>
      </c>
      <c r="Q241" s="120">
        <v>3</v>
      </c>
      <c r="R241" s="120">
        <f>ROUND(P241*Q241,2)</f>
        <v>15585</v>
      </c>
      <c r="S241" s="117">
        <v>202303</v>
      </c>
      <c r="T241" s="121" t="s">
        <v>473</v>
      </c>
      <c r="U241" s="121"/>
      <c r="V241" s="123"/>
      <c r="W241" s="123"/>
      <c r="X241" s="118">
        <v>43344</v>
      </c>
      <c r="Y241" s="118">
        <v>45169</v>
      </c>
    </row>
    <row r="242" s="79" customFormat="1" customHeight="1" spans="1:25">
      <c r="A242" s="94" t="s">
        <v>61</v>
      </c>
      <c r="B242" s="96" t="s">
        <v>83</v>
      </c>
      <c r="C242" s="96" t="s">
        <v>63</v>
      </c>
      <c r="D242" s="96" t="s">
        <v>85</v>
      </c>
      <c r="E242" s="23" t="s">
        <v>465</v>
      </c>
      <c r="F242" s="94" t="s">
        <v>466</v>
      </c>
      <c r="G242" s="99" t="s">
        <v>88</v>
      </c>
      <c r="H242" s="100" t="s">
        <v>467</v>
      </c>
      <c r="I242" s="23" t="e">
        <f>VLOOKUP(H242,'合同综合查询数据（3月返）'!$A:$A,1,FALSE)</f>
        <v>#N/A</v>
      </c>
      <c r="J242" s="99" t="s">
        <v>90</v>
      </c>
      <c r="K242" s="108" t="s">
        <v>63</v>
      </c>
      <c r="L242" s="109"/>
      <c r="M242" s="26" t="s">
        <v>468</v>
      </c>
      <c r="N242" s="28">
        <v>44861</v>
      </c>
      <c r="O242" s="109" t="s">
        <v>469</v>
      </c>
      <c r="P242" s="110">
        <v>5195</v>
      </c>
      <c r="Q242" s="120">
        <v>3</v>
      </c>
      <c r="R242" s="120">
        <f>ROUND(P242*Q242,2)</f>
        <v>15585</v>
      </c>
      <c r="S242" s="117">
        <v>202303</v>
      </c>
      <c r="T242" s="121" t="s">
        <v>474</v>
      </c>
      <c r="U242" s="121"/>
      <c r="V242" s="123"/>
      <c r="W242" s="123"/>
      <c r="X242" s="118">
        <v>43344</v>
      </c>
      <c r="Y242" s="118">
        <v>45169</v>
      </c>
    </row>
    <row r="243" s="79" customFormat="1" customHeight="1" spans="1:25">
      <c r="A243" s="94" t="s">
        <v>61</v>
      </c>
      <c r="B243" s="96" t="s">
        <v>83</v>
      </c>
      <c r="C243" s="96" t="s">
        <v>63</v>
      </c>
      <c r="D243" s="96" t="s">
        <v>85</v>
      </c>
      <c r="E243" s="23" t="s">
        <v>465</v>
      </c>
      <c r="F243" s="94" t="s">
        <v>466</v>
      </c>
      <c r="G243" s="99" t="s">
        <v>78</v>
      </c>
      <c r="H243" s="100" t="s">
        <v>467</v>
      </c>
      <c r="I243" s="23" t="e">
        <f>VLOOKUP(H243,'合同综合查询数据（3月返）'!$A:$A,1,FALSE)</f>
        <v>#N/A</v>
      </c>
      <c r="J243" s="99" t="s">
        <v>475</v>
      </c>
      <c r="K243" s="108" t="s">
        <v>63</v>
      </c>
      <c r="L243" s="109"/>
      <c r="M243" s="26"/>
      <c r="N243" s="28">
        <v>43556</v>
      </c>
      <c r="O243" s="109" t="s">
        <v>475</v>
      </c>
      <c r="P243" s="110">
        <v>1984</v>
      </c>
      <c r="Q243" s="120">
        <f>72-66</f>
        <v>6</v>
      </c>
      <c r="R243" s="120">
        <f>ROUND(P243*Q243,2)</f>
        <v>11904</v>
      </c>
      <c r="S243" s="117">
        <v>202303</v>
      </c>
      <c r="T243" s="121" t="s">
        <v>476</v>
      </c>
      <c r="U243" s="121"/>
      <c r="V243" s="123"/>
      <c r="W243" s="123"/>
      <c r="X243" s="118">
        <v>43344</v>
      </c>
      <c r="Y243" s="118">
        <v>45169</v>
      </c>
    </row>
    <row r="244" s="82" customFormat="1" customHeight="1" spans="1:25">
      <c r="A244" s="94" t="s">
        <v>61</v>
      </c>
      <c r="B244" s="96" t="s">
        <v>83</v>
      </c>
      <c r="C244" s="96" t="s">
        <v>63</v>
      </c>
      <c r="D244" s="96" t="s">
        <v>85</v>
      </c>
      <c r="E244" s="23" t="s">
        <v>465</v>
      </c>
      <c r="F244" s="94" t="s">
        <v>466</v>
      </c>
      <c r="G244" s="99" t="s">
        <v>78</v>
      </c>
      <c r="H244" s="100" t="s">
        <v>477</v>
      </c>
      <c r="I244" s="23" t="e">
        <f>VLOOKUP(H244,'合同综合查询数据（3月返）'!$A:$A,1,FALSE)</f>
        <v>#N/A</v>
      </c>
      <c r="J244" s="99" t="s">
        <v>478</v>
      </c>
      <c r="K244" s="108" t="s">
        <v>63</v>
      </c>
      <c r="L244" s="109"/>
      <c r="M244" s="26"/>
      <c r="N244" s="28">
        <v>43539</v>
      </c>
      <c r="O244" s="109"/>
      <c r="P244" s="110">
        <v>416</v>
      </c>
      <c r="Q244" s="120">
        <v>1</v>
      </c>
      <c r="R244" s="120">
        <f>P244*Q244</f>
        <v>416</v>
      </c>
      <c r="S244" s="117">
        <v>202303</v>
      </c>
      <c r="T244" s="121" t="s">
        <v>479</v>
      </c>
      <c r="U244" s="121"/>
      <c r="V244" s="123"/>
      <c r="W244" s="123"/>
      <c r="X244" s="118">
        <v>43539</v>
      </c>
      <c r="Y244" s="118">
        <v>45169</v>
      </c>
    </row>
    <row r="245" s="82" customFormat="1" customHeight="1" spans="1:25">
      <c r="A245" s="94" t="s">
        <v>61</v>
      </c>
      <c r="B245" s="96" t="s">
        <v>83</v>
      </c>
      <c r="C245" s="96" t="s">
        <v>63</v>
      </c>
      <c r="D245" s="96" t="s">
        <v>85</v>
      </c>
      <c r="E245" s="23" t="s">
        <v>465</v>
      </c>
      <c r="F245" s="94" t="s">
        <v>466</v>
      </c>
      <c r="G245" s="99" t="s">
        <v>78</v>
      </c>
      <c r="H245" s="100" t="s">
        <v>477</v>
      </c>
      <c r="I245" s="23" t="e">
        <f>VLOOKUP(H245,'合同综合查询数据（3月返）'!$A:$A,1,FALSE)</f>
        <v>#N/A</v>
      </c>
      <c r="J245" s="99" t="s">
        <v>478</v>
      </c>
      <c r="K245" s="108" t="s">
        <v>63</v>
      </c>
      <c r="L245" s="109"/>
      <c r="M245" s="26"/>
      <c r="N245" s="28">
        <v>43600</v>
      </c>
      <c r="O245" s="109"/>
      <c r="P245" s="110">
        <v>416</v>
      </c>
      <c r="Q245" s="120">
        <v>2</v>
      </c>
      <c r="R245" s="120">
        <f>P245*Q245</f>
        <v>832</v>
      </c>
      <c r="S245" s="117">
        <v>202303</v>
      </c>
      <c r="T245" s="121" t="s">
        <v>480</v>
      </c>
      <c r="U245" s="121"/>
      <c r="V245" s="123"/>
      <c r="W245" s="123"/>
      <c r="X245" s="118">
        <v>43539</v>
      </c>
      <c r="Y245" s="118">
        <v>45169</v>
      </c>
    </row>
    <row r="246" s="82" customFormat="1" customHeight="1" spans="1:25">
      <c r="A246" s="94" t="s">
        <v>61</v>
      </c>
      <c r="B246" s="96" t="s">
        <v>83</v>
      </c>
      <c r="C246" s="96" t="s">
        <v>63</v>
      </c>
      <c r="D246" s="96" t="s">
        <v>85</v>
      </c>
      <c r="E246" s="23" t="s">
        <v>465</v>
      </c>
      <c r="F246" s="94" t="s">
        <v>466</v>
      </c>
      <c r="G246" s="99" t="s">
        <v>78</v>
      </c>
      <c r="H246" s="100" t="s">
        <v>477</v>
      </c>
      <c r="I246" s="23" t="e">
        <f>VLOOKUP(H246,'合同综合查询数据（3月返）'!$A:$A,1,FALSE)</f>
        <v>#N/A</v>
      </c>
      <c r="J246" s="99" t="s">
        <v>478</v>
      </c>
      <c r="K246" s="108" t="s">
        <v>63</v>
      </c>
      <c r="L246" s="109"/>
      <c r="M246" s="26"/>
      <c r="N246" s="28">
        <v>43663</v>
      </c>
      <c r="O246" s="109"/>
      <c r="P246" s="110">
        <v>416</v>
      </c>
      <c r="Q246" s="120">
        <v>1</v>
      </c>
      <c r="R246" s="120">
        <f t="shared" ref="R246:R251" si="8">ROUND(P246*Q246,2)</f>
        <v>416</v>
      </c>
      <c r="S246" s="117">
        <v>202303</v>
      </c>
      <c r="T246" s="121" t="s">
        <v>481</v>
      </c>
      <c r="U246" s="121"/>
      <c r="V246" s="123"/>
      <c r="W246" s="123"/>
      <c r="X246" s="118">
        <v>43539</v>
      </c>
      <c r="Y246" s="118">
        <v>45169</v>
      </c>
    </row>
    <row r="247" s="82" customFormat="1" customHeight="1" spans="1:25">
      <c r="A247" s="94" t="s">
        <v>61</v>
      </c>
      <c r="B247" s="96" t="s">
        <v>83</v>
      </c>
      <c r="C247" s="96" t="s">
        <v>63</v>
      </c>
      <c r="D247" s="96" t="s">
        <v>85</v>
      </c>
      <c r="E247" s="23" t="s">
        <v>465</v>
      </c>
      <c r="F247" s="94" t="s">
        <v>466</v>
      </c>
      <c r="G247" s="99" t="s">
        <v>78</v>
      </c>
      <c r="H247" s="100" t="s">
        <v>477</v>
      </c>
      <c r="I247" s="23" t="e">
        <f>VLOOKUP(H247,'合同综合查询数据（3月返）'!$A:$A,1,FALSE)</f>
        <v>#N/A</v>
      </c>
      <c r="J247" s="99" t="s">
        <v>478</v>
      </c>
      <c r="K247" s="108" t="s">
        <v>63</v>
      </c>
      <c r="L247" s="109"/>
      <c r="M247" s="26"/>
      <c r="N247" s="28">
        <v>43704</v>
      </c>
      <c r="O247" s="109"/>
      <c r="P247" s="110">
        <v>416</v>
      </c>
      <c r="Q247" s="120">
        <v>4</v>
      </c>
      <c r="R247" s="120">
        <f t="shared" si="8"/>
        <v>1664</v>
      </c>
      <c r="S247" s="117">
        <v>202303</v>
      </c>
      <c r="T247" s="121" t="s">
        <v>482</v>
      </c>
      <c r="U247" s="121"/>
      <c r="V247" s="123"/>
      <c r="W247" s="123"/>
      <c r="X247" s="118">
        <v>43539</v>
      </c>
      <c r="Y247" s="118">
        <v>45169</v>
      </c>
    </row>
    <row r="248" s="82" customFormat="1" customHeight="1" spans="1:25">
      <c r="A248" s="94" t="s">
        <v>61</v>
      </c>
      <c r="B248" s="96" t="s">
        <v>83</v>
      </c>
      <c r="C248" s="96" t="s">
        <v>63</v>
      </c>
      <c r="D248" s="96" t="s">
        <v>85</v>
      </c>
      <c r="E248" s="23" t="s">
        <v>465</v>
      </c>
      <c r="F248" s="94" t="s">
        <v>466</v>
      </c>
      <c r="G248" s="99" t="s">
        <v>78</v>
      </c>
      <c r="H248" s="100" t="s">
        <v>477</v>
      </c>
      <c r="I248" s="23" t="e">
        <f>VLOOKUP(H248,'合同综合查询数据（3月返）'!$A:$A,1,FALSE)</f>
        <v>#N/A</v>
      </c>
      <c r="J248" s="99" t="s">
        <v>478</v>
      </c>
      <c r="K248" s="108" t="s">
        <v>63</v>
      </c>
      <c r="L248" s="109"/>
      <c r="M248" s="26"/>
      <c r="N248" s="28">
        <v>44651</v>
      </c>
      <c r="O248" s="109"/>
      <c r="P248" s="110">
        <v>416</v>
      </c>
      <c r="Q248" s="120">
        <v>-1</v>
      </c>
      <c r="R248" s="120">
        <f t="shared" si="8"/>
        <v>-416</v>
      </c>
      <c r="S248" s="117">
        <v>202303</v>
      </c>
      <c r="T248" s="121" t="s">
        <v>483</v>
      </c>
      <c r="U248" s="121"/>
      <c r="V248" s="123"/>
      <c r="W248" s="123"/>
      <c r="X248" s="118">
        <v>43539</v>
      </c>
      <c r="Y248" s="118">
        <v>45169</v>
      </c>
    </row>
    <row r="249" s="82" customFormat="1" customHeight="1" spans="1:25">
      <c r="A249" s="94" t="s">
        <v>61</v>
      </c>
      <c r="B249" s="96" t="s">
        <v>83</v>
      </c>
      <c r="C249" s="96" t="s">
        <v>63</v>
      </c>
      <c r="D249" s="96" t="s">
        <v>85</v>
      </c>
      <c r="E249" s="23" t="s">
        <v>465</v>
      </c>
      <c r="F249" s="94" t="s">
        <v>466</v>
      </c>
      <c r="G249" s="99" t="s">
        <v>78</v>
      </c>
      <c r="H249" s="100" t="s">
        <v>477</v>
      </c>
      <c r="I249" s="23" t="e">
        <f>VLOOKUP(H249,'合同综合查询数据（3月返）'!$A:$A,1,FALSE)</f>
        <v>#N/A</v>
      </c>
      <c r="J249" s="99" t="s">
        <v>478</v>
      </c>
      <c r="K249" s="108" t="s">
        <v>63</v>
      </c>
      <c r="L249" s="109"/>
      <c r="M249" s="26"/>
      <c r="N249" s="28">
        <v>43704</v>
      </c>
      <c r="O249" s="109"/>
      <c r="P249" s="110">
        <v>416</v>
      </c>
      <c r="Q249" s="120">
        <v>1</v>
      </c>
      <c r="R249" s="120">
        <f t="shared" si="8"/>
        <v>416</v>
      </c>
      <c r="S249" s="117">
        <v>202303</v>
      </c>
      <c r="T249" s="121" t="s">
        <v>484</v>
      </c>
      <c r="U249" s="121"/>
      <c r="V249" s="123"/>
      <c r="W249" s="123"/>
      <c r="X249" s="118">
        <v>43539</v>
      </c>
      <c r="Y249" s="118">
        <v>45169</v>
      </c>
    </row>
    <row r="250" s="82" customFormat="1" customHeight="1" spans="1:25">
      <c r="A250" s="94" t="s">
        <v>61</v>
      </c>
      <c r="B250" s="96" t="s">
        <v>83</v>
      </c>
      <c r="C250" s="96" t="s">
        <v>63</v>
      </c>
      <c r="D250" s="96" t="s">
        <v>85</v>
      </c>
      <c r="E250" s="23" t="s">
        <v>465</v>
      </c>
      <c r="F250" s="94" t="s">
        <v>466</v>
      </c>
      <c r="G250" s="99" t="s">
        <v>78</v>
      </c>
      <c r="H250" s="100" t="s">
        <v>477</v>
      </c>
      <c r="I250" s="23" t="e">
        <f>VLOOKUP(H250,'合同综合查询数据（3月返）'!$A:$A,1,FALSE)</f>
        <v>#N/A</v>
      </c>
      <c r="J250" s="99" t="s">
        <v>478</v>
      </c>
      <c r="K250" s="108" t="s">
        <v>63</v>
      </c>
      <c r="L250" s="109"/>
      <c r="M250" s="26"/>
      <c r="N250" s="28">
        <v>44135</v>
      </c>
      <c r="O250" s="109"/>
      <c r="P250" s="110">
        <v>416</v>
      </c>
      <c r="Q250" s="120">
        <v>-1</v>
      </c>
      <c r="R250" s="120">
        <f t="shared" si="8"/>
        <v>-416</v>
      </c>
      <c r="S250" s="117">
        <v>202303</v>
      </c>
      <c r="T250" s="121" t="s">
        <v>485</v>
      </c>
      <c r="U250" s="121"/>
      <c r="V250" s="123"/>
      <c r="W250" s="123"/>
      <c r="X250" s="118">
        <v>43539</v>
      </c>
      <c r="Y250" s="118">
        <v>45169</v>
      </c>
    </row>
    <row r="251" s="82" customFormat="1" customHeight="1" spans="1:25">
      <c r="A251" s="94" t="s">
        <v>61</v>
      </c>
      <c r="B251" s="96" t="s">
        <v>83</v>
      </c>
      <c r="C251" s="96" t="s">
        <v>63</v>
      </c>
      <c r="D251" s="96" t="s">
        <v>85</v>
      </c>
      <c r="E251" s="23" t="s">
        <v>465</v>
      </c>
      <c r="F251" s="94" t="s">
        <v>466</v>
      </c>
      <c r="G251" s="99" t="s">
        <v>78</v>
      </c>
      <c r="H251" s="100" t="s">
        <v>477</v>
      </c>
      <c r="I251" s="23" t="e">
        <f>VLOOKUP(H251,'合同综合查询数据（3月返）'!$A:$A,1,FALSE)</f>
        <v>#N/A</v>
      </c>
      <c r="J251" s="99" t="s">
        <v>478</v>
      </c>
      <c r="K251" s="108" t="s">
        <v>63</v>
      </c>
      <c r="L251" s="109"/>
      <c r="M251" s="26"/>
      <c r="N251" s="28">
        <v>43704</v>
      </c>
      <c r="O251" s="109"/>
      <c r="P251" s="110">
        <v>416</v>
      </c>
      <c r="Q251" s="120">
        <v>1</v>
      </c>
      <c r="R251" s="120">
        <f t="shared" si="8"/>
        <v>416</v>
      </c>
      <c r="S251" s="117">
        <v>202303</v>
      </c>
      <c r="T251" s="121" t="s">
        <v>486</v>
      </c>
      <c r="U251" s="121"/>
      <c r="V251" s="123"/>
      <c r="W251" s="123"/>
      <c r="X251" s="118">
        <v>43539</v>
      </c>
      <c r="Y251" s="118">
        <v>45169</v>
      </c>
    </row>
    <row r="252" s="82" customFormat="1" customHeight="1" spans="1:25">
      <c r="A252" s="94" t="s">
        <v>61</v>
      </c>
      <c r="B252" s="96" t="s">
        <v>83</v>
      </c>
      <c r="C252" s="96" t="s">
        <v>63</v>
      </c>
      <c r="D252" s="96" t="s">
        <v>85</v>
      </c>
      <c r="E252" s="23" t="s">
        <v>465</v>
      </c>
      <c r="F252" s="94" t="s">
        <v>466</v>
      </c>
      <c r="G252" s="99" t="s">
        <v>78</v>
      </c>
      <c r="H252" s="100" t="s">
        <v>477</v>
      </c>
      <c r="I252" s="23" t="e">
        <f>VLOOKUP(H252,'合同综合查询数据（3月返）'!$A:$A,1,FALSE)</f>
        <v>#N/A</v>
      </c>
      <c r="J252" s="99" t="s">
        <v>478</v>
      </c>
      <c r="K252" s="108" t="s">
        <v>63</v>
      </c>
      <c r="L252" s="109"/>
      <c r="M252" s="26"/>
      <c r="N252" s="28">
        <v>43726</v>
      </c>
      <c r="O252" s="109"/>
      <c r="P252" s="110">
        <v>416</v>
      </c>
      <c r="Q252" s="120">
        <v>1</v>
      </c>
      <c r="R252" s="120">
        <f t="shared" ref="R252:R259" si="9">P252*Q252</f>
        <v>416</v>
      </c>
      <c r="S252" s="117">
        <v>202303</v>
      </c>
      <c r="T252" s="121" t="s">
        <v>487</v>
      </c>
      <c r="U252" s="121"/>
      <c r="V252" s="123"/>
      <c r="W252" s="123"/>
      <c r="X252" s="118">
        <v>43539</v>
      </c>
      <c r="Y252" s="118">
        <v>45169</v>
      </c>
    </row>
    <row r="253" s="82" customFormat="1" customHeight="1" spans="1:25">
      <c r="A253" s="94" t="s">
        <v>61</v>
      </c>
      <c r="B253" s="96" t="s">
        <v>83</v>
      </c>
      <c r="C253" s="96" t="s">
        <v>63</v>
      </c>
      <c r="D253" s="96" t="s">
        <v>85</v>
      </c>
      <c r="E253" s="23" t="s">
        <v>465</v>
      </c>
      <c r="F253" s="94" t="s">
        <v>466</v>
      </c>
      <c r="G253" s="99" t="s">
        <v>78</v>
      </c>
      <c r="H253" s="100" t="s">
        <v>477</v>
      </c>
      <c r="I253" s="23" t="e">
        <f>VLOOKUP(H253,'合同综合查询数据（3月返）'!$A:$A,1,FALSE)</f>
        <v>#N/A</v>
      </c>
      <c r="J253" s="99" t="s">
        <v>478</v>
      </c>
      <c r="K253" s="108" t="s">
        <v>63</v>
      </c>
      <c r="L253" s="109"/>
      <c r="M253" s="26"/>
      <c r="N253" s="28">
        <v>43747</v>
      </c>
      <c r="O253" s="109"/>
      <c r="P253" s="110">
        <v>416</v>
      </c>
      <c r="Q253" s="120">
        <v>1</v>
      </c>
      <c r="R253" s="120">
        <f t="shared" si="9"/>
        <v>416</v>
      </c>
      <c r="S253" s="117">
        <v>202303</v>
      </c>
      <c r="T253" s="121" t="s">
        <v>488</v>
      </c>
      <c r="U253" s="121"/>
      <c r="V253" s="123"/>
      <c r="W253" s="123"/>
      <c r="X253" s="118">
        <v>43539</v>
      </c>
      <c r="Y253" s="118">
        <v>45169</v>
      </c>
    </row>
    <row r="254" s="82" customFormat="1" customHeight="1" spans="1:25">
      <c r="A254" s="94" t="s">
        <v>61</v>
      </c>
      <c r="B254" s="96" t="s">
        <v>83</v>
      </c>
      <c r="C254" s="96" t="s">
        <v>63</v>
      </c>
      <c r="D254" s="96" t="s">
        <v>85</v>
      </c>
      <c r="E254" s="23" t="s">
        <v>465</v>
      </c>
      <c r="F254" s="94" t="s">
        <v>466</v>
      </c>
      <c r="G254" s="99" t="s">
        <v>78</v>
      </c>
      <c r="H254" s="100" t="s">
        <v>477</v>
      </c>
      <c r="I254" s="23" t="e">
        <f>VLOOKUP(H254,'合同综合查询数据（3月返）'!$A:$A,1,FALSE)</f>
        <v>#N/A</v>
      </c>
      <c r="J254" s="99" t="s">
        <v>478</v>
      </c>
      <c r="K254" s="108" t="s">
        <v>63</v>
      </c>
      <c r="L254" s="109"/>
      <c r="M254" s="26"/>
      <c r="N254" s="28">
        <v>43748</v>
      </c>
      <c r="O254" s="109"/>
      <c r="P254" s="110">
        <v>416</v>
      </c>
      <c r="Q254" s="120">
        <v>1</v>
      </c>
      <c r="R254" s="120">
        <f t="shared" si="9"/>
        <v>416</v>
      </c>
      <c r="S254" s="117">
        <v>202303</v>
      </c>
      <c r="T254" s="121" t="s">
        <v>489</v>
      </c>
      <c r="U254" s="121"/>
      <c r="V254" s="123"/>
      <c r="W254" s="123"/>
      <c r="X254" s="118">
        <v>43539</v>
      </c>
      <c r="Y254" s="118">
        <v>45169</v>
      </c>
    </row>
    <row r="255" s="82" customFormat="1" customHeight="1" spans="1:25">
      <c r="A255" s="94" t="s">
        <v>61</v>
      </c>
      <c r="B255" s="96" t="s">
        <v>83</v>
      </c>
      <c r="C255" s="96" t="s">
        <v>63</v>
      </c>
      <c r="D255" s="96" t="s">
        <v>85</v>
      </c>
      <c r="E255" s="23" t="s">
        <v>465</v>
      </c>
      <c r="F255" s="94" t="s">
        <v>466</v>
      </c>
      <c r="G255" s="99" t="s">
        <v>78</v>
      </c>
      <c r="H255" s="100" t="s">
        <v>477</v>
      </c>
      <c r="I255" s="23" t="e">
        <f>VLOOKUP(H255,'合同综合查询数据（3月返）'!$A:$A,1,FALSE)</f>
        <v>#N/A</v>
      </c>
      <c r="J255" s="99" t="s">
        <v>478</v>
      </c>
      <c r="K255" s="108" t="s">
        <v>63</v>
      </c>
      <c r="L255" s="109"/>
      <c r="M255" s="26"/>
      <c r="N255" s="28">
        <v>43770</v>
      </c>
      <c r="O255" s="109"/>
      <c r="P255" s="110">
        <v>416</v>
      </c>
      <c r="Q255" s="120">
        <v>4</v>
      </c>
      <c r="R255" s="120">
        <f t="shared" si="9"/>
        <v>1664</v>
      </c>
      <c r="S255" s="117">
        <v>202303</v>
      </c>
      <c r="T255" s="121" t="s">
        <v>490</v>
      </c>
      <c r="U255" s="121"/>
      <c r="V255" s="123"/>
      <c r="W255" s="123"/>
      <c r="X255" s="118">
        <v>43539</v>
      </c>
      <c r="Y255" s="118">
        <v>45169</v>
      </c>
    </row>
    <row r="256" s="82" customFormat="1" customHeight="1" spans="1:25">
      <c r="A256" s="94" t="s">
        <v>61</v>
      </c>
      <c r="B256" s="96" t="s">
        <v>83</v>
      </c>
      <c r="C256" s="96" t="s">
        <v>63</v>
      </c>
      <c r="D256" s="96" t="s">
        <v>85</v>
      </c>
      <c r="E256" s="23" t="s">
        <v>465</v>
      </c>
      <c r="F256" s="94" t="s">
        <v>466</v>
      </c>
      <c r="G256" s="99" t="s">
        <v>78</v>
      </c>
      <c r="H256" s="100" t="s">
        <v>477</v>
      </c>
      <c r="I256" s="23" t="e">
        <f>VLOOKUP(H256,'合同综合查询数据（3月返）'!$A:$A,1,FALSE)</f>
        <v>#N/A</v>
      </c>
      <c r="J256" s="99" t="s">
        <v>478</v>
      </c>
      <c r="K256" s="108" t="s">
        <v>63</v>
      </c>
      <c r="L256" s="109"/>
      <c r="M256" s="26"/>
      <c r="N256" s="28">
        <v>44001</v>
      </c>
      <c r="O256" s="109"/>
      <c r="P256" s="110">
        <v>416</v>
      </c>
      <c r="Q256" s="120">
        <v>1</v>
      </c>
      <c r="R256" s="120">
        <f t="shared" si="9"/>
        <v>416</v>
      </c>
      <c r="S256" s="117">
        <v>202303</v>
      </c>
      <c r="T256" s="121" t="s">
        <v>491</v>
      </c>
      <c r="U256" s="121"/>
      <c r="V256" s="123"/>
      <c r="W256" s="123"/>
      <c r="X256" s="118">
        <v>43539</v>
      </c>
      <c r="Y256" s="118">
        <v>45169</v>
      </c>
    </row>
    <row r="257" s="82" customFormat="1" customHeight="1" spans="1:25">
      <c r="A257" s="94" t="s">
        <v>61</v>
      </c>
      <c r="B257" s="96" t="s">
        <v>83</v>
      </c>
      <c r="C257" s="96" t="s">
        <v>63</v>
      </c>
      <c r="D257" s="96" t="s">
        <v>85</v>
      </c>
      <c r="E257" s="23" t="s">
        <v>465</v>
      </c>
      <c r="F257" s="94" t="s">
        <v>466</v>
      </c>
      <c r="G257" s="99" t="s">
        <v>78</v>
      </c>
      <c r="H257" s="100" t="s">
        <v>477</v>
      </c>
      <c r="I257" s="23" t="e">
        <f>VLOOKUP(H257,'合同综合查询数据（3月返）'!$A:$A,1,FALSE)</f>
        <v>#N/A</v>
      </c>
      <c r="J257" s="99" t="s">
        <v>478</v>
      </c>
      <c r="K257" s="108" t="s">
        <v>63</v>
      </c>
      <c r="L257" s="109"/>
      <c r="M257" s="26"/>
      <c r="N257" s="28">
        <v>44069</v>
      </c>
      <c r="O257" s="109"/>
      <c r="P257" s="110">
        <v>416</v>
      </c>
      <c r="Q257" s="120">
        <v>2</v>
      </c>
      <c r="R257" s="120">
        <f t="shared" si="9"/>
        <v>832</v>
      </c>
      <c r="S257" s="117">
        <v>202303</v>
      </c>
      <c r="T257" s="121" t="s">
        <v>492</v>
      </c>
      <c r="U257" s="121"/>
      <c r="V257" s="123"/>
      <c r="W257" s="123"/>
      <c r="X257" s="118">
        <v>43539</v>
      </c>
      <c r="Y257" s="118">
        <v>45169</v>
      </c>
    </row>
    <row r="258" s="82" customFormat="1" customHeight="1" spans="1:25">
      <c r="A258" s="94" t="s">
        <v>61</v>
      </c>
      <c r="B258" s="96" t="s">
        <v>83</v>
      </c>
      <c r="C258" s="96" t="s">
        <v>63</v>
      </c>
      <c r="D258" s="96" t="s">
        <v>85</v>
      </c>
      <c r="E258" s="23" t="s">
        <v>465</v>
      </c>
      <c r="F258" s="94" t="s">
        <v>466</v>
      </c>
      <c r="G258" s="99" t="s">
        <v>78</v>
      </c>
      <c r="H258" s="100" t="s">
        <v>477</v>
      </c>
      <c r="I258" s="23" t="e">
        <f>VLOOKUP(H258,'合同综合查询数据（3月返）'!$A:$A,1,FALSE)</f>
        <v>#N/A</v>
      </c>
      <c r="J258" s="99" t="s">
        <v>478</v>
      </c>
      <c r="K258" s="108" t="s">
        <v>63</v>
      </c>
      <c r="L258" s="109"/>
      <c r="M258" s="26"/>
      <c r="N258" s="28">
        <v>44410</v>
      </c>
      <c r="O258" s="109"/>
      <c r="P258" s="110">
        <v>416</v>
      </c>
      <c r="Q258" s="120">
        <v>1</v>
      </c>
      <c r="R258" s="120">
        <f t="shared" si="9"/>
        <v>416</v>
      </c>
      <c r="S258" s="117">
        <v>202303</v>
      </c>
      <c r="T258" s="121" t="s">
        <v>493</v>
      </c>
      <c r="U258" s="121"/>
      <c r="V258" s="123"/>
      <c r="W258" s="123"/>
      <c r="X258" s="118">
        <v>43539</v>
      </c>
      <c r="Y258" s="118">
        <v>45169</v>
      </c>
    </row>
    <row r="259" s="82" customFormat="1" customHeight="1" spans="1:25">
      <c r="A259" s="94" t="s">
        <v>61</v>
      </c>
      <c r="B259" s="96" t="s">
        <v>83</v>
      </c>
      <c r="C259" s="96" t="s">
        <v>63</v>
      </c>
      <c r="D259" s="96" t="s">
        <v>85</v>
      </c>
      <c r="E259" s="23" t="s">
        <v>465</v>
      </c>
      <c r="F259" s="94" t="s">
        <v>466</v>
      </c>
      <c r="G259" s="99" t="s">
        <v>78</v>
      </c>
      <c r="H259" s="100" t="s">
        <v>477</v>
      </c>
      <c r="I259" s="23" t="e">
        <f>VLOOKUP(H259,'合同综合查询数据（3月返）'!$A:$A,1,FALSE)</f>
        <v>#N/A</v>
      </c>
      <c r="J259" s="99" t="s">
        <v>478</v>
      </c>
      <c r="K259" s="108" t="s">
        <v>63</v>
      </c>
      <c r="L259" s="109"/>
      <c r="M259" s="26"/>
      <c r="N259" s="28">
        <v>44682</v>
      </c>
      <c r="O259" s="109"/>
      <c r="P259" s="110">
        <v>416</v>
      </c>
      <c r="Q259" s="120">
        <v>1</v>
      </c>
      <c r="R259" s="120">
        <f t="shared" si="9"/>
        <v>416</v>
      </c>
      <c r="S259" s="117">
        <v>202303</v>
      </c>
      <c r="T259" s="121" t="s">
        <v>494</v>
      </c>
      <c r="U259" s="121"/>
      <c r="V259" s="123"/>
      <c r="W259" s="123"/>
      <c r="X259" s="118">
        <v>43539</v>
      </c>
      <c r="Y259" s="118">
        <v>45169</v>
      </c>
    </row>
    <row r="260" s="82" customFormat="1" customHeight="1" spans="1:25">
      <c r="A260" s="94" t="s">
        <v>61</v>
      </c>
      <c r="B260" s="96" t="s">
        <v>83</v>
      </c>
      <c r="C260" s="96" t="s">
        <v>63</v>
      </c>
      <c r="D260" s="96" t="s">
        <v>85</v>
      </c>
      <c r="E260" s="23" t="s">
        <v>465</v>
      </c>
      <c r="F260" s="94" t="s">
        <v>466</v>
      </c>
      <c r="G260" s="99" t="s">
        <v>78</v>
      </c>
      <c r="H260" s="100" t="s">
        <v>477</v>
      </c>
      <c r="I260" s="23" t="e">
        <f>VLOOKUP(H260,'合同综合查询数据（3月返）'!$A:$A,1,FALSE)</f>
        <v>#N/A</v>
      </c>
      <c r="J260" s="99" t="s">
        <v>478</v>
      </c>
      <c r="K260" s="108" t="s">
        <v>63</v>
      </c>
      <c r="L260" s="109"/>
      <c r="M260" s="26"/>
      <c r="N260" s="28">
        <v>44735</v>
      </c>
      <c r="O260" s="109"/>
      <c r="P260" s="110">
        <v>416</v>
      </c>
      <c r="Q260" s="120">
        <v>2</v>
      </c>
      <c r="R260" s="120">
        <f t="shared" ref="R260:R293" si="10">ROUND(P260*Q260,2)</f>
        <v>832</v>
      </c>
      <c r="S260" s="117">
        <v>202303</v>
      </c>
      <c r="T260" s="121" t="s">
        <v>495</v>
      </c>
      <c r="U260" s="121"/>
      <c r="V260" s="123"/>
      <c r="W260" s="123"/>
      <c r="X260" s="118">
        <v>43539</v>
      </c>
      <c r="Y260" s="118">
        <v>45169</v>
      </c>
    </row>
    <row r="261" s="82" customFormat="1" customHeight="1" spans="1:25">
      <c r="A261" s="94" t="s">
        <v>61</v>
      </c>
      <c r="B261" s="96" t="s">
        <v>83</v>
      </c>
      <c r="C261" s="96" t="s">
        <v>63</v>
      </c>
      <c r="D261" s="96" t="s">
        <v>85</v>
      </c>
      <c r="E261" s="23" t="s">
        <v>465</v>
      </c>
      <c r="F261" s="94" t="s">
        <v>466</v>
      </c>
      <c r="G261" s="99" t="s">
        <v>78</v>
      </c>
      <c r="H261" s="100" t="s">
        <v>477</v>
      </c>
      <c r="I261" s="23" t="e">
        <f>VLOOKUP(H261,'合同综合查询数据（3月返）'!$A:$A,1,FALSE)</f>
        <v>#N/A</v>
      </c>
      <c r="J261" s="99" t="s">
        <v>478</v>
      </c>
      <c r="K261" s="108" t="s">
        <v>63</v>
      </c>
      <c r="L261" s="109"/>
      <c r="M261" s="26"/>
      <c r="N261" s="28">
        <v>44763</v>
      </c>
      <c r="O261" s="109"/>
      <c r="P261" s="110">
        <v>416</v>
      </c>
      <c r="Q261" s="120">
        <v>1</v>
      </c>
      <c r="R261" s="120">
        <f t="shared" si="10"/>
        <v>416</v>
      </c>
      <c r="S261" s="117">
        <v>202303</v>
      </c>
      <c r="T261" s="121" t="s">
        <v>496</v>
      </c>
      <c r="U261" s="121"/>
      <c r="V261" s="123"/>
      <c r="W261" s="123"/>
      <c r="X261" s="118">
        <v>43539</v>
      </c>
      <c r="Y261" s="118">
        <v>45169</v>
      </c>
    </row>
    <row r="262" s="82" customFormat="1" customHeight="1" spans="1:25">
      <c r="A262" s="98" t="s">
        <v>61</v>
      </c>
      <c r="B262" s="98" t="s">
        <v>83</v>
      </c>
      <c r="C262" s="129" t="s">
        <v>63</v>
      </c>
      <c r="D262" s="96" t="s">
        <v>85</v>
      </c>
      <c r="E262" s="147" t="s">
        <v>465</v>
      </c>
      <c r="F262" s="98" t="s">
        <v>466</v>
      </c>
      <c r="G262" s="99" t="s">
        <v>78</v>
      </c>
      <c r="H262" s="19" t="s">
        <v>477</v>
      </c>
      <c r="I262" s="23" t="e">
        <f>VLOOKUP(H262,'合同综合查询数据（3月返）'!$A:$A,1,FALSE)</f>
        <v>#N/A</v>
      </c>
      <c r="J262" s="99" t="s">
        <v>478</v>
      </c>
      <c r="K262" s="98" t="s">
        <v>63</v>
      </c>
      <c r="L262" s="148"/>
      <c r="M262" s="26"/>
      <c r="N262" s="28">
        <v>44818</v>
      </c>
      <c r="O262" s="28"/>
      <c r="P262" s="110">
        <v>416</v>
      </c>
      <c r="Q262" s="131">
        <v>1</v>
      </c>
      <c r="R262" s="120">
        <f t="shared" si="10"/>
        <v>416</v>
      </c>
      <c r="S262" s="117">
        <v>202303</v>
      </c>
      <c r="T262" s="147" t="s">
        <v>497</v>
      </c>
      <c r="U262" s="147"/>
      <c r="V262" s="133"/>
      <c r="W262" s="133"/>
      <c r="X262" s="118">
        <v>43539</v>
      </c>
      <c r="Y262" s="118">
        <v>45169</v>
      </c>
    </row>
    <row r="263" s="79" customFormat="1" customHeight="1" spans="1:25">
      <c r="A263" s="129" t="s">
        <v>61</v>
      </c>
      <c r="B263" s="98" t="s">
        <v>62</v>
      </c>
      <c r="C263" s="98" t="s">
        <v>217</v>
      </c>
      <c r="D263" s="96" t="s">
        <v>64</v>
      </c>
      <c r="E263" s="130" t="s">
        <v>498</v>
      </c>
      <c r="F263" s="129" t="s">
        <v>499</v>
      </c>
      <c r="G263" s="99" t="s">
        <v>88</v>
      </c>
      <c r="H263" s="100" t="s">
        <v>500</v>
      </c>
      <c r="I263" s="23" t="e">
        <f>VLOOKUP(H263,'合同综合查询数据（3月返）'!$A:$A,1,FALSE)</f>
        <v>#N/A</v>
      </c>
      <c r="J263" s="99" t="s">
        <v>90</v>
      </c>
      <c r="K263" s="108" t="s">
        <v>501</v>
      </c>
      <c r="L263" s="109"/>
      <c r="M263" s="26" t="s">
        <v>502</v>
      </c>
      <c r="N263" s="28" t="s">
        <v>503</v>
      </c>
      <c r="O263" s="109" t="s">
        <v>504</v>
      </c>
      <c r="P263" s="131">
        <v>27200</v>
      </c>
      <c r="Q263" s="131">
        <v>1</v>
      </c>
      <c r="R263" s="120">
        <f t="shared" si="10"/>
        <v>27200</v>
      </c>
      <c r="S263" s="117">
        <v>202303</v>
      </c>
      <c r="T263" s="121" t="s">
        <v>505</v>
      </c>
      <c r="U263" s="132"/>
      <c r="V263" s="133"/>
      <c r="W263" s="133"/>
      <c r="X263" s="118">
        <v>43739</v>
      </c>
      <c r="Y263" s="118">
        <v>45199</v>
      </c>
    </row>
    <row r="264" s="79" customFormat="1" customHeight="1" spans="1:25">
      <c r="A264" s="129" t="s">
        <v>61</v>
      </c>
      <c r="B264" s="98" t="s">
        <v>62</v>
      </c>
      <c r="C264" s="98" t="s">
        <v>217</v>
      </c>
      <c r="D264" s="96" t="s">
        <v>64</v>
      </c>
      <c r="E264" s="130" t="s">
        <v>498</v>
      </c>
      <c r="F264" s="129" t="s">
        <v>499</v>
      </c>
      <c r="G264" s="99" t="s">
        <v>88</v>
      </c>
      <c r="H264" s="100" t="s">
        <v>500</v>
      </c>
      <c r="I264" s="23" t="e">
        <f>VLOOKUP(H264,'合同综合查询数据（3月返）'!$A:$A,1,FALSE)</f>
        <v>#N/A</v>
      </c>
      <c r="J264" s="99" t="s">
        <v>90</v>
      </c>
      <c r="K264" s="108" t="s">
        <v>501</v>
      </c>
      <c r="L264" s="109"/>
      <c r="M264" s="26" t="s">
        <v>502</v>
      </c>
      <c r="N264" s="28">
        <v>43258</v>
      </c>
      <c r="O264" s="109" t="s">
        <v>506</v>
      </c>
      <c r="P264" s="131">
        <v>10200</v>
      </c>
      <c r="Q264" s="131">
        <v>2</v>
      </c>
      <c r="R264" s="120">
        <f t="shared" si="10"/>
        <v>20400</v>
      </c>
      <c r="S264" s="117">
        <v>202303</v>
      </c>
      <c r="T264" s="121" t="s">
        <v>507</v>
      </c>
      <c r="U264" s="132"/>
      <c r="V264" s="133"/>
      <c r="W264" s="133"/>
      <c r="X264" s="118">
        <v>43739</v>
      </c>
      <c r="Y264" s="118">
        <v>45199</v>
      </c>
    </row>
    <row r="265" s="79" customFormat="1" customHeight="1" spans="1:25">
      <c r="A265" s="129" t="s">
        <v>61</v>
      </c>
      <c r="B265" s="98" t="s">
        <v>62</v>
      </c>
      <c r="C265" s="98" t="s">
        <v>217</v>
      </c>
      <c r="D265" s="96" t="s">
        <v>64</v>
      </c>
      <c r="E265" s="130" t="s">
        <v>498</v>
      </c>
      <c r="F265" s="129" t="s">
        <v>499</v>
      </c>
      <c r="G265" s="99" t="s">
        <v>88</v>
      </c>
      <c r="H265" s="100" t="s">
        <v>500</v>
      </c>
      <c r="I265" s="23" t="e">
        <f>VLOOKUP(H265,'合同综合查询数据（3月返）'!$A:$A,1,FALSE)</f>
        <v>#N/A</v>
      </c>
      <c r="J265" s="99" t="s">
        <v>90</v>
      </c>
      <c r="K265" s="108" t="s">
        <v>501</v>
      </c>
      <c r="L265" s="109"/>
      <c r="M265" s="26" t="s">
        <v>502</v>
      </c>
      <c r="N265" s="28" t="s">
        <v>508</v>
      </c>
      <c r="O265" s="109" t="s">
        <v>509</v>
      </c>
      <c r="P265" s="131">
        <v>13600</v>
      </c>
      <c r="Q265" s="131">
        <v>2</v>
      </c>
      <c r="R265" s="120">
        <f t="shared" si="10"/>
        <v>27200</v>
      </c>
      <c r="S265" s="117">
        <v>202303</v>
      </c>
      <c r="T265" s="121" t="s">
        <v>510</v>
      </c>
      <c r="U265" s="132"/>
      <c r="V265" s="133"/>
      <c r="W265" s="133"/>
      <c r="X265" s="118">
        <v>43739</v>
      </c>
      <c r="Y265" s="118">
        <v>45199</v>
      </c>
    </row>
    <row r="266" s="79" customFormat="1" customHeight="1" spans="1:25">
      <c r="A266" s="129" t="s">
        <v>61</v>
      </c>
      <c r="B266" s="98" t="s">
        <v>62</v>
      </c>
      <c r="C266" s="98" t="s">
        <v>217</v>
      </c>
      <c r="D266" s="96" t="s">
        <v>64</v>
      </c>
      <c r="E266" s="130" t="s">
        <v>498</v>
      </c>
      <c r="F266" s="129" t="s">
        <v>499</v>
      </c>
      <c r="G266" s="99" t="s">
        <v>88</v>
      </c>
      <c r="H266" s="100" t="s">
        <v>500</v>
      </c>
      <c r="I266" s="23" t="e">
        <f>VLOOKUP(H266,'合同综合查询数据（3月返）'!$A:$A,1,FALSE)</f>
        <v>#N/A</v>
      </c>
      <c r="J266" s="99" t="s">
        <v>90</v>
      </c>
      <c r="K266" s="108" t="s">
        <v>501</v>
      </c>
      <c r="L266" s="109"/>
      <c r="M266" s="26" t="s">
        <v>502</v>
      </c>
      <c r="N266" s="28" t="s">
        <v>503</v>
      </c>
      <c r="O266" s="109" t="s">
        <v>92</v>
      </c>
      <c r="P266" s="131">
        <v>5100</v>
      </c>
      <c r="Q266" s="131">
        <v>1</v>
      </c>
      <c r="R266" s="120">
        <f t="shared" si="10"/>
        <v>5100</v>
      </c>
      <c r="S266" s="117">
        <v>202303</v>
      </c>
      <c r="T266" s="121"/>
      <c r="U266" s="132"/>
      <c r="V266" s="133"/>
      <c r="W266" s="133"/>
      <c r="X266" s="118">
        <v>43739</v>
      </c>
      <c r="Y266" s="118">
        <v>45199</v>
      </c>
    </row>
    <row r="267" s="79" customFormat="1" customHeight="1" spans="1:25">
      <c r="A267" s="129" t="s">
        <v>61</v>
      </c>
      <c r="B267" s="98" t="s">
        <v>62</v>
      </c>
      <c r="C267" s="98" t="s">
        <v>217</v>
      </c>
      <c r="D267" s="96" t="s">
        <v>64</v>
      </c>
      <c r="E267" s="130" t="s">
        <v>498</v>
      </c>
      <c r="F267" s="129" t="s">
        <v>499</v>
      </c>
      <c r="G267" s="99" t="s">
        <v>88</v>
      </c>
      <c r="H267" s="100" t="s">
        <v>500</v>
      </c>
      <c r="I267" s="23" t="e">
        <f>VLOOKUP(H267,'合同综合查询数据（3月返）'!$A:$A,1,FALSE)</f>
        <v>#N/A</v>
      </c>
      <c r="J267" s="99" t="s">
        <v>90</v>
      </c>
      <c r="K267" s="108" t="s">
        <v>501</v>
      </c>
      <c r="L267" s="109"/>
      <c r="M267" s="26" t="s">
        <v>502</v>
      </c>
      <c r="N267" s="28">
        <v>41991</v>
      </c>
      <c r="O267" s="109" t="s">
        <v>511</v>
      </c>
      <c r="P267" s="131">
        <v>15300</v>
      </c>
      <c r="Q267" s="131">
        <v>3</v>
      </c>
      <c r="R267" s="120">
        <f t="shared" si="10"/>
        <v>45900</v>
      </c>
      <c r="S267" s="117">
        <v>202303</v>
      </c>
      <c r="T267" s="121" t="s">
        <v>512</v>
      </c>
      <c r="U267" s="132"/>
      <c r="V267" s="133"/>
      <c r="W267" s="133"/>
      <c r="X267" s="118">
        <v>43739</v>
      </c>
      <c r="Y267" s="118">
        <v>45199</v>
      </c>
    </row>
    <row r="268" s="79" customFormat="1" customHeight="1" spans="1:25">
      <c r="A268" s="129" t="s">
        <v>61</v>
      </c>
      <c r="B268" s="98" t="s">
        <v>62</v>
      </c>
      <c r="C268" s="98" t="s">
        <v>217</v>
      </c>
      <c r="D268" s="96" t="s">
        <v>64</v>
      </c>
      <c r="E268" s="130" t="s">
        <v>498</v>
      </c>
      <c r="F268" s="129" t="s">
        <v>499</v>
      </c>
      <c r="G268" s="99" t="s">
        <v>88</v>
      </c>
      <c r="H268" s="100" t="s">
        <v>500</v>
      </c>
      <c r="I268" s="23" t="e">
        <f>VLOOKUP(H268,'合同综合查询数据（3月返）'!$A:$A,1,FALSE)</f>
        <v>#N/A</v>
      </c>
      <c r="J268" s="99" t="s">
        <v>90</v>
      </c>
      <c r="K268" s="108" t="s">
        <v>501</v>
      </c>
      <c r="L268" s="109"/>
      <c r="M268" s="26" t="s">
        <v>502</v>
      </c>
      <c r="N268" s="28">
        <v>41642</v>
      </c>
      <c r="O268" s="109" t="s">
        <v>513</v>
      </c>
      <c r="P268" s="131">
        <v>35700</v>
      </c>
      <c r="Q268" s="131">
        <v>2</v>
      </c>
      <c r="R268" s="120">
        <f t="shared" si="10"/>
        <v>71400</v>
      </c>
      <c r="S268" s="117">
        <v>202303</v>
      </c>
      <c r="T268" s="121" t="s">
        <v>514</v>
      </c>
      <c r="U268" s="132"/>
      <c r="V268" s="133"/>
      <c r="W268" s="133"/>
      <c r="X268" s="118">
        <v>43739</v>
      </c>
      <c r="Y268" s="118">
        <v>45199</v>
      </c>
    </row>
    <row r="269" s="79" customFormat="1" customHeight="1" spans="1:25">
      <c r="A269" s="129" t="s">
        <v>61</v>
      </c>
      <c r="B269" s="98" t="s">
        <v>62</v>
      </c>
      <c r="C269" s="98" t="s">
        <v>217</v>
      </c>
      <c r="D269" s="96" t="s">
        <v>64</v>
      </c>
      <c r="E269" s="130" t="s">
        <v>498</v>
      </c>
      <c r="F269" s="129" t="s">
        <v>499</v>
      </c>
      <c r="G269" s="99" t="s">
        <v>88</v>
      </c>
      <c r="H269" s="100" t="s">
        <v>500</v>
      </c>
      <c r="I269" s="23" t="e">
        <f>VLOOKUP(H269,'合同综合查询数据（3月返）'!$A:$A,1,FALSE)</f>
        <v>#N/A</v>
      </c>
      <c r="J269" s="99" t="s">
        <v>90</v>
      </c>
      <c r="K269" s="108" t="s">
        <v>501</v>
      </c>
      <c r="L269" s="109"/>
      <c r="M269" s="26" t="s">
        <v>502</v>
      </c>
      <c r="N269" s="28" t="s">
        <v>503</v>
      </c>
      <c r="O269" s="109" t="s">
        <v>506</v>
      </c>
      <c r="P269" s="131">
        <v>10200</v>
      </c>
      <c r="Q269" s="131">
        <v>8</v>
      </c>
      <c r="R269" s="120">
        <f t="shared" si="10"/>
        <v>81600</v>
      </c>
      <c r="S269" s="117">
        <v>202303</v>
      </c>
      <c r="T269" s="121" t="s">
        <v>515</v>
      </c>
      <c r="U269" s="132"/>
      <c r="V269" s="133"/>
      <c r="W269" s="133"/>
      <c r="X269" s="118">
        <v>43739</v>
      </c>
      <c r="Y269" s="118">
        <v>45199</v>
      </c>
    </row>
    <row r="270" s="79" customFormat="1" customHeight="1" spans="1:25">
      <c r="A270" s="129" t="s">
        <v>61</v>
      </c>
      <c r="B270" s="98" t="s">
        <v>62</v>
      </c>
      <c r="C270" s="98" t="s">
        <v>217</v>
      </c>
      <c r="D270" s="96" t="s">
        <v>64</v>
      </c>
      <c r="E270" s="130" t="s">
        <v>498</v>
      </c>
      <c r="F270" s="129" t="s">
        <v>499</v>
      </c>
      <c r="G270" s="99" t="s">
        <v>88</v>
      </c>
      <c r="H270" s="100" t="s">
        <v>500</v>
      </c>
      <c r="I270" s="23" t="e">
        <f>VLOOKUP(H270,'合同综合查询数据（3月返）'!$A:$A,1,FALSE)</f>
        <v>#N/A</v>
      </c>
      <c r="J270" s="99" t="s">
        <v>90</v>
      </c>
      <c r="K270" s="108" t="s">
        <v>501</v>
      </c>
      <c r="L270" s="109"/>
      <c r="M270" s="26" t="s">
        <v>502</v>
      </c>
      <c r="N270" s="28" t="s">
        <v>503</v>
      </c>
      <c r="O270" s="109" t="s">
        <v>92</v>
      </c>
      <c r="P270" s="131">
        <v>5100</v>
      </c>
      <c r="Q270" s="131">
        <v>6</v>
      </c>
      <c r="R270" s="120">
        <f t="shared" si="10"/>
        <v>30600</v>
      </c>
      <c r="S270" s="117">
        <v>202303</v>
      </c>
      <c r="T270" s="121"/>
      <c r="U270" s="132"/>
      <c r="V270" s="133"/>
      <c r="W270" s="133"/>
      <c r="X270" s="118">
        <v>43739</v>
      </c>
      <c r="Y270" s="118">
        <v>45199</v>
      </c>
    </row>
    <row r="271" s="79" customFormat="1" customHeight="1" spans="1:25">
      <c r="A271" s="129" t="s">
        <v>61</v>
      </c>
      <c r="B271" s="98" t="s">
        <v>62</v>
      </c>
      <c r="C271" s="98" t="s">
        <v>217</v>
      </c>
      <c r="D271" s="96" t="s">
        <v>64</v>
      </c>
      <c r="E271" s="130" t="s">
        <v>498</v>
      </c>
      <c r="F271" s="129" t="s">
        <v>499</v>
      </c>
      <c r="G271" s="99" t="s">
        <v>88</v>
      </c>
      <c r="H271" s="100" t="s">
        <v>500</v>
      </c>
      <c r="I271" s="23" t="e">
        <f>VLOOKUP(H271,'合同综合查询数据（3月返）'!$A:$A,1,FALSE)</f>
        <v>#N/A</v>
      </c>
      <c r="J271" s="99" t="s">
        <v>516</v>
      </c>
      <c r="K271" s="108" t="s">
        <v>501</v>
      </c>
      <c r="L271" s="109"/>
      <c r="M271" s="26" t="s">
        <v>502</v>
      </c>
      <c r="N271" s="28"/>
      <c r="O271" s="109" t="s">
        <v>511</v>
      </c>
      <c r="P271" s="131">
        <v>15300</v>
      </c>
      <c r="Q271" s="131">
        <v>1</v>
      </c>
      <c r="R271" s="120">
        <f t="shared" si="10"/>
        <v>15300</v>
      </c>
      <c r="S271" s="117">
        <v>202303</v>
      </c>
      <c r="T271" s="121" t="s">
        <v>517</v>
      </c>
      <c r="U271" s="132"/>
      <c r="V271" s="133"/>
      <c r="W271" s="133"/>
      <c r="X271" s="118">
        <v>43739</v>
      </c>
      <c r="Y271" s="118">
        <v>45199</v>
      </c>
    </row>
    <row r="272" s="79" customFormat="1" customHeight="1" spans="1:25">
      <c r="A272" s="129" t="s">
        <v>61</v>
      </c>
      <c r="B272" s="98" t="s">
        <v>62</v>
      </c>
      <c r="C272" s="98" t="s">
        <v>217</v>
      </c>
      <c r="D272" s="96" t="s">
        <v>64</v>
      </c>
      <c r="E272" s="130" t="s">
        <v>498</v>
      </c>
      <c r="F272" s="129" t="s">
        <v>499</v>
      </c>
      <c r="G272" s="99" t="s">
        <v>88</v>
      </c>
      <c r="H272" s="100" t="s">
        <v>500</v>
      </c>
      <c r="I272" s="23" t="e">
        <f>VLOOKUP(H272,'合同综合查询数据（3月返）'!$A:$A,1,FALSE)</f>
        <v>#N/A</v>
      </c>
      <c r="J272" s="99" t="s">
        <v>516</v>
      </c>
      <c r="K272" s="108" t="s">
        <v>501</v>
      </c>
      <c r="L272" s="109"/>
      <c r="M272" s="26" t="s">
        <v>502</v>
      </c>
      <c r="N272" s="28">
        <v>43717</v>
      </c>
      <c r="O272" s="109" t="s">
        <v>461</v>
      </c>
      <c r="P272" s="131">
        <v>14960</v>
      </c>
      <c r="Q272" s="131">
        <v>2</v>
      </c>
      <c r="R272" s="120">
        <f t="shared" si="10"/>
        <v>29920</v>
      </c>
      <c r="S272" s="117">
        <v>202303</v>
      </c>
      <c r="T272" s="121" t="s">
        <v>518</v>
      </c>
      <c r="U272" s="132"/>
      <c r="V272" s="133"/>
      <c r="W272" s="133"/>
      <c r="X272" s="118">
        <v>43739</v>
      </c>
      <c r="Y272" s="118">
        <v>45199</v>
      </c>
    </row>
    <row r="273" s="79" customFormat="1" customHeight="1" spans="1:25">
      <c r="A273" s="129" t="s">
        <v>61</v>
      </c>
      <c r="B273" s="98" t="s">
        <v>62</v>
      </c>
      <c r="C273" s="98" t="s">
        <v>217</v>
      </c>
      <c r="D273" s="96" t="s">
        <v>64</v>
      </c>
      <c r="E273" s="130" t="s">
        <v>498</v>
      </c>
      <c r="F273" s="129" t="s">
        <v>499</v>
      </c>
      <c r="G273" s="99" t="s">
        <v>88</v>
      </c>
      <c r="H273" s="100" t="s">
        <v>500</v>
      </c>
      <c r="I273" s="23" t="e">
        <f>VLOOKUP(H273,'合同综合查询数据（3月返）'!$A:$A,1,FALSE)</f>
        <v>#N/A</v>
      </c>
      <c r="J273" s="99" t="s">
        <v>516</v>
      </c>
      <c r="K273" s="108" t="s">
        <v>501</v>
      </c>
      <c r="L273" s="109"/>
      <c r="M273" s="26" t="s">
        <v>502</v>
      </c>
      <c r="N273" s="28">
        <v>44022</v>
      </c>
      <c r="O273" s="109" t="s">
        <v>519</v>
      </c>
      <c r="P273" s="131">
        <v>23375</v>
      </c>
      <c r="Q273" s="131">
        <v>1</v>
      </c>
      <c r="R273" s="120">
        <f t="shared" si="10"/>
        <v>23375</v>
      </c>
      <c r="S273" s="117">
        <v>202303</v>
      </c>
      <c r="T273" s="121" t="s">
        <v>520</v>
      </c>
      <c r="U273" s="132"/>
      <c r="V273" s="133"/>
      <c r="W273" s="133"/>
      <c r="X273" s="118">
        <v>43739</v>
      </c>
      <c r="Y273" s="118">
        <v>45199</v>
      </c>
    </row>
    <row r="274" s="79" customFormat="1" customHeight="1" spans="1:25">
      <c r="A274" s="129" t="s">
        <v>61</v>
      </c>
      <c r="B274" s="98" t="s">
        <v>62</v>
      </c>
      <c r="C274" s="98" t="s">
        <v>217</v>
      </c>
      <c r="D274" s="96" t="s">
        <v>64</v>
      </c>
      <c r="E274" s="130" t="s">
        <v>498</v>
      </c>
      <c r="F274" s="129" t="s">
        <v>499</v>
      </c>
      <c r="G274" s="99" t="s">
        <v>88</v>
      </c>
      <c r="H274" s="100" t="s">
        <v>500</v>
      </c>
      <c r="I274" s="23" t="e">
        <f>VLOOKUP(H274,'合同综合查询数据（3月返）'!$A:$A,1,FALSE)</f>
        <v>#N/A</v>
      </c>
      <c r="J274" s="99" t="s">
        <v>516</v>
      </c>
      <c r="K274" s="108" t="s">
        <v>501</v>
      </c>
      <c r="L274" s="109"/>
      <c r="M274" s="26" t="s">
        <v>502</v>
      </c>
      <c r="N274" s="28">
        <v>44077</v>
      </c>
      <c r="O274" s="109" t="s">
        <v>461</v>
      </c>
      <c r="P274" s="131">
        <v>14960</v>
      </c>
      <c r="Q274" s="131">
        <v>4</v>
      </c>
      <c r="R274" s="120">
        <f t="shared" si="10"/>
        <v>59840</v>
      </c>
      <c r="S274" s="117">
        <v>202303</v>
      </c>
      <c r="T274" s="121" t="s">
        <v>521</v>
      </c>
      <c r="U274" s="132"/>
      <c r="V274" s="133"/>
      <c r="W274" s="133"/>
      <c r="X274" s="118">
        <v>43739</v>
      </c>
      <c r="Y274" s="118">
        <v>45199</v>
      </c>
    </row>
    <row r="275" s="79" customFormat="1" customHeight="1" spans="1:25">
      <c r="A275" s="129" t="s">
        <v>61</v>
      </c>
      <c r="B275" s="98" t="s">
        <v>62</v>
      </c>
      <c r="C275" s="98" t="s">
        <v>217</v>
      </c>
      <c r="D275" s="96" t="s">
        <v>64</v>
      </c>
      <c r="E275" s="130" t="s">
        <v>498</v>
      </c>
      <c r="F275" s="129" t="s">
        <v>499</v>
      </c>
      <c r="G275" s="99" t="s">
        <v>88</v>
      </c>
      <c r="H275" s="100" t="s">
        <v>500</v>
      </c>
      <c r="I275" s="23" t="e">
        <f>VLOOKUP(H275,'合同综合查询数据（3月返）'!$A:$A,1,FALSE)</f>
        <v>#N/A</v>
      </c>
      <c r="J275" s="99" t="s">
        <v>516</v>
      </c>
      <c r="K275" s="108" t="s">
        <v>501</v>
      </c>
      <c r="L275" s="109"/>
      <c r="M275" s="26" t="s">
        <v>502</v>
      </c>
      <c r="N275" s="28">
        <v>44180</v>
      </c>
      <c r="O275" s="109" t="s">
        <v>519</v>
      </c>
      <c r="P275" s="131">
        <v>23375</v>
      </c>
      <c r="Q275" s="131">
        <v>1</v>
      </c>
      <c r="R275" s="120">
        <f t="shared" si="10"/>
        <v>23375</v>
      </c>
      <c r="S275" s="117">
        <v>202303</v>
      </c>
      <c r="T275" s="121" t="s">
        <v>522</v>
      </c>
      <c r="U275" s="132"/>
      <c r="V275" s="133"/>
      <c r="W275" s="133"/>
      <c r="X275" s="118">
        <v>43739</v>
      </c>
      <c r="Y275" s="118">
        <v>45199</v>
      </c>
    </row>
    <row r="276" s="79" customFormat="1" customHeight="1" spans="1:25">
      <c r="A276" s="129" t="s">
        <v>61</v>
      </c>
      <c r="B276" s="98" t="s">
        <v>62</v>
      </c>
      <c r="C276" s="98" t="s">
        <v>217</v>
      </c>
      <c r="D276" s="96" t="s">
        <v>64</v>
      </c>
      <c r="E276" s="130" t="s">
        <v>498</v>
      </c>
      <c r="F276" s="129" t="s">
        <v>499</v>
      </c>
      <c r="G276" s="99" t="s">
        <v>88</v>
      </c>
      <c r="H276" s="100" t="s">
        <v>500</v>
      </c>
      <c r="I276" s="23" t="e">
        <f>VLOOKUP(H276,'合同综合查询数据（3月返）'!$A:$A,1,FALSE)</f>
        <v>#N/A</v>
      </c>
      <c r="J276" s="99" t="s">
        <v>516</v>
      </c>
      <c r="K276" s="108" t="s">
        <v>501</v>
      </c>
      <c r="L276" s="109"/>
      <c r="M276" s="26" t="s">
        <v>502</v>
      </c>
      <c r="N276" s="28">
        <v>44286</v>
      </c>
      <c r="O276" s="109" t="s">
        <v>461</v>
      </c>
      <c r="P276" s="131">
        <v>14960</v>
      </c>
      <c r="Q276" s="131">
        <v>1</v>
      </c>
      <c r="R276" s="120">
        <f t="shared" si="10"/>
        <v>14960</v>
      </c>
      <c r="S276" s="117">
        <v>202303</v>
      </c>
      <c r="T276" s="121" t="s">
        <v>523</v>
      </c>
      <c r="U276" s="132"/>
      <c r="V276" s="133"/>
      <c r="W276" s="133"/>
      <c r="X276" s="118">
        <v>43739</v>
      </c>
      <c r="Y276" s="118">
        <v>45199</v>
      </c>
    </row>
    <row r="277" s="79" customFormat="1" customHeight="1" spans="1:25">
      <c r="A277" s="129" t="s">
        <v>61</v>
      </c>
      <c r="B277" s="98" t="s">
        <v>62</v>
      </c>
      <c r="C277" s="98" t="s">
        <v>217</v>
      </c>
      <c r="D277" s="96" t="s">
        <v>64</v>
      </c>
      <c r="E277" s="130" t="s">
        <v>498</v>
      </c>
      <c r="F277" s="129" t="s">
        <v>499</v>
      </c>
      <c r="G277" s="99" t="s">
        <v>88</v>
      </c>
      <c r="H277" s="100" t="s">
        <v>500</v>
      </c>
      <c r="I277" s="23" t="e">
        <f>VLOOKUP(H277,'合同综合查询数据（3月返）'!$A:$A,1,FALSE)</f>
        <v>#N/A</v>
      </c>
      <c r="J277" s="99" t="s">
        <v>516</v>
      </c>
      <c r="K277" s="108" t="s">
        <v>501</v>
      </c>
      <c r="L277" s="109"/>
      <c r="M277" s="26" t="s">
        <v>502</v>
      </c>
      <c r="N277" s="28">
        <v>44421</v>
      </c>
      <c r="O277" s="109" t="s">
        <v>504</v>
      </c>
      <c r="P277" s="131">
        <v>27200</v>
      </c>
      <c r="Q277" s="131">
        <v>-1</v>
      </c>
      <c r="R277" s="120">
        <f t="shared" si="10"/>
        <v>-27200</v>
      </c>
      <c r="S277" s="117">
        <v>202303</v>
      </c>
      <c r="T277" s="121" t="s">
        <v>505</v>
      </c>
      <c r="U277" s="132"/>
      <c r="V277" s="133"/>
      <c r="W277" s="133"/>
      <c r="X277" s="118">
        <v>43739</v>
      </c>
      <c r="Y277" s="118">
        <v>45199</v>
      </c>
    </row>
    <row r="278" s="79" customFormat="1" customHeight="1" spans="1:25">
      <c r="A278" s="129" t="s">
        <v>61</v>
      </c>
      <c r="B278" s="98" t="s">
        <v>62</v>
      </c>
      <c r="C278" s="98" t="s">
        <v>217</v>
      </c>
      <c r="D278" s="96" t="s">
        <v>64</v>
      </c>
      <c r="E278" s="130" t="s">
        <v>498</v>
      </c>
      <c r="F278" s="129" t="s">
        <v>499</v>
      </c>
      <c r="G278" s="99" t="s">
        <v>88</v>
      </c>
      <c r="H278" s="100" t="s">
        <v>500</v>
      </c>
      <c r="I278" s="23" t="e">
        <f>VLOOKUP(H278,'合同综合查询数据（3月返）'!$A:$A,1,FALSE)</f>
        <v>#N/A</v>
      </c>
      <c r="J278" s="99" t="s">
        <v>90</v>
      </c>
      <c r="K278" s="108" t="s">
        <v>501</v>
      </c>
      <c r="L278" s="109"/>
      <c r="M278" s="26" t="s">
        <v>502</v>
      </c>
      <c r="N278" s="28">
        <v>44421</v>
      </c>
      <c r="O278" s="109" t="s">
        <v>506</v>
      </c>
      <c r="P278" s="131">
        <v>10200</v>
      </c>
      <c r="Q278" s="131">
        <v>-2</v>
      </c>
      <c r="R278" s="120">
        <f t="shared" si="10"/>
        <v>-20400</v>
      </c>
      <c r="S278" s="117">
        <v>202303</v>
      </c>
      <c r="T278" s="121" t="s">
        <v>524</v>
      </c>
      <c r="U278" s="132"/>
      <c r="V278" s="133"/>
      <c r="W278" s="133"/>
      <c r="X278" s="118">
        <v>43739</v>
      </c>
      <c r="Y278" s="118">
        <v>45199</v>
      </c>
    </row>
    <row r="279" s="79" customFormat="1" customHeight="1" spans="1:25">
      <c r="A279" s="129" t="s">
        <v>61</v>
      </c>
      <c r="B279" s="98" t="s">
        <v>62</v>
      </c>
      <c r="C279" s="98" t="s">
        <v>217</v>
      </c>
      <c r="D279" s="96" t="s">
        <v>64</v>
      </c>
      <c r="E279" s="130" t="s">
        <v>498</v>
      </c>
      <c r="F279" s="129" t="s">
        <v>499</v>
      </c>
      <c r="G279" s="99" t="s">
        <v>88</v>
      </c>
      <c r="H279" s="100" t="s">
        <v>500</v>
      </c>
      <c r="I279" s="23" t="e">
        <f>VLOOKUP(H279,'合同综合查询数据（3月返）'!$A:$A,1,FALSE)</f>
        <v>#N/A</v>
      </c>
      <c r="J279" s="99" t="s">
        <v>516</v>
      </c>
      <c r="K279" s="108" t="s">
        <v>501</v>
      </c>
      <c r="L279" s="109"/>
      <c r="M279" s="26" t="s">
        <v>502</v>
      </c>
      <c r="N279" s="28">
        <v>44462</v>
      </c>
      <c r="O279" s="109" t="s">
        <v>461</v>
      </c>
      <c r="P279" s="131">
        <v>14960</v>
      </c>
      <c r="Q279" s="131">
        <v>3</v>
      </c>
      <c r="R279" s="120">
        <f t="shared" si="10"/>
        <v>44880</v>
      </c>
      <c r="S279" s="117">
        <v>202303</v>
      </c>
      <c r="T279" s="121" t="s">
        <v>525</v>
      </c>
      <c r="U279" s="132"/>
      <c r="V279" s="133"/>
      <c r="W279" s="133"/>
      <c r="X279" s="118">
        <v>43739</v>
      </c>
      <c r="Y279" s="118">
        <v>45199</v>
      </c>
    </row>
    <row r="280" s="79" customFormat="1" customHeight="1" spans="1:25">
      <c r="A280" s="129" t="s">
        <v>61</v>
      </c>
      <c r="B280" s="98" t="s">
        <v>62</v>
      </c>
      <c r="C280" s="98" t="s">
        <v>217</v>
      </c>
      <c r="D280" s="96" t="s">
        <v>64</v>
      </c>
      <c r="E280" s="130" t="s">
        <v>498</v>
      </c>
      <c r="F280" s="129" t="s">
        <v>499</v>
      </c>
      <c r="G280" s="99" t="s">
        <v>88</v>
      </c>
      <c r="H280" s="100" t="s">
        <v>526</v>
      </c>
      <c r="I280" s="23" t="e">
        <f>VLOOKUP(H280,'合同综合查询数据（3月返）'!$A:$A,1,FALSE)</f>
        <v>#N/A</v>
      </c>
      <c r="J280" s="99" t="s">
        <v>516</v>
      </c>
      <c r="K280" s="108" t="s">
        <v>501</v>
      </c>
      <c r="L280" s="109"/>
      <c r="M280" s="26" t="s">
        <v>527</v>
      </c>
      <c r="N280" s="28" t="s">
        <v>503</v>
      </c>
      <c r="O280" s="109" t="s">
        <v>457</v>
      </c>
      <c r="P280" s="131">
        <v>6300</v>
      </c>
      <c r="Q280" s="131">
        <v>292</v>
      </c>
      <c r="R280" s="120">
        <f t="shared" si="10"/>
        <v>1839600</v>
      </c>
      <c r="S280" s="117">
        <v>202303</v>
      </c>
      <c r="T280" s="121"/>
      <c r="U280" s="132"/>
      <c r="V280" s="133"/>
      <c r="W280" s="133"/>
      <c r="X280" s="118">
        <v>44378</v>
      </c>
      <c r="Y280" s="118">
        <v>44592</v>
      </c>
    </row>
    <row r="281" s="79" customFormat="1" customHeight="1" spans="1:25">
      <c r="A281" s="129" t="s">
        <v>61</v>
      </c>
      <c r="B281" s="98" t="s">
        <v>62</v>
      </c>
      <c r="C281" s="98" t="s">
        <v>217</v>
      </c>
      <c r="D281" s="96" t="s">
        <v>64</v>
      </c>
      <c r="E281" s="130" t="s">
        <v>498</v>
      </c>
      <c r="F281" s="129" t="s">
        <v>499</v>
      </c>
      <c r="G281" s="99" t="s">
        <v>88</v>
      </c>
      <c r="H281" s="100" t="s">
        <v>526</v>
      </c>
      <c r="I281" s="23" t="e">
        <f>VLOOKUP(H281,'合同综合查询数据（3月返）'!$A:$A,1,FALSE)</f>
        <v>#N/A</v>
      </c>
      <c r="J281" s="99" t="s">
        <v>516</v>
      </c>
      <c r="K281" s="108" t="s">
        <v>501</v>
      </c>
      <c r="L281" s="109"/>
      <c r="M281" s="26" t="s">
        <v>527</v>
      </c>
      <c r="N281" s="28">
        <v>44582</v>
      </c>
      <c r="O281" s="109" t="s">
        <v>457</v>
      </c>
      <c r="P281" s="131">
        <v>6300</v>
      </c>
      <c r="Q281" s="131">
        <v>-292</v>
      </c>
      <c r="R281" s="120">
        <f t="shared" si="10"/>
        <v>-1839600</v>
      </c>
      <c r="S281" s="117">
        <v>202303</v>
      </c>
      <c r="T281" s="121" t="s">
        <v>528</v>
      </c>
      <c r="U281" s="132"/>
      <c r="V281" s="133"/>
      <c r="W281" s="133"/>
      <c r="X281" s="118">
        <v>44378</v>
      </c>
      <c r="Y281" s="118">
        <v>44592</v>
      </c>
    </row>
    <row r="282" s="79" customFormat="1" customHeight="1" spans="1:25">
      <c r="A282" s="129" t="s">
        <v>61</v>
      </c>
      <c r="B282" s="98" t="s">
        <v>62</v>
      </c>
      <c r="C282" s="98" t="s">
        <v>217</v>
      </c>
      <c r="D282" s="96" t="s">
        <v>64</v>
      </c>
      <c r="E282" s="130" t="s">
        <v>498</v>
      </c>
      <c r="F282" s="129" t="s">
        <v>499</v>
      </c>
      <c r="G282" s="99" t="s">
        <v>88</v>
      </c>
      <c r="H282" s="100" t="s">
        <v>526</v>
      </c>
      <c r="I282" s="23" t="e">
        <f>VLOOKUP(H282,'合同综合查询数据（3月返）'!$A:$A,1,FALSE)</f>
        <v>#N/A</v>
      </c>
      <c r="J282" s="99" t="s">
        <v>312</v>
      </c>
      <c r="K282" s="108" t="s">
        <v>501</v>
      </c>
      <c r="L282" s="109"/>
      <c r="M282" s="26" t="s">
        <v>527</v>
      </c>
      <c r="N282" s="28"/>
      <c r="O282" s="109" t="s">
        <v>529</v>
      </c>
      <c r="P282" s="131">
        <v>315</v>
      </c>
      <c r="Q282" s="131">
        <v>0</v>
      </c>
      <c r="R282" s="120">
        <f t="shared" si="10"/>
        <v>0</v>
      </c>
      <c r="S282" s="117">
        <v>202303</v>
      </c>
      <c r="T282" s="121" t="s">
        <v>530</v>
      </c>
      <c r="U282" s="132"/>
      <c r="V282" s="133"/>
      <c r="W282" s="133"/>
      <c r="X282" s="118">
        <v>44378</v>
      </c>
      <c r="Y282" s="118">
        <v>44592</v>
      </c>
    </row>
    <row r="283" s="81" customFormat="1" customHeight="1" spans="1:25">
      <c r="A283" s="135" t="s">
        <v>61</v>
      </c>
      <c r="B283" s="61" t="s">
        <v>62</v>
      </c>
      <c r="C283" s="61" t="s">
        <v>217</v>
      </c>
      <c r="D283" s="60" t="s">
        <v>64</v>
      </c>
      <c r="E283" s="136" t="s">
        <v>498</v>
      </c>
      <c r="F283" s="135" t="s">
        <v>499</v>
      </c>
      <c r="G283" s="66" t="s">
        <v>88</v>
      </c>
      <c r="H283" s="137" t="s">
        <v>531</v>
      </c>
      <c r="I283" s="47" t="e">
        <f>VLOOKUP(H283,'合同综合查询数据（3月返）'!$A:$A,1,FALSE)</f>
        <v>#N/A</v>
      </c>
      <c r="J283" s="66" t="s">
        <v>90</v>
      </c>
      <c r="K283" s="139" t="s">
        <v>501</v>
      </c>
      <c r="L283" s="138"/>
      <c r="M283" s="50" t="s">
        <v>527</v>
      </c>
      <c r="N283" s="51">
        <v>44743</v>
      </c>
      <c r="O283" s="138" t="s">
        <v>457</v>
      </c>
      <c r="P283" s="140">
        <v>6300</v>
      </c>
      <c r="Q283" s="140">
        <v>4</v>
      </c>
      <c r="R283" s="68">
        <f t="shared" si="10"/>
        <v>25200</v>
      </c>
      <c r="S283" s="70">
        <v>202303</v>
      </c>
      <c r="T283" s="72" t="s">
        <v>532</v>
      </c>
      <c r="U283" s="142"/>
      <c r="V283" s="143"/>
      <c r="W283" s="143"/>
      <c r="X283" s="73"/>
      <c r="Y283" s="73"/>
    </row>
    <row r="284" s="81" customFormat="1" customHeight="1" spans="1:25">
      <c r="A284" s="135" t="s">
        <v>61</v>
      </c>
      <c r="B284" s="61" t="s">
        <v>62</v>
      </c>
      <c r="C284" s="61" t="s">
        <v>217</v>
      </c>
      <c r="D284" s="60" t="s">
        <v>64</v>
      </c>
      <c r="E284" s="136" t="s">
        <v>498</v>
      </c>
      <c r="F284" s="135" t="s">
        <v>499</v>
      </c>
      <c r="G284" s="66" t="s">
        <v>88</v>
      </c>
      <c r="H284" s="137" t="s">
        <v>531</v>
      </c>
      <c r="I284" s="47" t="e">
        <f>VLOOKUP(H284,'合同综合查询数据（3月返）'!$A:$A,1,FALSE)</f>
        <v>#N/A</v>
      </c>
      <c r="J284" s="66" t="s">
        <v>90</v>
      </c>
      <c r="K284" s="139" t="s">
        <v>501</v>
      </c>
      <c r="L284" s="138"/>
      <c r="M284" s="50" t="s">
        <v>527</v>
      </c>
      <c r="N284" s="51">
        <v>44776</v>
      </c>
      <c r="O284" s="138" t="s">
        <v>457</v>
      </c>
      <c r="P284" s="140">
        <v>6300</v>
      </c>
      <c r="Q284" s="140">
        <v>1</v>
      </c>
      <c r="R284" s="68">
        <f t="shared" si="10"/>
        <v>6300</v>
      </c>
      <c r="S284" s="70">
        <v>202303</v>
      </c>
      <c r="T284" s="72" t="s">
        <v>533</v>
      </c>
      <c r="U284" s="142"/>
      <c r="V284" s="143"/>
      <c r="W284" s="143"/>
      <c r="X284" s="73"/>
      <c r="Y284" s="73"/>
    </row>
    <row r="285" s="81" customFormat="1" customHeight="1" spans="1:25">
      <c r="A285" s="135" t="s">
        <v>61</v>
      </c>
      <c r="B285" s="61" t="s">
        <v>62</v>
      </c>
      <c r="C285" s="61" t="s">
        <v>217</v>
      </c>
      <c r="D285" s="60" t="s">
        <v>64</v>
      </c>
      <c r="E285" s="136" t="s">
        <v>498</v>
      </c>
      <c r="F285" s="135" t="s">
        <v>499</v>
      </c>
      <c r="G285" s="66" t="s">
        <v>88</v>
      </c>
      <c r="H285" s="137" t="s">
        <v>531</v>
      </c>
      <c r="I285" s="47" t="e">
        <f>VLOOKUP(H285,'合同综合查询数据（3月返）'!$A:$A,1,FALSE)</f>
        <v>#N/A</v>
      </c>
      <c r="J285" s="66" t="s">
        <v>90</v>
      </c>
      <c r="K285" s="139" t="s">
        <v>501</v>
      </c>
      <c r="L285" s="138"/>
      <c r="M285" s="50" t="s">
        <v>502</v>
      </c>
      <c r="N285" s="51">
        <v>44826</v>
      </c>
      <c r="O285" s="138" t="s">
        <v>457</v>
      </c>
      <c r="P285" s="140">
        <v>6300</v>
      </c>
      <c r="Q285" s="140">
        <v>2</v>
      </c>
      <c r="R285" s="68">
        <f t="shared" si="10"/>
        <v>12600</v>
      </c>
      <c r="S285" s="70">
        <v>202303</v>
      </c>
      <c r="T285" s="72" t="s">
        <v>534</v>
      </c>
      <c r="U285" s="142"/>
      <c r="V285" s="143"/>
      <c r="W285" s="143"/>
      <c r="X285" s="73"/>
      <c r="Y285" s="73"/>
    </row>
    <row r="286" s="79" customFormat="1" customHeight="1" spans="1:25">
      <c r="A286" s="129" t="s">
        <v>61</v>
      </c>
      <c r="B286" s="98" t="s">
        <v>62</v>
      </c>
      <c r="C286" s="98" t="s">
        <v>217</v>
      </c>
      <c r="D286" s="96" t="s">
        <v>64</v>
      </c>
      <c r="E286" s="130" t="s">
        <v>535</v>
      </c>
      <c r="F286" s="129" t="s">
        <v>536</v>
      </c>
      <c r="G286" s="99" t="s">
        <v>88</v>
      </c>
      <c r="H286" s="100" t="s">
        <v>537</v>
      </c>
      <c r="I286" s="23" t="e">
        <f>VLOOKUP(H286,'合同综合查询数据（3月返）'!$A:$A,1,FALSE)</f>
        <v>#N/A</v>
      </c>
      <c r="J286" s="99" t="s">
        <v>90</v>
      </c>
      <c r="K286" s="108" t="s">
        <v>538</v>
      </c>
      <c r="L286" s="109"/>
      <c r="M286" s="26" t="s">
        <v>539</v>
      </c>
      <c r="N286" s="28">
        <v>44484</v>
      </c>
      <c r="O286" s="109" t="s">
        <v>540</v>
      </c>
      <c r="P286" s="131">
        <v>39570</v>
      </c>
      <c r="Q286" s="131">
        <v>2</v>
      </c>
      <c r="R286" s="120">
        <f t="shared" si="10"/>
        <v>79140</v>
      </c>
      <c r="S286" s="117">
        <v>202303</v>
      </c>
      <c r="T286" s="121" t="s">
        <v>541</v>
      </c>
      <c r="U286" s="132"/>
      <c r="V286" s="133"/>
      <c r="W286" s="133"/>
      <c r="X286" s="118">
        <v>44454</v>
      </c>
      <c r="Y286" s="118">
        <v>46279</v>
      </c>
    </row>
    <row r="287" s="79" customFormat="1" customHeight="1" spans="1:25">
      <c r="A287" s="129" t="s">
        <v>61</v>
      </c>
      <c r="B287" s="98" t="s">
        <v>62</v>
      </c>
      <c r="C287" s="98" t="s">
        <v>217</v>
      </c>
      <c r="D287" s="96" t="s">
        <v>64</v>
      </c>
      <c r="E287" s="130" t="s">
        <v>535</v>
      </c>
      <c r="F287" s="129" t="s">
        <v>536</v>
      </c>
      <c r="G287" s="99" t="s">
        <v>88</v>
      </c>
      <c r="H287" s="100" t="s">
        <v>537</v>
      </c>
      <c r="I287" s="23" t="e">
        <f>VLOOKUP(H287,'合同综合查询数据（3月返）'!$A:$A,1,FALSE)</f>
        <v>#N/A</v>
      </c>
      <c r="J287" s="99" t="s">
        <v>90</v>
      </c>
      <c r="K287" s="108" t="s">
        <v>538</v>
      </c>
      <c r="L287" s="109"/>
      <c r="M287" s="26" t="s">
        <v>539</v>
      </c>
      <c r="N287" s="28">
        <v>44484</v>
      </c>
      <c r="O287" s="109" t="s">
        <v>457</v>
      </c>
      <c r="P287" s="131">
        <v>5803.6</v>
      </c>
      <c r="Q287" s="131">
        <v>2</v>
      </c>
      <c r="R287" s="120">
        <f t="shared" si="10"/>
        <v>11607.2</v>
      </c>
      <c r="S287" s="117">
        <v>202303</v>
      </c>
      <c r="T287" s="121" t="s">
        <v>542</v>
      </c>
      <c r="U287" s="132"/>
      <c r="V287" s="133"/>
      <c r="W287" s="133"/>
      <c r="X287" s="118">
        <v>44454</v>
      </c>
      <c r="Y287" s="118">
        <v>46279</v>
      </c>
    </row>
    <row r="288" s="79" customFormat="1" customHeight="1" spans="1:25">
      <c r="A288" s="129" t="s">
        <v>61</v>
      </c>
      <c r="B288" s="98" t="s">
        <v>62</v>
      </c>
      <c r="C288" s="98" t="s">
        <v>217</v>
      </c>
      <c r="D288" s="96" t="s">
        <v>64</v>
      </c>
      <c r="E288" s="130" t="s">
        <v>535</v>
      </c>
      <c r="F288" s="129" t="s">
        <v>536</v>
      </c>
      <c r="G288" s="99" t="s">
        <v>88</v>
      </c>
      <c r="H288" s="100" t="s">
        <v>537</v>
      </c>
      <c r="I288" s="23" t="e">
        <f>VLOOKUP(H288,'合同综合查询数据（3月返）'!$A:$A,1,FALSE)</f>
        <v>#N/A</v>
      </c>
      <c r="J288" s="99" t="s">
        <v>90</v>
      </c>
      <c r="K288" s="108" t="s">
        <v>538</v>
      </c>
      <c r="L288" s="109"/>
      <c r="M288" s="26" t="s">
        <v>539</v>
      </c>
      <c r="N288" s="28">
        <v>44490</v>
      </c>
      <c r="O288" s="109" t="s">
        <v>457</v>
      </c>
      <c r="P288" s="131">
        <v>5803.6</v>
      </c>
      <c r="Q288" s="131">
        <v>6</v>
      </c>
      <c r="R288" s="120">
        <f t="shared" si="10"/>
        <v>34821.6</v>
      </c>
      <c r="S288" s="117">
        <v>202303</v>
      </c>
      <c r="T288" s="121" t="s">
        <v>543</v>
      </c>
      <c r="U288" s="132"/>
      <c r="V288" s="133"/>
      <c r="W288" s="133"/>
      <c r="X288" s="118">
        <v>44454</v>
      </c>
      <c r="Y288" s="118">
        <v>46279</v>
      </c>
    </row>
    <row r="289" s="79" customFormat="1" customHeight="1" spans="1:25">
      <c r="A289" s="129" t="s">
        <v>61</v>
      </c>
      <c r="B289" s="98" t="s">
        <v>62</v>
      </c>
      <c r="C289" s="98" t="s">
        <v>217</v>
      </c>
      <c r="D289" s="96" t="s">
        <v>64</v>
      </c>
      <c r="E289" s="130" t="s">
        <v>535</v>
      </c>
      <c r="F289" s="129" t="s">
        <v>536</v>
      </c>
      <c r="G289" s="99" t="s">
        <v>88</v>
      </c>
      <c r="H289" s="100" t="s">
        <v>537</v>
      </c>
      <c r="I289" s="23" t="e">
        <f>VLOOKUP(H289,'合同综合查询数据（3月返）'!$A:$A,1,FALSE)</f>
        <v>#N/A</v>
      </c>
      <c r="J289" s="99" t="s">
        <v>90</v>
      </c>
      <c r="K289" s="108" t="s">
        <v>538</v>
      </c>
      <c r="L289" s="109"/>
      <c r="M289" s="26" t="s">
        <v>539</v>
      </c>
      <c r="N289" s="28">
        <v>44490</v>
      </c>
      <c r="O289" s="109" t="s">
        <v>511</v>
      </c>
      <c r="P289" s="131">
        <v>11871</v>
      </c>
      <c r="Q289" s="131">
        <v>6</v>
      </c>
      <c r="R289" s="120">
        <f t="shared" si="10"/>
        <v>71226</v>
      </c>
      <c r="S289" s="117">
        <v>202303</v>
      </c>
      <c r="T289" s="121" t="s">
        <v>544</v>
      </c>
      <c r="U289" s="132"/>
      <c r="V289" s="133"/>
      <c r="W289" s="133"/>
      <c r="X289" s="118">
        <v>44454</v>
      </c>
      <c r="Y289" s="118">
        <v>46279</v>
      </c>
    </row>
    <row r="290" s="79" customFormat="1" customHeight="1" spans="1:25">
      <c r="A290" s="129" t="s">
        <v>61</v>
      </c>
      <c r="B290" s="98" t="s">
        <v>62</v>
      </c>
      <c r="C290" s="98" t="s">
        <v>217</v>
      </c>
      <c r="D290" s="96" t="s">
        <v>64</v>
      </c>
      <c r="E290" s="130" t="s">
        <v>535</v>
      </c>
      <c r="F290" s="129" t="s">
        <v>536</v>
      </c>
      <c r="G290" s="99" t="s">
        <v>88</v>
      </c>
      <c r="H290" s="100" t="s">
        <v>537</v>
      </c>
      <c r="I290" s="23" t="e">
        <f>VLOOKUP(H290,'合同综合查询数据（3月返）'!$A:$A,1,FALSE)</f>
        <v>#N/A</v>
      </c>
      <c r="J290" s="99" t="s">
        <v>90</v>
      </c>
      <c r="K290" s="108" t="s">
        <v>538</v>
      </c>
      <c r="L290" s="109"/>
      <c r="M290" s="26" t="s">
        <v>539</v>
      </c>
      <c r="N290" s="28">
        <v>44484</v>
      </c>
      <c r="O290" s="109" t="s">
        <v>545</v>
      </c>
      <c r="P290" s="131">
        <v>5280</v>
      </c>
      <c r="Q290" s="131">
        <v>2</v>
      </c>
      <c r="R290" s="120">
        <f t="shared" si="10"/>
        <v>10560</v>
      </c>
      <c r="S290" s="117">
        <v>202303</v>
      </c>
      <c r="T290" s="121" t="s">
        <v>546</v>
      </c>
      <c r="U290" s="132"/>
      <c r="V290" s="133"/>
      <c r="W290" s="133"/>
      <c r="X290" s="118">
        <v>44454</v>
      </c>
      <c r="Y290" s="118">
        <v>46279</v>
      </c>
    </row>
    <row r="291" s="79" customFormat="1" customHeight="1" spans="1:25">
      <c r="A291" s="129" t="s">
        <v>61</v>
      </c>
      <c r="B291" s="98" t="s">
        <v>62</v>
      </c>
      <c r="C291" s="98" t="s">
        <v>217</v>
      </c>
      <c r="D291" s="96" t="s">
        <v>64</v>
      </c>
      <c r="E291" s="130" t="s">
        <v>535</v>
      </c>
      <c r="F291" s="129" t="s">
        <v>536</v>
      </c>
      <c r="G291" s="99" t="s">
        <v>88</v>
      </c>
      <c r="H291" s="100" t="s">
        <v>537</v>
      </c>
      <c r="I291" s="23" t="e">
        <f>VLOOKUP(H291,'合同综合查询数据（3月返）'!$A:$A,1,FALSE)</f>
        <v>#N/A</v>
      </c>
      <c r="J291" s="99" t="s">
        <v>90</v>
      </c>
      <c r="K291" s="108" t="s">
        <v>538</v>
      </c>
      <c r="L291" s="109"/>
      <c r="M291" s="26" t="s">
        <v>539</v>
      </c>
      <c r="N291" s="28">
        <v>44544</v>
      </c>
      <c r="O291" s="109" t="s">
        <v>457</v>
      </c>
      <c r="P291" s="131">
        <v>5803.6</v>
      </c>
      <c r="Q291" s="131">
        <v>1</v>
      </c>
      <c r="R291" s="120">
        <f t="shared" si="10"/>
        <v>5803.6</v>
      </c>
      <c r="S291" s="117">
        <v>202303</v>
      </c>
      <c r="T291" s="121" t="s">
        <v>547</v>
      </c>
      <c r="U291" s="132"/>
      <c r="V291" s="133"/>
      <c r="W291" s="133"/>
      <c r="X291" s="118">
        <v>44454</v>
      </c>
      <c r="Y291" s="118">
        <v>46279</v>
      </c>
    </row>
    <row r="292" s="79" customFormat="1" customHeight="1" spans="1:25">
      <c r="A292" s="129" t="s">
        <v>61</v>
      </c>
      <c r="B292" s="98" t="s">
        <v>62</v>
      </c>
      <c r="C292" s="98" t="s">
        <v>217</v>
      </c>
      <c r="D292" s="96" t="s">
        <v>64</v>
      </c>
      <c r="E292" s="130" t="s">
        <v>535</v>
      </c>
      <c r="F292" s="129" t="s">
        <v>536</v>
      </c>
      <c r="G292" s="99" t="s">
        <v>88</v>
      </c>
      <c r="H292" s="100" t="s">
        <v>537</v>
      </c>
      <c r="I292" s="23" t="e">
        <f>VLOOKUP(H292,'合同综合查询数据（3月返）'!$A:$A,1,FALSE)</f>
        <v>#N/A</v>
      </c>
      <c r="J292" s="99" t="s">
        <v>90</v>
      </c>
      <c r="K292" s="108" t="s">
        <v>538</v>
      </c>
      <c r="L292" s="109"/>
      <c r="M292" s="26" t="s">
        <v>539</v>
      </c>
      <c r="N292" s="28">
        <v>44544</v>
      </c>
      <c r="O292" s="109" t="s">
        <v>511</v>
      </c>
      <c r="P292" s="131">
        <v>11871</v>
      </c>
      <c r="Q292" s="131">
        <v>2</v>
      </c>
      <c r="R292" s="120">
        <f t="shared" si="10"/>
        <v>23742</v>
      </c>
      <c r="S292" s="117">
        <v>202303</v>
      </c>
      <c r="T292" s="121" t="s">
        <v>548</v>
      </c>
      <c r="U292" s="132"/>
      <c r="V292" s="133"/>
      <c r="W292" s="133"/>
      <c r="X292" s="118">
        <v>44454</v>
      </c>
      <c r="Y292" s="118">
        <v>46279</v>
      </c>
    </row>
    <row r="293" s="79" customFormat="1" customHeight="1" spans="1:25">
      <c r="A293" s="129" t="s">
        <v>61</v>
      </c>
      <c r="B293" s="98" t="s">
        <v>62</v>
      </c>
      <c r="C293" s="98" t="s">
        <v>217</v>
      </c>
      <c r="D293" s="96" t="s">
        <v>64</v>
      </c>
      <c r="E293" s="130" t="s">
        <v>535</v>
      </c>
      <c r="F293" s="129" t="s">
        <v>536</v>
      </c>
      <c r="G293" s="99" t="s">
        <v>88</v>
      </c>
      <c r="H293" s="100" t="s">
        <v>537</v>
      </c>
      <c r="I293" s="23" t="e">
        <f>VLOOKUP(H293,'合同综合查询数据（3月返）'!$A:$A,1,FALSE)</f>
        <v>#N/A</v>
      </c>
      <c r="J293" s="99" t="s">
        <v>90</v>
      </c>
      <c r="K293" s="108" t="s">
        <v>538</v>
      </c>
      <c r="L293" s="109"/>
      <c r="M293" s="26" t="s">
        <v>539</v>
      </c>
      <c r="N293" s="28">
        <v>44729</v>
      </c>
      <c r="O293" s="109" t="s">
        <v>457</v>
      </c>
      <c r="P293" s="131">
        <v>5803.6</v>
      </c>
      <c r="Q293" s="131">
        <v>4</v>
      </c>
      <c r="R293" s="120">
        <f t="shared" si="10"/>
        <v>23214.4</v>
      </c>
      <c r="S293" s="117">
        <v>202303</v>
      </c>
      <c r="T293" s="149" t="s">
        <v>549</v>
      </c>
      <c r="U293" s="132"/>
      <c r="V293" s="133"/>
      <c r="W293" s="133"/>
      <c r="X293" s="118">
        <v>44454</v>
      </c>
      <c r="Y293" s="118">
        <v>46279</v>
      </c>
    </row>
    <row r="294" s="79" customFormat="1" customHeight="1" spans="1:25">
      <c r="A294" s="129" t="s">
        <v>61</v>
      </c>
      <c r="B294" s="98" t="s">
        <v>62</v>
      </c>
      <c r="C294" s="98" t="s">
        <v>217</v>
      </c>
      <c r="D294" s="96" t="s">
        <v>64</v>
      </c>
      <c r="E294" s="130" t="s">
        <v>535</v>
      </c>
      <c r="F294" s="129" t="s">
        <v>536</v>
      </c>
      <c r="G294" s="99" t="s">
        <v>88</v>
      </c>
      <c r="H294" s="100" t="s">
        <v>537</v>
      </c>
      <c r="I294" s="23" t="e">
        <f>VLOOKUP(H294,'合同综合查询数据（3月返）'!$A:$A,1,FALSE)</f>
        <v>#N/A</v>
      </c>
      <c r="J294" s="99" t="s">
        <v>90</v>
      </c>
      <c r="K294" s="108" t="s">
        <v>538</v>
      </c>
      <c r="L294" s="109"/>
      <c r="M294" s="26" t="s">
        <v>539</v>
      </c>
      <c r="N294" s="28">
        <v>44999.4375</v>
      </c>
      <c r="O294" s="109" t="s">
        <v>457</v>
      </c>
      <c r="P294" s="131">
        <v>5803.6</v>
      </c>
      <c r="Q294" s="131">
        <v>1</v>
      </c>
      <c r="R294" s="120">
        <f>ROUND(P294*Q294*18/31,2)</f>
        <v>3369.83</v>
      </c>
      <c r="S294" s="117">
        <v>202303</v>
      </c>
      <c r="T294" s="150" t="s">
        <v>550</v>
      </c>
      <c r="U294" s="132"/>
      <c r="V294" s="133"/>
      <c r="W294" s="133"/>
      <c r="X294" s="118">
        <v>44454</v>
      </c>
      <c r="Y294" s="118">
        <v>46279</v>
      </c>
    </row>
    <row r="295" s="81" customFormat="1" customHeight="1" spans="1:25">
      <c r="A295" s="103" t="s">
        <v>109</v>
      </c>
      <c r="B295" s="101" t="s">
        <v>26</v>
      </c>
      <c r="C295" s="62" t="s">
        <v>118</v>
      </c>
      <c r="D295" s="101" t="s">
        <v>28</v>
      </c>
      <c r="E295" s="63" t="s">
        <v>551</v>
      </c>
      <c r="F295" s="60" t="s">
        <v>552</v>
      </c>
      <c r="G295" s="60" t="s">
        <v>31</v>
      </c>
      <c r="H295" s="102" t="s">
        <v>553</v>
      </c>
      <c r="I295" s="47" t="e">
        <f>VLOOKUP(H295,'合同综合查询数据（3月返）'!$A:$A,1,FALSE)</f>
        <v>#N/A</v>
      </c>
      <c r="J295" s="48" t="s">
        <v>33</v>
      </c>
      <c r="K295" s="62" t="s">
        <v>122</v>
      </c>
      <c r="L295" s="62" t="s">
        <v>554</v>
      </c>
      <c r="M295" s="62" t="s">
        <v>555</v>
      </c>
      <c r="N295" s="111">
        <v>44682</v>
      </c>
      <c r="O295" s="62" t="s">
        <v>37</v>
      </c>
      <c r="P295" s="112"/>
      <c r="Q295" s="124">
        <v>48</v>
      </c>
      <c r="R295" s="112">
        <f t="shared" ref="R295:R326" si="11">ROUND(P295*Q295,2)</f>
        <v>0</v>
      </c>
      <c r="S295" s="70">
        <v>202303</v>
      </c>
      <c r="T295" s="102" t="s">
        <v>556</v>
      </c>
      <c r="U295" s="102"/>
      <c r="V295" s="102"/>
      <c r="W295" s="102"/>
      <c r="X295" s="73"/>
      <c r="Y295" s="73"/>
    </row>
    <row r="296" s="81" customFormat="1" customHeight="1" spans="1:25">
      <c r="A296" s="103" t="s">
        <v>109</v>
      </c>
      <c r="B296" s="101" t="s">
        <v>26</v>
      </c>
      <c r="C296" s="62" t="s">
        <v>118</v>
      </c>
      <c r="D296" s="101" t="s">
        <v>28</v>
      </c>
      <c r="E296" s="63" t="s">
        <v>551</v>
      </c>
      <c r="F296" s="60" t="s">
        <v>552</v>
      </c>
      <c r="G296" s="60" t="s">
        <v>31</v>
      </c>
      <c r="H296" s="102" t="s">
        <v>553</v>
      </c>
      <c r="I296" s="47" t="e">
        <f>VLOOKUP(H296,'合同综合查询数据（3月返）'!$A:$A,1,FALSE)</f>
        <v>#N/A</v>
      </c>
      <c r="J296" s="48" t="s">
        <v>33</v>
      </c>
      <c r="K296" s="62" t="s">
        <v>122</v>
      </c>
      <c r="L296" s="62" t="s">
        <v>554</v>
      </c>
      <c r="M296" s="62" t="s">
        <v>555</v>
      </c>
      <c r="N296" s="111">
        <v>44682</v>
      </c>
      <c r="O296" s="62" t="s">
        <v>37</v>
      </c>
      <c r="P296" s="112">
        <v>50</v>
      </c>
      <c r="Q296" s="124">
        <v>112</v>
      </c>
      <c r="R296" s="112">
        <f t="shared" si="11"/>
        <v>5600</v>
      </c>
      <c r="S296" s="70">
        <v>202303</v>
      </c>
      <c r="T296" s="102" t="s">
        <v>557</v>
      </c>
      <c r="U296" s="102"/>
      <c r="V296" s="102"/>
      <c r="W296" s="102"/>
      <c r="X296" s="73"/>
      <c r="Y296" s="73"/>
    </row>
    <row r="297" s="79" customFormat="1" customHeight="1" spans="1:25">
      <c r="A297" s="104" t="s">
        <v>109</v>
      </c>
      <c r="B297" s="95" t="s">
        <v>26</v>
      </c>
      <c r="C297" s="94" t="s">
        <v>118</v>
      </c>
      <c r="D297" s="95" t="s">
        <v>28</v>
      </c>
      <c r="E297" s="105" t="s">
        <v>551</v>
      </c>
      <c r="F297" s="96" t="s">
        <v>552</v>
      </c>
      <c r="G297" s="96" t="s">
        <v>31</v>
      </c>
      <c r="H297" s="97" t="s">
        <v>558</v>
      </c>
      <c r="I297" s="23" t="e">
        <f>VLOOKUP(H297,'合同综合查询数据（3月返）'!$A:$A,1,FALSE)</f>
        <v>#N/A</v>
      </c>
      <c r="J297" s="24" t="s">
        <v>33</v>
      </c>
      <c r="K297" s="94" t="s">
        <v>122</v>
      </c>
      <c r="L297" s="94" t="s">
        <v>554</v>
      </c>
      <c r="M297" s="94" t="s">
        <v>555</v>
      </c>
      <c r="N297" s="106">
        <v>44926</v>
      </c>
      <c r="O297" s="94" t="s">
        <v>37</v>
      </c>
      <c r="P297" s="107"/>
      <c r="Q297" s="116">
        <v>-48</v>
      </c>
      <c r="R297" s="107">
        <f t="shared" si="11"/>
        <v>0</v>
      </c>
      <c r="S297" s="117">
        <v>202303</v>
      </c>
      <c r="T297" s="97" t="s">
        <v>556</v>
      </c>
      <c r="U297" s="97"/>
      <c r="V297" s="97"/>
      <c r="W297" s="97"/>
      <c r="X297" s="118">
        <v>44682</v>
      </c>
      <c r="Y297" s="118">
        <v>44926</v>
      </c>
    </row>
    <row r="298" s="79" customFormat="1" customHeight="1" spans="1:25">
      <c r="A298" s="104" t="s">
        <v>109</v>
      </c>
      <c r="B298" s="95" t="s">
        <v>26</v>
      </c>
      <c r="C298" s="94" t="s">
        <v>118</v>
      </c>
      <c r="D298" s="95" t="s">
        <v>28</v>
      </c>
      <c r="E298" s="105" t="s">
        <v>551</v>
      </c>
      <c r="F298" s="96" t="s">
        <v>552</v>
      </c>
      <c r="G298" s="96" t="s">
        <v>31</v>
      </c>
      <c r="H298" s="97" t="s">
        <v>558</v>
      </c>
      <c r="I298" s="23" t="e">
        <f>VLOOKUP(H298,'合同综合查询数据（3月返）'!$A:$A,1,FALSE)</f>
        <v>#N/A</v>
      </c>
      <c r="J298" s="24" t="s">
        <v>33</v>
      </c>
      <c r="K298" s="94" t="s">
        <v>122</v>
      </c>
      <c r="L298" s="94" t="s">
        <v>554</v>
      </c>
      <c r="M298" s="94" t="s">
        <v>555</v>
      </c>
      <c r="N298" s="106">
        <v>44926</v>
      </c>
      <c r="O298" s="94" t="s">
        <v>37</v>
      </c>
      <c r="P298" s="107">
        <v>50</v>
      </c>
      <c r="Q298" s="116">
        <v>-112</v>
      </c>
      <c r="R298" s="107">
        <f t="shared" si="11"/>
        <v>-5600</v>
      </c>
      <c r="S298" s="117">
        <v>202303</v>
      </c>
      <c r="T298" s="97" t="s">
        <v>557</v>
      </c>
      <c r="U298" s="97"/>
      <c r="V298" s="97"/>
      <c r="W298" s="97"/>
      <c r="X298" s="118">
        <v>44682</v>
      </c>
      <c r="Y298" s="118">
        <v>44926</v>
      </c>
    </row>
    <row r="299" s="79" customFormat="1" customHeight="1" spans="1:25">
      <c r="A299" s="104" t="s">
        <v>109</v>
      </c>
      <c r="B299" s="95" t="s">
        <v>26</v>
      </c>
      <c r="C299" s="94" t="s">
        <v>118</v>
      </c>
      <c r="D299" s="95" t="s">
        <v>28</v>
      </c>
      <c r="E299" s="105" t="s">
        <v>551</v>
      </c>
      <c r="F299" s="96" t="s">
        <v>552</v>
      </c>
      <c r="G299" s="96" t="s">
        <v>88</v>
      </c>
      <c r="H299" s="97" t="s">
        <v>558</v>
      </c>
      <c r="I299" s="23" t="e">
        <f>VLOOKUP(H299,'合同综合查询数据（3月返）'!$A:$A,1,FALSE)</f>
        <v>#N/A</v>
      </c>
      <c r="J299" s="24" t="s">
        <v>126</v>
      </c>
      <c r="K299" s="94" t="s">
        <v>122</v>
      </c>
      <c r="L299" s="94" t="s">
        <v>554</v>
      </c>
      <c r="M299" s="94" t="s">
        <v>555</v>
      </c>
      <c r="N299" s="106">
        <v>44682</v>
      </c>
      <c r="O299" s="94" t="s">
        <v>559</v>
      </c>
      <c r="P299" s="107">
        <v>3600</v>
      </c>
      <c r="Q299" s="116">
        <v>2</v>
      </c>
      <c r="R299" s="107">
        <f t="shared" si="11"/>
        <v>7200</v>
      </c>
      <c r="S299" s="117">
        <v>202303</v>
      </c>
      <c r="T299" s="97" t="s">
        <v>560</v>
      </c>
      <c r="U299" s="97"/>
      <c r="V299" s="97"/>
      <c r="W299" s="97"/>
      <c r="X299" s="118">
        <v>44682</v>
      </c>
      <c r="Y299" s="118">
        <v>44926</v>
      </c>
    </row>
    <row r="300" s="81" customFormat="1" customHeight="1" spans="1:25">
      <c r="A300" s="103" t="s">
        <v>109</v>
      </c>
      <c r="B300" s="101" t="s">
        <v>26</v>
      </c>
      <c r="C300" s="62" t="s">
        <v>118</v>
      </c>
      <c r="D300" s="101" t="s">
        <v>28</v>
      </c>
      <c r="E300" s="63" t="s">
        <v>551</v>
      </c>
      <c r="F300" s="60" t="s">
        <v>552</v>
      </c>
      <c r="G300" s="60" t="s">
        <v>88</v>
      </c>
      <c r="H300" s="102" t="s">
        <v>553</v>
      </c>
      <c r="I300" s="47" t="e">
        <f>VLOOKUP(H300,'合同综合查询数据（3月返）'!$A:$A,1,FALSE)</f>
        <v>#N/A</v>
      </c>
      <c r="J300" s="48" t="s">
        <v>126</v>
      </c>
      <c r="K300" s="62" t="s">
        <v>122</v>
      </c>
      <c r="L300" s="62" t="s">
        <v>554</v>
      </c>
      <c r="M300" s="62" t="s">
        <v>555</v>
      </c>
      <c r="N300" s="111">
        <v>44926</v>
      </c>
      <c r="O300" s="62" t="s">
        <v>559</v>
      </c>
      <c r="P300" s="112">
        <v>3600</v>
      </c>
      <c r="Q300" s="124">
        <v>-2</v>
      </c>
      <c r="R300" s="112">
        <f t="shared" si="11"/>
        <v>-7200</v>
      </c>
      <c r="S300" s="70">
        <v>202303</v>
      </c>
      <c r="T300" s="102" t="s">
        <v>560</v>
      </c>
      <c r="U300" s="102"/>
      <c r="V300" s="102"/>
      <c r="W300" s="102"/>
      <c r="X300" s="73"/>
      <c r="Y300" s="73"/>
    </row>
    <row r="301" s="81" customFormat="1" customHeight="1" spans="1:25">
      <c r="A301" s="103" t="s">
        <v>109</v>
      </c>
      <c r="B301" s="101" t="s">
        <v>26</v>
      </c>
      <c r="C301" s="62" t="s">
        <v>27</v>
      </c>
      <c r="D301" s="101" t="s">
        <v>28</v>
      </c>
      <c r="E301" s="63" t="s">
        <v>551</v>
      </c>
      <c r="F301" s="60" t="s">
        <v>552</v>
      </c>
      <c r="G301" s="60" t="s">
        <v>31</v>
      </c>
      <c r="H301" s="102" t="s">
        <v>553</v>
      </c>
      <c r="I301" s="47" t="e">
        <f>VLOOKUP(H301,'合同综合查询数据（3月返）'!$A:$A,1,FALSE)</f>
        <v>#N/A</v>
      </c>
      <c r="J301" s="48" t="s">
        <v>33</v>
      </c>
      <c r="K301" s="62" t="s">
        <v>561</v>
      </c>
      <c r="L301" s="62" t="s">
        <v>562</v>
      </c>
      <c r="M301" s="62" t="s">
        <v>563</v>
      </c>
      <c r="N301" s="111">
        <v>44682</v>
      </c>
      <c r="O301" s="62" t="s">
        <v>37</v>
      </c>
      <c r="P301" s="112">
        <v>0</v>
      </c>
      <c r="Q301" s="124">
        <v>128</v>
      </c>
      <c r="R301" s="112">
        <f t="shared" si="11"/>
        <v>0</v>
      </c>
      <c r="S301" s="70">
        <v>202303</v>
      </c>
      <c r="T301" s="102" t="s">
        <v>564</v>
      </c>
      <c r="U301" s="102"/>
      <c r="V301" s="102"/>
      <c r="W301" s="102"/>
      <c r="X301" s="73"/>
      <c r="Y301" s="73"/>
    </row>
    <row r="302" s="81" customFormat="1" customHeight="1" spans="1:25">
      <c r="A302" s="103" t="s">
        <v>109</v>
      </c>
      <c r="B302" s="101" t="s">
        <v>26</v>
      </c>
      <c r="C302" s="62" t="s">
        <v>27</v>
      </c>
      <c r="D302" s="101" t="s">
        <v>28</v>
      </c>
      <c r="E302" s="63" t="s">
        <v>551</v>
      </c>
      <c r="F302" s="60" t="s">
        <v>552</v>
      </c>
      <c r="G302" s="60" t="s">
        <v>31</v>
      </c>
      <c r="H302" s="102" t="s">
        <v>553</v>
      </c>
      <c r="I302" s="47" t="e">
        <f>VLOOKUP(H302,'合同综合查询数据（3月返）'!$A:$A,1,FALSE)</f>
        <v>#N/A</v>
      </c>
      <c r="J302" s="48" t="s">
        <v>33</v>
      </c>
      <c r="K302" s="62" t="s">
        <v>561</v>
      </c>
      <c r="L302" s="62" t="s">
        <v>562</v>
      </c>
      <c r="M302" s="62" t="s">
        <v>563</v>
      </c>
      <c r="N302" s="111">
        <v>44682</v>
      </c>
      <c r="O302" s="62" t="s">
        <v>37</v>
      </c>
      <c r="P302" s="112">
        <v>50</v>
      </c>
      <c r="Q302" s="124">
        <v>160</v>
      </c>
      <c r="R302" s="112">
        <f t="shared" si="11"/>
        <v>8000</v>
      </c>
      <c r="S302" s="70">
        <v>202303</v>
      </c>
      <c r="T302" s="102" t="s">
        <v>564</v>
      </c>
      <c r="U302" s="102"/>
      <c r="V302" s="102"/>
      <c r="W302" s="102"/>
      <c r="X302" s="73"/>
      <c r="Y302" s="73"/>
    </row>
    <row r="303" s="79" customFormat="1" customHeight="1" spans="1:25">
      <c r="A303" s="104" t="s">
        <v>109</v>
      </c>
      <c r="B303" s="95" t="s">
        <v>26</v>
      </c>
      <c r="C303" s="94" t="s">
        <v>27</v>
      </c>
      <c r="D303" s="95" t="s">
        <v>28</v>
      </c>
      <c r="E303" s="105" t="s">
        <v>551</v>
      </c>
      <c r="F303" s="96" t="s">
        <v>552</v>
      </c>
      <c r="G303" s="96" t="s">
        <v>31</v>
      </c>
      <c r="H303" s="97" t="s">
        <v>558</v>
      </c>
      <c r="I303" s="23" t="e">
        <f>VLOOKUP(H303,'合同综合查询数据（3月返）'!$A:$A,1,FALSE)</f>
        <v>#N/A</v>
      </c>
      <c r="J303" s="24" t="s">
        <v>33</v>
      </c>
      <c r="K303" s="94" t="s">
        <v>561</v>
      </c>
      <c r="L303" s="94" t="s">
        <v>562</v>
      </c>
      <c r="M303" s="94" t="s">
        <v>563</v>
      </c>
      <c r="N303" s="106">
        <v>44926</v>
      </c>
      <c r="O303" s="94" t="s">
        <v>37</v>
      </c>
      <c r="P303" s="107">
        <v>0</v>
      </c>
      <c r="Q303" s="116">
        <v>-128</v>
      </c>
      <c r="R303" s="107">
        <f t="shared" si="11"/>
        <v>0</v>
      </c>
      <c r="S303" s="117">
        <v>202303</v>
      </c>
      <c r="T303" s="97" t="s">
        <v>564</v>
      </c>
      <c r="U303" s="97"/>
      <c r="V303" s="97"/>
      <c r="W303" s="97"/>
      <c r="X303" s="118">
        <v>44682</v>
      </c>
      <c r="Y303" s="118">
        <v>44926</v>
      </c>
    </row>
    <row r="304" s="79" customFormat="1" customHeight="1" spans="1:25">
      <c r="A304" s="104" t="s">
        <v>109</v>
      </c>
      <c r="B304" s="95" t="s">
        <v>26</v>
      </c>
      <c r="C304" s="94" t="s">
        <v>27</v>
      </c>
      <c r="D304" s="95" t="s">
        <v>28</v>
      </c>
      <c r="E304" s="105" t="s">
        <v>551</v>
      </c>
      <c r="F304" s="96" t="s">
        <v>552</v>
      </c>
      <c r="G304" s="96" t="s">
        <v>31</v>
      </c>
      <c r="H304" s="97" t="s">
        <v>558</v>
      </c>
      <c r="I304" s="23" t="e">
        <f>VLOOKUP(H304,'合同综合查询数据（3月返）'!$A:$A,1,FALSE)</f>
        <v>#N/A</v>
      </c>
      <c r="J304" s="24" t="s">
        <v>33</v>
      </c>
      <c r="K304" s="94" t="s">
        <v>561</v>
      </c>
      <c r="L304" s="94" t="s">
        <v>562</v>
      </c>
      <c r="M304" s="94" t="s">
        <v>563</v>
      </c>
      <c r="N304" s="106">
        <v>44926</v>
      </c>
      <c r="O304" s="94" t="s">
        <v>37</v>
      </c>
      <c r="P304" s="107">
        <v>50</v>
      </c>
      <c r="Q304" s="116">
        <v>-160</v>
      </c>
      <c r="R304" s="107">
        <f t="shared" si="11"/>
        <v>-8000</v>
      </c>
      <c r="S304" s="117">
        <v>202303</v>
      </c>
      <c r="T304" s="97" t="s">
        <v>564</v>
      </c>
      <c r="U304" s="97"/>
      <c r="V304" s="97"/>
      <c r="W304" s="97"/>
      <c r="X304" s="118">
        <v>44682</v>
      </c>
      <c r="Y304" s="118">
        <v>44926</v>
      </c>
    </row>
    <row r="305" s="79" customFormat="1" customHeight="1" spans="1:25">
      <c r="A305" s="104" t="s">
        <v>109</v>
      </c>
      <c r="B305" s="95" t="s">
        <v>26</v>
      </c>
      <c r="C305" s="94" t="s">
        <v>27</v>
      </c>
      <c r="D305" s="95" t="s">
        <v>28</v>
      </c>
      <c r="E305" s="105" t="s">
        <v>551</v>
      </c>
      <c r="F305" s="96" t="s">
        <v>552</v>
      </c>
      <c r="G305" s="96" t="s">
        <v>88</v>
      </c>
      <c r="H305" s="97" t="s">
        <v>558</v>
      </c>
      <c r="I305" s="23" t="e">
        <f>VLOOKUP(H305,'合同综合查询数据（3月返）'!$A:$A,1,FALSE)</f>
        <v>#N/A</v>
      </c>
      <c r="J305" s="24" t="s">
        <v>126</v>
      </c>
      <c r="K305" s="94" t="s">
        <v>561</v>
      </c>
      <c r="L305" s="94" t="s">
        <v>562</v>
      </c>
      <c r="M305" s="94" t="s">
        <v>563</v>
      </c>
      <c r="N305" s="106">
        <v>44682</v>
      </c>
      <c r="O305" s="94" t="s">
        <v>127</v>
      </c>
      <c r="P305" s="107">
        <v>4100</v>
      </c>
      <c r="Q305" s="116">
        <v>2</v>
      </c>
      <c r="R305" s="107">
        <f t="shared" si="11"/>
        <v>8200</v>
      </c>
      <c r="S305" s="117">
        <v>202303</v>
      </c>
      <c r="T305" s="97" t="s">
        <v>565</v>
      </c>
      <c r="U305" s="97"/>
      <c r="V305" s="97"/>
      <c r="W305" s="97"/>
      <c r="X305" s="118">
        <v>44682</v>
      </c>
      <c r="Y305" s="118">
        <v>44926</v>
      </c>
    </row>
    <row r="306" s="81" customFormat="1" customHeight="1" spans="1:25">
      <c r="A306" s="103" t="s">
        <v>109</v>
      </c>
      <c r="B306" s="101" t="s">
        <v>26</v>
      </c>
      <c r="C306" s="62" t="s">
        <v>27</v>
      </c>
      <c r="D306" s="101" t="s">
        <v>28</v>
      </c>
      <c r="E306" s="63" t="s">
        <v>551</v>
      </c>
      <c r="F306" s="60" t="s">
        <v>552</v>
      </c>
      <c r="G306" s="60" t="s">
        <v>88</v>
      </c>
      <c r="H306" s="102" t="s">
        <v>553</v>
      </c>
      <c r="I306" s="47" t="e">
        <f>VLOOKUP(H306,'合同综合查询数据（3月返）'!$A:$A,1,FALSE)</f>
        <v>#N/A</v>
      </c>
      <c r="J306" s="48" t="s">
        <v>126</v>
      </c>
      <c r="K306" s="62" t="s">
        <v>561</v>
      </c>
      <c r="L306" s="62" t="s">
        <v>562</v>
      </c>
      <c r="M306" s="62" t="s">
        <v>563</v>
      </c>
      <c r="N306" s="111">
        <v>44926</v>
      </c>
      <c r="O306" s="62" t="s">
        <v>127</v>
      </c>
      <c r="P306" s="112">
        <v>4100</v>
      </c>
      <c r="Q306" s="124">
        <v>-2</v>
      </c>
      <c r="R306" s="112">
        <f t="shared" si="11"/>
        <v>-8200</v>
      </c>
      <c r="S306" s="70">
        <v>202303</v>
      </c>
      <c r="T306" s="102" t="s">
        <v>565</v>
      </c>
      <c r="U306" s="102"/>
      <c r="V306" s="102"/>
      <c r="W306" s="102"/>
      <c r="X306" s="73"/>
      <c r="Y306" s="73"/>
    </row>
    <row r="307" s="79" customFormat="1" customHeight="1" spans="1:25">
      <c r="A307" s="129" t="s">
        <v>401</v>
      </c>
      <c r="B307" s="98" t="s">
        <v>62</v>
      </c>
      <c r="C307" s="98" t="s">
        <v>217</v>
      </c>
      <c r="D307" s="98" t="s">
        <v>566</v>
      </c>
      <c r="E307" s="130" t="s">
        <v>567</v>
      </c>
      <c r="F307" s="129" t="s">
        <v>568</v>
      </c>
      <c r="G307" s="109" t="s">
        <v>88</v>
      </c>
      <c r="H307" s="100" t="s">
        <v>569</v>
      </c>
      <c r="I307" s="23" t="e">
        <f>VLOOKUP(H307,'合同综合查询数据（3月返）'!$A:$A,1,FALSE)</f>
        <v>#N/A</v>
      </c>
      <c r="J307" s="24" t="s">
        <v>90</v>
      </c>
      <c r="K307" s="109" t="s">
        <v>570</v>
      </c>
      <c r="L307" s="109"/>
      <c r="M307" s="26" t="s">
        <v>539</v>
      </c>
      <c r="N307" s="28">
        <v>44105</v>
      </c>
      <c r="O307" s="28" t="s">
        <v>457</v>
      </c>
      <c r="P307" s="131">
        <v>5803.6</v>
      </c>
      <c r="Q307" s="131">
        <v>42</v>
      </c>
      <c r="R307" s="120">
        <f t="shared" si="11"/>
        <v>243751.2</v>
      </c>
      <c r="S307" s="117">
        <v>202303</v>
      </c>
      <c r="T307" s="38" t="s">
        <v>571</v>
      </c>
      <c r="U307" s="134"/>
      <c r="V307" s="133"/>
      <c r="W307" s="133"/>
      <c r="X307" s="118">
        <v>44075</v>
      </c>
      <c r="Y307" s="118">
        <v>46265</v>
      </c>
    </row>
    <row r="308" s="79" customFormat="1" customHeight="1" spans="1:25">
      <c r="A308" s="129" t="s">
        <v>401</v>
      </c>
      <c r="B308" s="98" t="s">
        <v>62</v>
      </c>
      <c r="C308" s="98" t="s">
        <v>217</v>
      </c>
      <c r="D308" s="98" t="s">
        <v>566</v>
      </c>
      <c r="E308" s="130" t="s">
        <v>567</v>
      </c>
      <c r="F308" s="129" t="s">
        <v>568</v>
      </c>
      <c r="G308" s="109" t="s">
        <v>88</v>
      </c>
      <c r="H308" s="100" t="s">
        <v>569</v>
      </c>
      <c r="I308" s="23" t="e">
        <f>VLOOKUP(H308,'合同综合查询数据（3月返）'!$A:$A,1,FALSE)</f>
        <v>#N/A</v>
      </c>
      <c r="J308" s="24" t="s">
        <v>90</v>
      </c>
      <c r="K308" s="109" t="s">
        <v>570</v>
      </c>
      <c r="L308" s="109"/>
      <c r="M308" s="26" t="s">
        <v>539</v>
      </c>
      <c r="N308" s="28">
        <v>44105</v>
      </c>
      <c r="O308" s="28" t="s">
        <v>461</v>
      </c>
      <c r="P308" s="131">
        <v>11600</v>
      </c>
      <c r="Q308" s="131">
        <v>81</v>
      </c>
      <c r="R308" s="120">
        <f t="shared" si="11"/>
        <v>939600</v>
      </c>
      <c r="S308" s="117">
        <v>202303</v>
      </c>
      <c r="T308" s="38" t="s">
        <v>572</v>
      </c>
      <c r="U308" s="134"/>
      <c r="V308" s="133"/>
      <c r="W308" s="133"/>
      <c r="X308" s="118">
        <v>44075</v>
      </c>
      <c r="Y308" s="118">
        <v>46265</v>
      </c>
    </row>
    <row r="309" s="79" customFormat="1" customHeight="1" spans="1:25">
      <c r="A309" s="129" t="s">
        <v>401</v>
      </c>
      <c r="B309" s="98" t="s">
        <v>62</v>
      </c>
      <c r="C309" s="98" t="s">
        <v>217</v>
      </c>
      <c r="D309" s="98" t="s">
        <v>566</v>
      </c>
      <c r="E309" s="130" t="s">
        <v>567</v>
      </c>
      <c r="F309" s="129" t="s">
        <v>568</v>
      </c>
      <c r="G309" s="109" t="s">
        <v>88</v>
      </c>
      <c r="H309" s="100" t="s">
        <v>569</v>
      </c>
      <c r="I309" s="23" t="e">
        <f>VLOOKUP(H309,'合同综合查询数据（3月返）'!$A:$A,1,FALSE)</f>
        <v>#N/A</v>
      </c>
      <c r="J309" s="24" t="s">
        <v>90</v>
      </c>
      <c r="K309" s="109" t="s">
        <v>570</v>
      </c>
      <c r="L309" s="109"/>
      <c r="M309" s="26" t="s">
        <v>539</v>
      </c>
      <c r="N309" s="28">
        <v>44105</v>
      </c>
      <c r="O309" s="28" t="s">
        <v>511</v>
      </c>
      <c r="P309" s="131">
        <v>11871</v>
      </c>
      <c r="Q309" s="131">
        <v>5</v>
      </c>
      <c r="R309" s="120">
        <f t="shared" si="11"/>
        <v>59355</v>
      </c>
      <c r="S309" s="117">
        <v>202303</v>
      </c>
      <c r="T309" s="38" t="s">
        <v>573</v>
      </c>
      <c r="U309" s="134"/>
      <c r="V309" s="133"/>
      <c r="W309" s="133"/>
      <c r="X309" s="118">
        <v>44075</v>
      </c>
      <c r="Y309" s="118">
        <v>46265</v>
      </c>
    </row>
    <row r="310" s="79" customFormat="1" customHeight="1" spans="1:25">
      <c r="A310" s="129" t="s">
        <v>401</v>
      </c>
      <c r="B310" s="98" t="s">
        <v>62</v>
      </c>
      <c r="C310" s="98" t="s">
        <v>217</v>
      </c>
      <c r="D310" s="98" t="s">
        <v>566</v>
      </c>
      <c r="E310" s="130" t="s">
        <v>567</v>
      </c>
      <c r="F310" s="129" t="s">
        <v>568</v>
      </c>
      <c r="G310" s="109" t="s">
        <v>88</v>
      </c>
      <c r="H310" s="100" t="s">
        <v>569</v>
      </c>
      <c r="I310" s="23" t="e">
        <f>VLOOKUP(H310,'合同综合查询数据（3月返）'!$A:$A,1,FALSE)</f>
        <v>#N/A</v>
      </c>
      <c r="J310" s="24" t="s">
        <v>90</v>
      </c>
      <c r="K310" s="109" t="s">
        <v>570</v>
      </c>
      <c r="L310" s="109"/>
      <c r="M310" s="26" t="s">
        <v>539</v>
      </c>
      <c r="N310" s="28">
        <v>44105</v>
      </c>
      <c r="O310" s="28" t="s">
        <v>574</v>
      </c>
      <c r="P310" s="131">
        <v>31656</v>
      </c>
      <c r="Q310" s="131">
        <v>12</v>
      </c>
      <c r="R310" s="120">
        <f t="shared" si="11"/>
        <v>379872</v>
      </c>
      <c r="S310" s="117">
        <v>202303</v>
      </c>
      <c r="T310" s="38" t="s">
        <v>575</v>
      </c>
      <c r="U310" s="134"/>
      <c r="V310" s="133"/>
      <c r="W310" s="133"/>
      <c r="X310" s="118">
        <v>44075</v>
      </c>
      <c r="Y310" s="118">
        <v>46265</v>
      </c>
    </row>
    <row r="311" s="79" customFormat="1" customHeight="1" spans="1:25">
      <c r="A311" s="129" t="s">
        <v>401</v>
      </c>
      <c r="B311" s="98" t="s">
        <v>62</v>
      </c>
      <c r="C311" s="98" t="s">
        <v>217</v>
      </c>
      <c r="D311" s="98" t="s">
        <v>566</v>
      </c>
      <c r="E311" s="130" t="s">
        <v>567</v>
      </c>
      <c r="F311" s="129" t="s">
        <v>568</v>
      </c>
      <c r="G311" s="109" t="s">
        <v>88</v>
      </c>
      <c r="H311" s="100" t="s">
        <v>569</v>
      </c>
      <c r="I311" s="23" t="e">
        <f>VLOOKUP(H311,'合同综合查询数据（3月返）'!$A:$A,1,FALSE)</f>
        <v>#N/A</v>
      </c>
      <c r="J311" s="24" t="s">
        <v>90</v>
      </c>
      <c r="K311" s="109" t="s">
        <v>570</v>
      </c>
      <c r="L311" s="109"/>
      <c r="M311" s="26" t="s">
        <v>539</v>
      </c>
      <c r="N311" s="28">
        <v>44105</v>
      </c>
      <c r="O311" s="28" t="s">
        <v>545</v>
      </c>
      <c r="P311" s="131">
        <v>5280</v>
      </c>
      <c r="Q311" s="131">
        <v>16</v>
      </c>
      <c r="R311" s="120">
        <f t="shared" si="11"/>
        <v>84480</v>
      </c>
      <c r="S311" s="117">
        <v>202303</v>
      </c>
      <c r="T311" s="38" t="s">
        <v>576</v>
      </c>
      <c r="U311" s="134"/>
      <c r="V311" s="133"/>
      <c r="W311" s="133"/>
      <c r="X311" s="118">
        <v>44075</v>
      </c>
      <c r="Y311" s="118">
        <v>46265</v>
      </c>
    </row>
    <row r="312" s="79" customFormat="1" customHeight="1" spans="1:25">
      <c r="A312" s="129" t="s">
        <v>401</v>
      </c>
      <c r="B312" s="98" t="s">
        <v>62</v>
      </c>
      <c r="C312" s="98" t="s">
        <v>217</v>
      </c>
      <c r="D312" s="98" t="s">
        <v>566</v>
      </c>
      <c r="E312" s="130" t="s">
        <v>567</v>
      </c>
      <c r="F312" s="129" t="s">
        <v>568</v>
      </c>
      <c r="G312" s="109" t="s">
        <v>88</v>
      </c>
      <c r="H312" s="100" t="s">
        <v>569</v>
      </c>
      <c r="I312" s="23" t="e">
        <f>VLOOKUP(H312,'合同综合查询数据（3月返）'!$A:$A,1,FALSE)</f>
        <v>#N/A</v>
      </c>
      <c r="J312" s="24" t="s">
        <v>90</v>
      </c>
      <c r="K312" s="109" t="s">
        <v>570</v>
      </c>
      <c r="L312" s="109"/>
      <c r="M312" s="26" t="s">
        <v>539</v>
      </c>
      <c r="N312" s="28">
        <v>44137</v>
      </c>
      <c r="O312" s="28" t="s">
        <v>461</v>
      </c>
      <c r="P312" s="131">
        <v>11600</v>
      </c>
      <c r="Q312" s="131">
        <v>23</v>
      </c>
      <c r="R312" s="120">
        <f t="shared" si="11"/>
        <v>266800</v>
      </c>
      <c r="S312" s="117">
        <v>202303</v>
      </c>
      <c r="T312" s="38" t="s">
        <v>577</v>
      </c>
      <c r="U312" s="38"/>
      <c r="V312" s="133"/>
      <c r="W312" s="133"/>
      <c r="X312" s="118">
        <v>44075</v>
      </c>
      <c r="Y312" s="118">
        <v>46265</v>
      </c>
    </row>
    <row r="313" s="79" customFormat="1" customHeight="1" spans="1:25">
      <c r="A313" s="129" t="s">
        <v>401</v>
      </c>
      <c r="B313" s="98" t="s">
        <v>62</v>
      </c>
      <c r="C313" s="98" t="s">
        <v>217</v>
      </c>
      <c r="D313" s="98" t="s">
        <v>566</v>
      </c>
      <c r="E313" s="130" t="s">
        <v>567</v>
      </c>
      <c r="F313" s="129" t="s">
        <v>568</v>
      </c>
      <c r="G313" s="109" t="s">
        <v>88</v>
      </c>
      <c r="H313" s="100" t="s">
        <v>569</v>
      </c>
      <c r="I313" s="23" t="e">
        <f>VLOOKUP(H313,'合同综合查询数据（3月返）'!$A:$A,1,FALSE)</f>
        <v>#N/A</v>
      </c>
      <c r="J313" s="24" t="s">
        <v>90</v>
      </c>
      <c r="K313" s="109" t="s">
        <v>570</v>
      </c>
      <c r="L313" s="109"/>
      <c r="M313" s="26" t="s">
        <v>539</v>
      </c>
      <c r="N313" s="28">
        <v>44174</v>
      </c>
      <c r="O313" s="28" t="s">
        <v>461</v>
      </c>
      <c r="P313" s="131">
        <v>11600</v>
      </c>
      <c r="Q313" s="131">
        <v>19</v>
      </c>
      <c r="R313" s="120">
        <f t="shared" si="11"/>
        <v>220400</v>
      </c>
      <c r="S313" s="117">
        <v>202303</v>
      </c>
      <c r="T313" s="38" t="s">
        <v>578</v>
      </c>
      <c r="U313" s="38"/>
      <c r="V313" s="133"/>
      <c r="W313" s="133"/>
      <c r="X313" s="118">
        <v>44075</v>
      </c>
      <c r="Y313" s="118">
        <v>46265</v>
      </c>
    </row>
    <row r="314" s="79" customFormat="1" customHeight="1" spans="1:25">
      <c r="A314" s="129" t="s">
        <v>401</v>
      </c>
      <c r="B314" s="98" t="s">
        <v>62</v>
      </c>
      <c r="C314" s="98" t="s">
        <v>217</v>
      </c>
      <c r="D314" s="98" t="s">
        <v>566</v>
      </c>
      <c r="E314" s="130" t="s">
        <v>567</v>
      </c>
      <c r="F314" s="129" t="s">
        <v>568</v>
      </c>
      <c r="G314" s="109" t="s">
        <v>88</v>
      </c>
      <c r="H314" s="100" t="s">
        <v>569</v>
      </c>
      <c r="I314" s="23" t="e">
        <f>VLOOKUP(H314,'合同综合查询数据（3月返）'!$A:$A,1,FALSE)</f>
        <v>#N/A</v>
      </c>
      <c r="J314" s="24" t="s">
        <v>90</v>
      </c>
      <c r="K314" s="109" t="s">
        <v>570</v>
      </c>
      <c r="L314" s="109"/>
      <c r="M314" s="26" t="s">
        <v>539</v>
      </c>
      <c r="N314" s="28">
        <v>44179</v>
      </c>
      <c r="O314" s="28" t="s">
        <v>461</v>
      </c>
      <c r="P314" s="131">
        <v>11600</v>
      </c>
      <c r="Q314" s="131">
        <v>38</v>
      </c>
      <c r="R314" s="120">
        <f t="shared" si="11"/>
        <v>440800</v>
      </c>
      <c r="S314" s="117">
        <v>202303</v>
      </c>
      <c r="T314" s="38" t="s">
        <v>579</v>
      </c>
      <c r="U314" s="38"/>
      <c r="V314" s="133"/>
      <c r="W314" s="133"/>
      <c r="X314" s="118">
        <v>44075</v>
      </c>
      <c r="Y314" s="118">
        <v>46265</v>
      </c>
    </row>
    <row r="315" s="79" customFormat="1" customHeight="1" spans="1:25">
      <c r="A315" s="129" t="s">
        <v>401</v>
      </c>
      <c r="B315" s="98" t="s">
        <v>62</v>
      </c>
      <c r="C315" s="98" t="s">
        <v>217</v>
      </c>
      <c r="D315" s="98" t="s">
        <v>566</v>
      </c>
      <c r="E315" s="130" t="s">
        <v>567</v>
      </c>
      <c r="F315" s="129" t="s">
        <v>568</v>
      </c>
      <c r="G315" s="109" t="s">
        <v>88</v>
      </c>
      <c r="H315" s="100" t="s">
        <v>569</v>
      </c>
      <c r="I315" s="23" t="e">
        <f>VLOOKUP(H315,'合同综合查询数据（3月返）'!$A:$A,1,FALSE)</f>
        <v>#N/A</v>
      </c>
      <c r="J315" s="24" t="s">
        <v>90</v>
      </c>
      <c r="K315" s="109" t="s">
        <v>570</v>
      </c>
      <c r="L315" s="109"/>
      <c r="M315" s="26" t="s">
        <v>539</v>
      </c>
      <c r="N315" s="28">
        <v>44190</v>
      </c>
      <c r="O315" s="28" t="s">
        <v>461</v>
      </c>
      <c r="P315" s="131">
        <v>11600</v>
      </c>
      <c r="Q315" s="131">
        <v>13</v>
      </c>
      <c r="R315" s="120">
        <f t="shared" si="11"/>
        <v>150800</v>
      </c>
      <c r="S315" s="117">
        <v>202303</v>
      </c>
      <c r="T315" s="38" t="s">
        <v>580</v>
      </c>
      <c r="U315" s="38"/>
      <c r="V315" s="133"/>
      <c r="W315" s="133"/>
      <c r="X315" s="118">
        <v>44075</v>
      </c>
      <c r="Y315" s="118">
        <v>46265</v>
      </c>
    </row>
    <row r="316" s="79" customFormat="1" customHeight="1" spans="1:25">
      <c r="A316" s="129" t="s">
        <v>401</v>
      </c>
      <c r="B316" s="98" t="s">
        <v>62</v>
      </c>
      <c r="C316" s="98" t="s">
        <v>217</v>
      </c>
      <c r="D316" s="98" t="s">
        <v>566</v>
      </c>
      <c r="E316" s="130" t="s">
        <v>567</v>
      </c>
      <c r="F316" s="129" t="s">
        <v>568</v>
      </c>
      <c r="G316" s="109" t="s">
        <v>88</v>
      </c>
      <c r="H316" s="100" t="s">
        <v>569</v>
      </c>
      <c r="I316" s="23" t="e">
        <f>VLOOKUP(H316,'合同综合查询数据（3月返）'!$A:$A,1,FALSE)</f>
        <v>#N/A</v>
      </c>
      <c r="J316" s="24" t="s">
        <v>90</v>
      </c>
      <c r="K316" s="109" t="s">
        <v>570</v>
      </c>
      <c r="L316" s="109"/>
      <c r="M316" s="26" t="s">
        <v>539</v>
      </c>
      <c r="N316" s="28">
        <v>44192</v>
      </c>
      <c r="O316" s="28" t="s">
        <v>461</v>
      </c>
      <c r="P316" s="131">
        <v>11600</v>
      </c>
      <c r="Q316" s="131">
        <v>25</v>
      </c>
      <c r="R316" s="120">
        <f t="shared" si="11"/>
        <v>290000</v>
      </c>
      <c r="S316" s="117">
        <v>202303</v>
      </c>
      <c r="T316" s="38" t="s">
        <v>581</v>
      </c>
      <c r="U316" s="38"/>
      <c r="V316" s="133"/>
      <c r="W316" s="133"/>
      <c r="X316" s="118">
        <v>44075</v>
      </c>
      <c r="Y316" s="118">
        <v>46265</v>
      </c>
    </row>
    <row r="317" s="79" customFormat="1" customHeight="1" spans="1:25">
      <c r="A317" s="129" t="s">
        <v>401</v>
      </c>
      <c r="B317" s="98" t="s">
        <v>62</v>
      </c>
      <c r="C317" s="98" t="s">
        <v>217</v>
      </c>
      <c r="D317" s="98" t="s">
        <v>566</v>
      </c>
      <c r="E317" s="130" t="s">
        <v>567</v>
      </c>
      <c r="F317" s="129" t="s">
        <v>568</v>
      </c>
      <c r="G317" s="109" t="s">
        <v>88</v>
      </c>
      <c r="H317" s="100" t="s">
        <v>569</v>
      </c>
      <c r="I317" s="23" t="e">
        <f>VLOOKUP(H317,'合同综合查询数据（3月返）'!$A:$A,1,FALSE)</f>
        <v>#N/A</v>
      </c>
      <c r="J317" s="24" t="s">
        <v>90</v>
      </c>
      <c r="K317" s="109" t="s">
        <v>570</v>
      </c>
      <c r="L317" s="109"/>
      <c r="M317" s="26" t="s">
        <v>539</v>
      </c>
      <c r="N317" s="28">
        <v>44196</v>
      </c>
      <c r="O317" s="28" t="s">
        <v>461</v>
      </c>
      <c r="P317" s="131">
        <v>11600</v>
      </c>
      <c r="Q317" s="131">
        <v>13</v>
      </c>
      <c r="R317" s="120">
        <f t="shared" si="11"/>
        <v>150800</v>
      </c>
      <c r="S317" s="117">
        <v>202303</v>
      </c>
      <c r="T317" s="38" t="s">
        <v>582</v>
      </c>
      <c r="U317" s="38"/>
      <c r="V317" s="133"/>
      <c r="W317" s="133"/>
      <c r="X317" s="118">
        <v>44075</v>
      </c>
      <c r="Y317" s="118">
        <v>46265</v>
      </c>
    </row>
    <row r="318" s="79" customFormat="1" customHeight="1" spans="1:25">
      <c r="A318" s="129" t="s">
        <v>401</v>
      </c>
      <c r="B318" s="98" t="s">
        <v>62</v>
      </c>
      <c r="C318" s="98" t="s">
        <v>217</v>
      </c>
      <c r="D318" s="98" t="s">
        <v>566</v>
      </c>
      <c r="E318" s="130" t="s">
        <v>567</v>
      </c>
      <c r="F318" s="129" t="s">
        <v>568</v>
      </c>
      <c r="G318" s="109" t="s">
        <v>88</v>
      </c>
      <c r="H318" s="100" t="s">
        <v>569</v>
      </c>
      <c r="I318" s="23" t="e">
        <f>VLOOKUP(H318,'合同综合查询数据（3月返）'!$A:$A,1,FALSE)</f>
        <v>#N/A</v>
      </c>
      <c r="J318" s="24" t="s">
        <v>90</v>
      </c>
      <c r="K318" s="109" t="s">
        <v>570</v>
      </c>
      <c r="L318" s="109"/>
      <c r="M318" s="26" t="s">
        <v>539</v>
      </c>
      <c r="N318" s="28">
        <v>44201</v>
      </c>
      <c r="O318" s="28" t="s">
        <v>461</v>
      </c>
      <c r="P318" s="131">
        <v>11600</v>
      </c>
      <c r="Q318" s="131">
        <v>19</v>
      </c>
      <c r="R318" s="120">
        <f t="shared" si="11"/>
        <v>220400</v>
      </c>
      <c r="S318" s="117">
        <v>202303</v>
      </c>
      <c r="T318" s="38" t="s">
        <v>583</v>
      </c>
      <c r="U318" s="38"/>
      <c r="V318" s="133"/>
      <c r="W318" s="133"/>
      <c r="X318" s="118">
        <v>44075</v>
      </c>
      <c r="Y318" s="118">
        <v>46265</v>
      </c>
    </row>
    <row r="319" s="79" customFormat="1" customHeight="1" spans="1:25">
      <c r="A319" s="129" t="s">
        <v>401</v>
      </c>
      <c r="B319" s="98" t="s">
        <v>62</v>
      </c>
      <c r="C319" s="98" t="s">
        <v>217</v>
      </c>
      <c r="D319" s="98" t="s">
        <v>566</v>
      </c>
      <c r="E319" s="130" t="s">
        <v>567</v>
      </c>
      <c r="F319" s="129" t="s">
        <v>568</v>
      </c>
      <c r="G319" s="109" t="s">
        <v>88</v>
      </c>
      <c r="H319" s="100" t="s">
        <v>569</v>
      </c>
      <c r="I319" s="23" t="e">
        <f>VLOOKUP(H319,'合同综合查询数据（3月返）'!$A:$A,1,FALSE)</f>
        <v>#N/A</v>
      </c>
      <c r="J319" s="24" t="s">
        <v>90</v>
      </c>
      <c r="K319" s="109" t="s">
        <v>570</v>
      </c>
      <c r="L319" s="109"/>
      <c r="M319" s="26" t="s">
        <v>539</v>
      </c>
      <c r="N319" s="28">
        <v>44203</v>
      </c>
      <c r="O319" s="28" t="s">
        <v>461</v>
      </c>
      <c r="P319" s="131">
        <v>11600</v>
      </c>
      <c r="Q319" s="131">
        <v>20</v>
      </c>
      <c r="R319" s="120">
        <f t="shared" si="11"/>
        <v>232000</v>
      </c>
      <c r="S319" s="117">
        <v>202303</v>
      </c>
      <c r="T319" s="38" t="s">
        <v>584</v>
      </c>
      <c r="U319" s="38"/>
      <c r="V319" s="133"/>
      <c r="W319" s="133"/>
      <c r="X319" s="118">
        <v>44075</v>
      </c>
      <c r="Y319" s="118">
        <v>46265</v>
      </c>
    </row>
    <row r="320" s="79" customFormat="1" customHeight="1" spans="1:25">
      <c r="A320" s="129" t="s">
        <v>401</v>
      </c>
      <c r="B320" s="98" t="s">
        <v>62</v>
      </c>
      <c r="C320" s="98" t="s">
        <v>217</v>
      </c>
      <c r="D320" s="98" t="s">
        <v>566</v>
      </c>
      <c r="E320" s="130" t="s">
        <v>567</v>
      </c>
      <c r="F320" s="129" t="s">
        <v>568</v>
      </c>
      <c r="G320" s="109" t="s">
        <v>88</v>
      </c>
      <c r="H320" s="100" t="s">
        <v>569</v>
      </c>
      <c r="I320" s="23" t="e">
        <f>VLOOKUP(H320,'合同综合查询数据（3月返）'!$A:$A,1,FALSE)</f>
        <v>#N/A</v>
      </c>
      <c r="J320" s="24" t="s">
        <v>90</v>
      </c>
      <c r="K320" s="109" t="s">
        <v>570</v>
      </c>
      <c r="L320" s="109"/>
      <c r="M320" s="26" t="s">
        <v>539</v>
      </c>
      <c r="N320" s="28">
        <v>44211</v>
      </c>
      <c r="O320" s="28" t="s">
        <v>461</v>
      </c>
      <c r="P320" s="131">
        <v>11600</v>
      </c>
      <c r="Q320" s="131">
        <v>8</v>
      </c>
      <c r="R320" s="120">
        <f t="shared" si="11"/>
        <v>92800</v>
      </c>
      <c r="S320" s="117">
        <v>202303</v>
      </c>
      <c r="T320" s="38" t="s">
        <v>585</v>
      </c>
      <c r="U320" s="38"/>
      <c r="V320" s="133"/>
      <c r="W320" s="133"/>
      <c r="X320" s="118">
        <v>44075</v>
      </c>
      <c r="Y320" s="118">
        <v>46265</v>
      </c>
    </row>
    <row r="321" s="79" customFormat="1" customHeight="1" spans="1:25">
      <c r="A321" s="129" t="s">
        <v>401</v>
      </c>
      <c r="B321" s="98" t="s">
        <v>62</v>
      </c>
      <c r="C321" s="98" t="s">
        <v>217</v>
      </c>
      <c r="D321" s="98" t="s">
        <v>566</v>
      </c>
      <c r="E321" s="130" t="s">
        <v>567</v>
      </c>
      <c r="F321" s="129" t="s">
        <v>568</v>
      </c>
      <c r="G321" s="109" t="s">
        <v>88</v>
      </c>
      <c r="H321" s="100" t="s">
        <v>569</v>
      </c>
      <c r="I321" s="23" t="e">
        <f>VLOOKUP(H321,'合同综合查询数据（3月返）'!$A:$A,1,FALSE)</f>
        <v>#N/A</v>
      </c>
      <c r="J321" s="24" t="s">
        <v>90</v>
      </c>
      <c r="K321" s="109" t="s">
        <v>570</v>
      </c>
      <c r="L321" s="109"/>
      <c r="M321" s="26" t="s">
        <v>539</v>
      </c>
      <c r="N321" s="28">
        <v>44212</v>
      </c>
      <c r="O321" s="28" t="s">
        <v>461</v>
      </c>
      <c r="P321" s="131">
        <v>11600</v>
      </c>
      <c r="Q321" s="131">
        <v>2</v>
      </c>
      <c r="R321" s="120">
        <f t="shared" si="11"/>
        <v>23200</v>
      </c>
      <c r="S321" s="117">
        <v>202303</v>
      </c>
      <c r="T321" s="38" t="s">
        <v>586</v>
      </c>
      <c r="U321" s="38"/>
      <c r="V321" s="133"/>
      <c r="W321" s="133"/>
      <c r="X321" s="118">
        <v>44075</v>
      </c>
      <c r="Y321" s="118">
        <v>46265</v>
      </c>
    </row>
    <row r="322" s="79" customFormat="1" customHeight="1" spans="1:25">
      <c r="A322" s="129" t="s">
        <v>401</v>
      </c>
      <c r="B322" s="98" t="s">
        <v>62</v>
      </c>
      <c r="C322" s="98" t="s">
        <v>217</v>
      </c>
      <c r="D322" s="98" t="s">
        <v>566</v>
      </c>
      <c r="E322" s="130" t="s">
        <v>567</v>
      </c>
      <c r="F322" s="129" t="s">
        <v>568</v>
      </c>
      <c r="G322" s="109" t="s">
        <v>88</v>
      </c>
      <c r="H322" s="100" t="s">
        <v>569</v>
      </c>
      <c r="I322" s="23" t="e">
        <f>VLOOKUP(H322,'合同综合查询数据（3月返）'!$A:$A,1,FALSE)</f>
        <v>#N/A</v>
      </c>
      <c r="J322" s="24" t="s">
        <v>90</v>
      </c>
      <c r="K322" s="109" t="s">
        <v>570</v>
      </c>
      <c r="L322" s="109"/>
      <c r="M322" s="26" t="s">
        <v>539</v>
      </c>
      <c r="N322" s="28">
        <v>44217</v>
      </c>
      <c r="O322" s="28" t="s">
        <v>461</v>
      </c>
      <c r="P322" s="131">
        <v>11600</v>
      </c>
      <c r="Q322" s="131">
        <v>25</v>
      </c>
      <c r="R322" s="120">
        <f t="shared" si="11"/>
        <v>290000</v>
      </c>
      <c r="S322" s="117">
        <v>202303</v>
      </c>
      <c r="T322" s="38" t="s">
        <v>587</v>
      </c>
      <c r="U322" s="38"/>
      <c r="V322" s="133"/>
      <c r="W322" s="133"/>
      <c r="X322" s="118">
        <v>44075</v>
      </c>
      <c r="Y322" s="118">
        <v>46265</v>
      </c>
    </row>
    <row r="323" s="79" customFormat="1" customHeight="1" spans="1:25">
      <c r="A323" s="129" t="s">
        <v>401</v>
      </c>
      <c r="B323" s="98" t="s">
        <v>62</v>
      </c>
      <c r="C323" s="98" t="s">
        <v>217</v>
      </c>
      <c r="D323" s="98" t="s">
        <v>566</v>
      </c>
      <c r="E323" s="130" t="s">
        <v>567</v>
      </c>
      <c r="F323" s="129" t="s">
        <v>568</v>
      </c>
      <c r="G323" s="109" t="s">
        <v>88</v>
      </c>
      <c r="H323" s="100" t="s">
        <v>569</v>
      </c>
      <c r="I323" s="23" t="e">
        <f>VLOOKUP(H323,'合同综合查询数据（3月返）'!$A:$A,1,FALSE)</f>
        <v>#N/A</v>
      </c>
      <c r="J323" s="24" t="s">
        <v>90</v>
      </c>
      <c r="K323" s="109" t="s">
        <v>570</v>
      </c>
      <c r="L323" s="109"/>
      <c r="M323" s="26" t="s">
        <v>539</v>
      </c>
      <c r="N323" s="28">
        <v>44223</v>
      </c>
      <c r="O323" s="28" t="s">
        <v>461</v>
      </c>
      <c r="P323" s="131">
        <v>11600</v>
      </c>
      <c r="Q323" s="131">
        <v>12</v>
      </c>
      <c r="R323" s="120">
        <f t="shared" si="11"/>
        <v>139200</v>
      </c>
      <c r="S323" s="117">
        <v>202303</v>
      </c>
      <c r="T323" s="38" t="s">
        <v>588</v>
      </c>
      <c r="U323" s="38"/>
      <c r="V323" s="133"/>
      <c r="W323" s="133"/>
      <c r="X323" s="118">
        <v>44075</v>
      </c>
      <c r="Y323" s="118">
        <v>46265</v>
      </c>
    </row>
    <row r="324" s="79" customFormat="1" customHeight="1" spans="1:25">
      <c r="A324" s="129" t="s">
        <v>401</v>
      </c>
      <c r="B324" s="98" t="s">
        <v>62</v>
      </c>
      <c r="C324" s="98" t="s">
        <v>217</v>
      </c>
      <c r="D324" s="98" t="s">
        <v>566</v>
      </c>
      <c r="E324" s="130" t="s">
        <v>567</v>
      </c>
      <c r="F324" s="129" t="s">
        <v>568</v>
      </c>
      <c r="G324" s="109" t="s">
        <v>88</v>
      </c>
      <c r="H324" s="100" t="s">
        <v>569</v>
      </c>
      <c r="I324" s="23" t="e">
        <f>VLOOKUP(H324,'合同综合查询数据（3月返）'!$A:$A,1,FALSE)</f>
        <v>#N/A</v>
      </c>
      <c r="J324" s="24" t="s">
        <v>90</v>
      </c>
      <c r="K324" s="109" t="s">
        <v>570</v>
      </c>
      <c r="L324" s="109"/>
      <c r="M324" s="26" t="s">
        <v>539</v>
      </c>
      <c r="N324" s="28">
        <v>44251</v>
      </c>
      <c r="O324" s="28" t="s">
        <v>461</v>
      </c>
      <c r="P324" s="131">
        <v>11600</v>
      </c>
      <c r="Q324" s="131">
        <v>2</v>
      </c>
      <c r="R324" s="120">
        <f t="shared" si="11"/>
        <v>23200</v>
      </c>
      <c r="S324" s="117">
        <v>202303</v>
      </c>
      <c r="T324" s="38" t="s">
        <v>589</v>
      </c>
      <c r="U324" s="38"/>
      <c r="V324" s="133"/>
      <c r="W324" s="133"/>
      <c r="X324" s="118">
        <v>44075</v>
      </c>
      <c r="Y324" s="118">
        <v>46265</v>
      </c>
    </row>
    <row r="325" s="79" customFormat="1" customHeight="1" spans="1:25">
      <c r="A325" s="129" t="s">
        <v>401</v>
      </c>
      <c r="B325" s="98" t="s">
        <v>62</v>
      </c>
      <c r="C325" s="98" t="s">
        <v>217</v>
      </c>
      <c r="D325" s="98" t="s">
        <v>566</v>
      </c>
      <c r="E325" s="130" t="s">
        <v>567</v>
      </c>
      <c r="F325" s="129" t="s">
        <v>568</v>
      </c>
      <c r="G325" s="109" t="s">
        <v>88</v>
      </c>
      <c r="H325" s="100" t="s">
        <v>569</v>
      </c>
      <c r="I325" s="23" t="e">
        <f>VLOOKUP(H325,'合同综合查询数据（3月返）'!$A:$A,1,FALSE)</f>
        <v>#N/A</v>
      </c>
      <c r="J325" s="24" t="s">
        <v>90</v>
      </c>
      <c r="K325" s="109" t="s">
        <v>570</v>
      </c>
      <c r="L325" s="109"/>
      <c r="M325" s="26" t="s">
        <v>539</v>
      </c>
      <c r="N325" s="28">
        <v>44253</v>
      </c>
      <c r="O325" s="28" t="s">
        <v>461</v>
      </c>
      <c r="P325" s="131">
        <v>11600</v>
      </c>
      <c r="Q325" s="131">
        <v>6</v>
      </c>
      <c r="R325" s="120">
        <f t="shared" si="11"/>
        <v>69600</v>
      </c>
      <c r="S325" s="117">
        <v>202303</v>
      </c>
      <c r="T325" s="38" t="s">
        <v>590</v>
      </c>
      <c r="U325" s="38"/>
      <c r="V325" s="133"/>
      <c r="W325" s="133"/>
      <c r="X325" s="118">
        <v>44075</v>
      </c>
      <c r="Y325" s="118">
        <v>46265</v>
      </c>
    </row>
    <row r="326" s="79" customFormat="1" customHeight="1" spans="1:25">
      <c r="A326" s="129" t="s">
        <v>401</v>
      </c>
      <c r="B326" s="98" t="s">
        <v>62</v>
      </c>
      <c r="C326" s="98" t="s">
        <v>217</v>
      </c>
      <c r="D326" s="98" t="s">
        <v>566</v>
      </c>
      <c r="E326" s="130" t="s">
        <v>567</v>
      </c>
      <c r="F326" s="129" t="s">
        <v>568</v>
      </c>
      <c r="G326" s="109" t="s">
        <v>88</v>
      </c>
      <c r="H326" s="100" t="s">
        <v>569</v>
      </c>
      <c r="I326" s="23" t="e">
        <f>VLOOKUP(H326,'合同综合查询数据（3月返）'!$A:$A,1,FALSE)</f>
        <v>#N/A</v>
      </c>
      <c r="J326" s="24" t="s">
        <v>90</v>
      </c>
      <c r="K326" s="109" t="s">
        <v>570</v>
      </c>
      <c r="L326" s="109"/>
      <c r="M326" s="26" t="s">
        <v>539</v>
      </c>
      <c r="N326" s="28">
        <v>44259</v>
      </c>
      <c r="O326" s="28" t="s">
        <v>461</v>
      </c>
      <c r="P326" s="131">
        <v>11600</v>
      </c>
      <c r="Q326" s="131">
        <v>16</v>
      </c>
      <c r="R326" s="120">
        <f t="shared" si="11"/>
        <v>185600</v>
      </c>
      <c r="S326" s="117">
        <v>202303</v>
      </c>
      <c r="T326" s="38" t="s">
        <v>591</v>
      </c>
      <c r="U326" s="38"/>
      <c r="V326" s="133"/>
      <c r="W326" s="133"/>
      <c r="X326" s="118">
        <v>44075</v>
      </c>
      <c r="Y326" s="118">
        <v>46265</v>
      </c>
    </row>
    <row r="327" s="79" customFormat="1" customHeight="1" spans="1:25">
      <c r="A327" s="129" t="s">
        <v>401</v>
      </c>
      <c r="B327" s="98" t="s">
        <v>62</v>
      </c>
      <c r="C327" s="98" t="s">
        <v>217</v>
      </c>
      <c r="D327" s="98" t="s">
        <v>566</v>
      </c>
      <c r="E327" s="130" t="s">
        <v>567</v>
      </c>
      <c r="F327" s="129" t="s">
        <v>568</v>
      </c>
      <c r="G327" s="109" t="s">
        <v>88</v>
      </c>
      <c r="H327" s="100" t="s">
        <v>569</v>
      </c>
      <c r="I327" s="23" t="e">
        <f>VLOOKUP(H327,'合同综合查询数据（3月返）'!$A:$A,1,FALSE)</f>
        <v>#N/A</v>
      </c>
      <c r="J327" s="24" t="s">
        <v>90</v>
      </c>
      <c r="K327" s="109" t="s">
        <v>570</v>
      </c>
      <c r="L327" s="109"/>
      <c r="M327" s="26" t="s">
        <v>539</v>
      </c>
      <c r="N327" s="28">
        <v>44285</v>
      </c>
      <c r="O327" s="28" t="s">
        <v>461</v>
      </c>
      <c r="P327" s="131">
        <v>11600</v>
      </c>
      <c r="Q327" s="131">
        <v>15</v>
      </c>
      <c r="R327" s="120">
        <f t="shared" ref="R327:R358" si="12">ROUND(P327*Q327,2)</f>
        <v>174000</v>
      </c>
      <c r="S327" s="117">
        <v>202303</v>
      </c>
      <c r="T327" s="38" t="s">
        <v>592</v>
      </c>
      <c r="U327" s="38"/>
      <c r="V327" s="133"/>
      <c r="W327" s="133"/>
      <c r="X327" s="118">
        <v>44075</v>
      </c>
      <c r="Y327" s="118">
        <v>46265</v>
      </c>
    </row>
    <row r="328" s="79" customFormat="1" customHeight="1" spans="1:25">
      <c r="A328" s="129" t="s">
        <v>401</v>
      </c>
      <c r="B328" s="98" t="s">
        <v>62</v>
      </c>
      <c r="C328" s="98" t="s">
        <v>217</v>
      </c>
      <c r="D328" s="98" t="s">
        <v>566</v>
      </c>
      <c r="E328" s="130" t="s">
        <v>567</v>
      </c>
      <c r="F328" s="129" t="s">
        <v>568</v>
      </c>
      <c r="G328" s="109" t="s">
        <v>88</v>
      </c>
      <c r="H328" s="100" t="s">
        <v>569</v>
      </c>
      <c r="I328" s="23" t="e">
        <f>VLOOKUP(H328,'合同综合查询数据（3月返）'!$A:$A,1,FALSE)</f>
        <v>#N/A</v>
      </c>
      <c r="J328" s="24" t="s">
        <v>90</v>
      </c>
      <c r="K328" s="109" t="s">
        <v>570</v>
      </c>
      <c r="L328" s="109"/>
      <c r="M328" s="26" t="s">
        <v>539</v>
      </c>
      <c r="N328" s="28">
        <v>44300</v>
      </c>
      <c r="O328" s="28" t="s">
        <v>461</v>
      </c>
      <c r="P328" s="131">
        <v>11600</v>
      </c>
      <c r="Q328" s="131">
        <v>-7</v>
      </c>
      <c r="R328" s="120">
        <f t="shared" si="12"/>
        <v>-81200</v>
      </c>
      <c r="S328" s="117">
        <v>202303</v>
      </c>
      <c r="T328" s="38" t="s">
        <v>593</v>
      </c>
      <c r="U328" s="38"/>
      <c r="V328" s="133"/>
      <c r="W328" s="133"/>
      <c r="X328" s="118">
        <v>44075</v>
      </c>
      <c r="Y328" s="118">
        <v>46265</v>
      </c>
    </row>
    <row r="329" s="79" customFormat="1" customHeight="1" spans="1:25">
      <c r="A329" s="129" t="s">
        <v>401</v>
      </c>
      <c r="B329" s="98" t="s">
        <v>62</v>
      </c>
      <c r="C329" s="98" t="s">
        <v>217</v>
      </c>
      <c r="D329" s="98" t="s">
        <v>566</v>
      </c>
      <c r="E329" s="130" t="s">
        <v>567</v>
      </c>
      <c r="F329" s="129" t="s">
        <v>568</v>
      </c>
      <c r="G329" s="109" t="s">
        <v>88</v>
      </c>
      <c r="H329" s="100" t="s">
        <v>569</v>
      </c>
      <c r="I329" s="23" t="e">
        <f>VLOOKUP(H329,'合同综合查询数据（3月返）'!$A:$A,1,FALSE)</f>
        <v>#N/A</v>
      </c>
      <c r="J329" s="24" t="s">
        <v>90</v>
      </c>
      <c r="K329" s="109" t="s">
        <v>570</v>
      </c>
      <c r="L329" s="109"/>
      <c r="M329" s="26" t="s">
        <v>539</v>
      </c>
      <c r="N329" s="28">
        <v>44312</v>
      </c>
      <c r="O329" s="28" t="s">
        <v>461</v>
      </c>
      <c r="P329" s="131">
        <v>11600</v>
      </c>
      <c r="Q329" s="131">
        <v>1</v>
      </c>
      <c r="R329" s="120">
        <f t="shared" si="12"/>
        <v>11600</v>
      </c>
      <c r="S329" s="117">
        <v>202303</v>
      </c>
      <c r="T329" s="38" t="s">
        <v>594</v>
      </c>
      <c r="U329" s="38"/>
      <c r="V329" s="133"/>
      <c r="W329" s="133"/>
      <c r="X329" s="118">
        <v>44075</v>
      </c>
      <c r="Y329" s="118">
        <v>46265</v>
      </c>
    </row>
    <row r="330" s="79" customFormat="1" customHeight="1" spans="1:25">
      <c r="A330" s="129" t="s">
        <v>401</v>
      </c>
      <c r="B330" s="98" t="s">
        <v>62</v>
      </c>
      <c r="C330" s="98" t="s">
        <v>217</v>
      </c>
      <c r="D330" s="98" t="s">
        <v>566</v>
      </c>
      <c r="E330" s="130" t="s">
        <v>567</v>
      </c>
      <c r="F330" s="129" t="s">
        <v>568</v>
      </c>
      <c r="G330" s="109" t="s">
        <v>88</v>
      </c>
      <c r="H330" s="100" t="s">
        <v>569</v>
      </c>
      <c r="I330" s="23" t="e">
        <f>VLOOKUP(H330,'合同综合查询数据（3月返）'!$A:$A,1,FALSE)</f>
        <v>#N/A</v>
      </c>
      <c r="J330" s="24" t="s">
        <v>90</v>
      </c>
      <c r="K330" s="109" t="s">
        <v>570</v>
      </c>
      <c r="L330" s="109"/>
      <c r="M330" s="26" t="s">
        <v>539</v>
      </c>
      <c r="N330" s="28">
        <v>44315</v>
      </c>
      <c r="O330" s="28" t="s">
        <v>461</v>
      </c>
      <c r="P330" s="131">
        <v>11600</v>
      </c>
      <c r="Q330" s="131">
        <v>4</v>
      </c>
      <c r="R330" s="120">
        <f t="shared" si="12"/>
        <v>46400</v>
      </c>
      <c r="S330" s="117">
        <v>202303</v>
      </c>
      <c r="T330" s="38" t="s">
        <v>595</v>
      </c>
      <c r="U330" s="38"/>
      <c r="V330" s="133"/>
      <c r="W330" s="133"/>
      <c r="X330" s="118">
        <v>44075</v>
      </c>
      <c r="Y330" s="118">
        <v>46265</v>
      </c>
    </row>
    <row r="331" s="79" customFormat="1" customHeight="1" spans="1:25">
      <c r="A331" s="129" t="s">
        <v>401</v>
      </c>
      <c r="B331" s="98" t="s">
        <v>62</v>
      </c>
      <c r="C331" s="98" t="s">
        <v>217</v>
      </c>
      <c r="D331" s="98" t="s">
        <v>566</v>
      </c>
      <c r="E331" s="130" t="s">
        <v>567</v>
      </c>
      <c r="F331" s="129" t="s">
        <v>568</v>
      </c>
      <c r="G331" s="109" t="s">
        <v>88</v>
      </c>
      <c r="H331" s="100" t="s">
        <v>569</v>
      </c>
      <c r="I331" s="23" t="e">
        <f>VLOOKUP(H331,'合同综合查询数据（3月返）'!$A:$A,1,FALSE)</f>
        <v>#N/A</v>
      </c>
      <c r="J331" s="24" t="s">
        <v>90</v>
      </c>
      <c r="K331" s="109" t="s">
        <v>570</v>
      </c>
      <c r="L331" s="109"/>
      <c r="M331" s="26" t="s">
        <v>539</v>
      </c>
      <c r="N331" s="28">
        <v>44316</v>
      </c>
      <c r="O331" s="28" t="s">
        <v>461</v>
      </c>
      <c r="P331" s="131">
        <v>11600</v>
      </c>
      <c r="Q331" s="131">
        <v>2</v>
      </c>
      <c r="R331" s="120">
        <f t="shared" si="12"/>
        <v>23200</v>
      </c>
      <c r="S331" s="117">
        <v>202303</v>
      </c>
      <c r="T331" s="38" t="s">
        <v>596</v>
      </c>
      <c r="U331" s="38"/>
      <c r="V331" s="133"/>
      <c r="W331" s="133"/>
      <c r="X331" s="118">
        <v>44075</v>
      </c>
      <c r="Y331" s="118">
        <v>46265</v>
      </c>
    </row>
    <row r="332" s="79" customFormat="1" customHeight="1" spans="1:25">
      <c r="A332" s="129" t="s">
        <v>401</v>
      </c>
      <c r="B332" s="98" t="s">
        <v>62</v>
      </c>
      <c r="C332" s="98" t="s">
        <v>217</v>
      </c>
      <c r="D332" s="98" t="s">
        <v>566</v>
      </c>
      <c r="E332" s="130" t="s">
        <v>567</v>
      </c>
      <c r="F332" s="129" t="s">
        <v>568</v>
      </c>
      <c r="G332" s="109" t="s">
        <v>88</v>
      </c>
      <c r="H332" s="100" t="s">
        <v>569</v>
      </c>
      <c r="I332" s="23" t="e">
        <f>VLOOKUP(H332,'合同综合查询数据（3月返）'!$A:$A,1,FALSE)</f>
        <v>#N/A</v>
      </c>
      <c r="J332" s="24" t="s">
        <v>90</v>
      </c>
      <c r="K332" s="109" t="s">
        <v>570</v>
      </c>
      <c r="L332" s="109"/>
      <c r="M332" s="26" t="s">
        <v>539</v>
      </c>
      <c r="N332" s="28">
        <v>44328</v>
      </c>
      <c r="O332" s="28" t="s">
        <v>461</v>
      </c>
      <c r="P332" s="131">
        <v>11600</v>
      </c>
      <c r="Q332" s="131">
        <v>4</v>
      </c>
      <c r="R332" s="120">
        <f t="shared" si="12"/>
        <v>46400</v>
      </c>
      <c r="S332" s="117">
        <v>202303</v>
      </c>
      <c r="T332" s="38" t="s">
        <v>597</v>
      </c>
      <c r="U332" s="38"/>
      <c r="V332" s="133"/>
      <c r="W332" s="133"/>
      <c r="X332" s="118">
        <v>44075</v>
      </c>
      <c r="Y332" s="118">
        <v>46265</v>
      </c>
    </row>
    <row r="333" s="79" customFormat="1" customHeight="1" spans="1:25">
      <c r="A333" s="129" t="s">
        <v>401</v>
      </c>
      <c r="B333" s="98" t="s">
        <v>62</v>
      </c>
      <c r="C333" s="98" t="s">
        <v>217</v>
      </c>
      <c r="D333" s="98" t="s">
        <v>566</v>
      </c>
      <c r="E333" s="130" t="s">
        <v>567</v>
      </c>
      <c r="F333" s="129" t="s">
        <v>568</v>
      </c>
      <c r="G333" s="109" t="s">
        <v>88</v>
      </c>
      <c r="H333" s="100" t="s">
        <v>569</v>
      </c>
      <c r="I333" s="23" t="e">
        <f>VLOOKUP(H333,'合同综合查询数据（3月返）'!$A:$A,1,FALSE)</f>
        <v>#N/A</v>
      </c>
      <c r="J333" s="24" t="s">
        <v>90</v>
      </c>
      <c r="K333" s="109" t="s">
        <v>570</v>
      </c>
      <c r="L333" s="109"/>
      <c r="M333" s="26" t="s">
        <v>539</v>
      </c>
      <c r="N333" s="28">
        <v>44355</v>
      </c>
      <c r="O333" s="28" t="s">
        <v>461</v>
      </c>
      <c r="P333" s="131">
        <v>11600</v>
      </c>
      <c r="Q333" s="131">
        <v>3</v>
      </c>
      <c r="R333" s="120">
        <f t="shared" si="12"/>
        <v>34800</v>
      </c>
      <c r="S333" s="117">
        <v>202303</v>
      </c>
      <c r="T333" s="38" t="s">
        <v>598</v>
      </c>
      <c r="U333" s="38"/>
      <c r="V333" s="133"/>
      <c r="W333" s="133"/>
      <c r="X333" s="118">
        <v>44075</v>
      </c>
      <c r="Y333" s="118">
        <v>46265</v>
      </c>
    </row>
    <row r="334" s="79" customFormat="1" customHeight="1" spans="1:25">
      <c r="A334" s="129" t="s">
        <v>401</v>
      </c>
      <c r="B334" s="98" t="s">
        <v>62</v>
      </c>
      <c r="C334" s="98" t="s">
        <v>217</v>
      </c>
      <c r="D334" s="98" t="s">
        <v>566</v>
      </c>
      <c r="E334" s="130" t="s">
        <v>567</v>
      </c>
      <c r="F334" s="129" t="s">
        <v>568</v>
      </c>
      <c r="G334" s="109" t="s">
        <v>88</v>
      </c>
      <c r="H334" s="100" t="s">
        <v>569</v>
      </c>
      <c r="I334" s="23" t="e">
        <f>VLOOKUP(H334,'合同综合查询数据（3月返）'!$A:$A,1,FALSE)</f>
        <v>#N/A</v>
      </c>
      <c r="J334" s="24" t="s">
        <v>90</v>
      </c>
      <c r="K334" s="109" t="s">
        <v>570</v>
      </c>
      <c r="L334" s="109"/>
      <c r="M334" s="26" t="s">
        <v>539</v>
      </c>
      <c r="N334" s="28">
        <v>44380</v>
      </c>
      <c r="O334" s="28" t="s">
        <v>461</v>
      </c>
      <c r="P334" s="131">
        <v>11600</v>
      </c>
      <c r="Q334" s="131">
        <v>4</v>
      </c>
      <c r="R334" s="120">
        <f t="shared" si="12"/>
        <v>46400</v>
      </c>
      <c r="S334" s="117">
        <v>202303</v>
      </c>
      <c r="T334" s="38" t="s">
        <v>599</v>
      </c>
      <c r="U334" s="38"/>
      <c r="V334" s="133"/>
      <c r="W334" s="133"/>
      <c r="X334" s="118">
        <v>44075</v>
      </c>
      <c r="Y334" s="118">
        <v>46265</v>
      </c>
    </row>
    <row r="335" s="79" customFormat="1" customHeight="1" spans="1:25">
      <c r="A335" s="129" t="s">
        <v>401</v>
      </c>
      <c r="B335" s="98" t="s">
        <v>62</v>
      </c>
      <c r="C335" s="98" t="s">
        <v>217</v>
      </c>
      <c r="D335" s="98" t="s">
        <v>566</v>
      </c>
      <c r="E335" s="130" t="s">
        <v>567</v>
      </c>
      <c r="F335" s="129" t="s">
        <v>568</v>
      </c>
      <c r="G335" s="109" t="s">
        <v>88</v>
      </c>
      <c r="H335" s="100" t="s">
        <v>569</v>
      </c>
      <c r="I335" s="23" t="e">
        <f>VLOOKUP(H335,'合同综合查询数据（3月返）'!$A:$A,1,FALSE)</f>
        <v>#N/A</v>
      </c>
      <c r="J335" s="24" t="s">
        <v>90</v>
      </c>
      <c r="K335" s="109" t="s">
        <v>570</v>
      </c>
      <c r="L335" s="109"/>
      <c r="M335" s="26" t="s">
        <v>539</v>
      </c>
      <c r="N335" s="28">
        <v>44407</v>
      </c>
      <c r="O335" s="28" t="s">
        <v>461</v>
      </c>
      <c r="P335" s="131">
        <v>11600</v>
      </c>
      <c r="Q335" s="131">
        <v>4</v>
      </c>
      <c r="R335" s="120">
        <f t="shared" si="12"/>
        <v>46400</v>
      </c>
      <c r="S335" s="117">
        <v>202303</v>
      </c>
      <c r="T335" s="38" t="s">
        <v>600</v>
      </c>
      <c r="U335" s="38"/>
      <c r="V335" s="133"/>
      <c r="W335" s="133"/>
      <c r="X335" s="118">
        <v>44075</v>
      </c>
      <c r="Y335" s="118">
        <v>46265</v>
      </c>
    </row>
    <row r="336" s="79" customFormat="1" customHeight="1" spans="1:25">
      <c r="A336" s="129" t="s">
        <v>401</v>
      </c>
      <c r="B336" s="98" t="s">
        <v>62</v>
      </c>
      <c r="C336" s="98" t="s">
        <v>217</v>
      </c>
      <c r="D336" s="98" t="s">
        <v>566</v>
      </c>
      <c r="E336" s="130" t="s">
        <v>567</v>
      </c>
      <c r="F336" s="129" t="s">
        <v>568</v>
      </c>
      <c r="G336" s="109" t="s">
        <v>88</v>
      </c>
      <c r="H336" s="100" t="s">
        <v>569</v>
      </c>
      <c r="I336" s="23" t="e">
        <f>VLOOKUP(H336,'合同综合查询数据（3月返）'!$A:$A,1,FALSE)</f>
        <v>#N/A</v>
      </c>
      <c r="J336" s="24" t="s">
        <v>90</v>
      </c>
      <c r="K336" s="109" t="s">
        <v>570</v>
      </c>
      <c r="L336" s="109"/>
      <c r="M336" s="26" t="s">
        <v>539</v>
      </c>
      <c r="N336" s="28">
        <v>44420</v>
      </c>
      <c r="O336" s="28" t="s">
        <v>461</v>
      </c>
      <c r="P336" s="131">
        <v>11600</v>
      </c>
      <c r="Q336" s="131">
        <v>3</v>
      </c>
      <c r="R336" s="120">
        <f t="shared" si="12"/>
        <v>34800</v>
      </c>
      <c r="S336" s="117">
        <v>202303</v>
      </c>
      <c r="T336" s="38" t="s">
        <v>601</v>
      </c>
      <c r="U336" s="38"/>
      <c r="V336" s="133"/>
      <c r="W336" s="133"/>
      <c r="X336" s="118">
        <v>44075</v>
      </c>
      <c r="Y336" s="118">
        <v>46265</v>
      </c>
    </row>
    <row r="337" s="79" customFormat="1" customHeight="1" spans="1:25">
      <c r="A337" s="129" t="s">
        <v>401</v>
      </c>
      <c r="B337" s="98" t="s">
        <v>62</v>
      </c>
      <c r="C337" s="98" t="s">
        <v>217</v>
      </c>
      <c r="D337" s="98" t="s">
        <v>566</v>
      </c>
      <c r="E337" s="130" t="s">
        <v>567</v>
      </c>
      <c r="F337" s="129" t="s">
        <v>568</v>
      </c>
      <c r="G337" s="109" t="s">
        <v>88</v>
      </c>
      <c r="H337" s="100" t="s">
        <v>569</v>
      </c>
      <c r="I337" s="23" t="e">
        <f>VLOOKUP(H337,'合同综合查询数据（3月返）'!$A:$A,1,FALSE)</f>
        <v>#N/A</v>
      </c>
      <c r="J337" s="24" t="s">
        <v>90</v>
      </c>
      <c r="K337" s="109" t="s">
        <v>570</v>
      </c>
      <c r="L337" s="109"/>
      <c r="M337" s="26" t="s">
        <v>539</v>
      </c>
      <c r="N337" s="28">
        <v>44431</v>
      </c>
      <c r="O337" s="28" t="s">
        <v>461</v>
      </c>
      <c r="P337" s="131">
        <v>11600</v>
      </c>
      <c r="Q337" s="131">
        <v>4</v>
      </c>
      <c r="R337" s="120">
        <f t="shared" si="12"/>
        <v>46400</v>
      </c>
      <c r="S337" s="117">
        <v>202303</v>
      </c>
      <c r="T337" s="38" t="s">
        <v>602</v>
      </c>
      <c r="U337" s="38"/>
      <c r="V337" s="133"/>
      <c r="W337" s="133"/>
      <c r="X337" s="118">
        <v>44075</v>
      </c>
      <c r="Y337" s="118">
        <v>46265</v>
      </c>
    </row>
    <row r="338" s="79" customFormat="1" customHeight="1" spans="1:25">
      <c r="A338" s="129" t="s">
        <v>401</v>
      </c>
      <c r="B338" s="98" t="s">
        <v>62</v>
      </c>
      <c r="C338" s="98" t="s">
        <v>217</v>
      </c>
      <c r="D338" s="98" t="s">
        <v>566</v>
      </c>
      <c r="E338" s="130" t="s">
        <v>567</v>
      </c>
      <c r="F338" s="129" t="s">
        <v>568</v>
      </c>
      <c r="G338" s="109" t="s">
        <v>88</v>
      </c>
      <c r="H338" s="100" t="s">
        <v>569</v>
      </c>
      <c r="I338" s="23" t="e">
        <f>VLOOKUP(H338,'合同综合查询数据（3月返）'!$A:$A,1,FALSE)</f>
        <v>#N/A</v>
      </c>
      <c r="J338" s="24" t="s">
        <v>90</v>
      </c>
      <c r="K338" s="109" t="s">
        <v>570</v>
      </c>
      <c r="L338" s="109"/>
      <c r="M338" s="26" t="s">
        <v>539</v>
      </c>
      <c r="N338" s="28">
        <v>44438</v>
      </c>
      <c r="O338" s="28" t="s">
        <v>461</v>
      </c>
      <c r="P338" s="131">
        <v>11600</v>
      </c>
      <c r="Q338" s="131">
        <v>1</v>
      </c>
      <c r="R338" s="120">
        <f t="shared" si="12"/>
        <v>11600</v>
      </c>
      <c r="S338" s="117">
        <v>202303</v>
      </c>
      <c r="T338" s="38" t="s">
        <v>603</v>
      </c>
      <c r="U338" s="38"/>
      <c r="V338" s="133"/>
      <c r="W338" s="133"/>
      <c r="X338" s="118">
        <v>44075</v>
      </c>
      <c r="Y338" s="118">
        <v>46265</v>
      </c>
    </row>
    <row r="339" s="79" customFormat="1" customHeight="1" spans="1:25">
      <c r="A339" s="129" t="s">
        <v>401</v>
      </c>
      <c r="B339" s="98" t="s">
        <v>62</v>
      </c>
      <c r="C339" s="98" t="s">
        <v>217</v>
      </c>
      <c r="D339" s="98" t="s">
        <v>566</v>
      </c>
      <c r="E339" s="130" t="s">
        <v>567</v>
      </c>
      <c r="F339" s="129" t="s">
        <v>568</v>
      </c>
      <c r="G339" s="109" t="s">
        <v>88</v>
      </c>
      <c r="H339" s="100" t="s">
        <v>569</v>
      </c>
      <c r="I339" s="23" t="e">
        <f>VLOOKUP(H339,'合同综合查询数据（3月返）'!$A:$A,1,FALSE)</f>
        <v>#N/A</v>
      </c>
      <c r="J339" s="24" t="s">
        <v>90</v>
      </c>
      <c r="K339" s="109" t="s">
        <v>570</v>
      </c>
      <c r="L339" s="109"/>
      <c r="M339" s="26" t="s">
        <v>539</v>
      </c>
      <c r="N339" s="28">
        <v>44456</v>
      </c>
      <c r="O339" s="28" t="s">
        <v>461</v>
      </c>
      <c r="P339" s="131">
        <v>11600</v>
      </c>
      <c r="Q339" s="131">
        <v>2</v>
      </c>
      <c r="R339" s="120">
        <f t="shared" si="12"/>
        <v>23200</v>
      </c>
      <c r="S339" s="117">
        <v>202303</v>
      </c>
      <c r="T339" s="38" t="s">
        <v>604</v>
      </c>
      <c r="U339" s="38"/>
      <c r="V339" s="133"/>
      <c r="W339" s="133"/>
      <c r="X339" s="118">
        <v>44075</v>
      </c>
      <c r="Y339" s="118">
        <v>46265</v>
      </c>
    </row>
    <row r="340" s="79" customFormat="1" customHeight="1" spans="1:25">
      <c r="A340" s="98" t="s">
        <v>401</v>
      </c>
      <c r="B340" s="98" t="s">
        <v>62</v>
      </c>
      <c r="C340" s="98" t="s">
        <v>217</v>
      </c>
      <c r="D340" s="98" t="s">
        <v>566</v>
      </c>
      <c r="E340" s="147" t="s">
        <v>567</v>
      </c>
      <c r="F340" s="129" t="s">
        <v>568</v>
      </c>
      <c r="G340" s="151" t="s">
        <v>88</v>
      </c>
      <c r="H340" s="19" t="s">
        <v>569</v>
      </c>
      <c r="I340" s="23" t="e">
        <f>VLOOKUP(H340,'合同综合查询数据（3月返）'!$A:$A,1,FALSE)</f>
        <v>#N/A</v>
      </c>
      <c r="J340" s="152" t="s">
        <v>90</v>
      </c>
      <c r="K340" s="129" t="s">
        <v>570</v>
      </c>
      <c r="L340" s="153"/>
      <c r="M340" s="26" t="s">
        <v>539</v>
      </c>
      <c r="N340" s="154">
        <v>44472</v>
      </c>
      <c r="O340" s="155" t="s">
        <v>461</v>
      </c>
      <c r="P340" s="156">
        <v>11600</v>
      </c>
      <c r="Q340" s="156">
        <v>13</v>
      </c>
      <c r="R340" s="120">
        <f t="shared" si="12"/>
        <v>150800</v>
      </c>
      <c r="S340" s="117">
        <v>202303</v>
      </c>
      <c r="T340" s="157" t="s">
        <v>605</v>
      </c>
      <c r="U340" s="157"/>
      <c r="V340" s="133"/>
      <c r="W340" s="133"/>
      <c r="X340" s="118">
        <v>44075</v>
      </c>
      <c r="Y340" s="118">
        <v>46265</v>
      </c>
    </row>
    <row r="341" s="79" customFormat="1" customHeight="1" spans="1:25">
      <c r="A341" s="98" t="s">
        <v>401</v>
      </c>
      <c r="B341" s="98" t="s">
        <v>62</v>
      </c>
      <c r="C341" s="98" t="s">
        <v>217</v>
      </c>
      <c r="D341" s="98" t="s">
        <v>566</v>
      </c>
      <c r="E341" s="147" t="s">
        <v>567</v>
      </c>
      <c r="F341" s="129" t="s">
        <v>568</v>
      </c>
      <c r="G341" s="151" t="s">
        <v>88</v>
      </c>
      <c r="H341" s="19" t="s">
        <v>569</v>
      </c>
      <c r="I341" s="23" t="e">
        <f>VLOOKUP(H341,'合同综合查询数据（3月返）'!$A:$A,1,FALSE)</f>
        <v>#N/A</v>
      </c>
      <c r="J341" s="152" t="s">
        <v>90</v>
      </c>
      <c r="K341" s="129" t="s">
        <v>570</v>
      </c>
      <c r="L341" s="153"/>
      <c r="M341" s="26" t="s">
        <v>539</v>
      </c>
      <c r="N341" s="154">
        <v>44519</v>
      </c>
      <c r="O341" s="155" t="s">
        <v>461</v>
      </c>
      <c r="P341" s="156">
        <v>11600</v>
      </c>
      <c r="Q341" s="156">
        <v>7</v>
      </c>
      <c r="R341" s="120">
        <f t="shared" si="12"/>
        <v>81200</v>
      </c>
      <c r="S341" s="117">
        <v>202303</v>
      </c>
      <c r="T341" s="157" t="s">
        <v>606</v>
      </c>
      <c r="U341" s="157"/>
      <c r="V341" s="133"/>
      <c r="W341" s="133"/>
      <c r="X341" s="118">
        <v>44075</v>
      </c>
      <c r="Y341" s="118">
        <v>46265</v>
      </c>
    </row>
    <row r="342" s="79" customFormat="1" customHeight="1" spans="1:25">
      <c r="A342" s="98" t="s">
        <v>401</v>
      </c>
      <c r="B342" s="98" t="s">
        <v>62</v>
      </c>
      <c r="C342" s="98" t="s">
        <v>217</v>
      </c>
      <c r="D342" s="98" t="s">
        <v>566</v>
      </c>
      <c r="E342" s="147" t="s">
        <v>567</v>
      </c>
      <c r="F342" s="129" t="s">
        <v>568</v>
      </c>
      <c r="G342" s="151" t="s">
        <v>88</v>
      </c>
      <c r="H342" s="19" t="s">
        <v>569</v>
      </c>
      <c r="I342" s="23" t="e">
        <f>VLOOKUP(H342,'合同综合查询数据（3月返）'!$A:$A,1,FALSE)</f>
        <v>#N/A</v>
      </c>
      <c r="J342" s="152" t="s">
        <v>90</v>
      </c>
      <c r="K342" s="129" t="s">
        <v>570</v>
      </c>
      <c r="L342" s="153"/>
      <c r="M342" s="26" t="s">
        <v>539</v>
      </c>
      <c r="N342" s="154">
        <v>44861</v>
      </c>
      <c r="O342" s="155" t="s">
        <v>457</v>
      </c>
      <c r="P342" s="156">
        <v>5803.6</v>
      </c>
      <c r="Q342" s="156">
        <v>-1</v>
      </c>
      <c r="R342" s="120">
        <f t="shared" si="12"/>
        <v>-5803.6</v>
      </c>
      <c r="S342" s="117">
        <v>202303</v>
      </c>
      <c r="T342" s="157" t="s">
        <v>607</v>
      </c>
      <c r="U342" s="157"/>
      <c r="V342" s="133"/>
      <c r="W342" s="133"/>
      <c r="X342" s="118">
        <v>44075</v>
      </c>
      <c r="Y342" s="118">
        <v>46265</v>
      </c>
    </row>
    <row r="343" s="79" customFormat="1" customHeight="1" spans="1:25">
      <c r="A343" s="98" t="s">
        <v>401</v>
      </c>
      <c r="B343" s="98" t="s">
        <v>62</v>
      </c>
      <c r="C343" s="98" t="s">
        <v>217</v>
      </c>
      <c r="D343" s="98" t="s">
        <v>566</v>
      </c>
      <c r="E343" s="147" t="s">
        <v>567</v>
      </c>
      <c r="F343" s="129" t="s">
        <v>568</v>
      </c>
      <c r="G343" s="151" t="s">
        <v>88</v>
      </c>
      <c r="H343" s="19" t="s">
        <v>569</v>
      </c>
      <c r="I343" s="23" t="e">
        <f>VLOOKUP(H343,'合同综合查询数据（3月返）'!$A:$A,1,FALSE)</f>
        <v>#N/A</v>
      </c>
      <c r="J343" s="152" t="s">
        <v>90</v>
      </c>
      <c r="K343" s="129" t="s">
        <v>570</v>
      </c>
      <c r="L343" s="153"/>
      <c r="M343" s="26" t="s">
        <v>539</v>
      </c>
      <c r="N343" s="154">
        <v>44869</v>
      </c>
      <c r="O343" s="155" t="s">
        <v>457</v>
      </c>
      <c r="P343" s="156">
        <v>5803.6</v>
      </c>
      <c r="Q343" s="156">
        <v>-4</v>
      </c>
      <c r="R343" s="120">
        <f t="shared" si="12"/>
        <v>-23214.4</v>
      </c>
      <c r="S343" s="117">
        <v>202303</v>
      </c>
      <c r="T343" s="157" t="s">
        <v>608</v>
      </c>
      <c r="U343" s="157"/>
      <c r="V343" s="133"/>
      <c r="W343" s="133"/>
      <c r="X343" s="118">
        <v>44075</v>
      </c>
      <c r="Y343" s="118">
        <v>46265</v>
      </c>
    </row>
    <row r="344" s="79" customFormat="1" customHeight="1" spans="1:25">
      <c r="A344" s="129" t="s">
        <v>401</v>
      </c>
      <c r="B344" s="98" t="s">
        <v>62</v>
      </c>
      <c r="C344" s="98" t="s">
        <v>217</v>
      </c>
      <c r="D344" s="98" t="s">
        <v>566</v>
      </c>
      <c r="E344" s="130" t="s">
        <v>567</v>
      </c>
      <c r="F344" s="129" t="s">
        <v>568</v>
      </c>
      <c r="G344" s="109" t="s">
        <v>88</v>
      </c>
      <c r="H344" s="100" t="s">
        <v>609</v>
      </c>
      <c r="I344" s="23" t="e">
        <f>VLOOKUP(H344,'合同综合查询数据（3月返）'!$A:$A,1,FALSE)</f>
        <v>#N/A</v>
      </c>
      <c r="J344" s="24" t="s">
        <v>90</v>
      </c>
      <c r="K344" s="109" t="s">
        <v>610</v>
      </c>
      <c r="L344" s="109"/>
      <c r="M344" s="26" t="s">
        <v>539</v>
      </c>
      <c r="N344" s="28">
        <v>44203</v>
      </c>
      <c r="O344" s="28" t="s">
        <v>457</v>
      </c>
      <c r="P344" s="131">
        <v>5803.6</v>
      </c>
      <c r="Q344" s="131">
        <v>3</v>
      </c>
      <c r="R344" s="120">
        <f t="shared" si="12"/>
        <v>17410.8</v>
      </c>
      <c r="S344" s="117">
        <v>202303</v>
      </c>
      <c r="T344" s="38" t="s">
        <v>611</v>
      </c>
      <c r="U344" s="134"/>
      <c r="V344" s="133"/>
      <c r="W344" s="133"/>
      <c r="X344" s="118">
        <v>44075</v>
      </c>
      <c r="Y344" s="118">
        <v>46265</v>
      </c>
    </row>
    <row r="345" s="79" customFormat="1" customHeight="1" spans="1:25">
      <c r="A345" s="129" t="s">
        <v>401</v>
      </c>
      <c r="B345" s="98" t="s">
        <v>62</v>
      </c>
      <c r="C345" s="98" t="s">
        <v>217</v>
      </c>
      <c r="D345" s="98" t="s">
        <v>566</v>
      </c>
      <c r="E345" s="130" t="s">
        <v>567</v>
      </c>
      <c r="F345" s="129" t="s">
        <v>568</v>
      </c>
      <c r="G345" s="109" t="s">
        <v>88</v>
      </c>
      <c r="H345" s="100" t="s">
        <v>609</v>
      </c>
      <c r="I345" s="23" t="e">
        <f>VLOOKUP(H345,'合同综合查询数据（3月返）'!$A:$A,1,FALSE)</f>
        <v>#N/A</v>
      </c>
      <c r="J345" s="24" t="s">
        <v>90</v>
      </c>
      <c r="K345" s="109" t="s">
        <v>610</v>
      </c>
      <c r="L345" s="109"/>
      <c r="M345" s="26" t="s">
        <v>539</v>
      </c>
      <c r="N345" s="28">
        <v>44203</v>
      </c>
      <c r="O345" s="28" t="s">
        <v>461</v>
      </c>
      <c r="P345" s="131">
        <v>11600</v>
      </c>
      <c r="Q345" s="131">
        <v>38</v>
      </c>
      <c r="R345" s="120">
        <f t="shared" si="12"/>
        <v>440800</v>
      </c>
      <c r="S345" s="117">
        <v>202303</v>
      </c>
      <c r="T345" s="38" t="s">
        <v>612</v>
      </c>
      <c r="U345" s="38"/>
      <c r="V345" s="133"/>
      <c r="W345" s="133"/>
      <c r="X345" s="118">
        <v>44075</v>
      </c>
      <c r="Y345" s="118">
        <v>46265</v>
      </c>
    </row>
    <row r="346" s="79" customFormat="1" customHeight="1" spans="1:25">
      <c r="A346" s="129" t="s">
        <v>401</v>
      </c>
      <c r="B346" s="98" t="s">
        <v>62</v>
      </c>
      <c r="C346" s="98" t="s">
        <v>217</v>
      </c>
      <c r="D346" s="98" t="s">
        <v>566</v>
      </c>
      <c r="E346" s="130" t="s">
        <v>567</v>
      </c>
      <c r="F346" s="129" t="s">
        <v>568</v>
      </c>
      <c r="G346" s="109" t="s">
        <v>88</v>
      </c>
      <c r="H346" s="100" t="s">
        <v>609</v>
      </c>
      <c r="I346" s="23" t="e">
        <f>VLOOKUP(H346,'合同综合查询数据（3月返）'!$A:$A,1,FALSE)</f>
        <v>#N/A</v>
      </c>
      <c r="J346" s="24" t="s">
        <v>90</v>
      </c>
      <c r="K346" s="109" t="s">
        <v>610</v>
      </c>
      <c r="L346" s="109"/>
      <c r="M346" s="26" t="s">
        <v>539</v>
      </c>
      <c r="N346" s="28">
        <v>44300</v>
      </c>
      <c r="O346" s="28" t="s">
        <v>461</v>
      </c>
      <c r="P346" s="131">
        <v>11600</v>
      </c>
      <c r="Q346" s="131">
        <v>-38</v>
      </c>
      <c r="R346" s="120">
        <f t="shared" si="12"/>
        <v>-440800</v>
      </c>
      <c r="S346" s="117">
        <v>202303</v>
      </c>
      <c r="T346" s="38" t="s">
        <v>613</v>
      </c>
      <c r="U346" s="38"/>
      <c r="V346" s="133"/>
      <c r="W346" s="133"/>
      <c r="X346" s="118">
        <v>44075</v>
      </c>
      <c r="Y346" s="118">
        <v>46265</v>
      </c>
    </row>
    <row r="347" s="79" customFormat="1" customHeight="1" spans="1:25">
      <c r="A347" s="129" t="s">
        <v>401</v>
      </c>
      <c r="B347" s="98" t="s">
        <v>62</v>
      </c>
      <c r="C347" s="98" t="s">
        <v>217</v>
      </c>
      <c r="D347" s="98" t="s">
        <v>566</v>
      </c>
      <c r="E347" s="130" t="s">
        <v>567</v>
      </c>
      <c r="F347" s="129" t="s">
        <v>568</v>
      </c>
      <c r="G347" s="109" t="s">
        <v>88</v>
      </c>
      <c r="H347" s="100" t="s">
        <v>609</v>
      </c>
      <c r="I347" s="23" t="e">
        <f>VLOOKUP(H347,'合同综合查询数据（3月返）'!$A:$A,1,FALSE)</f>
        <v>#N/A</v>
      </c>
      <c r="J347" s="24" t="s">
        <v>90</v>
      </c>
      <c r="K347" s="109" t="s">
        <v>610</v>
      </c>
      <c r="L347" s="109"/>
      <c r="M347" s="26" t="s">
        <v>539</v>
      </c>
      <c r="N347" s="28">
        <v>44379</v>
      </c>
      <c r="O347" s="28" t="s">
        <v>461</v>
      </c>
      <c r="P347" s="131">
        <v>11600</v>
      </c>
      <c r="Q347" s="131">
        <v>13</v>
      </c>
      <c r="R347" s="120">
        <f t="shared" si="12"/>
        <v>150800</v>
      </c>
      <c r="S347" s="117">
        <v>202303</v>
      </c>
      <c r="T347" s="38" t="s">
        <v>614</v>
      </c>
      <c r="U347" s="134"/>
      <c r="V347" s="133"/>
      <c r="W347" s="133"/>
      <c r="X347" s="118">
        <v>44075</v>
      </c>
      <c r="Y347" s="118">
        <v>46265</v>
      </c>
    </row>
    <row r="348" s="79" customFormat="1" customHeight="1" spans="1:25">
      <c r="A348" s="129" t="s">
        <v>401</v>
      </c>
      <c r="B348" s="98" t="s">
        <v>62</v>
      </c>
      <c r="C348" s="98" t="s">
        <v>217</v>
      </c>
      <c r="D348" s="98" t="s">
        <v>566</v>
      </c>
      <c r="E348" s="130" t="s">
        <v>567</v>
      </c>
      <c r="F348" s="129" t="s">
        <v>568</v>
      </c>
      <c r="G348" s="109" t="s">
        <v>88</v>
      </c>
      <c r="H348" s="100" t="s">
        <v>609</v>
      </c>
      <c r="I348" s="23" t="e">
        <f>VLOOKUP(H348,'合同综合查询数据（3月返）'!$A:$A,1,FALSE)</f>
        <v>#N/A</v>
      </c>
      <c r="J348" s="24" t="s">
        <v>90</v>
      </c>
      <c r="K348" s="109" t="s">
        <v>610</v>
      </c>
      <c r="L348" s="109"/>
      <c r="M348" s="26" t="s">
        <v>539</v>
      </c>
      <c r="N348" s="28">
        <v>44380</v>
      </c>
      <c r="O348" s="28" t="s">
        <v>461</v>
      </c>
      <c r="P348" s="131">
        <v>11600</v>
      </c>
      <c r="Q348" s="131">
        <v>12</v>
      </c>
      <c r="R348" s="120">
        <f t="shared" si="12"/>
        <v>139200</v>
      </c>
      <c r="S348" s="117">
        <v>202303</v>
      </c>
      <c r="T348" s="38" t="s">
        <v>615</v>
      </c>
      <c r="U348" s="38"/>
      <c r="V348" s="133"/>
      <c r="W348" s="133"/>
      <c r="X348" s="118">
        <v>44075</v>
      </c>
      <c r="Y348" s="118">
        <v>46265</v>
      </c>
    </row>
    <row r="349" s="79" customFormat="1" customHeight="1" spans="1:25">
      <c r="A349" s="129" t="s">
        <v>401</v>
      </c>
      <c r="B349" s="98" t="s">
        <v>62</v>
      </c>
      <c r="C349" s="98" t="s">
        <v>217</v>
      </c>
      <c r="D349" s="98" t="s">
        <v>566</v>
      </c>
      <c r="E349" s="130" t="s">
        <v>567</v>
      </c>
      <c r="F349" s="129" t="s">
        <v>568</v>
      </c>
      <c r="G349" s="109" t="s">
        <v>88</v>
      </c>
      <c r="H349" s="100" t="s">
        <v>609</v>
      </c>
      <c r="I349" s="23" t="e">
        <f>VLOOKUP(H349,'合同综合查询数据（3月返）'!$A:$A,1,FALSE)</f>
        <v>#N/A</v>
      </c>
      <c r="J349" s="24" t="s">
        <v>90</v>
      </c>
      <c r="K349" s="109" t="s">
        <v>610</v>
      </c>
      <c r="L349" s="109"/>
      <c r="M349" s="26" t="s">
        <v>539</v>
      </c>
      <c r="N349" s="28">
        <v>44387</v>
      </c>
      <c r="O349" s="28" t="s">
        <v>461</v>
      </c>
      <c r="P349" s="131">
        <v>11600</v>
      </c>
      <c r="Q349" s="131">
        <v>12</v>
      </c>
      <c r="R349" s="120">
        <f t="shared" si="12"/>
        <v>139200</v>
      </c>
      <c r="S349" s="117">
        <v>202303</v>
      </c>
      <c r="T349" s="38" t="s">
        <v>616</v>
      </c>
      <c r="U349" s="38"/>
      <c r="V349" s="133"/>
      <c r="W349" s="133"/>
      <c r="X349" s="118">
        <v>44075</v>
      </c>
      <c r="Y349" s="118">
        <v>46265</v>
      </c>
    </row>
    <row r="350" s="79" customFormat="1" customHeight="1" spans="1:25">
      <c r="A350" s="129" t="s">
        <v>401</v>
      </c>
      <c r="B350" s="98" t="s">
        <v>62</v>
      </c>
      <c r="C350" s="98" t="s">
        <v>217</v>
      </c>
      <c r="D350" s="98" t="s">
        <v>566</v>
      </c>
      <c r="E350" s="130" t="s">
        <v>567</v>
      </c>
      <c r="F350" s="129" t="s">
        <v>568</v>
      </c>
      <c r="G350" s="109" t="s">
        <v>88</v>
      </c>
      <c r="H350" s="100" t="s">
        <v>609</v>
      </c>
      <c r="I350" s="23" t="e">
        <f>VLOOKUP(H350,'合同综合查询数据（3月返）'!$A:$A,1,FALSE)</f>
        <v>#N/A</v>
      </c>
      <c r="J350" s="24" t="s">
        <v>90</v>
      </c>
      <c r="K350" s="109" t="s">
        <v>610</v>
      </c>
      <c r="L350" s="109"/>
      <c r="M350" s="26" t="s">
        <v>539</v>
      </c>
      <c r="N350" s="28">
        <v>44425</v>
      </c>
      <c r="O350" s="28" t="s">
        <v>461</v>
      </c>
      <c r="P350" s="131">
        <v>11600</v>
      </c>
      <c r="Q350" s="131">
        <v>13</v>
      </c>
      <c r="R350" s="120">
        <f t="shared" si="12"/>
        <v>150800</v>
      </c>
      <c r="S350" s="117">
        <v>202303</v>
      </c>
      <c r="T350" s="38" t="s">
        <v>617</v>
      </c>
      <c r="U350" s="38"/>
      <c r="V350" s="133"/>
      <c r="W350" s="133"/>
      <c r="X350" s="118">
        <v>44075</v>
      </c>
      <c r="Y350" s="118">
        <v>46265</v>
      </c>
    </row>
    <row r="351" s="79" customFormat="1" customHeight="1" spans="1:25">
      <c r="A351" s="98" t="s">
        <v>401</v>
      </c>
      <c r="B351" s="98" t="s">
        <v>62</v>
      </c>
      <c r="C351" s="98" t="s">
        <v>217</v>
      </c>
      <c r="D351" s="98" t="s">
        <v>566</v>
      </c>
      <c r="E351" s="147" t="s">
        <v>567</v>
      </c>
      <c r="F351" s="129" t="s">
        <v>568</v>
      </c>
      <c r="G351" s="151" t="s">
        <v>88</v>
      </c>
      <c r="H351" s="19" t="s">
        <v>609</v>
      </c>
      <c r="I351" s="23" t="e">
        <f>VLOOKUP(H351,'合同综合查询数据（3月返）'!$A:$A,1,FALSE)</f>
        <v>#N/A</v>
      </c>
      <c r="J351" s="152" t="s">
        <v>90</v>
      </c>
      <c r="K351" s="109" t="s">
        <v>610</v>
      </c>
      <c r="L351" s="153"/>
      <c r="M351" s="26" t="s">
        <v>539</v>
      </c>
      <c r="N351" s="154">
        <v>44472</v>
      </c>
      <c r="O351" s="155" t="s">
        <v>461</v>
      </c>
      <c r="P351" s="156">
        <v>11600</v>
      </c>
      <c r="Q351" s="156">
        <v>23</v>
      </c>
      <c r="R351" s="120">
        <f t="shared" si="12"/>
        <v>266800</v>
      </c>
      <c r="S351" s="117">
        <v>202303</v>
      </c>
      <c r="T351" s="157" t="s">
        <v>618</v>
      </c>
      <c r="U351" s="157"/>
      <c r="V351" s="133"/>
      <c r="W351" s="133"/>
      <c r="X351" s="118">
        <v>44075</v>
      </c>
      <c r="Y351" s="118">
        <v>46265</v>
      </c>
    </row>
    <row r="352" s="79" customFormat="1" customHeight="1" spans="1:25">
      <c r="A352" s="94" t="s">
        <v>401</v>
      </c>
      <c r="B352" s="98" t="s">
        <v>62</v>
      </c>
      <c r="C352" s="96" t="s">
        <v>217</v>
      </c>
      <c r="D352" s="96" t="s">
        <v>566</v>
      </c>
      <c r="E352" s="23" t="s">
        <v>567</v>
      </c>
      <c r="F352" s="94" t="s">
        <v>568</v>
      </c>
      <c r="G352" s="109" t="s">
        <v>88</v>
      </c>
      <c r="H352" s="19" t="s">
        <v>619</v>
      </c>
      <c r="I352" s="23" t="e">
        <f>VLOOKUP(H352,'合同综合查询数据（3月返）'!$A:$A,1,FALSE)</f>
        <v>#N/A</v>
      </c>
      <c r="J352" s="152" t="s">
        <v>126</v>
      </c>
      <c r="K352" s="109" t="s">
        <v>620</v>
      </c>
      <c r="L352" s="99" t="s">
        <v>621</v>
      </c>
      <c r="M352" s="26" t="s">
        <v>622</v>
      </c>
      <c r="N352" s="28" t="s">
        <v>623</v>
      </c>
      <c r="O352" s="28" t="s">
        <v>624</v>
      </c>
      <c r="P352" s="110">
        <v>3000</v>
      </c>
      <c r="Q352" s="120">
        <v>11</v>
      </c>
      <c r="R352" s="120">
        <f t="shared" si="12"/>
        <v>33000</v>
      </c>
      <c r="S352" s="117">
        <v>202303</v>
      </c>
      <c r="T352" s="158" t="s">
        <v>625</v>
      </c>
      <c r="U352" s="158"/>
      <c r="V352" s="122"/>
      <c r="W352" s="122"/>
      <c r="X352" s="118">
        <v>44287</v>
      </c>
      <c r="Y352" s="118">
        <v>45016</v>
      </c>
    </row>
    <row r="353" s="79" customFormat="1" customHeight="1" spans="1:25">
      <c r="A353" s="94" t="s">
        <v>401</v>
      </c>
      <c r="B353" s="98" t="s">
        <v>62</v>
      </c>
      <c r="C353" s="96" t="s">
        <v>217</v>
      </c>
      <c r="D353" s="96" t="s">
        <v>566</v>
      </c>
      <c r="E353" s="23" t="s">
        <v>567</v>
      </c>
      <c r="F353" s="94" t="s">
        <v>568</v>
      </c>
      <c r="G353" s="109" t="s">
        <v>88</v>
      </c>
      <c r="H353" s="19" t="s">
        <v>619</v>
      </c>
      <c r="I353" s="23" t="e">
        <f>VLOOKUP(H353,'合同综合查询数据（3月返）'!$A:$A,1,FALSE)</f>
        <v>#N/A</v>
      </c>
      <c r="J353" s="152" t="s">
        <v>126</v>
      </c>
      <c r="K353" s="109" t="s">
        <v>620</v>
      </c>
      <c r="L353" s="99" t="s">
        <v>621</v>
      </c>
      <c r="M353" s="26" t="s">
        <v>622</v>
      </c>
      <c r="N353" s="28">
        <v>44789</v>
      </c>
      <c r="O353" s="28" t="s">
        <v>624</v>
      </c>
      <c r="P353" s="110">
        <v>3000</v>
      </c>
      <c r="Q353" s="120">
        <v>-5</v>
      </c>
      <c r="R353" s="120">
        <f t="shared" si="12"/>
        <v>-15000</v>
      </c>
      <c r="S353" s="117">
        <v>202303</v>
      </c>
      <c r="T353" s="158" t="s">
        <v>626</v>
      </c>
      <c r="U353" s="158"/>
      <c r="V353" s="122"/>
      <c r="W353" s="122"/>
      <c r="X353" s="118">
        <v>44287</v>
      </c>
      <c r="Y353" s="118">
        <v>45016</v>
      </c>
    </row>
    <row r="354" s="79" customFormat="1" customHeight="1" spans="1:25">
      <c r="A354" s="94" t="s">
        <v>401</v>
      </c>
      <c r="B354" s="98" t="s">
        <v>62</v>
      </c>
      <c r="C354" s="96" t="s">
        <v>217</v>
      </c>
      <c r="D354" s="96" t="s">
        <v>566</v>
      </c>
      <c r="E354" s="23" t="s">
        <v>567</v>
      </c>
      <c r="F354" s="94" t="s">
        <v>568</v>
      </c>
      <c r="G354" s="109" t="s">
        <v>31</v>
      </c>
      <c r="H354" s="19" t="s">
        <v>619</v>
      </c>
      <c r="I354" s="23" t="e">
        <f>VLOOKUP(H354,'合同综合查询数据（3月返）'!$A:$A,1,FALSE)</f>
        <v>#N/A</v>
      </c>
      <c r="J354" s="152" t="s">
        <v>33</v>
      </c>
      <c r="K354" s="109" t="s">
        <v>620</v>
      </c>
      <c r="L354" s="99" t="s">
        <v>621</v>
      </c>
      <c r="M354" s="26"/>
      <c r="N354" s="28" t="s">
        <v>623</v>
      </c>
      <c r="O354" s="28"/>
      <c r="P354" s="110">
        <v>0</v>
      </c>
      <c r="Q354" s="120">
        <v>256</v>
      </c>
      <c r="R354" s="120">
        <f t="shared" si="12"/>
        <v>0</v>
      </c>
      <c r="S354" s="117">
        <v>202303</v>
      </c>
      <c r="T354" s="158" t="s">
        <v>627</v>
      </c>
      <c r="U354" s="158"/>
      <c r="V354" s="122"/>
      <c r="W354" s="122"/>
      <c r="X354" s="118">
        <v>44287</v>
      </c>
      <c r="Y354" s="118">
        <v>45016</v>
      </c>
    </row>
    <row r="355" s="79" customFormat="1" customHeight="1" spans="1:25">
      <c r="A355" s="94" t="s">
        <v>401</v>
      </c>
      <c r="B355" s="98" t="s">
        <v>62</v>
      </c>
      <c r="C355" s="96" t="s">
        <v>217</v>
      </c>
      <c r="D355" s="96" t="s">
        <v>566</v>
      </c>
      <c r="E355" s="23" t="s">
        <v>567</v>
      </c>
      <c r="F355" s="94" t="s">
        <v>568</v>
      </c>
      <c r="G355" s="109" t="s">
        <v>31</v>
      </c>
      <c r="H355" s="19" t="s">
        <v>619</v>
      </c>
      <c r="I355" s="23" t="e">
        <f>VLOOKUP(H355,'合同综合查询数据（3月返）'!$A:$A,1,FALSE)</f>
        <v>#N/A</v>
      </c>
      <c r="J355" s="152" t="s">
        <v>33</v>
      </c>
      <c r="K355" s="109" t="s">
        <v>620</v>
      </c>
      <c r="L355" s="99" t="s">
        <v>621</v>
      </c>
      <c r="M355" s="26"/>
      <c r="N355" s="28" t="s">
        <v>623</v>
      </c>
      <c r="O355" s="28"/>
      <c r="P355" s="110">
        <v>0</v>
      </c>
      <c r="Q355" s="120">
        <v>256</v>
      </c>
      <c r="R355" s="120">
        <f t="shared" si="12"/>
        <v>0</v>
      </c>
      <c r="S355" s="117">
        <v>202303</v>
      </c>
      <c r="T355" s="158" t="s">
        <v>628</v>
      </c>
      <c r="U355" s="158"/>
      <c r="V355" s="122"/>
      <c r="W355" s="122"/>
      <c r="X355" s="118">
        <v>44287</v>
      </c>
      <c r="Y355" s="118">
        <v>45016</v>
      </c>
    </row>
    <row r="356" s="79" customFormat="1" customHeight="1" spans="1:25">
      <c r="A356" s="94" t="s">
        <v>401</v>
      </c>
      <c r="B356" s="98" t="s">
        <v>62</v>
      </c>
      <c r="C356" s="96" t="s">
        <v>217</v>
      </c>
      <c r="D356" s="96" t="s">
        <v>566</v>
      </c>
      <c r="E356" s="23" t="s">
        <v>567</v>
      </c>
      <c r="F356" s="94" t="s">
        <v>568</v>
      </c>
      <c r="G356" s="109" t="s">
        <v>31</v>
      </c>
      <c r="H356" s="19" t="s">
        <v>619</v>
      </c>
      <c r="I356" s="23" t="e">
        <f>VLOOKUP(H356,'合同综合查询数据（3月返）'!$A:$A,1,FALSE)</f>
        <v>#N/A</v>
      </c>
      <c r="J356" s="152" t="s">
        <v>33</v>
      </c>
      <c r="K356" s="109" t="s">
        <v>620</v>
      </c>
      <c r="L356" s="99" t="s">
        <v>621</v>
      </c>
      <c r="M356" s="26"/>
      <c r="N356" s="28" t="s">
        <v>623</v>
      </c>
      <c r="O356" s="28"/>
      <c r="P356" s="110">
        <v>20</v>
      </c>
      <c r="Q356" s="120">
        <v>32</v>
      </c>
      <c r="R356" s="120">
        <f t="shared" si="12"/>
        <v>640</v>
      </c>
      <c r="S356" s="117">
        <v>202303</v>
      </c>
      <c r="T356" s="158" t="s">
        <v>629</v>
      </c>
      <c r="U356" s="158"/>
      <c r="V356" s="122"/>
      <c r="W356" s="122"/>
      <c r="X356" s="118">
        <v>44287</v>
      </c>
      <c r="Y356" s="118">
        <v>45016</v>
      </c>
    </row>
    <row r="357" s="79" customFormat="1" customHeight="1" spans="1:25">
      <c r="A357" s="94" t="s">
        <v>401</v>
      </c>
      <c r="B357" s="98" t="s">
        <v>62</v>
      </c>
      <c r="C357" s="96" t="s">
        <v>217</v>
      </c>
      <c r="D357" s="96" t="s">
        <v>566</v>
      </c>
      <c r="E357" s="23" t="s">
        <v>567</v>
      </c>
      <c r="F357" s="94" t="s">
        <v>568</v>
      </c>
      <c r="G357" s="109" t="s">
        <v>31</v>
      </c>
      <c r="H357" s="19" t="s">
        <v>619</v>
      </c>
      <c r="I357" s="23" t="e">
        <f>VLOOKUP(H357,'合同综合查询数据（3月返）'!$A:$A,1,FALSE)</f>
        <v>#N/A</v>
      </c>
      <c r="J357" s="152" t="s">
        <v>33</v>
      </c>
      <c r="K357" s="109" t="s">
        <v>620</v>
      </c>
      <c r="L357" s="99" t="s">
        <v>621</v>
      </c>
      <c r="M357" s="26"/>
      <c r="N357" s="28">
        <v>44789</v>
      </c>
      <c r="O357" s="28"/>
      <c r="P357" s="110">
        <v>0</v>
      </c>
      <c r="Q357" s="120">
        <v>-256</v>
      </c>
      <c r="R357" s="120">
        <f t="shared" si="12"/>
        <v>0</v>
      </c>
      <c r="S357" s="117">
        <v>202303</v>
      </c>
      <c r="T357" s="158" t="s">
        <v>630</v>
      </c>
      <c r="U357" s="158"/>
      <c r="V357" s="122"/>
      <c r="W357" s="122"/>
      <c r="X357" s="118">
        <v>44287</v>
      </c>
      <c r="Y357" s="118">
        <v>45016</v>
      </c>
    </row>
    <row r="358" s="79" customFormat="1" customHeight="1" spans="1:25">
      <c r="A358" s="129" t="s">
        <v>401</v>
      </c>
      <c r="B358" s="98" t="s">
        <v>62</v>
      </c>
      <c r="C358" s="98" t="s">
        <v>217</v>
      </c>
      <c r="D358" s="98" t="s">
        <v>566</v>
      </c>
      <c r="E358" s="130" t="s">
        <v>567</v>
      </c>
      <c r="F358" s="129" t="s">
        <v>568</v>
      </c>
      <c r="G358" s="109" t="s">
        <v>88</v>
      </c>
      <c r="H358" s="100" t="s">
        <v>631</v>
      </c>
      <c r="I358" s="23" t="e">
        <f>VLOOKUP(H358,'合同综合查询数据（3月返）'!$A:$A,1,FALSE)</f>
        <v>#N/A</v>
      </c>
      <c r="J358" s="24" t="s">
        <v>90</v>
      </c>
      <c r="K358" s="109" t="s">
        <v>632</v>
      </c>
      <c r="L358" s="109"/>
      <c r="M358" s="26" t="s">
        <v>539</v>
      </c>
      <c r="N358" s="28">
        <v>44465</v>
      </c>
      <c r="O358" s="28" t="s">
        <v>457</v>
      </c>
      <c r="P358" s="131">
        <v>5803.6</v>
      </c>
      <c r="Q358" s="131">
        <v>13</v>
      </c>
      <c r="R358" s="120">
        <f t="shared" si="12"/>
        <v>75446.8</v>
      </c>
      <c r="S358" s="117">
        <v>202303</v>
      </c>
      <c r="T358" s="38" t="s">
        <v>633</v>
      </c>
      <c r="U358" s="38"/>
      <c r="V358" s="133"/>
      <c r="W358" s="133"/>
      <c r="X358" s="118">
        <v>44434</v>
      </c>
      <c r="Y358" s="118">
        <v>46624</v>
      </c>
    </row>
    <row r="359" s="79" customFormat="1" customHeight="1" spans="1:25">
      <c r="A359" s="129" t="s">
        <v>401</v>
      </c>
      <c r="B359" s="98" t="s">
        <v>62</v>
      </c>
      <c r="C359" s="98" t="s">
        <v>217</v>
      </c>
      <c r="D359" s="98" t="s">
        <v>566</v>
      </c>
      <c r="E359" s="130" t="s">
        <v>567</v>
      </c>
      <c r="F359" s="129" t="s">
        <v>568</v>
      </c>
      <c r="G359" s="109" t="s">
        <v>88</v>
      </c>
      <c r="H359" s="100" t="s">
        <v>631</v>
      </c>
      <c r="I359" s="23" t="e">
        <f>VLOOKUP(H359,'合同综合查询数据（3月返）'!$A:$A,1,FALSE)</f>
        <v>#N/A</v>
      </c>
      <c r="J359" s="24" t="s">
        <v>90</v>
      </c>
      <c r="K359" s="109" t="s">
        <v>632</v>
      </c>
      <c r="L359" s="109"/>
      <c r="M359" s="26" t="s">
        <v>539</v>
      </c>
      <c r="N359" s="28">
        <v>44465</v>
      </c>
      <c r="O359" s="28" t="s">
        <v>461</v>
      </c>
      <c r="P359" s="131">
        <v>11600</v>
      </c>
      <c r="Q359" s="131">
        <v>136</v>
      </c>
      <c r="R359" s="120">
        <f t="shared" ref="R359:R390" si="13">ROUND(P359*Q359,2)</f>
        <v>1577600</v>
      </c>
      <c r="S359" s="117">
        <v>202303</v>
      </c>
      <c r="T359" s="38" t="s">
        <v>634</v>
      </c>
      <c r="U359" s="38"/>
      <c r="V359" s="133"/>
      <c r="W359" s="133"/>
      <c r="X359" s="118">
        <v>44434</v>
      </c>
      <c r="Y359" s="118">
        <v>46624</v>
      </c>
    </row>
    <row r="360" s="79" customFormat="1" customHeight="1" spans="1:25">
      <c r="A360" s="129" t="s">
        <v>401</v>
      </c>
      <c r="B360" s="98" t="s">
        <v>62</v>
      </c>
      <c r="C360" s="98" t="s">
        <v>217</v>
      </c>
      <c r="D360" s="98" t="s">
        <v>566</v>
      </c>
      <c r="E360" s="130" t="s">
        <v>567</v>
      </c>
      <c r="F360" s="129" t="s">
        <v>568</v>
      </c>
      <c r="G360" s="109" t="s">
        <v>88</v>
      </c>
      <c r="H360" s="100" t="s">
        <v>631</v>
      </c>
      <c r="I360" s="23" t="e">
        <f>VLOOKUP(H360,'合同综合查询数据（3月返）'!$A:$A,1,FALSE)</f>
        <v>#N/A</v>
      </c>
      <c r="J360" s="24" t="s">
        <v>90</v>
      </c>
      <c r="K360" s="109" t="s">
        <v>632</v>
      </c>
      <c r="L360" s="109"/>
      <c r="M360" s="26" t="s">
        <v>539</v>
      </c>
      <c r="N360" s="28">
        <v>44465</v>
      </c>
      <c r="O360" s="28" t="s">
        <v>461</v>
      </c>
      <c r="P360" s="131">
        <v>11600</v>
      </c>
      <c r="Q360" s="131">
        <v>54</v>
      </c>
      <c r="R360" s="120">
        <f t="shared" si="13"/>
        <v>626400</v>
      </c>
      <c r="S360" s="117">
        <v>202303</v>
      </c>
      <c r="T360" s="38" t="s">
        <v>635</v>
      </c>
      <c r="U360" s="38"/>
      <c r="V360" s="133"/>
      <c r="W360" s="133"/>
      <c r="X360" s="118">
        <v>44434</v>
      </c>
      <c r="Y360" s="118">
        <v>46624</v>
      </c>
    </row>
    <row r="361" s="79" customFormat="1" customHeight="1" spans="1:25">
      <c r="A361" s="129" t="s">
        <v>401</v>
      </c>
      <c r="B361" s="98" t="s">
        <v>62</v>
      </c>
      <c r="C361" s="98" t="s">
        <v>217</v>
      </c>
      <c r="D361" s="98" t="s">
        <v>566</v>
      </c>
      <c r="E361" s="130" t="s">
        <v>567</v>
      </c>
      <c r="F361" s="129" t="s">
        <v>568</v>
      </c>
      <c r="G361" s="109" t="s">
        <v>88</v>
      </c>
      <c r="H361" s="100" t="s">
        <v>631</v>
      </c>
      <c r="I361" s="23" t="e">
        <f>VLOOKUP(H361,'合同综合查询数据（3月返）'!$A:$A,1,FALSE)</f>
        <v>#N/A</v>
      </c>
      <c r="J361" s="24" t="s">
        <v>90</v>
      </c>
      <c r="K361" s="109" t="s">
        <v>632</v>
      </c>
      <c r="L361" s="109"/>
      <c r="M361" s="26" t="s">
        <v>539</v>
      </c>
      <c r="N361" s="28">
        <v>44467</v>
      </c>
      <c r="O361" s="28" t="s">
        <v>461</v>
      </c>
      <c r="P361" s="131">
        <v>11600</v>
      </c>
      <c r="Q361" s="131">
        <v>53</v>
      </c>
      <c r="R361" s="120">
        <f t="shared" si="13"/>
        <v>614800</v>
      </c>
      <c r="S361" s="117">
        <v>202303</v>
      </c>
      <c r="T361" s="38" t="s">
        <v>636</v>
      </c>
      <c r="U361" s="38"/>
      <c r="V361" s="133"/>
      <c r="W361" s="133"/>
      <c r="X361" s="118">
        <v>44434</v>
      </c>
      <c r="Y361" s="118">
        <v>46624</v>
      </c>
    </row>
    <row r="362" s="79" customFormat="1" customHeight="1" spans="1:25">
      <c r="A362" s="129" t="s">
        <v>401</v>
      </c>
      <c r="B362" s="98" t="s">
        <v>62</v>
      </c>
      <c r="C362" s="98" t="s">
        <v>217</v>
      </c>
      <c r="D362" s="98" t="s">
        <v>566</v>
      </c>
      <c r="E362" s="130" t="s">
        <v>567</v>
      </c>
      <c r="F362" s="129" t="s">
        <v>568</v>
      </c>
      <c r="G362" s="109" t="s">
        <v>88</v>
      </c>
      <c r="H362" s="100" t="s">
        <v>631</v>
      </c>
      <c r="I362" s="23" t="e">
        <f>VLOOKUP(H362,'合同综合查询数据（3月返）'!$A:$A,1,FALSE)</f>
        <v>#N/A</v>
      </c>
      <c r="J362" s="24" t="s">
        <v>90</v>
      </c>
      <c r="K362" s="109" t="s">
        <v>632</v>
      </c>
      <c r="L362" s="109"/>
      <c r="M362" s="26" t="s">
        <v>539</v>
      </c>
      <c r="N362" s="28">
        <v>44465</v>
      </c>
      <c r="O362" s="28" t="s">
        <v>461</v>
      </c>
      <c r="P362" s="131">
        <v>11600</v>
      </c>
      <c r="Q362" s="131">
        <v>9</v>
      </c>
      <c r="R362" s="120">
        <f t="shared" si="13"/>
        <v>104400</v>
      </c>
      <c r="S362" s="117">
        <v>202303</v>
      </c>
      <c r="T362" s="38" t="s">
        <v>637</v>
      </c>
      <c r="U362" s="38"/>
      <c r="V362" s="133"/>
      <c r="W362" s="133"/>
      <c r="X362" s="118">
        <v>44434</v>
      </c>
      <c r="Y362" s="118">
        <v>46624</v>
      </c>
    </row>
    <row r="363" s="79" customFormat="1" customHeight="1" spans="1:25">
      <c r="A363" s="98" t="s">
        <v>401</v>
      </c>
      <c r="B363" s="98" t="s">
        <v>62</v>
      </c>
      <c r="C363" s="98" t="s">
        <v>217</v>
      </c>
      <c r="D363" s="98" t="s">
        <v>566</v>
      </c>
      <c r="E363" s="147" t="s">
        <v>567</v>
      </c>
      <c r="F363" s="129" t="s">
        <v>568</v>
      </c>
      <c r="G363" s="151" t="s">
        <v>88</v>
      </c>
      <c r="H363" s="100" t="s">
        <v>631</v>
      </c>
      <c r="I363" s="23" t="e">
        <f>VLOOKUP(H363,'合同综合查询数据（3月返）'!$A:$A,1,FALSE)</f>
        <v>#N/A</v>
      </c>
      <c r="J363" s="152" t="s">
        <v>90</v>
      </c>
      <c r="K363" s="109" t="s">
        <v>632</v>
      </c>
      <c r="L363" s="153"/>
      <c r="M363" s="26" t="s">
        <v>539</v>
      </c>
      <c r="N363" s="154">
        <v>44471</v>
      </c>
      <c r="O363" s="155" t="s">
        <v>461</v>
      </c>
      <c r="P363" s="156">
        <v>11600</v>
      </c>
      <c r="Q363" s="156">
        <v>1</v>
      </c>
      <c r="R363" s="120">
        <f t="shared" si="13"/>
        <v>11600</v>
      </c>
      <c r="S363" s="117">
        <v>202303</v>
      </c>
      <c r="T363" s="157" t="s">
        <v>638</v>
      </c>
      <c r="U363" s="157"/>
      <c r="V363" s="133"/>
      <c r="W363" s="133"/>
      <c r="X363" s="118">
        <v>44434</v>
      </c>
      <c r="Y363" s="118">
        <v>46624</v>
      </c>
    </row>
    <row r="364" s="79" customFormat="1" customHeight="1" spans="1:25">
      <c r="A364" s="98" t="s">
        <v>401</v>
      </c>
      <c r="B364" s="98" t="s">
        <v>62</v>
      </c>
      <c r="C364" s="98" t="s">
        <v>217</v>
      </c>
      <c r="D364" s="98" t="s">
        <v>566</v>
      </c>
      <c r="E364" s="147" t="s">
        <v>567</v>
      </c>
      <c r="F364" s="129" t="s">
        <v>568</v>
      </c>
      <c r="G364" s="151" t="s">
        <v>88</v>
      </c>
      <c r="H364" s="100" t="s">
        <v>631</v>
      </c>
      <c r="I364" s="23" t="e">
        <f>VLOOKUP(H364,'合同综合查询数据（3月返）'!$A:$A,1,FALSE)</f>
        <v>#N/A</v>
      </c>
      <c r="J364" s="152" t="s">
        <v>90</v>
      </c>
      <c r="K364" s="109" t="s">
        <v>632</v>
      </c>
      <c r="L364" s="153"/>
      <c r="M364" s="26" t="s">
        <v>539</v>
      </c>
      <c r="N364" s="154">
        <v>44499</v>
      </c>
      <c r="O364" s="155" t="s">
        <v>461</v>
      </c>
      <c r="P364" s="156">
        <v>11600</v>
      </c>
      <c r="Q364" s="156">
        <v>2</v>
      </c>
      <c r="R364" s="120">
        <f t="shared" si="13"/>
        <v>23200</v>
      </c>
      <c r="S364" s="117">
        <v>202303</v>
      </c>
      <c r="T364" s="157" t="s">
        <v>639</v>
      </c>
      <c r="U364" s="157"/>
      <c r="V364" s="133"/>
      <c r="W364" s="133"/>
      <c r="X364" s="118">
        <v>44434</v>
      </c>
      <c r="Y364" s="118">
        <v>46624</v>
      </c>
    </row>
    <row r="365" s="79" customFormat="1" customHeight="1" spans="1:25">
      <c r="A365" s="98" t="s">
        <v>401</v>
      </c>
      <c r="B365" s="98" t="s">
        <v>62</v>
      </c>
      <c r="C365" s="98" t="s">
        <v>217</v>
      </c>
      <c r="D365" s="98" t="s">
        <v>566</v>
      </c>
      <c r="E365" s="147" t="s">
        <v>567</v>
      </c>
      <c r="F365" s="129" t="s">
        <v>568</v>
      </c>
      <c r="G365" s="151" t="s">
        <v>88</v>
      </c>
      <c r="H365" s="100" t="s">
        <v>631</v>
      </c>
      <c r="I365" s="23" t="e">
        <f>VLOOKUP(H365,'合同综合查询数据（3月返）'!$A:$A,1,FALSE)</f>
        <v>#N/A</v>
      </c>
      <c r="J365" s="152" t="s">
        <v>90</v>
      </c>
      <c r="K365" s="109" t="s">
        <v>632</v>
      </c>
      <c r="L365" s="153"/>
      <c r="M365" s="26" t="s">
        <v>539</v>
      </c>
      <c r="N365" s="154">
        <v>44519</v>
      </c>
      <c r="O365" s="155" t="s">
        <v>457</v>
      </c>
      <c r="P365" s="156">
        <v>5803.6</v>
      </c>
      <c r="Q365" s="156">
        <v>4</v>
      </c>
      <c r="R365" s="120">
        <f t="shared" si="13"/>
        <v>23214.4</v>
      </c>
      <c r="S365" s="117">
        <v>202303</v>
      </c>
      <c r="T365" s="157" t="s">
        <v>640</v>
      </c>
      <c r="U365" s="157"/>
      <c r="V365" s="133"/>
      <c r="W365" s="133"/>
      <c r="X365" s="118">
        <v>44434</v>
      </c>
      <c r="Y365" s="118">
        <v>46624</v>
      </c>
    </row>
    <row r="366" s="79" customFormat="1" customHeight="1" spans="1:25">
      <c r="A366" s="98" t="s">
        <v>401</v>
      </c>
      <c r="B366" s="98" t="s">
        <v>62</v>
      </c>
      <c r="C366" s="98" t="s">
        <v>217</v>
      </c>
      <c r="D366" s="98" t="s">
        <v>566</v>
      </c>
      <c r="E366" s="147" t="s">
        <v>567</v>
      </c>
      <c r="F366" s="129" t="s">
        <v>568</v>
      </c>
      <c r="G366" s="151" t="s">
        <v>88</v>
      </c>
      <c r="H366" s="100" t="s">
        <v>631</v>
      </c>
      <c r="I366" s="23" t="e">
        <f>VLOOKUP(H366,'合同综合查询数据（3月返）'!$A:$A,1,FALSE)</f>
        <v>#N/A</v>
      </c>
      <c r="J366" s="152" t="s">
        <v>90</v>
      </c>
      <c r="K366" s="109" t="s">
        <v>632</v>
      </c>
      <c r="L366" s="153"/>
      <c r="M366" s="26" t="s">
        <v>539</v>
      </c>
      <c r="N366" s="154">
        <v>44519</v>
      </c>
      <c r="O366" s="28" t="s">
        <v>461</v>
      </c>
      <c r="P366" s="131">
        <v>11600</v>
      </c>
      <c r="Q366" s="156">
        <v>4</v>
      </c>
      <c r="R366" s="120">
        <f t="shared" si="13"/>
        <v>46400</v>
      </c>
      <c r="S366" s="117">
        <v>202303</v>
      </c>
      <c r="T366" s="157" t="s">
        <v>641</v>
      </c>
      <c r="U366" s="157"/>
      <c r="V366" s="133"/>
      <c r="W366" s="133"/>
      <c r="X366" s="118">
        <v>44434</v>
      </c>
      <c r="Y366" s="118">
        <v>46624</v>
      </c>
    </row>
    <row r="367" s="79" customFormat="1" customHeight="1" spans="1:25">
      <c r="A367" s="98" t="s">
        <v>401</v>
      </c>
      <c r="B367" s="98" t="s">
        <v>62</v>
      </c>
      <c r="C367" s="98" t="s">
        <v>217</v>
      </c>
      <c r="D367" s="98" t="s">
        <v>566</v>
      </c>
      <c r="E367" s="147" t="s">
        <v>567</v>
      </c>
      <c r="F367" s="129" t="s">
        <v>568</v>
      </c>
      <c r="G367" s="151" t="s">
        <v>88</v>
      </c>
      <c r="H367" s="100" t="s">
        <v>631</v>
      </c>
      <c r="I367" s="23" t="e">
        <f>VLOOKUP(H367,'合同综合查询数据（3月返）'!$A:$A,1,FALSE)</f>
        <v>#N/A</v>
      </c>
      <c r="J367" s="152" t="s">
        <v>90</v>
      </c>
      <c r="K367" s="109" t="s">
        <v>632</v>
      </c>
      <c r="L367" s="153"/>
      <c r="M367" s="26" t="s">
        <v>539</v>
      </c>
      <c r="N367" s="154">
        <v>44548</v>
      </c>
      <c r="O367" s="28" t="s">
        <v>461</v>
      </c>
      <c r="P367" s="131">
        <v>11600</v>
      </c>
      <c r="Q367" s="156">
        <v>21</v>
      </c>
      <c r="R367" s="120">
        <f t="shared" si="13"/>
        <v>243600</v>
      </c>
      <c r="S367" s="117">
        <v>202303</v>
      </c>
      <c r="T367" s="157" t="s">
        <v>642</v>
      </c>
      <c r="U367" s="159"/>
      <c r="V367" s="133"/>
      <c r="W367" s="133"/>
      <c r="X367" s="118">
        <v>44434</v>
      </c>
      <c r="Y367" s="118">
        <v>46624</v>
      </c>
    </row>
    <row r="368" s="79" customFormat="1" customHeight="1" spans="1:25">
      <c r="A368" s="98" t="s">
        <v>401</v>
      </c>
      <c r="B368" s="98" t="s">
        <v>62</v>
      </c>
      <c r="C368" s="98" t="s">
        <v>217</v>
      </c>
      <c r="D368" s="98" t="s">
        <v>566</v>
      </c>
      <c r="E368" s="147" t="s">
        <v>567</v>
      </c>
      <c r="F368" s="129" t="s">
        <v>568</v>
      </c>
      <c r="G368" s="151" t="s">
        <v>88</v>
      </c>
      <c r="H368" s="100" t="s">
        <v>631</v>
      </c>
      <c r="I368" s="23" t="e">
        <f>VLOOKUP(H368,'合同综合查询数据（3月返）'!$A:$A,1,FALSE)</f>
        <v>#N/A</v>
      </c>
      <c r="J368" s="152" t="s">
        <v>90</v>
      </c>
      <c r="K368" s="109" t="s">
        <v>632</v>
      </c>
      <c r="L368" s="153"/>
      <c r="M368" s="26" t="s">
        <v>539</v>
      </c>
      <c r="N368" s="154">
        <v>44551</v>
      </c>
      <c r="O368" s="28" t="s">
        <v>461</v>
      </c>
      <c r="P368" s="131">
        <v>11600</v>
      </c>
      <c r="Q368" s="156">
        <v>8</v>
      </c>
      <c r="R368" s="120">
        <f t="shared" si="13"/>
        <v>92800</v>
      </c>
      <c r="S368" s="117">
        <v>202303</v>
      </c>
      <c r="T368" s="157" t="s">
        <v>643</v>
      </c>
      <c r="U368" s="157"/>
      <c r="V368" s="133"/>
      <c r="W368" s="133"/>
      <c r="X368" s="118">
        <v>44434</v>
      </c>
      <c r="Y368" s="118">
        <v>46624</v>
      </c>
    </row>
    <row r="369" s="79" customFormat="1" customHeight="1" spans="1:25">
      <c r="A369" s="98" t="s">
        <v>401</v>
      </c>
      <c r="B369" s="98" t="s">
        <v>62</v>
      </c>
      <c r="C369" s="98" t="s">
        <v>217</v>
      </c>
      <c r="D369" s="98" t="s">
        <v>566</v>
      </c>
      <c r="E369" s="147" t="s">
        <v>567</v>
      </c>
      <c r="F369" s="129" t="s">
        <v>568</v>
      </c>
      <c r="G369" s="151" t="s">
        <v>88</v>
      </c>
      <c r="H369" s="100" t="s">
        <v>631</v>
      </c>
      <c r="I369" s="23" t="e">
        <f>VLOOKUP(H369,'合同综合查询数据（3月返）'!$A:$A,1,FALSE)</f>
        <v>#N/A</v>
      </c>
      <c r="J369" s="152" t="s">
        <v>90</v>
      </c>
      <c r="K369" s="109" t="s">
        <v>632</v>
      </c>
      <c r="L369" s="153"/>
      <c r="M369" s="26" t="s">
        <v>539</v>
      </c>
      <c r="N369" s="154">
        <v>44712</v>
      </c>
      <c r="O369" s="28" t="s">
        <v>461</v>
      </c>
      <c r="P369" s="131">
        <v>11600</v>
      </c>
      <c r="Q369" s="156">
        <v>-29</v>
      </c>
      <c r="R369" s="120">
        <f t="shared" si="13"/>
        <v>-336400</v>
      </c>
      <c r="S369" s="117">
        <v>202303</v>
      </c>
      <c r="T369" s="157" t="s">
        <v>644</v>
      </c>
      <c r="U369" s="157"/>
      <c r="V369" s="133"/>
      <c r="W369" s="133"/>
      <c r="X369" s="118">
        <v>44434</v>
      </c>
      <c r="Y369" s="118">
        <v>46624</v>
      </c>
    </row>
    <row r="370" s="79" customFormat="1" customHeight="1" spans="1:25">
      <c r="A370" s="98" t="s">
        <v>401</v>
      </c>
      <c r="B370" s="98" t="s">
        <v>62</v>
      </c>
      <c r="C370" s="98" t="s">
        <v>217</v>
      </c>
      <c r="D370" s="98" t="s">
        <v>566</v>
      </c>
      <c r="E370" s="147" t="s">
        <v>567</v>
      </c>
      <c r="F370" s="129" t="s">
        <v>568</v>
      </c>
      <c r="G370" s="151" t="s">
        <v>88</v>
      </c>
      <c r="H370" s="100" t="s">
        <v>631</v>
      </c>
      <c r="I370" s="23" t="e">
        <f>VLOOKUP(H370,'合同综合查询数据（3月返）'!$A:$A,1,FALSE)</f>
        <v>#N/A</v>
      </c>
      <c r="J370" s="152" t="s">
        <v>90</v>
      </c>
      <c r="K370" s="109" t="s">
        <v>645</v>
      </c>
      <c r="L370" s="153"/>
      <c r="M370" s="26" t="s">
        <v>539</v>
      </c>
      <c r="N370" s="154">
        <v>44556</v>
      </c>
      <c r="O370" s="28" t="s">
        <v>457</v>
      </c>
      <c r="P370" s="156">
        <v>5803.6</v>
      </c>
      <c r="Q370" s="156">
        <v>13</v>
      </c>
      <c r="R370" s="120">
        <f t="shared" si="13"/>
        <v>75446.8</v>
      </c>
      <c r="S370" s="117">
        <v>202303</v>
      </c>
      <c r="T370" s="157" t="s">
        <v>646</v>
      </c>
      <c r="U370" s="157"/>
      <c r="V370" s="133"/>
      <c r="W370" s="133"/>
      <c r="X370" s="118">
        <v>44434</v>
      </c>
      <c r="Y370" s="118">
        <v>46624</v>
      </c>
    </row>
    <row r="371" s="79" customFormat="1" customHeight="1" spans="1:25">
      <c r="A371" s="98" t="s">
        <v>401</v>
      </c>
      <c r="B371" s="98" t="s">
        <v>62</v>
      </c>
      <c r="C371" s="98" t="s">
        <v>217</v>
      </c>
      <c r="D371" s="98" t="s">
        <v>566</v>
      </c>
      <c r="E371" s="147" t="s">
        <v>567</v>
      </c>
      <c r="F371" s="129" t="s">
        <v>568</v>
      </c>
      <c r="G371" s="151" t="s">
        <v>88</v>
      </c>
      <c r="H371" s="100" t="s">
        <v>631</v>
      </c>
      <c r="I371" s="23" t="e">
        <f>VLOOKUP(H371,'合同综合查询数据（3月返）'!$A:$A,1,FALSE)</f>
        <v>#N/A</v>
      </c>
      <c r="J371" s="152" t="s">
        <v>90</v>
      </c>
      <c r="K371" s="109" t="s">
        <v>645</v>
      </c>
      <c r="L371" s="153"/>
      <c r="M371" s="26" t="s">
        <v>539</v>
      </c>
      <c r="N371" s="154">
        <v>44556</v>
      </c>
      <c r="O371" s="28" t="s">
        <v>461</v>
      </c>
      <c r="P371" s="131">
        <v>11600</v>
      </c>
      <c r="Q371" s="156">
        <v>104</v>
      </c>
      <c r="R371" s="120">
        <f t="shared" si="13"/>
        <v>1206400</v>
      </c>
      <c r="S371" s="117">
        <v>202303</v>
      </c>
      <c r="T371" s="157" t="s">
        <v>647</v>
      </c>
      <c r="U371" s="157"/>
      <c r="V371" s="133"/>
      <c r="W371" s="133"/>
      <c r="X371" s="118">
        <v>44434</v>
      </c>
      <c r="Y371" s="118">
        <v>46624</v>
      </c>
    </row>
    <row r="372" s="79" customFormat="1" customHeight="1" spans="1:25">
      <c r="A372" s="98" t="s">
        <v>401</v>
      </c>
      <c r="B372" s="98" t="s">
        <v>62</v>
      </c>
      <c r="C372" s="98" t="s">
        <v>217</v>
      </c>
      <c r="D372" s="98" t="s">
        <v>566</v>
      </c>
      <c r="E372" s="147" t="s">
        <v>567</v>
      </c>
      <c r="F372" s="129" t="s">
        <v>568</v>
      </c>
      <c r="G372" s="151" t="s">
        <v>88</v>
      </c>
      <c r="H372" s="100" t="s">
        <v>631</v>
      </c>
      <c r="I372" s="23" t="e">
        <f>VLOOKUP(H372,'合同综合查询数据（3月返）'!$A:$A,1,FALSE)</f>
        <v>#N/A</v>
      </c>
      <c r="J372" s="152" t="s">
        <v>90</v>
      </c>
      <c r="K372" s="109" t="s">
        <v>645</v>
      </c>
      <c r="L372" s="153"/>
      <c r="M372" s="26" t="s">
        <v>539</v>
      </c>
      <c r="N372" s="154">
        <v>44560</v>
      </c>
      <c r="O372" s="28" t="s">
        <v>461</v>
      </c>
      <c r="P372" s="131">
        <v>11600</v>
      </c>
      <c r="Q372" s="156">
        <v>3</v>
      </c>
      <c r="R372" s="120">
        <f t="shared" si="13"/>
        <v>34800</v>
      </c>
      <c r="S372" s="117">
        <v>202303</v>
      </c>
      <c r="T372" s="157" t="s">
        <v>648</v>
      </c>
      <c r="U372" s="157"/>
      <c r="V372" s="133"/>
      <c r="W372" s="133"/>
      <c r="X372" s="118">
        <v>44434</v>
      </c>
      <c r="Y372" s="118">
        <v>46624</v>
      </c>
    </row>
    <row r="373" s="79" customFormat="1" customHeight="1" spans="1:25">
      <c r="A373" s="98" t="s">
        <v>401</v>
      </c>
      <c r="B373" s="98" t="s">
        <v>62</v>
      </c>
      <c r="C373" s="98" t="s">
        <v>217</v>
      </c>
      <c r="D373" s="98" t="s">
        <v>566</v>
      </c>
      <c r="E373" s="147" t="s">
        <v>567</v>
      </c>
      <c r="F373" s="129" t="s">
        <v>568</v>
      </c>
      <c r="G373" s="151" t="s">
        <v>88</v>
      </c>
      <c r="H373" s="100" t="s">
        <v>631</v>
      </c>
      <c r="I373" s="23" t="e">
        <f>VLOOKUP(H373,'合同综合查询数据（3月返）'!$A:$A,1,FALSE)</f>
        <v>#N/A</v>
      </c>
      <c r="J373" s="152" t="s">
        <v>90</v>
      </c>
      <c r="K373" s="109" t="s">
        <v>645</v>
      </c>
      <c r="L373" s="153"/>
      <c r="M373" s="26" t="s">
        <v>539</v>
      </c>
      <c r="N373" s="154">
        <v>44617</v>
      </c>
      <c r="O373" s="28" t="s">
        <v>461</v>
      </c>
      <c r="P373" s="131">
        <v>11600</v>
      </c>
      <c r="Q373" s="156">
        <v>2</v>
      </c>
      <c r="R373" s="120">
        <f t="shared" si="13"/>
        <v>23200</v>
      </c>
      <c r="S373" s="117">
        <v>202303</v>
      </c>
      <c r="T373" s="157" t="s">
        <v>649</v>
      </c>
      <c r="U373" s="157"/>
      <c r="V373" s="133"/>
      <c r="W373" s="133"/>
      <c r="X373" s="118">
        <v>44434</v>
      </c>
      <c r="Y373" s="118">
        <v>46624</v>
      </c>
    </row>
    <row r="374" s="79" customFormat="1" customHeight="1" spans="1:25">
      <c r="A374" s="98" t="s">
        <v>401</v>
      </c>
      <c r="B374" s="98" t="s">
        <v>62</v>
      </c>
      <c r="C374" s="98" t="s">
        <v>217</v>
      </c>
      <c r="D374" s="98" t="s">
        <v>566</v>
      </c>
      <c r="E374" s="147" t="s">
        <v>567</v>
      </c>
      <c r="F374" s="129" t="s">
        <v>568</v>
      </c>
      <c r="G374" s="151" t="s">
        <v>88</v>
      </c>
      <c r="H374" s="100" t="s">
        <v>631</v>
      </c>
      <c r="I374" s="23" t="e">
        <f>VLOOKUP(H374,'合同综合查询数据（3月返）'!$A:$A,1,FALSE)</f>
        <v>#N/A</v>
      </c>
      <c r="J374" s="152" t="s">
        <v>90</v>
      </c>
      <c r="K374" s="109" t="s">
        <v>645</v>
      </c>
      <c r="L374" s="153"/>
      <c r="M374" s="26" t="s">
        <v>539</v>
      </c>
      <c r="N374" s="154">
        <v>44650</v>
      </c>
      <c r="O374" s="28" t="s">
        <v>461</v>
      </c>
      <c r="P374" s="131">
        <v>11600</v>
      </c>
      <c r="Q374" s="156">
        <v>2</v>
      </c>
      <c r="R374" s="120">
        <f t="shared" si="13"/>
        <v>23200</v>
      </c>
      <c r="S374" s="117">
        <v>202303</v>
      </c>
      <c r="T374" s="157" t="s">
        <v>650</v>
      </c>
      <c r="U374" s="157"/>
      <c r="V374" s="133"/>
      <c r="W374" s="133"/>
      <c r="X374" s="118">
        <v>44434</v>
      </c>
      <c r="Y374" s="118">
        <v>46624</v>
      </c>
    </row>
    <row r="375" s="79" customFormat="1" customHeight="1" spans="1:25">
      <c r="A375" s="98" t="s">
        <v>401</v>
      </c>
      <c r="B375" s="98" t="s">
        <v>62</v>
      </c>
      <c r="C375" s="98" t="s">
        <v>217</v>
      </c>
      <c r="D375" s="98" t="s">
        <v>566</v>
      </c>
      <c r="E375" s="147" t="s">
        <v>567</v>
      </c>
      <c r="F375" s="129" t="s">
        <v>568</v>
      </c>
      <c r="G375" s="151" t="s">
        <v>88</v>
      </c>
      <c r="H375" s="100" t="s">
        <v>631</v>
      </c>
      <c r="I375" s="23" t="e">
        <f>VLOOKUP(H375,'合同综合查询数据（3月返）'!$A:$A,1,FALSE)</f>
        <v>#N/A</v>
      </c>
      <c r="J375" s="152" t="s">
        <v>90</v>
      </c>
      <c r="K375" s="109" t="s">
        <v>645</v>
      </c>
      <c r="L375" s="153"/>
      <c r="M375" s="26" t="s">
        <v>539</v>
      </c>
      <c r="N375" s="154">
        <v>44665</v>
      </c>
      <c r="O375" s="28" t="s">
        <v>461</v>
      </c>
      <c r="P375" s="131">
        <v>11600</v>
      </c>
      <c r="Q375" s="156">
        <v>5</v>
      </c>
      <c r="R375" s="120">
        <f t="shared" si="13"/>
        <v>58000</v>
      </c>
      <c r="S375" s="117">
        <v>202303</v>
      </c>
      <c r="T375" s="157" t="s">
        <v>651</v>
      </c>
      <c r="U375" s="157"/>
      <c r="V375" s="133"/>
      <c r="W375" s="133"/>
      <c r="X375" s="118">
        <v>44434</v>
      </c>
      <c r="Y375" s="118">
        <v>46624</v>
      </c>
    </row>
    <row r="376" s="79" customFormat="1" customHeight="1" spans="1:25">
      <c r="A376" s="98" t="s">
        <v>401</v>
      </c>
      <c r="B376" s="98" t="s">
        <v>62</v>
      </c>
      <c r="C376" s="98" t="s">
        <v>217</v>
      </c>
      <c r="D376" s="98" t="s">
        <v>566</v>
      </c>
      <c r="E376" s="147" t="s">
        <v>567</v>
      </c>
      <c r="F376" s="129" t="s">
        <v>568</v>
      </c>
      <c r="G376" s="151" t="s">
        <v>88</v>
      </c>
      <c r="H376" s="100" t="s">
        <v>631</v>
      </c>
      <c r="I376" s="23" t="e">
        <f>VLOOKUP(H376,'合同综合查询数据（3月返）'!$A:$A,1,FALSE)</f>
        <v>#N/A</v>
      </c>
      <c r="J376" s="152" t="s">
        <v>90</v>
      </c>
      <c r="K376" s="109" t="s">
        <v>645</v>
      </c>
      <c r="L376" s="153"/>
      <c r="M376" s="26" t="s">
        <v>539</v>
      </c>
      <c r="N376" s="154">
        <v>44666</v>
      </c>
      <c r="O376" s="28" t="s">
        <v>461</v>
      </c>
      <c r="P376" s="131">
        <v>11600</v>
      </c>
      <c r="Q376" s="156">
        <v>2</v>
      </c>
      <c r="R376" s="120">
        <f t="shared" si="13"/>
        <v>23200</v>
      </c>
      <c r="S376" s="117">
        <v>202303</v>
      </c>
      <c r="T376" s="157" t="s">
        <v>652</v>
      </c>
      <c r="U376" s="157"/>
      <c r="V376" s="133"/>
      <c r="W376" s="133"/>
      <c r="X376" s="118">
        <v>44434</v>
      </c>
      <c r="Y376" s="118">
        <v>46624</v>
      </c>
    </row>
    <row r="377" s="79" customFormat="1" customHeight="1" spans="1:25">
      <c r="A377" s="98" t="s">
        <v>401</v>
      </c>
      <c r="B377" s="98" t="s">
        <v>62</v>
      </c>
      <c r="C377" s="98" t="s">
        <v>217</v>
      </c>
      <c r="D377" s="98" t="s">
        <v>566</v>
      </c>
      <c r="E377" s="147" t="s">
        <v>567</v>
      </c>
      <c r="F377" s="129" t="s">
        <v>568</v>
      </c>
      <c r="G377" s="151" t="s">
        <v>88</v>
      </c>
      <c r="H377" s="100" t="s">
        <v>631</v>
      </c>
      <c r="I377" s="23" t="e">
        <f>VLOOKUP(H377,'合同综合查询数据（3月返）'!$A:$A,1,FALSE)</f>
        <v>#N/A</v>
      </c>
      <c r="J377" s="152" t="s">
        <v>90</v>
      </c>
      <c r="K377" s="109" t="s">
        <v>645</v>
      </c>
      <c r="L377" s="153"/>
      <c r="M377" s="26" t="s">
        <v>539</v>
      </c>
      <c r="N377" s="154">
        <v>44670</v>
      </c>
      <c r="O377" s="28" t="s">
        <v>461</v>
      </c>
      <c r="P377" s="131">
        <v>11600</v>
      </c>
      <c r="Q377" s="156">
        <v>12</v>
      </c>
      <c r="R377" s="120">
        <f t="shared" si="13"/>
        <v>139200</v>
      </c>
      <c r="S377" s="117">
        <v>202303</v>
      </c>
      <c r="T377" s="157" t="s">
        <v>653</v>
      </c>
      <c r="U377" s="157"/>
      <c r="V377" s="133"/>
      <c r="W377" s="133"/>
      <c r="X377" s="118">
        <v>44434</v>
      </c>
      <c r="Y377" s="118">
        <v>46624</v>
      </c>
    </row>
    <row r="378" s="79" customFormat="1" customHeight="1" spans="1:25">
      <c r="A378" s="98" t="s">
        <v>401</v>
      </c>
      <c r="B378" s="98" t="s">
        <v>62</v>
      </c>
      <c r="C378" s="98" t="s">
        <v>217</v>
      </c>
      <c r="D378" s="98" t="s">
        <v>566</v>
      </c>
      <c r="E378" s="147" t="s">
        <v>567</v>
      </c>
      <c r="F378" s="129" t="s">
        <v>568</v>
      </c>
      <c r="G378" s="151" t="s">
        <v>88</v>
      </c>
      <c r="H378" s="100" t="s">
        <v>631</v>
      </c>
      <c r="I378" s="23" t="e">
        <f>VLOOKUP(H378,'合同综合查询数据（3月返）'!$A:$A,1,FALSE)</f>
        <v>#N/A</v>
      </c>
      <c r="J378" s="152" t="s">
        <v>90</v>
      </c>
      <c r="K378" s="109" t="s">
        <v>645</v>
      </c>
      <c r="L378" s="153"/>
      <c r="M378" s="26" t="s">
        <v>539</v>
      </c>
      <c r="N378" s="154">
        <v>44672</v>
      </c>
      <c r="O378" s="28" t="s">
        <v>461</v>
      </c>
      <c r="P378" s="131">
        <v>11600</v>
      </c>
      <c r="Q378" s="156">
        <v>30</v>
      </c>
      <c r="R378" s="120">
        <f t="shared" si="13"/>
        <v>348000</v>
      </c>
      <c r="S378" s="117">
        <v>202303</v>
      </c>
      <c r="T378" s="157" t="s">
        <v>654</v>
      </c>
      <c r="U378" s="157"/>
      <c r="V378" s="133"/>
      <c r="W378" s="133"/>
      <c r="X378" s="118">
        <v>44434</v>
      </c>
      <c r="Y378" s="118">
        <v>46624</v>
      </c>
    </row>
    <row r="379" s="79" customFormat="1" customHeight="1" spans="1:25">
      <c r="A379" s="98" t="s">
        <v>401</v>
      </c>
      <c r="B379" s="98" t="s">
        <v>62</v>
      </c>
      <c r="C379" s="98" t="s">
        <v>217</v>
      </c>
      <c r="D379" s="98" t="s">
        <v>566</v>
      </c>
      <c r="E379" s="147" t="s">
        <v>567</v>
      </c>
      <c r="F379" s="129" t="s">
        <v>568</v>
      </c>
      <c r="G379" s="151" t="s">
        <v>88</v>
      </c>
      <c r="H379" s="100" t="s">
        <v>631</v>
      </c>
      <c r="I379" s="23" t="e">
        <f>VLOOKUP(H379,'合同综合查询数据（3月返）'!$A:$A,1,FALSE)</f>
        <v>#N/A</v>
      </c>
      <c r="J379" s="152" t="s">
        <v>90</v>
      </c>
      <c r="K379" s="109" t="s">
        <v>645</v>
      </c>
      <c r="L379" s="153"/>
      <c r="M379" s="26" t="s">
        <v>539</v>
      </c>
      <c r="N379" s="154">
        <v>44697</v>
      </c>
      <c r="O379" s="28" t="s">
        <v>461</v>
      </c>
      <c r="P379" s="131">
        <v>11600</v>
      </c>
      <c r="Q379" s="156">
        <v>2</v>
      </c>
      <c r="R379" s="120">
        <f t="shared" si="13"/>
        <v>23200</v>
      </c>
      <c r="S379" s="117">
        <v>202303</v>
      </c>
      <c r="T379" s="157" t="s">
        <v>655</v>
      </c>
      <c r="U379" s="157"/>
      <c r="V379" s="133"/>
      <c r="W379" s="133"/>
      <c r="X379" s="118">
        <v>44434</v>
      </c>
      <c r="Y379" s="118">
        <v>46624</v>
      </c>
    </row>
    <row r="380" s="79" customFormat="1" customHeight="1" spans="1:25">
      <c r="A380" s="98" t="s">
        <v>401</v>
      </c>
      <c r="B380" s="98" t="s">
        <v>62</v>
      </c>
      <c r="C380" s="98" t="s">
        <v>217</v>
      </c>
      <c r="D380" s="98" t="s">
        <v>566</v>
      </c>
      <c r="E380" s="147" t="s">
        <v>567</v>
      </c>
      <c r="F380" s="129" t="s">
        <v>568</v>
      </c>
      <c r="G380" s="151" t="s">
        <v>88</v>
      </c>
      <c r="H380" s="100" t="s">
        <v>631</v>
      </c>
      <c r="I380" s="23" t="e">
        <f>VLOOKUP(H380,'合同综合查询数据（3月返）'!$A:$A,1,FALSE)</f>
        <v>#N/A</v>
      </c>
      <c r="J380" s="152" t="s">
        <v>90</v>
      </c>
      <c r="K380" s="109" t="s">
        <v>645</v>
      </c>
      <c r="L380" s="153"/>
      <c r="M380" s="26" t="s">
        <v>539</v>
      </c>
      <c r="N380" s="154">
        <v>44707</v>
      </c>
      <c r="O380" s="28" t="s">
        <v>461</v>
      </c>
      <c r="P380" s="131">
        <v>11600</v>
      </c>
      <c r="Q380" s="156">
        <v>15</v>
      </c>
      <c r="R380" s="120">
        <f t="shared" si="13"/>
        <v>174000</v>
      </c>
      <c r="S380" s="117">
        <v>202303</v>
      </c>
      <c r="T380" s="157" t="s">
        <v>656</v>
      </c>
      <c r="U380" s="157"/>
      <c r="V380" s="133"/>
      <c r="W380" s="133"/>
      <c r="X380" s="118">
        <v>44434</v>
      </c>
      <c r="Y380" s="118">
        <v>46624</v>
      </c>
    </row>
    <row r="381" s="79" customFormat="1" customHeight="1" spans="1:25">
      <c r="A381" s="98" t="s">
        <v>401</v>
      </c>
      <c r="B381" s="98" t="s">
        <v>62</v>
      </c>
      <c r="C381" s="98" t="s">
        <v>217</v>
      </c>
      <c r="D381" s="98" t="s">
        <v>566</v>
      </c>
      <c r="E381" s="147" t="s">
        <v>567</v>
      </c>
      <c r="F381" s="129" t="s">
        <v>568</v>
      </c>
      <c r="G381" s="151" t="s">
        <v>88</v>
      </c>
      <c r="H381" s="100" t="s">
        <v>631</v>
      </c>
      <c r="I381" s="23" t="e">
        <f>VLOOKUP(H381,'合同综合查询数据（3月返）'!$A:$A,1,FALSE)</f>
        <v>#N/A</v>
      </c>
      <c r="J381" s="152" t="s">
        <v>90</v>
      </c>
      <c r="K381" s="109" t="s">
        <v>645</v>
      </c>
      <c r="L381" s="153"/>
      <c r="M381" s="26" t="s">
        <v>539</v>
      </c>
      <c r="N381" s="154">
        <v>44708</v>
      </c>
      <c r="O381" s="28" t="s">
        <v>461</v>
      </c>
      <c r="P381" s="131">
        <v>11600</v>
      </c>
      <c r="Q381" s="156">
        <v>1</v>
      </c>
      <c r="R381" s="120">
        <f t="shared" si="13"/>
        <v>11600</v>
      </c>
      <c r="S381" s="117">
        <v>202303</v>
      </c>
      <c r="T381" s="157" t="s">
        <v>657</v>
      </c>
      <c r="U381" s="157"/>
      <c r="V381" s="133"/>
      <c r="W381" s="133"/>
      <c r="X381" s="118">
        <v>44434</v>
      </c>
      <c r="Y381" s="118">
        <v>46624</v>
      </c>
    </row>
    <row r="382" s="79" customFormat="1" customHeight="1" spans="1:25">
      <c r="A382" s="98" t="s">
        <v>401</v>
      </c>
      <c r="B382" s="98" t="s">
        <v>62</v>
      </c>
      <c r="C382" s="98" t="s">
        <v>217</v>
      </c>
      <c r="D382" s="98" t="s">
        <v>566</v>
      </c>
      <c r="E382" s="147" t="s">
        <v>567</v>
      </c>
      <c r="F382" s="129" t="s">
        <v>568</v>
      </c>
      <c r="G382" s="151" t="s">
        <v>88</v>
      </c>
      <c r="H382" s="100" t="s">
        <v>631</v>
      </c>
      <c r="I382" s="23" t="e">
        <f>VLOOKUP(H382,'合同综合查询数据（3月返）'!$A:$A,1,FALSE)</f>
        <v>#N/A</v>
      </c>
      <c r="J382" s="152" t="s">
        <v>90</v>
      </c>
      <c r="K382" s="109" t="s">
        <v>645</v>
      </c>
      <c r="L382" s="153"/>
      <c r="M382" s="26" t="s">
        <v>539</v>
      </c>
      <c r="N382" s="154">
        <v>44861</v>
      </c>
      <c r="O382" s="28" t="s">
        <v>457</v>
      </c>
      <c r="P382" s="131">
        <v>5803.6</v>
      </c>
      <c r="Q382" s="156">
        <v>-2</v>
      </c>
      <c r="R382" s="120">
        <f t="shared" si="13"/>
        <v>-11607.2</v>
      </c>
      <c r="S382" s="117">
        <v>202303</v>
      </c>
      <c r="T382" s="157" t="s">
        <v>658</v>
      </c>
      <c r="U382" s="157"/>
      <c r="V382" s="133"/>
      <c r="W382" s="133"/>
      <c r="X382" s="118">
        <v>44434</v>
      </c>
      <c r="Y382" s="118">
        <v>46624</v>
      </c>
    </row>
    <row r="383" s="79" customFormat="1" customHeight="1" spans="1:25">
      <c r="A383" s="98" t="s">
        <v>401</v>
      </c>
      <c r="B383" s="98" t="s">
        <v>62</v>
      </c>
      <c r="C383" s="98" t="s">
        <v>217</v>
      </c>
      <c r="D383" s="98" t="s">
        <v>566</v>
      </c>
      <c r="E383" s="147" t="s">
        <v>567</v>
      </c>
      <c r="F383" s="129" t="s">
        <v>568</v>
      </c>
      <c r="G383" s="151" t="s">
        <v>88</v>
      </c>
      <c r="H383" s="100" t="s">
        <v>631</v>
      </c>
      <c r="I383" s="23" t="e">
        <f>VLOOKUP(H383,'合同综合查询数据（3月返）'!$A:$A,1,FALSE)</f>
        <v>#N/A</v>
      </c>
      <c r="J383" s="152" t="s">
        <v>90</v>
      </c>
      <c r="K383" s="109" t="s">
        <v>632</v>
      </c>
      <c r="L383" s="153"/>
      <c r="M383" s="26" t="s">
        <v>539</v>
      </c>
      <c r="N383" s="154">
        <v>44985</v>
      </c>
      <c r="O383" s="155" t="s">
        <v>457</v>
      </c>
      <c r="P383" s="156">
        <v>5803.6</v>
      </c>
      <c r="Q383" s="156">
        <v>4</v>
      </c>
      <c r="R383" s="120">
        <f t="shared" si="13"/>
        <v>23214.4</v>
      </c>
      <c r="S383" s="117">
        <v>202303</v>
      </c>
      <c r="T383" s="157" t="s">
        <v>659</v>
      </c>
      <c r="U383" s="157"/>
      <c r="V383" s="133"/>
      <c r="W383" s="133"/>
      <c r="X383" s="118">
        <v>44434</v>
      </c>
      <c r="Y383" s="118">
        <v>46624</v>
      </c>
    </row>
    <row r="384" s="79" customFormat="1" customHeight="1" spans="1:25">
      <c r="A384" s="98" t="s">
        <v>401</v>
      </c>
      <c r="B384" s="98" t="s">
        <v>62</v>
      </c>
      <c r="C384" s="98" t="s">
        <v>217</v>
      </c>
      <c r="D384" s="98" t="s">
        <v>566</v>
      </c>
      <c r="E384" s="147" t="s">
        <v>567</v>
      </c>
      <c r="F384" s="129" t="s">
        <v>568</v>
      </c>
      <c r="G384" s="151" t="s">
        <v>78</v>
      </c>
      <c r="H384" s="100" t="s">
        <v>631</v>
      </c>
      <c r="I384" s="23" t="e">
        <f>VLOOKUP(H384,'合同综合查询数据（3月返）'!$A:$A,1,FALSE)</f>
        <v>#N/A</v>
      </c>
      <c r="J384" s="152" t="s">
        <v>475</v>
      </c>
      <c r="K384" s="109" t="s">
        <v>660</v>
      </c>
      <c r="L384" s="153"/>
      <c r="M384" s="26" t="s">
        <v>539</v>
      </c>
      <c r="N384" s="154"/>
      <c r="O384" s="28"/>
      <c r="P384" s="131">
        <v>5280</v>
      </c>
      <c r="Q384" s="156">
        <v>0</v>
      </c>
      <c r="R384" s="120">
        <f t="shared" si="13"/>
        <v>0</v>
      </c>
      <c r="S384" s="117">
        <v>202303</v>
      </c>
      <c r="T384" s="157" t="s">
        <v>661</v>
      </c>
      <c r="U384" s="157"/>
      <c r="V384" s="133"/>
      <c r="W384" s="133"/>
      <c r="X384" s="118">
        <v>44434</v>
      </c>
      <c r="Y384" s="118">
        <v>46624</v>
      </c>
    </row>
    <row r="385" s="81" customFormat="1" customHeight="1" spans="1:25">
      <c r="A385" s="135" t="s">
        <v>401</v>
      </c>
      <c r="B385" s="61" t="s">
        <v>62</v>
      </c>
      <c r="C385" s="61" t="s">
        <v>217</v>
      </c>
      <c r="D385" s="61" t="s">
        <v>566</v>
      </c>
      <c r="E385" s="136" t="s">
        <v>567</v>
      </c>
      <c r="F385" s="135" t="s">
        <v>568</v>
      </c>
      <c r="G385" s="138" t="s">
        <v>31</v>
      </c>
      <c r="H385" s="45" t="s">
        <v>662</v>
      </c>
      <c r="I385" s="47" t="e">
        <f>VLOOKUP(H385,'合同综合查询数据（3月返）'!$A:$A,1,FALSE)</f>
        <v>#N/A</v>
      </c>
      <c r="J385" s="135" t="s">
        <v>451</v>
      </c>
      <c r="K385" s="138" t="s">
        <v>501</v>
      </c>
      <c r="L385" s="138"/>
      <c r="M385" s="50"/>
      <c r="N385" s="51" t="s">
        <v>623</v>
      </c>
      <c r="O385" s="138" t="s">
        <v>37</v>
      </c>
      <c r="P385" s="140">
        <v>0</v>
      </c>
      <c r="Q385" s="140">
        <f>12*256</f>
        <v>3072</v>
      </c>
      <c r="R385" s="68">
        <f t="shared" si="13"/>
        <v>0</v>
      </c>
      <c r="S385" s="70">
        <v>202303</v>
      </c>
      <c r="T385" s="166" t="s">
        <v>663</v>
      </c>
      <c r="U385" s="167"/>
      <c r="V385" s="143"/>
      <c r="W385" s="143"/>
      <c r="X385" s="73"/>
      <c r="Y385" s="73"/>
    </row>
    <row r="386" s="81" customFormat="1" customHeight="1" spans="1:25">
      <c r="A386" s="135" t="s">
        <v>401</v>
      </c>
      <c r="B386" s="61" t="s">
        <v>62</v>
      </c>
      <c r="C386" s="61" t="s">
        <v>217</v>
      </c>
      <c r="D386" s="61" t="s">
        <v>566</v>
      </c>
      <c r="E386" s="136" t="s">
        <v>567</v>
      </c>
      <c r="F386" s="135" t="s">
        <v>568</v>
      </c>
      <c r="G386" s="138" t="s">
        <v>31</v>
      </c>
      <c r="H386" s="45" t="s">
        <v>662</v>
      </c>
      <c r="I386" s="47" t="e">
        <f>VLOOKUP(H386,'合同综合查询数据（3月返）'!$A:$A,1,FALSE)</f>
        <v>#N/A</v>
      </c>
      <c r="J386" s="135" t="s">
        <v>451</v>
      </c>
      <c r="K386" s="138" t="s">
        <v>664</v>
      </c>
      <c r="L386" s="138"/>
      <c r="M386" s="50"/>
      <c r="N386" s="51" t="s">
        <v>623</v>
      </c>
      <c r="O386" s="138" t="s">
        <v>37</v>
      </c>
      <c r="P386" s="140">
        <v>35</v>
      </c>
      <c r="Q386" s="140">
        <f>6*256-512</f>
        <v>1024</v>
      </c>
      <c r="R386" s="68">
        <f t="shared" si="13"/>
        <v>35840</v>
      </c>
      <c r="S386" s="70">
        <v>202303</v>
      </c>
      <c r="T386" s="166" t="s">
        <v>665</v>
      </c>
      <c r="U386" s="167"/>
      <c r="V386" s="143"/>
      <c r="W386" s="143"/>
      <c r="X386" s="73"/>
      <c r="Y386" s="73"/>
    </row>
    <row r="387" s="81" customFormat="1" customHeight="1" spans="1:25">
      <c r="A387" s="135" t="s">
        <v>401</v>
      </c>
      <c r="B387" s="61" t="s">
        <v>62</v>
      </c>
      <c r="C387" s="61" t="s">
        <v>217</v>
      </c>
      <c r="D387" s="61" t="s">
        <v>566</v>
      </c>
      <c r="E387" s="136" t="s">
        <v>567</v>
      </c>
      <c r="F387" s="135" t="s">
        <v>568</v>
      </c>
      <c r="G387" s="138" t="s">
        <v>31</v>
      </c>
      <c r="H387" s="45" t="s">
        <v>662</v>
      </c>
      <c r="I387" s="47" t="e">
        <f>VLOOKUP(H387,'合同综合查询数据（3月返）'!$A:$A,1,FALSE)</f>
        <v>#N/A</v>
      </c>
      <c r="J387" s="135" t="s">
        <v>451</v>
      </c>
      <c r="K387" s="138" t="s">
        <v>664</v>
      </c>
      <c r="L387" s="138"/>
      <c r="M387" s="50"/>
      <c r="N387" s="51" t="s">
        <v>623</v>
      </c>
      <c r="O387" s="138" t="s">
        <v>37</v>
      </c>
      <c r="P387" s="140">
        <v>0</v>
      </c>
      <c r="Q387" s="140">
        <v>512</v>
      </c>
      <c r="R387" s="68">
        <f t="shared" si="13"/>
        <v>0</v>
      </c>
      <c r="S387" s="70">
        <v>202303</v>
      </c>
      <c r="T387" s="166" t="s">
        <v>666</v>
      </c>
      <c r="U387" s="167"/>
      <c r="V387" s="143"/>
      <c r="W387" s="143"/>
      <c r="X387" s="73"/>
      <c r="Y387" s="73"/>
    </row>
    <row r="388" s="81" customFormat="1" customHeight="1" spans="1:25">
      <c r="A388" s="135" t="s">
        <v>401</v>
      </c>
      <c r="B388" s="61" t="s">
        <v>62</v>
      </c>
      <c r="C388" s="61" t="s">
        <v>217</v>
      </c>
      <c r="D388" s="61" t="s">
        <v>566</v>
      </c>
      <c r="E388" s="136" t="s">
        <v>567</v>
      </c>
      <c r="F388" s="135" t="s">
        <v>568</v>
      </c>
      <c r="G388" s="138" t="s">
        <v>31</v>
      </c>
      <c r="H388" s="45" t="s">
        <v>662</v>
      </c>
      <c r="I388" s="47" t="e">
        <f>VLOOKUP(H388,'合同综合查询数据（3月返）'!$A:$A,1,FALSE)</f>
        <v>#N/A</v>
      </c>
      <c r="J388" s="65" t="s">
        <v>667</v>
      </c>
      <c r="K388" s="138" t="s">
        <v>668</v>
      </c>
      <c r="L388" s="138"/>
      <c r="M388" s="50" t="s">
        <v>502</v>
      </c>
      <c r="N388" s="51">
        <v>43941</v>
      </c>
      <c r="O388" s="51" t="s">
        <v>669</v>
      </c>
      <c r="P388" s="140">
        <v>10</v>
      </c>
      <c r="Q388" s="140">
        <v>512</v>
      </c>
      <c r="R388" s="68">
        <f t="shared" si="13"/>
        <v>5120</v>
      </c>
      <c r="S388" s="70">
        <v>202303</v>
      </c>
      <c r="T388" s="166" t="s">
        <v>670</v>
      </c>
      <c r="U388" s="167"/>
      <c r="V388" s="143"/>
      <c r="W388" s="143"/>
      <c r="X388" s="73"/>
      <c r="Y388" s="73"/>
    </row>
    <row r="389" s="81" customFormat="1" customHeight="1" spans="1:25">
      <c r="A389" s="135" t="s">
        <v>401</v>
      </c>
      <c r="B389" s="61" t="s">
        <v>62</v>
      </c>
      <c r="C389" s="61" t="s">
        <v>217</v>
      </c>
      <c r="D389" s="61" t="s">
        <v>566</v>
      </c>
      <c r="E389" s="136" t="s">
        <v>567</v>
      </c>
      <c r="F389" s="135" t="s">
        <v>568</v>
      </c>
      <c r="G389" s="138" t="s">
        <v>31</v>
      </c>
      <c r="H389" s="45" t="s">
        <v>662</v>
      </c>
      <c r="I389" s="47" t="e">
        <f>VLOOKUP(H389,'合同综合查询数据（3月返）'!$A:$A,1,FALSE)</f>
        <v>#N/A</v>
      </c>
      <c r="J389" s="65" t="s">
        <v>667</v>
      </c>
      <c r="K389" s="138" t="s">
        <v>668</v>
      </c>
      <c r="L389" s="138"/>
      <c r="M389" s="50" t="s">
        <v>502</v>
      </c>
      <c r="N389" s="51">
        <v>44166</v>
      </c>
      <c r="O389" s="51" t="s">
        <v>669</v>
      </c>
      <c r="P389" s="140">
        <v>10</v>
      </c>
      <c r="Q389" s="140">
        <v>512</v>
      </c>
      <c r="R389" s="68">
        <f t="shared" si="13"/>
        <v>5120</v>
      </c>
      <c r="S389" s="70">
        <v>202303</v>
      </c>
      <c r="T389" s="166" t="s">
        <v>671</v>
      </c>
      <c r="U389" s="167"/>
      <c r="V389" s="143"/>
      <c r="W389" s="143"/>
      <c r="X389" s="73"/>
      <c r="Y389" s="73"/>
    </row>
    <row r="390" s="81" customFormat="1" customHeight="1" spans="1:25">
      <c r="A390" s="135" t="s">
        <v>401</v>
      </c>
      <c r="B390" s="61" t="s">
        <v>62</v>
      </c>
      <c r="C390" s="61" t="s">
        <v>217</v>
      </c>
      <c r="D390" s="61" t="s">
        <v>566</v>
      </c>
      <c r="E390" s="136" t="s">
        <v>567</v>
      </c>
      <c r="F390" s="135" t="s">
        <v>568</v>
      </c>
      <c r="G390" s="138" t="s">
        <v>31</v>
      </c>
      <c r="H390" s="45" t="s">
        <v>662</v>
      </c>
      <c r="I390" s="47" t="e">
        <f>VLOOKUP(H390,'合同综合查询数据（3月返）'!$A:$A,1,FALSE)</f>
        <v>#N/A</v>
      </c>
      <c r="J390" s="65" t="s">
        <v>667</v>
      </c>
      <c r="K390" s="138" t="s">
        <v>668</v>
      </c>
      <c r="L390" s="138"/>
      <c r="M390" s="50" t="s">
        <v>502</v>
      </c>
      <c r="N390" s="51">
        <v>44197</v>
      </c>
      <c r="O390" s="51" t="s">
        <v>672</v>
      </c>
      <c r="P390" s="140">
        <v>10</v>
      </c>
      <c r="Q390" s="140">
        <f>256*4</f>
        <v>1024</v>
      </c>
      <c r="R390" s="68">
        <f t="shared" si="13"/>
        <v>10240</v>
      </c>
      <c r="S390" s="70">
        <v>202303</v>
      </c>
      <c r="T390" s="166" t="s">
        <v>673</v>
      </c>
      <c r="U390" s="167"/>
      <c r="V390" s="143"/>
      <c r="W390" s="143"/>
      <c r="X390" s="73"/>
      <c r="Y390" s="73"/>
    </row>
    <row r="391" s="81" customFormat="1" customHeight="1" spans="1:25">
      <c r="A391" s="135" t="s">
        <v>401</v>
      </c>
      <c r="B391" s="61" t="s">
        <v>62</v>
      </c>
      <c r="C391" s="61" t="s">
        <v>217</v>
      </c>
      <c r="D391" s="61" t="s">
        <v>566</v>
      </c>
      <c r="E391" s="136" t="s">
        <v>567</v>
      </c>
      <c r="F391" s="135" t="s">
        <v>568</v>
      </c>
      <c r="G391" s="138" t="s">
        <v>31</v>
      </c>
      <c r="H391" s="45" t="s">
        <v>662</v>
      </c>
      <c r="I391" s="47" t="e">
        <f>VLOOKUP(H391,'合同综合查询数据（3月返）'!$A:$A,1,FALSE)</f>
        <v>#N/A</v>
      </c>
      <c r="J391" s="65" t="s">
        <v>667</v>
      </c>
      <c r="K391" s="138" t="s">
        <v>668</v>
      </c>
      <c r="L391" s="138"/>
      <c r="M391" s="50" t="s">
        <v>502</v>
      </c>
      <c r="N391" s="51">
        <v>44623</v>
      </c>
      <c r="O391" s="51" t="s">
        <v>674</v>
      </c>
      <c r="P391" s="140">
        <v>0</v>
      </c>
      <c r="Q391" s="140">
        <f>256*36</f>
        <v>9216</v>
      </c>
      <c r="R391" s="68">
        <f t="shared" ref="R391:R422" si="14">ROUND(P391*Q391,2)</f>
        <v>0</v>
      </c>
      <c r="S391" s="70">
        <v>202303</v>
      </c>
      <c r="T391" s="166" t="s">
        <v>675</v>
      </c>
      <c r="U391" s="167"/>
      <c r="V391" s="143"/>
      <c r="W391" s="143"/>
      <c r="X391" s="73"/>
      <c r="Y391" s="73"/>
    </row>
    <row r="392" s="79" customFormat="1" customHeight="1" spans="1:25">
      <c r="A392" s="94" t="s">
        <v>401</v>
      </c>
      <c r="B392" s="98" t="s">
        <v>62</v>
      </c>
      <c r="C392" s="96" t="s">
        <v>217</v>
      </c>
      <c r="D392" s="96" t="s">
        <v>566</v>
      </c>
      <c r="E392" s="23" t="s">
        <v>567</v>
      </c>
      <c r="F392" s="94" t="s">
        <v>568</v>
      </c>
      <c r="G392" s="109" t="s">
        <v>88</v>
      </c>
      <c r="H392" s="100" t="s">
        <v>676</v>
      </c>
      <c r="I392" s="23" t="e">
        <f>VLOOKUP(H392,'合同综合查询数据（3月返）'!$A:$A,1,FALSE)</f>
        <v>#N/A</v>
      </c>
      <c r="J392" s="152" t="s">
        <v>126</v>
      </c>
      <c r="K392" s="109" t="s">
        <v>677</v>
      </c>
      <c r="L392" s="99" t="s">
        <v>678</v>
      </c>
      <c r="M392" s="26" t="s">
        <v>679</v>
      </c>
      <c r="N392" s="28">
        <v>44737</v>
      </c>
      <c r="O392" s="28" t="s">
        <v>457</v>
      </c>
      <c r="P392" s="110">
        <v>4000</v>
      </c>
      <c r="Q392" s="120">
        <v>13</v>
      </c>
      <c r="R392" s="120">
        <f t="shared" si="14"/>
        <v>52000</v>
      </c>
      <c r="S392" s="117">
        <v>202303</v>
      </c>
      <c r="T392" s="38" t="s">
        <v>680</v>
      </c>
      <c r="U392" s="38"/>
      <c r="V392" s="122"/>
      <c r="W392" s="122"/>
      <c r="X392" s="118">
        <v>44044</v>
      </c>
      <c r="Y392" s="118">
        <v>45199</v>
      </c>
    </row>
    <row r="393" s="79" customFormat="1" customHeight="1" spans="1:25">
      <c r="A393" s="94" t="s">
        <v>401</v>
      </c>
      <c r="B393" s="98" t="s">
        <v>62</v>
      </c>
      <c r="C393" s="96" t="s">
        <v>217</v>
      </c>
      <c r="D393" s="96" t="s">
        <v>566</v>
      </c>
      <c r="E393" s="23" t="s">
        <v>567</v>
      </c>
      <c r="F393" s="94" t="s">
        <v>568</v>
      </c>
      <c r="G393" s="109" t="s">
        <v>88</v>
      </c>
      <c r="H393" s="100" t="s">
        <v>676</v>
      </c>
      <c r="I393" s="23" t="e">
        <f>VLOOKUP(H393,'合同综合查询数据（3月返）'!$A:$A,1,FALSE)</f>
        <v>#N/A</v>
      </c>
      <c r="J393" s="152" t="s">
        <v>126</v>
      </c>
      <c r="K393" s="109" t="s">
        <v>677</v>
      </c>
      <c r="L393" s="99" t="s">
        <v>678</v>
      </c>
      <c r="M393" s="26" t="s">
        <v>679</v>
      </c>
      <c r="N393" s="28">
        <v>44937</v>
      </c>
      <c r="O393" s="28" t="s">
        <v>457</v>
      </c>
      <c r="P393" s="110">
        <v>4000</v>
      </c>
      <c r="Q393" s="120">
        <v>-3</v>
      </c>
      <c r="R393" s="120">
        <f t="shared" si="14"/>
        <v>-12000</v>
      </c>
      <c r="S393" s="117">
        <v>202303</v>
      </c>
      <c r="T393" s="38" t="s">
        <v>681</v>
      </c>
      <c r="U393" s="38"/>
      <c r="V393" s="122"/>
      <c r="W393" s="122"/>
      <c r="X393" s="118">
        <v>44044</v>
      </c>
      <c r="Y393" s="118">
        <v>45199</v>
      </c>
    </row>
    <row r="394" s="79" customFormat="1" customHeight="1" spans="1:25">
      <c r="A394" s="94" t="s">
        <v>401</v>
      </c>
      <c r="B394" s="98" t="s">
        <v>62</v>
      </c>
      <c r="C394" s="96" t="s">
        <v>217</v>
      </c>
      <c r="D394" s="96" t="s">
        <v>566</v>
      </c>
      <c r="E394" s="23" t="s">
        <v>567</v>
      </c>
      <c r="F394" s="94" t="s">
        <v>568</v>
      </c>
      <c r="G394" s="109" t="s">
        <v>88</v>
      </c>
      <c r="H394" s="100" t="s">
        <v>676</v>
      </c>
      <c r="I394" s="23" t="e">
        <f>VLOOKUP(H394,'合同综合查询数据（3月返）'!$A:$A,1,FALSE)</f>
        <v>#N/A</v>
      </c>
      <c r="J394" s="152" t="s">
        <v>126</v>
      </c>
      <c r="K394" s="109" t="s">
        <v>677</v>
      </c>
      <c r="L394" s="99" t="s">
        <v>678</v>
      </c>
      <c r="M394" s="26" t="s">
        <v>679</v>
      </c>
      <c r="N394" s="28">
        <v>44764</v>
      </c>
      <c r="O394" s="28" t="s">
        <v>457</v>
      </c>
      <c r="P394" s="110">
        <v>4000</v>
      </c>
      <c r="Q394" s="120">
        <v>15</v>
      </c>
      <c r="R394" s="120">
        <f t="shared" si="14"/>
        <v>60000</v>
      </c>
      <c r="S394" s="117">
        <v>202303</v>
      </c>
      <c r="T394" s="38" t="s">
        <v>682</v>
      </c>
      <c r="U394" s="38"/>
      <c r="V394" s="122"/>
      <c r="W394" s="122"/>
      <c r="X394" s="118">
        <v>44044</v>
      </c>
      <c r="Y394" s="118">
        <v>45199</v>
      </c>
    </row>
    <row r="395" s="79" customFormat="1" customHeight="1" spans="1:25">
      <c r="A395" s="94" t="s">
        <v>401</v>
      </c>
      <c r="B395" s="98" t="s">
        <v>62</v>
      </c>
      <c r="C395" s="96" t="s">
        <v>217</v>
      </c>
      <c r="D395" s="96" t="s">
        <v>566</v>
      </c>
      <c r="E395" s="23" t="s">
        <v>567</v>
      </c>
      <c r="F395" s="94" t="s">
        <v>568</v>
      </c>
      <c r="G395" s="109" t="s">
        <v>88</v>
      </c>
      <c r="H395" s="100" t="s">
        <v>676</v>
      </c>
      <c r="I395" s="23" t="e">
        <f>VLOOKUP(H395,'合同综合查询数据（3月返）'!$A:$A,1,FALSE)</f>
        <v>#N/A</v>
      </c>
      <c r="J395" s="152" t="s">
        <v>126</v>
      </c>
      <c r="K395" s="109" t="s">
        <v>677</v>
      </c>
      <c r="L395" s="99" t="s">
        <v>678</v>
      </c>
      <c r="M395" s="26" t="s">
        <v>683</v>
      </c>
      <c r="N395" s="28">
        <v>44938</v>
      </c>
      <c r="O395" s="28" t="s">
        <v>457</v>
      </c>
      <c r="P395" s="110">
        <v>3700</v>
      </c>
      <c r="Q395" s="120">
        <v>7</v>
      </c>
      <c r="R395" s="120">
        <f t="shared" si="14"/>
        <v>25900</v>
      </c>
      <c r="S395" s="117">
        <v>202303</v>
      </c>
      <c r="T395" s="38" t="s">
        <v>684</v>
      </c>
      <c r="U395" s="38"/>
      <c r="V395" s="122"/>
      <c r="W395" s="122"/>
      <c r="X395" s="118">
        <v>44044</v>
      </c>
      <c r="Y395" s="118">
        <v>45199</v>
      </c>
    </row>
    <row r="396" s="79" customFormat="1" customHeight="1" spans="1:25">
      <c r="A396" s="94" t="s">
        <v>401</v>
      </c>
      <c r="B396" s="98" t="s">
        <v>62</v>
      </c>
      <c r="C396" s="96" t="s">
        <v>217</v>
      </c>
      <c r="D396" s="96" t="s">
        <v>566</v>
      </c>
      <c r="E396" s="23" t="s">
        <v>567</v>
      </c>
      <c r="F396" s="94" t="s">
        <v>568</v>
      </c>
      <c r="G396" s="109" t="s">
        <v>31</v>
      </c>
      <c r="H396" s="100" t="s">
        <v>676</v>
      </c>
      <c r="I396" s="23" t="e">
        <f>VLOOKUP(H396,'合同综合查询数据（3月返）'!$A:$A,1,FALSE)</f>
        <v>#N/A</v>
      </c>
      <c r="J396" s="152" t="s">
        <v>33</v>
      </c>
      <c r="K396" s="109" t="s">
        <v>677</v>
      </c>
      <c r="L396" s="99" t="s">
        <v>685</v>
      </c>
      <c r="M396" s="26"/>
      <c r="N396" s="28">
        <v>44736</v>
      </c>
      <c r="O396" s="28"/>
      <c r="P396" s="110">
        <v>35</v>
      </c>
      <c r="Q396" s="120">
        <v>128</v>
      </c>
      <c r="R396" s="120">
        <f t="shared" si="14"/>
        <v>4480</v>
      </c>
      <c r="S396" s="117">
        <v>202303</v>
      </c>
      <c r="T396" s="38" t="s">
        <v>686</v>
      </c>
      <c r="U396" s="38"/>
      <c r="V396" s="122"/>
      <c r="W396" s="122"/>
      <c r="X396" s="118">
        <v>44044</v>
      </c>
      <c r="Y396" s="118">
        <v>45199</v>
      </c>
    </row>
    <row r="397" s="79" customFormat="1" customHeight="1" spans="1:25">
      <c r="A397" s="94" t="s">
        <v>403</v>
      </c>
      <c r="B397" s="98" t="s">
        <v>62</v>
      </c>
      <c r="C397" s="96" t="s">
        <v>217</v>
      </c>
      <c r="D397" s="96" t="s">
        <v>566</v>
      </c>
      <c r="E397" s="23" t="s">
        <v>567</v>
      </c>
      <c r="F397" s="94" t="s">
        <v>568</v>
      </c>
      <c r="G397" s="109" t="s">
        <v>31</v>
      </c>
      <c r="H397" s="100" t="s">
        <v>676</v>
      </c>
      <c r="I397" s="23" t="e">
        <f>VLOOKUP(H397,'合同综合查询数据（3月返）'!$A:$A,1,FALSE)</f>
        <v>#N/A</v>
      </c>
      <c r="J397" s="152" t="s">
        <v>33</v>
      </c>
      <c r="K397" s="109" t="s">
        <v>677</v>
      </c>
      <c r="L397" s="99" t="s">
        <v>687</v>
      </c>
      <c r="M397" s="26"/>
      <c r="N397" s="28">
        <v>44736</v>
      </c>
      <c r="O397" s="28"/>
      <c r="P397" s="110">
        <v>50</v>
      </c>
      <c r="Q397" s="120">
        <v>128</v>
      </c>
      <c r="R397" s="120">
        <f t="shared" si="14"/>
        <v>6400</v>
      </c>
      <c r="S397" s="117">
        <v>202303</v>
      </c>
      <c r="T397" s="158" t="s">
        <v>688</v>
      </c>
      <c r="U397" s="158"/>
      <c r="V397" s="122"/>
      <c r="W397" s="122"/>
      <c r="X397" s="118">
        <v>44044</v>
      </c>
      <c r="Y397" s="118">
        <v>45199</v>
      </c>
    </row>
    <row r="398" s="79" customFormat="1" customHeight="1" spans="1:25">
      <c r="A398" s="94" t="s">
        <v>403</v>
      </c>
      <c r="B398" s="98" t="s">
        <v>62</v>
      </c>
      <c r="C398" s="96" t="s">
        <v>217</v>
      </c>
      <c r="D398" s="96" t="s">
        <v>566</v>
      </c>
      <c r="E398" s="23" t="s">
        <v>567</v>
      </c>
      <c r="F398" s="94" t="s">
        <v>568</v>
      </c>
      <c r="G398" s="109" t="s">
        <v>31</v>
      </c>
      <c r="H398" s="100" t="s">
        <v>676</v>
      </c>
      <c r="I398" s="23" t="e">
        <f>VLOOKUP(H398,'合同综合查询数据（3月返）'!$A:$A,1,FALSE)</f>
        <v>#N/A</v>
      </c>
      <c r="J398" s="152" t="s">
        <v>33</v>
      </c>
      <c r="K398" s="109" t="s">
        <v>677</v>
      </c>
      <c r="L398" s="99" t="s">
        <v>687</v>
      </c>
      <c r="M398" s="26"/>
      <c r="N398" s="28">
        <v>44762</v>
      </c>
      <c r="O398" s="28"/>
      <c r="P398" s="110">
        <v>50</v>
      </c>
      <c r="Q398" s="120">
        <v>128</v>
      </c>
      <c r="R398" s="120">
        <f t="shared" si="14"/>
        <v>6400</v>
      </c>
      <c r="S398" s="117">
        <v>202303</v>
      </c>
      <c r="T398" s="38" t="s">
        <v>689</v>
      </c>
      <c r="U398" s="158"/>
      <c r="V398" s="122"/>
      <c r="W398" s="122"/>
      <c r="X398" s="118">
        <v>44044</v>
      </c>
      <c r="Y398" s="118">
        <v>45199</v>
      </c>
    </row>
    <row r="399" s="79" customFormat="1" customHeight="1" spans="1:25">
      <c r="A399" s="94" t="s">
        <v>399</v>
      </c>
      <c r="B399" s="98" t="s">
        <v>62</v>
      </c>
      <c r="C399" s="96" t="s">
        <v>217</v>
      </c>
      <c r="D399" s="96" t="s">
        <v>566</v>
      </c>
      <c r="E399" s="23" t="s">
        <v>567</v>
      </c>
      <c r="F399" s="94" t="s">
        <v>568</v>
      </c>
      <c r="G399" s="109" t="s">
        <v>31</v>
      </c>
      <c r="H399" s="100" t="s">
        <v>676</v>
      </c>
      <c r="I399" s="23" t="e">
        <f>VLOOKUP(H399,'合同综合查询数据（3月返）'!$A:$A,1,FALSE)</f>
        <v>#N/A</v>
      </c>
      <c r="J399" s="152" t="s">
        <v>33</v>
      </c>
      <c r="K399" s="109" t="s">
        <v>677</v>
      </c>
      <c r="L399" s="99" t="s">
        <v>690</v>
      </c>
      <c r="M399" s="26"/>
      <c r="N399" s="28">
        <v>44736</v>
      </c>
      <c r="O399" s="28"/>
      <c r="P399" s="110">
        <v>30</v>
      </c>
      <c r="Q399" s="120">
        <v>256</v>
      </c>
      <c r="R399" s="120">
        <f t="shared" si="14"/>
        <v>7680</v>
      </c>
      <c r="S399" s="117">
        <v>202303</v>
      </c>
      <c r="T399" s="158" t="s">
        <v>691</v>
      </c>
      <c r="U399" s="158"/>
      <c r="V399" s="122"/>
      <c r="W399" s="122"/>
      <c r="X399" s="118">
        <v>44044</v>
      </c>
      <c r="Y399" s="118">
        <v>45199</v>
      </c>
    </row>
    <row r="400" s="79" customFormat="1" customHeight="1" spans="1:25">
      <c r="A400" s="94" t="s">
        <v>399</v>
      </c>
      <c r="B400" s="98" t="s">
        <v>62</v>
      </c>
      <c r="C400" s="96" t="s">
        <v>217</v>
      </c>
      <c r="D400" s="96" t="s">
        <v>566</v>
      </c>
      <c r="E400" s="23" t="s">
        <v>567</v>
      </c>
      <c r="F400" s="94" t="s">
        <v>568</v>
      </c>
      <c r="G400" s="109" t="s">
        <v>31</v>
      </c>
      <c r="H400" s="100" t="s">
        <v>676</v>
      </c>
      <c r="I400" s="23" t="e">
        <f>VLOOKUP(H400,'合同综合查询数据（3月返）'!$A:$A,1,FALSE)</f>
        <v>#N/A</v>
      </c>
      <c r="J400" s="152" t="s">
        <v>33</v>
      </c>
      <c r="K400" s="109" t="s">
        <v>677</v>
      </c>
      <c r="L400" s="99" t="s">
        <v>690</v>
      </c>
      <c r="M400" s="26"/>
      <c r="N400" s="28">
        <v>44762</v>
      </c>
      <c r="O400" s="28"/>
      <c r="P400" s="110">
        <v>30</v>
      </c>
      <c r="Q400" s="120">
        <v>64</v>
      </c>
      <c r="R400" s="120">
        <f t="shared" si="14"/>
        <v>1920</v>
      </c>
      <c r="S400" s="117">
        <v>202303</v>
      </c>
      <c r="T400" s="38" t="s">
        <v>692</v>
      </c>
      <c r="U400" s="158"/>
      <c r="V400" s="122"/>
      <c r="W400" s="122"/>
      <c r="X400" s="118">
        <v>44044</v>
      </c>
      <c r="Y400" s="118">
        <v>45199</v>
      </c>
    </row>
    <row r="401" s="79" customFormat="1" customHeight="1" spans="1:25">
      <c r="A401" s="129" t="s">
        <v>401</v>
      </c>
      <c r="B401" s="98" t="s">
        <v>62</v>
      </c>
      <c r="C401" s="98" t="s">
        <v>217</v>
      </c>
      <c r="D401" s="98" t="s">
        <v>566</v>
      </c>
      <c r="E401" s="130" t="s">
        <v>567</v>
      </c>
      <c r="F401" s="129" t="s">
        <v>693</v>
      </c>
      <c r="G401" s="109" t="s">
        <v>31</v>
      </c>
      <c r="H401" s="100" t="s">
        <v>694</v>
      </c>
      <c r="I401" s="23" t="e">
        <f>VLOOKUP(H401,'合同综合查询数据（3月返）'!$A:$A,1,FALSE)</f>
        <v>#N/A</v>
      </c>
      <c r="J401" s="24" t="s">
        <v>451</v>
      </c>
      <c r="K401" s="109" t="s">
        <v>695</v>
      </c>
      <c r="L401" s="109" t="s">
        <v>696</v>
      </c>
      <c r="M401" s="26"/>
      <c r="N401" s="28">
        <v>44453</v>
      </c>
      <c r="O401" s="109" t="s">
        <v>37</v>
      </c>
      <c r="P401" s="131">
        <v>35</v>
      </c>
      <c r="Q401" s="131">
        <v>1792</v>
      </c>
      <c r="R401" s="120">
        <f t="shared" si="14"/>
        <v>62720</v>
      </c>
      <c r="S401" s="117">
        <v>202303</v>
      </c>
      <c r="T401" s="38" t="s">
        <v>697</v>
      </c>
      <c r="U401" s="38"/>
      <c r="V401" s="133"/>
      <c r="W401" s="133"/>
      <c r="X401" s="118">
        <v>44440</v>
      </c>
      <c r="Y401" s="118">
        <v>45169</v>
      </c>
    </row>
    <row r="402" s="79" customFormat="1" customHeight="1" spans="1:25">
      <c r="A402" s="129" t="s">
        <v>401</v>
      </c>
      <c r="B402" s="98" t="s">
        <v>62</v>
      </c>
      <c r="C402" s="98" t="s">
        <v>217</v>
      </c>
      <c r="D402" s="98" t="s">
        <v>566</v>
      </c>
      <c r="E402" s="130" t="s">
        <v>567</v>
      </c>
      <c r="F402" s="129" t="s">
        <v>693</v>
      </c>
      <c r="G402" s="109" t="s">
        <v>31</v>
      </c>
      <c r="H402" s="100" t="s">
        <v>694</v>
      </c>
      <c r="I402" s="23" t="e">
        <f>VLOOKUP(H402,'合同综合查询数据（3月返）'!$A:$A,1,FALSE)</f>
        <v>#N/A</v>
      </c>
      <c r="J402" s="24" t="s">
        <v>451</v>
      </c>
      <c r="K402" s="109" t="s">
        <v>695</v>
      </c>
      <c r="L402" s="109" t="s">
        <v>696</v>
      </c>
      <c r="M402" s="26"/>
      <c r="N402" s="28">
        <v>44748</v>
      </c>
      <c r="O402" s="109" t="s">
        <v>37</v>
      </c>
      <c r="P402" s="131">
        <v>35</v>
      </c>
      <c r="Q402" s="131">
        <v>512</v>
      </c>
      <c r="R402" s="120">
        <f t="shared" si="14"/>
        <v>17920</v>
      </c>
      <c r="S402" s="117">
        <v>202303</v>
      </c>
      <c r="T402" s="38" t="s">
        <v>698</v>
      </c>
      <c r="U402" s="38"/>
      <c r="V402" s="133"/>
      <c r="W402" s="133"/>
      <c r="X402" s="118">
        <v>44440</v>
      </c>
      <c r="Y402" s="118">
        <v>45169</v>
      </c>
    </row>
    <row r="403" s="79" customFormat="1" customHeight="1" spans="1:25">
      <c r="A403" s="98" t="s">
        <v>401</v>
      </c>
      <c r="B403" s="98" t="s">
        <v>62</v>
      </c>
      <c r="C403" s="98" t="s">
        <v>217</v>
      </c>
      <c r="D403" s="98" t="s">
        <v>566</v>
      </c>
      <c r="E403" s="147" t="s">
        <v>567</v>
      </c>
      <c r="F403" s="129" t="s">
        <v>693</v>
      </c>
      <c r="G403" s="151" t="s">
        <v>31</v>
      </c>
      <c r="H403" s="100" t="s">
        <v>694</v>
      </c>
      <c r="I403" s="23" t="e">
        <f>VLOOKUP(H403,'合同综合查询数据（3月返）'!$A:$A,1,FALSE)</f>
        <v>#N/A</v>
      </c>
      <c r="J403" s="152" t="s">
        <v>33</v>
      </c>
      <c r="K403" s="109" t="s">
        <v>695</v>
      </c>
      <c r="L403" s="99" t="s">
        <v>699</v>
      </c>
      <c r="M403" s="26"/>
      <c r="N403" s="154">
        <v>44453</v>
      </c>
      <c r="O403" s="109" t="s">
        <v>37</v>
      </c>
      <c r="P403" s="156">
        <v>0</v>
      </c>
      <c r="Q403" s="156">
        <v>512</v>
      </c>
      <c r="R403" s="120">
        <f t="shared" si="14"/>
        <v>0</v>
      </c>
      <c r="S403" s="117">
        <v>202303</v>
      </c>
      <c r="T403" s="157" t="s">
        <v>700</v>
      </c>
      <c r="U403" s="157"/>
      <c r="V403" s="133"/>
      <c r="W403" s="133"/>
      <c r="X403" s="118">
        <v>44440</v>
      </c>
      <c r="Y403" s="118">
        <v>45169</v>
      </c>
    </row>
    <row r="404" s="79" customFormat="1" customHeight="1" spans="1:25">
      <c r="A404" s="98" t="s">
        <v>401</v>
      </c>
      <c r="B404" s="98" t="s">
        <v>62</v>
      </c>
      <c r="C404" s="98" t="s">
        <v>217</v>
      </c>
      <c r="D404" s="98" t="s">
        <v>566</v>
      </c>
      <c r="E404" s="147" t="s">
        <v>567</v>
      </c>
      <c r="F404" s="129" t="s">
        <v>693</v>
      </c>
      <c r="G404" s="151" t="s">
        <v>31</v>
      </c>
      <c r="H404" s="100" t="s">
        <v>694</v>
      </c>
      <c r="I404" s="23" t="e">
        <f>VLOOKUP(H404,'合同综合查询数据（3月返）'!$A:$A,1,FALSE)</f>
        <v>#N/A</v>
      </c>
      <c r="J404" s="152" t="s">
        <v>33</v>
      </c>
      <c r="K404" s="109" t="s">
        <v>695</v>
      </c>
      <c r="L404" s="99" t="s">
        <v>699</v>
      </c>
      <c r="M404" s="26"/>
      <c r="N404" s="154">
        <v>44915</v>
      </c>
      <c r="O404" s="109" t="s">
        <v>37</v>
      </c>
      <c r="P404" s="156">
        <v>35</v>
      </c>
      <c r="Q404" s="156">
        <v>-256</v>
      </c>
      <c r="R404" s="120">
        <f t="shared" si="14"/>
        <v>-8960</v>
      </c>
      <c r="S404" s="117">
        <v>202303</v>
      </c>
      <c r="T404" s="157" t="s">
        <v>701</v>
      </c>
      <c r="U404" s="157"/>
      <c r="V404" s="133"/>
      <c r="W404" s="133"/>
      <c r="X404" s="118">
        <v>44440</v>
      </c>
      <c r="Y404" s="118">
        <v>45169</v>
      </c>
    </row>
    <row r="405" s="79" customFormat="1" customHeight="1" spans="1:25">
      <c r="A405" s="98" t="s">
        <v>401</v>
      </c>
      <c r="B405" s="98" t="s">
        <v>62</v>
      </c>
      <c r="C405" s="98" t="s">
        <v>217</v>
      </c>
      <c r="D405" s="98" t="s">
        <v>566</v>
      </c>
      <c r="E405" s="147" t="s">
        <v>567</v>
      </c>
      <c r="F405" s="129" t="s">
        <v>693</v>
      </c>
      <c r="G405" s="151" t="s">
        <v>31</v>
      </c>
      <c r="H405" s="100" t="s">
        <v>694</v>
      </c>
      <c r="I405" s="23" t="e">
        <f>VLOOKUP(H405,'合同综合查询数据（3月返）'!$A:$A,1,FALSE)</f>
        <v>#N/A</v>
      </c>
      <c r="J405" s="152" t="s">
        <v>33</v>
      </c>
      <c r="K405" s="109" t="s">
        <v>695</v>
      </c>
      <c r="L405" s="99" t="s">
        <v>699</v>
      </c>
      <c r="M405" s="26"/>
      <c r="N405" s="154">
        <v>44555</v>
      </c>
      <c r="O405" s="109" t="s">
        <v>37</v>
      </c>
      <c r="P405" s="156">
        <v>35</v>
      </c>
      <c r="Q405" s="156">
        <v>256</v>
      </c>
      <c r="R405" s="120">
        <f t="shared" si="14"/>
        <v>8960</v>
      </c>
      <c r="S405" s="117">
        <v>202303</v>
      </c>
      <c r="T405" s="157" t="s">
        <v>702</v>
      </c>
      <c r="U405" s="157"/>
      <c r="V405" s="133"/>
      <c r="W405" s="133"/>
      <c r="X405" s="118">
        <v>44440</v>
      </c>
      <c r="Y405" s="118">
        <v>45169</v>
      </c>
    </row>
    <row r="406" s="79" customFormat="1" customHeight="1" spans="1:25">
      <c r="A406" s="98" t="s">
        <v>401</v>
      </c>
      <c r="B406" s="98" t="s">
        <v>62</v>
      </c>
      <c r="C406" s="98" t="s">
        <v>217</v>
      </c>
      <c r="D406" s="98" t="s">
        <v>566</v>
      </c>
      <c r="E406" s="147" t="s">
        <v>567</v>
      </c>
      <c r="F406" s="129" t="s">
        <v>693</v>
      </c>
      <c r="G406" s="151" t="s">
        <v>31</v>
      </c>
      <c r="H406" s="100" t="s">
        <v>694</v>
      </c>
      <c r="I406" s="23" t="e">
        <f>VLOOKUP(H406,'合同综合查询数据（3月返）'!$A:$A,1,FALSE)</f>
        <v>#N/A</v>
      </c>
      <c r="J406" s="152" t="s">
        <v>33</v>
      </c>
      <c r="K406" s="109" t="s">
        <v>695</v>
      </c>
      <c r="L406" s="99" t="s">
        <v>699</v>
      </c>
      <c r="M406" s="26"/>
      <c r="N406" s="154">
        <v>44926</v>
      </c>
      <c r="O406" s="109" t="s">
        <v>37</v>
      </c>
      <c r="P406" s="156">
        <v>35</v>
      </c>
      <c r="Q406" s="156">
        <v>-256</v>
      </c>
      <c r="R406" s="120">
        <f t="shared" si="14"/>
        <v>-8960</v>
      </c>
      <c r="S406" s="117">
        <v>202303</v>
      </c>
      <c r="T406" s="157" t="s">
        <v>703</v>
      </c>
      <c r="U406" s="157"/>
      <c r="V406" s="133"/>
      <c r="W406" s="133"/>
      <c r="X406" s="118">
        <v>44440</v>
      </c>
      <c r="Y406" s="118">
        <v>45169</v>
      </c>
    </row>
    <row r="407" s="79" customFormat="1" customHeight="1" spans="1:25">
      <c r="A407" s="94" t="s">
        <v>401</v>
      </c>
      <c r="B407" s="98" t="s">
        <v>62</v>
      </c>
      <c r="C407" s="96" t="s">
        <v>217</v>
      </c>
      <c r="D407" s="96" t="s">
        <v>566</v>
      </c>
      <c r="E407" s="23" t="s">
        <v>567</v>
      </c>
      <c r="F407" s="94" t="s">
        <v>568</v>
      </c>
      <c r="G407" s="109" t="s">
        <v>88</v>
      </c>
      <c r="H407" s="100" t="s">
        <v>676</v>
      </c>
      <c r="I407" s="23" t="e">
        <f>VLOOKUP(H407,'合同综合查询数据（3月返）'!$A:$A,1,FALSE)</f>
        <v>#N/A</v>
      </c>
      <c r="J407" s="152" t="s">
        <v>126</v>
      </c>
      <c r="K407" s="109" t="s">
        <v>677</v>
      </c>
      <c r="L407" s="99" t="s">
        <v>678</v>
      </c>
      <c r="M407" s="26" t="s">
        <v>679</v>
      </c>
      <c r="N407" s="28">
        <v>42999</v>
      </c>
      <c r="O407" s="28" t="s">
        <v>457</v>
      </c>
      <c r="P407" s="110">
        <v>4000</v>
      </c>
      <c r="Q407" s="120">
        <v>17</v>
      </c>
      <c r="R407" s="120">
        <f t="shared" si="14"/>
        <v>68000</v>
      </c>
      <c r="S407" s="117">
        <v>202303</v>
      </c>
      <c r="T407" s="158" t="s">
        <v>704</v>
      </c>
      <c r="U407" s="158"/>
      <c r="V407" s="122"/>
      <c r="W407" s="122"/>
      <c r="X407" s="118">
        <v>44044</v>
      </c>
      <c r="Y407" s="118">
        <v>45199</v>
      </c>
    </row>
    <row r="408" s="79" customFormat="1" customHeight="1" spans="1:25">
      <c r="A408" s="94" t="s">
        <v>401</v>
      </c>
      <c r="B408" s="98" t="s">
        <v>62</v>
      </c>
      <c r="C408" s="96" t="s">
        <v>217</v>
      </c>
      <c r="D408" s="96" t="s">
        <v>566</v>
      </c>
      <c r="E408" s="23" t="s">
        <v>567</v>
      </c>
      <c r="F408" s="94" t="s">
        <v>568</v>
      </c>
      <c r="G408" s="109" t="s">
        <v>88</v>
      </c>
      <c r="H408" s="100" t="s">
        <v>676</v>
      </c>
      <c r="I408" s="23" t="e">
        <f>VLOOKUP(H408,'合同综合查询数据（3月返）'!$A:$A,1,FALSE)</f>
        <v>#N/A</v>
      </c>
      <c r="J408" s="152" t="s">
        <v>126</v>
      </c>
      <c r="K408" s="109" t="s">
        <v>677</v>
      </c>
      <c r="L408" s="99" t="s">
        <v>678</v>
      </c>
      <c r="M408" s="26" t="s">
        <v>679</v>
      </c>
      <c r="N408" s="28">
        <v>43804</v>
      </c>
      <c r="O408" s="28" t="s">
        <v>624</v>
      </c>
      <c r="P408" s="110">
        <v>4000</v>
      </c>
      <c r="Q408" s="120">
        <v>1</v>
      </c>
      <c r="R408" s="120">
        <f t="shared" si="14"/>
        <v>4000</v>
      </c>
      <c r="S408" s="117">
        <v>202303</v>
      </c>
      <c r="T408" s="158" t="s">
        <v>705</v>
      </c>
      <c r="U408" s="158"/>
      <c r="V408" s="122"/>
      <c r="W408" s="122"/>
      <c r="X408" s="118">
        <v>44044</v>
      </c>
      <c r="Y408" s="118">
        <v>45199</v>
      </c>
    </row>
    <row r="409" s="79" customFormat="1" customHeight="1" spans="1:25">
      <c r="A409" s="94" t="s">
        <v>401</v>
      </c>
      <c r="B409" s="98" t="s">
        <v>62</v>
      </c>
      <c r="C409" s="96" t="s">
        <v>217</v>
      </c>
      <c r="D409" s="96" t="s">
        <v>566</v>
      </c>
      <c r="E409" s="23" t="s">
        <v>567</v>
      </c>
      <c r="F409" s="94" t="s">
        <v>568</v>
      </c>
      <c r="G409" s="109" t="s">
        <v>88</v>
      </c>
      <c r="H409" s="100" t="s">
        <v>676</v>
      </c>
      <c r="I409" s="23" t="e">
        <f>VLOOKUP(H409,'合同综合查询数据（3月返）'!$A:$A,1,FALSE)</f>
        <v>#N/A</v>
      </c>
      <c r="J409" s="152" t="s">
        <v>126</v>
      </c>
      <c r="K409" s="109" t="s">
        <v>677</v>
      </c>
      <c r="L409" s="99" t="s">
        <v>678</v>
      </c>
      <c r="M409" s="26" t="s">
        <v>679</v>
      </c>
      <c r="N409" s="28">
        <v>42999</v>
      </c>
      <c r="O409" s="28" t="s">
        <v>457</v>
      </c>
      <c r="P409" s="110">
        <v>0</v>
      </c>
      <c r="Q409" s="120">
        <v>4</v>
      </c>
      <c r="R409" s="120">
        <f t="shared" si="14"/>
        <v>0</v>
      </c>
      <c r="S409" s="117">
        <v>202303</v>
      </c>
      <c r="T409" s="158" t="s">
        <v>706</v>
      </c>
      <c r="U409" s="158"/>
      <c r="V409" s="122"/>
      <c r="W409" s="122"/>
      <c r="X409" s="118">
        <v>44044</v>
      </c>
      <c r="Y409" s="118">
        <v>45199</v>
      </c>
    </row>
    <row r="410" s="79" customFormat="1" customHeight="1" spans="1:25">
      <c r="A410" s="94" t="s">
        <v>401</v>
      </c>
      <c r="B410" s="98" t="s">
        <v>62</v>
      </c>
      <c r="C410" s="96" t="s">
        <v>217</v>
      </c>
      <c r="D410" s="96" t="s">
        <v>566</v>
      </c>
      <c r="E410" s="23" t="s">
        <v>567</v>
      </c>
      <c r="F410" s="94" t="s">
        <v>568</v>
      </c>
      <c r="G410" s="109" t="s">
        <v>88</v>
      </c>
      <c r="H410" s="100" t="s">
        <v>676</v>
      </c>
      <c r="I410" s="23" t="e">
        <f>VLOOKUP(H410,'合同综合查询数据（3月返）'!$A:$A,1,FALSE)</f>
        <v>#N/A</v>
      </c>
      <c r="J410" s="152" t="s">
        <v>126</v>
      </c>
      <c r="K410" s="109" t="s">
        <v>677</v>
      </c>
      <c r="L410" s="99" t="s">
        <v>678</v>
      </c>
      <c r="M410" s="26" t="s">
        <v>679</v>
      </c>
      <c r="N410" s="28">
        <v>44054</v>
      </c>
      <c r="O410" s="28" t="s">
        <v>457</v>
      </c>
      <c r="P410" s="110">
        <v>4000</v>
      </c>
      <c r="Q410" s="120">
        <v>3</v>
      </c>
      <c r="R410" s="120">
        <f t="shared" si="14"/>
        <v>12000</v>
      </c>
      <c r="S410" s="117">
        <v>202303</v>
      </c>
      <c r="T410" s="38" t="s">
        <v>707</v>
      </c>
      <c r="U410" s="38"/>
      <c r="V410" s="122"/>
      <c r="W410" s="122"/>
      <c r="X410" s="118">
        <v>44044</v>
      </c>
      <c r="Y410" s="118">
        <v>45199</v>
      </c>
    </row>
    <row r="411" s="79" customFormat="1" customHeight="1" spans="1:25">
      <c r="A411" s="94" t="s">
        <v>401</v>
      </c>
      <c r="B411" s="98" t="s">
        <v>62</v>
      </c>
      <c r="C411" s="96" t="s">
        <v>217</v>
      </c>
      <c r="D411" s="96" t="s">
        <v>566</v>
      </c>
      <c r="E411" s="23" t="s">
        <v>567</v>
      </c>
      <c r="F411" s="94" t="s">
        <v>568</v>
      </c>
      <c r="G411" s="109" t="s">
        <v>31</v>
      </c>
      <c r="H411" s="100" t="s">
        <v>676</v>
      </c>
      <c r="I411" s="23" t="e">
        <f>VLOOKUP(H411,'合同综合查询数据（3月返）'!$A:$A,1,FALSE)</f>
        <v>#N/A</v>
      </c>
      <c r="J411" s="152" t="s">
        <v>33</v>
      </c>
      <c r="K411" s="109" t="s">
        <v>677</v>
      </c>
      <c r="L411" s="99" t="s">
        <v>685</v>
      </c>
      <c r="M411" s="26"/>
      <c r="N411" s="28">
        <v>42999</v>
      </c>
      <c r="O411" s="28"/>
      <c r="P411" s="110">
        <v>20</v>
      </c>
      <c r="Q411" s="120">
        <v>288</v>
      </c>
      <c r="R411" s="120">
        <f t="shared" si="14"/>
        <v>5760</v>
      </c>
      <c r="S411" s="117">
        <v>202303</v>
      </c>
      <c r="T411" s="158" t="s">
        <v>708</v>
      </c>
      <c r="U411" s="158"/>
      <c r="V411" s="122"/>
      <c r="W411" s="122"/>
      <c r="X411" s="118">
        <v>44044</v>
      </c>
      <c r="Y411" s="118">
        <v>45199</v>
      </c>
    </row>
    <row r="412" s="79" customFormat="1" customHeight="1" spans="1:25">
      <c r="A412" s="94" t="s">
        <v>401</v>
      </c>
      <c r="B412" s="98" t="s">
        <v>62</v>
      </c>
      <c r="C412" s="96" t="s">
        <v>217</v>
      </c>
      <c r="D412" s="96" t="s">
        <v>566</v>
      </c>
      <c r="E412" s="23" t="s">
        <v>567</v>
      </c>
      <c r="F412" s="94" t="s">
        <v>568</v>
      </c>
      <c r="G412" s="109" t="s">
        <v>31</v>
      </c>
      <c r="H412" s="100" t="s">
        <v>676</v>
      </c>
      <c r="I412" s="23" t="e">
        <f>VLOOKUP(H412,'合同综合查询数据（3月返）'!$A:$A,1,FALSE)</f>
        <v>#N/A</v>
      </c>
      <c r="J412" s="152" t="s">
        <v>33</v>
      </c>
      <c r="K412" s="109" t="s">
        <v>677</v>
      </c>
      <c r="L412" s="99" t="s">
        <v>685</v>
      </c>
      <c r="M412" s="26"/>
      <c r="N412" s="28">
        <v>42999</v>
      </c>
      <c r="O412" s="28"/>
      <c r="P412" s="110">
        <v>0</v>
      </c>
      <c r="Q412" s="120">
        <v>256</v>
      </c>
      <c r="R412" s="120">
        <f t="shared" si="14"/>
        <v>0</v>
      </c>
      <c r="S412" s="117">
        <v>202303</v>
      </c>
      <c r="T412" s="158" t="s">
        <v>709</v>
      </c>
      <c r="U412" s="158"/>
      <c r="V412" s="122"/>
      <c r="W412" s="122"/>
      <c r="X412" s="118">
        <v>44044</v>
      </c>
      <c r="Y412" s="118">
        <v>45199</v>
      </c>
    </row>
    <row r="413" s="79" customFormat="1" customHeight="1" spans="1:25">
      <c r="A413" s="94" t="s">
        <v>401</v>
      </c>
      <c r="B413" s="98" t="s">
        <v>62</v>
      </c>
      <c r="C413" s="96" t="s">
        <v>217</v>
      </c>
      <c r="D413" s="96" t="s">
        <v>566</v>
      </c>
      <c r="E413" s="23" t="s">
        <v>567</v>
      </c>
      <c r="F413" s="94" t="s">
        <v>568</v>
      </c>
      <c r="G413" s="109" t="s">
        <v>31</v>
      </c>
      <c r="H413" s="100" t="s">
        <v>676</v>
      </c>
      <c r="I413" s="23" t="e">
        <f>VLOOKUP(H413,'合同综合查询数据（3月返）'!$A:$A,1,FALSE)</f>
        <v>#N/A</v>
      </c>
      <c r="J413" s="152" t="s">
        <v>33</v>
      </c>
      <c r="K413" s="109" t="s">
        <v>677</v>
      </c>
      <c r="L413" s="99" t="s">
        <v>685</v>
      </c>
      <c r="M413" s="26"/>
      <c r="N413" s="28">
        <v>43804</v>
      </c>
      <c r="O413" s="28"/>
      <c r="P413" s="110">
        <v>35</v>
      </c>
      <c r="Q413" s="120">
        <v>32</v>
      </c>
      <c r="R413" s="120">
        <f t="shared" si="14"/>
        <v>1120</v>
      </c>
      <c r="S413" s="117">
        <v>202303</v>
      </c>
      <c r="T413" s="158" t="s">
        <v>710</v>
      </c>
      <c r="U413" s="158"/>
      <c r="V413" s="122"/>
      <c r="W413" s="122"/>
      <c r="X413" s="118">
        <v>44044</v>
      </c>
      <c r="Y413" s="118">
        <v>45199</v>
      </c>
    </row>
    <row r="414" s="79" customFormat="1" customHeight="1" spans="1:25">
      <c r="A414" s="94" t="s">
        <v>401</v>
      </c>
      <c r="B414" s="98" t="s">
        <v>62</v>
      </c>
      <c r="C414" s="96" t="s">
        <v>217</v>
      </c>
      <c r="D414" s="96" t="s">
        <v>566</v>
      </c>
      <c r="E414" s="23" t="s">
        <v>567</v>
      </c>
      <c r="F414" s="94" t="s">
        <v>568</v>
      </c>
      <c r="G414" s="109" t="s">
        <v>31</v>
      </c>
      <c r="H414" s="100" t="s">
        <v>676</v>
      </c>
      <c r="I414" s="23" t="e">
        <f>VLOOKUP(H414,'合同综合查询数据（3月返）'!$A:$A,1,FALSE)</f>
        <v>#N/A</v>
      </c>
      <c r="J414" s="152" t="s">
        <v>33</v>
      </c>
      <c r="K414" s="109" t="s">
        <v>677</v>
      </c>
      <c r="L414" s="99" t="s">
        <v>685</v>
      </c>
      <c r="M414" s="26"/>
      <c r="N414" s="28">
        <v>44049</v>
      </c>
      <c r="O414" s="28"/>
      <c r="P414" s="110">
        <v>35</v>
      </c>
      <c r="Q414" s="120">
        <v>256</v>
      </c>
      <c r="R414" s="120">
        <f t="shared" si="14"/>
        <v>8960</v>
      </c>
      <c r="S414" s="117">
        <v>202303</v>
      </c>
      <c r="T414" s="158" t="s">
        <v>711</v>
      </c>
      <c r="U414" s="158"/>
      <c r="V414" s="122"/>
      <c r="W414" s="122"/>
      <c r="X414" s="118">
        <v>44044</v>
      </c>
      <c r="Y414" s="118">
        <v>45199</v>
      </c>
    </row>
    <row r="415" s="79" customFormat="1" customHeight="1" spans="1:25">
      <c r="A415" s="94" t="s">
        <v>401</v>
      </c>
      <c r="B415" s="98" t="s">
        <v>62</v>
      </c>
      <c r="C415" s="96" t="s">
        <v>217</v>
      </c>
      <c r="D415" s="96" t="s">
        <v>566</v>
      </c>
      <c r="E415" s="23" t="s">
        <v>567</v>
      </c>
      <c r="F415" s="94" t="s">
        <v>568</v>
      </c>
      <c r="G415" s="109" t="s">
        <v>31</v>
      </c>
      <c r="H415" s="100" t="s">
        <v>676</v>
      </c>
      <c r="I415" s="23" t="e">
        <f>VLOOKUP(H415,'合同综合查询数据（3月返）'!$A:$A,1,FALSE)</f>
        <v>#N/A</v>
      </c>
      <c r="J415" s="152" t="s">
        <v>33</v>
      </c>
      <c r="K415" s="109" t="s">
        <v>677</v>
      </c>
      <c r="L415" s="99" t="s">
        <v>685</v>
      </c>
      <c r="M415" s="26"/>
      <c r="N415" s="28">
        <v>44909</v>
      </c>
      <c r="O415" s="28"/>
      <c r="P415" s="110">
        <v>35</v>
      </c>
      <c r="Q415" s="120">
        <v>32</v>
      </c>
      <c r="R415" s="120">
        <f t="shared" si="14"/>
        <v>1120</v>
      </c>
      <c r="S415" s="117">
        <v>202303</v>
      </c>
      <c r="T415" s="158" t="s">
        <v>712</v>
      </c>
      <c r="U415" s="158"/>
      <c r="V415" s="122"/>
      <c r="W415" s="122"/>
      <c r="X415" s="118">
        <v>44044</v>
      </c>
      <c r="Y415" s="118">
        <v>45199</v>
      </c>
    </row>
    <row r="416" s="79" customFormat="1" customHeight="1" spans="1:25">
      <c r="A416" s="94" t="s">
        <v>403</v>
      </c>
      <c r="B416" s="98" t="s">
        <v>62</v>
      </c>
      <c r="C416" s="96" t="s">
        <v>217</v>
      </c>
      <c r="D416" s="96" t="s">
        <v>566</v>
      </c>
      <c r="E416" s="23" t="s">
        <v>567</v>
      </c>
      <c r="F416" s="94" t="s">
        <v>568</v>
      </c>
      <c r="G416" s="109" t="s">
        <v>31</v>
      </c>
      <c r="H416" s="100" t="s">
        <v>676</v>
      </c>
      <c r="I416" s="23" t="e">
        <f>VLOOKUP(H416,'合同综合查询数据（3月返）'!$A:$A,1,FALSE)</f>
        <v>#N/A</v>
      </c>
      <c r="J416" s="152" t="s">
        <v>33</v>
      </c>
      <c r="K416" s="109" t="s">
        <v>677</v>
      </c>
      <c r="L416" s="99" t="s">
        <v>687</v>
      </c>
      <c r="M416" s="26"/>
      <c r="N416" s="28">
        <v>42999</v>
      </c>
      <c r="O416" s="28"/>
      <c r="P416" s="110">
        <v>50</v>
      </c>
      <c r="Q416" s="120">
        <v>288</v>
      </c>
      <c r="R416" s="120">
        <f t="shared" si="14"/>
        <v>14400</v>
      </c>
      <c r="S416" s="117">
        <v>202303</v>
      </c>
      <c r="T416" s="158" t="s">
        <v>713</v>
      </c>
      <c r="U416" s="158"/>
      <c r="V416" s="122"/>
      <c r="W416" s="122"/>
      <c r="X416" s="118">
        <v>44044</v>
      </c>
      <c r="Y416" s="118">
        <v>45199</v>
      </c>
    </row>
    <row r="417" s="79" customFormat="1" customHeight="1" spans="1:25">
      <c r="A417" s="94" t="s">
        <v>403</v>
      </c>
      <c r="B417" s="98" t="s">
        <v>62</v>
      </c>
      <c r="C417" s="96" t="s">
        <v>217</v>
      </c>
      <c r="D417" s="96" t="s">
        <v>566</v>
      </c>
      <c r="E417" s="23" t="s">
        <v>567</v>
      </c>
      <c r="F417" s="94" t="s">
        <v>568</v>
      </c>
      <c r="G417" s="109" t="s">
        <v>31</v>
      </c>
      <c r="H417" s="100" t="s">
        <v>676</v>
      </c>
      <c r="I417" s="23" t="e">
        <f>VLOOKUP(H417,'合同综合查询数据（3月返）'!$A:$A,1,FALSE)</f>
        <v>#N/A</v>
      </c>
      <c r="J417" s="152" t="s">
        <v>33</v>
      </c>
      <c r="K417" s="109" t="s">
        <v>677</v>
      </c>
      <c r="L417" s="99" t="s">
        <v>687</v>
      </c>
      <c r="M417" s="26"/>
      <c r="N417" s="28">
        <v>43812</v>
      </c>
      <c r="O417" s="28"/>
      <c r="P417" s="110">
        <v>50</v>
      </c>
      <c r="Q417" s="120">
        <v>32</v>
      </c>
      <c r="R417" s="120">
        <f t="shared" si="14"/>
        <v>1600</v>
      </c>
      <c r="S417" s="117">
        <v>202303</v>
      </c>
      <c r="T417" s="158" t="s">
        <v>714</v>
      </c>
      <c r="U417" s="158"/>
      <c r="V417" s="122"/>
      <c r="W417" s="122"/>
      <c r="X417" s="118">
        <v>44044</v>
      </c>
      <c r="Y417" s="118">
        <v>45199</v>
      </c>
    </row>
    <row r="418" s="79" customFormat="1" customHeight="1" spans="1:25">
      <c r="A418" s="94" t="s">
        <v>403</v>
      </c>
      <c r="B418" s="98" t="s">
        <v>62</v>
      </c>
      <c r="C418" s="96" t="s">
        <v>217</v>
      </c>
      <c r="D418" s="96" t="s">
        <v>566</v>
      </c>
      <c r="E418" s="23" t="s">
        <v>567</v>
      </c>
      <c r="F418" s="94" t="s">
        <v>568</v>
      </c>
      <c r="G418" s="109" t="s">
        <v>31</v>
      </c>
      <c r="H418" s="100" t="s">
        <v>676</v>
      </c>
      <c r="I418" s="23" t="e">
        <f>VLOOKUP(H418,'合同综合查询数据（3月返）'!$A:$A,1,FALSE)</f>
        <v>#N/A</v>
      </c>
      <c r="J418" s="152" t="s">
        <v>33</v>
      </c>
      <c r="K418" s="109" t="s">
        <v>677</v>
      </c>
      <c r="L418" s="99" t="s">
        <v>687</v>
      </c>
      <c r="M418" s="26"/>
      <c r="N418" s="28">
        <v>44048</v>
      </c>
      <c r="O418" s="28"/>
      <c r="P418" s="110">
        <v>50</v>
      </c>
      <c r="Q418" s="120">
        <v>256</v>
      </c>
      <c r="R418" s="120">
        <f t="shared" si="14"/>
        <v>12800</v>
      </c>
      <c r="S418" s="117">
        <v>202303</v>
      </c>
      <c r="T418" s="158" t="s">
        <v>715</v>
      </c>
      <c r="U418" s="158"/>
      <c r="V418" s="122"/>
      <c r="W418" s="122"/>
      <c r="X418" s="118">
        <v>44044</v>
      </c>
      <c r="Y418" s="118">
        <v>45199</v>
      </c>
    </row>
    <row r="419" s="79" customFormat="1" customHeight="1" spans="1:25">
      <c r="A419" s="94" t="s">
        <v>399</v>
      </c>
      <c r="B419" s="98" t="s">
        <v>62</v>
      </c>
      <c r="C419" s="96" t="s">
        <v>217</v>
      </c>
      <c r="D419" s="96" t="s">
        <v>566</v>
      </c>
      <c r="E419" s="23" t="s">
        <v>567</v>
      </c>
      <c r="F419" s="94" t="s">
        <v>568</v>
      </c>
      <c r="G419" s="109" t="s">
        <v>31</v>
      </c>
      <c r="H419" s="100" t="s">
        <v>676</v>
      </c>
      <c r="I419" s="23" t="e">
        <f>VLOOKUP(H419,'合同综合查询数据（3月返）'!$A:$A,1,FALSE)</f>
        <v>#N/A</v>
      </c>
      <c r="J419" s="152" t="s">
        <v>33</v>
      </c>
      <c r="K419" s="109" t="s">
        <v>677</v>
      </c>
      <c r="L419" s="99" t="s">
        <v>690</v>
      </c>
      <c r="M419" s="26"/>
      <c r="N419" s="28">
        <v>42999</v>
      </c>
      <c r="O419" s="28"/>
      <c r="P419" s="110">
        <v>30</v>
      </c>
      <c r="Q419" s="120">
        <v>288</v>
      </c>
      <c r="R419" s="120">
        <f t="shared" si="14"/>
        <v>8640</v>
      </c>
      <c r="S419" s="117">
        <v>202303</v>
      </c>
      <c r="T419" s="158" t="s">
        <v>716</v>
      </c>
      <c r="U419" s="158"/>
      <c r="V419" s="122"/>
      <c r="W419" s="122"/>
      <c r="X419" s="118">
        <v>44044</v>
      </c>
      <c r="Y419" s="118">
        <v>45199</v>
      </c>
    </row>
    <row r="420" s="79" customFormat="1" customHeight="1" spans="1:25">
      <c r="A420" s="94" t="s">
        <v>399</v>
      </c>
      <c r="B420" s="98" t="s">
        <v>62</v>
      </c>
      <c r="C420" s="96" t="s">
        <v>217</v>
      </c>
      <c r="D420" s="96" t="s">
        <v>566</v>
      </c>
      <c r="E420" s="23" t="s">
        <v>567</v>
      </c>
      <c r="F420" s="94" t="s">
        <v>568</v>
      </c>
      <c r="G420" s="109" t="s">
        <v>31</v>
      </c>
      <c r="H420" s="100" t="s">
        <v>676</v>
      </c>
      <c r="I420" s="23" t="e">
        <f>VLOOKUP(H420,'合同综合查询数据（3月返）'!$A:$A,1,FALSE)</f>
        <v>#N/A</v>
      </c>
      <c r="J420" s="152" t="s">
        <v>33</v>
      </c>
      <c r="K420" s="109" t="s">
        <v>677</v>
      </c>
      <c r="L420" s="99" t="s">
        <v>690</v>
      </c>
      <c r="M420" s="26"/>
      <c r="N420" s="28">
        <v>43812</v>
      </c>
      <c r="O420" s="28"/>
      <c r="P420" s="110">
        <v>30</v>
      </c>
      <c r="Q420" s="120">
        <v>32</v>
      </c>
      <c r="R420" s="120">
        <f t="shared" si="14"/>
        <v>960</v>
      </c>
      <c r="S420" s="117">
        <v>202303</v>
      </c>
      <c r="T420" s="158" t="s">
        <v>717</v>
      </c>
      <c r="U420" s="158"/>
      <c r="V420" s="122"/>
      <c r="W420" s="122"/>
      <c r="X420" s="118">
        <v>44044</v>
      </c>
      <c r="Y420" s="118">
        <v>45199</v>
      </c>
    </row>
    <row r="421" s="79" customFormat="1" customHeight="1" spans="1:25">
      <c r="A421" s="94" t="s">
        <v>399</v>
      </c>
      <c r="B421" s="98" t="s">
        <v>62</v>
      </c>
      <c r="C421" s="96" t="s">
        <v>217</v>
      </c>
      <c r="D421" s="96" t="s">
        <v>566</v>
      </c>
      <c r="E421" s="23" t="s">
        <v>567</v>
      </c>
      <c r="F421" s="94" t="s">
        <v>568</v>
      </c>
      <c r="G421" s="109" t="s">
        <v>31</v>
      </c>
      <c r="H421" s="100" t="s">
        <v>676</v>
      </c>
      <c r="I421" s="23" t="e">
        <f>VLOOKUP(H421,'合同综合查询数据（3月返）'!$A:$A,1,FALSE)</f>
        <v>#N/A</v>
      </c>
      <c r="J421" s="152" t="s">
        <v>33</v>
      </c>
      <c r="K421" s="109" t="s">
        <v>677</v>
      </c>
      <c r="L421" s="99" t="s">
        <v>690</v>
      </c>
      <c r="M421" s="26"/>
      <c r="N421" s="28">
        <v>44048</v>
      </c>
      <c r="O421" s="28"/>
      <c r="P421" s="110">
        <v>30</v>
      </c>
      <c r="Q421" s="120">
        <v>256</v>
      </c>
      <c r="R421" s="120">
        <f t="shared" si="14"/>
        <v>7680</v>
      </c>
      <c r="S421" s="117">
        <v>202303</v>
      </c>
      <c r="T421" s="158" t="s">
        <v>718</v>
      </c>
      <c r="U421" s="158"/>
      <c r="V421" s="122"/>
      <c r="W421" s="122"/>
      <c r="X421" s="118">
        <v>44044</v>
      </c>
      <c r="Y421" s="118">
        <v>45199</v>
      </c>
    </row>
    <row r="422" s="81" customFormat="1" customHeight="1" spans="1:25">
      <c r="A422" s="61" t="s">
        <v>401</v>
      </c>
      <c r="B422" s="61" t="s">
        <v>62</v>
      </c>
      <c r="C422" s="61" t="s">
        <v>217</v>
      </c>
      <c r="D422" s="61" t="s">
        <v>566</v>
      </c>
      <c r="E422" s="160" t="s">
        <v>567</v>
      </c>
      <c r="F422" s="61" t="s">
        <v>568</v>
      </c>
      <c r="G422" s="161" t="s">
        <v>88</v>
      </c>
      <c r="H422" s="45" t="s">
        <v>719</v>
      </c>
      <c r="I422" s="47" t="e">
        <f>VLOOKUP(H422,'合同综合查询数据（3月返）'!$A:$A,1,FALSE)</f>
        <v>#N/A</v>
      </c>
      <c r="J422" s="48" t="s">
        <v>90</v>
      </c>
      <c r="K422" s="161" t="s">
        <v>720</v>
      </c>
      <c r="L422" s="162"/>
      <c r="M422" s="50" t="s">
        <v>527</v>
      </c>
      <c r="N422" s="163">
        <v>43202</v>
      </c>
      <c r="O422" s="163" t="s">
        <v>457</v>
      </c>
      <c r="P422" s="144">
        <v>3918</v>
      </c>
      <c r="Q422" s="144">
        <v>211</v>
      </c>
      <c r="R422" s="68">
        <f t="shared" si="14"/>
        <v>826698</v>
      </c>
      <c r="S422" s="70">
        <v>202303</v>
      </c>
      <c r="T422" s="168" t="s">
        <v>721</v>
      </c>
      <c r="U422" s="169"/>
      <c r="V422" s="143"/>
      <c r="W422" s="143"/>
      <c r="X422" s="73"/>
      <c r="Y422" s="73"/>
    </row>
    <row r="423" s="81" customFormat="1" customHeight="1" spans="1:25">
      <c r="A423" s="61" t="s">
        <v>401</v>
      </c>
      <c r="B423" s="61" t="s">
        <v>62</v>
      </c>
      <c r="C423" s="61" t="s">
        <v>217</v>
      </c>
      <c r="D423" s="61" t="s">
        <v>566</v>
      </c>
      <c r="E423" s="160" t="s">
        <v>567</v>
      </c>
      <c r="F423" s="61" t="s">
        <v>568</v>
      </c>
      <c r="G423" s="161" t="s">
        <v>88</v>
      </c>
      <c r="H423" s="45" t="s">
        <v>719</v>
      </c>
      <c r="I423" s="47" t="e">
        <f>VLOOKUP(H423,'合同综合查询数据（3月返）'!$A:$A,1,FALSE)</f>
        <v>#N/A</v>
      </c>
      <c r="J423" s="48" t="s">
        <v>90</v>
      </c>
      <c r="K423" s="161" t="s">
        <v>720</v>
      </c>
      <c r="L423" s="162"/>
      <c r="M423" s="50" t="s">
        <v>527</v>
      </c>
      <c r="N423" s="163">
        <v>44875</v>
      </c>
      <c r="O423" s="163" t="s">
        <v>457</v>
      </c>
      <c r="P423" s="144">
        <v>3918</v>
      </c>
      <c r="Q423" s="144">
        <v>-6</v>
      </c>
      <c r="R423" s="68">
        <f t="shared" ref="R423:R428" si="15">ROUND(P423*Q423,2)</f>
        <v>-23508</v>
      </c>
      <c r="S423" s="70">
        <v>202303</v>
      </c>
      <c r="T423" s="168" t="s">
        <v>722</v>
      </c>
      <c r="U423" s="169"/>
      <c r="V423" s="143"/>
      <c r="W423" s="143"/>
      <c r="X423" s="73"/>
      <c r="Y423" s="73"/>
    </row>
    <row r="424" s="79" customFormat="1" customHeight="1" spans="1:25">
      <c r="A424" s="94" t="s">
        <v>401</v>
      </c>
      <c r="B424" s="98" t="s">
        <v>62</v>
      </c>
      <c r="C424" s="96" t="s">
        <v>217</v>
      </c>
      <c r="D424" s="96" t="s">
        <v>566</v>
      </c>
      <c r="E424" s="23" t="s">
        <v>567</v>
      </c>
      <c r="F424" s="94" t="s">
        <v>568</v>
      </c>
      <c r="G424" s="109" t="s">
        <v>88</v>
      </c>
      <c r="H424" s="19" t="s">
        <v>619</v>
      </c>
      <c r="I424" s="23" t="e">
        <f>VLOOKUP(H424,'合同综合查询数据（3月返）'!$A:$A,1,FALSE)</f>
        <v>#N/A</v>
      </c>
      <c r="J424" s="152" t="s">
        <v>126</v>
      </c>
      <c r="K424" s="109" t="s">
        <v>620</v>
      </c>
      <c r="L424" s="99" t="s">
        <v>723</v>
      </c>
      <c r="M424" s="26" t="s">
        <v>724</v>
      </c>
      <c r="N424" s="28">
        <v>44835</v>
      </c>
      <c r="O424" s="28" t="s">
        <v>457</v>
      </c>
      <c r="P424" s="110">
        <v>2900</v>
      </c>
      <c r="Q424" s="120">
        <v>13</v>
      </c>
      <c r="R424" s="120">
        <f t="shared" si="15"/>
        <v>37700</v>
      </c>
      <c r="S424" s="117">
        <v>202303</v>
      </c>
      <c r="T424" s="158" t="s">
        <v>725</v>
      </c>
      <c r="U424" s="158"/>
      <c r="V424" s="122"/>
      <c r="W424" s="122"/>
      <c r="X424" s="118">
        <v>44287</v>
      </c>
      <c r="Y424" s="118">
        <v>45016</v>
      </c>
    </row>
    <row r="425" s="79" customFormat="1" customHeight="1" spans="1:25">
      <c r="A425" s="94" t="s">
        <v>401</v>
      </c>
      <c r="B425" s="98" t="s">
        <v>62</v>
      </c>
      <c r="C425" s="96" t="s">
        <v>217</v>
      </c>
      <c r="D425" s="96" t="s">
        <v>566</v>
      </c>
      <c r="E425" s="23" t="s">
        <v>567</v>
      </c>
      <c r="F425" s="94" t="s">
        <v>568</v>
      </c>
      <c r="G425" s="109" t="s">
        <v>88</v>
      </c>
      <c r="H425" s="19" t="s">
        <v>619</v>
      </c>
      <c r="I425" s="23" t="e">
        <f>VLOOKUP(H425,'合同综合查询数据（3月返）'!$A:$A,1,FALSE)</f>
        <v>#N/A</v>
      </c>
      <c r="J425" s="152" t="s">
        <v>126</v>
      </c>
      <c r="K425" s="109" t="s">
        <v>620</v>
      </c>
      <c r="L425" s="99" t="s">
        <v>723</v>
      </c>
      <c r="M425" s="26" t="s">
        <v>724</v>
      </c>
      <c r="N425" s="28">
        <v>44835</v>
      </c>
      <c r="O425" s="28" t="s">
        <v>457</v>
      </c>
      <c r="P425" s="110">
        <v>0</v>
      </c>
      <c r="Q425" s="120">
        <v>5</v>
      </c>
      <c r="R425" s="120">
        <f t="shared" si="15"/>
        <v>0</v>
      </c>
      <c r="S425" s="117">
        <v>202303</v>
      </c>
      <c r="T425" s="158" t="s">
        <v>726</v>
      </c>
      <c r="U425" s="158"/>
      <c r="V425" s="122"/>
      <c r="W425" s="122"/>
      <c r="X425" s="118">
        <v>44287</v>
      </c>
      <c r="Y425" s="118">
        <v>45016</v>
      </c>
    </row>
    <row r="426" s="79" customFormat="1" customHeight="1" spans="1:25">
      <c r="A426" s="94" t="s">
        <v>401</v>
      </c>
      <c r="B426" s="98" t="s">
        <v>62</v>
      </c>
      <c r="C426" s="96" t="s">
        <v>217</v>
      </c>
      <c r="D426" s="96" t="s">
        <v>566</v>
      </c>
      <c r="E426" s="23" t="s">
        <v>567</v>
      </c>
      <c r="F426" s="94" t="s">
        <v>568</v>
      </c>
      <c r="G426" s="109" t="s">
        <v>31</v>
      </c>
      <c r="H426" s="19" t="s">
        <v>619</v>
      </c>
      <c r="I426" s="23" t="e">
        <f>VLOOKUP(H426,'合同综合查询数据（3月返）'!$A:$A,1,FALSE)</f>
        <v>#N/A</v>
      </c>
      <c r="J426" s="152" t="s">
        <v>33</v>
      </c>
      <c r="K426" s="109" t="s">
        <v>620</v>
      </c>
      <c r="L426" s="99" t="s">
        <v>723</v>
      </c>
      <c r="M426" s="26" t="s">
        <v>724</v>
      </c>
      <c r="N426" s="28">
        <v>44835</v>
      </c>
      <c r="O426" s="28"/>
      <c r="P426" s="110">
        <v>0</v>
      </c>
      <c r="Q426" s="120">
        <v>256</v>
      </c>
      <c r="R426" s="120">
        <f t="shared" si="15"/>
        <v>0</v>
      </c>
      <c r="S426" s="117">
        <v>202303</v>
      </c>
      <c r="T426" s="158" t="s">
        <v>727</v>
      </c>
      <c r="U426" s="158"/>
      <c r="V426" s="122"/>
      <c r="W426" s="122"/>
      <c r="X426" s="118">
        <v>44287</v>
      </c>
      <c r="Y426" s="118">
        <v>45016</v>
      </c>
    </row>
    <row r="427" s="79" customFormat="1" customHeight="1" spans="1:25">
      <c r="A427" s="94" t="s">
        <v>401</v>
      </c>
      <c r="B427" s="98" t="s">
        <v>62</v>
      </c>
      <c r="C427" s="96" t="s">
        <v>217</v>
      </c>
      <c r="D427" s="96" t="s">
        <v>566</v>
      </c>
      <c r="E427" s="23" t="s">
        <v>567</v>
      </c>
      <c r="F427" s="94" t="s">
        <v>568</v>
      </c>
      <c r="G427" s="109" t="s">
        <v>31</v>
      </c>
      <c r="H427" s="19" t="s">
        <v>619</v>
      </c>
      <c r="I427" s="23" t="e">
        <f>VLOOKUP(H427,'合同综合查询数据（3月返）'!$A:$A,1,FALSE)</f>
        <v>#N/A</v>
      </c>
      <c r="J427" s="152" t="s">
        <v>33</v>
      </c>
      <c r="K427" s="109" t="s">
        <v>620</v>
      </c>
      <c r="L427" s="99" t="s">
        <v>723</v>
      </c>
      <c r="M427" s="26" t="s">
        <v>724</v>
      </c>
      <c r="N427" s="28">
        <v>44835</v>
      </c>
      <c r="O427" s="28"/>
      <c r="P427" s="110">
        <v>35</v>
      </c>
      <c r="Q427" s="120">
        <v>32</v>
      </c>
      <c r="R427" s="120">
        <f t="shared" si="15"/>
        <v>1120</v>
      </c>
      <c r="S427" s="117">
        <v>202303</v>
      </c>
      <c r="T427" s="158" t="s">
        <v>727</v>
      </c>
      <c r="U427" s="158"/>
      <c r="V427" s="122"/>
      <c r="W427" s="122"/>
      <c r="X427" s="118">
        <v>44287</v>
      </c>
      <c r="Y427" s="118">
        <v>45016</v>
      </c>
    </row>
    <row r="428" s="81" customFormat="1" ht="14.5" customHeight="1" spans="1:25">
      <c r="A428" s="62" t="s">
        <v>401</v>
      </c>
      <c r="B428" s="61" t="s">
        <v>62</v>
      </c>
      <c r="C428" s="60" t="s">
        <v>217</v>
      </c>
      <c r="D428" s="60" t="s">
        <v>566</v>
      </c>
      <c r="E428" s="47" t="s">
        <v>567</v>
      </c>
      <c r="F428" s="62" t="s">
        <v>568</v>
      </c>
      <c r="G428" s="138" t="s">
        <v>31</v>
      </c>
      <c r="H428" s="45" t="s">
        <v>728</v>
      </c>
      <c r="I428" s="47" t="e">
        <f>VLOOKUP(H428,'合同综合查询数据（3月返）'!$A:$A,1,FALSE)</f>
        <v>#N/A</v>
      </c>
      <c r="J428" s="65" t="s">
        <v>33</v>
      </c>
      <c r="K428" s="138" t="s">
        <v>620</v>
      </c>
      <c r="L428" s="66" t="s">
        <v>723</v>
      </c>
      <c r="M428" s="50" t="s">
        <v>724</v>
      </c>
      <c r="N428" s="51">
        <v>44984</v>
      </c>
      <c r="O428" s="51"/>
      <c r="P428" s="141">
        <v>35</v>
      </c>
      <c r="Q428" s="68">
        <v>64</v>
      </c>
      <c r="R428" s="68">
        <f t="shared" si="15"/>
        <v>2240</v>
      </c>
      <c r="S428" s="70">
        <v>202303</v>
      </c>
      <c r="T428" s="166" t="s">
        <v>729</v>
      </c>
      <c r="U428" s="166"/>
      <c r="V428" s="146"/>
      <c r="W428" s="146"/>
      <c r="X428" s="73"/>
      <c r="Y428" s="73"/>
    </row>
    <row r="429" s="81" customFormat="1" customHeight="1" spans="1:25">
      <c r="A429" s="62" t="s">
        <v>401</v>
      </c>
      <c r="B429" s="61" t="s">
        <v>62</v>
      </c>
      <c r="C429" s="60" t="s">
        <v>217</v>
      </c>
      <c r="D429" s="60" t="s">
        <v>566</v>
      </c>
      <c r="E429" s="47" t="s">
        <v>567</v>
      </c>
      <c r="F429" s="62" t="s">
        <v>568</v>
      </c>
      <c r="G429" s="138" t="s">
        <v>31</v>
      </c>
      <c r="H429" s="45" t="s">
        <v>728</v>
      </c>
      <c r="I429" s="47" t="e">
        <f>VLOOKUP(H429,'合同综合查询数据（3月返）'!$A:$A,1,FALSE)</f>
        <v>#N/A</v>
      </c>
      <c r="J429" s="65" t="s">
        <v>33</v>
      </c>
      <c r="K429" s="138" t="s">
        <v>620</v>
      </c>
      <c r="L429" s="66" t="s">
        <v>723</v>
      </c>
      <c r="M429" s="50" t="s">
        <v>724</v>
      </c>
      <c r="N429" s="51">
        <v>44984</v>
      </c>
      <c r="O429" s="51"/>
      <c r="P429" s="141">
        <v>35</v>
      </c>
      <c r="Q429" s="68">
        <v>64</v>
      </c>
      <c r="R429" s="68">
        <f>ROUND(P429*Q429*2/28,2)</f>
        <v>160</v>
      </c>
      <c r="S429" s="70">
        <v>202302</v>
      </c>
      <c r="T429" s="166" t="s">
        <v>730</v>
      </c>
      <c r="U429" s="166"/>
      <c r="V429" s="146"/>
      <c r="W429" s="146"/>
      <c r="X429" s="73"/>
      <c r="Y429" s="73"/>
    </row>
    <row r="430" s="81" customFormat="1" customHeight="1" spans="1:25">
      <c r="A430" s="61" t="s">
        <v>401</v>
      </c>
      <c r="B430" s="61" t="s">
        <v>62</v>
      </c>
      <c r="C430" s="61" t="s">
        <v>217</v>
      </c>
      <c r="D430" s="61" t="s">
        <v>566</v>
      </c>
      <c r="E430" s="160" t="s">
        <v>731</v>
      </c>
      <c r="F430" s="135" t="s">
        <v>732</v>
      </c>
      <c r="G430" s="161" t="s">
        <v>67</v>
      </c>
      <c r="H430" s="45" t="s">
        <v>733</v>
      </c>
      <c r="I430" s="47" t="e">
        <f>VLOOKUP(H430,'合同综合查询数据（3月返）'!$A:$A,1,FALSE)</f>
        <v>#N/A</v>
      </c>
      <c r="J430" s="65" t="s">
        <v>69</v>
      </c>
      <c r="K430" s="138" t="s">
        <v>734</v>
      </c>
      <c r="L430" s="164"/>
      <c r="M430" s="50"/>
      <c r="N430" s="165">
        <v>43332</v>
      </c>
      <c r="O430" s="51" t="s">
        <v>71</v>
      </c>
      <c r="P430" s="140">
        <v>400</v>
      </c>
      <c r="Q430" s="112">
        <v>913.36</v>
      </c>
      <c r="R430" s="68">
        <f t="shared" ref="R430:R461" si="16">ROUND(P430*Q430,2)</f>
        <v>365344</v>
      </c>
      <c r="S430" s="70">
        <v>202303</v>
      </c>
      <c r="T430" s="170" t="s">
        <v>735</v>
      </c>
      <c r="U430" s="170"/>
      <c r="V430" s="143"/>
      <c r="W430" s="143"/>
      <c r="X430" s="73"/>
      <c r="Y430" s="73"/>
    </row>
    <row r="431" s="81" customFormat="1" customHeight="1" spans="1:25">
      <c r="A431" s="61" t="s">
        <v>401</v>
      </c>
      <c r="B431" s="61" t="s">
        <v>62</v>
      </c>
      <c r="C431" s="61" t="s">
        <v>217</v>
      </c>
      <c r="D431" s="61" t="s">
        <v>566</v>
      </c>
      <c r="E431" s="160" t="s">
        <v>731</v>
      </c>
      <c r="F431" s="135" t="s">
        <v>732</v>
      </c>
      <c r="G431" s="161" t="s">
        <v>67</v>
      </c>
      <c r="H431" s="45" t="s">
        <v>733</v>
      </c>
      <c r="I431" s="47" t="e">
        <f>VLOOKUP(H431,'合同综合查询数据（3月返）'!$A:$A,1,FALSE)</f>
        <v>#N/A</v>
      </c>
      <c r="J431" s="65" t="s">
        <v>69</v>
      </c>
      <c r="K431" s="138" t="s">
        <v>736</v>
      </c>
      <c r="L431" s="164"/>
      <c r="M431" s="50"/>
      <c r="N431" s="165">
        <v>43332</v>
      </c>
      <c r="O431" s="51" t="s">
        <v>71</v>
      </c>
      <c r="P431" s="140">
        <v>400</v>
      </c>
      <c r="Q431" s="112">
        <v>939.79</v>
      </c>
      <c r="R431" s="68">
        <f t="shared" si="16"/>
        <v>375916</v>
      </c>
      <c r="S431" s="70">
        <v>202303</v>
      </c>
      <c r="T431" s="170" t="s">
        <v>737</v>
      </c>
      <c r="U431" s="170"/>
      <c r="V431" s="143"/>
      <c r="W431" s="143"/>
      <c r="X431" s="73"/>
      <c r="Y431" s="73"/>
    </row>
    <row r="432" s="81" customFormat="1" customHeight="1" spans="1:25">
      <c r="A432" s="61" t="s">
        <v>401</v>
      </c>
      <c r="B432" s="61" t="s">
        <v>62</v>
      </c>
      <c r="C432" s="61" t="s">
        <v>217</v>
      </c>
      <c r="D432" s="61" t="s">
        <v>566</v>
      </c>
      <c r="E432" s="160" t="s">
        <v>731</v>
      </c>
      <c r="F432" s="135" t="s">
        <v>732</v>
      </c>
      <c r="G432" s="161" t="s">
        <v>67</v>
      </c>
      <c r="H432" s="45" t="s">
        <v>733</v>
      </c>
      <c r="I432" s="47" t="e">
        <f>VLOOKUP(H432,'合同综合查询数据（3月返）'!$A:$A,1,FALSE)</f>
        <v>#N/A</v>
      </c>
      <c r="J432" s="65" t="s">
        <v>69</v>
      </c>
      <c r="K432" s="138" t="s">
        <v>738</v>
      </c>
      <c r="L432" s="164"/>
      <c r="M432" s="50"/>
      <c r="N432" s="165">
        <v>44228</v>
      </c>
      <c r="O432" s="51" t="s">
        <v>71</v>
      </c>
      <c r="P432" s="140">
        <v>400</v>
      </c>
      <c r="Q432" s="112">
        <v>64.17</v>
      </c>
      <c r="R432" s="68">
        <f t="shared" si="16"/>
        <v>25668</v>
      </c>
      <c r="S432" s="70">
        <v>202303</v>
      </c>
      <c r="T432" s="170" t="s">
        <v>739</v>
      </c>
      <c r="U432" s="170"/>
      <c r="V432" s="143"/>
      <c r="W432" s="143"/>
      <c r="X432" s="73"/>
      <c r="Y432" s="73"/>
    </row>
    <row r="433" s="81" customFormat="1" customHeight="1" spans="1:25">
      <c r="A433" s="61" t="s">
        <v>401</v>
      </c>
      <c r="B433" s="61" t="s">
        <v>62</v>
      </c>
      <c r="C433" s="61" t="s">
        <v>217</v>
      </c>
      <c r="D433" s="61" t="s">
        <v>566</v>
      </c>
      <c r="E433" s="160" t="s">
        <v>731</v>
      </c>
      <c r="F433" s="135" t="s">
        <v>732</v>
      </c>
      <c r="G433" s="161" t="s">
        <v>67</v>
      </c>
      <c r="H433" s="45" t="s">
        <v>733</v>
      </c>
      <c r="I433" s="47" t="e">
        <f>VLOOKUP(H433,'合同综合查询数据（3月返）'!$A:$A,1,FALSE)</f>
        <v>#N/A</v>
      </c>
      <c r="J433" s="65" t="s">
        <v>69</v>
      </c>
      <c r="K433" s="138" t="s">
        <v>740</v>
      </c>
      <c r="L433" s="164"/>
      <c r="M433" s="50"/>
      <c r="N433" s="165">
        <v>44783</v>
      </c>
      <c r="O433" s="51" t="s">
        <v>71</v>
      </c>
      <c r="P433" s="140">
        <v>400</v>
      </c>
      <c r="Q433" s="112">
        <v>30.9</v>
      </c>
      <c r="R433" s="68">
        <f t="shared" si="16"/>
        <v>12360</v>
      </c>
      <c r="S433" s="70">
        <v>202303</v>
      </c>
      <c r="T433" s="170" t="s">
        <v>741</v>
      </c>
      <c r="U433" s="170"/>
      <c r="V433" s="143"/>
      <c r="W433" s="143"/>
      <c r="X433" s="73"/>
      <c r="Y433" s="73"/>
    </row>
    <row r="434" s="81" customFormat="1" customHeight="1" spans="1:25">
      <c r="A434" s="61" t="s">
        <v>401</v>
      </c>
      <c r="B434" s="61" t="s">
        <v>62</v>
      </c>
      <c r="C434" s="61" t="s">
        <v>217</v>
      </c>
      <c r="D434" s="61" t="s">
        <v>566</v>
      </c>
      <c r="E434" s="160" t="s">
        <v>731</v>
      </c>
      <c r="F434" s="135" t="s">
        <v>732</v>
      </c>
      <c r="G434" s="161" t="s">
        <v>78</v>
      </c>
      <c r="H434" s="45" t="s">
        <v>733</v>
      </c>
      <c r="I434" s="47" t="e">
        <f>VLOOKUP(H434,'合同综合查询数据（3月返）'!$A:$A,1,FALSE)</f>
        <v>#N/A</v>
      </c>
      <c r="J434" s="65" t="s">
        <v>475</v>
      </c>
      <c r="K434" s="138" t="s">
        <v>734</v>
      </c>
      <c r="L434" s="164"/>
      <c r="M434" s="50"/>
      <c r="N434" s="165">
        <v>43332</v>
      </c>
      <c r="O434" s="51"/>
      <c r="P434" s="140">
        <v>3500</v>
      </c>
      <c r="Q434" s="171">
        <v>9</v>
      </c>
      <c r="R434" s="68">
        <f t="shared" si="16"/>
        <v>31500</v>
      </c>
      <c r="S434" s="70">
        <v>202303</v>
      </c>
      <c r="T434" s="170" t="s">
        <v>742</v>
      </c>
      <c r="U434" s="170"/>
      <c r="V434" s="143"/>
      <c r="W434" s="143"/>
      <c r="X434" s="73"/>
      <c r="Y434" s="73"/>
    </row>
    <row r="435" s="81" customFormat="1" customHeight="1" spans="1:25">
      <c r="A435" s="61" t="s">
        <v>401</v>
      </c>
      <c r="B435" s="61" t="s">
        <v>62</v>
      </c>
      <c r="C435" s="61" t="s">
        <v>217</v>
      </c>
      <c r="D435" s="61" t="s">
        <v>566</v>
      </c>
      <c r="E435" s="160" t="s">
        <v>731</v>
      </c>
      <c r="F435" s="135" t="s">
        <v>732</v>
      </c>
      <c r="G435" s="161" t="s">
        <v>78</v>
      </c>
      <c r="H435" s="45" t="s">
        <v>733</v>
      </c>
      <c r="I435" s="47" t="e">
        <f>VLOOKUP(H435,'合同综合查询数据（3月返）'!$A:$A,1,FALSE)</f>
        <v>#N/A</v>
      </c>
      <c r="J435" s="65" t="s">
        <v>475</v>
      </c>
      <c r="K435" s="138" t="s">
        <v>736</v>
      </c>
      <c r="L435" s="164"/>
      <c r="M435" s="50"/>
      <c r="N435" s="165">
        <v>43332</v>
      </c>
      <c r="O435" s="51"/>
      <c r="P435" s="140">
        <v>3500</v>
      </c>
      <c r="Q435" s="171">
        <v>6</v>
      </c>
      <c r="R435" s="68">
        <f t="shared" si="16"/>
        <v>21000</v>
      </c>
      <c r="S435" s="70">
        <v>202303</v>
      </c>
      <c r="T435" s="170" t="s">
        <v>743</v>
      </c>
      <c r="U435" s="170"/>
      <c r="V435" s="143"/>
      <c r="W435" s="143"/>
      <c r="X435" s="73"/>
      <c r="Y435" s="73"/>
    </row>
    <row r="436" s="79" customFormat="1" customHeight="1" spans="1:25">
      <c r="A436" s="98" t="s">
        <v>61</v>
      </c>
      <c r="B436" s="96" t="s">
        <v>83</v>
      </c>
      <c r="C436" s="98" t="s">
        <v>744</v>
      </c>
      <c r="D436" s="96" t="s">
        <v>64</v>
      </c>
      <c r="E436" s="147" t="s">
        <v>745</v>
      </c>
      <c r="F436" s="129" t="s">
        <v>746</v>
      </c>
      <c r="G436" s="151" t="s">
        <v>88</v>
      </c>
      <c r="H436" s="19" t="s">
        <v>747</v>
      </c>
      <c r="I436" s="23" t="e">
        <f>VLOOKUP(H436,'合同综合查询数据（3月返）'!$A:$A,1,FALSE)</f>
        <v>#N/A</v>
      </c>
      <c r="J436" s="152" t="s">
        <v>90</v>
      </c>
      <c r="K436" s="109"/>
      <c r="L436" s="153"/>
      <c r="M436" s="26" t="s">
        <v>748</v>
      </c>
      <c r="N436" s="154">
        <v>44311</v>
      </c>
      <c r="O436" s="28" t="s">
        <v>457</v>
      </c>
      <c r="P436" s="131">
        <v>6500</v>
      </c>
      <c r="Q436" s="156">
        <v>3</v>
      </c>
      <c r="R436" s="120">
        <f t="shared" si="16"/>
        <v>19500</v>
      </c>
      <c r="S436" s="117">
        <v>202303</v>
      </c>
      <c r="T436" s="157" t="s">
        <v>749</v>
      </c>
      <c r="U436" s="157"/>
      <c r="V436" s="133"/>
      <c r="W436" s="133"/>
      <c r="X436" s="118">
        <v>44682</v>
      </c>
      <c r="Y436" s="118">
        <v>45046</v>
      </c>
    </row>
    <row r="437" s="79" customFormat="1" customHeight="1" spans="1:25">
      <c r="A437" s="98" t="s">
        <v>61</v>
      </c>
      <c r="B437" s="96" t="s">
        <v>83</v>
      </c>
      <c r="C437" s="98" t="s">
        <v>744</v>
      </c>
      <c r="D437" s="96" t="s">
        <v>64</v>
      </c>
      <c r="E437" s="147" t="s">
        <v>745</v>
      </c>
      <c r="F437" s="129" t="s">
        <v>746</v>
      </c>
      <c r="G437" s="151" t="s">
        <v>88</v>
      </c>
      <c r="H437" s="19" t="s">
        <v>747</v>
      </c>
      <c r="I437" s="23" t="e">
        <f>VLOOKUP(H437,'合同综合查询数据（3月返）'!$A:$A,1,FALSE)</f>
        <v>#N/A</v>
      </c>
      <c r="J437" s="152" t="s">
        <v>90</v>
      </c>
      <c r="K437" s="109"/>
      <c r="L437" s="153"/>
      <c r="M437" s="26" t="s">
        <v>748</v>
      </c>
      <c r="N437" s="154">
        <v>44315</v>
      </c>
      <c r="O437" s="28" t="s">
        <v>470</v>
      </c>
      <c r="P437" s="131">
        <v>9000</v>
      </c>
      <c r="Q437" s="156">
        <v>2</v>
      </c>
      <c r="R437" s="120">
        <f t="shared" si="16"/>
        <v>18000</v>
      </c>
      <c r="S437" s="117">
        <v>202303</v>
      </c>
      <c r="T437" s="157" t="s">
        <v>750</v>
      </c>
      <c r="U437" s="157"/>
      <c r="V437" s="133"/>
      <c r="W437" s="133"/>
      <c r="X437" s="118">
        <v>44682</v>
      </c>
      <c r="Y437" s="118">
        <v>45046</v>
      </c>
    </row>
    <row r="438" s="79" customFormat="1" customHeight="1" spans="1:25">
      <c r="A438" s="98" t="s">
        <v>61</v>
      </c>
      <c r="B438" s="96" t="s">
        <v>83</v>
      </c>
      <c r="C438" s="98" t="s">
        <v>744</v>
      </c>
      <c r="D438" s="96" t="s">
        <v>64</v>
      </c>
      <c r="E438" s="147" t="s">
        <v>745</v>
      </c>
      <c r="F438" s="129" t="s">
        <v>746</v>
      </c>
      <c r="G438" s="151" t="s">
        <v>67</v>
      </c>
      <c r="H438" s="19" t="s">
        <v>747</v>
      </c>
      <c r="I438" s="23" t="e">
        <f>VLOOKUP(H438,'合同综合查询数据（3月返）'!$A:$A,1,FALSE)</f>
        <v>#N/A</v>
      </c>
      <c r="J438" s="152" t="s">
        <v>69</v>
      </c>
      <c r="K438" s="109" t="s">
        <v>751</v>
      </c>
      <c r="L438" s="153"/>
      <c r="M438" s="26"/>
      <c r="N438" s="154">
        <v>44313</v>
      </c>
      <c r="O438" s="28" t="s">
        <v>71</v>
      </c>
      <c r="P438" s="131">
        <v>250</v>
      </c>
      <c r="Q438" s="107">
        <v>1</v>
      </c>
      <c r="R438" s="120">
        <f t="shared" si="16"/>
        <v>250</v>
      </c>
      <c r="S438" s="117">
        <v>202303</v>
      </c>
      <c r="T438" s="157" t="s">
        <v>752</v>
      </c>
      <c r="U438" s="157"/>
      <c r="V438" s="133"/>
      <c r="W438" s="133"/>
      <c r="X438" s="118">
        <v>44682</v>
      </c>
      <c r="Y438" s="118">
        <v>45046</v>
      </c>
    </row>
    <row r="439" s="79" customFormat="1" customHeight="1" spans="1:25">
      <c r="A439" s="98" t="s">
        <v>61</v>
      </c>
      <c r="B439" s="96" t="s">
        <v>83</v>
      </c>
      <c r="C439" s="98" t="s">
        <v>744</v>
      </c>
      <c r="D439" s="96" t="s">
        <v>64</v>
      </c>
      <c r="E439" s="147" t="s">
        <v>745</v>
      </c>
      <c r="F439" s="129" t="s">
        <v>746</v>
      </c>
      <c r="G439" s="151" t="s">
        <v>67</v>
      </c>
      <c r="H439" s="19" t="s">
        <v>747</v>
      </c>
      <c r="I439" s="23" t="e">
        <f>VLOOKUP(H439,'合同综合查询数据（3月返）'!$A:$A,1,FALSE)</f>
        <v>#N/A</v>
      </c>
      <c r="J439" s="152" t="s">
        <v>69</v>
      </c>
      <c r="K439" s="109" t="s">
        <v>753</v>
      </c>
      <c r="L439" s="153"/>
      <c r="M439" s="26"/>
      <c r="N439" s="154">
        <v>44313</v>
      </c>
      <c r="O439" s="28" t="s">
        <v>71</v>
      </c>
      <c r="P439" s="131">
        <v>250</v>
      </c>
      <c r="Q439" s="107">
        <v>1</v>
      </c>
      <c r="R439" s="120">
        <f t="shared" si="16"/>
        <v>250</v>
      </c>
      <c r="S439" s="117">
        <v>202303</v>
      </c>
      <c r="T439" s="157" t="s">
        <v>754</v>
      </c>
      <c r="U439" s="157"/>
      <c r="V439" s="133"/>
      <c r="W439" s="133"/>
      <c r="X439" s="118">
        <v>44682</v>
      </c>
      <c r="Y439" s="118">
        <v>45046</v>
      </c>
    </row>
    <row r="440" s="79" customFormat="1" customHeight="1" spans="1:25">
      <c r="A440" s="98" t="s">
        <v>61</v>
      </c>
      <c r="B440" s="96" t="s">
        <v>83</v>
      </c>
      <c r="C440" s="98" t="s">
        <v>744</v>
      </c>
      <c r="D440" s="96" t="s">
        <v>64</v>
      </c>
      <c r="E440" s="147" t="s">
        <v>745</v>
      </c>
      <c r="F440" s="129" t="s">
        <v>746</v>
      </c>
      <c r="G440" s="151" t="s">
        <v>67</v>
      </c>
      <c r="H440" s="19" t="s">
        <v>747</v>
      </c>
      <c r="I440" s="23" t="e">
        <f>VLOOKUP(H440,'合同综合查询数据（3月返）'!$A:$A,1,FALSE)</f>
        <v>#N/A</v>
      </c>
      <c r="J440" s="152" t="s">
        <v>69</v>
      </c>
      <c r="K440" s="109" t="s">
        <v>755</v>
      </c>
      <c r="L440" s="153"/>
      <c r="M440" s="26"/>
      <c r="N440" s="154">
        <v>44330</v>
      </c>
      <c r="O440" s="28" t="s">
        <v>71</v>
      </c>
      <c r="P440" s="131">
        <v>250</v>
      </c>
      <c r="Q440" s="107">
        <v>10</v>
      </c>
      <c r="R440" s="120">
        <f t="shared" si="16"/>
        <v>2500</v>
      </c>
      <c r="S440" s="117">
        <v>202303</v>
      </c>
      <c r="T440" s="157" t="s">
        <v>756</v>
      </c>
      <c r="U440" s="157"/>
      <c r="V440" s="133"/>
      <c r="W440" s="133"/>
      <c r="X440" s="118">
        <v>44682</v>
      </c>
      <c r="Y440" s="118">
        <v>45046</v>
      </c>
    </row>
    <row r="441" s="79" customFormat="1" customHeight="1" spans="1:25">
      <c r="A441" s="98" t="s">
        <v>61</v>
      </c>
      <c r="B441" s="96" t="s">
        <v>83</v>
      </c>
      <c r="C441" s="98" t="s">
        <v>744</v>
      </c>
      <c r="D441" s="96" t="s">
        <v>64</v>
      </c>
      <c r="E441" s="147" t="s">
        <v>745</v>
      </c>
      <c r="F441" s="129" t="s">
        <v>746</v>
      </c>
      <c r="G441" s="151" t="s">
        <v>67</v>
      </c>
      <c r="H441" s="19" t="s">
        <v>747</v>
      </c>
      <c r="I441" s="23" t="e">
        <f>VLOOKUP(H441,'合同综合查询数据（3月返）'!$A:$A,1,FALSE)</f>
        <v>#N/A</v>
      </c>
      <c r="J441" s="152" t="s">
        <v>69</v>
      </c>
      <c r="K441" s="109" t="s">
        <v>755</v>
      </c>
      <c r="L441" s="153"/>
      <c r="M441" s="26"/>
      <c r="N441" s="154">
        <v>44917</v>
      </c>
      <c r="O441" s="28" t="s">
        <v>71</v>
      </c>
      <c r="P441" s="131">
        <v>250</v>
      </c>
      <c r="Q441" s="107">
        <v>-4</v>
      </c>
      <c r="R441" s="120">
        <f t="shared" si="16"/>
        <v>-1000</v>
      </c>
      <c r="S441" s="117">
        <v>202303</v>
      </c>
      <c r="T441" s="157" t="s">
        <v>757</v>
      </c>
      <c r="U441" s="157"/>
      <c r="V441" s="133"/>
      <c r="W441" s="133"/>
      <c r="X441" s="118">
        <v>44682</v>
      </c>
      <c r="Y441" s="118">
        <v>45046</v>
      </c>
    </row>
    <row r="442" s="79" customFormat="1" customHeight="1" spans="1:25">
      <c r="A442" s="98" t="s">
        <v>61</v>
      </c>
      <c r="B442" s="96" t="s">
        <v>83</v>
      </c>
      <c r="C442" s="98" t="s">
        <v>744</v>
      </c>
      <c r="D442" s="96" t="s">
        <v>64</v>
      </c>
      <c r="E442" s="147" t="s">
        <v>745</v>
      </c>
      <c r="F442" s="129" t="s">
        <v>746</v>
      </c>
      <c r="G442" s="151" t="s">
        <v>67</v>
      </c>
      <c r="H442" s="19" t="s">
        <v>747</v>
      </c>
      <c r="I442" s="23" t="e">
        <f>VLOOKUP(H442,'合同综合查询数据（3月返）'!$A:$A,1,FALSE)</f>
        <v>#N/A</v>
      </c>
      <c r="J442" s="152" t="s">
        <v>69</v>
      </c>
      <c r="K442" s="109" t="s">
        <v>758</v>
      </c>
      <c r="L442" s="153"/>
      <c r="M442" s="26"/>
      <c r="N442" s="154">
        <v>44389</v>
      </c>
      <c r="O442" s="28" t="s">
        <v>71</v>
      </c>
      <c r="P442" s="131">
        <v>250</v>
      </c>
      <c r="Q442" s="107">
        <v>1</v>
      </c>
      <c r="R442" s="120">
        <f t="shared" si="16"/>
        <v>250</v>
      </c>
      <c r="S442" s="117">
        <v>202303</v>
      </c>
      <c r="T442" s="157" t="s">
        <v>759</v>
      </c>
      <c r="U442" s="157"/>
      <c r="V442" s="133"/>
      <c r="W442" s="133"/>
      <c r="X442" s="118">
        <v>44682</v>
      </c>
      <c r="Y442" s="118">
        <v>45046</v>
      </c>
    </row>
    <row r="443" s="79" customFormat="1" customHeight="1" spans="1:25">
      <c r="A443" s="98" t="s">
        <v>61</v>
      </c>
      <c r="B443" s="96" t="s">
        <v>83</v>
      </c>
      <c r="C443" s="98" t="s">
        <v>744</v>
      </c>
      <c r="D443" s="96" t="s">
        <v>64</v>
      </c>
      <c r="E443" s="147" t="s">
        <v>745</v>
      </c>
      <c r="F443" s="129" t="s">
        <v>746</v>
      </c>
      <c r="G443" s="151" t="s">
        <v>67</v>
      </c>
      <c r="H443" s="19" t="s">
        <v>747</v>
      </c>
      <c r="I443" s="23" t="e">
        <f>VLOOKUP(H443,'合同综合查询数据（3月返）'!$A:$A,1,FALSE)</f>
        <v>#N/A</v>
      </c>
      <c r="J443" s="152" t="s">
        <v>69</v>
      </c>
      <c r="K443" s="109" t="s">
        <v>758</v>
      </c>
      <c r="L443" s="153"/>
      <c r="M443" s="26"/>
      <c r="N443" s="154">
        <v>44917</v>
      </c>
      <c r="O443" s="28" t="s">
        <v>71</v>
      </c>
      <c r="P443" s="131">
        <v>250</v>
      </c>
      <c r="Q443" s="107">
        <v>-1</v>
      </c>
      <c r="R443" s="120">
        <f t="shared" si="16"/>
        <v>-250</v>
      </c>
      <c r="S443" s="117">
        <v>202303</v>
      </c>
      <c r="T443" s="157" t="s">
        <v>760</v>
      </c>
      <c r="U443" s="157"/>
      <c r="V443" s="133"/>
      <c r="W443" s="133"/>
      <c r="X443" s="118">
        <v>44682</v>
      </c>
      <c r="Y443" s="118">
        <v>45046</v>
      </c>
    </row>
    <row r="444" s="79" customFormat="1" customHeight="1" spans="1:25">
      <c r="A444" s="98" t="s">
        <v>61</v>
      </c>
      <c r="B444" s="96" t="s">
        <v>83</v>
      </c>
      <c r="C444" s="98" t="s">
        <v>744</v>
      </c>
      <c r="D444" s="96" t="s">
        <v>64</v>
      </c>
      <c r="E444" s="147" t="s">
        <v>745</v>
      </c>
      <c r="F444" s="129" t="s">
        <v>746</v>
      </c>
      <c r="G444" s="151" t="s">
        <v>67</v>
      </c>
      <c r="H444" s="19" t="s">
        <v>747</v>
      </c>
      <c r="I444" s="23" t="e">
        <f>VLOOKUP(H444,'合同综合查询数据（3月返）'!$A:$A,1,FALSE)</f>
        <v>#N/A</v>
      </c>
      <c r="J444" s="152" t="s">
        <v>69</v>
      </c>
      <c r="K444" s="109" t="s">
        <v>761</v>
      </c>
      <c r="L444" s="153"/>
      <c r="M444" s="26"/>
      <c r="N444" s="154">
        <v>44741</v>
      </c>
      <c r="O444" s="28" t="s">
        <v>71</v>
      </c>
      <c r="P444" s="131">
        <v>250</v>
      </c>
      <c r="Q444" s="107">
        <v>1</v>
      </c>
      <c r="R444" s="120">
        <f t="shared" si="16"/>
        <v>250</v>
      </c>
      <c r="S444" s="117">
        <v>202303</v>
      </c>
      <c r="T444" s="157" t="s">
        <v>762</v>
      </c>
      <c r="U444" s="157"/>
      <c r="V444" s="133"/>
      <c r="W444" s="133"/>
      <c r="X444" s="118">
        <v>44682</v>
      </c>
      <c r="Y444" s="118">
        <v>45046</v>
      </c>
    </row>
    <row r="445" s="79" customFormat="1" customHeight="1" spans="1:25">
      <c r="A445" s="98" t="s">
        <v>61</v>
      </c>
      <c r="B445" s="96" t="s">
        <v>83</v>
      </c>
      <c r="C445" s="98" t="s">
        <v>744</v>
      </c>
      <c r="D445" s="96" t="s">
        <v>64</v>
      </c>
      <c r="E445" s="147" t="s">
        <v>745</v>
      </c>
      <c r="F445" s="129" t="s">
        <v>746</v>
      </c>
      <c r="G445" s="151" t="s">
        <v>67</v>
      </c>
      <c r="H445" s="19" t="s">
        <v>747</v>
      </c>
      <c r="I445" s="23" t="e">
        <f>VLOOKUP(H445,'合同综合查询数据（3月返）'!$A:$A,1,FALSE)</f>
        <v>#N/A</v>
      </c>
      <c r="J445" s="152" t="s">
        <v>69</v>
      </c>
      <c r="K445" s="109" t="s">
        <v>763</v>
      </c>
      <c r="L445" s="153"/>
      <c r="M445" s="26"/>
      <c r="N445" s="154">
        <v>44768</v>
      </c>
      <c r="O445" s="28" t="s">
        <v>71</v>
      </c>
      <c r="P445" s="131">
        <v>250</v>
      </c>
      <c r="Q445" s="107">
        <v>1</v>
      </c>
      <c r="R445" s="120">
        <f t="shared" si="16"/>
        <v>250</v>
      </c>
      <c r="S445" s="117">
        <v>202303</v>
      </c>
      <c r="T445" s="157" t="s">
        <v>764</v>
      </c>
      <c r="U445" s="157"/>
      <c r="V445" s="133"/>
      <c r="W445" s="133"/>
      <c r="X445" s="118">
        <v>44682</v>
      </c>
      <c r="Y445" s="118">
        <v>45046</v>
      </c>
    </row>
    <row r="446" s="79" customFormat="1" customHeight="1" spans="1:25">
      <c r="A446" s="98" t="s">
        <v>61</v>
      </c>
      <c r="B446" s="98" t="s">
        <v>62</v>
      </c>
      <c r="C446" s="98" t="s">
        <v>217</v>
      </c>
      <c r="D446" s="96" t="s">
        <v>64</v>
      </c>
      <c r="E446" s="147" t="s">
        <v>765</v>
      </c>
      <c r="F446" s="129" t="s">
        <v>766</v>
      </c>
      <c r="G446" s="151" t="s">
        <v>88</v>
      </c>
      <c r="H446" s="19" t="s">
        <v>767</v>
      </c>
      <c r="I446" s="23" t="e">
        <f>VLOOKUP(H446,'合同综合查询数据（3月返）'!$A:$A,1,FALSE)</f>
        <v>#N/A</v>
      </c>
      <c r="J446" s="152" t="s">
        <v>90</v>
      </c>
      <c r="K446" s="109" t="s">
        <v>768</v>
      </c>
      <c r="L446" s="153"/>
      <c r="M446" s="26" t="s">
        <v>769</v>
      </c>
      <c r="N446" s="154">
        <v>44409</v>
      </c>
      <c r="O446" s="28" t="s">
        <v>457</v>
      </c>
      <c r="P446" s="131">
        <v>4900</v>
      </c>
      <c r="Q446" s="156">
        <v>4</v>
      </c>
      <c r="R446" s="120">
        <f t="shared" si="16"/>
        <v>19600</v>
      </c>
      <c r="S446" s="117">
        <v>202303</v>
      </c>
      <c r="T446" s="157" t="s">
        <v>770</v>
      </c>
      <c r="U446" s="157"/>
      <c r="V446" s="133"/>
      <c r="W446" s="133"/>
      <c r="X446" s="118">
        <v>44409</v>
      </c>
      <c r="Y446" s="118">
        <v>45138</v>
      </c>
    </row>
    <row r="447" s="79" customFormat="1" customHeight="1" spans="1:25">
      <c r="A447" s="98" t="s">
        <v>61</v>
      </c>
      <c r="B447" s="98" t="s">
        <v>62</v>
      </c>
      <c r="C447" s="98" t="s">
        <v>217</v>
      </c>
      <c r="D447" s="96" t="s">
        <v>64</v>
      </c>
      <c r="E447" s="147" t="s">
        <v>771</v>
      </c>
      <c r="F447" s="129" t="s">
        <v>772</v>
      </c>
      <c r="G447" s="151" t="s">
        <v>88</v>
      </c>
      <c r="H447" s="19" t="s">
        <v>773</v>
      </c>
      <c r="I447" s="23" t="e">
        <f>VLOOKUP(H447,'合同综合查询数据（3月返）'!$A:$A,1,FALSE)</f>
        <v>#N/A</v>
      </c>
      <c r="J447" s="152" t="s">
        <v>774</v>
      </c>
      <c r="K447" s="109" t="s">
        <v>775</v>
      </c>
      <c r="L447" s="153"/>
      <c r="M447" s="26" t="s">
        <v>776</v>
      </c>
      <c r="N447" s="154">
        <v>43210</v>
      </c>
      <c r="O447" s="28" t="s">
        <v>457</v>
      </c>
      <c r="P447" s="131">
        <v>5216.57</v>
      </c>
      <c r="Q447" s="156">
        <v>53</v>
      </c>
      <c r="R447" s="120">
        <f t="shared" si="16"/>
        <v>276478.21</v>
      </c>
      <c r="S447" s="117">
        <v>202303</v>
      </c>
      <c r="T447" s="157"/>
      <c r="U447" s="157"/>
      <c r="V447" s="133"/>
      <c r="W447" s="133"/>
      <c r="X447" s="118">
        <v>43647</v>
      </c>
      <c r="Y447" s="118">
        <v>45229</v>
      </c>
    </row>
    <row r="448" s="79" customFormat="1" customHeight="1" spans="1:25">
      <c r="A448" s="98" t="s">
        <v>61</v>
      </c>
      <c r="B448" s="98" t="s">
        <v>62</v>
      </c>
      <c r="C448" s="98" t="s">
        <v>217</v>
      </c>
      <c r="D448" s="96" t="s">
        <v>64</v>
      </c>
      <c r="E448" s="147" t="s">
        <v>771</v>
      </c>
      <c r="F448" s="129" t="s">
        <v>772</v>
      </c>
      <c r="G448" s="151" t="s">
        <v>88</v>
      </c>
      <c r="H448" s="19" t="s">
        <v>773</v>
      </c>
      <c r="I448" s="23" t="e">
        <f>VLOOKUP(H448,'合同综合查询数据（3月返）'!$A:$A,1,FALSE)</f>
        <v>#N/A</v>
      </c>
      <c r="J448" s="152" t="s">
        <v>777</v>
      </c>
      <c r="K448" s="109" t="s">
        <v>775</v>
      </c>
      <c r="L448" s="153"/>
      <c r="M448" s="26" t="s">
        <v>776</v>
      </c>
      <c r="N448" s="154">
        <v>43210</v>
      </c>
      <c r="O448" s="28" t="s">
        <v>519</v>
      </c>
      <c r="P448" s="131">
        <v>15649.71</v>
      </c>
      <c r="Q448" s="156">
        <v>12</v>
      </c>
      <c r="R448" s="120">
        <f t="shared" si="16"/>
        <v>187796.52</v>
      </c>
      <c r="S448" s="117">
        <v>202303</v>
      </c>
      <c r="T448" s="157" t="s">
        <v>778</v>
      </c>
      <c r="U448" s="157"/>
      <c r="V448" s="133"/>
      <c r="W448" s="133"/>
      <c r="X448" s="118">
        <v>43647</v>
      </c>
      <c r="Y448" s="118">
        <v>45229</v>
      </c>
    </row>
    <row r="449" s="79" customFormat="1" customHeight="1" spans="1:25">
      <c r="A449" s="98" t="s">
        <v>61</v>
      </c>
      <c r="B449" s="98" t="s">
        <v>62</v>
      </c>
      <c r="C449" s="98" t="s">
        <v>217</v>
      </c>
      <c r="D449" s="96" t="s">
        <v>64</v>
      </c>
      <c r="E449" s="147" t="s">
        <v>771</v>
      </c>
      <c r="F449" s="129" t="s">
        <v>772</v>
      </c>
      <c r="G449" s="151" t="s">
        <v>88</v>
      </c>
      <c r="H449" s="19" t="s">
        <v>773</v>
      </c>
      <c r="I449" s="23" t="e">
        <f>VLOOKUP(H449,'合同综合查询数据（3月返）'!$A:$A,1,FALSE)</f>
        <v>#N/A</v>
      </c>
      <c r="J449" s="152" t="s">
        <v>779</v>
      </c>
      <c r="K449" s="109" t="s">
        <v>775</v>
      </c>
      <c r="L449" s="153"/>
      <c r="M449" s="26" t="s">
        <v>776</v>
      </c>
      <c r="N449" s="154">
        <v>43210</v>
      </c>
      <c r="O449" s="28" t="s">
        <v>780</v>
      </c>
      <c r="P449" s="131">
        <v>10433.14</v>
      </c>
      <c r="Q449" s="156">
        <v>4</v>
      </c>
      <c r="R449" s="120">
        <f t="shared" si="16"/>
        <v>41732.56</v>
      </c>
      <c r="S449" s="117">
        <v>202303</v>
      </c>
      <c r="T449" s="157"/>
      <c r="U449" s="157"/>
      <c r="V449" s="133"/>
      <c r="W449" s="133"/>
      <c r="X449" s="118">
        <v>43647</v>
      </c>
      <c r="Y449" s="118">
        <v>45229</v>
      </c>
    </row>
    <row r="450" s="79" customFormat="1" customHeight="1" spans="1:25">
      <c r="A450" s="98" t="s">
        <v>61</v>
      </c>
      <c r="B450" s="98" t="s">
        <v>62</v>
      </c>
      <c r="C450" s="98" t="s">
        <v>217</v>
      </c>
      <c r="D450" s="96" t="s">
        <v>64</v>
      </c>
      <c r="E450" s="147" t="s">
        <v>771</v>
      </c>
      <c r="F450" s="129" t="s">
        <v>772</v>
      </c>
      <c r="G450" s="151" t="s">
        <v>88</v>
      </c>
      <c r="H450" s="19" t="s">
        <v>773</v>
      </c>
      <c r="I450" s="23" t="e">
        <f>VLOOKUP(H450,'合同综合查询数据（3月返）'!$A:$A,1,FALSE)</f>
        <v>#N/A</v>
      </c>
      <c r="J450" s="152" t="s">
        <v>781</v>
      </c>
      <c r="K450" s="109" t="s">
        <v>775</v>
      </c>
      <c r="L450" s="153"/>
      <c r="M450" s="26" t="s">
        <v>776</v>
      </c>
      <c r="N450" s="154">
        <v>43217</v>
      </c>
      <c r="O450" s="28" t="s">
        <v>457</v>
      </c>
      <c r="P450" s="131">
        <v>5216.57</v>
      </c>
      <c r="Q450" s="156">
        <v>1</v>
      </c>
      <c r="R450" s="120">
        <f t="shared" si="16"/>
        <v>5216.57</v>
      </c>
      <c r="S450" s="117">
        <v>202303</v>
      </c>
      <c r="T450" s="157"/>
      <c r="U450" s="157"/>
      <c r="V450" s="133"/>
      <c r="W450" s="133"/>
      <c r="X450" s="118">
        <v>43647</v>
      </c>
      <c r="Y450" s="118">
        <v>45229</v>
      </c>
    </row>
    <row r="451" s="79" customFormat="1" customHeight="1" spans="1:25">
      <c r="A451" s="98" t="s">
        <v>61</v>
      </c>
      <c r="B451" s="98" t="s">
        <v>62</v>
      </c>
      <c r="C451" s="98" t="s">
        <v>217</v>
      </c>
      <c r="D451" s="96" t="s">
        <v>64</v>
      </c>
      <c r="E451" s="147" t="s">
        <v>771</v>
      </c>
      <c r="F451" s="129" t="s">
        <v>772</v>
      </c>
      <c r="G451" s="151" t="s">
        <v>88</v>
      </c>
      <c r="H451" s="19" t="s">
        <v>773</v>
      </c>
      <c r="I451" s="23" t="e">
        <f>VLOOKUP(H451,'合同综合查询数据（3月返）'!$A:$A,1,FALSE)</f>
        <v>#N/A</v>
      </c>
      <c r="J451" s="152" t="s">
        <v>781</v>
      </c>
      <c r="K451" s="109" t="s">
        <v>775</v>
      </c>
      <c r="L451" s="153"/>
      <c r="M451" s="26" t="s">
        <v>776</v>
      </c>
      <c r="N451" s="154">
        <v>43231</v>
      </c>
      <c r="O451" s="28" t="s">
        <v>457</v>
      </c>
      <c r="P451" s="131">
        <v>5216.57</v>
      </c>
      <c r="Q451" s="156">
        <v>12</v>
      </c>
      <c r="R451" s="120">
        <f t="shared" si="16"/>
        <v>62598.84</v>
      </c>
      <c r="S451" s="117">
        <v>202303</v>
      </c>
      <c r="T451" s="157"/>
      <c r="U451" s="157"/>
      <c r="V451" s="133"/>
      <c r="W451" s="133"/>
      <c r="X451" s="118">
        <v>43647</v>
      </c>
      <c r="Y451" s="118">
        <v>45229</v>
      </c>
    </row>
    <row r="452" s="79" customFormat="1" customHeight="1" spans="1:25">
      <c r="A452" s="98" t="s">
        <v>61</v>
      </c>
      <c r="B452" s="98" t="s">
        <v>62</v>
      </c>
      <c r="C452" s="98" t="s">
        <v>217</v>
      </c>
      <c r="D452" s="96" t="s">
        <v>64</v>
      </c>
      <c r="E452" s="147" t="s">
        <v>771</v>
      </c>
      <c r="F452" s="129" t="s">
        <v>772</v>
      </c>
      <c r="G452" s="151" t="s">
        <v>88</v>
      </c>
      <c r="H452" s="19" t="s">
        <v>773</v>
      </c>
      <c r="I452" s="23" t="e">
        <f>VLOOKUP(H452,'合同综合查询数据（3月返）'!$A:$A,1,FALSE)</f>
        <v>#N/A</v>
      </c>
      <c r="J452" s="152" t="s">
        <v>781</v>
      </c>
      <c r="K452" s="109" t="s">
        <v>775</v>
      </c>
      <c r="L452" s="153"/>
      <c r="M452" s="26" t="s">
        <v>776</v>
      </c>
      <c r="N452" s="154">
        <v>43234</v>
      </c>
      <c r="O452" s="28" t="s">
        <v>457</v>
      </c>
      <c r="P452" s="131">
        <v>5216.57</v>
      </c>
      <c r="Q452" s="156">
        <v>17</v>
      </c>
      <c r="R452" s="120">
        <f t="shared" si="16"/>
        <v>88681.69</v>
      </c>
      <c r="S452" s="117">
        <v>202303</v>
      </c>
      <c r="T452" s="157"/>
      <c r="U452" s="157"/>
      <c r="V452" s="133"/>
      <c r="W452" s="133"/>
      <c r="X452" s="118">
        <v>43647</v>
      </c>
      <c r="Y452" s="118">
        <v>45229</v>
      </c>
    </row>
    <row r="453" s="79" customFormat="1" customHeight="1" spans="1:25">
      <c r="A453" s="98" t="s">
        <v>61</v>
      </c>
      <c r="B453" s="98" t="s">
        <v>62</v>
      </c>
      <c r="C453" s="98" t="s">
        <v>217</v>
      </c>
      <c r="D453" s="96" t="s">
        <v>64</v>
      </c>
      <c r="E453" s="147" t="s">
        <v>771</v>
      </c>
      <c r="F453" s="129" t="s">
        <v>772</v>
      </c>
      <c r="G453" s="151" t="s">
        <v>88</v>
      </c>
      <c r="H453" s="19" t="s">
        <v>773</v>
      </c>
      <c r="I453" s="23" t="e">
        <f>VLOOKUP(H453,'合同综合查询数据（3月返）'!$A:$A,1,FALSE)</f>
        <v>#N/A</v>
      </c>
      <c r="J453" s="152" t="s">
        <v>781</v>
      </c>
      <c r="K453" s="109" t="s">
        <v>775</v>
      </c>
      <c r="L453" s="153"/>
      <c r="M453" s="26" t="s">
        <v>776</v>
      </c>
      <c r="N453" s="154">
        <v>43235</v>
      </c>
      <c r="O453" s="28" t="s">
        <v>457</v>
      </c>
      <c r="P453" s="131">
        <v>5216.57</v>
      </c>
      <c r="Q453" s="156">
        <v>1</v>
      </c>
      <c r="R453" s="120">
        <f t="shared" si="16"/>
        <v>5216.57</v>
      </c>
      <c r="S453" s="117">
        <v>202303</v>
      </c>
      <c r="T453" s="157"/>
      <c r="U453" s="157"/>
      <c r="V453" s="133"/>
      <c r="W453" s="133"/>
      <c r="X453" s="118">
        <v>43647</v>
      </c>
      <c r="Y453" s="118">
        <v>45229</v>
      </c>
    </row>
    <row r="454" s="79" customFormat="1" customHeight="1" spans="1:25">
      <c r="A454" s="98" t="s">
        <v>61</v>
      </c>
      <c r="B454" s="98" t="s">
        <v>62</v>
      </c>
      <c r="C454" s="98" t="s">
        <v>217</v>
      </c>
      <c r="D454" s="96" t="s">
        <v>64</v>
      </c>
      <c r="E454" s="147" t="s">
        <v>771</v>
      </c>
      <c r="F454" s="129" t="s">
        <v>772</v>
      </c>
      <c r="G454" s="151" t="s">
        <v>88</v>
      </c>
      <c r="H454" s="19" t="s">
        <v>773</v>
      </c>
      <c r="I454" s="23" t="e">
        <f>VLOOKUP(H454,'合同综合查询数据（3月返）'!$A:$A,1,FALSE)</f>
        <v>#N/A</v>
      </c>
      <c r="J454" s="152" t="s">
        <v>781</v>
      </c>
      <c r="K454" s="109" t="s">
        <v>775</v>
      </c>
      <c r="L454" s="153"/>
      <c r="M454" s="26" t="s">
        <v>776</v>
      </c>
      <c r="N454" s="154">
        <v>43238</v>
      </c>
      <c r="O454" s="28" t="s">
        <v>457</v>
      </c>
      <c r="P454" s="131">
        <v>5216.57</v>
      </c>
      <c r="Q454" s="156">
        <v>27</v>
      </c>
      <c r="R454" s="120">
        <f t="shared" si="16"/>
        <v>140847.39</v>
      </c>
      <c r="S454" s="117">
        <v>202303</v>
      </c>
      <c r="T454" s="157"/>
      <c r="U454" s="157"/>
      <c r="V454" s="133"/>
      <c r="W454" s="133"/>
      <c r="X454" s="118">
        <v>43647</v>
      </c>
      <c r="Y454" s="118">
        <v>45229</v>
      </c>
    </row>
    <row r="455" s="79" customFormat="1" customHeight="1" spans="1:25">
      <c r="A455" s="98" t="s">
        <v>61</v>
      </c>
      <c r="B455" s="98" t="s">
        <v>62</v>
      </c>
      <c r="C455" s="98" t="s">
        <v>217</v>
      </c>
      <c r="D455" s="96" t="s">
        <v>64</v>
      </c>
      <c r="E455" s="147" t="s">
        <v>771</v>
      </c>
      <c r="F455" s="129" t="s">
        <v>772</v>
      </c>
      <c r="G455" s="151" t="s">
        <v>88</v>
      </c>
      <c r="H455" s="19" t="s">
        <v>773</v>
      </c>
      <c r="I455" s="23" t="e">
        <f>VLOOKUP(H455,'合同综合查询数据（3月返）'!$A:$A,1,FALSE)</f>
        <v>#N/A</v>
      </c>
      <c r="J455" s="152" t="s">
        <v>781</v>
      </c>
      <c r="K455" s="109" t="s">
        <v>775</v>
      </c>
      <c r="L455" s="153"/>
      <c r="M455" s="26" t="s">
        <v>776</v>
      </c>
      <c r="N455" s="154">
        <v>43241</v>
      </c>
      <c r="O455" s="28" t="s">
        <v>457</v>
      </c>
      <c r="P455" s="131">
        <v>5216.57</v>
      </c>
      <c r="Q455" s="156">
        <v>2</v>
      </c>
      <c r="R455" s="120">
        <f t="shared" si="16"/>
        <v>10433.14</v>
      </c>
      <c r="S455" s="117">
        <v>202303</v>
      </c>
      <c r="T455" s="157"/>
      <c r="U455" s="157"/>
      <c r="V455" s="133"/>
      <c r="W455" s="133"/>
      <c r="X455" s="118">
        <v>43647</v>
      </c>
      <c r="Y455" s="118">
        <v>45229</v>
      </c>
    </row>
    <row r="456" s="79" customFormat="1" customHeight="1" spans="1:25">
      <c r="A456" s="98" t="s">
        <v>61</v>
      </c>
      <c r="B456" s="98" t="s">
        <v>62</v>
      </c>
      <c r="C456" s="98" t="s">
        <v>217</v>
      </c>
      <c r="D456" s="96" t="s">
        <v>64</v>
      </c>
      <c r="E456" s="147" t="s">
        <v>771</v>
      </c>
      <c r="F456" s="129" t="s">
        <v>772</v>
      </c>
      <c r="G456" s="151" t="s">
        <v>88</v>
      </c>
      <c r="H456" s="19" t="s">
        <v>773</v>
      </c>
      <c r="I456" s="23" t="e">
        <f>VLOOKUP(H456,'合同综合查询数据（3月返）'!$A:$A,1,FALSE)</f>
        <v>#N/A</v>
      </c>
      <c r="J456" s="152" t="s">
        <v>781</v>
      </c>
      <c r="K456" s="109" t="s">
        <v>775</v>
      </c>
      <c r="L456" s="153"/>
      <c r="M456" s="26" t="s">
        <v>776</v>
      </c>
      <c r="N456" s="154">
        <v>43242</v>
      </c>
      <c r="O456" s="28" t="s">
        <v>457</v>
      </c>
      <c r="P456" s="131">
        <v>5216.57</v>
      </c>
      <c r="Q456" s="156">
        <v>2</v>
      </c>
      <c r="R456" s="120">
        <f t="shared" si="16"/>
        <v>10433.14</v>
      </c>
      <c r="S456" s="117">
        <v>202303</v>
      </c>
      <c r="T456" s="157"/>
      <c r="U456" s="157"/>
      <c r="V456" s="133"/>
      <c r="W456" s="133"/>
      <c r="X456" s="118">
        <v>43647</v>
      </c>
      <c r="Y456" s="118">
        <v>45229</v>
      </c>
    </row>
    <row r="457" s="79" customFormat="1" customHeight="1" spans="1:25">
      <c r="A457" s="98" t="s">
        <v>61</v>
      </c>
      <c r="B457" s="98" t="s">
        <v>62</v>
      </c>
      <c r="C457" s="98" t="s">
        <v>217</v>
      </c>
      <c r="D457" s="96" t="s">
        <v>64</v>
      </c>
      <c r="E457" s="147" t="s">
        <v>771</v>
      </c>
      <c r="F457" s="129" t="s">
        <v>772</v>
      </c>
      <c r="G457" s="151" t="s">
        <v>88</v>
      </c>
      <c r="H457" s="19" t="s">
        <v>773</v>
      </c>
      <c r="I457" s="23" t="e">
        <f>VLOOKUP(H457,'合同综合查询数据（3月返）'!$A:$A,1,FALSE)</f>
        <v>#N/A</v>
      </c>
      <c r="J457" s="152" t="s">
        <v>781</v>
      </c>
      <c r="K457" s="109" t="s">
        <v>775</v>
      </c>
      <c r="L457" s="153"/>
      <c r="M457" s="26" t="s">
        <v>776</v>
      </c>
      <c r="N457" s="154">
        <v>43244</v>
      </c>
      <c r="O457" s="28" t="s">
        <v>457</v>
      </c>
      <c r="P457" s="131">
        <v>5216.57</v>
      </c>
      <c r="Q457" s="156">
        <v>7</v>
      </c>
      <c r="R457" s="120">
        <f t="shared" si="16"/>
        <v>36515.99</v>
      </c>
      <c r="S457" s="117">
        <v>202303</v>
      </c>
      <c r="T457" s="157"/>
      <c r="U457" s="157"/>
      <c r="V457" s="133"/>
      <c r="W457" s="133"/>
      <c r="X457" s="118">
        <v>43647</v>
      </c>
      <c r="Y457" s="118">
        <v>45229</v>
      </c>
    </row>
    <row r="458" s="79" customFormat="1" customHeight="1" spans="1:25">
      <c r="A458" s="98" t="s">
        <v>61</v>
      </c>
      <c r="B458" s="98" t="s">
        <v>62</v>
      </c>
      <c r="C458" s="98" t="s">
        <v>217</v>
      </c>
      <c r="D458" s="96" t="s">
        <v>64</v>
      </c>
      <c r="E458" s="147" t="s">
        <v>771</v>
      </c>
      <c r="F458" s="129" t="s">
        <v>772</v>
      </c>
      <c r="G458" s="151" t="s">
        <v>88</v>
      </c>
      <c r="H458" s="19" t="s">
        <v>773</v>
      </c>
      <c r="I458" s="23" t="e">
        <f>VLOOKUP(H458,'合同综合查询数据（3月返）'!$A:$A,1,FALSE)</f>
        <v>#N/A</v>
      </c>
      <c r="J458" s="152" t="s">
        <v>781</v>
      </c>
      <c r="K458" s="109" t="s">
        <v>775</v>
      </c>
      <c r="L458" s="153"/>
      <c r="M458" s="26" t="s">
        <v>776</v>
      </c>
      <c r="N458" s="154">
        <v>43252</v>
      </c>
      <c r="O458" s="28" t="s">
        <v>457</v>
      </c>
      <c r="P458" s="131">
        <v>5216.57</v>
      </c>
      <c r="Q458" s="156">
        <v>4</v>
      </c>
      <c r="R458" s="120">
        <f t="shared" si="16"/>
        <v>20866.28</v>
      </c>
      <c r="S458" s="117">
        <v>202303</v>
      </c>
      <c r="T458" s="157"/>
      <c r="U458" s="157"/>
      <c r="V458" s="133"/>
      <c r="W458" s="133"/>
      <c r="X458" s="118">
        <v>43647</v>
      </c>
      <c r="Y458" s="118">
        <v>45229</v>
      </c>
    </row>
    <row r="459" s="79" customFormat="1" customHeight="1" spans="1:25">
      <c r="A459" s="98" t="s">
        <v>61</v>
      </c>
      <c r="B459" s="98" t="s">
        <v>62</v>
      </c>
      <c r="C459" s="98" t="s">
        <v>217</v>
      </c>
      <c r="D459" s="96" t="s">
        <v>64</v>
      </c>
      <c r="E459" s="147" t="s">
        <v>771</v>
      </c>
      <c r="F459" s="129" t="s">
        <v>772</v>
      </c>
      <c r="G459" s="151" t="s">
        <v>88</v>
      </c>
      <c r="H459" s="19" t="s">
        <v>773</v>
      </c>
      <c r="I459" s="23" t="e">
        <f>VLOOKUP(H459,'合同综合查询数据（3月返）'!$A:$A,1,FALSE)</f>
        <v>#N/A</v>
      </c>
      <c r="J459" s="152" t="s">
        <v>781</v>
      </c>
      <c r="K459" s="109" t="s">
        <v>775</v>
      </c>
      <c r="L459" s="153"/>
      <c r="M459" s="26" t="s">
        <v>776</v>
      </c>
      <c r="N459" s="154">
        <v>43256</v>
      </c>
      <c r="O459" s="28" t="s">
        <v>457</v>
      </c>
      <c r="P459" s="131">
        <v>5216.57</v>
      </c>
      <c r="Q459" s="156">
        <v>11</v>
      </c>
      <c r="R459" s="120">
        <f t="shared" si="16"/>
        <v>57382.27</v>
      </c>
      <c r="S459" s="117">
        <v>202303</v>
      </c>
      <c r="T459" s="157"/>
      <c r="U459" s="157"/>
      <c r="V459" s="133"/>
      <c r="W459" s="133"/>
      <c r="X459" s="118">
        <v>43647</v>
      </c>
      <c r="Y459" s="118">
        <v>45229</v>
      </c>
    </row>
    <row r="460" s="79" customFormat="1" customHeight="1" spans="1:25">
      <c r="A460" s="98" t="s">
        <v>61</v>
      </c>
      <c r="B460" s="98" t="s">
        <v>62</v>
      </c>
      <c r="C460" s="98" t="s">
        <v>217</v>
      </c>
      <c r="D460" s="96" t="s">
        <v>64</v>
      </c>
      <c r="E460" s="147" t="s">
        <v>771</v>
      </c>
      <c r="F460" s="129" t="s">
        <v>772</v>
      </c>
      <c r="G460" s="151" t="s">
        <v>88</v>
      </c>
      <c r="H460" s="19" t="s">
        <v>773</v>
      </c>
      <c r="I460" s="23" t="e">
        <f>VLOOKUP(H460,'合同综合查询数据（3月返）'!$A:$A,1,FALSE)</f>
        <v>#N/A</v>
      </c>
      <c r="J460" s="152" t="s">
        <v>781</v>
      </c>
      <c r="K460" s="109" t="s">
        <v>775</v>
      </c>
      <c r="L460" s="153"/>
      <c r="M460" s="26" t="s">
        <v>776</v>
      </c>
      <c r="N460" s="154">
        <v>43272</v>
      </c>
      <c r="O460" s="28" t="s">
        <v>457</v>
      </c>
      <c r="P460" s="131">
        <v>5216.57</v>
      </c>
      <c r="Q460" s="156">
        <v>5</v>
      </c>
      <c r="R460" s="120">
        <f t="shared" si="16"/>
        <v>26082.85</v>
      </c>
      <c r="S460" s="117">
        <v>202303</v>
      </c>
      <c r="T460" s="157"/>
      <c r="U460" s="157"/>
      <c r="V460" s="133"/>
      <c r="W460" s="133"/>
      <c r="X460" s="118">
        <v>43647</v>
      </c>
      <c r="Y460" s="118">
        <v>45229</v>
      </c>
    </row>
    <row r="461" s="79" customFormat="1" customHeight="1" spans="1:25">
      <c r="A461" s="98" t="s">
        <v>61</v>
      </c>
      <c r="B461" s="98" t="s">
        <v>62</v>
      </c>
      <c r="C461" s="98" t="s">
        <v>217</v>
      </c>
      <c r="D461" s="96" t="s">
        <v>64</v>
      </c>
      <c r="E461" s="147" t="s">
        <v>771</v>
      </c>
      <c r="F461" s="129" t="s">
        <v>772</v>
      </c>
      <c r="G461" s="151" t="s">
        <v>88</v>
      </c>
      <c r="H461" s="19" t="s">
        <v>773</v>
      </c>
      <c r="I461" s="23" t="e">
        <f>VLOOKUP(H461,'合同综合查询数据（3月返）'!$A:$A,1,FALSE)</f>
        <v>#N/A</v>
      </c>
      <c r="J461" s="152" t="s">
        <v>781</v>
      </c>
      <c r="K461" s="109" t="s">
        <v>775</v>
      </c>
      <c r="L461" s="153"/>
      <c r="M461" s="26" t="s">
        <v>776</v>
      </c>
      <c r="N461" s="154">
        <v>43284</v>
      </c>
      <c r="O461" s="28" t="s">
        <v>457</v>
      </c>
      <c r="P461" s="131">
        <v>5216.57</v>
      </c>
      <c r="Q461" s="156">
        <v>2</v>
      </c>
      <c r="R461" s="120">
        <f t="shared" si="16"/>
        <v>10433.14</v>
      </c>
      <c r="S461" s="117">
        <v>202303</v>
      </c>
      <c r="T461" s="157"/>
      <c r="U461" s="157"/>
      <c r="V461" s="133"/>
      <c r="W461" s="133"/>
      <c r="X461" s="118">
        <v>43647</v>
      </c>
      <c r="Y461" s="118">
        <v>45229</v>
      </c>
    </row>
    <row r="462" s="79" customFormat="1" customHeight="1" spans="1:25">
      <c r="A462" s="98" t="s">
        <v>61</v>
      </c>
      <c r="B462" s="98" t="s">
        <v>62</v>
      </c>
      <c r="C462" s="98" t="s">
        <v>217</v>
      </c>
      <c r="D462" s="96" t="s">
        <v>64</v>
      </c>
      <c r="E462" s="147" t="s">
        <v>771</v>
      </c>
      <c r="F462" s="129" t="s">
        <v>772</v>
      </c>
      <c r="G462" s="151" t="s">
        <v>88</v>
      </c>
      <c r="H462" s="19" t="s">
        <v>773</v>
      </c>
      <c r="I462" s="23" t="e">
        <f>VLOOKUP(H462,'合同综合查询数据（3月返）'!$A:$A,1,FALSE)</f>
        <v>#N/A</v>
      </c>
      <c r="J462" s="152" t="s">
        <v>781</v>
      </c>
      <c r="K462" s="109" t="s">
        <v>775</v>
      </c>
      <c r="L462" s="153"/>
      <c r="M462" s="26" t="s">
        <v>776</v>
      </c>
      <c r="N462" s="154">
        <v>43292</v>
      </c>
      <c r="O462" s="28" t="s">
        <v>457</v>
      </c>
      <c r="P462" s="131">
        <v>5216.57</v>
      </c>
      <c r="Q462" s="156">
        <v>1</v>
      </c>
      <c r="R462" s="120">
        <f t="shared" ref="R462:R493" si="17">ROUND(P462*Q462,2)</f>
        <v>5216.57</v>
      </c>
      <c r="S462" s="117">
        <v>202303</v>
      </c>
      <c r="T462" s="157"/>
      <c r="U462" s="157"/>
      <c r="V462" s="133"/>
      <c r="W462" s="133"/>
      <c r="X462" s="118">
        <v>43647</v>
      </c>
      <c r="Y462" s="118">
        <v>45229</v>
      </c>
    </row>
    <row r="463" s="79" customFormat="1" customHeight="1" spans="1:25">
      <c r="A463" s="98" t="s">
        <v>61</v>
      </c>
      <c r="B463" s="98" t="s">
        <v>62</v>
      </c>
      <c r="C463" s="98" t="s">
        <v>217</v>
      </c>
      <c r="D463" s="96" t="s">
        <v>64</v>
      </c>
      <c r="E463" s="147" t="s">
        <v>771</v>
      </c>
      <c r="F463" s="129" t="s">
        <v>772</v>
      </c>
      <c r="G463" s="151" t="s">
        <v>88</v>
      </c>
      <c r="H463" s="19" t="s">
        <v>773</v>
      </c>
      <c r="I463" s="23" t="e">
        <f>VLOOKUP(H463,'合同综合查询数据（3月返）'!$A:$A,1,FALSE)</f>
        <v>#N/A</v>
      </c>
      <c r="J463" s="152" t="s">
        <v>781</v>
      </c>
      <c r="K463" s="109" t="s">
        <v>775</v>
      </c>
      <c r="L463" s="153"/>
      <c r="M463" s="26" t="s">
        <v>776</v>
      </c>
      <c r="N463" s="154">
        <v>43293</v>
      </c>
      <c r="O463" s="28" t="s">
        <v>457</v>
      </c>
      <c r="P463" s="131">
        <v>5216.57</v>
      </c>
      <c r="Q463" s="156">
        <v>8</v>
      </c>
      <c r="R463" s="120">
        <f t="shared" si="17"/>
        <v>41732.56</v>
      </c>
      <c r="S463" s="117">
        <v>202303</v>
      </c>
      <c r="T463" s="157"/>
      <c r="U463" s="157"/>
      <c r="V463" s="133"/>
      <c r="W463" s="133"/>
      <c r="X463" s="118">
        <v>43647</v>
      </c>
      <c r="Y463" s="118">
        <v>45229</v>
      </c>
    </row>
    <row r="464" s="79" customFormat="1" customHeight="1" spans="1:25">
      <c r="A464" s="98" t="s">
        <v>61</v>
      </c>
      <c r="B464" s="98" t="s">
        <v>62</v>
      </c>
      <c r="C464" s="98" t="s">
        <v>217</v>
      </c>
      <c r="D464" s="96" t="s">
        <v>64</v>
      </c>
      <c r="E464" s="147" t="s">
        <v>771</v>
      </c>
      <c r="F464" s="129" t="s">
        <v>772</v>
      </c>
      <c r="G464" s="151" t="s">
        <v>88</v>
      </c>
      <c r="H464" s="19" t="s">
        <v>773</v>
      </c>
      <c r="I464" s="23" t="e">
        <f>VLOOKUP(H464,'合同综合查询数据（3月返）'!$A:$A,1,FALSE)</f>
        <v>#N/A</v>
      </c>
      <c r="J464" s="152" t="s">
        <v>781</v>
      </c>
      <c r="K464" s="109" t="s">
        <v>775</v>
      </c>
      <c r="L464" s="153"/>
      <c r="M464" s="26" t="s">
        <v>776</v>
      </c>
      <c r="N464" s="154">
        <v>43299</v>
      </c>
      <c r="O464" s="28" t="s">
        <v>457</v>
      </c>
      <c r="P464" s="131">
        <v>5216.57</v>
      </c>
      <c r="Q464" s="156">
        <v>31</v>
      </c>
      <c r="R464" s="120">
        <f t="shared" si="17"/>
        <v>161713.67</v>
      </c>
      <c r="S464" s="117">
        <v>202303</v>
      </c>
      <c r="T464" s="157"/>
      <c r="U464" s="157"/>
      <c r="V464" s="133"/>
      <c r="W464" s="133"/>
      <c r="X464" s="118">
        <v>43647</v>
      </c>
      <c r="Y464" s="118">
        <v>45229</v>
      </c>
    </row>
    <row r="465" s="79" customFormat="1" customHeight="1" spans="1:25">
      <c r="A465" s="98" t="s">
        <v>61</v>
      </c>
      <c r="B465" s="98" t="s">
        <v>62</v>
      </c>
      <c r="C465" s="98" t="s">
        <v>217</v>
      </c>
      <c r="D465" s="96" t="s">
        <v>64</v>
      </c>
      <c r="E465" s="147" t="s">
        <v>771</v>
      </c>
      <c r="F465" s="129" t="s">
        <v>772</v>
      </c>
      <c r="G465" s="151" t="s">
        <v>88</v>
      </c>
      <c r="H465" s="19" t="s">
        <v>773</v>
      </c>
      <c r="I465" s="23" t="e">
        <f>VLOOKUP(H465,'合同综合查询数据（3月返）'!$A:$A,1,FALSE)</f>
        <v>#N/A</v>
      </c>
      <c r="J465" s="152" t="s">
        <v>781</v>
      </c>
      <c r="K465" s="109" t="s">
        <v>775</v>
      </c>
      <c r="L465" s="153"/>
      <c r="M465" s="26" t="s">
        <v>776</v>
      </c>
      <c r="N465" s="154">
        <v>43298</v>
      </c>
      <c r="O465" s="28" t="s">
        <v>457</v>
      </c>
      <c r="P465" s="131">
        <v>5216.57</v>
      </c>
      <c r="Q465" s="156">
        <v>25</v>
      </c>
      <c r="R465" s="120">
        <f t="shared" si="17"/>
        <v>130414.25</v>
      </c>
      <c r="S465" s="117">
        <v>202303</v>
      </c>
      <c r="T465" s="157"/>
      <c r="U465" s="157"/>
      <c r="V465" s="133"/>
      <c r="W465" s="133"/>
      <c r="X465" s="118">
        <v>43647</v>
      </c>
      <c r="Y465" s="118">
        <v>45229</v>
      </c>
    </row>
    <row r="466" s="79" customFormat="1" customHeight="1" spans="1:25">
      <c r="A466" s="98" t="s">
        <v>61</v>
      </c>
      <c r="B466" s="98" t="s">
        <v>62</v>
      </c>
      <c r="C466" s="98" t="s">
        <v>217</v>
      </c>
      <c r="D466" s="96" t="s">
        <v>64</v>
      </c>
      <c r="E466" s="147" t="s">
        <v>771</v>
      </c>
      <c r="F466" s="129" t="s">
        <v>772</v>
      </c>
      <c r="G466" s="151" t="s">
        <v>88</v>
      </c>
      <c r="H466" s="19" t="s">
        <v>773</v>
      </c>
      <c r="I466" s="23" t="e">
        <f>VLOOKUP(H466,'合同综合查询数据（3月返）'!$A:$A,1,FALSE)</f>
        <v>#N/A</v>
      </c>
      <c r="J466" s="152" t="s">
        <v>781</v>
      </c>
      <c r="K466" s="109" t="s">
        <v>775</v>
      </c>
      <c r="L466" s="153"/>
      <c r="M466" s="26" t="s">
        <v>776</v>
      </c>
      <c r="N466" s="154">
        <v>43300</v>
      </c>
      <c r="O466" s="28" t="s">
        <v>457</v>
      </c>
      <c r="P466" s="131">
        <v>5216.57</v>
      </c>
      <c r="Q466" s="156">
        <v>2</v>
      </c>
      <c r="R466" s="120">
        <f t="shared" si="17"/>
        <v>10433.14</v>
      </c>
      <c r="S466" s="117">
        <v>202303</v>
      </c>
      <c r="T466" s="157"/>
      <c r="U466" s="157"/>
      <c r="V466" s="133"/>
      <c r="W466" s="133"/>
      <c r="X466" s="118">
        <v>43647</v>
      </c>
      <c r="Y466" s="118">
        <v>45229</v>
      </c>
    </row>
    <row r="467" s="79" customFormat="1" customHeight="1" spans="1:25">
      <c r="A467" s="98" t="s">
        <v>61</v>
      </c>
      <c r="B467" s="98" t="s">
        <v>62</v>
      </c>
      <c r="C467" s="98" t="s">
        <v>217</v>
      </c>
      <c r="D467" s="96" t="s">
        <v>64</v>
      </c>
      <c r="E467" s="147" t="s">
        <v>771</v>
      </c>
      <c r="F467" s="129" t="s">
        <v>772</v>
      </c>
      <c r="G467" s="151" t="s">
        <v>88</v>
      </c>
      <c r="H467" s="19" t="s">
        <v>773</v>
      </c>
      <c r="I467" s="23" t="e">
        <f>VLOOKUP(H467,'合同综合查询数据（3月返）'!$A:$A,1,FALSE)</f>
        <v>#N/A</v>
      </c>
      <c r="J467" s="152" t="s">
        <v>781</v>
      </c>
      <c r="K467" s="109" t="s">
        <v>775</v>
      </c>
      <c r="L467" s="153"/>
      <c r="M467" s="26" t="s">
        <v>776</v>
      </c>
      <c r="N467" s="154">
        <v>43304</v>
      </c>
      <c r="O467" s="28" t="s">
        <v>457</v>
      </c>
      <c r="P467" s="131">
        <v>5216.57</v>
      </c>
      <c r="Q467" s="156">
        <v>2</v>
      </c>
      <c r="R467" s="120">
        <f t="shared" si="17"/>
        <v>10433.14</v>
      </c>
      <c r="S467" s="117">
        <v>202303</v>
      </c>
      <c r="T467" s="157"/>
      <c r="U467" s="157"/>
      <c r="V467" s="133"/>
      <c r="W467" s="133"/>
      <c r="X467" s="118">
        <v>43647</v>
      </c>
      <c r="Y467" s="118">
        <v>45229</v>
      </c>
    </row>
    <row r="468" s="79" customFormat="1" customHeight="1" spans="1:25">
      <c r="A468" s="98" t="s">
        <v>61</v>
      </c>
      <c r="B468" s="98" t="s">
        <v>62</v>
      </c>
      <c r="C468" s="98" t="s">
        <v>217</v>
      </c>
      <c r="D468" s="96" t="s">
        <v>64</v>
      </c>
      <c r="E468" s="147" t="s">
        <v>771</v>
      </c>
      <c r="F468" s="129" t="s">
        <v>772</v>
      </c>
      <c r="G468" s="151" t="s">
        <v>88</v>
      </c>
      <c r="H468" s="19" t="s">
        <v>773</v>
      </c>
      <c r="I468" s="23" t="e">
        <f>VLOOKUP(H468,'合同综合查询数据（3月返）'!$A:$A,1,FALSE)</f>
        <v>#N/A</v>
      </c>
      <c r="J468" s="152" t="s">
        <v>781</v>
      </c>
      <c r="K468" s="109" t="s">
        <v>775</v>
      </c>
      <c r="L468" s="153"/>
      <c r="M468" s="26" t="s">
        <v>776</v>
      </c>
      <c r="N468" s="154">
        <v>43304</v>
      </c>
      <c r="O468" s="28" t="s">
        <v>457</v>
      </c>
      <c r="P468" s="131">
        <v>5216.57</v>
      </c>
      <c r="Q468" s="156">
        <v>17</v>
      </c>
      <c r="R468" s="120">
        <f t="shared" si="17"/>
        <v>88681.69</v>
      </c>
      <c r="S468" s="117">
        <v>202303</v>
      </c>
      <c r="T468" s="157"/>
      <c r="U468" s="157"/>
      <c r="V468" s="133"/>
      <c r="W468" s="133"/>
      <c r="X468" s="118">
        <v>43647</v>
      </c>
      <c r="Y468" s="118">
        <v>45229</v>
      </c>
    </row>
    <row r="469" s="79" customFormat="1" customHeight="1" spans="1:25">
      <c r="A469" s="98" t="s">
        <v>61</v>
      </c>
      <c r="B469" s="98" t="s">
        <v>62</v>
      </c>
      <c r="C469" s="98" t="s">
        <v>217</v>
      </c>
      <c r="D469" s="96" t="s">
        <v>64</v>
      </c>
      <c r="E469" s="147" t="s">
        <v>771</v>
      </c>
      <c r="F469" s="129" t="s">
        <v>772</v>
      </c>
      <c r="G469" s="151" t="s">
        <v>88</v>
      </c>
      <c r="H469" s="19" t="s">
        <v>773</v>
      </c>
      <c r="I469" s="23" t="e">
        <f>VLOOKUP(H469,'合同综合查询数据（3月返）'!$A:$A,1,FALSE)</f>
        <v>#N/A</v>
      </c>
      <c r="J469" s="152" t="s">
        <v>781</v>
      </c>
      <c r="K469" s="109" t="s">
        <v>775</v>
      </c>
      <c r="L469" s="153"/>
      <c r="M469" s="26" t="s">
        <v>776</v>
      </c>
      <c r="N469" s="154">
        <v>43307</v>
      </c>
      <c r="O469" s="28" t="s">
        <v>457</v>
      </c>
      <c r="P469" s="131">
        <v>5216.57</v>
      </c>
      <c r="Q469" s="156">
        <v>14</v>
      </c>
      <c r="R469" s="120">
        <f t="shared" si="17"/>
        <v>73031.98</v>
      </c>
      <c r="S469" s="117">
        <v>202303</v>
      </c>
      <c r="T469" s="157"/>
      <c r="U469" s="157"/>
      <c r="V469" s="133"/>
      <c r="W469" s="133"/>
      <c r="X469" s="118">
        <v>43647</v>
      </c>
      <c r="Y469" s="118">
        <v>45229</v>
      </c>
    </row>
    <row r="470" s="79" customFormat="1" customHeight="1" spans="1:25">
      <c r="A470" s="98" t="s">
        <v>61</v>
      </c>
      <c r="B470" s="98" t="s">
        <v>62</v>
      </c>
      <c r="C470" s="98" t="s">
        <v>217</v>
      </c>
      <c r="D470" s="96" t="s">
        <v>64</v>
      </c>
      <c r="E470" s="147" t="s">
        <v>771</v>
      </c>
      <c r="F470" s="129" t="s">
        <v>772</v>
      </c>
      <c r="G470" s="151" t="s">
        <v>88</v>
      </c>
      <c r="H470" s="19" t="s">
        <v>773</v>
      </c>
      <c r="I470" s="23" t="e">
        <f>VLOOKUP(H470,'合同综合查询数据（3月返）'!$A:$A,1,FALSE)</f>
        <v>#N/A</v>
      </c>
      <c r="J470" s="152" t="s">
        <v>781</v>
      </c>
      <c r="K470" s="109" t="s">
        <v>775</v>
      </c>
      <c r="L470" s="153"/>
      <c r="M470" s="26" t="s">
        <v>776</v>
      </c>
      <c r="N470" s="154">
        <v>43311</v>
      </c>
      <c r="O470" s="28" t="s">
        <v>457</v>
      </c>
      <c r="P470" s="131">
        <v>5216.57</v>
      </c>
      <c r="Q470" s="156">
        <v>8</v>
      </c>
      <c r="R470" s="120">
        <f t="shared" si="17"/>
        <v>41732.56</v>
      </c>
      <c r="S470" s="117">
        <v>202303</v>
      </c>
      <c r="T470" s="157"/>
      <c r="U470" s="157"/>
      <c r="V470" s="133"/>
      <c r="W470" s="133"/>
      <c r="X470" s="118">
        <v>43647</v>
      </c>
      <c r="Y470" s="118">
        <v>45229</v>
      </c>
    </row>
    <row r="471" s="79" customFormat="1" customHeight="1" spans="1:25">
      <c r="A471" s="98" t="s">
        <v>61</v>
      </c>
      <c r="B471" s="98" t="s">
        <v>62</v>
      </c>
      <c r="C471" s="98" t="s">
        <v>217</v>
      </c>
      <c r="D471" s="96" t="s">
        <v>64</v>
      </c>
      <c r="E471" s="147" t="s">
        <v>771</v>
      </c>
      <c r="F471" s="129" t="s">
        <v>772</v>
      </c>
      <c r="G471" s="151" t="s">
        <v>88</v>
      </c>
      <c r="H471" s="19" t="s">
        <v>773</v>
      </c>
      <c r="I471" s="23" t="e">
        <f>VLOOKUP(H471,'合同综合查询数据（3月返）'!$A:$A,1,FALSE)</f>
        <v>#N/A</v>
      </c>
      <c r="J471" s="152" t="s">
        <v>781</v>
      </c>
      <c r="K471" s="109" t="s">
        <v>775</v>
      </c>
      <c r="L471" s="153"/>
      <c r="M471" s="26" t="s">
        <v>776</v>
      </c>
      <c r="N471" s="154">
        <v>43313</v>
      </c>
      <c r="O471" s="28" t="s">
        <v>457</v>
      </c>
      <c r="P471" s="131">
        <v>5216.57</v>
      </c>
      <c r="Q471" s="156">
        <v>13</v>
      </c>
      <c r="R471" s="120">
        <f t="shared" si="17"/>
        <v>67815.41</v>
      </c>
      <c r="S471" s="117">
        <v>202303</v>
      </c>
      <c r="T471" s="157"/>
      <c r="U471" s="157"/>
      <c r="V471" s="133"/>
      <c r="W471" s="133"/>
      <c r="X471" s="118">
        <v>43647</v>
      </c>
      <c r="Y471" s="118">
        <v>45229</v>
      </c>
    </row>
    <row r="472" s="79" customFormat="1" customHeight="1" spans="1:25">
      <c r="A472" s="98" t="s">
        <v>61</v>
      </c>
      <c r="B472" s="98" t="s">
        <v>62</v>
      </c>
      <c r="C472" s="98" t="s">
        <v>217</v>
      </c>
      <c r="D472" s="96" t="s">
        <v>64</v>
      </c>
      <c r="E472" s="147" t="s">
        <v>771</v>
      </c>
      <c r="F472" s="129" t="s">
        <v>772</v>
      </c>
      <c r="G472" s="151" t="s">
        <v>88</v>
      </c>
      <c r="H472" s="19" t="s">
        <v>773</v>
      </c>
      <c r="I472" s="23" t="e">
        <f>VLOOKUP(H472,'合同综合查询数据（3月返）'!$A:$A,1,FALSE)</f>
        <v>#N/A</v>
      </c>
      <c r="J472" s="152" t="s">
        <v>781</v>
      </c>
      <c r="K472" s="109" t="s">
        <v>775</v>
      </c>
      <c r="L472" s="153"/>
      <c r="M472" s="26" t="s">
        <v>776</v>
      </c>
      <c r="N472" s="154">
        <v>43322</v>
      </c>
      <c r="O472" s="28" t="s">
        <v>457</v>
      </c>
      <c r="P472" s="131">
        <v>5216.57</v>
      </c>
      <c r="Q472" s="156">
        <v>5</v>
      </c>
      <c r="R472" s="120">
        <f t="shared" si="17"/>
        <v>26082.85</v>
      </c>
      <c r="S472" s="117">
        <v>202303</v>
      </c>
      <c r="T472" s="157"/>
      <c r="U472" s="157"/>
      <c r="V472" s="133"/>
      <c r="W472" s="133"/>
      <c r="X472" s="118">
        <v>43647</v>
      </c>
      <c r="Y472" s="118">
        <v>45229</v>
      </c>
    </row>
    <row r="473" s="79" customFormat="1" customHeight="1" spans="1:25">
      <c r="A473" s="98" t="s">
        <v>61</v>
      </c>
      <c r="B473" s="98" t="s">
        <v>62</v>
      </c>
      <c r="C473" s="98" t="s">
        <v>217</v>
      </c>
      <c r="D473" s="96" t="s">
        <v>64</v>
      </c>
      <c r="E473" s="147" t="s">
        <v>771</v>
      </c>
      <c r="F473" s="129" t="s">
        <v>772</v>
      </c>
      <c r="G473" s="151" t="s">
        <v>88</v>
      </c>
      <c r="H473" s="19" t="s">
        <v>773</v>
      </c>
      <c r="I473" s="23" t="e">
        <f>VLOOKUP(H473,'合同综合查询数据（3月返）'!$A:$A,1,FALSE)</f>
        <v>#N/A</v>
      </c>
      <c r="J473" s="152" t="s">
        <v>781</v>
      </c>
      <c r="K473" s="109" t="s">
        <v>775</v>
      </c>
      <c r="L473" s="153"/>
      <c r="M473" s="26" t="s">
        <v>776</v>
      </c>
      <c r="N473" s="154">
        <v>43318</v>
      </c>
      <c r="O473" s="28" t="s">
        <v>457</v>
      </c>
      <c r="P473" s="131">
        <v>5216.57</v>
      </c>
      <c r="Q473" s="156">
        <v>2</v>
      </c>
      <c r="R473" s="120">
        <f t="shared" si="17"/>
        <v>10433.14</v>
      </c>
      <c r="S473" s="117">
        <v>202303</v>
      </c>
      <c r="T473" s="157"/>
      <c r="U473" s="157"/>
      <c r="V473" s="133"/>
      <c r="W473" s="133"/>
      <c r="X473" s="118">
        <v>43647</v>
      </c>
      <c r="Y473" s="118">
        <v>45229</v>
      </c>
    </row>
    <row r="474" s="79" customFormat="1" customHeight="1" spans="1:25">
      <c r="A474" s="98" t="s">
        <v>61</v>
      </c>
      <c r="B474" s="98" t="s">
        <v>62</v>
      </c>
      <c r="C474" s="98" t="s">
        <v>217</v>
      </c>
      <c r="D474" s="96" t="s">
        <v>64</v>
      </c>
      <c r="E474" s="147" t="s">
        <v>771</v>
      </c>
      <c r="F474" s="129" t="s">
        <v>772</v>
      </c>
      <c r="G474" s="151" t="s">
        <v>88</v>
      </c>
      <c r="H474" s="19" t="s">
        <v>773</v>
      </c>
      <c r="I474" s="23" t="e">
        <f>VLOOKUP(H474,'合同综合查询数据（3月返）'!$A:$A,1,FALSE)</f>
        <v>#N/A</v>
      </c>
      <c r="J474" s="152" t="s">
        <v>781</v>
      </c>
      <c r="K474" s="109" t="s">
        <v>775</v>
      </c>
      <c r="L474" s="153"/>
      <c r="M474" s="26" t="s">
        <v>776</v>
      </c>
      <c r="N474" s="154">
        <v>43321</v>
      </c>
      <c r="O474" s="28" t="s">
        <v>457</v>
      </c>
      <c r="P474" s="131">
        <v>5216.57</v>
      </c>
      <c r="Q474" s="156">
        <v>1</v>
      </c>
      <c r="R474" s="120">
        <f t="shared" si="17"/>
        <v>5216.57</v>
      </c>
      <c r="S474" s="117">
        <v>202303</v>
      </c>
      <c r="T474" s="157"/>
      <c r="U474" s="157"/>
      <c r="V474" s="133"/>
      <c r="W474" s="133"/>
      <c r="X474" s="118">
        <v>43647</v>
      </c>
      <c r="Y474" s="118">
        <v>45229</v>
      </c>
    </row>
    <row r="475" s="79" customFormat="1" customHeight="1" spans="1:25">
      <c r="A475" s="98" t="s">
        <v>61</v>
      </c>
      <c r="B475" s="98" t="s">
        <v>62</v>
      </c>
      <c r="C475" s="98" t="s">
        <v>217</v>
      </c>
      <c r="D475" s="96" t="s">
        <v>64</v>
      </c>
      <c r="E475" s="147" t="s">
        <v>771</v>
      </c>
      <c r="F475" s="129" t="s">
        <v>772</v>
      </c>
      <c r="G475" s="151" t="s">
        <v>88</v>
      </c>
      <c r="H475" s="19" t="s">
        <v>773</v>
      </c>
      <c r="I475" s="23" t="e">
        <f>VLOOKUP(H475,'合同综合查询数据（3月返）'!$A:$A,1,FALSE)</f>
        <v>#N/A</v>
      </c>
      <c r="J475" s="152" t="s">
        <v>781</v>
      </c>
      <c r="K475" s="109" t="s">
        <v>775</v>
      </c>
      <c r="L475" s="153"/>
      <c r="M475" s="26" t="s">
        <v>776</v>
      </c>
      <c r="N475" s="154">
        <v>43322</v>
      </c>
      <c r="O475" s="28" t="s">
        <v>457</v>
      </c>
      <c r="P475" s="131">
        <v>5216.57</v>
      </c>
      <c r="Q475" s="156">
        <v>1</v>
      </c>
      <c r="R475" s="120">
        <f t="shared" si="17"/>
        <v>5216.57</v>
      </c>
      <c r="S475" s="117">
        <v>202303</v>
      </c>
      <c r="T475" s="157"/>
      <c r="U475" s="157"/>
      <c r="V475" s="133"/>
      <c r="W475" s="133"/>
      <c r="X475" s="118">
        <v>43647</v>
      </c>
      <c r="Y475" s="118">
        <v>45229</v>
      </c>
    </row>
    <row r="476" s="79" customFormat="1" customHeight="1" spans="1:25">
      <c r="A476" s="98" t="s">
        <v>61</v>
      </c>
      <c r="B476" s="98" t="s">
        <v>62</v>
      </c>
      <c r="C476" s="98" t="s">
        <v>217</v>
      </c>
      <c r="D476" s="96" t="s">
        <v>64</v>
      </c>
      <c r="E476" s="147" t="s">
        <v>771</v>
      </c>
      <c r="F476" s="129" t="s">
        <v>772</v>
      </c>
      <c r="G476" s="151" t="s">
        <v>88</v>
      </c>
      <c r="H476" s="19" t="s">
        <v>773</v>
      </c>
      <c r="I476" s="23" t="e">
        <f>VLOOKUP(H476,'合同综合查询数据（3月返）'!$A:$A,1,FALSE)</f>
        <v>#N/A</v>
      </c>
      <c r="J476" s="152" t="s">
        <v>781</v>
      </c>
      <c r="K476" s="109" t="s">
        <v>775</v>
      </c>
      <c r="L476" s="153"/>
      <c r="M476" s="26" t="s">
        <v>776</v>
      </c>
      <c r="N476" s="154">
        <v>43329</v>
      </c>
      <c r="O476" s="28" t="s">
        <v>457</v>
      </c>
      <c r="P476" s="131">
        <v>5216.57</v>
      </c>
      <c r="Q476" s="156">
        <v>6</v>
      </c>
      <c r="R476" s="120">
        <f t="shared" si="17"/>
        <v>31299.42</v>
      </c>
      <c r="S476" s="117">
        <v>202303</v>
      </c>
      <c r="T476" s="157"/>
      <c r="U476" s="157"/>
      <c r="V476" s="133"/>
      <c r="W476" s="133"/>
      <c r="X476" s="118">
        <v>43647</v>
      </c>
      <c r="Y476" s="118">
        <v>45229</v>
      </c>
    </row>
    <row r="477" s="79" customFormat="1" customHeight="1" spans="1:25">
      <c r="A477" s="98" t="s">
        <v>61</v>
      </c>
      <c r="B477" s="98" t="s">
        <v>62</v>
      </c>
      <c r="C477" s="98" t="s">
        <v>217</v>
      </c>
      <c r="D477" s="96" t="s">
        <v>64</v>
      </c>
      <c r="E477" s="147" t="s">
        <v>771</v>
      </c>
      <c r="F477" s="129" t="s">
        <v>772</v>
      </c>
      <c r="G477" s="151" t="s">
        <v>88</v>
      </c>
      <c r="H477" s="19" t="s">
        <v>773</v>
      </c>
      <c r="I477" s="23" t="e">
        <f>VLOOKUP(H477,'合同综合查询数据（3月返）'!$A:$A,1,FALSE)</f>
        <v>#N/A</v>
      </c>
      <c r="J477" s="152" t="s">
        <v>781</v>
      </c>
      <c r="K477" s="109" t="s">
        <v>775</v>
      </c>
      <c r="L477" s="153"/>
      <c r="M477" s="26" t="s">
        <v>776</v>
      </c>
      <c r="N477" s="154">
        <v>43332</v>
      </c>
      <c r="O477" s="28" t="s">
        <v>457</v>
      </c>
      <c r="P477" s="131">
        <v>5216.57</v>
      </c>
      <c r="Q477" s="156">
        <v>11</v>
      </c>
      <c r="R477" s="120">
        <f t="shared" si="17"/>
        <v>57382.27</v>
      </c>
      <c r="S477" s="117">
        <v>202303</v>
      </c>
      <c r="T477" s="157"/>
      <c r="U477" s="157"/>
      <c r="V477" s="133"/>
      <c r="W477" s="133"/>
      <c r="X477" s="118">
        <v>43647</v>
      </c>
      <c r="Y477" s="118">
        <v>45229</v>
      </c>
    </row>
    <row r="478" s="79" customFormat="1" customHeight="1" spans="1:25">
      <c r="A478" s="98" t="s">
        <v>61</v>
      </c>
      <c r="B478" s="98" t="s">
        <v>62</v>
      </c>
      <c r="C478" s="98" t="s">
        <v>217</v>
      </c>
      <c r="D478" s="96" t="s">
        <v>64</v>
      </c>
      <c r="E478" s="147" t="s">
        <v>771</v>
      </c>
      <c r="F478" s="129" t="s">
        <v>772</v>
      </c>
      <c r="G478" s="151" t="s">
        <v>88</v>
      </c>
      <c r="H478" s="19" t="s">
        <v>773</v>
      </c>
      <c r="I478" s="23" t="e">
        <f>VLOOKUP(H478,'合同综合查询数据（3月返）'!$A:$A,1,FALSE)</f>
        <v>#N/A</v>
      </c>
      <c r="J478" s="152" t="s">
        <v>781</v>
      </c>
      <c r="K478" s="109" t="s">
        <v>775</v>
      </c>
      <c r="L478" s="153"/>
      <c r="M478" s="26" t="s">
        <v>776</v>
      </c>
      <c r="N478" s="154">
        <v>43333</v>
      </c>
      <c r="O478" s="28" t="s">
        <v>457</v>
      </c>
      <c r="P478" s="131">
        <v>5216.57</v>
      </c>
      <c r="Q478" s="156">
        <v>1</v>
      </c>
      <c r="R478" s="120">
        <f t="shared" si="17"/>
        <v>5216.57</v>
      </c>
      <c r="S478" s="117">
        <v>202303</v>
      </c>
      <c r="T478" s="157"/>
      <c r="U478" s="157"/>
      <c r="V478" s="133"/>
      <c r="W478" s="133"/>
      <c r="X478" s="118">
        <v>43647</v>
      </c>
      <c r="Y478" s="118">
        <v>45229</v>
      </c>
    </row>
    <row r="479" s="79" customFormat="1" customHeight="1" spans="1:25">
      <c r="A479" s="98" t="s">
        <v>61</v>
      </c>
      <c r="B479" s="98" t="s">
        <v>62</v>
      </c>
      <c r="C479" s="98" t="s">
        <v>217</v>
      </c>
      <c r="D479" s="96" t="s">
        <v>64</v>
      </c>
      <c r="E479" s="147" t="s">
        <v>771</v>
      </c>
      <c r="F479" s="129" t="s">
        <v>772</v>
      </c>
      <c r="G479" s="151" t="s">
        <v>88</v>
      </c>
      <c r="H479" s="19" t="s">
        <v>773</v>
      </c>
      <c r="I479" s="23" t="e">
        <f>VLOOKUP(H479,'合同综合查询数据（3月返）'!$A:$A,1,FALSE)</f>
        <v>#N/A</v>
      </c>
      <c r="J479" s="152" t="s">
        <v>781</v>
      </c>
      <c r="K479" s="109" t="s">
        <v>775</v>
      </c>
      <c r="L479" s="153"/>
      <c r="M479" s="26" t="s">
        <v>776</v>
      </c>
      <c r="N479" s="154">
        <v>43335</v>
      </c>
      <c r="O479" s="28" t="s">
        <v>457</v>
      </c>
      <c r="P479" s="131">
        <v>5216.57</v>
      </c>
      <c r="Q479" s="156">
        <v>2</v>
      </c>
      <c r="R479" s="120">
        <f t="shared" si="17"/>
        <v>10433.14</v>
      </c>
      <c r="S479" s="117">
        <v>202303</v>
      </c>
      <c r="T479" s="157"/>
      <c r="U479" s="157"/>
      <c r="V479" s="133"/>
      <c r="W479" s="133"/>
      <c r="X479" s="118">
        <v>43647</v>
      </c>
      <c r="Y479" s="118">
        <v>45229</v>
      </c>
    </row>
    <row r="480" s="79" customFormat="1" customHeight="1" spans="1:25">
      <c r="A480" s="98" t="s">
        <v>61</v>
      </c>
      <c r="B480" s="98" t="s">
        <v>62</v>
      </c>
      <c r="C480" s="98" t="s">
        <v>217</v>
      </c>
      <c r="D480" s="96" t="s">
        <v>64</v>
      </c>
      <c r="E480" s="147" t="s">
        <v>771</v>
      </c>
      <c r="F480" s="129" t="s">
        <v>772</v>
      </c>
      <c r="G480" s="151" t="s">
        <v>88</v>
      </c>
      <c r="H480" s="19" t="s">
        <v>773</v>
      </c>
      <c r="I480" s="23" t="e">
        <f>VLOOKUP(H480,'合同综合查询数据（3月返）'!$A:$A,1,FALSE)</f>
        <v>#N/A</v>
      </c>
      <c r="J480" s="152" t="s">
        <v>781</v>
      </c>
      <c r="K480" s="109" t="s">
        <v>775</v>
      </c>
      <c r="L480" s="153"/>
      <c r="M480" s="26" t="s">
        <v>776</v>
      </c>
      <c r="N480" s="154">
        <v>43336</v>
      </c>
      <c r="O480" s="28" t="s">
        <v>457</v>
      </c>
      <c r="P480" s="131">
        <v>5216.57</v>
      </c>
      <c r="Q480" s="156">
        <v>36</v>
      </c>
      <c r="R480" s="120">
        <f t="shared" si="17"/>
        <v>187796.52</v>
      </c>
      <c r="S480" s="117">
        <v>202303</v>
      </c>
      <c r="T480" s="157"/>
      <c r="U480" s="157"/>
      <c r="V480" s="133"/>
      <c r="W480" s="133"/>
      <c r="X480" s="118">
        <v>43647</v>
      </c>
      <c r="Y480" s="118">
        <v>45229</v>
      </c>
    </row>
    <row r="481" s="79" customFormat="1" customHeight="1" spans="1:25">
      <c r="A481" s="98" t="s">
        <v>61</v>
      </c>
      <c r="B481" s="98" t="s">
        <v>62</v>
      </c>
      <c r="C481" s="98" t="s">
        <v>217</v>
      </c>
      <c r="D481" s="96" t="s">
        <v>64</v>
      </c>
      <c r="E481" s="147" t="s">
        <v>771</v>
      </c>
      <c r="F481" s="129" t="s">
        <v>772</v>
      </c>
      <c r="G481" s="151" t="s">
        <v>88</v>
      </c>
      <c r="H481" s="19" t="s">
        <v>773</v>
      </c>
      <c r="I481" s="23" t="e">
        <f>VLOOKUP(H481,'合同综合查询数据（3月返）'!$A:$A,1,FALSE)</f>
        <v>#N/A</v>
      </c>
      <c r="J481" s="152" t="s">
        <v>781</v>
      </c>
      <c r="K481" s="109" t="s">
        <v>775</v>
      </c>
      <c r="L481" s="153"/>
      <c r="M481" s="26" t="s">
        <v>776</v>
      </c>
      <c r="N481" s="154">
        <v>43320</v>
      </c>
      <c r="O481" s="28" t="s">
        <v>457</v>
      </c>
      <c r="P481" s="131">
        <v>5216.57</v>
      </c>
      <c r="Q481" s="156">
        <v>2</v>
      </c>
      <c r="R481" s="120">
        <f t="shared" si="17"/>
        <v>10433.14</v>
      </c>
      <c r="S481" s="117">
        <v>202303</v>
      </c>
      <c r="T481" s="157"/>
      <c r="U481" s="157"/>
      <c r="V481" s="133"/>
      <c r="W481" s="133"/>
      <c r="X481" s="118">
        <v>43647</v>
      </c>
      <c r="Y481" s="118">
        <v>45229</v>
      </c>
    </row>
    <row r="482" s="79" customFormat="1" customHeight="1" spans="1:25">
      <c r="A482" s="98" t="s">
        <v>61</v>
      </c>
      <c r="B482" s="98" t="s">
        <v>62</v>
      </c>
      <c r="C482" s="98" t="s">
        <v>217</v>
      </c>
      <c r="D482" s="96" t="s">
        <v>64</v>
      </c>
      <c r="E482" s="147" t="s">
        <v>771</v>
      </c>
      <c r="F482" s="129" t="s">
        <v>772</v>
      </c>
      <c r="G482" s="151" t="s">
        <v>88</v>
      </c>
      <c r="H482" s="19" t="s">
        <v>773</v>
      </c>
      <c r="I482" s="23" t="e">
        <f>VLOOKUP(H482,'合同综合查询数据（3月返）'!$A:$A,1,FALSE)</f>
        <v>#N/A</v>
      </c>
      <c r="J482" s="152" t="s">
        <v>781</v>
      </c>
      <c r="K482" s="109" t="s">
        <v>775</v>
      </c>
      <c r="L482" s="153"/>
      <c r="M482" s="26" t="s">
        <v>776</v>
      </c>
      <c r="N482" s="154">
        <v>43336</v>
      </c>
      <c r="O482" s="28" t="s">
        <v>457</v>
      </c>
      <c r="P482" s="131">
        <v>5216.57</v>
      </c>
      <c r="Q482" s="156">
        <v>166</v>
      </c>
      <c r="R482" s="120">
        <f t="shared" si="17"/>
        <v>865950.62</v>
      </c>
      <c r="S482" s="117">
        <v>202303</v>
      </c>
      <c r="T482" s="157"/>
      <c r="U482" s="157"/>
      <c r="V482" s="133"/>
      <c r="W482" s="133"/>
      <c r="X482" s="118">
        <v>43647</v>
      </c>
      <c r="Y482" s="118">
        <v>45229</v>
      </c>
    </row>
    <row r="483" s="79" customFormat="1" customHeight="1" spans="1:25">
      <c r="A483" s="98" t="s">
        <v>61</v>
      </c>
      <c r="B483" s="98" t="s">
        <v>62</v>
      </c>
      <c r="C483" s="98" t="s">
        <v>217</v>
      </c>
      <c r="D483" s="96" t="s">
        <v>64</v>
      </c>
      <c r="E483" s="147" t="s">
        <v>771</v>
      </c>
      <c r="F483" s="129" t="s">
        <v>772</v>
      </c>
      <c r="G483" s="151" t="s">
        <v>88</v>
      </c>
      <c r="H483" s="19" t="s">
        <v>773</v>
      </c>
      <c r="I483" s="23" t="e">
        <f>VLOOKUP(H483,'合同综合查询数据（3月返）'!$A:$A,1,FALSE)</f>
        <v>#N/A</v>
      </c>
      <c r="J483" s="152" t="s">
        <v>781</v>
      </c>
      <c r="K483" s="109" t="s">
        <v>775</v>
      </c>
      <c r="L483" s="153"/>
      <c r="M483" s="26" t="s">
        <v>776</v>
      </c>
      <c r="N483" s="154">
        <v>43342</v>
      </c>
      <c r="O483" s="28" t="s">
        <v>457</v>
      </c>
      <c r="P483" s="131">
        <v>5216.57</v>
      </c>
      <c r="Q483" s="156">
        <v>59</v>
      </c>
      <c r="R483" s="120">
        <f t="shared" si="17"/>
        <v>307777.63</v>
      </c>
      <c r="S483" s="117">
        <v>202303</v>
      </c>
      <c r="T483" s="157"/>
      <c r="U483" s="157"/>
      <c r="V483" s="133"/>
      <c r="W483" s="133"/>
      <c r="X483" s="118">
        <v>43647</v>
      </c>
      <c r="Y483" s="118">
        <v>45229</v>
      </c>
    </row>
    <row r="484" s="79" customFormat="1" customHeight="1" spans="1:25">
      <c r="A484" s="98" t="s">
        <v>61</v>
      </c>
      <c r="B484" s="98" t="s">
        <v>62</v>
      </c>
      <c r="C484" s="98" t="s">
        <v>217</v>
      </c>
      <c r="D484" s="96" t="s">
        <v>64</v>
      </c>
      <c r="E484" s="147" t="s">
        <v>771</v>
      </c>
      <c r="F484" s="129" t="s">
        <v>772</v>
      </c>
      <c r="G484" s="151" t="s">
        <v>88</v>
      </c>
      <c r="H484" s="19" t="s">
        <v>773</v>
      </c>
      <c r="I484" s="23" t="e">
        <f>VLOOKUP(H484,'合同综合查询数据（3月返）'!$A:$A,1,FALSE)</f>
        <v>#N/A</v>
      </c>
      <c r="J484" s="152" t="s">
        <v>781</v>
      </c>
      <c r="K484" s="109" t="s">
        <v>775</v>
      </c>
      <c r="L484" s="153"/>
      <c r="M484" s="26" t="s">
        <v>776</v>
      </c>
      <c r="N484" s="154">
        <v>43343</v>
      </c>
      <c r="O484" s="28" t="s">
        <v>457</v>
      </c>
      <c r="P484" s="131">
        <v>5216.57</v>
      </c>
      <c r="Q484" s="156">
        <v>45</v>
      </c>
      <c r="R484" s="120">
        <f t="shared" si="17"/>
        <v>234745.65</v>
      </c>
      <c r="S484" s="117">
        <v>202303</v>
      </c>
      <c r="T484" s="157"/>
      <c r="U484" s="157"/>
      <c r="V484" s="133"/>
      <c r="W484" s="133"/>
      <c r="X484" s="118">
        <v>43647</v>
      </c>
      <c r="Y484" s="118">
        <v>45229</v>
      </c>
    </row>
    <row r="485" s="79" customFormat="1" customHeight="1" spans="1:25">
      <c r="A485" s="98" t="s">
        <v>61</v>
      </c>
      <c r="B485" s="98" t="s">
        <v>62</v>
      </c>
      <c r="C485" s="98" t="s">
        <v>217</v>
      </c>
      <c r="D485" s="96" t="s">
        <v>64</v>
      </c>
      <c r="E485" s="147" t="s">
        <v>771</v>
      </c>
      <c r="F485" s="129" t="s">
        <v>772</v>
      </c>
      <c r="G485" s="151" t="s">
        <v>88</v>
      </c>
      <c r="H485" s="19" t="s">
        <v>773</v>
      </c>
      <c r="I485" s="23" t="e">
        <f>VLOOKUP(H485,'合同综合查询数据（3月返）'!$A:$A,1,FALSE)</f>
        <v>#N/A</v>
      </c>
      <c r="J485" s="152" t="s">
        <v>781</v>
      </c>
      <c r="K485" s="109" t="s">
        <v>775</v>
      </c>
      <c r="L485" s="153"/>
      <c r="M485" s="26" t="s">
        <v>776</v>
      </c>
      <c r="N485" s="154">
        <v>43350</v>
      </c>
      <c r="O485" s="28" t="s">
        <v>457</v>
      </c>
      <c r="P485" s="131">
        <v>5216.57</v>
      </c>
      <c r="Q485" s="156">
        <v>3</v>
      </c>
      <c r="R485" s="120">
        <f t="shared" si="17"/>
        <v>15649.71</v>
      </c>
      <c r="S485" s="117">
        <v>202303</v>
      </c>
      <c r="T485" s="157"/>
      <c r="U485" s="157"/>
      <c r="V485" s="133"/>
      <c r="W485" s="133"/>
      <c r="X485" s="118">
        <v>43647</v>
      </c>
      <c r="Y485" s="118">
        <v>45229</v>
      </c>
    </row>
    <row r="486" s="79" customFormat="1" customHeight="1" spans="1:25">
      <c r="A486" s="98" t="s">
        <v>61</v>
      </c>
      <c r="B486" s="98" t="s">
        <v>62</v>
      </c>
      <c r="C486" s="98" t="s">
        <v>217</v>
      </c>
      <c r="D486" s="96" t="s">
        <v>64</v>
      </c>
      <c r="E486" s="147" t="s">
        <v>771</v>
      </c>
      <c r="F486" s="129" t="s">
        <v>772</v>
      </c>
      <c r="G486" s="151" t="s">
        <v>88</v>
      </c>
      <c r="H486" s="19" t="s">
        <v>773</v>
      </c>
      <c r="I486" s="23" t="e">
        <f>VLOOKUP(H486,'合同综合查询数据（3月返）'!$A:$A,1,FALSE)</f>
        <v>#N/A</v>
      </c>
      <c r="J486" s="152" t="s">
        <v>781</v>
      </c>
      <c r="K486" s="109" t="s">
        <v>775</v>
      </c>
      <c r="L486" s="153"/>
      <c r="M486" s="26" t="s">
        <v>776</v>
      </c>
      <c r="N486" s="154">
        <v>43346</v>
      </c>
      <c r="O486" s="28" t="s">
        <v>457</v>
      </c>
      <c r="P486" s="131">
        <v>5216.57</v>
      </c>
      <c r="Q486" s="156">
        <v>9</v>
      </c>
      <c r="R486" s="120">
        <f t="shared" si="17"/>
        <v>46949.13</v>
      </c>
      <c r="S486" s="117">
        <v>202303</v>
      </c>
      <c r="T486" s="157"/>
      <c r="U486" s="157"/>
      <c r="V486" s="133"/>
      <c r="W486" s="133"/>
      <c r="X486" s="118">
        <v>43647</v>
      </c>
      <c r="Y486" s="118">
        <v>45229</v>
      </c>
    </row>
    <row r="487" s="79" customFormat="1" customHeight="1" spans="1:25">
      <c r="A487" s="98" t="s">
        <v>61</v>
      </c>
      <c r="B487" s="98" t="s">
        <v>62</v>
      </c>
      <c r="C487" s="98" t="s">
        <v>217</v>
      </c>
      <c r="D487" s="96" t="s">
        <v>64</v>
      </c>
      <c r="E487" s="147" t="s">
        <v>771</v>
      </c>
      <c r="F487" s="129" t="s">
        <v>772</v>
      </c>
      <c r="G487" s="151" t="s">
        <v>88</v>
      </c>
      <c r="H487" s="19" t="s">
        <v>773</v>
      </c>
      <c r="I487" s="23" t="e">
        <f>VLOOKUP(H487,'合同综合查询数据（3月返）'!$A:$A,1,FALSE)</f>
        <v>#N/A</v>
      </c>
      <c r="J487" s="152" t="s">
        <v>781</v>
      </c>
      <c r="K487" s="109" t="s">
        <v>775</v>
      </c>
      <c r="L487" s="153"/>
      <c r="M487" s="26" t="s">
        <v>776</v>
      </c>
      <c r="N487" s="154">
        <v>43348</v>
      </c>
      <c r="O487" s="28" t="s">
        <v>457</v>
      </c>
      <c r="P487" s="131">
        <v>5216.57</v>
      </c>
      <c r="Q487" s="156">
        <v>34</v>
      </c>
      <c r="R487" s="120">
        <f t="shared" si="17"/>
        <v>177363.38</v>
      </c>
      <c r="S487" s="117">
        <v>202303</v>
      </c>
      <c r="T487" s="157"/>
      <c r="U487" s="157"/>
      <c r="V487" s="133"/>
      <c r="W487" s="133"/>
      <c r="X487" s="118">
        <v>43647</v>
      </c>
      <c r="Y487" s="118">
        <v>45229</v>
      </c>
    </row>
    <row r="488" s="79" customFormat="1" customHeight="1" spans="1:25">
      <c r="A488" s="98" t="s">
        <v>61</v>
      </c>
      <c r="B488" s="98" t="s">
        <v>62</v>
      </c>
      <c r="C488" s="98" t="s">
        <v>217</v>
      </c>
      <c r="D488" s="96" t="s">
        <v>64</v>
      </c>
      <c r="E488" s="147" t="s">
        <v>771</v>
      </c>
      <c r="F488" s="129" t="s">
        <v>772</v>
      </c>
      <c r="G488" s="151" t="s">
        <v>88</v>
      </c>
      <c r="H488" s="19" t="s">
        <v>773</v>
      </c>
      <c r="I488" s="23" t="e">
        <f>VLOOKUP(H488,'合同综合查询数据（3月返）'!$A:$A,1,FALSE)</f>
        <v>#N/A</v>
      </c>
      <c r="J488" s="152" t="s">
        <v>781</v>
      </c>
      <c r="K488" s="109" t="s">
        <v>775</v>
      </c>
      <c r="L488" s="153"/>
      <c r="M488" s="26" t="s">
        <v>776</v>
      </c>
      <c r="N488" s="154">
        <v>43350</v>
      </c>
      <c r="O488" s="28" t="s">
        <v>457</v>
      </c>
      <c r="P488" s="131">
        <v>5216.57</v>
      </c>
      <c r="Q488" s="156">
        <v>6</v>
      </c>
      <c r="R488" s="120">
        <f t="shared" si="17"/>
        <v>31299.42</v>
      </c>
      <c r="S488" s="117">
        <v>202303</v>
      </c>
      <c r="T488" s="157"/>
      <c r="U488" s="157"/>
      <c r="V488" s="133"/>
      <c r="W488" s="133"/>
      <c r="X488" s="118">
        <v>43647</v>
      </c>
      <c r="Y488" s="118">
        <v>45229</v>
      </c>
    </row>
    <row r="489" s="79" customFormat="1" customHeight="1" spans="1:25">
      <c r="A489" s="98" t="s">
        <v>61</v>
      </c>
      <c r="B489" s="98" t="s">
        <v>62</v>
      </c>
      <c r="C489" s="98" t="s">
        <v>217</v>
      </c>
      <c r="D489" s="96" t="s">
        <v>64</v>
      </c>
      <c r="E489" s="147" t="s">
        <v>771</v>
      </c>
      <c r="F489" s="129" t="s">
        <v>772</v>
      </c>
      <c r="G489" s="151" t="s">
        <v>88</v>
      </c>
      <c r="H489" s="19" t="s">
        <v>773</v>
      </c>
      <c r="I489" s="23" t="e">
        <f>VLOOKUP(H489,'合同综合查询数据（3月返）'!$A:$A,1,FALSE)</f>
        <v>#N/A</v>
      </c>
      <c r="J489" s="152" t="s">
        <v>781</v>
      </c>
      <c r="K489" s="109" t="s">
        <v>775</v>
      </c>
      <c r="L489" s="153"/>
      <c r="M489" s="26" t="s">
        <v>776</v>
      </c>
      <c r="N489" s="154">
        <v>43353</v>
      </c>
      <c r="O489" s="28" t="s">
        <v>457</v>
      </c>
      <c r="P489" s="131">
        <v>5216.57</v>
      </c>
      <c r="Q489" s="156">
        <v>13</v>
      </c>
      <c r="R489" s="120">
        <f t="shared" si="17"/>
        <v>67815.41</v>
      </c>
      <c r="S489" s="117">
        <v>202303</v>
      </c>
      <c r="T489" s="157"/>
      <c r="U489" s="157"/>
      <c r="V489" s="133"/>
      <c r="W489" s="133"/>
      <c r="X489" s="118">
        <v>43647</v>
      </c>
      <c r="Y489" s="118">
        <v>45229</v>
      </c>
    </row>
    <row r="490" s="79" customFormat="1" customHeight="1" spans="1:25">
      <c r="A490" s="98" t="s">
        <v>61</v>
      </c>
      <c r="B490" s="98" t="s">
        <v>62</v>
      </c>
      <c r="C490" s="98" t="s">
        <v>217</v>
      </c>
      <c r="D490" s="96" t="s">
        <v>64</v>
      </c>
      <c r="E490" s="147" t="s">
        <v>771</v>
      </c>
      <c r="F490" s="129" t="s">
        <v>772</v>
      </c>
      <c r="G490" s="151" t="s">
        <v>88</v>
      </c>
      <c r="H490" s="19" t="s">
        <v>773</v>
      </c>
      <c r="I490" s="23" t="e">
        <f>VLOOKUP(H490,'合同综合查询数据（3月返）'!$A:$A,1,FALSE)</f>
        <v>#N/A</v>
      </c>
      <c r="J490" s="152" t="s">
        <v>781</v>
      </c>
      <c r="K490" s="109" t="s">
        <v>775</v>
      </c>
      <c r="L490" s="153"/>
      <c r="M490" s="26" t="s">
        <v>776</v>
      </c>
      <c r="N490" s="154">
        <v>43354</v>
      </c>
      <c r="O490" s="28" t="s">
        <v>457</v>
      </c>
      <c r="P490" s="131">
        <v>5216.57</v>
      </c>
      <c r="Q490" s="156">
        <v>7</v>
      </c>
      <c r="R490" s="120">
        <f t="shared" si="17"/>
        <v>36515.99</v>
      </c>
      <c r="S490" s="117">
        <v>202303</v>
      </c>
      <c r="T490" s="157"/>
      <c r="U490" s="157"/>
      <c r="V490" s="133"/>
      <c r="W490" s="133"/>
      <c r="X490" s="118">
        <v>43647</v>
      </c>
      <c r="Y490" s="118">
        <v>45229</v>
      </c>
    </row>
    <row r="491" s="79" customFormat="1" customHeight="1" spans="1:25">
      <c r="A491" s="98" t="s">
        <v>61</v>
      </c>
      <c r="B491" s="98" t="s">
        <v>62</v>
      </c>
      <c r="C491" s="98" t="s">
        <v>217</v>
      </c>
      <c r="D491" s="96" t="s">
        <v>64</v>
      </c>
      <c r="E491" s="147" t="s">
        <v>771</v>
      </c>
      <c r="F491" s="129" t="s">
        <v>772</v>
      </c>
      <c r="G491" s="151" t="s">
        <v>88</v>
      </c>
      <c r="H491" s="19" t="s">
        <v>773</v>
      </c>
      <c r="I491" s="23" t="e">
        <f>VLOOKUP(H491,'合同综合查询数据（3月返）'!$A:$A,1,FALSE)</f>
        <v>#N/A</v>
      </c>
      <c r="J491" s="152" t="s">
        <v>781</v>
      </c>
      <c r="K491" s="109" t="s">
        <v>775</v>
      </c>
      <c r="L491" s="153"/>
      <c r="M491" s="26" t="s">
        <v>776</v>
      </c>
      <c r="N491" s="154">
        <v>43356</v>
      </c>
      <c r="O491" s="28" t="s">
        <v>457</v>
      </c>
      <c r="P491" s="131">
        <v>5216.57</v>
      </c>
      <c r="Q491" s="156">
        <v>1</v>
      </c>
      <c r="R491" s="120">
        <f t="shared" si="17"/>
        <v>5216.57</v>
      </c>
      <c r="S491" s="117">
        <v>202303</v>
      </c>
      <c r="T491" s="157"/>
      <c r="U491" s="157"/>
      <c r="V491" s="133"/>
      <c r="W491" s="133"/>
      <c r="X491" s="118">
        <v>43647</v>
      </c>
      <c r="Y491" s="118">
        <v>45229</v>
      </c>
    </row>
    <row r="492" s="79" customFormat="1" customHeight="1" spans="1:25">
      <c r="A492" s="98" t="s">
        <v>61</v>
      </c>
      <c r="B492" s="98" t="s">
        <v>62</v>
      </c>
      <c r="C492" s="98" t="s">
        <v>217</v>
      </c>
      <c r="D492" s="96" t="s">
        <v>64</v>
      </c>
      <c r="E492" s="147" t="s">
        <v>771</v>
      </c>
      <c r="F492" s="129" t="s">
        <v>772</v>
      </c>
      <c r="G492" s="151" t="s">
        <v>88</v>
      </c>
      <c r="H492" s="19" t="s">
        <v>773</v>
      </c>
      <c r="I492" s="23" t="e">
        <f>VLOOKUP(H492,'合同综合查询数据（3月返）'!$A:$A,1,FALSE)</f>
        <v>#N/A</v>
      </c>
      <c r="J492" s="152" t="s">
        <v>781</v>
      </c>
      <c r="K492" s="109" t="s">
        <v>775</v>
      </c>
      <c r="L492" s="153"/>
      <c r="M492" s="26" t="s">
        <v>776</v>
      </c>
      <c r="N492" s="154">
        <v>43358</v>
      </c>
      <c r="O492" s="28" t="s">
        <v>457</v>
      </c>
      <c r="P492" s="131">
        <v>5216.57</v>
      </c>
      <c r="Q492" s="156">
        <v>2</v>
      </c>
      <c r="R492" s="120">
        <f t="shared" si="17"/>
        <v>10433.14</v>
      </c>
      <c r="S492" s="117">
        <v>202303</v>
      </c>
      <c r="T492" s="157"/>
      <c r="U492" s="157"/>
      <c r="V492" s="133"/>
      <c r="W492" s="133"/>
      <c r="X492" s="118">
        <v>43647</v>
      </c>
      <c r="Y492" s="118">
        <v>45229</v>
      </c>
    </row>
    <row r="493" s="79" customFormat="1" customHeight="1" spans="1:25">
      <c r="A493" s="98" t="s">
        <v>61</v>
      </c>
      <c r="B493" s="98" t="s">
        <v>62</v>
      </c>
      <c r="C493" s="98" t="s">
        <v>217</v>
      </c>
      <c r="D493" s="96" t="s">
        <v>64</v>
      </c>
      <c r="E493" s="147" t="s">
        <v>771</v>
      </c>
      <c r="F493" s="129" t="s">
        <v>772</v>
      </c>
      <c r="G493" s="151" t="s">
        <v>88</v>
      </c>
      <c r="H493" s="19" t="s">
        <v>773</v>
      </c>
      <c r="I493" s="23" t="e">
        <f>VLOOKUP(H493,'合同综合查询数据（3月返）'!$A:$A,1,FALSE)</f>
        <v>#N/A</v>
      </c>
      <c r="J493" s="152" t="s">
        <v>781</v>
      </c>
      <c r="K493" s="109" t="s">
        <v>775</v>
      </c>
      <c r="L493" s="153"/>
      <c r="M493" s="26" t="s">
        <v>776</v>
      </c>
      <c r="N493" s="154">
        <v>43357</v>
      </c>
      <c r="O493" s="28" t="s">
        <v>457</v>
      </c>
      <c r="P493" s="131">
        <v>5216.57</v>
      </c>
      <c r="Q493" s="156">
        <v>4</v>
      </c>
      <c r="R493" s="120">
        <f t="shared" si="17"/>
        <v>20866.28</v>
      </c>
      <c r="S493" s="117">
        <v>202303</v>
      </c>
      <c r="T493" s="157"/>
      <c r="U493" s="157"/>
      <c r="V493" s="133"/>
      <c r="W493" s="133"/>
      <c r="X493" s="118">
        <v>43647</v>
      </c>
      <c r="Y493" s="118">
        <v>45229</v>
      </c>
    </row>
    <row r="494" s="79" customFormat="1" customHeight="1" spans="1:25">
      <c r="A494" s="98" t="s">
        <v>61</v>
      </c>
      <c r="B494" s="98" t="s">
        <v>62</v>
      </c>
      <c r="C494" s="98" t="s">
        <v>217</v>
      </c>
      <c r="D494" s="96" t="s">
        <v>64</v>
      </c>
      <c r="E494" s="147" t="s">
        <v>771</v>
      </c>
      <c r="F494" s="129" t="s">
        <v>772</v>
      </c>
      <c r="G494" s="151" t="s">
        <v>88</v>
      </c>
      <c r="H494" s="19" t="s">
        <v>773</v>
      </c>
      <c r="I494" s="23" t="e">
        <f>VLOOKUP(H494,'合同综合查询数据（3月返）'!$A:$A,1,FALSE)</f>
        <v>#N/A</v>
      </c>
      <c r="J494" s="152" t="s">
        <v>781</v>
      </c>
      <c r="K494" s="109" t="s">
        <v>775</v>
      </c>
      <c r="L494" s="153"/>
      <c r="M494" s="26" t="s">
        <v>776</v>
      </c>
      <c r="N494" s="154">
        <v>43341</v>
      </c>
      <c r="O494" s="28" t="s">
        <v>457</v>
      </c>
      <c r="P494" s="131">
        <v>5216.57</v>
      </c>
      <c r="Q494" s="156">
        <v>16</v>
      </c>
      <c r="R494" s="120">
        <f t="shared" ref="R494:R525" si="18">ROUND(P494*Q494,2)</f>
        <v>83465.12</v>
      </c>
      <c r="S494" s="117">
        <v>202303</v>
      </c>
      <c r="T494" s="157"/>
      <c r="U494" s="157"/>
      <c r="V494" s="133"/>
      <c r="W494" s="133"/>
      <c r="X494" s="118">
        <v>43647</v>
      </c>
      <c r="Y494" s="118">
        <v>45229</v>
      </c>
    </row>
    <row r="495" s="79" customFormat="1" customHeight="1" spans="1:25">
      <c r="A495" s="98" t="s">
        <v>61</v>
      </c>
      <c r="B495" s="98" t="s">
        <v>62</v>
      </c>
      <c r="C495" s="98" t="s">
        <v>217</v>
      </c>
      <c r="D495" s="96" t="s">
        <v>64</v>
      </c>
      <c r="E495" s="147" t="s">
        <v>771</v>
      </c>
      <c r="F495" s="129" t="s">
        <v>772</v>
      </c>
      <c r="G495" s="151" t="s">
        <v>88</v>
      </c>
      <c r="H495" s="19" t="s">
        <v>773</v>
      </c>
      <c r="I495" s="23" t="e">
        <f>VLOOKUP(H495,'合同综合查询数据（3月返）'!$A:$A,1,FALSE)</f>
        <v>#N/A</v>
      </c>
      <c r="J495" s="152" t="s">
        <v>781</v>
      </c>
      <c r="K495" s="109" t="s">
        <v>775</v>
      </c>
      <c r="L495" s="153"/>
      <c r="M495" s="26" t="s">
        <v>776</v>
      </c>
      <c r="N495" s="154">
        <v>43350</v>
      </c>
      <c r="O495" s="28" t="s">
        <v>457</v>
      </c>
      <c r="P495" s="131">
        <v>5216.57</v>
      </c>
      <c r="Q495" s="156">
        <v>3</v>
      </c>
      <c r="R495" s="120">
        <f t="shared" si="18"/>
        <v>15649.71</v>
      </c>
      <c r="S495" s="117">
        <v>202303</v>
      </c>
      <c r="T495" s="157"/>
      <c r="U495" s="157"/>
      <c r="V495" s="133"/>
      <c r="W495" s="133"/>
      <c r="X495" s="118">
        <v>43647</v>
      </c>
      <c r="Y495" s="118">
        <v>45229</v>
      </c>
    </row>
    <row r="496" s="79" customFormat="1" customHeight="1" spans="1:25">
      <c r="A496" s="98" t="s">
        <v>61</v>
      </c>
      <c r="B496" s="98" t="s">
        <v>62</v>
      </c>
      <c r="C496" s="98" t="s">
        <v>217</v>
      </c>
      <c r="D496" s="96" t="s">
        <v>64</v>
      </c>
      <c r="E496" s="147" t="s">
        <v>771</v>
      </c>
      <c r="F496" s="129" t="s">
        <v>772</v>
      </c>
      <c r="G496" s="151" t="s">
        <v>88</v>
      </c>
      <c r="H496" s="19" t="s">
        <v>773</v>
      </c>
      <c r="I496" s="23" t="e">
        <f>VLOOKUP(H496,'合同综合查询数据（3月返）'!$A:$A,1,FALSE)</f>
        <v>#N/A</v>
      </c>
      <c r="J496" s="152" t="s">
        <v>781</v>
      </c>
      <c r="K496" s="109" t="s">
        <v>775</v>
      </c>
      <c r="L496" s="153"/>
      <c r="M496" s="26" t="s">
        <v>776</v>
      </c>
      <c r="N496" s="154">
        <v>43350</v>
      </c>
      <c r="O496" s="28" t="s">
        <v>457</v>
      </c>
      <c r="P496" s="131">
        <v>5216.57</v>
      </c>
      <c r="Q496" s="156">
        <v>6</v>
      </c>
      <c r="R496" s="120">
        <f t="shared" si="18"/>
        <v>31299.42</v>
      </c>
      <c r="S496" s="117">
        <v>202303</v>
      </c>
      <c r="T496" s="157"/>
      <c r="U496" s="157"/>
      <c r="V496" s="133"/>
      <c r="W496" s="133"/>
      <c r="X496" s="118">
        <v>43647</v>
      </c>
      <c r="Y496" s="118">
        <v>45229</v>
      </c>
    </row>
    <row r="497" s="79" customFormat="1" customHeight="1" spans="1:25">
      <c r="A497" s="98" t="s">
        <v>61</v>
      </c>
      <c r="B497" s="98" t="s">
        <v>62</v>
      </c>
      <c r="C497" s="98" t="s">
        <v>217</v>
      </c>
      <c r="D497" s="96" t="s">
        <v>64</v>
      </c>
      <c r="E497" s="147" t="s">
        <v>771</v>
      </c>
      <c r="F497" s="129" t="s">
        <v>772</v>
      </c>
      <c r="G497" s="151" t="s">
        <v>88</v>
      </c>
      <c r="H497" s="19" t="s">
        <v>773</v>
      </c>
      <c r="I497" s="23" t="e">
        <f>VLOOKUP(H497,'合同综合查询数据（3月返）'!$A:$A,1,FALSE)</f>
        <v>#N/A</v>
      </c>
      <c r="J497" s="152" t="s">
        <v>781</v>
      </c>
      <c r="K497" s="109" t="s">
        <v>775</v>
      </c>
      <c r="L497" s="153"/>
      <c r="M497" s="26" t="s">
        <v>776</v>
      </c>
      <c r="N497" s="154">
        <v>43353</v>
      </c>
      <c r="O497" s="28" t="s">
        <v>457</v>
      </c>
      <c r="P497" s="131">
        <v>5216.57</v>
      </c>
      <c r="Q497" s="156">
        <v>8</v>
      </c>
      <c r="R497" s="120">
        <f t="shared" si="18"/>
        <v>41732.56</v>
      </c>
      <c r="S497" s="117">
        <v>202303</v>
      </c>
      <c r="T497" s="157"/>
      <c r="U497" s="157"/>
      <c r="V497" s="133"/>
      <c r="W497" s="133"/>
      <c r="X497" s="118">
        <v>43647</v>
      </c>
      <c r="Y497" s="118">
        <v>45229</v>
      </c>
    </row>
    <row r="498" s="79" customFormat="1" customHeight="1" spans="1:25">
      <c r="A498" s="98" t="s">
        <v>61</v>
      </c>
      <c r="B498" s="98" t="s">
        <v>62</v>
      </c>
      <c r="C498" s="98" t="s">
        <v>217</v>
      </c>
      <c r="D498" s="96" t="s">
        <v>64</v>
      </c>
      <c r="E498" s="147" t="s">
        <v>771</v>
      </c>
      <c r="F498" s="129" t="s">
        <v>772</v>
      </c>
      <c r="G498" s="151" t="s">
        <v>88</v>
      </c>
      <c r="H498" s="19" t="s">
        <v>773</v>
      </c>
      <c r="I498" s="23" t="e">
        <f>VLOOKUP(H498,'合同综合查询数据（3月返）'!$A:$A,1,FALSE)</f>
        <v>#N/A</v>
      </c>
      <c r="J498" s="152" t="s">
        <v>781</v>
      </c>
      <c r="K498" s="109" t="s">
        <v>775</v>
      </c>
      <c r="L498" s="153"/>
      <c r="M498" s="26" t="s">
        <v>776</v>
      </c>
      <c r="N498" s="154">
        <v>43354</v>
      </c>
      <c r="O498" s="28" t="s">
        <v>457</v>
      </c>
      <c r="P498" s="131">
        <v>5216.57</v>
      </c>
      <c r="Q498" s="156">
        <v>12</v>
      </c>
      <c r="R498" s="120">
        <f t="shared" si="18"/>
        <v>62598.84</v>
      </c>
      <c r="S498" s="117">
        <v>202303</v>
      </c>
      <c r="T498" s="157"/>
      <c r="U498" s="157"/>
      <c r="V498" s="133"/>
      <c r="W498" s="133"/>
      <c r="X498" s="118">
        <v>43647</v>
      </c>
      <c r="Y498" s="118">
        <v>45229</v>
      </c>
    </row>
    <row r="499" s="79" customFormat="1" customHeight="1" spans="1:25">
      <c r="A499" s="98" t="s">
        <v>61</v>
      </c>
      <c r="B499" s="98" t="s">
        <v>62</v>
      </c>
      <c r="C499" s="98" t="s">
        <v>217</v>
      </c>
      <c r="D499" s="96" t="s">
        <v>64</v>
      </c>
      <c r="E499" s="147" t="s">
        <v>771</v>
      </c>
      <c r="F499" s="129" t="s">
        <v>772</v>
      </c>
      <c r="G499" s="151" t="s">
        <v>88</v>
      </c>
      <c r="H499" s="19" t="s">
        <v>773</v>
      </c>
      <c r="I499" s="23" t="e">
        <f>VLOOKUP(H499,'合同综合查询数据（3月返）'!$A:$A,1,FALSE)</f>
        <v>#N/A</v>
      </c>
      <c r="J499" s="152" t="s">
        <v>781</v>
      </c>
      <c r="K499" s="109" t="s">
        <v>775</v>
      </c>
      <c r="L499" s="153"/>
      <c r="M499" s="26" t="s">
        <v>776</v>
      </c>
      <c r="N499" s="154">
        <v>43356</v>
      </c>
      <c r="O499" s="28" t="s">
        <v>457</v>
      </c>
      <c r="P499" s="131">
        <v>5216.57</v>
      </c>
      <c r="Q499" s="156">
        <v>4</v>
      </c>
      <c r="R499" s="120">
        <f t="shared" si="18"/>
        <v>20866.28</v>
      </c>
      <c r="S499" s="117">
        <v>202303</v>
      </c>
      <c r="T499" s="157"/>
      <c r="U499" s="157"/>
      <c r="V499" s="133"/>
      <c r="W499" s="133"/>
      <c r="X499" s="118">
        <v>43647</v>
      </c>
      <c r="Y499" s="118">
        <v>45229</v>
      </c>
    </row>
    <row r="500" s="79" customFormat="1" customHeight="1" spans="1:25">
      <c r="A500" s="98" t="s">
        <v>61</v>
      </c>
      <c r="B500" s="98" t="s">
        <v>62</v>
      </c>
      <c r="C500" s="98" t="s">
        <v>217</v>
      </c>
      <c r="D500" s="96" t="s">
        <v>64</v>
      </c>
      <c r="E500" s="147" t="s">
        <v>771</v>
      </c>
      <c r="F500" s="129" t="s">
        <v>772</v>
      </c>
      <c r="G500" s="151" t="s">
        <v>88</v>
      </c>
      <c r="H500" s="19" t="s">
        <v>773</v>
      </c>
      <c r="I500" s="23" t="e">
        <f>VLOOKUP(H500,'合同综合查询数据（3月返）'!$A:$A,1,FALSE)</f>
        <v>#N/A</v>
      </c>
      <c r="J500" s="152" t="s">
        <v>781</v>
      </c>
      <c r="K500" s="109" t="s">
        <v>775</v>
      </c>
      <c r="L500" s="153"/>
      <c r="M500" s="26" t="s">
        <v>776</v>
      </c>
      <c r="N500" s="154">
        <v>43357</v>
      </c>
      <c r="O500" s="28" t="s">
        <v>457</v>
      </c>
      <c r="P500" s="131">
        <v>5216.57</v>
      </c>
      <c r="Q500" s="156">
        <v>5</v>
      </c>
      <c r="R500" s="120">
        <f t="shared" si="18"/>
        <v>26082.85</v>
      </c>
      <c r="S500" s="117">
        <v>202303</v>
      </c>
      <c r="T500" s="157"/>
      <c r="U500" s="157"/>
      <c r="V500" s="133"/>
      <c r="W500" s="133"/>
      <c r="X500" s="118">
        <v>43647</v>
      </c>
      <c r="Y500" s="118">
        <v>45229</v>
      </c>
    </row>
    <row r="501" s="79" customFormat="1" customHeight="1" spans="1:25">
      <c r="A501" s="98" t="s">
        <v>61</v>
      </c>
      <c r="B501" s="98" t="s">
        <v>62</v>
      </c>
      <c r="C501" s="98" t="s">
        <v>217</v>
      </c>
      <c r="D501" s="96" t="s">
        <v>64</v>
      </c>
      <c r="E501" s="147" t="s">
        <v>771</v>
      </c>
      <c r="F501" s="129" t="s">
        <v>772</v>
      </c>
      <c r="G501" s="151" t="s">
        <v>88</v>
      </c>
      <c r="H501" s="19" t="s">
        <v>773</v>
      </c>
      <c r="I501" s="23" t="e">
        <f>VLOOKUP(H501,'合同综合查询数据（3月返）'!$A:$A,1,FALSE)</f>
        <v>#N/A</v>
      </c>
      <c r="J501" s="152" t="s">
        <v>781</v>
      </c>
      <c r="K501" s="109" t="s">
        <v>775</v>
      </c>
      <c r="L501" s="153"/>
      <c r="M501" s="26" t="s">
        <v>776</v>
      </c>
      <c r="N501" s="154">
        <v>43362</v>
      </c>
      <c r="O501" s="28" t="s">
        <v>457</v>
      </c>
      <c r="P501" s="131">
        <v>5216.57</v>
      </c>
      <c r="Q501" s="156">
        <v>4</v>
      </c>
      <c r="R501" s="120">
        <f t="shared" si="18"/>
        <v>20866.28</v>
      </c>
      <c r="S501" s="117">
        <v>202303</v>
      </c>
      <c r="T501" s="157"/>
      <c r="U501" s="157"/>
      <c r="V501" s="133"/>
      <c r="W501" s="133"/>
      <c r="X501" s="118">
        <v>43647</v>
      </c>
      <c r="Y501" s="118">
        <v>45229</v>
      </c>
    </row>
    <row r="502" s="79" customFormat="1" customHeight="1" spans="1:25">
      <c r="A502" s="98" t="s">
        <v>61</v>
      </c>
      <c r="B502" s="98" t="s">
        <v>62</v>
      </c>
      <c r="C502" s="98" t="s">
        <v>217</v>
      </c>
      <c r="D502" s="96" t="s">
        <v>64</v>
      </c>
      <c r="E502" s="147" t="s">
        <v>771</v>
      </c>
      <c r="F502" s="129" t="s">
        <v>772</v>
      </c>
      <c r="G502" s="151" t="s">
        <v>88</v>
      </c>
      <c r="H502" s="19" t="s">
        <v>773</v>
      </c>
      <c r="I502" s="23" t="e">
        <f>VLOOKUP(H502,'合同综合查询数据（3月返）'!$A:$A,1,FALSE)</f>
        <v>#N/A</v>
      </c>
      <c r="J502" s="152" t="s">
        <v>781</v>
      </c>
      <c r="K502" s="109" t="s">
        <v>775</v>
      </c>
      <c r="L502" s="153"/>
      <c r="M502" s="26" t="s">
        <v>776</v>
      </c>
      <c r="N502" s="154">
        <v>43363</v>
      </c>
      <c r="O502" s="28" t="s">
        <v>457</v>
      </c>
      <c r="P502" s="131">
        <v>5216.57</v>
      </c>
      <c r="Q502" s="156">
        <v>7</v>
      </c>
      <c r="R502" s="120">
        <f t="shared" si="18"/>
        <v>36515.99</v>
      </c>
      <c r="S502" s="117">
        <v>202303</v>
      </c>
      <c r="T502" s="157"/>
      <c r="U502" s="157"/>
      <c r="V502" s="133"/>
      <c r="W502" s="133"/>
      <c r="X502" s="118">
        <v>43647</v>
      </c>
      <c r="Y502" s="118">
        <v>45229</v>
      </c>
    </row>
    <row r="503" s="79" customFormat="1" customHeight="1" spans="1:25">
      <c r="A503" s="98" t="s">
        <v>61</v>
      </c>
      <c r="B503" s="98" t="s">
        <v>62</v>
      </c>
      <c r="C503" s="98" t="s">
        <v>217</v>
      </c>
      <c r="D503" s="96" t="s">
        <v>64</v>
      </c>
      <c r="E503" s="147" t="s">
        <v>771</v>
      </c>
      <c r="F503" s="129" t="s">
        <v>772</v>
      </c>
      <c r="G503" s="151" t="s">
        <v>88</v>
      </c>
      <c r="H503" s="19" t="s">
        <v>773</v>
      </c>
      <c r="I503" s="23" t="e">
        <f>VLOOKUP(H503,'合同综合查询数据（3月返）'!$A:$A,1,FALSE)</f>
        <v>#N/A</v>
      </c>
      <c r="J503" s="152" t="s">
        <v>781</v>
      </c>
      <c r="K503" s="109" t="s">
        <v>775</v>
      </c>
      <c r="L503" s="153"/>
      <c r="M503" s="26" t="s">
        <v>776</v>
      </c>
      <c r="N503" s="154">
        <v>43369</v>
      </c>
      <c r="O503" s="28" t="s">
        <v>457</v>
      </c>
      <c r="P503" s="131">
        <v>5216.57</v>
      </c>
      <c r="Q503" s="156">
        <v>3</v>
      </c>
      <c r="R503" s="120">
        <f t="shared" si="18"/>
        <v>15649.71</v>
      </c>
      <c r="S503" s="117">
        <v>202303</v>
      </c>
      <c r="T503" s="157"/>
      <c r="U503" s="157"/>
      <c r="V503" s="133"/>
      <c r="W503" s="133"/>
      <c r="X503" s="118">
        <v>43647</v>
      </c>
      <c r="Y503" s="118">
        <v>45229</v>
      </c>
    </row>
    <row r="504" s="79" customFormat="1" customHeight="1" spans="1:25">
      <c r="A504" s="98" t="s">
        <v>61</v>
      </c>
      <c r="B504" s="98" t="s">
        <v>62</v>
      </c>
      <c r="C504" s="98" t="s">
        <v>217</v>
      </c>
      <c r="D504" s="96" t="s">
        <v>64</v>
      </c>
      <c r="E504" s="147" t="s">
        <v>771</v>
      </c>
      <c r="F504" s="129" t="s">
        <v>772</v>
      </c>
      <c r="G504" s="151" t="s">
        <v>88</v>
      </c>
      <c r="H504" s="19" t="s">
        <v>773</v>
      </c>
      <c r="I504" s="23" t="e">
        <f>VLOOKUP(H504,'合同综合查询数据（3月返）'!$A:$A,1,FALSE)</f>
        <v>#N/A</v>
      </c>
      <c r="J504" s="152" t="s">
        <v>781</v>
      </c>
      <c r="K504" s="109" t="s">
        <v>775</v>
      </c>
      <c r="L504" s="153"/>
      <c r="M504" s="26" t="s">
        <v>776</v>
      </c>
      <c r="N504" s="154">
        <v>43371</v>
      </c>
      <c r="O504" s="28" t="s">
        <v>457</v>
      </c>
      <c r="P504" s="131">
        <v>5216.57</v>
      </c>
      <c r="Q504" s="156">
        <v>19</v>
      </c>
      <c r="R504" s="120">
        <f t="shared" si="18"/>
        <v>99114.83</v>
      </c>
      <c r="S504" s="117">
        <v>202303</v>
      </c>
      <c r="T504" s="157"/>
      <c r="U504" s="157"/>
      <c r="V504" s="133"/>
      <c r="W504" s="133"/>
      <c r="X504" s="118">
        <v>43647</v>
      </c>
      <c r="Y504" s="118">
        <v>45229</v>
      </c>
    </row>
    <row r="505" s="79" customFormat="1" customHeight="1" spans="1:25">
      <c r="A505" s="98" t="s">
        <v>61</v>
      </c>
      <c r="B505" s="98" t="s">
        <v>62</v>
      </c>
      <c r="C505" s="98" t="s">
        <v>217</v>
      </c>
      <c r="D505" s="96" t="s">
        <v>64</v>
      </c>
      <c r="E505" s="147" t="s">
        <v>771</v>
      </c>
      <c r="F505" s="129" t="s">
        <v>772</v>
      </c>
      <c r="G505" s="151" t="s">
        <v>88</v>
      </c>
      <c r="H505" s="19" t="s">
        <v>773</v>
      </c>
      <c r="I505" s="23" t="e">
        <f>VLOOKUP(H505,'合同综合查询数据（3月返）'!$A:$A,1,FALSE)</f>
        <v>#N/A</v>
      </c>
      <c r="J505" s="152" t="s">
        <v>781</v>
      </c>
      <c r="K505" s="109" t="s">
        <v>775</v>
      </c>
      <c r="L505" s="153"/>
      <c r="M505" s="26" t="s">
        <v>776</v>
      </c>
      <c r="N505" s="154">
        <v>43381</v>
      </c>
      <c r="O505" s="28" t="s">
        <v>457</v>
      </c>
      <c r="P505" s="131">
        <v>5216.57</v>
      </c>
      <c r="Q505" s="156">
        <v>11</v>
      </c>
      <c r="R505" s="120">
        <f t="shared" si="18"/>
        <v>57382.27</v>
      </c>
      <c r="S505" s="117">
        <v>202303</v>
      </c>
      <c r="T505" s="157"/>
      <c r="U505" s="157"/>
      <c r="V505" s="133"/>
      <c r="W505" s="133"/>
      <c r="X505" s="118">
        <v>43647</v>
      </c>
      <c r="Y505" s="118">
        <v>45229</v>
      </c>
    </row>
    <row r="506" s="79" customFormat="1" customHeight="1" spans="1:25">
      <c r="A506" s="98" t="s">
        <v>61</v>
      </c>
      <c r="B506" s="98" t="s">
        <v>62</v>
      </c>
      <c r="C506" s="98" t="s">
        <v>217</v>
      </c>
      <c r="D506" s="96" t="s">
        <v>64</v>
      </c>
      <c r="E506" s="147" t="s">
        <v>771</v>
      </c>
      <c r="F506" s="129" t="s">
        <v>772</v>
      </c>
      <c r="G506" s="151" t="s">
        <v>88</v>
      </c>
      <c r="H506" s="19" t="s">
        <v>773</v>
      </c>
      <c r="I506" s="23" t="e">
        <f>VLOOKUP(H506,'合同综合查询数据（3月返）'!$A:$A,1,FALSE)</f>
        <v>#N/A</v>
      </c>
      <c r="J506" s="152" t="s">
        <v>781</v>
      </c>
      <c r="K506" s="109" t="s">
        <v>775</v>
      </c>
      <c r="L506" s="153"/>
      <c r="M506" s="26" t="s">
        <v>776</v>
      </c>
      <c r="N506" s="154">
        <v>43388</v>
      </c>
      <c r="O506" s="28" t="s">
        <v>457</v>
      </c>
      <c r="P506" s="131">
        <v>5216.57</v>
      </c>
      <c r="Q506" s="156">
        <v>1</v>
      </c>
      <c r="R506" s="120">
        <f t="shared" si="18"/>
        <v>5216.57</v>
      </c>
      <c r="S506" s="117">
        <v>202303</v>
      </c>
      <c r="T506" s="157"/>
      <c r="U506" s="157"/>
      <c r="V506" s="133"/>
      <c r="W506" s="133"/>
      <c r="X506" s="118">
        <v>43647</v>
      </c>
      <c r="Y506" s="118">
        <v>45229</v>
      </c>
    </row>
    <row r="507" s="79" customFormat="1" customHeight="1" spans="1:25">
      <c r="A507" s="98" t="s">
        <v>61</v>
      </c>
      <c r="B507" s="98" t="s">
        <v>62</v>
      </c>
      <c r="C507" s="98" t="s">
        <v>217</v>
      </c>
      <c r="D507" s="96" t="s">
        <v>64</v>
      </c>
      <c r="E507" s="147" t="s">
        <v>771</v>
      </c>
      <c r="F507" s="129" t="s">
        <v>772</v>
      </c>
      <c r="G507" s="151" t="s">
        <v>88</v>
      </c>
      <c r="H507" s="19" t="s">
        <v>773</v>
      </c>
      <c r="I507" s="23" t="e">
        <f>VLOOKUP(H507,'合同综合查询数据（3月返）'!$A:$A,1,FALSE)</f>
        <v>#N/A</v>
      </c>
      <c r="J507" s="152" t="s">
        <v>781</v>
      </c>
      <c r="K507" s="109" t="s">
        <v>775</v>
      </c>
      <c r="L507" s="153"/>
      <c r="M507" s="26" t="s">
        <v>776</v>
      </c>
      <c r="N507" s="154">
        <v>43416</v>
      </c>
      <c r="O507" s="28" t="s">
        <v>457</v>
      </c>
      <c r="P507" s="131">
        <v>5216.57</v>
      </c>
      <c r="Q507" s="156">
        <v>4</v>
      </c>
      <c r="R507" s="120">
        <f t="shared" si="18"/>
        <v>20866.28</v>
      </c>
      <c r="S507" s="117">
        <v>202303</v>
      </c>
      <c r="T507" s="157"/>
      <c r="U507" s="157"/>
      <c r="V507" s="133"/>
      <c r="W507" s="133"/>
      <c r="X507" s="118">
        <v>43647</v>
      </c>
      <c r="Y507" s="118">
        <v>45229</v>
      </c>
    </row>
    <row r="508" s="79" customFormat="1" customHeight="1" spans="1:25">
      <c r="A508" s="98" t="s">
        <v>61</v>
      </c>
      <c r="B508" s="98" t="s">
        <v>62</v>
      </c>
      <c r="C508" s="98" t="s">
        <v>217</v>
      </c>
      <c r="D508" s="96" t="s">
        <v>64</v>
      </c>
      <c r="E508" s="147" t="s">
        <v>771</v>
      </c>
      <c r="F508" s="129" t="s">
        <v>772</v>
      </c>
      <c r="G508" s="151" t="s">
        <v>88</v>
      </c>
      <c r="H508" s="19" t="s">
        <v>773</v>
      </c>
      <c r="I508" s="23" t="e">
        <f>VLOOKUP(H508,'合同综合查询数据（3月返）'!$A:$A,1,FALSE)</f>
        <v>#N/A</v>
      </c>
      <c r="J508" s="152" t="s">
        <v>781</v>
      </c>
      <c r="K508" s="109" t="s">
        <v>775</v>
      </c>
      <c r="L508" s="153"/>
      <c r="M508" s="26" t="s">
        <v>776</v>
      </c>
      <c r="N508" s="154">
        <v>43420</v>
      </c>
      <c r="O508" s="28" t="s">
        <v>457</v>
      </c>
      <c r="P508" s="131">
        <v>5216.57</v>
      </c>
      <c r="Q508" s="156">
        <v>3</v>
      </c>
      <c r="R508" s="120">
        <f t="shared" si="18"/>
        <v>15649.71</v>
      </c>
      <c r="S508" s="117">
        <v>202303</v>
      </c>
      <c r="T508" s="157"/>
      <c r="U508" s="157"/>
      <c r="V508" s="133"/>
      <c r="W508" s="133"/>
      <c r="X508" s="118">
        <v>43647</v>
      </c>
      <c r="Y508" s="118">
        <v>45229</v>
      </c>
    </row>
    <row r="509" s="79" customFormat="1" customHeight="1" spans="1:25">
      <c r="A509" s="98" t="s">
        <v>61</v>
      </c>
      <c r="B509" s="98" t="s">
        <v>62</v>
      </c>
      <c r="C509" s="98" t="s">
        <v>217</v>
      </c>
      <c r="D509" s="96" t="s">
        <v>64</v>
      </c>
      <c r="E509" s="147" t="s">
        <v>771</v>
      </c>
      <c r="F509" s="129" t="s">
        <v>772</v>
      </c>
      <c r="G509" s="151" t="s">
        <v>88</v>
      </c>
      <c r="H509" s="19" t="s">
        <v>773</v>
      </c>
      <c r="I509" s="23" t="e">
        <f>VLOOKUP(H509,'合同综合查询数据（3月返）'!$A:$A,1,FALSE)</f>
        <v>#N/A</v>
      </c>
      <c r="J509" s="152" t="s">
        <v>781</v>
      </c>
      <c r="K509" s="109" t="s">
        <v>775</v>
      </c>
      <c r="L509" s="153"/>
      <c r="M509" s="26" t="s">
        <v>776</v>
      </c>
      <c r="N509" s="154">
        <v>43427</v>
      </c>
      <c r="O509" s="28" t="s">
        <v>457</v>
      </c>
      <c r="P509" s="131">
        <v>5216.57</v>
      </c>
      <c r="Q509" s="156">
        <v>3</v>
      </c>
      <c r="R509" s="120">
        <f t="shared" si="18"/>
        <v>15649.71</v>
      </c>
      <c r="S509" s="117">
        <v>202303</v>
      </c>
      <c r="T509" s="157"/>
      <c r="U509" s="157"/>
      <c r="V509" s="133"/>
      <c r="W509" s="133"/>
      <c r="X509" s="118">
        <v>43647</v>
      </c>
      <c r="Y509" s="118">
        <v>45229</v>
      </c>
    </row>
    <row r="510" s="79" customFormat="1" customHeight="1" spans="1:25">
      <c r="A510" s="98" t="s">
        <v>61</v>
      </c>
      <c r="B510" s="98" t="s">
        <v>62</v>
      </c>
      <c r="C510" s="98" t="s">
        <v>217</v>
      </c>
      <c r="D510" s="96" t="s">
        <v>64</v>
      </c>
      <c r="E510" s="147" t="s">
        <v>771</v>
      </c>
      <c r="F510" s="129" t="s">
        <v>772</v>
      </c>
      <c r="G510" s="151" t="s">
        <v>88</v>
      </c>
      <c r="H510" s="19" t="s">
        <v>773</v>
      </c>
      <c r="I510" s="23" t="e">
        <f>VLOOKUP(H510,'合同综合查询数据（3月返）'!$A:$A,1,FALSE)</f>
        <v>#N/A</v>
      </c>
      <c r="J510" s="152" t="s">
        <v>781</v>
      </c>
      <c r="K510" s="109" t="s">
        <v>775</v>
      </c>
      <c r="L510" s="153"/>
      <c r="M510" s="26" t="s">
        <v>776</v>
      </c>
      <c r="N510" s="154">
        <v>43406</v>
      </c>
      <c r="O510" s="28" t="s">
        <v>457</v>
      </c>
      <c r="P510" s="131">
        <v>5216.57</v>
      </c>
      <c r="Q510" s="156">
        <v>2</v>
      </c>
      <c r="R510" s="120">
        <f t="shared" si="18"/>
        <v>10433.14</v>
      </c>
      <c r="S510" s="117">
        <v>202303</v>
      </c>
      <c r="T510" s="157"/>
      <c r="U510" s="157"/>
      <c r="V510" s="133"/>
      <c r="W510" s="133"/>
      <c r="X510" s="118">
        <v>43647</v>
      </c>
      <c r="Y510" s="118">
        <v>45229</v>
      </c>
    </row>
    <row r="511" s="79" customFormat="1" customHeight="1" spans="1:25">
      <c r="A511" s="98" t="s">
        <v>61</v>
      </c>
      <c r="B511" s="98" t="s">
        <v>62</v>
      </c>
      <c r="C511" s="98" t="s">
        <v>217</v>
      </c>
      <c r="D511" s="96" t="s">
        <v>64</v>
      </c>
      <c r="E511" s="147" t="s">
        <v>771</v>
      </c>
      <c r="F511" s="129" t="s">
        <v>772</v>
      </c>
      <c r="G511" s="151" t="s">
        <v>88</v>
      </c>
      <c r="H511" s="19" t="s">
        <v>773</v>
      </c>
      <c r="I511" s="23" t="e">
        <f>VLOOKUP(H511,'合同综合查询数据（3月返）'!$A:$A,1,FALSE)</f>
        <v>#N/A</v>
      </c>
      <c r="J511" s="152" t="s">
        <v>781</v>
      </c>
      <c r="K511" s="109" t="s">
        <v>775</v>
      </c>
      <c r="L511" s="153"/>
      <c r="M511" s="26" t="s">
        <v>776</v>
      </c>
      <c r="N511" s="154">
        <v>43409</v>
      </c>
      <c r="O511" s="28" t="s">
        <v>457</v>
      </c>
      <c r="P511" s="131">
        <v>5216.57</v>
      </c>
      <c r="Q511" s="156">
        <v>28</v>
      </c>
      <c r="R511" s="120">
        <f t="shared" si="18"/>
        <v>146063.96</v>
      </c>
      <c r="S511" s="117">
        <v>202303</v>
      </c>
      <c r="T511" s="157"/>
      <c r="U511" s="157"/>
      <c r="V511" s="133"/>
      <c r="W511" s="133"/>
      <c r="X511" s="118">
        <v>43647</v>
      </c>
      <c r="Y511" s="118">
        <v>45229</v>
      </c>
    </row>
    <row r="512" s="79" customFormat="1" customHeight="1" spans="1:25">
      <c r="A512" s="98" t="s">
        <v>61</v>
      </c>
      <c r="B512" s="98" t="s">
        <v>62</v>
      </c>
      <c r="C512" s="98" t="s">
        <v>217</v>
      </c>
      <c r="D512" s="96" t="s">
        <v>64</v>
      </c>
      <c r="E512" s="147" t="s">
        <v>771</v>
      </c>
      <c r="F512" s="129" t="s">
        <v>772</v>
      </c>
      <c r="G512" s="151" t="s">
        <v>88</v>
      </c>
      <c r="H512" s="19" t="s">
        <v>773</v>
      </c>
      <c r="I512" s="23" t="e">
        <f>VLOOKUP(H512,'合同综合查询数据（3月返）'!$A:$A,1,FALSE)</f>
        <v>#N/A</v>
      </c>
      <c r="J512" s="152" t="s">
        <v>781</v>
      </c>
      <c r="K512" s="109" t="s">
        <v>775</v>
      </c>
      <c r="L512" s="153"/>
      <c r="M512" s="26" t="s">
        <v>776</v>
      </c>
      <c r="N512" s="154">
        <v>43410</v>
      </c>
      <c r="O512" s="28" t="s">
        <v>457</v>
      </c>
      <c r="P512" s="131">
        <v>5216.57</v>
      </c>
      <c r="Q512" s="156">
        <v>2</v>
      </c>
      <c r="R512" s="120">
        <f t="shared" si="18"/>
        <v>10433.14</v>
      </c>
      <c r="S512" s="117">
        <v>202303</v>
      </c>
      <c r="T512" s="157"/>
      <c r="U512" s="157"/>
      <c r="V512" s="133"/>
      <c r="W512" s="133"/>
      <c r="X512" s="118">
        <v>43647</v>
      </c>
      <c r="Y512" s="118">
        <v>45229</v>
      </c>
    </row>
    <row r="513" s="79" customFormat="1" customHeight="1" spans="1:25">
      <c r="A513" s="98" t="s">
        <v>61</v>
      </c>
      <c r="B513" s="98" t="s">
        <v>62</v>
      </c>
      <c r="C513" s="98" t="s">
        <v>217</v>
      </c>
      <c r="D513" s="96" t="s">
        <v>64</v>
      </c>
      <c r="E513" s="147" t="s">
        <v>771</v>
      </c>
      <c r="F513" s="129" t="s">
        <v>772</v>
      </c>
      <c r="G513" s="151" t="s">
        <v>88</v>
      </c>
      <c r="H513" s="19" t="s">
        <v>773</v>
      </c>
      <c r="I513" s="23" t="e">
        <f>VLOOKUP(H513,'合同综合查询数据（3月返）'!$A:$A,1,FALSE)</f>
        <v>#N/A</v>
      </c>
      <c r="J513" s="152" t="s">
        <v>781</v>
      </c>
      <c r="K513" s="109" t="s">
        <v>775</v>
      </c>
      <c r="L513" s="153"/>
      <c r="M513" s="26" t="s">
        <v>776</v>
      </c>
      <c r="N513" s="154">
        <v>43412</v>
      </c>
      <c r="O513" s="28" t="s">
        <v>457</v>
      </c>
      <c r="P513" s="131">
        <v>5216.57</v>
      </c>
      <c r="Q513" s="156">
        <v>1</v>
      </c>
      <c r="R513" s="120">
        <f t="shared" si="18"/>
        <v>5216.57</v>
      </c>
      <c r="S513" s="117">
        <v>202303</v>
      </c>
      <c r="T513" s="157"/>
      <c r="U513" s="157"/>
      <c r="V513" s="133"/>
      <c r="W513" s="133"/>
      <c r="X513" s="118">
        <v>43647</v>
      </c>
      <c r="Y513" s="118">
        <v>45229</v>
      </c>
    </row>
    <row r="514" s="79" customFormat="1" customHeight="1" spans="1:25">
      <c r="A514" s="98" t="s">
        <v>61</v>
      </c>
      <c r="B514" s="98" t="s">
        <v>62</v>
      </c>
      <c r="C514" s="98" t="s">
        <v>217</v>
      </c>
      <c r="D514" s="96" t="s">
        <v>64</v>
      </c>
      <c r="E514" s="147" t="s">
        <v>771</v>
      </c>
      <c r="F514" s="129" t="s">
        <v>772</v>
      </c>
      <c r="G514" s="151" t="s">
        <v>88</v>
      </c>
      <c r="H514" s="19" t="s">
        <v>773</v>
      </c>
      <c r="I514" s="23" t="e">
        <f>VLOOKUP(H514,'合同综合查询数据（3月返）'!$A:$A,1,FALSE)</f>
        <v>#N/A</v>
      </c>
      <c r="J514" s="152" t="s">
        <v>781</v>
      </c>
      <c r="K514" s="109" t="s">
        <v>775</v>
      </c>
      <c r="L514" s="153"/>
      <c r="M514" s="26" t="s">
        <v>776</v>
      </c>
      <c r="N514" s="154">
        <v>43423</v>
      </c>
      <c r="O514" s="28" t="s">
        <v>457</v>
      </c>
      <c r="P514" s="131">
        <v>5216.57</v>
      </c>
      <c r="Q514" s="156">
        <v>8</v>
      </c>
      <c r="R514" s="120">
        <f t="shared" si="18"/>
        <v>41732.56</v>
      </c>
      <c r="S514" s="117">
        <v>202303</v>
      </c>
      <c r="T514" s="157"/>
      <c r="U514" s="157"/>
      <c r="V514" s="133"/>
      <c r="W514" s="133"/>
      <c r="X514" s="118">
        <v>43647</v>
      </c>
      <c r="Y514" s="118">
        <v>45229</v>
      </c>
    </row>
    <row r="515" s="79" customFormat="1" customHeight="1" spans="1:25">
      <c r="A515" s="98" t="s">
        <v>61</v>
      </c>
      <c r="B515" s="98" t="s">
        <v>62</v>
      </c>
      <c r="C515" s="98" t="s">
        <v>217</v>
      </c>
      <c r="D515" s="96" t="s">
        <v>64</v>
      </c>
      <c r="E515" s="147" t="s">
        <v>771</v>
      </c>
      <c r="F515" s="129" t="s">
        <v>772</v>
      </c>
      <c r="G515" s="151" t="s">
        <v>88</v>
      </c>
      <c r="H515" s="19" t="s">
        <v>773</v>
      </c>
      <c r="I515" s="23" t="e">
        <f>VLOOKUP(H515,'合同综合查询数据（3月返）'!$A:$A,1,FALSE)</f>
        <v>#N/A</v>
      </c>
      <c r="J515" s="152" t="s">
        <v>781</v>
      </c>
      <c r="K515" s="109" t="s">
        <v>775</v>
      </c>
      <c r="L515" s="153"/>
      <c r="M515" s="26" t="s">
        <v>776</v>
      </c>
      <c r="N515" s="154">
        <v>43427</v>
      </c>
      <c r="O515" s="28" t="s">
        <v>457</v>
      </c>
      <c r="P515" s="131">
        <v>5216.57</v>
      </c>
      <c r="Q515" s="156">
        <v>2</v>
      </c>
      <c r="R515" s="120">
        <f t="shared" si="18"/>
        <v>10433.14</v>
      </c>
      <c r="S515" s="117">
        <v>202303</v>
      </c>
      <c r="T515" s="157"/>
      <c r="U515" s="157"/>
      <c r="V515" s="133"/>
      <c r="W515" s="133"/>
      <c r="X515" s="118">
        <v>43647</v>
      </c>
      <c r="Y515" s="118">
        <v>45229</v>
      </c>
    </row>
    <row r="516" s="79" customFormat="1" customHeight="1" spans="1:25">
      <c r="A516" s="98" t="s">
        <v>61</v>
      </c>
      <c r="B516" s="98" t="s">
        <v>62</v>
      </c>
      <c r="C516" s="98" t="s">
        <v>217</v>
      </c>
      <c r="D516" s="96" t="s">
        <v>64</v>
      </c>
      <c r="E516" s="147" t="s">
        <v>771</v>
      </c>
      <c r="F516" s="129" t="s">
        <v>772</v>
      </c>
      <c r="G516" s="151" t="s">
        <v>88</v>
      </c>
      <c r="H516" s="19" t="s">
        <v>773</v>
      </c>
      <c r="I516" s="23" t="e">
        <f>VLOOKUP(H516,'合同综合查询数据（3月返）'!$A:$A,1,FALSE)</f>
        <v>#N/A</v>
      </c>
      <c r="J516" s="152" t="s">
        <v>781</v>
      </c>
      <c r="K516" s="109" t="s">
        <v>775</v>
      </c>
      <c r="L516" s="153"/>
      <c r="M516" s="26" t="s">
        <v>776</v>
      </c>
      <c r="N516" s="154">
        <v>43447</v>
      </c>
      <c r="O516" s="28" t="s">
        <v>457</v>
      </c>
      <c r="P516" s="131">
        <v>5216.57</v>
      </c>
      <c r="Q516" s="156">
        <v>2</v>
      </c>
      <c r="R516" s="120">
        <f t="shared" si="18"/>
        <v>10433.14</v>
      </c>
      <c r="S516" s="117">
        <v>202303</v>
      </c>
      <c r="T516" s="157"/>
      <c r="U516" s="157"/>
      <c r="V516" s="133"/>
      <c r="W516" s="133"/>
      <c r="X516" s="118">
        <v>43647</v>
      </c>
      <c r="Y516" s="118">
        <v>45229</v>
      </c>
    </row>
    <row r="517" s="79" customFormat="1" customHeight="1" spans="1:25">
      <c r="A517" s="98" t="s">
        <v>61</v>
      </c>
      <c r="B517" s="98" t="s">
        <v>62</v>
      </c>
      <c r="C517" s="98" t="s">
        <v>217</v>
      </c>
      <c r="D517" s="96" t="s">
        <v>64</v>
      </c>
      <c r="E517" s="147" t="s">
        <v>771</v>
      </c>
      <c r="F517" s="129" t="s">
        <v>772</v>
      </c>
      <c r="G517" s="151" t="s">
        <v>88</v>
      </c>
      <c r="H517" s="19" t="s">
        <v>773</v>
      </c>
      <c r="I517" s="23" t="e">
        <f>VLOOKUP(H517,'合同综合查询数据（3月返）'!$A:$A,1,FALSE)</f>
        <v>#N/A</v>
      </c>
      <c r="J517" s="152" t="s">
        <v>781</v>
      </c>
      <c r="K517" s="109" t="s">
        <v>775</v>
      </c>
      <c r="L517" s="153"/>
      <c r="M517" s="26" t="s">
        <v>776</v>
      </c>
      <c r="N517" s="154">
        <v>43444</v>
      </c>
      <c r="O517" s="28" t="s">
        <v>457</v>
      </c>
      <c r="P517" s="131">
        <v>5216.57</v>
      </c>
      <c r="Q517" s="156">
        <v>4</v>
      </c>
      <c r="R517" s="120">
        <f t="shared" si="18"/>
        <v>20866.28</v>
      </c>
      <c r="S517" s="117">
        <v>202303</v>
      </c>
      <c r="T517" s="157"/>
      <c r="U517" s="157"/>
      <c r="V517" s="133"/>
      <c r="W517" s="133"/>
      <c r="X517" s="118">
        <v>43647</v>
      </c>
      <c r="Y517" s="118">
        <v>45229</v>
      </c>
    </row>
    <row r="518" s="79" customFormat="1" customHeight="1" spans="1:25">
      <c r="A518" s="98" t="s">
        <v>61</v>
      </c>
      <c r="B518" s="98" t="s">
        <v>62</v>
      </c>
      <c r="C518" s="98" t="s">
        <v>217</v>
      </c>
      <c r="D518" s="96" t="s">
        <v>64</v>
      </c>
      <c r="E518" s="147" t="s">
        <v>771</v>
      </c>
      <c r="F518" s="129" t="s">
        <v>772</v>
      </c>
      <c r="G518" s="151" t="s">
        <v>88</v>
      </c>
      <c r="H518" s="19" t="s">
        <v>773</v>
      </c>
      <c r="I518" s="23" t="e">
        <f>VLOOKUP(H518,'合同综合查询数据（3月返）'!$A:$A,1,FALSE)</f>
        <v>#N/A</v>
      </c>
      <c r="J518" s="152" t="s">
        <v>781</v>
      </c>
      <c r="K518" s="109" t="s">
        <v>775</v>
      </c>
      <c r="L518" s="153"/>
      <c r="M518" s="26" t="s">
        <v>776</v>
      </c>
      <c r="N518" s="154">
        <v>43447</v>
      </c>
      <c r="O518" s="28" t="s">
        <v>457</v>
      </c>
      <c r="P518" s="131">
        <v>5216.57</v>
      </c>
      <c r="Q518" s="156">
        <v>8</v>
      </c>
      <c r="R518" s="120">
        <f t="shared" si="18"/>
        <v>41732.56</v>
      </c>
      <c r="S518" s="117">
        <v>202303</v>
      </c>
      <c r="T518" s="157"/>
      <c r="U518" s="157"/>
      <c r="V518" s="133"/>
      <c r="W518" s="133"/>
      <c r="X518" s="118">
        <v>43647</v>
      </c>
      <c r="Y518" s="118">
        <v>45229</v>
      </c>
    </row>
    <row r="519" s="79" customFormat="1" customHeight="1" spans="1:25">
      <c r="A519" s="98" t="s">
        <v>61</v>
      </c>
      <c r="B519" s="98" t="s">
        <v>62</v>
      </c>
      <c r="C519" s="98" t="s">
        <v>217</v>
      </c>
      <c r="D519" s="96" t="s">
        <v>64</v>
      </c>
      <c r="E519" s="147" t="s">
        <v>771</v>
      </c>
      <c r="F519" s="129" t="s">
        <v>772</v>
      </c>
      <c r="G519" s="151" t="s">
        <v>88</v>
      </c>
      <c r="H519" s="19" t="s">
        <v>773</v>
      </c>
      <c r="I519" s="23" t="e">
        <f>VLOOKUP(H519,'合同综合查询数据（3月返）'!$A:$A,1,FALSE)</f>
        <v>#N/A</v>
      </c>
      <c r="J519" s="152" t="s">
        <v>781</v>
      </c>
      <c r="K519" s="109" t="s">
        <v>775</v>
      </c>
      <c r="L519" s="153"/>
      <c r="M519" s="26" t="s">
        <v>776</v>
      </c>
      <c r="N519" s="154">
        <v>43462</v>
      </c>
      <c r="O519" s="28" t="s">
        <v>457</v>
      </c>
      <c r="P519" s="131">
        <v>5216.57</v>
      </c>
      <c r="Q519" s="156">
        <v>1</v>
      </c>
      <c r="R519" s="120">
        <f t="shared" si="18"/>
        <v>5216.57</v>
      </c>
      <c r="S519" s="117">
        <v>202303</v>
      </c>
      <c r="T519" s="157"/>
      <c r="U519" s="157"/>
      <c r="V519" s="133"/>
      <c r="W519" s="133"/>
      <c r="X519" s="118">
        <v>43647</v>
      </c>
      <c r="Y519" s="118">
        <v>45229</v>
      </c>
    </row>
    <row r="520" s="79" customFormat="1" customHeight="1" spans="1:25">
      <c r="A520" s="98" t="s">
        <v>61</v>
      </c>
      <c r="B520" s="98" t="s">
        <v>62</v>
      </c>
      <c r="C520" s="98" t="s">
        <v>217</v>
      </c>
      <c r="D520" s="96" t="s">
        <v>64</v>
      </c>
      <c r="E520" s="147" t="s">
        <v>771</v>
      </c>
      <c r="F520" s="129" t="s">
        <v>772</v>
      </c>
      <c r="G520" s="151" t="s">
        <v>88</v>
      </c>
      <c r="H520" s="19" t="s">
        <v>773</v>
      </c>
      <c r="I520" s="23" t="e">
        <f>VLOOKUP(H520,'合同综合查询数据（3月返）'!$A:$A,1,FALSE)</f>
        <v>#N/A</v>
      </c>
      <c r="J520" s="152" t="s">
        <v>781</v>
      </c>
      <c r="K520" s="109" t="s">
        <v>775</v>
      </c>
      <c r="L520" s="153"/>
      <c r="M520" s="26" t="s">
        <v>776</v>
      </c>
      <c r="N520" s="154">
        <v>43476</v>
      </c>
      <c r="O520" s="28" t="s">
        <v>457</v>
      </c>
      <c r="P520" s="131">
        <v>5216.57</v>
      </c>
      <c r="Q520" s="156">
        <v>3</v>
      </c>
      <c r="R520" s="120">
        <f t="shared" si="18"/>
        <v>15649.71</v>
      </c>
      <c r="S520" s="117">
        <v>202303</v>
      </c>
      <c r="T520" s="157"/>
      <c r="U520" s="157"/>
      <c r="V520" s="133"/>
      <c r="W520" s="133"/>
      <c r="X520" s="118">
        <v>43647</v>
      </c>
      <c r="Y520" s="118">
        <v>45229</v>
      </c>
    </row>
    <row r="521" s="79" customFormat="1" customHeight="1" spans="1:25">
      <c r="A521" s="98" t="s">
        <v>61</v>
      </c>
      <c r="B521" s="98" t="s">
        <v>62</v>
      </c>
      <c r="C521" s="98" t="s">
        <v>217</v>
      </c>
      <c r="D521" s="96" t="s">
        <v>64</v>
      </c>
      <c r="E521" s="147" t="s">
        <v>771</v>
      </c>
      <c r="F521" s="129" t="s">
        <v>772</v>
      </c>
      <c r="G521" s="151" t="s">
        <v>88</v>
      </c>
      <c r="H521" s="19" t="s">
        <v>773</v>
      </c>
      <c r="I521" s="23" t="e">
        <f>VLOOKUP(H521,'合同综合查询数据（3月返）'!$A:$A,1,FALSE)</f>
        <v>#N/A</v>
      </c>
      <c r="J521" s="152" t="s">
        <v>781</v>
      </c>
      <c r="K521" s="109" t="s">
        <v>775</v>
      </c>
      <c r="L521" s="153"/>
      <c r="M521" s="26" t="s">
        <v>776</v>
      </c>
      <c r="N521" s="154">
        <v>43480</v>
      </c>
      <c r="O521" s="28" t="s">
        <v>457</v>
      </c>
      <c r="P521" s="131">
        <v>5216.57</v>
      </c>
      <c r="Q521" s="156">
        <v>4</v>
      </c>
      <c r="R521" s="120">
        <f t="shared" si="18"/>
        <v>20866.28</v>
      </c>
      <c r="S521" s="117">
        <v>202303</v>
      </c>
      <c r="T521" s="157"/>
      <c r="U521" s="157"/>
      <c r="V521" s="133"/>
      <c r="W521" s="133"/>
      <c r="X521" s="118">
        <v>43647</v>
      </c>
      <c r="Y521" s="118">
        <v>45229</v>
      </c>
    </row>
    <row r="522" s="79" customFormat="1" customHeight="1" spans="1:25">
      <c r="A522" s="98" t="s">
        <v>61</v>
      </c>
      <c r="B522" s="98" t="s">
        <v>62</v>
      </c>
      <c r="C522" s="98" t="s">
        <v>217</v>
      </c>
      <c r="D522" s="96" t="s">
        <v>64</v>
      </c>
      <c r="E522" s="147" t="s">
        <v>771</v>
      </c>
      <c r="F522" s="129" t="s">
        <v>772</v>
      </c>
      <c r="G522" s="151" t="s">
        <v>88</v>
      </c>
      <c r="H522" s="19" t="s">
        <v>773</v>
      </c>
      <c r="I522" s="23" t="e">
        <f>VLOOKUP(H522,'合同综合查询数据（3月返）'!$A:$A,1,FALSE)</f>
        <v>#N/A</v>
      </c>
      <c r="J522" s="152" t="s">
        <v>781</v>
      </c>
      <c r="K522" s="109" t="s">
        <v>775</v>
      </c>
      <c r="L522" s="153"/>
      <c r="M522" s="26" t="s">
        <v>776</v>
      </c>
      <c r="N522" s="154">
        <v>43481</v>
      </c>
      <c r="O522" s="28" t="s">
        <v>457</v>
      </c>
      <c r="P522" s="131">
        <v>5216.57</v>
      </c>
      <c r="Q522" s="156">
        <v>1</v>
      </c>
      <c r="R522" s="120">
        <f t="shared" si="18"/>
        <v>5216.57</v>
      </c>
      <c r="S522" s="117">
        <v>202303</v>
      </c>
      <c r="T522" s="157"/>
      <c r="U522" s="157"/>
      <c r="V522" s="133"/>
      <c r="W522" s="133"/>
      <c r="X522" s="118">
        <v>43647</v>
      </c>
      <c r="Y522" s="118">
        <v>45229</v>
      </c>
    </row>
    <row r="523" s="79" customFormat="1" customHeight="1" spans="1:25">
      <c r="A523" s="98" t="s">
        <v>61</v>
      </c>
      <c r="B523" s="98" t="s">
        <v>62</v>
      </c>
      <c r="C523" s="98" t="s">
        <v>217</v>
      </c>
      <c r="D523" s="96" t="s">
        <v>64</v>
      </c>
      <c r="E523" s="147" t="s">
        <v>771</v>
      </c>
      <c r="F523" s="129" t="s">
        <v>772</v>
      </c>
      <c r="G523" s="151" t="s">
        <v>88</v>
      </c>
      <c r="H523" s="19" t="s">
        <v>773</v>
      </c>
      <c r="I523" s="23" t="e">
        <f>VLOOKUP(H523,'合同综合查询数据（3月返）'!$A:$A,1,FALSE)</f>
        <v>#N/A</v>
      </c>
      <c r="J523" s="152" t="s">
        <v>781</v>
      </c>
      <c r="K523" s="109" t="s">
        <v>775</v>
      </c>
      <c r="L523" s="153"/>
      <c r="M523" s="26" t="s">
        <v>776</v>
      </c>
      <c r="N523" s="154">
        <v>43493</v>
      </c>
      <c r="O523" s="28" t="s">
        <v>457</v>
      </c>
      <c r="P523" s="131">
        <v>5216.57</v>
      </c>
      <c r="Q523" s="156">
        <v>1</v>
      </c>
      <c r="R523" s="120">
        <f t="shared" si="18"/>
        <v>5216.57</v>
      </c>
      <c r="S523" s="117">
        <v>202303</v>
      </c>
      <c r="T523" s="157"/>
      <c r="U523" s="157"/>
      <c r="V523" s="133"/>
      <c r="W523" s="133"/>
      <c r="X523" s="118">
        <v>43647</v>
      </c>
      <c r="Y523" s="118">
        <v>45229</v>
      </c>
    </row>
    <row r="524" s="79" customFormat="1" customHeight="1" spans="1:25">
      <c r="A524" s="98" t="s">
        <v>61</v>
      </c>
      <c r="B524" s="98" t="s">
        <v>62</v>
      </c>
      <c r="C524" s="98" t="s">
        <v>217</v>
      </c>
      <c r="D524" s="96" t="s">
        <v>64</v>
      </c>
      <c r="E524" s="147" t="s">
        <v>771</v>
      </c>
      <c r="F524" s="129" t="s">
        <v>772</v>
      </c>
      <c r="G524" s="151" t="s">
        <v>88</v>
      </c>
      <c r="H524" s="19" t="s">
        <v>773</v>
      </c>
      <c r="I524" s="23" t="e">
        <f>VLOOKUP(H524,'合同综合查询数据（3月返）'!$A:$A,1,FALSE)</f>
        <v>#N/A</v>
      </c>
      <c r="J524" s="152" t="s">
        <v>781</v>
      </c>
      <c r="K524" s="109" t="s">
        <v>775</v>
      </c>
      <c r="L524" s="153"/>
      <c r="M524" s="26" t="s">
        <v>776</v>
      </c>
      <c r="N524" s="154">
        <v>43127</v>
      </c>
      <c r="O524" s="28" t="s">
        <v>457</v>
      </c>
      <c r="P524" s="131">
        <v>5216.57</v>
      </c>
      <c r="Q524" s="156">
        <v>3</v>
      </c>
      <c r="R524" s="120">
        <f t="shared" si="18"/>
        <v>15649.71</v>
      </c>
      <c r="S524" s="117">
        <v>202303</v>
      </c>
      <c r="T524" s="157"/>
      <c r="U524" s="157"/>
      <c r="V524" s="133"/>
      <c r="W524" s="133"/>
      <c r="X524" s="118">
        <v>43647</v>
      </c>
      <c r="Y524" s="118">
        <v>45229</v>
      </c>
    </row>
    <row r="525" s="79" customFormat="1" customHeight="1" spans="1:25">
      <c r="A525" s="98" t="s">
        <v>61</v>
      </c>
      <c r="B525" s="98" t="s">
        <v>62</v>
      </c>
      <c r="C525" s="98" t="s">
        <v>217</v>
      </c>
      <c r="D525" s="96" t="s">
        <v>64</v>
      </c>
      <c r="E525" s="147" t="s">
        <v>771</v>
      </c>
      <c r="F525" s="129" t="s">
        <v>772</v>
      </c>
      <c r="G525" s="151" t="s">
        <v>88</v>
      </c>
      <c r="H525" s="19" t="s">
        <v>773</v>
      </c>
      <c r="I525" s="23" t="e">
        <f>VLOOKUP(H525,'合同综合查询数据（3月返）'!$A:$A,1,FALSE)</f>
        <v>#N/A</v>
      </c>
      <c r="J525" s="152" t="s">
        <v>781</v>
      </c>
      <c r="K525" s="109" t="s">
        <v>775</v>
      </c>
      <c r="L525" s="153"/>
      <c r="M525" s="26" t="s">
        <v>776</v>
      </c>
      <c r="N525" s="154">
        <v>43484</v>
      </c>
      <c r="O525" s="28" t="s">
        <v>457</v>
      </c>
      <c r="P525" s="131">
        <v>5216.57</v>
      </c>
      <c r="Q525" s="156">
        <v>10</v>
      </c>
      <c r="R525" s="120">
        <f t="shared" si="18"/>
        <v>52165.7</v>
      </c>
      <c r="S525" s="117">
        <v>202303</v>
      </c>
      <c r="T525" s="157"/>
      <c r="U525" s="157"/>
      <c r="V525" s="133"/>
      <c r="W525" s="133"/>
      <c r="X525" s="118">
        <v>43647</v>
      </c>
      <c r="Y525" s="118">
        <v>45229</v>
      </c>
    </row>
    <row r="526" s="79" customFormat="1" customHeight="1" spans="1:25">
      <c r="A526" s="98" t="s">
        <v>61</v>
      </c>
      <c r="B526" s="98" t="s">
        <v>62</v>
      </c>
      <c r="C526" s="98" t="s">
        <v>217</v>
      </c>
      <c r="D526" s="96" t="s">
        <v>64</v>
      </c>
      <c r="E526" s="147" t="s">
        <v>771</v>
      </c>
      <c r="F526" s="129" t="s">
        <v>772</v>
      </c>
      <c r="G526" s="151" t="s">
        <v>88</v>
      </c>
      <c r="H526" s="19" t="s">
        <v>773</v>
      </c>
      <c r="I526" s="23" t="e">
        <f>VLOOKUP(H526,'合同综合查询数据（3月返）'!$A:$A,1,FALSE)</f>
        <v>#N/A</v>
      </c>
      <c r="J526" s="152" t="s">
        <v>781</v>
      </c>
      <c r="K526" s="109" t="s">
        <v>775</v>
      </c>
      <c r="L526" s="153"/>
      <c r="M526" s="26" t="s">
        <v>776</v>
      </c>
      <c r="N526" s="154">
        <v>43494</v>
      </c>
      <c r="O526" s="28" t="s">
        <v>457</v>
      </c>
      <c r="P526" s="131">
        <v>5216.57</v>
      </c>
      <c r="Q526" s="156">
        <v>1</v>
      </c>
      <c r="R526" s="120">
        <f t="shared" ref="R526:R557" si="19">ROUND(P526*Q526,2)</f>
        <v>5216.57</v>
      </c>
      <c r="S526" s="117">
        <v>202303</v>
      </c>
      <c r="T526" s="157"/>
      <c r="U526" s="157"/>
      <c r="V526" s="133"/>
      <c r="W526" s="133"/>
      <c r="X526" s="118">
        <v>43647</v>
      </c>
      <c r="Y526" s="118">
        <v>45229</v>
      </c>
    </row>
    <row r="527" s="79" customFormat="1" customHeight="1" spans="1:25">
      <c r="A527" s="98" t="s">
        <v>61</v>
      </c>
      <c r="B527" s="98" t="s">
        <v>62</v>
      </c>
      <c r="C527" s="98" t="s">
        <v>217</v>
      </c>
      <c r="D527" s="96" t="s">
        <v>64</v>
      </c>
      <c r="E527" s="147" t="s">
        <v>771</v>
      </c>
      <c r="F527" s="129" t="s">
        <v>772</v>
      </c>
      <c r="G527" s="151" t="s">
        <v>88</v>
      </c>
      <c r="H527" s="19" t="s">
        <v>773</v>
      </c>
      <c r="I527" s="23" t="e">
        <f>VLOOKUP(H527,'合同综合查询数据（3月返）'!$A:$A,1,FALSE)</f>
        <v>#N/A</v>
      </c>
      <c r="J527" s="152" t="s">
        <v>781</v>
      </c>
      <c r="K527" s="109" t="s">
        <v>775</v>
      </c>
      <c r="L527" s="153"/>
      <c r="M527" s="26" t="s">
        <v>776</v>
      </c>
      <c r="N527" s="154">
        <v>43516</v>
      </c>
      <c r="O527" s="28" t="s">
        <v>457</v>
      </c>
      <c r="P527" s="131">
        <v>5216.57</v>
      </c>
      <c r="Q527" s="156">
        <v>1</v>
      </c>
      <c r="R527" s="120">
        <f t="shared" si="19"/>
        <v>5216.57</v>
      </c>
      <c r="S527" s="117">
        <v>202303</v>
      </c>
      <c r="T527" s="157"/>
      <c r="U527" s="157"/>
      <c r="V527" s="133"/>
      <c r="W527" s="133"/>
      <c r="X527" s="118">
        <v>43647</v>
      </c>
      <c r="Y527" s="118">
        <v>45229</v>
      </c>
    </row>
    <row r="528" s="79" customFormat="1" customHeight="1" spans="1:25">
      <c r="A528" s="98" t="s">
        <v>61</v>
      </c>
      <c r="B528" s="98" t="s">
        <v>62</v>
      </c>
      <c r="C528" s="98" t="s">
        <v>217</v>
      </c>
      <c r="D528" s="96" t="s">
        <v>64</v>
      </c>
      <c r="E528" s="147" t="s">
        <v>771</v>
      </c>
      <c r="F528" s="129" t="s">
        <v>772</v>
      </c>
      <c r="G528" s="151" t="s">
        <v>88</v>
      </c>
      <c r="H528" s="19" t="s">
        <v>773</v>
      </c>
      <c r="I528" s="23" t="e">
        <f>VLOOKUP(H528,'合同综合查询数据（3月返）'!$A:$A,1,FALSE)</f>
        <v>#N/A</v>
      </c>
      <c r="J528" s="152" t="s">
        <v>781</v>
      </c>
      <c r="K528" s="109" t="s">
        <v>775</v>
      </c>
      <c r="L528" s="153"/>
      <c r="M528" s="26" t="s">
        <v>776</v>
      </c>
      <c r="N528" s="154">
        <v>43525</v>
      </c>
      <c r="O528" s="28" t="s">
        <v>457</v>
      </c>
      <c r="P528" s="131">
        <v>5216.57</v>
      </c>
      <c r="Q528" s="156">
        <v>1</v>
      </c>
      <c r="R528" s="120">
        <f t="shared" si="19"/>
        <v>5216.57</v>
      </c>
      <c r="S528" s="117">
        <v>202303</v>
      </c>
      <c r="T528" s="157"/>
      <c r="U528" s="157"/>
      <c r="V528" s="133"/>
      <c r="W528" s="133"/>
      <c r="X528" s="118">
        <v>43647</v>
      </c>
      <c r="Y528" s="118">
        <v>45229</v>
      </c>
    </row>
    <row r="529" s="79" customFormat="1" customHeight="1" spans="1:25">
      <c r="A529" s="98" t="s">
        <v>61</v>
      </c>
      <c r="B529" s="98" t="s">
        <v>62</v>
      </c>
      <c r="C529" s="98" t="s">
        <v>217</v>
      </c>
      <c r="D529" s="96" t="s">
        <v>64</v>
      </c>
      <c r="E529" s="147" t="s">
        <v>771</v>
      </c>
      <c r="F529" s="129" t="s">
        <v>772</v>
      </c>
      <c r="G529" s="151" t="s">
        <v>88</v>
      </c>
      <c r="H529" s="19" t="s">
        <v>773</v>
      </c>
      <c r="I529" s="23" t="e">
        <f>VLOOKUP(H529,'合同综合查询数据（3月返）'!$A:$A,1,FALSE)</f>
        <v>#N/A</v>
      </c>
      <c r="J529" s="152" t="s">
        <v>781</v>
      </c>
      <c r="K529" s="109" t="s">
        <v>775</v>
      </c>
      <c r="L529" s="153"/>
      <c r="M529" s="26" t="s">
        <v>776</v>
      </c>
      <c r="N529" s="154">
        <v>43521</v>
      </c>
      <c r="O529" s="28" t="s">
        <v>457</v>
      </c>
      <c r="P529" s="131">
        <v>5216.57</v>
      </c>
      <c r="Q529" s="156">
        <v>10</v>
      </c>
      <c r="R529" s="120">
        <f t="shared" si="19"/>
        <v>52165.7</v>
      </c>
      <c r="S529" s="117">
        <v>202303</v>
      </c>
      <c r="T529" s="157"/>
      <c r="U529" s="157"/>
      <c r="V529" s="133"/>
      <c r="W529" s="133"/>
      <c r="X529" s="118">
        <v>43647</v>
      </c>
      <c r="Y529" s="118">
        <v>45229</v>
      </c>
    </row>
    <row r="530" s="79" customFormat="1" customHeight="1" spans="1:25">
      <c r="A530" s="98" t="s">
        <v>61</v>
      </c>
      <c r="B530" s="98" t="s">
        <v>62</v>
      </c>
      <c r="C530" s="98" t="s">
        <v>217</v>
      </c>
      <c r="D530" s="96" t="s">
        <v>64</v>
      </c>
      <c r="E530" s="147" t="s">
        <v>771</v>
      </c>
      <c r="F530" s="129" t="s">
        <v>772</v>
      </c>
      <c r="G530" s="151" t="s">
        <v>88</v>
      </c>
      <c r="H530" s="19" t="s">
        <v>773</v>
      </c>
      <c r="I530" s="23" t="e">
        <f>VLOOKUP(H530,'合同综合查询数据（3月返）'!$A:$A,1,FALSE)</f>
        <v>#N/A</v>
      </c>
      <c r="J530" s="152" t="s">
        <v>781</v>
      </c>
      <c r="K530" s="109" t="s">
        <v>775</v>
      </c>
      <c r="L530" s="153"/>
      <c r="M530" s="26" t="s">
        <v>776</v>
      </c>
      <c r="N530" s="154">
        <v>43636</v>
      </c>
      <c r="O530" s="28" t="s">
        <v>457</v>
      </c>
      <c r="P530" s="131">
        <v>5216.57</v>
      </c>
      <c r="Q530" s="156">
        <v>2</v>
      </c>
      <c r="R530" s="120">
        <f t="shared" si="19"/>
        <v>10433.14</v>
      </c>
      <c r="S530" s="117">
        <v>202303</v>
      </c>
      <c r="T530" s="157"/>
      <c r="U530" s="157"/>
      <c r="V530" s="133"/>
      <c r="W530" s="133"/>
      <c r="X530" s="118">
        <v>43647</v>
      </c>
      <c r="Y530" s="118">
        <v>45229</v>
      </c>
    </row>
    <row r="531" s="79" customFormat="1" customHeight="1" spans="1:25">
      <c r="A531" s="98" t="s">
        <v>61</v>
      </c>
      <c r="B531" s="98" t="s">
        <v>62</v>
      </c>
      <c r="C531" s="98" t="s">
        <v>217</v>
      </c>
      <c r="D531" s="96" t="s">
        <v>64</v>
      </c>
      <c r="E531" s="147" t="s">
        <v>771</v>
      </c>
      <c r="F531" s="129" t="s">
        <v>772</v>
      </c>
      <c r="G531" s="151" t="s">
        <v>88</v>
      </c>
      <c r="H531" s="19" t="s">
        <v>773</v>
      </c>
      <c r="I531" s="23" t="e">
        <f>VLOOKUP(H531,'合同综合查询数据（3月返）'!$A:$A,1,FALSE)</f>
        <v>#N/A</v>
      </c>
      <c r="J531" s="152" t="s">
        <v>781</v>
      </c>
      <c r="K531" s="109" t="s">
        <v>775</v>
      </c>
      <c r="L531" s="153"/>
      <c r="M531" s="26" t="s">
        <v>776</v>
      </c>
      <c r="N531" s="154">
        <v>43636</v>
      </c>
      <c r="O531" s="28" t="s">
        <v>457</v>
      </c>
      <c r="P531" s="131">
        <v>5216.57</v>
      </c>
      <c r="Q531" s="156">
        <v>1</v>
      </c>
      <c r="R531" s="120">
        <f t="shared" si="19"/>
        <v>5216.57</v>
      </c>
      <c r="S531" s="117">
        <v>202303</v>
      </c>
      <c r="T531" s="157"/>
      <c r="U531" s="157"/>
      <c r="V531" s="133"/>
      <c r="W531" s="133"/>
      <c r="X531" s="118">
        <v>43647</v>
      </c>
      <c r="Y531" s="118">
        <v>45229</v>
      </c>
    </row>
    <row r="532" s="79" customFormat="1" customHeight="1" spans="1:25">
      <c r="A532" s="98" t="s">
        <v>61</v>
      </c>
      <c r="B532" s="98" t="s">
        <v>62</v>
      </c>
      <c r="C532" s="98" t="s">
        <v>217</v>
      </c>
      <c r="D532" s="96" t="s">
        <v>64</v>
      </c>
      <c r="E532" s="147" t="s">
        <v>771</v>
      </c>
      <c r="F532" s="129" t="s">
        <v>772</v>
      </c>
      <c r="G532" s="151" t="s">
        <v>88</v>
      </c>
      <c r="H532" s="19" t="s">
        <v>773</v>
      </c>
      <c r="I532" s="23" t="e">
        <f>VLOOKUP(H532,'合同综合查询数据（3月返）'!$A:$A,1,FALSE)</f>
        <v>#N/A</v>
      </c>
      <c r="J532" s="152" t="s">
        <v>781</v>
      </c>
      <c r="K532" s="109" t="s">
        <v>775</v>
      </c>
      <c r="L532" s="153"/>
      <c r="M532" s="26" t="s">
        <v>776</v>
      </c>
      <c r="N532" s="154">
        <v>43584</v>
      </c>
      <c r="O532" s="28" t="s">
        <v>457</v>
      </c>
      <c r="P532" s="131">
        <v>5216.57</v>
      </c>
      <c r="Q532" s="156">
        <v>2</v>
      </c>
      <c r="R532" s="120">
        <f t="shared" si="19"/>
        <v>10433.14</v>
      </c>
      <c r="S532" s="117">
        <v>202303</v>
      </c>
      <c r="T532" s="157"/>
      <c r="U532" s="157"/>
      <c r="V532" s="133"/>
      <c r="W532" s="133"/>
      <c r="X532" s="118">
        <v>43647</v>
      </c>
      <c r="Y532" s="118">
        <v>45229</v>
      </c>
    </row>
    <row r="533" s="79" customFormat="1" customHeight="1" spans="1:25">
      <c r="A533" s="98" t="s">
        <v>61</v>
      </c>
      <c r="B533" s="98" t="s">
        <v>62</v>
      </c>
      <c r="C533" s="98" t="s">
        <v>217</v>
      </c>
      <c r="D533" s="96" t="s">
        <v>64</v>
      </c>
      <c r="E533" s="147" t="s">
        <v>771</v>
      </c>
      <c r="F533" s="129" t="s">
        <v>772</v>
      </c>
      <c r="G533" s="151" t="s">
        <v>88</v>
      </c>
      <c r="H533" s="19" t="s">
        <v>773</v>
      </c>
      <c r="I533" s="23" t="e">
        <f>VLOOKUP(H533,'合同综合查询数据（3月返）'!$A:$A,1,FALSE)</f>
        <v>#N/A</v>
      </c>
      <c r="J533" s="152" t="s">
        <v>781</v>
      </c>
      <c r="K533" s="109" t="s">
        <v>775</v>
      </c>
      <c r="L533" s="153"/>
      <c r="M533" s="26" t="s">
        <v>776</v>
      </c>
      <c r="N533" s="154">
        <v>43595</v>
      </c>
      <c r="O533" s="28" t="s">
        <v>457</v>
      </c>
      <c r="P533" s="131">
        <v>5216.57</v>
      </c>
      <c r="Q533" s="156">
        <v>2</v>
      </c>
      <c r="R533" s="120">
        <f t="shared" si="19"/>
        <v>10433.14</v>
      </c>
      <c r="S533" s="117">
        <v>202303</v>
      </c>
      <c r="T533" s="157"/>
      <c r="U533" s="157"/>
      <c r="V533" s="133"/>
      <c r="W533" s="133"/>
      <c r="X533" s="118">
        <v>43647</v>
      </c>
      <c r="Y533" s="118">
        <v>45229</v>
      </c>
    </row>
    <row r="534" s="79" customFormat="1" customHeight="1" spans="1:25">
      <c r="A534" s="98" t="s">
        <v>61</v>
      </c>
      <c r="B534" s="98" t="s">
        <v>62</v>
      </c>
      <c r="C534" s="98" t="s">
        <v>217</v>
      </c>
      <c r="D534" s="96" t="s">
        <v>64</v>
      </c>
      <c r="E534" s="147" t="s">
        <v>771</v>
      </c>
      <c r="F534" s="129" t="s">
        <v>772</v>
      </c>
      <c r="G534" s="151" t="s">
        <v>88</v>
      </c>
      <c r="H534" s="19" t="s">
        <v>773</v>
      </c>
      <c r="I534" s="23" t="e">
        <f>VLOOKUP(H534,'合同综合查询数据（3月返）'!$A:$A,1,FALSE)</f>
        <v>#N/A</v>
      </c>
      <c r="J534" s="152" t="s">
        <v>781</v>
      </c>
      <c r="K534" s="109" t="s">
        <v>775</v>
      </c>
      <c r="L534" s="153"/>
      <c r="M534" s="26" t="s">
        <v>776</v>
      </c>
      <c r="N534" s="154">
        <v>43619</v>
      </c>
      <c r="O534" s="28" t="s">
        <v>457</v>
      </c>
      <c r="P534" s="131">
        <v>5216.57</v>
      </c>
      <c r="Q534" s="156">
        <v>2</v>
      </c>
      <c r="R534" s="120">
        <f t="shared" si="19"/>
        <v>10433.14</v>
      </c>
      <c r="S534" s="117">
        <v>202303</v>
      </c>
      <c r="T534" s="157"/>
      <c r="U534" s="157"/>
      <c r="V534" s="133"/>
      <c r="W534" s="133"/>
      <c r="X534" s="118">
        <v>43647</v>
      </c>
      <c r="Y534" s="118">
        <v>45229</v>
      </c>
    </row>
    <row r="535" s="79" customFormat="1" customHeight="1" spans="1:25">
      <c r="A535" s="98" t="s">
        <v>61</v>
      </c>
      <c r="B535" s="98" t="s">
        <v>62</v>
      </c>
      <c r="C535" s="98" t="s">
        <v>217</v>
      </c>
      <c r="D535" s="96" t="s">
        <v>64</v>
      </c>
      <c r="E535" s="147" t="s">
        <v>771</v>
      </c>
      <c r="F535" s="129" t="s">
        <v>772</v>
      </c>
      <c r="G535" s="151" t="s">
        <v>88</v>
      </c>
      <c r="H535" s="19" t="s">
        <v>773</v>
      </c>
      <c r="I535" s="23" t="e">
        <f>VLOOKUP(H535,'合同综合查询数据（3月返）'!$A:$A,1,FALSE)</f>
        <v>#N/A</v>
      </c>
      <c r="J535" s="152" t="s">
        <v>781</v>
      </c>
      <c r="K535" s="109" t="s">
        <v>775</v>
      </c>
      <c r="L535" s="153"/>
      <c r="M535" s="26" t="s">
        <v>776</v>
      </c>
      <c r="N535" s="154">
        <v>43642</v>
      </c>
      <c r="O535" s="28" t="s">
        <v>457</v>
      </c>
      <c r="P535" s="131">
        <v>5216.57</v>
      </c>
      <c r="Q535" s="156">
        <v>11</v>
      </c>
      <c r="R535" s="120">
        <f t="shared" si="19"/>
        <v>57382.27</v>
      </c>
      <c r="S535" s="117">
        <v>202303</v>
      </c>
      <c r="T535" s="157" t="s">
        <v>782</v>
      </c>
      <c r="U535" s="157"/>
      <c r="V535" s="133"/>
      <c r="W535" s="133"/>
      <c r="X535" s="118">
        <v>43647</v>
      </c>
      <c r="Y535" s="118">
        <v>45229</v>
      </c>
    </row>
    <row r="536" s="79" customFormat="1" customHeight="1" spans="1:25">
      <c r="A536" s="98" t="s">
        <v>61</v>
      </c>
      <c r="B536" s="98" t="s">
        <v>62</v>
      </c>
      <c r="C536" s="98" t="s">
        <v>217</v>
      </c>
      <c r="D536" s="96" t="s">
        <v>64</v>
      </c>
      <c r="E536" s="147" t="s">
        <v>771</v>
      </c>
      <c r="F536" s="129" t="s">
        <v>772</v>
      </c>
      <c r="G536" s="151" t="s">
        <v>88</v>
      </c>
      <c r="H536" s="19" t="s">
        <v>773</v>
      </c>
      <c r="I536" s="23" t="e">
        <f>VLOOKUP(H536,'合同综合查询数据（3月返）'!$A:$A,1,FALSE)</f>
        <v>#N/A</v>
      </c>
      <c r="J536" s="152" t="s">
        <v>781</v>
      </c>
      <c r="K536" s="109" t="s">
        <v>775</v>
      </c>
      <c r="L536" s="153"/>
      <c r="M536" s="26" t="s">
        <v>776</v>
      </c>
      <c r="N536" s="154">
        <v>43647</v>
      </c>
      <c r="O536" s="28" t="s">
        <v>457</v>
      </c>
      <c r="P536" s="131">
        <v>5216.57</v>
      </c>
      <c r="Q536" s="156">
        <v>7</v>
      </c>
      <c r="R536" s="120">
        <f t="shared" si="19"/>
        <v>36515.99</v>
      </c>
      <c r="S536" s="117">
        <v>202303</v>
      </c>
      <c r="T536" s="157" t="s">
        <v>783</v>
      </c>
      <c r="U536" s="157"/>
      <c r="V536" s="133"/>
      <c r="W536" s="133"/>
      <c r="X536" s="118">
        <v>43647</v>
      </c>
      <c r="Y536" s="118">
        <v>45229</v>
      </c>
    </row>
    <row r="537" s="79" customFormat="1" customHeight="1" spans="1:25">
      <c r="A537" s="98" t="s">
        <v>61</v>
      </c>
      <c r="B537" s="98" t="s">
        <v>62</v>
      </c>
      <c r="C537" s="98" t="s">
        <v>217</v>
      </c>
      <c r="D537" s="96" t="s">
        <v>64</v>
      </c>
      <c r="E537" s="147" t="s">
        <v>771</v>
      </c>
      <c r="F537" s="129" t="s">
        <v>772</v>
      </c>
      <c r="G537" s="151" t="s">
        <v>88</v>
      </c>
      <c r="H537" s="19" t="s">
        <v>773</v>
      </c>
      <c r="I537" s="23" t="e">
        <f>VLOOKUP(H537,'合同综合查询数据（3月返）'!$A:$A,1,FALSE)</f>
        <v>#N/A</v>
      </c>
      <c r="J537" s="152" t="s">
        <v>781</v>
      </c>
      <c r="K537" s="109" t="s">
        <v>775</v>
      </c>
      <c r="L537" s="153"/>
      <c r="M537" s="26" t="s">
        <v>776</v>
      </c>
      <c r="N537" s="154">
        <v>43667</v>
      </c>
      <c r="O537" s="28" t="s">
        <v>457</v>
      </c>
      <c r="P537" s="131">
        <v>5216.57</v>
      </c>
      <c r="Q537" s="156">
        <v>1</v>
      </c>
      <c r="R537" s="120">
        <f t="shared" si="19"/>
        <v>5216.57</v>
      </c>
      <c r="S537" s="117">
        <v>202303</v>
      </c>
      <c r="T537" s="157" t="s">
        <v>784</v>
      </c>
      <c r="U537" s="157"/>
      <c r="V537" s="133"/>
      <c r="W537" s="133"/>
      <c r="X537" s="118">
        <v>43647</v>
      </c>
      <c r="Y537" s="118">
        <v>45229</v>
      </c>
    </row>
    <row r="538" s="79" customFormat="1" customHeight="1" spans="1:25">
      <c r="A538" s="98" t="s">
        <v>61</v>
      </c>
      <c r="B538" s="98" t="s">
        <v>62</v>
      </c>
      <c r="C538" s="98" t="s">
        <v>217</v>
      </c>
      <c r="D538" s="96" t="s">
        <v>64</v>
      </c>
      <c r="E538" s="147" t="s">
        <v>771</v>
      </c>
      <c r="F538" s="129" t="s">
        <v>772</v>
      </c>
      <c r="G538" s="151" t="s">
        <v>88</v>
      </c>
      <c r="H538" s="19" t="s">
        <v>773</v>
      </c>
      <c r="I538" s="23" t="e">
        <f>VLOOKUP(H538,'合同综合查询数据（3月返）'!$A:$A,1,FALSE)</f>
        <v>#N/A</v>
      </c>
      <c r="J538" s="152" t="s">
        <v>781</v>
      </c>
      <c r="K538" s="109" t="s">
        <v>775</v>
      </c>
      <c r="L538" s="153"/>
      <c r="M538" s="26" t="s">
        <v>776</v>
      </c>
      <c r="N538" s="154">
        <v>43693</v>
      </c>
      <c r="O538" s="28" t="s">
        <v>457</v>
      </c>
      <c r="P538" s="131">
        <v>5216.57</v>
      </c>
      <c r="Q538" s="156">
        <v>4</v>
      </c>
      <c r="R538" s="120">
        <f t="shared" si="19"/>
        <v>20866.28</v>
      </c>
      <c r="S538" s="117">
        <v>202303</v>
      </c>
      <c r="T538" s="157" t="s">
        <v>785</v>
      </c>
      <c r="U538" s="157"/>
      <c r="V538" s="133"/>
      <c r="W538" s="133"/>
      <c r="X538" s="118">
        <v>43647</v>
      </c>
      <c r="Y538" s="118">
        <v>45229</v>
      </c>
    </row>
    <row r="539" s="79" customFormat="1" customHeight="1" spans="1:25">
      <c r="A539" s="98" t="s">
        <v>61</v>
      </c>
      <c r="B539" s="98" t="s">
        <v>62</v>
      </c>
      <c r="C539" s="98" t="s">
        <v>217</v>
      </c>
      <c r="D539" s="96" t="s">
        <v>64</v>
      </c>
      <c r="E539" s="147" t="s">
        <v>771</v>
      </c>
      <c r="F539" s="129" t="s">
        <v>772</v>
      </c>
      <c r="G539" s="151" t="s">
        <v>88</v>
      </c>
      <c r="H539" s="19" t="s">
        <v>773</v>
      </c>
      <c r="I539" s="23" t="e">
        <f>VLOOKUP(H539,'合同综合查询数据（3月返）'!$A:$A,1,FALSE)</f>
        <v>#N/A</v>
      </c>
      <c r="J539" s="152" t="s">
        <v>781</v>
      </c>
      <c r="K539" s="109" t="s">
        <v>775</v>
      </c>
      <c r="L539" s="153"/>
      <c r="M539" s="26" t="s">
        <v>776</v>
      </c>
      <c r="N539" s="154">
        <v>43698</v>
      </c>
      <c r="O539" s="28" t="s">
        <v>457</v>
      </c>
      <c r="P539" s="131">
        <v>5216.57</v>
      </c>
      <c r="Q539" s="156">
        <v>2</v>
      </c>
      <c r="R539" s="120">
        <f t="shared" si="19"/>
        <v>10433.14</v>
      </c>
      <c r="S539" s="117">
        <v>202303</v>
      </c>
      <c r="T539" s="157" t="s">
        <v>786</v>
      </c>
      <c r="U539" s="157"/>
      <c r="V539" s="133"/>
      <c r="W539" s="133"/>
      <c r="X539" s="118">
        <v>43647</v>
      </c>
      <c r="Y539" s="118">
        <v>45229</v>
      </c>
    </row>
    <row r="540" s="79" customFormat="1" customHeight="1" spans="1:25">
      <c r="A540" s="98" t="s">
        <v>61</v>
      </c>
      <c r="B540" s="98" t="s">
        <v>62</v>
      </c>
      <c r="C540" s="98" t="s">
        <v>217</v>
      </c>
      <c r="D540" s="96" t="s">
        <v>64</v>
      </c>
      <c r="E540" s="147" t="s">
        <v>771</v>
      </c>
      <c r="F540" s="129" t="s">
        <v>772</v>
      </c>
      <c r="G540" s="151" t="s">
        <v>88</v>
      </c>
      <c r="H540" s="19" t="s">
        <v>773</v>
      </c>
      <c r="I540" s="23" t="e">
        <f>VLOOKUP(H540,'合同综合查询数据（3月返）'!$A:$A,1,FALSE)</f>
        <v>#N/A</v>
      </c>
      <c r="J540" s="152" t="s">
        <v>781</v>
      </c>
      <c r="K540" s="109" t="s">
        <v>775</v>
      </c>
      <c r="L540" s="153"/>
      <c r="M540" s="26" t="s">
        <v>776</v>
      </c>
      <c r="N540" s="154">
        <v>43700</v>
      </c>
      <c r="O540" s="28" t="s">
        <v>457</v>
      </c>
      <c r="P540" s="131">
        <v>5216.57</v>
      </c>
      <c r="Q540" s="156">
        <v>1</v>
      </c>
      <c r="R540" s="120">
        <f t="shared" si="19"/>
        <v>5216.57</v>
      </c>
      <c r="S540" s="117">
        <v>202303</v>
      </c>
      <c r="T540" s="157" t="s">
        <v>787</v>
      </c>
      <c r="U540" s="157"/>
      <c r="V540" s="133"/>
      <c r="W540" s="133"/>
      <c r="X540" s="118">
        <v>43647</v>
      </c>
      <c r="Y540" s="118">
        <v>45229</v>
      </c>
    </row>
    <row r="541" s="79" customFormat="1" customHeight="1" spans="1:25">
      <c r="A541" s="98" t="s">
        <v>61</v>
      </c>
      <c r="B541" s="98" t="s">
        <v>62</v>
      </c>
      <c r="C541" s="98" t="s">
        <v>217</v>
      </c>
      <c r="D541" s="96" t="s">
        <v>64</v>
      </c>
      <c r="E541" s="147" t="s">
        <v>771</v>
      </c>
      <c r="F541" s="129" t="s">
        <v>772</v>
      </c>
      <c r="G541" s="151" t="s">
        <v>88</v>
      </c>
      <c r="H541" s="19" t="s">
        <v>773</v>
      </c>
      <c r="I541" s="23" t="e">
        <f>VLOOKUP(H541,'合同综合查询数据（3月返）'!$A:$A,1,FALSE)</f>
        <v>#N/A</v>
      </c>
      <c r="J541" s="152" t="s">
        <v>781</v>
      </c>
      <c r="K541" s="109" t="s">
        <v>775</v>
      </c>
      <c r="L541" s="153"/>
      <c r="M541" s="26" t="s">
        <v>776</v>
      </c>
      <c r="N541" s="154">
        <v>43708</v>
      </c>
      <c r="O541" s="28" t="s">
        <v>457</v>
      </c>
      <c r="P541" s="131">
        <v>5216.57</v>
      </c>
      <c r="Q541" s="156">
        <v>4</v>
      </c>
      <c r="R541" s="120">
        <f t="shared" si="19"/>
        <v>20866.28</v>
      </c>
      <c r="S541" s="117">
        <v>202303</v>
      </c>
      <c r="T541" s="157" t="s">
        <v>788</v>
      </c>
      <c r="U541" s="157"/>
      <c r="V541" s="133"/>
      <c r="W541" s="133"/>
      <c r="X541" s="118">
        <v>43647</v>
      </c>
      <c r="Y541" s="118">
        <v>45229</v>
      </c>
    </row>
    <row r="542" s="79" customFormat="1" customHeight="1" spans="1:25">
      <c r="A542" s="98" t="s">
        <v>61</v>
      </c>
      <c r="B542" s="98" t="s">
        <v>62</v>
      </c>
      <c r="C542" s="98" t="s">
        <v>217</v>
      </c>
      <c r="D542" s="96" t="s">
        <v>64</v>
      </c>
      <c r="E542" s="147" t="s">
        <v>771</v>
      </c>
      <c r="F542" s="129" t="s">
        <v>772</v>
      </c>
      <c r="G542" s="151" t="s">
        <v>88</v>
      </c>
      <c r="H542" s="19" t="s">
        <v>773</v>
      </c>
      <c r="I542" s="23" t="e">
        <f>VLOOKUP(H542,'合同综合查询数据（3月返）'!$A:$A,1,FALSE)</f>
        <v>#N/A</v>
      </c>
      <c r="J542" s="152" t="s">
        <v>781</v>
      </c>
      <c r="K542" s="109" t="s">
        <v>775</v>
      </c>
      <c r="L542" s="153"/>
      <c r="M542" s="26" t="s">
        <v>776</v>
      </c>
      <c r="N542" s="154">
        <v>43727</v>
      </c>
      <c r="O542" s="28" t="s">
        <v>457</v>
      </c>
      <c r="P542" s="131">
        <v>5216.57</v>
      </c>
      <c r="Q542" s="156">
        <v>1</v>
      </c>
      <c r="R542" s="120">
        <f t="shared" si="19"/>
        <v>5216.57</v>
      </c>
      <c r="S542" s="117">
        <v>202303</v>
      </c>
      <c r="T542" s="157" t="s">
        <v>789</v>
      </c>
      <c r="U542" s="157"/>
      <c r="V542" s="133"/>
      <c r="W542" s="133"/>
      <c r="X542" s="118">
        <v>43647</v>
      </c>
      <c r="Y542" s="118">
        <v>45229</v>
      </c>
    </row>
    <row r="543" s="79" customFormat="1" customHeight="1" spans="1:25">
      <c r="A543" s="98" t="s">
        <v>61</v>
      </c>
      <c r="B543" s="98" t="s">
        <v>62</v>
      </c>
      <c r="C543" s="98" t="s">
        <v>217</v>
      </c>
      <c r="D543" s="96" t="s">
        <v>64</v>
      </c>
      <c r="E543" s="147" t="s">
        <v>771</v>
      </c>
      <c r="F543" s="129" t="s">
        <v>772</v>
      </c>
      <c r="G543" s="151" t="s">
        <v>88</v>
      </c>
      <c r="H543" s="19" t="s">
        <v>773</v>
      </c>
      <c r="I543" s="23" t="e">
        <f>VLOOKUP(H543,'合同综合查询数据（3月返）'!$A:$A,1,FALSE)</f>
        <v>#N/A</v>
      </c>
      <c r="J543" s="152" t="s">
        <v>781</v>
      </c>
      <c r="K543" s="109" t="s">
        <v>775</v>
      </c>
      <c r="L543" s="153"/>
      <c r="M543" s="26" t="s">
        <v>776</v>
      </c>
      <c r="N543" s="154">
        <v>43728</v>
      </c>
      <c r="O543" s="28" t="s">
        <v>457</v>
      </c>
      <c r="P543" s="131">
        <v>5216.57</v>
      </c>
      <c r="Q543" s="156">
        <v>29</v>
      </c>
      <c r="R543" s="120">
        <f t="shared" si="19"/>
        <v>151280.53</v>
      </c>
      <c r="S543" s="117">
        <v>202303</v>
      </c>
      <c r="T543" s="157" t="s">
        <v>790</v>
      </c>
      <c r="U543" s="157"/>
      <c r="V543" s="133"/>
      <c r="W543" s="133"/>
      <c r="X543" s="118">
        <v>43647</v>
      </c>
      <c r="Y543" s="118">
        <v>45229</v>
      </c>
    </row>
    <row r="544" s="79" customFormat="1" customHeight="1" spans="1:25">
      <c r="A544" s="98" t="s">
        <v>61</v>
      </c>
      <c r="B544" s="98" t="s">
        <v>62</v>
      </c>
      <c r="C544" s="98" t="s">
        <v>217</v>
      </c>
      <c r="D544" s="96" t="s">
        <v>64</v>
      </c>
      <c r="E544" s="147" t="s">
        <v>771</v>
      </c>
      <c r="F544" s="129" t="s">
        <v>772</v>
      </c>
      <c r="G544" s="151" t="s">
        <v>88</v>
      </c>
      <c r="H544" s="19" t="s">
        <v>773</v>
      </c>
      <c r="I544" s="23" t="e">
        <f>VLOOKUP(H544,'合同综合查询数据（3月返）'!$A:$A,1,FALSE)</f>
        <v>#N/A</v>
      </c>
      <c r="J544" s="152" t="s">
        <v>781</v>
      </c>
      <c r="K544" s="109" t="s">
        <v>775</v>
      </c>
      <c r="L544" s="153"/>
      <c r="M544" s="26" t="s">
        <v>776</v>
      </c>
      <c r="N544" s="154">
        <v>43734</v>
      </c>
      <c r="O544" s="28" t="s">
        <v>457</v>
      </c>
      <c r="P544" s="131">
        <v>5216.57</v>
      </c>
      <c r="Q544" s="156">
        <v>2</v>
      </c>
      <c r="R544" s="120">
        <f t="shared" si="19"/>
        <v>10433.14</v>
      </c>
      <c r="S544" s="117">
        <v>202303</v>
      </c>
      <c r="T544" s="157" t="s">
        <v>791</v>
      </c>
      <c r="U544" s="157"/>
      <c r="V544" s="133"/>
      <c r="W544" s="133"/>
      <c r="X544" s="118">
        <v>43647</v>
      </c>
      <c r="Y544" s="118">
        <v>45229</v>
      </c>
    </row>
    <row r="545" s="79" customFormat="1" customHeight="1" spans="1:25">
      <c r="A545" s="98" t="s">
        <v>61</v>
      </c>
      <c r="B545" s="98" t="s">
        <v>62</v>
      </c>
      <c r="C545" s="98" t="s">
        <v>217</v>
      </c>
      <c r="D545" s="96" t="s">
        <v>64</v>
      </c>
      <c r="E545" s="147" t="s">
        <v>771</v>
      </c>
      <c r="F545" s="129" t="s">
        <v>772</v>
      </c>
      <c r="G545" s="151" t="s">
        <v>88</v>
      </c>
      <c r="H545" s="19" t="s">
        <v>773</v>
      </c>
      <c r="I545" s="23" t="e">
        <f>VLOOKUP(H545,'合同综合查询数据（3月返）'!$A:$A,1,FALSE)</f>
        <v>#N/A</v>
      </c>
      <c r="J545" s="152" t="s">
        <v>781</v>
      </c>
      <c r="K545" s="109" t="s">
        <v>775</v>
      </c>
      <c r="L545" s="153"/>
      <c r="M545" s="26" t="s">
        <v>776</v>
      </c>
      <c r="N545" s="154">
        <v>43750</v>
      </c>
      <c r="O545" s="28" t="s">
        <v>457</v>
      </c>
      <c r="P545" s="131">
        <v>5216.57</v>
      </c>
      <c r="Q545" s="156">
        <v>10</v>
      </c>
      <c r="R545" s="120">
        <f t="shared" si="19"/>
        <v>52165.7</v>
      </c>
      <c r="S545" s="117">
        <v>202303</v>
      </c>
      <c r="T545" s="157" t="s">
        <v>792</v>
      </c>
      <c r="U545" s="157"/>
      <c r="V545" s="133"/>
      <c r="W545" s="133"/>
      <c r="X545" s="118">
        <v>43647</v>
      </c>
      <c r="Y545" s="118">
        <v>45229</v>
      </c>
    </row>
    <row r="546" s="79" customFormat="1" customHeight="1" spans="1:25">
      <c r="A546" s="98" t="s">
        <v>61</v>
      </c>
      <c r="B546" s="98" t="s">
        <v>62</v>
      </c>
      <c r="C546" s="98" t="s">
        <v>217</v>
      </c>
      <c r="D546" s="96" t="s">
        <v>64</v>
      </c>
      <c r="E546" s="147" t="s">
        <v>771</v>
      </c>
      <c r="F546" s="129" t="s">
        <v>772</v>
      </c>
      <c r="G546" s="151" t="s">
        <v>88</v>
      </c>
      <c r="H546" s="19" t="s">
        <v>773</v>
      </c>
      <c r="I546" s="23" t="e">
        <f>VLOOKUP(H546,'合同综合查询数据（3月返）'!$A:$A,1,FALSE)</f>
        <v>#N/A</v>
      </c>
      <c r="J546" s="152" t="s">
        <v>781</v>
      </c>
      <c r="K546" s="109" t="s">
        <v>775</v>
      </c>
      <c r="L546" s="153"/>
      <c r="M546" s="26" t="s">
        <v>776</v>
      </c>
      <c r="N546" s="154">
        <v>43756</v>
      </c>
      <c r="O546" s="28" t="s">
        <v>457</v>
      </c>
      <c r="P546" s="131">
        <v>5216.57</v>
      </c>
      <c r="Q546" s="156">
        <v>2</v>
      </c>
      <c r="R546" s="120">
        <f t="shared" si="19"/>
        <v>10433.14</v>
      </c>
      <c r="S546" s="117">
        <v>202303</v>
      </c>
      <c r="T546" s="157" t="s">
        <v>793</v>
      </c>
      <c r="U546" s="157"/>
      <c r="V546" s="133"/>
      <c r="W546" s="133"/>
      <c r="X546" s="118">
        <v>43647</v>
      </c>
      <c r="Y546" s="118">
        <v>45229</v>
      </c>
    </row>
    <row r="547" s="79" customFormat="1" customHeight="1" spans="1:25">
      <c r="A547" s="98" t="s">
        <v>61</v>
      </c>
      <c r="B547" s="98" t="s">
        <v>62</v>
      </c>
      <c r="C547" s="98" t="s">
        <v>217</v>
      </c>
      <c r="D547" s="96" t="s">
        <v>64</v>
      </c>
      <c r="E547" s="147" t="s">
        <v>771</v>
      </c>
      <c r="F547" s="129" t="s">
        <v>772</v>
      </c>
      <c r="G547" s="151" t="s">
        <v>88</v>
      </c>
      <c r="H547" s="19" t="s">
        <v>773</v>
      </c>
      <c r="I547" s="23" t="e">
        <f>VLOOKUP(H547,'合同综合查询数据（3月返）'!$A:$A,1,FALSE)</f>
        <v>#N/A</v>
      </c>
      <c r="J547" s="152" t="s">
        <v>781</v>
      </c>
      <c r="K547" s="109" t="s">
        <v>775</v>
      </c>
      <c r="L547" s="153"/>
      <c r="M547" s="26" t="s">
        <v>776</v>
      </c>
      <c r="N547" s="154">
        <v>43764</v>
      </c>
      <c r="O547" s="28" t="s">
        <v>457</v>
      </c>
      <c r="P547" s="131">
        <v>5216.57</v>
      </c>
      <c r="Q547" s="156">
        <v>4</v>
      </c>
      <c r="R547" s="120">
        <f t="shared" si="19"/>
        <v>20866.28</v>
      </c>
      <c r="S547" s="117">
        <v>202303</v>
      </c>
      <c r="T547" s="157" t="s">
        <v>794</v>
      </c>
      <c r="U547" s="157"/>
      <c r="V547" s="133"/>
      <c r="W547" s="133"/>
      <c r="X547" s="118">
        <v>43647</v>
      </c>
      <c r="Y547" s="118">
        <v>45229</v>
      </c>
    </row>
    <row r="548" s="79" customFormat="1" customHeight="1" spans="1:25">
      <c r="A548" s="98" t="s">
        <v>61</v>
      </c>
      <c r="B548" s="98" t="s">
        <v>62</v>
      </c>
      <c r="C548" s="98" t="s">
        <v>217</v>
      </c>
      <c r="D548" s="96" t="s">
        <v>64</v>
      </c>
      <c r="E548" s="147" t="s">
        <v>771</v>
      </c>
      <c r="F548" s="129" t="s">
        <v>772</v>
      </c>
      <c r="G548" s="151" t="s">
        <v>88</v>
      </c>
      <c r="H548" s="19" t="s">
        <v>773</v>
      </c>
      <c r="I548" s="23" t="e">
        <f>VLOOKUP(H548,'合同综合查询数据（3月返）'!$A:$A,1,FALSE)</f>
        <v>#N/A</v>
      </c>
      <c r="J548" s="152" t="s">
        <v>781</v>
      </c>
      <c r="K548" s="109" t="s">
        <v>775</v>
      </c>
      <c r="L548" s="153"/>
      <c r="M548" s="26" t="s">
        <v>776</v>
      </c>
      <c r="N548" s="154">
        <v>43795</v>
      </c>
      <c r="O548" s="28" t="s">
        <v>457</v>
      </c>
      <c r="P548" s="131">
        <v>5216.57</v>
      </c>
      <c r="Q548" s="156">
        <v>9</v>
      </c>
      <c r="R548" s="120">
        <f t="shared" si="19"/>
        <v>46949.13</v>
      </c>
      <c r="S548" s="117">
        <v>202303</v>
      </c>
      <c r="T548" s="157" t="s">
        <v>795</v>
      </c>
      <c r="U548" s="157"/>
      <c r="V548" s="133"/>
      <c r="W548" s="133"/>
      <c r="X548" s="118">
        <v>43647</v>
      </c>
      <c r="Y548" s="118">
        <v>45229</v>
      </c>
    </row>
    <row r="549" s="79" customFormat="1" customHeight="1" spans="1:25">
      <c r="A549" s="98" t="s">
        <v>61</v>
      </c>
      <c r="B549" s="98" t="s">
        <v>62</v>
      </c>
      <c r="C549" s="98" t="s">
        <v>217</v>
      </c>
      <c r="D549" s="96" t="s">
        <v>64</v>
      </c>
      <c r="E549" s="147" t="s">
        <v>771</v>
      </c>
      <c r="F549" s="129" t="s">
        <v>772</v>
      </c>
      <c r="G549" s="151" t="s">
        <v>88</v>
      </c>
      <c r="H549" s="19" t="s">
        <v>773</v>
      </c>
      <c r="I549" s="23" t="e">
        <f>VLOOKUP(H549,'合同综合查询数据（3月返）'!$A:$A,1,FALSE)</f>
        <v>#N/A</v>
      </c>
      <c r="J549" s="152" t="s">
        <v>781</v>
      </c>
      <c r="K549" s="109" t="s">
        <v>775</v>
      </c>
      <c r="L549" s="153"/>
      <c r="M549" s="26" t="s">
        <v>776</v>
      </c>
      <c r="N549" s="154">
        <v>43805</v>
      </c>
      <c r="O549" s="28" t="s">
        <v>457</v>
      </c>
      <c r="P549" s="131">
        <v>5216.57</v>
      </c>
      <c r="Q549" s="156">
        <v>4</v>
      </c>
      <c r="R549" s="120">
        <f t="shared" si="19"/>
        <v>20866.28</v>
      </c>
      <c r="S549" s="117">
        <v>202303</v>
      </c>
      <c r="T549" s="157" t="s">
        <v>796</v>
      </c>
      <c r="U549" s="157"/>
      <c r="V549" s="133"/>
      <c r="W549" s="133"/>
      <c r="X549" s="118">
        <v>43647</v>
      </c>
      <c r="Y549" s="118">
        <v>45229</v>
      </c>
    </row>
    <row r="550" s="79" customFormat="1" customHeight="1" spans="1:25">
      <c r="A550" s="98" t="s">
        <v>61</v>
      </c>
      <c r="B550" s="98" t="s">
        <v>62</v>
      </c>
      <c r="C550" s="98" t="s">
        <v>217</v>
      </c>
      <c r="D550" s="96" t="s">
        <v>64</v>
      </c>
      <c r="E550" s="147" t="s">
        <v>771</v>
      </c>
      <c r="F550" s="129" t="s">
        <v>772</v>
      </c>
      <c r="G550" s="151" t="s">
        <v>88</v>
      </c>
      <c r="H550" s="19" t="s">
        <v>773</v>
      </c>
      <c r="I550" s="23" t="e">
        <f>VLOOKUP(H550,'合同综合查询数据（3月返）'!$A:$A,1,FALSE)</f>
        <v>#N/A</v>
      </c>
      <c r="J550" s="152" t="s">
        <v>781</v>
      </c>
      <c r="K550" s="109" t="s">
        <v>775</v>
      </c>
      <c r="L550" s="153"/>
      <c r="M550" s="26" t="s">
        <v>776</v>
      </c>
      <c r="N550" s="154">
        <v>43941</v>
      </c>
      <c r="O550" s="28" t="s">
        <v>457</v>
      </c>
      <c r="P550" s="131">
        <v>5216.57</v>
      </c>
      <c r="Q550" s="156">
        <v>3</v>
      </c>
      <c r="R550" s="120">
        <f t="shared" si="19"/>
        <v>15649.71</v>
      </c>
      <c r="S550" s="117">
        <v>202303</v>
      </c>
      <c r="T550" s="157" t="s">
        <v>797</v>
      </c>
      <c r="U550" s="157"/>
      <c r="V550" s="133"/>
      <c r="W550" s="133"/>
      <c r="X550" s="118">
        <v>43647</v>
      </c>
      <c r="Y550" s="118">
        <v>45229</v>
      </c>
    </row>
    <row r="551" s="79" customFormat="1" customHeight="1" spans="1:25">
      <c r="A551" s="98" t="s">
        <v>61</v>
      </c>
      <c r="B551" s="98" t="s">
        <v>62</v>
      </c>
      <c r="C551" s="98" t="s">
        <v>217</v>
      </c>
      <c r="D551" s="96" t="s">
        <v>64</v>
      </c>
      <c r="E551" s="147" t="s">
        <v>771</v>
      </c>
      <c r="F551" s="129" t="s">
        <v>772</v>
      </c>
      <c r="G551" s="151" t="s">
        <v>88</v>
      </c>
      <c r="H551" s="19" t="s">
        <v>773</v>
      </c>
      <c r="I551" s="23" t="e">
        <f>VLOOKUP(H551,'合同综合查询数据（3月返）'!$A:$A,1,FALSE)</f>
        <v>#N/A</v>
      </c>
      <c r="J551" s="152" t="s">
        <v>781</v>
      </c>
      <c r="K551" s="109" t="s">
        <v>775</v>
      </c>
      <c r="L551" s="153"/>
      <c r="M551" s="26" t="s">
        <v>776</v>
      </c>
      <c r="N551" s="154">
        <v>43983</v>
      </c>
      <c r="O551" s="28" t="s">
        <v>457</v>
      </c>
      <c r="P551" s="131">
        <v>5216.57</v>
      </c>
      <c r="Q551" s="156">
        <v>1</v>
      </c>
      <c r="R551" s="120">
        <f t="shared" si="19"/>
        <v>5216.57</v>
      </c>
      <c r="S551" s="117">
        <v>202303</v>
      </c>
      <c r="T551" s="157" t="s">
        <v>798</v>
      </c>
      <c r="U551" s="157"/>
      <c r="V551" s="133"/>
      <c r="W551" s="133"/>
      <c r="X551" s="118">
        <v>43647</v>
      </c>
      <c r="Y551" s="118">
        <v>45229</v>
      </c>
    </row>
    <row r="552" s="79" customFormat="1" customHeight="1" spans="1:25">
      <c r="A552" s="98" t="s">
        <v>61</v>
      </c>
      <c r="B552" s="98" t="s">
        <v>62</v>
      </c>
      <c r="C552" s="98" t="s">
        <v>217</v>
      </c>
      <c r="D552" s="96" t="s">
        <v>64</v>
      </c>
      <c r="E552" s="147" t="s">
        <v>771</v>
      </c>
      <c r="F552" s="129" t="s">
        <v>772</v>
      </c>
      <c r="G552" s="151" t="s">
        <v>88</v>
      </c>
      <c r="H552" s="19" t="s">
        <v>773</v>
      </c>
      <c r="I552" s="23" t="e">
        <f>VLOOKUP(H552,'合同综合查询数据（3月返）'!$A:$A,1,FALSE)</f>
        <v>#N/A</v>
      </c>
      <c r="J552" s="152" t="s">
        <v>781</v>
      </c>
      <c r="K552" s="109" t="s">
        <v>775</v>
      </c>
      <c r="L552" s="153"/>
      <c r="M552" s="26" t="s">
        <v>776</v>
      </c>
      <c r="N552" s="154">
        <v>44033</v>
      </c>
      <c r="O552" s="28" t="s">
        <v>457</v>
      </c>
      <c r="P552" s="131">
        <v>5216.57</v>
      </c>
      <c r="Q552" s="156">
        <v>2</v>
      </c>
      <c r="R552" s="120">
        <f t="shared" si="19"/>
        <v>10433.14</v>
      </c>
      <c r="S552" s="117">
        <v>202303</v>
      </c>
      <c r="T552" s="157" t="s">
        <v>799</v>
      </c>
      <c r="U552" s="157"/>
      <c r="V552" s="133"/>
      <c r="W552" s="133"/>
      <c r="X552" s="118">
        <v>43647</v>
      </c>
      <c r="Y552" s="118">
        <v>45229</v>
      </c>
    </row>
    <row r="553" s="79" customFormat="1" customHeight="1" spans="1:25">
      <c r="A553" s="98" t="s">
        <v>61</v>
      </c>
      <c r="B553" s="98" t="s">
        <v>62</v>
      </c>
      <c r="C553" s="98" t="s">
        <v>217</v>
      </c>
      <c r="D553" s="96" t="s">
        <v>64</v>
      </c>
      <c r="E553" s="147" t="s">
        <v>771</v>
      </c>
      <c r="F553" s="129" t="s">
        <v>772</v>
      </c>
      <c r="G553" s="151" t="s">
        <v>88</v>
      </c>
      <c r="H553" s="19" t="s">
        <v>773</v>
      </c>
      <c r="I553" s="23" t="e">
        <f>VLOOKUP(H553,'合同综合查询数据（3月返）'!$A:$A,1,FALSE)</f>
        <v>#N/A</v>
      </c>
      <c r="J553" s="152" t="s">
        <v>781</v>
      </c>
      <c r="K553" s="109" t="s">
        <v>775</v>
      </c>
      <c r="L553" s="153"/>
      <c r="M553" s="26" t="s">
        <v>776</v>
      </c>
      <c r="N553" s="154">
        <v>44137</v>
      </c>
      <c r="O553" s="28" t="s">
        <v>457</v>
      </c>
      <c r="P553" s="131">
        <v>5216.57</v>
      </c>
      <c r="Q553" s="156">
        <v>1</v>
      </c>
      <c r="R553" s="120">
        <f t="shared" si="19"/>
        <v>5216.57</v>
      </c>
      <c r="S553" s="117">
        <v>202303</v>
      </c>
      <c r="T553" s="157" t="s">
        <v>800</v>
      </c>
      <c r="U553" s="157"/>
      <c r="V553" s="133"/>
      <c r="W553" s="133"/>
      <c r="X553" s="118">
        <v>43647</v>
      </c>
      <c r="Y553" s="118">
        <v>45229</v>
      </c>
    </row>
    <row r="554" s="79" customFormat="1" customHeight="1" spans="1:25">
      <c r="A554" s="98" t="s">
        <v>61</v>
      </c>
      <c r="B554" s="98" t="s">
        <v>62</v>
      </c>
      <c r="C554" s="98" t="s">
        <v>217</v>
      </c>
      <c r="D554" s="96" t="s">
        <v>64</v>
      </c>
      <c r="E554" s="147" t="s">
        <v>771</v>
      </c>
      <c r="F554" s="129" t="s">
        <v>772</v>
      </c>
      <c r="G554" s="151" t="s">
        <v>88</v>
      </c>
      <c r="H554" s="19" t="s">
        <v>773</v>
      </c>
      <c r="I554" s="23" t="e">
        <f>VLOOKUP(H554,'合同综合查询数据（3月返）'!$A:$A,1,FALSE)</f>
        <v>#N/A</v>
      </c>
      <c r="J554" s="152" t="s">
        <v>781</v>
      </c>
      <c r="K554" s="109" t="s">
        <v>775</v>
      </c>
      <c r="L554" s="153"/>
      <c r="M554" s="26" t="s">
        <v>776</v>
      </c>
      <c r="N554" s="154">
        <v>44140</v>
      </c>
      <c r="O554" s="28" t="s">
        <v>457</v>
      </c>
      <c r="P554" s="131">
        <v>5216.57</v>
      </c>
      <c r="Q554" s="156">
        <v>2</v>
      </c>
      <c r="R554" s="120">
        <f t="shared" si="19"/>
        <v>10433.14</v>
      </c>
      <c r="S554" s="117">
        <v>202303</v>
      </c>
      <c r="T554" s="157" t="s">
        <v>801</v>
      </c>
      <c r="U554" s="157"/>
      <c r="V554" s="133"/>
      <c r="W554" s="133"/>
      <c r="X554" s="118">
        <v>43647</v>
      </c>
      <c r="Y554" s="118">
        <v>45229</v>
      </c>
    </row>
    <row r="555" s="79" customFormat="1" customHeight="1" spans="1:25">
      <c r="A555" s="98" t="s">
        <v>61</v>
      </c>
      <c r="B555" s="98" t="s">
        <v>62</v>
      </c>
      <c r="C555" s="98" t="s">
        <v>217</v>
      </c>
      <c r="D555" s="96" t="s">
        <v>64</v>
      </c>
      <c r="E555" s="147" t="s">
        <v>771</v>
      </c>
      <c r="F555" s="129" t="s">
        <v>772</v>
      </c>
      <c r="G555" s="151" t="s">
        <v>88</v>
      </c>
      <c r="H555" s="19" t="s">
        <v>773</v>
      </c>
      <c r="I555" s="23" t="e">
        <f>VLOOKUP(H555,'合同综合查询数据（3月返）'!$A:$A,1,FALSE)</f>
        <v>#N/A</v>
      </c>
      <c r="J555" s="152" t="s">
        <v>781</v>
      </c>
      <c r="K555" s="109" t="s">
        <v>775</v>
      </c>
      <c r="L555" s="153"/>
      <c r="M555" s="26" t="s">
        <v>776</v>
      </c>
      <c r="N555" s="154">
        <v>44152</v>
      </c>
      <c r="O555" s="28" t="s">
        <v>457</v>
      </c>
      <c r="P555" s="131">
        <v>5216.57</v>
      </c>
      <c r="Q555" s="156">
        <v>1</v>
      </c>
      <c r="R555" s="120">
        <f t="shared" si="19"/>
        <v>5216.57</v>
      </c>
      <c r="S555" s="117">
        <v>202303</v>
      </c>
      <c r="T555" s="157" t="s">
        <v>802</v>
      </c>
      <c r="U555" s="157"/>
      <c r="V555" s="133"/>
      <c r="W555" s="133"/>
      <c r="X555" s="118">
        <v>43647</v>
      </c>
      <c r="Y555" s="118">
        <v>45229</v>
      </c>
    </row>
    <row r="556" s="79" customFormat="1" customHeight="1" spans="1:25">
      <c r="A556" s="98" t="s">
        <v>61</v>
      </c>
      <c r="B556" s="98" t="s">
        <v>62</v>
      </c>
      <c r="C556" s="98" t="s">
        <v>217</v>
      </c>
      <c r="D556" s="96" t="s">
        <v>64</v>
      </c>
      <c r="E556" s="147" t="s">
        <v>771</v>
      </c>
      <c r="F556" s="129" t="s">
        <v>772</v>
      </c>
      <c r="G556" s="151" t="s">
        <v>88</v>
      </c>
      <c r="H556" s="19" t="s">
        <v>773</v>
      </c>
      <c r="I556" s="23" t="e">
        <f>VLOOKUP(H556,'合同综合查询数据（3月返）'!$A:$A,1,FALSE)</f>
        <v>#N/A</v>
      </c>
      <c r="J556" s="152" t="s">
        <v>781</v>
      </c>
      <c r="K556" s="109" t="s">
        <v>775</v>
      </c>
      <c r="L556" s="153"/>
      <c r="M556" s="26" t="s">
        <v>776</v>
      </c>
      <c r="N556" s="154">
        <v>44154</v>
      </c>
      <c r="O556" s="28" t="s">
        <v>457</v>
      </c>
      <c r="P556" s="131">
        <v>5216.57</v>
      </c>
      <c r="Q556" s="156">
        <v>1</v>
      </c>
      <c r="R556" s="120">
        <f t="shared" si="19"/>
        <v>5216.57</v>
      </c>
      <c r="S556" s="117">
        <v>202303</v>
      </c>
      <c r="T556" s="157" t="s">
        <v>803</v>
      </c>
      <c r="U556" s="157"/>
      <c r="V556" s="133"/>
      <c r="W556" s="133"/>
      <c r="X556" s="118">
        <v>43647</v>
      </c>
      <c r="Y556" s="118">
        <v>45229</v>
      </c>
    </row>
    <row r="557" s="79" customFormat="1" customHeight="1" spans="1:25">
      <c r="A557" s="98" t="s">
        <v>61</v>
      </c>
      <c r="B557" s="98" t="s">
        <v>62</v>
      </c>
      <c r="C557" s="98" t="s">
        <v>217</v>
      </c>
      <c r="D557" s="96" t="s">
        <v>64</v>
      </c>
      <c r="E557" s="147" t="s">
        <v>771</v>
      </c>
      <c r="F557" s="129" t="s">
        <v>772</v>
      </c>
      <c r="G557" s="151" t="s">
        <v>88</v>
      </c>
      <c r="H557" s="19" t="s">
        <v>773</v>
      </c>
      <c r="I557" s="23" t="e">
        <f>VLOOKUP(H557,'合同综合查询数据（3月返）'!$A:$A,1,FALSE)</f>
        <v>#N/A</v>
      </c>
      <c r="J557" s="152" t="s">
        <v>781</v>
      </c>
      <c r="K557" s="109" t="s">
        <v>775</v>
      </c>
      <c r="L557" s="153"/>
      <c r="M557" s="26" t="s">
        <v>776</v>
      </c>
      <c r="N557" s="154">
        <v>44166</v>
      </c>
      <c r="O557" s="28" t="s">
        <v>457</v>
      </c>
      <c r="P557" s="131">
        <v>5216.57</v>
      </c>
      <c r="Q557" s="156">
        <v>8</v>
      </c>
      <c r="R557" s="120">
        <f t="shared" si="19"/>
        <v>41732.56</v>
      </c>
      <c r="S557" s="117">
        <v>202303</v>
      </c>
      <c r="T557" s="157" t="s">
        <v>804</v>
      </c>
      <c r="U557" s="157"/>
      <c r="V557" s="133"/>
      <c r="W557" s="133"/>
      <c r="X557" s="118">
        <v>43647</v>
      </c>
      <c r="Y557" s="118">
        <v>45229</v>
      </c>
    </row>
    <row r="558" s="79" customFormat="1" customHeight="1" spans="1:25">
      <c r="A558" s="98" t="s">
        <v>61</v>
      </c>
      <c r="B558" s="98" t="s">
        <v>62</v>
      </c>
      <c r="C558" s="98" t="s">
        <v>217</v>
      </c>
      <c r="D558" s="96" t="s">
        <v>64</v>
      </c>
      <c r="E558" s="147" t="s">
        <v>771</v>
      </c>
      <c r="F558" s="129" t="s">
        <v>772</v>
      </c>
      <c r="G558" s="151" t="s">
        <v>88</v>
      </c>
      <c r="H558" s="19" t="s">
        <v>773</v>
      </c>
      <c r="I558" s="23" t="e">
        <f>VLOOKUP(H558,'合同综合查询数据（3月返）'!$A:$A,1,FALSE)</f>
        <v>#N/A</v>
      </c>
      <c r="J558" s="152" t="s">
        <v>781</v>
      </c>
      <c r="K558" s="109" t="s">
        <v>775</v>
      </c>
      <c r="L558" s="153"/>
      <c r="M558" s="26" t="s">
        <v>776</v>
      </c>
      <c r="N558" s="154">
        <v>44193</v>
      </c>
      <c r="O558" s="28" t="s">
        <v>457</v>
      </c>
      <c r="P558" s="131">
        <v>5216.57</v>
      </c>
      <c r="Q558" s="156">
        <v>2</v>
      </c>
      <c r="R558" s="120">
        <f t="shared" ref="R558:R589" si="20">ROUND(P558*Q558,2)</f>
        <v>10433.14</v>
      </c>
      <c r="S558" s="117">
        <v>202303</v>
      </c>
      <c r="T558" s="157" t="s">
        <v>805</v>
      </c>
      <c r="U558" s="157"/>
      <c r="V558" s="133"/>
      <c r="W558" s="133"/>
      <c r="X558" s="118">
        <v>43647</v>
      </c>
      <c r="Y558" s="118">
        <v>45229</v>
      </c>
    </row>
    <row r="559" s="79" customFormat="1" customHeight="1" spans="1:25">
      <c r="A559" s="98" t="s">
        <v>61</v>
      </c>
      <c r="B559" s="98" t="s">
        <v>62</v>
      </c>
      <c r="C559" s="98" t="s">
        <v>217</v>
      </c>
      <c r="D559" s="96" t="s">
        <v>64</v>
      </c>
      <c r="E559" s="147" t="s">
        <v>771</v>
      </c>
      <c r="F559" s="129" t="s">
        <v>772</v>
      </c>
      <c r="G559" s="151" t="s">
        <v>88</v>
      </c>
      <c r="H559" s="19" t="s">
        <v>773</v>
      </c>
      <c r="I559" s="23" t="e">
        <f>VLOOKUP(H559,'合同综合查询数据（3月返）'!$A:$A,1,FALSE)</f>
        <v>#N/A</v>
      </c>
      <c r="J559" s="152" t="s">
        <v>781</v>
      </c>
      <c r="K559" s="109" t="s">
        <v>775</v>
      </c>
      <c r="L559" s="153"/>
      <c r="M559" s="26" t="s">
        <v>776</v>
      </c>
      <c r="N559" s="154">
        <v>44209</v>
      </c>
      <c r="O559" s="28" t="s">
        <v>457</v>
      </c>
      <c r="P559" s="131">
        <v>5216.57</v>
      </c>
      <c r="Q559" s="156">
        <v>7</v>
      </c>
      <c r="R559" s="120">
        <f t="shared" si="20"/>
        <v>36515.99</v>
      </c>
      <c r="S559" s="117">
        <v>202303</v>
      </c>
      <c r="T559" s="157" t="s">
        <v>806</v>
      </c>
      <c r="U559" s="157"/>
      <c r="V559" s="133"/>
      <c r="W559" s="133"/>
      <c r="X559" s="118">
        <v>43647</v>
      </c>
      <c r="Y559" s="118">
        <v>45229</v>
      </c>
    </row>
    <row r="560" s="79" customFormat="1" customHeight="1" spans="1:25">
      <c r="A560" s="98" t="s">
        <v>61</v>
      </c>
      <c r="B560" s="98" t="s">
        <v>62</v>
      </c>
      <c r="C560" s="98" t="s">
        <v>217</v>
      </c>
      <c r="D560" s="96" t="s">
        <v>64</v>
      </c>
      <c r="E560" s="147" t="s">
        <v>771</v>
      </c>
      <c r="F560" s="129" t="s">
        <v>772</v>
      </c>
      <c r="G560" s="151" t="s">
        <v>88</v>
      </c>
      <c r="H560" s="19" t="s">
        <v>773</v>
      </c>
      <c r="I560" s="23" t="e">
        <f>VLOOKUP(H560,'合同综合查询数据（3月返）'!$A:$A,1,FALSE)</f>
        <v>#N/A</v>
      </c>
      <c r="J560" s="152" t="s">
        <v>781</v>
      </c>
      <c r="K560" s="109" t="s">
        <v>775</v>
      </c>
      <c r="L560" s="153"/>
      <c r="M560" s="26" t="s">
        <v>776</v>
      </c>
      <c r="N560" s="154">
        <v>44223</v>
      </c>
      <c r="O560" s="28" t="s">
        <v>457</v>
      </c>
      <c r="P560" s="131">
        <v>5216.57</v>
      </c>
      <c r="Q560" s="156">
        <v>4</v>
      </c>
      <c r="R560" s="120">
        <f t="shared" si="20"/>
        <v>20866.28</v>
      </c>
      <c r="S560" s="117">
        <v>202303</v>
      </c>
      <c r="T560" s="157" t="s">
        <v>807</v>
      </c>
      <c r="U560" s="157"/>
      <c r="V560" s="133"/>
      <c r="W560" s="133"/>
      <c r="X560" s="118">
        <v>43647</v>
      </c>
      <c r="Y560" s="118">
        <v>45229</v>
      </c>
    </row>
    <row r="561" s="79" customFormat="1" customHeight="1" spans="1:25">
      <c r="A561" s="98" t="s">
        <v>61</v>
      </c>
      <c r="B561" s="98" t="s">
        <v>62</v>
      </c>
      <c r="C561" s="98" t="s">
        <v>217</v>
      </c>
      <c r="D561" s="96" t="s">
        <v>64</v>
      </c>
      <c r="E561" s="147" t="s">
        <v>771</v>
      </c>
      <c r="F561" s="129" t="s">
        <v>772</v>
      </c>
      <c r="G561" s="151" t="s">
        <v>88</v>
      </c>
      <c r="H561" s="19" t="s">
        <v>773</v>
      </c>
      <c r="I561" s="23" t="e">
        <f>VLOOKUP(H561,'合同综合查询数据（3月返）'!$A:$A,1,FALSE)</f>
        <v>#N/A</v>
      </c>
      <c r="J561" s="152" t="s">
        <v>781</v>
      </c>
      <c r="K561" s="109" t="s">
        <v>775</v>
      </c>
      <c r="L561" s="153"/>
      <c r="M561" s="26" t="s">
        <v>776</v>
      </c>
      <c r="N561" s="154">
        <v>44225</v>
      </c>
      <c r="O561" s="28" t="s">
        <v>457</v>
      </c>
      <c r="P561" s="131">
        <v>5216.57</v>
      </c>
      <c r="Q561" s="156">
        <v>9</v>
      </c>
      <c r="R561" s="120">
        <f t="shared" si="20"/>
        <v>46949.13</v>
      </c>
      <c r="S561" s="117">
        <v>202303</v>
      </c>
      <c r="T561" s="157" t="s">
        <v>808</v>
      </c>
      <c r="U561" s="157"/>
      <c r="V561" s="133"/>
      <c r="W561" s="133"/>
      <c r="X561" s="118">
        <v>43647</v>
      </c>
      <c r="Y561" s="118">
        <v>45229</v>
      </c>
    </row>
    <row r="562" s="79" customFormat="1" customHeight="1" spans="1:25">
      <c r="A562" s="98" t="s">
        <v>61</v>
      </c>
      <c r="B562" s="98" t="s">
        <v>62</v>
      </c>
      <c r="C562" s="98" t="s">
        <v>217</v>
      </c>
      <c r="D562" s="96" t="s">
        <v>64</v>
      </c>
      <c r="E562" s="147" t="s">
        <v>771</v>
      </c>
      <c r="F562" s="129" t="s">
        <v>772</v>
      </c>
      <c r="G562" s="151" t="s">
        <v>88</v>
      </c>
      <c r="H562" s="19" t="s">
        <v>773</v>
      </c>
      <c r="I562" s="23" t="e">
        <f>VLOOKUP(H562,'合同综合查询数据（3月返）'!$A:$A,1,FALSE)</f>
        <v>#N/A</v>
      </c>
      <c r="J562" s="152" t="s">
        <v>781</v>
      </c>
      <c r="K562" s="109" t="s">
        <v>775</v>
      </c>
      <c r="L562" s="153"/>
      <c r="M562" s="26" t="s">
        <v>776</v>
      </c>
      <c r="N562" s="154">
        <v>44228</v>
      </c>
      <c r="O562" s="28" t="s">
        <v>457</v>
      </c>
      <c r="P562" s="131">
        <v>5216.57</v>
      </c>
      <c r="Q562" s="156">
        <v>-500</v>
      </c>
      <c r="R562" s="120">
        <f t="shared" si="20"/>
        <v>-2608285</v>
      </c>
      <c r="S562" s="117">
        <v>202303</v>
      </c>
      <c r="T562" s="157" t="s">
        <v>809</v>
      </c>
      <c r="U562" s="157"/>
      <c r="V562" s="133"/>
      <c r="W562" s="133"/>
      <c r="X562" s="118">
        <v>43647</v>
      </c>
      <c r="Y562" s="118">
        <v>45229</v>
      </c>
    </row>
    <row r="563" s="79" customFormat="1" customHeight="1" spans="1:25">
      <c r="A563" s="98" t="s">
        <v>61</v>
      </c>
      <c r="B563" s="98" t="s">
        <v>62</v>
      </c>
      <c r="C563" s="98" t="s">
        <v>217</v>
      </c>
      <c r="D563" s="96" t="s">
        <v>64</v>
      </c>
      <c r="E563" s="147" t="s">
        <v>771</v>
      </c>
      <c r="F563" s="129" t="s">
        <v>772</v>
      </c>
      <c r="G563" s="151" t="s">
        <v>88</v>
      </c>
      <c r="H563" s="19" t="s">
        <v>773</v>
      </c>
      <c r="I563" s="23" t="e">
        <f>VLOOKUP(H563,'合同综合查询数据（3月返）'!$A:$A,1,FALSE)</f>
        <v>#N/A</v>
      </c>
      <c r="J563" s="152" t="s">
        <v>781</v>
      </c>
      <c r="K563" s="109" t="s">
        <v>775</v>
      </c>
      <c r="L563" s="153"/>
      <c r="M563" s="26" t="s">
        <v>776</v>
      </c>
      <c r="N563" s="154">
        <v>44236</v>
      </c>
      <c r="O563" s="28" t="s">
        <v>457</v>
      </c>
      <c r="P563" s="131">
        <v>5216.57</v>
      </c>
      <c r="Q563" s="156">
        <v>-2</v>
      </c>
      <c r="R563" s="120">
        <f t="shared" si="20"/>
        <v>-10433.14</v>
      </c>
      <c r="S563" s="117">
        <v>202303</v>
      </c>
      <c r="T563" s="157" t="s">
        <v>810</v>
      </c>
      <c r="U563" s="157"/>
      <c r="V563" s="133"/>
      <c r="W563" s="133"/>
      <c r="X563" s="118">
        <v>43647</v>
      </c>
      <c r="Y563" s="118">
        <v>45229</v>
      </c>
    </row>
    <row r="564" s="79" customFormat="1" customHeight="1" spans="1:25">
      <c r="A564" s="98" t="s">
        <v>61</v>
      </c>
      <c r="B564" s="98" t="s">
        <v>62</v>
      </c>
      <c r="C564" s="98" t="s">
        <v>217</v>
      </c>
      <c r="D564" s="96" t="s">
        <v>64</v>
      </c>
      <c r="E564" s="147" t="s">
        <v>771</v>
      </c>
      <c r="F564" s="129" t="s">
        <v>772</v>
      </c>
      <c r="G564" s="151" t="s">
        <v>88</v>
      </c>
      <c r="H564" s="19" t="s">
        <v>773</v>
      </c>
      <c r="I564" s="23" t="e">
        <f>VLOOKUP(H564,'合同综合查询数据（3月返）'!$A:$A,1,FALSE)</f>
        <v>#N/A</v>
      </c>
      <c r="J564" s="152" t="s">
        <v>781</v>
      </c>
      <c r="K564" s="109" t="s">
        <v>775</v>
      </c>
      <c r="L564" s="153"/>
      <c r="M564" s="26" t="s">
        <v>776</v>
      </c>
      <c r="N564" s="154">
        <v>44231</v>
      </c>
      <c r="O564" s="28" t="s">
        <v>457</v>
      </c>
      <c r="P564" s="131">
        <v>5216.57</v>
      </c>
      <c r="Q564" s="156">
        <v>8</v>
      </c>
      <c r="R564" s="120">
        <f t="shared" si="20"/>
        <v>41732.56</v>
      </c>
      <c r="S564" s="117">
        <v>202303</v>
      </c>
      <c r="T564" s="157" t="s">
        <v>811</v>
      </c>
      <c r="U564" s="157"/>
      <c r="V564" s="133"/>
      <c r="W564" s="133"/>
      <c r="X564" s="118">
        <v>43647</v>
      </c>
      <c r="Y564" s="118">
        <v>45229</v>
      </c>
    </row>
    <row r="565" s="79" customFormat="1" customHeight="1" spans="1:25">
      <c r="A565" s="98" t="s">
        <v>61</v>
      </c>
      <c r="B565" s="98" t="s">
        <v>62</v>
      </c>
      <c r="C565" s="98" t="s">
        <v>217</v>
      </c>
      <c r="D565" s="96" t="s">
        <v>64</v>
      </c>
      <c r="E565" s="147" t="s">
        <v>771</v>
      </c>
      <c r="F565" s="129" t="s">
        <v>772</v>
      </c>
      <c r="G565" s="151" t="s">
        <v>88</v>
      </c>
      <c r="H565" s="19" t="s">
        <v>773</v>
      </c>
      <c r="I565" s="23" t="e">
        <f>VLOOKUP(H565,'合同综合查询数据（3月返）'!$A:$A,1,FALSE)</f>
        <v>#N/A</v>
      </c>
      <c r="J565" s="152" t="s">
        <v>781</v>
      </c>
      <c r="K565" s="109" t="s">
        <v>775</v>
      </c>
      <c r="L565" s="153"/>
      <c r="M565" s="26" t="s">
        <v>776</v>
      </c>
      <c r="N565" s="154">
        <v>44251</v>
      </c>
      <c r="O565" s="28" t="s">
        <v>457</v>
      </c>
      <c r="P565" s="131">
        <v>5216.57</v>
      </c>
      <c r="Q565" s="156">
        <v>2</v>
      </c>
      <c r="R565" s="120">
        <f t="shared" si="20"/>
        <v>10433.14</v>
      </c>
      <c r="S565" s="117">
        <v>202303</v>
      </c>
      <c r="T565" s="157" t="s">
        <v>812</v>
      </c>
      <c r="U565" s="157"/>
      <c r="V565" s="133"/>
      <c r="W565" s="133"/>
      <c r="X565" s="118">
        <v>43647</v>
      </c>
      <c r="Y565" s="118">
        <v>45229</v>
      </c>
    </row>
    <row r="566" s="79" customFormat="1" customHeight="1" spans="1:25">
      <c r="A566" s="98" t="s">
        <v>61</v>
      </c>
      <c r="B566" s="98" t="s">
        <v>62</v>
      </c>
      <c r="C566" s="98" t="s">
        <v>217</v>
      </c>
      <c r="D566" s="96" t="s">
        <v>64</v>
      </c>
      <c r="E566" s="147" t="s">
        <v>771</v>
      </c>
      <c r="F566" s="129" t="s">
        <v>772</v>
      </c>
      <c r="G566" s="151" t="s">
        <v>88</v>
      </c>
      <c r="H566" s="19" t="s">
        <v>773</v>
      </c>
      <c r="I566" s="23" t="e">
        <f>VLOOKUP(H566,'合同综合查询数据（3月返）'!$A:$A,1,FALSE)</f>
        <v>#N/A</v>
      </c>
      <c r="J566" s="152" t="s">
        <v>781</v>
      </c>
      <c r="K566" s="109" t="s">
        <v>775</v>
      </c>
      <c r="L566" s="153"/>
      <c r="M566" s="26" t="s">
        <v>776</v>
      </c>
      <c r="N566" s="154">
        <v>44271</v>
      </c>
      <c r="O566" s="28" t="s">
        <v>457</v>
      </c>
      <c r="P566" s="131">
        <v>5216.57</v>
      </c>
      <c r="Q566" s="156">
        <v>2</v>
      </c>
      <c r="R566" s="120">
        <f t="shared" si="20"/>
        <v>10433.14</v>
      </c>
      <c r="S566" s="117">
        <v>202303</v>
      </c>
      <c r="T566" s="157" t="s">
        <v>813</v>
      </c>
      <c r="U566" s="157"/>
      <c r="V566" s="133"/>
      <c r="W566" s="133"/>
      <c r="X566" s="118">
        <v>43647</v>
      </c>
      <c r="Y566" s="118">
        <v>45229</v>
      </c>
    </row>
    <row r="567" s="79" customFormat="1" customHeight="1" spans="1:25">
      <c r="A567" s="98" t="s">
        <v>61</v>
      </c>
      <c r="B567" s="98" t="s">
        <v>62</v>
      </c>
      <c r="C567" s="98" t="s">
        <v>217</v>
      </c>
      <c r="D567" s="96" t="s">
        <v>64</v>
      </c>
      <c r="E567" s="147" t="s">
        <v>771</v>
      </c>
      <c r="F567" s="129" t="s">
        <v>772</v>
      </c>
      <c r="G567" s="151" t="s">
        <v>88</v>
      </c>
      <c r="H567" s="19" t="s">
        <v>773</v>
      </c>
      <c r="I567" s="23" t="e">
        <f>VLOOKUP(H567,'合同综合查询数据（3月返）'!$A:$A,1,FALSE)</f>
        <v>#N/A</v>
      </c>
      <c r="J567" s="152" t="s">
        <v>781</v>
      </c>
      <c r="K567" s="109" t="s">
        <v>775</v>
      </c>
      <c r="L567" s="153"/>
      <c r="M567" s="26" t="s">
        <v>776</v>
      </c>
      <c r="N567" s="154">
        <v>44274</v>
      </c>
      <c r="O567" s="28" t="s">
        <v>457</v>
      </c>
      <c r="P567" s="131">
        <v>5216.57</v>
      </c>
      <c r="Q567" s="156">
        <v>4</v>
      </c>
      <c r="R567" s="120">
        <f t="shared" si="20"/>
        <v>20866.28</v>
      </c>
      <c r="S567" s="117">
        <v>202303</v>
      </c>
      <c r="T567" s="157" t="s">
        <v>814</v>
      </c>
      <c r="U567" s="157"/>
      <c r="V567" s="133"/>
      <c r="W567" s="133"/>
      <c r="X567" s="118">
        <v>43647</v>
      </c>
      <c r="Y567" s="118">
        <v>45229</v>
      </c>
    </row>
    <row r="568" s="79" customFormat="1" customHeight="1" spans="1:25">
      <c r="A568" s="98" t="s">
        <v>61</v>
      </c>
      <c r="B568" s="98" t="s">
        <v>62</v>
      </c>
      <c r="C568" s="98" t="s">
        <v>217</v>
      </c>
      <c r="D568" s="96" t="s">
        <v>64</v>
      </c>
      <c r="E568" s="147" t="s">
        <v>771</v>
      </c>
      <c r="F568" s="129" t="s">
        <v>772</v>
      </c>
      <c r="G568" s="151" t="s">
        <v>88</v>
      </c>
      <c r="H568" s="19" t="s">
        <v>773</v>
      </c>
      <c r="I568" s="23" t="e">
        <f>VLOOKUP(H568,'合同综合查询数据（3月返）'!$A:$A,1,FALSE)</f>
        <v>#N/A</v>
      </c>
      <c r="J568" s="152" t="s">
        <v>781</v>
      </c>
      <c r="K568" s="109" t="s">
        <v>775</v>
      </c>
      <c r="L568" s="153"/>
      <c r="M568" s="26" t="s">
        <v>776</v>
      </c>
      <c r="N568" s="154">
        <v>44277</v>
      </c>
      <c r="O568" s="28" t="s">
        <v>457</v>
      </c>
      <c r="P568" s="131">
        <v>5216.57</v>
      </c>
      <c r="Q568" s="156">
        <v>4</v>
      </c>
      <c r="R568" s="120">
        <f t="shared" si="20"/>
        <v>20866.28</v>
      </c>
      <c r="S568" s="117">
        <v>202303</v>
      </c>
      <c r="T568" s="157" t="s">
        <v>815</v>
      </c>
      <c r="U568" s="157"/>
      <c r="V568" s="133"/>
      <c r="W568" s="133"/>
      <c r="X568" s="118">
        <v>43647</v>
      </c>
      <c r="Y568" s="118">
        <v>45229</v>
      </c>
    </row>
    <row r="569" s="79" customFormat="1" customHeight="1" spans="1:25">
      <c r="A569" s="98" t="s">
        <v>61</v>
      </c>
      <c r="B569" s="98" t="s">
        <v>62</v>
      </c>
      <c r="C569" s="98" t="s">
        <v>217</v>
      </c>
      <c r="D569" s="96" t="s">
        <v>64</v>
      </c>
      <c r="E569" s="147" t="s">
        <v>771</v>
      </c>
      <c r="F569" s="129" t="s">
        <v>772</v>
      </c>
      <c r="G569" s="151" t="s">
        <v>88</v>
      </c>
      <c r="H569" s="19" t="s">
        <v>773</v>
      </c>
      <c r="I569" s="23" t="e">
        <f>VLOOKUP(H569,'合同综合查询数据（3月返）'!$A:$A,1,FALSE)</f>
        <v>#N/A</v>
      </c>
      <c r="J569" s="152" t="s">
        <v>781</v>
      </c>
      <c r="K569" s="109" t="s">
        <v>775</v>
      </c>
      <c r="L569" s="153"/>
      <c r="M569" s="26" t="s">
        <v>776</v>
      </c>
      <c r="N569" s="154">
        <v>44281</v>
      </c>
      <c r="O569" s="28" t="s">
        <v>457</v>
      </c>
      <c r="P569" s="131">
        <v>5216.57</v>
      </c>
      <c r="Q569" s="156">
        <v>4</v>
      </c>
      <c r="R569" s="120">
        <f t="shared" si="20"/>
        <v>20866.28</v>
      </c>
      <c r="S569" s="117">
        <v>202303</v>
      </c>
      <c r="T569" s="157" t="s">
        <v>816</v>
      </c>
      <c r="U569" s="157"/>
      <c r="V569" s="133"/>
      <c r="W569" s="133"/>
      <c r="X569" s="118">
        <v>43647</v>
      </c>
      <c r="Y569" s="118">
        <v>45229</v>
      </c>
    </row>
    <row r="570" s="79" customFormat="1" customHeight="1" spans="1:25">
      <c r="A570" s="98" t="s">
        <v>61</v>
      </c>
      <c r="B570" s="98" t="s">
        <v>62</v>
      </c>
      <c r="C570" s="98" t="s">
        <v>217</v>
      </c>
      <c r="D570" s="96" t="s">
        <v>64</v>
      </c>
      <c r="E570" s="147" t="s">
        <v>771</v>
      </c>
      <c r="F570" s="129" t="s">
        <v>772</v>
      </c>
      <c r="G570" s="151" t="s">
        <v>88</v>
      </c>
      <c r="H570" s="19" t="s">
        <v>773</v>
      </c>
      <c r="I570" s="23" t="e">
        <f>VLOOKUP(H570,'合同综合查询数据（3月返）'!$A:$A,1,FALSE)</f>
        <v>#N/A</v>
      </c>
      <c r="J570" s="152" t="s">
        <v>781</v>
      </c>
      <c r="K570" s="109" t="s">
        <v>775</v>
      </c>
      <c r="L570" s="153"/>
      <c r="M570" s="26" t="s">
        <v>776</v>
      </c>
      <c r="N570" s="154">
        <v>44288</v>
      </c>
      <c r="O570" s="28" t="s">
        <v>457</v>
      </c>
      <c r="P570" s="131">
        <v>5216.57</v>
      </c>
      <c r="Q570" s="156">
        <v>8</v>
      </c>
      <c r="R570" s="120">
        <f t="shared" si="20"/>
        <v>41732.56</v>
      </c>
      <c r="S570" s="117">
        <v>202303</v>
      </c>
      <c r="T570" s="157" t="s">
        <v>817</v>
      </c>
      <c r="U570" s="157"/>
      <c r="V570" s="133"/>
      <c r="W570" s="133"/>
      <c r="X570" s="118">
        <v>43647</v>
      </c>
      <c r="Y570" s="118">
        <v>45229</v>
      </c>
    </row>
    <row r="571" s="79" customFormat="1" customHeight="1" spans="1:25">
      <c r="A571" s="98" t="s">
        <v>61</v>
      </c>
      <c r="B571" s="98" t="s">
        <v>62</v>
      </c>
      <c r="C571" s="98" t="s">
        <v>217</v>
      </c>
      <c r="D571" s="96" t="s">
        <v>64</v>
      </c>
      <c r="E571" s="147" t="s">
        <v>771</v>
      </c>
      <c r="F571" s="129" t="s">
        <v>772</v>
      </c>
      <c r="G571" s="151" t="s">
        <v>88</v>
      </c>
      <c r="H571" s="19" t="s">
        <v>773</v>
      </c>
      <c r="I571" s="23" t="e">
        <f>VLOOKUP(H571,'合同综合查询数据（3月返）'!$A:$A,1,FALSE)</f>
        <v>#N/A</v>
      </c>
      <c r="J571" s="152" t="s">
        <v>781</v>
      </c>
      <c r="K571" s="109" t="s">
        <v>775</v>
      </c>
      <c r="L571" s="153"/>
      <c r="M571" s="26" t="s">
        <v>776</v>
      </c>
      <c r="N571" s="154">
        <v>44292</v>
      </c>
      <c r="O571" s="28" t="s">
        <v>457</v>
      </c>
      <c r="P571" s="131">
        <v>5216.57</v>
      </c>
      <c r="Q571" s="156">
        <v>12</v>
      </c>
      <c r="R571" s="120">
        <f t="shared" si="20"/>
        <v>62598.84</v>
      </c>
      <c r="S571" s="117">
        <v>202303</v>
      </c>
      <c r="T571" s="157" t="s">
        <v>818</v>
      </c>
      <c r="U571" s="157"/>
      <c r="V571" s="133"/>
      <c r="W571" s="133"/>
      <c r="X571" s="118">
        <v>43647</v>
      </c>
      <c r="Y571" s="118">
        <v>45229</v>
      </c>
    </row>
    <row r="572" s="79" customFormat="1" customHeight="1" spans="1:25">
      <c r="A572" s="98" t="s">
        <v>61</v>
      </c>
      <c r="B572" s="98" t="s">
        <v>62</v>
      </c>
      <c r="C572" s="98" t="s">
        <v>217</v>
      </c>
      <c r="D572" s="96" t="s">
        <v>64</v>
      </c>
      <c r="E572" s="147" t="s">
        <v>771</v>
      </c>
      <c r="F572" s="129" t="s">
        <v>772</v>
      </c>
      <c r="G572" s="151" t="s">
        <v>88</v>
      </c>
      <c r="H572" s="19" t="s">
        <v>773</v>
      </c>
      <c r="I572" s="23" t="e">
        <f>VLOOKUP(H572,'合同综合查询数据（3月返）'!$A:$A,1,FALSE)</f>
        <v>#N/A</v>
      </c>
      <c r="J572" s="152" t="s">
        <v>781</v>
      </c>
      <c r="K572" s="109" t="s">
        <v>775</v>
      </c>
      <c r="L572" s="153"/>
      <c r="M572" s="26" t="s">
        <v>776</v>
      </c>
      <c r="N572" s="154">
        <v>44301</v>
      </c>
      <c r="O572" s="28" t="s">
        <v>457</v>
      </c>
      <c r="P572" s="131">
        <v>5216.57</v>
      </c>
      <c r="Q572" s="156">
        <v>5</v>
      </c>
      <c r="R572" s="120">
        <f t="shared" si="20"/>
        <v>26082.85</v>
      </c>
      <c r="S572" s="117">
        <v>202303</v>
      </c>
      <c r="T572" s="157" t="s">
        <v>819</v>
      </c>
      <c r="U572" s="157"/>
      <c r="V572" s="133"/>
      <c r="W572" s="133"/>
      <c r="X572" s="118">
        <v>43647</v>
      </c>
      <c r="Y572" s="118">
        <v>45229</v>
      </c>
    </row>
    <row r="573" s="79" customFormat="1" customHeight="1" spans="1:25">
      <c r="A573" s="98" t="s">
        <v>61</v>
      </c>
      <c r="B573" s="98" t="s">
        <v>62</v>
      </c>
      <c r="C573" s="98" t="s">
        <v>217</v>
      </c>
      <c r="D573" s="96" t="s">
        <v>64</v>
      </c>
      <c r="E573" s="147" t="s">
        <v>771</v>
      </c>
      <c r="F573" s="129" t="s">
        <v>772</v>
      </c>
      <c r="G573" s="151" t="s">
        <v>88</v>
      </c>
      <c r="H573" s="19" t="s">
        <v>773</v>
      </c>
      <c r="I573" s="23" t="e">
        <f>VLOOKUP(H573,'合同综合查询数据（3月返）'!$A:$A,1,FALSE)</f>
        <v>#N/A</v>
      </c>
      <c r="J573" s="152" t="s">
        <v>781</v>
      </c>
      <c r="K573" s="109" t="s">
        <v>775</v>
      </c>
      <c r="L573" s="153"/>
      <c r="M573" s="26" t="s">
        <v>776</v>
      </c>
      <c r="N573" s="154">
        <v>44306</v>
      </c>
      <c r="O573" s="28" t="s">
        <v>457</v>
      </c>
      <c r="P573" s="131">
        <v>5216.57</v>
      </c>
      <c r="Q573" s="156">
        <v>10</v>
      </c>
      <c r="R573" s="120">
        <f t="shared" si="20"/>
        <v>52165.7</v>
      </c>
      <c r="S573" s="117">
        <v>202303</v>
      </c>
      <c r="T573" s="157" t="s">
        <v>820</v>
      </c>
      <c r="U573" s="157"/>
      <c r="V573" s="133"/>
      <c r="W573" s="133"/>
      <c r="X573" s="118">
        <v>43647</v>
      </c>
      <c r="Y573" s="118">
        <v>45229</v>
      </c>
    </row>
    <row r="574" s="79" customFormat="1" customHeight="1" spans="1:25">
      <c r="A574" s="98" t="s">
        <v>61</v>
      </c>
      <c r="B574" s="98" t="s">
        <v>62</v>
      </c>
      <c r="C574" s="98" t="s">
        <v>217</v>
      </c>
      <c r="D574" s="96" t="s">
        <v>64</v>
      </c>
      <c r="E574" s="147" t="s">
        <v>771</v>
      </c>
      <c r="F574" s="129" t="s">
        <v>772</v>
      </c>
      <c r="G574" s="151" t="s">
        <v>88</v>
      </c>
      <c r="H574" s="19" t="s">
        <v>773</v>
      </c>
      <c r="I574" s="23" t="e">
        <f>VLOOKUP(H574,'合同综合查询数据（3月返）'!$A:$A,1,FALSE)</f>
        <v>#N/A</v>
      </c>
      <c r="J574" s="152" t="s">
        <v>781</v>
      </c>
      <c r="K574" s="109" t="s">
        <v>775</v>
      </c>
      <c r="L574" s="153"/>
      <c r="M574" s="26" t="s">
        <v>776</v>
      </c>
      <c r="N574" s="154">
        <v>44313</v>
      </c>
      <c r="O574" s="28" t="s">
        <v>457</v>
      </c>
      <c r="P574" s="131">
        <v>5216.57</v>
      </c>
      <c r="Q574" s="156">
        <v>13</v>
      </c>
      <c r="R574" s="120">
        <f t="shared" si="20"/>
        <v>67815.41</v>
      </c>
      <c r="S574" s="117">
        <v>202303</v>
      </c>
      <c r="T574" s="157" t="s">
        <v>821</v>
      </c>
      <c r="U574" s="157"/>
      <c r="V574" s="133"/>
      <c r="W574" s="133"/>
      <c r="X574" s="118">
        <v>43647</v>
      </c>
      <c r="Y574" s="118">
        <v>45229</v>
      </c>
    </row>
    <row r="575" s="79" customFormat="1" customHeight="1" spans="1:25">
      <c r="A575" s="98" t="s">
        <v>61</v>
      </c>
      <c r="B575" s="98" t="s">
        <v>62</v>
      </c>
      <c r="C575" s="98" t="s">
        <v>217</v>
      </c>
      <c r="D575" s="96" t="s">
        <v>64</v>
      </c>
      <c r="E575" s="147" t="s">
        <v>771</v>
      </c>
      <c r="F575" s="129" t="s">
        <v>772</v>
      </c>
      <c r="G575" s="151" t="s">
        <v>88</v>
      </c>
      <c r="H575" s="19" t="s">
        <v>773</v>
      </c>
      <c r="I575" s="23" t="e">
        <f>VLOOKUP(H575,'合同综合查询数据（3月返）'!$A:$A,1,FALSE)</f>
        <v>#N/A</v>
      </c>
      <c r="J575" s="152" t="s">
        <v>781</v>
      </c>
      <c r="K575" s="109" t="s">
        <v>775</v>
      </c>
      <c r="L575" s="153"/>
      <c r="M575" s="26" t="s">
        <v>776</v>
      </c>
      <c r="N575" s="154">
        <v>44318</v>
      </c>
      <c r="O575" s="28" t="s">
        <v>457</v>
      </c>
      <c r="P575" s="131">
        <v>5216.57</v>
      </c>
      <c r="Q575" s="156">
        <v>6</v>
      </c>
      <c r="R575" s="120">
        <f t="shared" si="20"/>
        <v>31299.42</v>
      </c>
      <c r="S575" s="117">
        <v>202303</v>
      </c>
      <c r="T575" s="157" t="s">
        <v>822</v>
      </c>
      <c r="U575" s="157"/>
      <c r="V575" s="133"/>
      <c r="W575" s="133"/>
      <c r="X575" s="118">
        <v>43647</v>
      </c>
      <c r="Y575" s="118">
        <v>45229</v>
      </c>
    </row>
    <row r="576" s="79" customFormat="1" customHeight="1" spans="1:25">
      <c r="A576" s="98" t="s">
        <v>61</v>
      </c>
      <c r="B576" s="98" t="s">
        <v>62</v>
      </c>
      <c r="C576" s="98" t="s">
        <v>217</v>
      </c>
      <c r="D576" s="96" t="s">
        <v>64</v>
      </c>
      <c r="E576" s="147" t="s">
        <v>771</v>
      </c>
      <c r="F576" s="129" t="s">
        <v>772</v>
      </c>
      <c r="G576" s="151" t="s">
        <v>88</v>
      </c>
      <c r="H576" s="19" t="s">
        <v>773</v>
      </c>
      <c r="I576" s="23" t="e">
        <f>VLOOKUP(H576,'合同综合查询数据（3月返）'!$A:$A,1,FALSE)</f>
        <v>#N/A</v>
      </c>
      <c r="J576" s="152" t="s">
        <v>781</v>
      </c>
      <c r="K576" s="109" t="s">
        <v>775</v>
      </c>
      <c r="L576" s="153"/>
      <c r="M576" s="26" t="s">
        <v>776</v>
      </c>
      <c r="N576" s="154">
        <v>44325</v>
      </c>
      <c r="O576" s="28" t="s">
        <v>457</v>
      </c>
      <c r="P576" s="131">
        <v>5216.57</v>
      </c>
      <c r="Q576" s="156">
        <v>3</v>
      </c>
      <c r="R576" s="120">
        <f t="shared" si="20"/>
        <v>15649.71</v>
      </c>
      <c r="S576" s="117">
        <v>202303</v>
      </c>
      <c r="T576" s="157" t="s">
        <v>823</v>
      </c>
      <c r="U576" s="157"/>
      <c r="V576" s="133"/>
      <c r="W576" s="133"/>
      <c r="X576" s="118">
        <v>43647</v>
      </c>
      <c r="Y576" s="118">
        <v>45229</v>
      </c>
    </row>
    <row r="577" s="79" customFormat="1" customHeight="1" spans="1:25">
      <c r="A577" s="98" t="s">
        <v>61</v>
      </c>
      <c r="B577" s="98" t="s">
        <v>62</v>
      </c>
      <c r="C577" s="98" t="s">
        <v>217</v>
      </c>
      <c r="D577" s="96" t="s">
        <v>64</v>
      </c>
      <c r="E577" s="147" t="s">
        <v>771</v>
      </c>
      <c r="F577" s="129" t="s">
        <v>772</v>
      </c>
      <c r="G577" s="151" t="s">
        <v>88</v>
      </c>
      <c r="H577" s="19" t="s">
        <v>773</v>
      </c>
      <c r="I577" s="23" t="e">
        <f>VLOOKUP(H577,'合同综合查询数据（3月返）'!$A:$A,1,FALSE)</f>
        <v>#N/A</v>
      </c>
      <c r="J577" s="152" t="s">
        <v>781</v>
      </c>
      <c r="K577" s="109" t="s">
        <v>775</v>
      </c>
      <c r="L577" s="153"/>
      <c r="M577" s="26" t="s">
        <v>776</v>
      </c>
      <c r="N577" s="154">
        <v>44331</v>
      </c>
      <c r="O577" s="28" t="s">
        <v>457</v>
      </c>
      <c r="P577" s="131">
        <v>5216.57</v>
      </c>
      <c r="Q577" s="156">
        <v>3</v>
      </c>
      <c r="R577" s="120">
        <f t="shared" si="20"/>
        <v>15649.71</v>
      </c>
      <c r="S577" s="117">
        <v>202303</v>
      </c>
      <c r="T577" s="157" t="s">
        <v>824</v>
      </c>
      <c r="U577" s="157"/>
      <c r="V577" s="133"/>
      <c r="W577" s="133"/>
      <c r="X577" s="118">
        <v>43647</v>
      </c>
      <c r="Y577" s="118">
        <v>45229</v>
      </c>
    </row>
    <row r="578" s="79" customFormat="1" customHeight="1" spans="1:25">
      <c r="A578" s="98" t="s">
        <v>61</v>
      </c>
      <c r="B578" s="98" t="s">
        <v>62</v>
      </c>
      <c r="C578" s="98" t="s">
        <v>217</v>
      </c>
      <c r="D578" s="96" t="s">
        <v>64</v>
      </c>
      <c r="E578" s="147" t="s">
        <v>771</v>
      </c>
      <c r="F578" s="129" t="s">
        <v>772</v>
      </c>
      <c r="G578" s="151" t="s">
        <v>88</v>
      </c>
      <c r="H578" s="19" t="s">
        <v>773</v>
      </c>
      <c r="I578" s="23" t="e">
        <f>VLOOKUP(H578,'合同综合查询数据（3月返）'!$A:$A,1,FALSE)</f>
        <v>#N/A</v>
      </c>
      <c r="J578" s="152" t="s">
        <v>781</v>
      </c>
      <c r="K578" s="109" t="s">
        <v>775</v>
      </c>
      <c r="L578" s="153"/>
      <c r="M578" s="26" t="s">
        <v>776</v>
      </c>
      <c r="N578" s="154">
        <v>44333</v>
      </c>
      <c r="O578" s="28" t="s">
        <v>457</v>
      </c>
      <c r="P578" s="131">
        <v>5216.57</v>
      </c>
      <c r="Q578" s="156">
        <v>2</v>
      </c>
      <c r="R578" s="120">
        <f t="shared" si="20"/>
        <v>10433.14</v>
      </c>
      <c r="S578" s="117">
        <v>202303</v>
      </c>
      <c r="T578" s="157" t="s">
        <v>825</v>
      </c>
      <c r="U578" s="157"/>
      <c r="V578" s="133"/>
      <c r="W578" s="133"/>
      <c r="X578" s="118">
        <v>43647</v>
      </c>
      <c r="Y578" s="118">
        <v>45229</v>
      </c>
    </row>
    <row r="579" s="79" customFormat="1" customHeight="1" spans="1:25">
      <c r="A579" s="98" t="s">
        <v>61</v>
      </c>
      <c r="B579" s="98" t="s">
        <v>62</v>
      </c>
      <c r="C579" s="98" t="s">
        <v>217</v>
      </c>
      <c r="D579" s="96" t="s">
        <v>64</v>
      </c>
      <c r="E579" s="147" t="s">
        <v>771</v>
      </c>
      <c r="F579" s="129" t="s">
        <v>772</v>
      </c>
      <c r="G579" s="151" t="s">
        <v>88</v>
      </c>
      <c r="H579" s="19" t="s">
        <v>773</v>
      </c>
      <c r="I579" s="23" t="e">
        <f>VLOOKUP(H579,'合同综合查询数据（3月返）'!$A:$A,1,FALSE)</f>
        <v>#N/A</v>
      </c>
      <c r="J579" s="152" t="s">
        <v>781</v>
      </c>
      <c r="K579" s="109" t="s">
        <v>775</v>
      </c>
      <c r="L579" s="153"/>
      <c r="M579" s="26" t="s">
        <v>776</v>
      </c>
      <c r="N579" s="154">
        <v>44341</v>
      </c>
      <c r="O579" s="28" t="s">
        <v>457</v>
      </c>
      <c r="P579" s="131">
        <v>5216.57</v>
      </c>
      <c r="Q579" s="156">
        <v>12</v>
      </c>
      <c r="R579" s="120">
        <f t="shared" si="20"/>
        <v>62598.84</v>
      </c>
      <c r="S579" s="117">
        <v>202303</v>
      </c>
      <c r="T579" s="157" t="s">
        <v>826</v>
      </c>
      <c r="U579" s="157"/>
      <c r="V579" s="133"/>
      <c r="W579" s="133"/>
      <c r="X579" s="118">
        <v>43647</v>
      </c>
      <c r="Y579" s="118">
        <v>45229</v>
      </c>
    </row>
    <row r="580" s="79" customFormat="1" customHeight="1" spans="1:25">
      <c r="A580" s="98" t="s">
        <v>61</v>
      </c>
      <c r="B580" s="98" t="s">
        <v>62</v>
      </c>
      <c r="C580" s="98" t="s">
        <v>217</v>
      </c>
      <c r="D580" s="96" t="s">
        <v>64</v>
      </c>
      <c r="E580" s="147" t="s">
        <v>771</v>
      </c>
      <c r="F580" s="129" t="s">
        <v>772</v>
      </c>
      <c r="G580" s="151" t="s">
        <v>88</v>
      </c>
      <c r="H580" s="19" t="s">
        <v>773</v>
      </c>
      <c r="I580" s="23" t="e">
        <f>VLOOKUP(H580,'合同综合查询数据（3月返）'!$A:$A,1,FALSE)</f>
        <v>#N/A</v>
      </c>
      <c r="J580" s="152" t="s">
        <v>781</v>
      </c>
      <c r="K580" s="109" t="s">
        <v>775</v>
      </c>
      <c r="L580" s="153"/>
      <c r="M580" s="26" t="s">
        <v>776</v>
      </c>
      <c r="N580" s="154">
        <v>44347</v>
      </c>
      <c r="O580" s="28" t="s">
        <v>457</v>
      </c>
      <c r="P580" s="131">
        <v>5216.57</v>
      </c>
      <c r="Q580" s="156">
        <v>6</v>
      </c>
      <c r="R580" s="120">
        <f t="shared" si="20"/>
        <v>31299.42</v>
      </c>
      <c r="S580" s="117">
        <v>202303</v>
      </c>
      <c r="T580" s="157" t="s">
        <v>827</v>
      </c>
      <c r="U580" s="157"/>
      <c r="V580" s="133"/>
      <c r="W580" s="133"/>
      <c r="X580" s="118">
        <v>43647</v>
      </c>
      <c r="Y580" s="118">
        <v>45229</v>
      </c>
    </row>
    <row r="581" s="79" customFormat="1" customHeight="1" spans="1:25">
      <c r="A581" s="98" t="s">
        <v>61</v>
      </c>
      <c r="B581" s="98" t="s">
        <v>62</v>
      </c>
      <c r="C581" s="98" t="s">
        <v>217</v>
      </c>
      <c r="D581" s="96" t="s">
        <v>64</v>
      </c>
      <c r="E581" s="147" t="s">
        <v>771</v>
      </c>
      <c r="F581" s="129" t="s">
        <v>772</v>
      </c>
      <c r="G581" s="151" t="s">
        <v>88</v>
      </c>
      <c r="H581" s="19" t="s">
        <v>773</v>
      </c>
      <c r="I581" s="23" t="e">
        <f>VLOOKUP(H581,'合同综合查询数据（3月返）'!$A:$A,1,FALSE)</f>
        <v>#N/A</v>
      </c>
      <c r="J581" s="152" t="s">
        <v>781</v>
      </c>
      <c r="K581" s="109" t="s">
        <v>775</v>
      </c>
      <c r="L581" s="153"/>
      <c r="M581" s="26" t="s">
        <v>776</v>
      </c>
      <c r="N581" s="154">
        <v>44362</v>
      </c>
      <c r="O581" s="28" t="s">
        <v>457</v>
      </c>
      <c r="P581" s="131">
        <v>5216.57</v>
      </c>
      <c r="Q581" s="156">
        <v>10</v>
      </c>
      <c r="R581" s="120">
        <f t="shared" si="20"/>
        <v>52165.7</v>
      </c>
      <c r="S581" s="117">
        <v>202303</v>
      </c>
      <c r="T581" s="157" t="s">
        <v>828</v>
      </c>
      <c r="U581" s="157"/>
      <c r="V581" s="133"/>
      <c r="W581" s="133"/>
      <c r="X581" s="118">
        <v>43647</v>
      </c>
      <c r="Y581" s="118">
        <v>45229</v>
      </c>
    </row>
    <row r="582" s="79" customFormat="1" customHeight="1" spans="1:25">
      <c r="A582" s="98" t="s">
        <v>61</v>
      </c>
      <c r="B582" s="98" t="s">
        <v>62</v>
      </c>
      <c r="C582" s="98" t="s">
        <v>217</v>
      </c>
      <c r="D582" s="96" t="s">
        <v>64</v>
      </c>
      <c r="E582" s="147" t="s">
        <v>771</v>
      </c>
      <c r="F582" s="129" t="s">
        <v>772</v>
      </c>
      <c r="G582" s="151" t="s">
        <v>88</v>
      </c>
      <c r="H582" s="19" t="s">
        <v>773</v>
      </c>
      <c r="I582" s="23" t="e">
        <f>VLOOKUP(H582,'合同综合查询数据（3月返）'!$A:$A,1,FALSE)</f>
        <v>#N/A</v>
      </c>
      <c r="J582" s="152" t="s">
        <v>781</v>
      </c>
      <c r="K582" s="109" t="s">
        <v>775</v>
      </c>
      <c r="L582" s="153"/>
      <c r="M582" s="26" t="s">
        <v>776</v>
      </c>
      <c r="N582" s="154">
        <v>44381</v>
      </c>
      <c r="O582" s="28" t="s">
        <v>457</v>
      </c>
      <c r="P582" s="131">
        <v>5216.57</v>
      </c>
      <c r="Q582" s="156">
        <v>4</v>
      </c>
      <c r="R582" s="120">
        <f t="shared" si="20"/>
        <v>20866.28</v>
      </c>
      <c r="S582" s="117">
        <v>202303</v>
      </c>
      <c r="T582" s="157" t="s">
        <v>829</v>
      </c>
      <c r="U582" s="157"/>
      <c r="V582" s="133"/>
      <c r="W582" s="133"/>
      <c r="X582" s="118">
        <v>43647</v>
      </c>
      <c r="Y582" s="118">
        <v>45229</v>
      </c>
    </row>
    <row r="583" s="79" customFormat="1" customHeight="1" spans="1:25">
      <c r="A583" s="98" t="s">
        <v>61</v>
      </c>
      <c r="B583" s="98" t="s">
        <v>62</v>
      </c>
      <c r="C583" s="98" t="s">
        <v>217</v>
      </c>
      <c r="D583" s="96" t="s">
        <v>64</v>
      </c>
      <c r="E583" s="147" t="s">
        <v>771</v>
      </c>
      <c r="F583" s="129" t="s">
        <v>772</v>
      </c>
      <c r="G583" s="151" t="s">
        <v>88</v>
      </c>
      <c r="H583" s="19" t="s">
        <v>773</v>
      </c>
      <c r="I583" s="23" t="e">
        <f>VLOOKUP(H583,'合同综合查询数据（3月返）'!$A:$A,1,FALSE)</f>
        <v>#N/A</v>
      </c>
      <c r="J583" s="152" t="s">
        <v>781</v>
      </c>
      <c r="K583" s="109" t="s">
        <v>775</v>
      </c>
      <c r="L583" s="153"/>
      <c r="M583" s="26" t="s">
        <v>776</v>
      </c>
      <c r="N583" s="154">
        <v>44382</v>
      </c>
      <c r="O583" s="28" t="s">
        <v>457</v>
      </c>
      <c r="P583" s="131">
        <v>5216.57</v>
      </c>
      <c r="Q583" s="156">
        <v>16</v>
      </c>
      <c r="R583" s="120">
        <f t="shared" si="20"/>
        <v>83465.12</v>
      </c>
      <c r="S583" s="117">
        <v>202303</v>
      </c>
      <c r="T583" s="157" t="s">
        <v>830</v>
      </c>
      <c r="U583" s="157"/>
      <c r="V583" s="133"/>
      <c r="W583" s="133"/>
      <c r="X583" s="118">
        <v>43647</v>
      </c>
      <c r="Y583" s="118">
        <v>45229</v>
      </c>
    </row>
    <row r="584" s="79" customFormat="1" customHeight="1" spans="1:25">
      <c r="A584" s="98" t="s">
        <v>61</v>
      </c>
      <c r="B584" s="98" t="s">
        <v>62</v>
      </c>
      <c r="C584" s="98" t="s">
        <v>217</v>
      </c>
      <c r="D584" s="96" t="s">
        <v>64</v>
      </c>
      <c r="E584" s="147" t="s">
        <v>771</v>
      </c>
      <c r="F584" s="129" t="s">
        <v>772</v>
      </c>
      <c r="G584" s="151" t="s">
        <v>88</v>
      </c>
      <c r="H584" s="19" t="s">
        <v>773</v>
      </c>
      <c r="I584" s="23" t="e">
        <f>VLOOKUP(H584,'合同综合查询数据（3月返）'!$A:$A,1,FALSE)</f>
        <v>#N/A</v>
      </c>
      <c r="J584" s="152" t="s">
        <v>781</v>
      </c>
      <c r="K584" s="109" t="s">
        <v>775</v>
      </c>
      <c r="L584" s="153"/>
      <c r="M584" s="26" t="s">
        <v>776</v>
      </c>
      <c r="N584" s="154">
        <v>44403</v>
      </c>
      <c r="O584" s="28" t="s">
        <v>457</v>
      </c>
      <c r="P584" s="131">
        <v>5216.57</v>
      </c>
      <c r="Q584" s="156">
        <v>8</v>
      </c>
      <c r="R584" s="120">
        <f t="shared" si="20"/>
        <v>41732.56</v>
      </c>
      <c r="S584" s="117">
        <v>202303</v>
      </c>
      <c r="T584" s="157" t="s">
        <v>831</v>
      </c>
      <c r="U584" s="157"/>
      <c r="V584" s="133"/>
      <c r="W584" s="133"/>
      <c r="X584" s="118">
        <v>43647</v>
      </c>
      <c r="Y584" s="118">
        <v>45229</v>
      </c>
    </row>
    <row r="585" s="79" customFormat="1" customHeight="1" spans="1:25">
      <c r="A585" s="98" t="s">
        <v>61</v>
      </c>
      <c r="B585" s="98" t="s">
        <v>62</v>
      </c>
      <c r="C585" s="98" t="s">
        <v>217</v>
      </c>
      <c r="D585" s="96" t="s">
        <v>64</v>
      </c>
      <c r="E585" s="147" t="s">
        <v>771</v>
      </c>
      <c r="F585" s="129" t="s">
        <v>772</v>
      </c>
      <c r="G585" s="151" t="s">
        <v>88</v>
      </c>
      <c r="H585" s="19" t="s">
        <v>773</v>
      </c>
      <c r="I585" s="23" t="e">
        <f>VLOOKUP(H585,'合同综合查询数据（3月返）'!$A:$A,1,FALSE)</f>
        <v>#N/A</v>
      </c>
      <c r="J585" s="152" t="s">
        <v>781</v>
      </c>
      <c r="K585" s="109" t="s">
        <v>775</v>
      </c>
      <c r="L585" s="153"/>
      <c r="M585" s="26" t="s">
        <v>776</v>
      </c>
      <c r="N585" s="154">
        <v>44405</v>
      </c>
      <c r="O585" s="28" t="s">
        <v>457</v>
      </c>
      <c r="P585" s="131">
        <v>5216.57</v>
      </c>
      <c r="Q585" s="156">
        <v>6</v>
      </c>
      <c r="R585" s="120">
        <f t="shared" si="20"/>
        <v>31299.42</v>
      </c>
      <c r="S585" s="117">
        <v>202303</v>
      </c>
      <c r="T585" s="157" t="s">
        <v>832</v>
      </c>
      <c r="U585" s="157"/>
      <c r="V585" s="133"/>
      <c r="W585" s="133"/>
      <c r="X585" s="118">
        <v>43647</v>
      </c>
      <c r="Y585" s="118">
        <v>45229</v>
      </c>
    </row>
    <row r="586" s="79" customFormat="1" customHeight="1" spans="1:25">
      <c r="A586" s="98" t="s">
        <v>61</v>
      </c>
      <c r="B586" s="98" t="s">
        <v>62</v>
      </c>
      <c r="C586" s="98" t="s">
        <v>217</v>
      </c>
      <c r="D586" s="96" t="s">
        <v>64</v>
      </c>
      <c r="E586" s="147" t="s">
        <v>771</v>
      </c>
      <c r="F586" s="129" t="s">
        <v>772</v>
      </c>
      <c r="G586" s="151" t="s">
        <v>88</v>
      </c>
      <c r="H586" s="19" t="s">
        <v>773</v>
      </c>
      <c r="I586" s="23" t="e">
        <f>VLOOKUP(H586,'合同综合查询数据（3月返）'!$A:$A,1,FALSE)</f>
        <v>#N/A</v>
      </c>
      <c r="J586" s="152" t="s">
        <v>781</v>
      </c>
      <c r="K586" s="109" t="s">
        <v>775</v>
      </c>
      <c r="L586" s="153"/>
      <c r="M586" s="26" t="s">
        <v>776</v>
      </c>
      <c r="N586" s="154">
        <v>44410</v>
      </c>
      <c r="O586" s="28" t="s">
        <v>457</v>
      </c>
      <c r="P586" s="131">
        <v>5216.57</v>
      </c>
      <c r="Q586" s="156">
        <v>2</v>
      </c>
      <c r="R586" s="120">
        <f t="shared" si="20"/>
        <v>10433.14</v>
      </c>
      <c r="S586" s="117">
        <v>202303</v>
      </c>
      <c r="T586" s="157" t="s">
        <v>833</v>
      </c>
      <c r="U586" s="157"/>
      <c r="V586" s="133"/>
      <c r="W586" s="133"/>
      <c r="X586" s="118">
        <v>43647</v>
      </c>
      <c r="Y586" s="118">
        <v>45229</v>
      </c>
    </row>
    <row r="587" s="79" customFormat="1" customHeight="1" spans="1:25">
      <c r="A587" s="98" t="s">
        <v>61</v>
      </c>
      <c r="B587" s="98" t="s">
        <v>62</v>
      </c>
      <c r="C587" s="98" t="s">
        <v>217</v>
      </c>
      <c r="D587" s="96" t="s">
        <v>64</v>
      </c>
      <c r="E587" s="147" t="s">
        <v>771</v>
      </c>
      <c r="F587" s="129" t="s">
        <v>772</v>
      </c>
      <c r="G587" s="151" t="s">
        <v>88</v>
      </c>
      <c r="H587" s="19" t="s">
        <v>773</v>
      </c>
      <c r="I587" s="23" t="e">
        <f>VLOOKUP(H587,'合同综合查询数据（3月返）'!$A:$A,1,FALSE)</f>
        <v>#N/A</v>
      </c>
      <c r="J587" s="152" t="s">
        <v>781</v>
      </c>
      <c r="K587" s="109" t="s">
        <v>775</v>
      </c>
      <c r="L587" s="153"/>
      <c r="M587" s="26" t="s">
        <v>776</v>
      </c>
      <c r="N587" s="154">
        <v>44519</v>
      </c>
      <c r="O587" s="28" t="s">
        <v>457</v>
      </c>
      <c r="P587" s="131">
        <v>5216.57</v>
      </c>
      <c r="Q587" s="156">
        <v>8</v>
      </c>
      <c r="R587" s="120">
        <f t="shared" si="20"/>
        <v>41732.56</v>
      </c>
      <c r="S587" s="117">
        <v>202303</v>
      </c>
      <c r="T587" s="157" t="s">
        <v>834</v>
      </c>
      <c r="U587" s="157"/>
      <c r="V587" s="133"/>
      <c r="W587" s="133"/>
      <c r="X587" s="118">
        <v>43647</v>
      </c>
      <c r="Y587" s="118">
        <v>45229</v>
      </c>
    </row>
    <row r="588" s="79" customFormat="1" customHeight="1" spans="1:25">
      <c r="A588" s="98" t="s">
        <v>61</v>
      </c>
      <c r="B588" s="98" t="s">
        <v>62</v>
      </c>
      <c r="C588" s="98" t="s">
        <v>217</v>
      </c>
      <c r="D588" s="96" t="s">
        <v>64</v>
      </c>
      <c r="E588" s="147" t="s">
        <v>771</v>
      </c>
      <c r="F588" s="129" t="s">
        <v>772</v>
      </c>
      <c r="G588" s="151" t="s">
        <v>88</v>
      </c>
      <c r="H588" s="19" t="s">
        <v>773</v>
      </c>
      <c r="I588" s="23" t="e">
        <f>VLOOKUP(H588,'合同综合查询数据（3月返）'!$A:$A,1,FALSE)</f>
        <v>#N/A</v>
      </c>
      <c r="J588" s="152" t="s">
        <v>781</v>
      </c>
      <c r="K588" s="109" t="s">
        <v>775</v>
      </c>
      <c r="L588" s="153"/>
      <c r="M588" s="26" t="s">
        <v>776</v>
      </c>
      <c r="N588" s="154">
        <v>44522</v>
      </c>
      <c r="O588" s="28" t="s">
        <v>457</v>
      </c>
      <c r="P588" s="131">
        <v>5216.57</v>
      </c>
      <c r="Q588" s="156">
        <v>4</v>
      </c>
      <c r="R588" s="120">
        <f t="shared" si="20"/>
        <v>20866.28</v>
      </c>
      <c r="S588" s="117">
        <v>202303</v>
      </c>
      <c r="T588" s="157" t="s">
        <v>835</v>
      </c>
      <c r="U588" s="157"/>
      <c r="V588" s="133"/>
      <c r="W588" s="133"/>
      <c r="X588" s="118">
        <v>43647</v>
      </c>
      <c r="Y588" s="118">
        <v>45229</v>
      </c>
    </row>
    <row r="589" s="79" customFormat="1" customHeight="1" spans="1:25">
      <c r="A589" s="98" t="s">
        <v>61</v>
      </c>
      <c r="B589" s="98" t="s">
        <v>62</v>
      </c>
      <c r="C589" s="98" t="s">
        <v>217</v>
      </c>
      <c r="D589" s="96" t="s">
        <v>64</v>
      </c>
      <c r="E589" s="147" t="s">
        <v>771</v>
      </c>
      <c r="F589" s="129" t="s">
        <v>772</v>
      </c>
      <c r="G589" s="151" t="s">
        <v>88</v>
      </c>
      <c r="H589" s="19" t="s">
        <v>773</v>
      </c>
      <c r="I589" s="23" t="e">
        <f>VLOOKUP(H589,'合同综合查询数据（3月返）'!$A:$A,1,FALSE)</f>
        <v>#N/A</v>
      </c>
      <c r="J589" s="152" t="s">
        <v>781</v>
      </c>
      <c r="K589" s="109" t="s">
        <v>775</v>
      </c>
      <c r="L589" s="153"/>
      <c r="M589" s="26" t="s">
        <v>776</v>
      </c>
      <c r="N589" s="154">
        <v>44533</v>
      </c>
      <c r="O589" s="28" t="s">
        <v>457</v>
      </c>
      <c r="P589" s="131">
        <v>5216.57</v>
      </c>
      <c r="Q589" s="156">
        <v>5</v>
      </c>
      <c r="R589" s="120">
        <f t="shared" si="20"/>
        <v>26082.85</v>
      </c>
      <c r="S589" s="117">
        <v>202303</v>
      </c>
      <c r="T589" s="157" t="s">
        <v>836</v>
      </c>
      <c r="U589" s="157"/>
      <c r="V589" s="133"/>
      <c r="W589" s="133"/>
      <c r="X589" s="118">
        <v>43647</v>
      </c>
      <c r="Y589" s="118">
        <v>45229</v>
      </c>
    </row>
    <row r="590" s="79" customFormat="1" customHeight="1" spans="1:25">
      <c r="A590" s="98" t="s">
        <v>61</v>
      </c>
      <c r="B590" s="98" t="s">
        <v>62</v>
      </c>
      <c r="C590" s="98" t="s">
        <v>217</v>
      </c>
      <c r="D590" s="96" t="s">
        <v>64</v>
      </c>
      <c r="E590" s="147" t="s">
        <v>771</v>
      </c>
      <c r="F590" s="129" t="s">
        <v>772</v>
      </c>
      <c r="G590" s="151" t="s">
        <v>88</v>
      </c>
      <c r="H590" s="19" t="s">
        <v>773</v>
      </c>
      <c r="I590" s="23" t="e">
        <f>VLOOKUP(H590,'合同综合查询数据（3月返）'!$A:$A,1,FALSE)</f>
        <v>#N/A</v>
      </c>
      <c r="J590" s="152" t="s">
        <v>781</v>
      </c>
      <c r="K590" s="109" t="s">
        <v>775</v>
      </c>
      <c r="L590" s="153"/>
      <c r="M590" s="26" t="s">
        <v>776</v>
      </c>
      <c r="N590" s="154">
        <v>44566</v>
      </c>
      <c r="O590" s="28" t="s">
        <v>457</v>
      </c>
      <c r="P590" s="131">
        <v>5216.57</v>
      </c>
      <c r="Q590" s="156">
        <v>6</v>
      </c>
      <c r="R590" s="120">
        <f t="shared" ref="R590:R598" si="21">ROUND(P590*Q590,2)</f>
        <v>31299.42</v>
      </c>
      <c r="S590" s="117">
        <v>202303</v>
      </c>
      <c r="T590" s="157" t="s">
        <v>837</v>
      </c>
      <c r="U590" s="157"/>
      <c r="V590" s="133"/>
      <c r="W590" s="133"/>
      <c r="X590" s="118">
        <v>43647</v>
      </c>
      <c r="Y590" s="118">
        <v>45229</v>
      </c>
    </row>
    <row r="591" s="79" customFormat="1" customHeight="1" spans="1:25">
      <c r="A591" s="98" t="s">
        <v>61</v>
      </c>
      <c r="B591" s="98" t="s">
        <v>62</v>
      </c>
      <c r="C591" s="98" t="s">
        <v>217</v>
      </c>
      <c r="D591" s="96" t="s">
        <v>64</v>
      </c>
      <c r="E591" s="147" t="s">
        <v>771</v>
      </c>
      <c r="F591" s="129" t="s">
        <v>772</v>
      </c>
      <c r="G591" s="151" t="s">
        <v>88</v>
      </c>
      <c r="H591" s="19" t="s">
        <v>773</v>
      </c>
      <c r="I591" s="23" t="e">
        <f>VLOOKUP(H591,'合同综合查询数据（3月返）'!$A:$A,1,FALSE)</f>
        <v>#N/A</v>
      </c>
      <c r="J591" s="152" t="s">
        <v>781</v>
      </c>
      <c r="K591" s="109" t="s">
        <v>775</v>
      </c>
      <c r="L591" s="153"/>
      <c r="M591" s="26" t="s">
        <v>776</v>
      </c>
      <c r="N591" s="154">
        <v>44588</v>
      </c>
      <c r="O591" s="28" t="s">
        <v>457</v>
      </c>
      <c r="P591" s="131">
        <v>5216.57</v>
      </c>
      <c r="Q591" s="156">
        <v>5</v>
      </c>
      <c r="R591" s="120">
        <f t="shared" si="21"/>
        <v>26082.85</v>
      </c>
      <c r="S591" s="117">
        <v>202303</v>
      </c>
      <c r="T591" s="157" t="s">
        <v>838</v>
      </c>
      <c r="U591" s="157"/>
      <c r="V591" s="133"/>
      <c r="W591" s="133"/>
      <c r="X591" s="118">
        <v>43647</v>
      </c>
      <c r="Y591" s="118">
        <v>45229</v>
      </c>
    </row>
    <row r="592" s="79" customFormat="1" customHeight="1" spans="1:25">
      <c r="A592" s="98" t="s">
        <v>61</v>
      </c>
      <c r="B592" s="98" t="s">
        <v>62</v>
      </c>
      <c r="C592" s="98" t="s">
        <v>217</v>
      </c>
      <c r="D592" s="96" t="s">
        <v>64</v>
      </c>
      <c r="E592" s="147" t="s">
        <v>771</v>
      </c>
      <c r="F592" s="129" t="s">
        <v>772</v>
      </c>
      <c r="G592" s="151" t="s">
        <v>88</v>
      </c>
      <c r="H592" s="19" t="s">
        <v>773</v>
      </c>
      <c r="I592" s="23" t="e">
        <f>VLOOKUP(H592,'合同综合查询数据（3月返）'!$A:$A,1,FALSE)</f>
        <v>#N/A</v>
      </c>
      <c r="J592" s="152" t="s">
        <v>781</v>
      </c>
      <c r="K592" s="109" t="s">
        <v>775</v>
      </c>
      <c r="L592" s="153"/>
      <c r="M592" s="26" t="s">
        <v>776</v>
      </c>
      <c r="N592" s="154">
        <v>44862</v>
      </c>
      <c r="O592" s="28" t="s">
        <v>457</v>
      </c>
      <c r="P592" s="131">
        <v>5216.57</v>
      </c>
      <c r="Q592" s="156">
        <v>-2</v>
      </c>
      <c r="R592" s="120">
        <f t="shared" si="21"/>
        <v>-10433.14</v>
      </c>
      <c r="S592" s="117">
        <v>202303</v>
      </c>
      <c r="T592" s="157" t="s">
        <v>839</v>
      </c>
      <c r="U592" s="157"/>
      <c r="V592" s="133"/>
      <c r="W592" s="133"/>
      <c r="X592" s="118">
        <v>43647</v>
      </c>
      <c r="Y592" s="118">
        <v>45229</v>
      </c>
    </row>
    <row r="593" s="79" customFormat="1" customHeight="1" spans="1:25">
      <c r="A593" s="98" t="s">
        <v>61</v>
      </c>
      <c r="B593" s="98" t="s">
        <v>62</v>
      </c>
      <c r="C593" s="98" t="s">
        <v>217</v>
      </c>
      <c r="D593" s="96" t="s">
        <v>64</v>
      </c>
      <c r="E593" s="147" t="s">
        <v>771</v>
      </c>
      <c r="F593" s="129" t="s">
        <v>772</v>
      </c>
      <c r="G593" s="151" t="s">
        <v>78</v>
      </c>
      <c r="H593" s="19" t="s">
        <v>773</v>
      </c>
      <c r="I593" s="23" t="e">
        <f>VLOOKUP(H593,'合同综合查询数据（3月返）'!$A:$A,1,FALSE)</f>
        <v>#N/A</v>
      </c>
      <c r="J593" s="152" t="s">
        <v>840</v>
      </c>
      <c r="K593" s="109" t="s">
        <v>775</v>
      </c>
      <c r="L593" s="153"/>
      <c r="M593" s="26" t="s">
        <v>776</v>
      </c>
      <c r="N593" s="154"/>
      <c r="O593" s="28"/>
      <c r="P593" s="131">
        <v>3000</v>
      </c>
      <c r="Q593" s="156">
        <v>0</v>
      </c>
      <c r="R593" s="120">
        <f t="shared" si="21"/>
        <v>0</v>
      </c>
      <c r="S593" s="117">
        <v>202303</v>
      </c>
      <c r="T593" s="157" t="s">
        <v>841</v>
      </c>
      <c r="U593" s="157"/>
      <c r="V593" s="133"/>
      <c r="W593" s="133"/>
      <c r="X593" s="118">
        <v>43647</v>
      </c>
      <c r="Y593" s="118">
        <v>45229</v>
      </c>
    </row>
    <row r="594" s="79" customFormat="1" customHeight="1" spans="1:25">
      <c r="A594" s="98" t="s">
        <v>61</v>
      </c>
      <c r="B594" s="98" t="s">
        <v>62</v>
      </c>
      <c r="C594" s="98" t="s">
        <v>217</v>
      </c>
      <c r="D594" s="96" t="s">
        <v>64</v>
      </c>
      <c r="E594" s="147" t="s">
        <v>771</v>
      </c>
      <c r="F594" s="129" t="s">
        <v>772</v>
      </c>
      <c r="G594" s="151" t="s">
        <v>88</v>
      </c>
      <c r="H594" s="19" t="s">
        <v>773</v>
      </c>
      <c r="I594" s="23" t="e">
        <f>VLOOKUP(H594,'合同综合查询数据（3月返）'!$A:$A,1,FALSE)</f>
        <v>#N/A</v>
      </c>
      <c r="J594" s="152" t="s">
        <v>781</v>
      </c>
      <c r="K594" s="109" t="s">
        <v>775</v>
      </c>
      <c r="L594" s="153"/>
      <c r="M594" s="26" t="s">
        <v>776</v>
      </c>
      <c r="N594" s="154">
        <v>44862</v>
      </c>
      <c r="O594" s="28" t="s">
        <v>457</v>
      </c>
      <c r="P594" s="131">
        <v>5216.57</v>
      </c>
      <c r="Q594" s="156">
        <v>1</v>
      </c>
      <c r="R594" s="120">
        <f t="shared" si="21"/>
        <v>5216.57</v>
      </c>
      <c r="S594" s="117">
        <v>202303</v>
      </c>
      <c r="T594" s="175" t="s">
        <v>842</v>
      </c>
      <c r="U594" s="123"/>
      <c r="V594" s="123"/>
      <c r="W594" s="123"/>
      <c r="X594" s="118">
        <v>43647</v>
      </c>
      <c r="Y594" s="118">
        <v>45229</v>
      </c>
    </row>
    <row r="595" s="79" customFormat="1" customHeight="1" spans="1:25">
      <c r="A595" s="98" t="s">
        <v>61</v>
      </c>
      <c r="B595" s="98" t="s">
        <v>62</v>
      </c>
      <c r="C595" s="98" t="s">
        <v>217</v>
      </c>
      <c r="D595" s="96" t="s">
        <v>64</v>
      </c>
      <c r="E595" s="147" t="s">
        <v>771</v>
      </c>
      <c r="F595" s="129" t="s">
        <v>772</v>
      </c>
      <c r="G595" s="151" t="s">
        <v>88</v>
      </c>
      <c r="H595" s="19" t="s">
        <v>773</v>
      </c>
      <c r="I595" s="23" t="e">
        <f>VLOOKUP(H595,'合同综合查询数据（3月返）'!$A:$A,1,FALSE)</f>
        <v>#N/A</v>
      </c>
      <c r="J595" s="152" t="s">
        <v>781</v>
      </c>
      <c r="K595" s="109" t="s">
        <v>775</v>
      </c>
      <c r="L595" s="153"/>
      <c r="M595" s="26" t="s">
        <v>776</v>
      </c>
      <c r="N595" s="154">
        <v>44874</v>
      </c>
      <c r="O595" s="28" t="s">
        <v>457</v>
      </c>
      <c r="P595" s="131">
        <v>5216.57</v>
      </c>
      <c r="Q595" s="156">
        <v>2</v>
      </c>
      <c r="R595" s="120">
        <f t="shared" si="21"/>
        <v>10433.14</v>
      </c>
      <c r="S595" s="117">
        <v>202303</v>
      </c>
      <c r="T595" s="175" t="s">
        <v>839</v>
      </c>
      <c r="U595" s="123"/>
      <c r="V595" s="123"/>
      <c r="W595" s="123"/>
      <c r="X595" s="118">
        <v>43647</v>
      </c>
      <c r="Y595" s="118">
        <v>45229</v>
      </c>
    </row>
    <row r="596" s="79" customFormat="1" customHeight="1" spans="1:25">
      <c r="A596" s="98" t="s">
        <v>61</v>
      </c>
      <c r="B596" s="98" t="s">
        <v>62</v>
      </c>
      <c r="C596" s="98" t="s">
        <v>217</v>
      </c>
      <c r="D596" s="96" t="s">
        <v>64</v>
      </c>
      <c r="E596" s="147" t="s">
        <v>771</v>
      </c>
      <c r="F596" s="129" t="s">
        <v>772</v>
      </c>
      <c r="G596" s="151" t="s">
        <v>88</v>
      </c>
      <c r="H596" s="19" t="s">
        <v>773</v>
      </c>
      <c r="I596" s="23" t="e">
        <f>VLOOKUP(H596,'合同综合查询数据（3月返）'!$A:$A,1,FALSE)</f>
        <v>#N/A</v>
      </c>
      <c r="J596" s="152" t="s">
        <v>781</v>
      </c>
      <c r="K596" s="109" t="s">
        <v>775</v>
      </c>
      <c r="L596" s="153"/>
      <c r="M596" s="26" t="s">
        <v>776</v>
      </c>
      <c r="N596" s="154">
        <v>44883</v>
      </c>
      <c r="O596" s="28" t="s">
        <v>457</v>
      </c>
      <c r="P596" s="131">
        <v>5216.57</v>
      </c>
      <c r="Q596" s="156">
        <v>-5</v>
      </c>
      <c r="R596" s="120">
        <f t="shared" si="21"/>
        <v>-26082.85</v>
      </c>
      <c r="S596" s="117">
        <v>202303</v>
      </c>
      <c r="T596" s="175" t="s">
        <v>843</v>
      </c>
      <c r="U596" s="123"/>
      <c r="V596" s="123"/>
      <c r="W596" s="123"/>
      <c r="X596" s="118">
        <v>43647</v>
      </c>
      <c r="Y596" s="118">
        <v>45229</v>
      </c>
    </row>
    <row r="597" s="79" customFormat="1" customHeight="1" spans="1:25">
      <c r="A597" s="98" t="s">
        <v>61</v>
      </c>
      <c r="B597" s="98" t="s">
        <v>62</v>
      </c>
      <c r="C597" s="98" t="s">
        <v>217</v>
      </c>
      <c r="D597" s="96" t="s">
        <v>64</v>
      </c>
      <c r="E597" s="147" t="s">
        <v>771</v>
      </c>
      <c r="F597" s="129" t="s">
        <v>772</v>
      </c>
      <c r="G597" s="151" t="s">
        <v>88</v>
      </c>
      <c r="H597" s="19" t="s">
        <v>773</v>
      </c>
      <c r="I597" s="23" t="e">
        <f>VLOOKUP(H597,'合同综合查询数据（3月返）'!$A:$A,1,FALSE)</f>
        <v>#N/A</v>
      </c>
      <c r="J597" s="152" t="s">
        <v>781</v>
      </c>
      <c r="K597" s="109" t="s">
        <v>775</v>
      </c>
      <c r="L597" s="153"/>
      <c r="M597" s="26" t="s">
        <v>776</v>
      </c>
      <c r="N597" s="154">
        <v>44971</v>
      </c>
      <c r="O597" s="28" t="s">
        <v>457</v>
      </c>
      <c r="P597" s="131">
        <v>5216.57</v>
      </c>
      <c r="Q597" s="156">
        <v>2</v>
      </c>
      <c r="R597" s="120">
        <f t="shared" si="21"/>
        <v>10433.14</v>
      </c>
      <c r="S597" s="117">
        <v>202303</v>
      </c>
      <c r="T597" s="175" t="s">
        <v>844</v>
      </c>
      <c r="U597" s="123"/>
      <c r="V597" s="123"/>
      <c r="W597" s="123"/>
      <c r="X597" s="118">
        <v>43647</v>
      </c>
      <c r="Y597" s="118">
        <v>45229</v>
      </c>
    </row>
    <row r="598" s="79" customFormat="1" customHeight="1" spans="1:25">
      <c r="A598" s="98" t="s">
        <v>61</v>
      </c>
      <c r="B598" s="98" t="s">
        <v>62</v>
      </c>
      <c r="C598" s="98" t="s">
        <v>217</v>
      </c>
      <c r="D598" s="96" t="s">
        <v>64</v>
      </c>
      <c r="E598" s="147" t="s">
        <v>771</v>
      </c>
      <c r="F598" s="129" t="s">
        <v>772</v>
      </c>
      <c r="G598" s="151" t="s">
        <v>88</v>
      </c>
      <c r="H598" s="19" t="s">
        <v>773</v>
      </c>
      <c r="I598" s="23" t="e">
        <f>VLOOKUP(H598,'合同综合查询数据（3月返）'!$A:$A,1,FALSE)</f>
        <v>#N/A</v>
      </c>
      <c r="J598" s="152" t="s">
        <v>781</v>
      </c>
      <c r="K598" s="109" t="s">
        <v>775</v>
      </c>
      <c r="L598" s="153"/>
      <c r="M598" s="26" t="s">
        <v>776</v>
      </c>
      <c r="N598" s="154">
        <v>44977</v>
      </c>
      <c r="O598" s="28" t="s">
        <v>457</v>
      </c>
      <c r="P598" s="131">
        <v>5216.57</v>
      </c>
      <c r="Q598" s="156">
        <v>2</v>
      </c>
      <c r="R598" s="120">
        <f t="shared" si="21"/>
        <v>10433.14</v>
      </c>
      <c r="S598" s="117">
        <v>202303</v>
      </c>
      <c r="T598" s="175" t="s">
        <v>845</v>
      </c>
      <c r="U598" s="123"/>
      <c r="V598" s="123"/>
      <c r="W598" s="123"/>
      <c r="X598" s="118">
        <v>43647</v>
      </c>
      <c r="Y598" s="118">
        <v>45229</v>
      </c>
    </row>
    <row r="599" s="79" customFormat="1" customHeight="1" spans="1:25">
      <c r="A599" s="98" t="s">
        <v>61</v>
      </c>
      <c r="B599" s="98" t="s">
        <v>62</v>
      </c>
      <c r="C599" s="98" t="s">
        <v>217</v>
      </c>
      <c r="D599" s="96" t="s">
        <v>64</v>
      </c>
      <c r="E599" s="147" t="s">
        <v>771</v>
      </c>
      <c r="F599" s="129" t="s">
        <v>772</v>
      </c>
      <c r="G599" s="151" t="s">
        <v>88</v>
      </c>
      <c r="H599" s="19" t="s">
        <v>773</v>
      </c>
      <c r="I599" s="23" t="e">
        <f>VLOOKUP(H599,'合同综合查询数据（3月返）'!$A:$A,1,FALSE)</f>
        <v>#N/A</v>
      </c>
      <c r="J599" s="152" t="s">
        <v>781</v>
      </c>
      <c r="K599" s="109" t="s">
        <v>775</v>
      </c>
      <c r="L599" s="153"/>
      <c r="M599" s="26" t="s">
        <v>776</v>
      </c>
      <c r="N599" s="154">
        <v>45007</v>
      </c>
      <c r="O599" s="28" t="s">
        <v>457</v>
      </c>
      <c r="P599" s="131">
        <v>5216.57</v>
      </c>
      <c r="Q599" s="156">
        <v>-8</v>
      </c>
      <c r="R599" s="120">
        <f>ROUND(P599*Q599*9/31,2)</f>
        <v>-12115.9</v>
      </c>
      <c r="S599" s="117">
        <v>202303</v>
      </c>
      <c r="T599" s="176" t="s">
        <v>846</v>
      </c>
      <c r="U599" s="123"/>
      <c r="V599" s="123"/>
      <c r="W599" s="123"/>
      <c r="X599" s="118">
        <v>43647</v>
      </c>
      <c r="Y599" s="118">
        <v>45229</v>
      </c>
    </row>
    <row r="600" s="79" customFormat="1" customHeight="1" spans="1:25">
      <c r="A600" s="98" t="s">
        <v>61</v>
      </c>
      <c r="B600" s="98" t="s">
        <v>62</v>
      </c>
      <c r="C600" s="98" t="s">
        <v>217</v>
      </c>
      <c r="D600" s="96" t="s">
        <v>64</v>
      </c>
      <c r="E600" s="147" t="s">
        <v>771</v>
      </c>
      <c r="F600" s="129" t="s">
        <v>772</v>
      </c>
      <c r="G600" s="151" t="s">
        <v>88</v>
      </c>
      <c r="H600" s="19" t="s">
        <v>773</v>
      </c>
      <c r="I600" s="23" t="e">
        <f>VLOOKUP(H600,'合同综合查询数据（3月返）'!$A:$A,1,FALSE)</f>
        <v>#N/A</v>
      </c>
      <c r="J600" s="152" t="s">
        <v>781</v>
      </c>
      <c r="K600" s="109" t="s">
        <v>775</v>
      </c>
      <c r="L600" s="153"/>
      <c r="M600" s="26" t="s">
        <v>776</v>
      </c>
      <c r="N600" s="154">
        <v>45008</v>
      </c>
      <c r="O600" s="28" t="s">
        <v>457</v>
      </c>
      <c r="P600" s="131">
        <v>5216.57</v>
      </c>
      <c r="Q600" s="156">
        <v>-7</v>
      </c>
      <c r="R600" s="120">
        <f>ROUND(P600*Q600*8/31,2)</f>
        <v>-9423.48</v>
      </c>
      <c r="S600" s="117">
        <v>202303</v>
      </c>
      <c r="T600" s="176" t="s">
        <v>847</v>
      </c>
      <c r="U600" s="123"/>
      <c r="V600" s="123"/>
      <c r="W600" s="123"/>
      <c r="X600" s="118">
        <v>43647</v>
      </c>
      <c r="Y600" s="118">
        <v>45229</v>
      </c>
    </row>
    <row r="601" s="81" customFormat="1" customHeight="1" spans="1:25">
      <c r="A601" s="61" t="s">
        <v>61</v>
      </c>
      <c r="B601" s="61" t="s">
        <v>62</v>
      </c>
      <c r="C601" s="61" t="s">
        <v>217</v>
      </c>
      <c r="D601" s="60" t="s">
        <v>64</v>
      </c>
      <c r="E601" s="160" t="s">
        <v>771</v>
      </c>
      <c r="F601" s="135" t="s">
        <v>848</v>
      </c>
      <c r="G601" s="161" t="s">
        <v>88</v>
      </c>
      <c r="H601" s="45" t="s">
        <v>849</v>
      </c>
      <c r="I601" s="47" t="e">
        <f>VLOOKUP(H601,'合同综合查询数据（3月返）'!$A:$A,1,FALSE)</f>
        <v>#N/A</v>
      </c>
      <c r="J601" s="65" t="s">
        <v>90</v>
      </c>
      <c r="K601" s="138" t="s">
        <v>850</v>
      </c>
      <c r="L601" s="164"/>
      <c r="M601" s="50" t="s">
        <v>851</v>
      </c>
      <c r="N601" s="165">
        <v>44163</v>
      </c>
      <c r="O601" s="51" t="s">
        <v>457</v>
      </c>
      <c r="P601" s="140">
        <v>7500</v>
      </c>
      <c r="Q601" s="171">
        <v>1</v>
      </c>
      <c r="R601" s="68">
        <f t="shared" ref="R601:R659" si="22">ROUND(P601*Q601,2)</f>
        <v>7500</v>
      </c>
      <c r="S601" s="70">
        <v>202303</v>
      </c>
      <c r="T601" s="170" t="s">
        <v>852</v>
      </c>
      <c r="U601" s="170"/>
      <c r="V601" s="143"/>
      <c r="W601" s="143"/>
      <c r="X601" s="73"/>
      <c r="Y601" s="73"/>
    </row>
    <row r="602" s="81" customFormat="1" customHeight="1" spans="1:25">
      <c r="A602" s="61" t="s">
        <v>61</v>
      </c>
      <c r="B602" s="61" t="s">
        <v>62</v>
      </c>
      <c r="C602" s="61" t="s">
        <v>217</v>
      </c>
      <c r="D602" s="60" t="s">
        <v>64</v>
      </c>
      <c r="E602" s="160" t="s">
        <v>771</v>
      </c>
      <c r="F602" s="135" t="s">
        <v>848</v>
      </c>
      <c r="G602" s="161" t="s">
        <v>88</v>
      </c>
      <c r="H602" s="45" t="s">
        <v>849</v>
      </c>
      <c r="I602" s="47" t="e">
        <f>VLOOKUP(H602,'合同综合查询数据（3月返）'!$A:$A,1,FALSE)</f>
        <v>#N/A</v>
      </c>
      <c r="J602" s="65" t="s">
        <v>90</v>
      </c>
      <c r="K602" s="138" t="s">
        <v>853</v>
      </c>
      <c r="L602" s="164"/>
      <c r="M602" s="50" t="s">
        <v>854</v>
      </c>
      <c r="N602" s="165">
        <v>44182</v>
      </c>
      <c r="O602" s="51" t="s">
        <v>457</v>
      </c>
      <c r="P602" s="140">
        <v>7500</v>
      </c>
      <c r="Q602" s="171">
        <v>1</v>
      </c>
      <c r="R602" s="68">
        <f t="shared" si="22"/>
        <v>7500</v>
      </c>
      <c r="S602" s="70">
        <v>202303</v>
      </c>
      <c r="T602" s="170" t="s">
        <v>855</v>
      </c>
      <c r="U602" s="170"/>
      <c r="V602" s="143"/>
      <c r="W602" s="143"/>
      <c r="X602" s="73"/>
      <c r="Y602" s="73"/>
    </row>
    <row r="603" s="81" customFormat="1" customHeight="1" spans="1:25">
      <c r="A603" s="61" t="s">
        <v>61</v>
      </c>
      <c r="B603" s="61" t="s">
        <v>62</v>
      </c>
      <c r="C603" s="61" t="s">
        <v>217</v>
      </c>
      <c r="D603" s="60" t="s">
        <v>64</v>
      </c>
      <c r="E603" s="160" t="s">
        <v>771</v>
      </c>
      <c r="F603" s="135" t="s">
        <v>848</v>
      </c>
      <c r="G603" s="161" t="s">
        <v>88</v>
      </c>
      <c r="H603" s="45" t="s">
        <v>849</v>
      </c>
      <c r="I603" s="47" t="e">
        <f>VLOOKUP(H603,'合同综合查询数据（3月返）'!$A:$A,1,FALSE)</f>
        <v>#N/A</v>
      </c>
      <c r="J603" s="65" t="s">
        <v>90</v>
      </c>
      <c r="K603" s="138" t="s">
        <v>853</v>
      </c>
      <c r="L603" s="164"/>
      <c r="M603" s="50" t="s">
        <v>854</v>
      </c>
      <c r="N603" s="165">
        <v>44527</v>
      </c>
      <c r="O603" s="51" t="s">
        <v>457</v>
      </c>
      <c r="P603" s="140">
        <v>7500</v>
      </c>
      <c r="Q603" s="171">
        <v>-1</v>
      </c>
      <c r="R603" s="68">
        <f t="shared" si="22"/>
        <v>-7500</v>
      </c>
      <c r="S603" s="70">
        <v>202303</v>
      </c>
      <c r="T603" s="170"/>
      <c r="U603" s="170"/>
      <c r="V603" s="143"/>
      <c r="W603" s="143"/>
      <c r="X603" s="73"/>
      <c r="Y603" s="73"/>
    </row>
    <row r="604" s="81" customFormat="1" customHeight="1" spans="1:25">
      <c r="A604" s="61" t="s">
        <v>61</v>
      </c>
      <c r="B604" s="61" t="s">
        <v>62</v>
      </c>
      <c r="C604" s="61" t="s">
        <v>217</v>
      </c>
      <c r="D604" s="60" t="s">
        <v>64</v>
      </c>
      <c r="E604" s="160" t="s">
        <v>771</v>
      </c>
      <c r="F604" s="135" t="s">
        <v>848</v>
      </c>
      <c r="G604" s="161" t="s">
        <v>67</v>
      </c>
      <c r="H604" s="45" t="s">
        <v>849</v>
      </c>
      <c r="I604" s="47" t="e">
        <f>VLOOKUP(H604,'合同综合查询数据（3月返）'!$A:$A,1,FALSE)</f>
        <v>#N/A</v>
      </c>
      <c r="J604" s="65" t="s">
        <v>69</v>
      </c>
      <c r="K604" s="138" t="s">
        <v>850</v>
      </c>
      <c r="L604" s="164"/>
      <c r="M604" s="50"/>
      <c r="N604" s="165">
        <v>44163</v>
      </c>
      <c r="O604" s="51" t="s">
        <v>856</v>
      </c>
      <c r="P604" s="140">
        <f>600*4</f>
        <v>2400</v>
      </c>
      <c r="Q604" s="112">
        <v>1</v>
      </c>
      <c r="R604" s="68">
        <f t="shared" si="22"/>
        <v>2400</v>
      </c>
      <c r="S604" s="70">
        <v>202303</v>
      </c>
      <c r="T604" s="170" t="s">
        <v>857</v>
      </c>
      <c r="U604" s="170"/>
      <c r="V604" s="143"/>
      <c r="W604" s="143"/>
      <c r="X604" s="73"/>
      <c r="Y604" s="73"/>
    </row>
    <row r="605" s="81" customFormat="1" customHeight="1" spans="1:25">
      <c r="A605" s="61" t="s">
        <v>61</v>
      </c>
      <c r="B605" s="61" t="s">
        <v>62</v>
      </c>
      <c r="C605" s="61" t="s">
        <v>217</v>
      </c>
      <c r="D605" s="60" t="s">
        <v>64</v>
      </c>
      <c r="E605" s="160" t="s">
        <v>771</v>
      </c>
      <c r="F605" s="135" t="s">
        <v>848</v>
      </c>
      <c r="G605" s="161" t="s">
        <v>67</v>
      </c>
      <c r="H605" s="45" t="s">
        <v>849</v>
      </c>
      <c r="I605" s="47" t="e">
        <f>VLOOKUP(H605,'合同综合查询数据（3月返）'!$A:$A,1,FALSE)</f>
        <v>#N/A</v>
      </c>
      <c r="J605" s="65" t="s">
        <v>69</v>
      </c>
      <c r="K605" s="138" t="s">
        <v>853</v>
      </c>
      <c r="L605" s="164"/>
      <c r="M605" s="50"/>
      <c r="N605" s="165">
        <v>44182</v>
      </c>
      <c r="O605" s="51" t="s">
        <v>856</v>
      </c>
      <c r="P605" s="140">
        <f>600*4</f>
        <v>2400</v>
      </c>
      <c r="Q605" s="112">
        <v>1</v>
      </c>
      <c r="R605" s="68">
        <f t="shared" si="22"/>
        <v>2400</v>
      </c>
      <c r="S605" s="70">
        <v>202303</v>
      </c>
      <c r="T605" s="170" t="s">
        <v>858</v>
      </c>
      <c r="U605" s="170"/>
      <c r="V605" s="143"/>
      <c r="W605" s="143"/>
      <c r="X605" s="73"/>
      <c r="Y605" s="73"/>
    </row>
    <row r="606" s="81" customFormat="1" customHeight="1" spans="1:25">
      <c r="A606" s="61" t="s">
        <v>61</v>
      </c>
      <c r="B606" s="61" t="s">
        <v>62</v>
      </c>
      <c r="C606" s="61" t="s">
        <v>217</v>
      </c>
      <c r="D606" s="60" t="s">
        <v>64</v>
      </c>
      <c r="E606" s="160" t="s">
        <v>771</v>
      </c>
      <c r="F606" s="135" t="s">
        <v>848</v>
      </c>
      <c r="G606" s="161" t="s">
        <v>67</v>
      </c>
      <c r="H606" s="45" t="s">
        <v>849</v>
      </c>
      <c r="I606" s="47" t="e">
        <f>VLOOKUP(H606,'合同综合查询数据（3月返）'!$A:$A,1,FALSE)</f>
        <v>#N/A</v>
      </c>
      <c r="J606" s="65" t="s">
        <v>69</v>
      </c>
      <c r="K606" s="138" t="s">
        <v>853</v>
      </c>
      <c r="L606" s="164"/>
      <c r="M606" s="50"/>
      <c r="N606" s="165">
        <v>44527</v>
      </c>
      <c r="O606" s="51" t="s">
        <v>856</v>
      </c>
      <c r="P606" s="140">
        <f>600*4</f>
        <v>2400</v>
      </c>
      <c r="Q606" s="112">
        <v>-1</v>
      </c>
      <c r="R606" s="68">
        <f t="shared" si="22"/>
        <v>-2400</v>
      </c>
      <c r="S606" s="70">
        <v>202303</v>
      </c>
      <c r="T606" s="170"/>
      <c r="U606" s="170"/>
      <c r="V606" s="143"/>
      <c r="W606" s="143"/>
      <c r="X606" s="73"/>
      <c r="Y606" s="73"/>
    </row>
    <row r="607" s="81" customFormat="1" customHeight="1" spans="1:25">
      <c r="A607" s="61" t="s">
        <v>61</v>
      </c>
      <c r="B607" s="61" t="s">
        <v>62</v>
      </c>
      <c r="C607" s="61" t="s">
        <v>217</v>
      </c>
      <c r="D607" s="60" t="s">
        <v>64</v>
      </c>
      <c r="E607" s="160" t="s">
        <v>771</v>
      </c>
      <c r="F607" s="135" t="s">
        <v>848</v>
      </c>
      <c r="G607" s="161" t="s">
        <v>67</v>
      </c>
      <c r="H607" s="45" t="s">
        <v>859</v>
      </c>
      <c r="I607" s="47" t="e">
        <f>VLOOKUP(H607,'合同综合查询数据（3月返）'!$A:$A,1,FALSE)</f>
        <v>#N/A</v>
      </c>
      <c r="J607" s="65" t="s">
        <v>69</v>
      </c>
      <c r="K607" s="138"/>
      <c r="L607" s="164"/>
      <c r="M607" s="50"/>
      <c r="N607" s="165">
        <v>44041</v>
      </c>
      <c r="O607" s="51"/>
      <c r="P607" s="140">
        <v>600</v>
      </c>
      <c r="Q607" s="112">
        <v>1</v>
      </c>
      <c r="R607" s="68">
        <f t="shared" si="22"/>
        <v>600</v>
      </c>
      <c r="S607" s="70">
        <v>202303</v>
      </c>
      <c r="T607" s="170" t="s">
        <v>860</v>
      </c>
      <c r="U607" s="170"/>
      <c r="V607" s="143"/>
      <c r="W607" s="143"/>
      <c r="X607" s="73"/>
      <c r="Y607" s="73"/>
    </row>
    <row r="608" s="81" customFormat="1" customHeight="1" spans="1:25">
      <c r="A608" s="61" t="s">
        <v>61</v>
      </c>
      <c r="B608" s="61" t="s">
        <v>62</v>
      </c>
      <c r="C608" s="61" t="s">
        <v>217</v>
      </c>
      <c r="D608" s="60" t="s">
        <v>64</v>
      </c>
      <c r="E608" s="160" t="s">
        <v>771</v>
      </c>
      <c r="F608" s="135" t="s">
        <v>848</v>
      </c>
      <c r="G608" s="161" t="s">
        <v>67</v>
      </c>
      <c r="H608" s="45" t="s">
        <v>861</v>
      </c>
      <c r="I608" s="47" t="e">
        <f>VLOOKUP(H608,'合同综合查询数据（3月返）'!$A:$A,1,FALSE)</f>
        <v>#N/A</v>
      </c>
      <c r="J608" s="65" t="s">
        <v>69</v>
      </c>
      <c r="K608" s="138" t="s">
        <v>862</v>
      </c>
      <c r="L608" s="164"/>
      <c r="M608" s="50"/>
      <c r="N608" s="165">
        <v>44562</v>
      </c>
      <c r="O608" s="51" t="s">
        <v>856</v>
      </c>
      <c r="P608" s="140">
        <v>600</v>
      </c>
      <c r="Q608" s="112">
        <v>2</v>
      </c>
      <c r="R608" s="68">
        <f t="shared" si="22"/>
        <v>1200</v>
      </c>
      <c r="S608" s="70">
        <v>202303</v>
      </c>
      <c r="T608" s="170" t="s">
        <v>863</v>
      </c>
      <c r="U608" s="170"/>
      <c r="V608" s="143"/>
      <c r="W608" s="143"/>
      <c r="X608" s="73"/>
      <c r="Y608" s="73"/>
    </row>
    <row r="609" s="81" customFormat="1" customHeight="1" spans="1:25">
      <c r="A609" s="61" t="s">
        <v>61</v>
      </c>
      <c r="B609" s="60" t="s">
        <v>62</v>
      </c>
      <c r="C609" s="61" t="s">
        <v>40</v>
      </c>
      <c r="D609" s="60" t="s">
        <v>75</v>
      </c>
      <c r="E609" s="160" t="s">
        <v>864</v>
      </c>
      <c r="F609" s="61" t="s">
        <v>865</v>
      </c>
      <c r="G609" s="161" t="s">
        <v>78</v>
      </c>
      <c r="H609" s="45" t="s">
        <v>866</v>
      </c>
      <c r="I609" s="47" t="e">
        <f>VLOOKUP(H609,'合同综合查询数据（3月返）'!$A:$A,1,FALSE)</f>
        <v>#N/A</v>
      </c>
      <c r="J609" s="135" t="s">
        <v>867</v>
      </c>
      <c r="K609" s="135" t="s">
        <v>868</v>
      </c>
      <c r="L609" s="164"/>
      <c r="M609" s="50"/>
      <c r="N609" s="165">
        <v>44537</v>
      </c>
      <c r="O609" s="172" t="s">
        <v>71</v>
      </c>
      <c r="P609" s="171">
        <v>1666.67</v>
      </c>
      <c r="Q609" s="171">
        <v>1</v>
      </c>
      <c r="R609" s="68">
        <f t="shared" si="22"/>
        <v>1666.67</v>
      </c>
      <c r="S609" s="70">
        <v>202303</v>
      </c>
      <c r="T609" s="170" t="s">
        <v>869</v>
      </c>
      <c r="U609" s="170"/>
      <c r="V609" s="146"/>
      <c r="W609" s="146"/>
      <c r="X609" s="73"/>
      <c r="Y609" s="73"/>
    </row>
    <row r="610" s="81" customFormat="1" customHeight="1" spans="1:25">
      <c r="A610" s="61" t="s">
        <v>61</v>
      </c>
      <c r="B610" s="60" t="s">
        <v>62</v>
      </c>
      <c r="C610" s="61" t="s">
        <v>40</v>
      </c>
      <c r="D610" s="60" t="s">
        <v>75</v>
      </c>
      <c r="E610" s="160" t="s">
        <v>864</v>
      </c>
      <c r="F610" s="61" t="s">
        <v>865</v>
      </c>
      <c r="G610" s="161" t="s">
        <v>67</v>
      </c>
      <c r="H610" s="45" t="s">
        <v>870</v>
      </c>
      <c r="I610" s="47" t="e">
        <f>VLOOKUP(H610,'合同综合查询数据（3月返）'!$A:$A,1,FALSE)</f>
        <v>#N/A</v>
      </c>
      <c r="J610" s="65" t="s">
        <v>69</v>
      </c>
      <c r="K610" s="135" t="s">
        <v>871</v>
      </c>
      <c r="L610" s="164"/>
      <c r="M610" s="50"/>
      <c r="N610" s="165">
        <v>44927</v>
      </c>
      <c r="O610" s="172"/>
      <c r="P610" s="171">
        <v>1667</v>
      </c>
      <c r="Q610" s="171">
        <v>1</v>
      </c>
      <c r="R610" s="68">
        <f t="shared" si="22"/>
        <v>1667</v>
      </c>
      <c r="S610" s="70">
        <v>202303</v>
      </c>
      <c r="T610" s="170" t="s">
        <v>872</v>
      </c>
      <c r="U610" s="170"/>
      <c r="V610" s="146"/>
      <c r="W610" s="146"/>
      <c r="X610" s="73"/>
      <c r="Y610" s="73"/>
    </row>
    <row r="611" s="81" customFormat="1" customHeight="1" spans="1:25">
      <c r="A611" s="61" t="s">
        <v>61</v>
      </c>
      <c r="B611" s="60" t="s">
        <v>62</v>
      </c>
      <c r="C611" s="61" t="s">
        <v>40</v>
      </c>
      <c r="D611" s="60" t="s">
        <v>75</v>
      </c>
      <c r="E611" s="160" t="s">
        <v>864</v>
      </c>
      <c r="F611" s="61" t="s">
        <v>865</v>
      </c>
      <c r="G611" s="161" t="s">
        <v>67</v>
      </c>
      <c r="H611" s="45" t="s">
        <v>870</v>
      </c>
      <c r="I611" s="47" t="e">
        <f>VLOOKUP(H611,'合同综合查询数据（3月返）'!$A:$A,1,FALSE)</f>
        <v>#N/A</v>
      </c>
      <c r="J611" s="65" t="s">
        <v>69</v>
      </c>
      <c r="K611" s="135" t="s">
        <v>871</v>
      </c>
      <c r="L611" s="164"/>
      <c r="M611" s="50"/>
      <c r="N611" s="165">
        <v>44927</v>
      </c>
      <c r="O611" s="172"/>
      <c r="P611" s="171">
        <v>1667</v>
      </c>
      <c r="Q611" s="171">
        <v>1</v>
      </c>
      <c r="R611" s="68">
        <f t="shared" si="22"/>
        <v>1667</v>
      </c>
      <c r="S611" s="70">
        <v>202302</v>
      </c>
      <c r="T611" s="170" t="s">
        <v>873</v>
      </c>
      <c r="U611" s="170"/>
      <c r="V611" s="146"/>
      <c r="W611" s="146"/>
      <c r="X611" s="73"/>
      <c r="Y611" s="73"/>
    </row>
    <row r="612" s="81" customFormat="1" customHeight="1" spans="1:25">
      <c r="A612" s="61" t="s">
        <v>61</v>
      </c>
      <c r="B612" s="60" t="s">
        <v>62</v>
      </c>
      <c r="C612" s="61" t="s">
        <v>40</v>
      </c>
      <c r="D612" s="60" t="s">
        <v>75</v>
      </c>
      <c r="E612" s="160" t="s">
        <v>864</v>
      </c>
      <c r="F612" s="61" t="s">
        <v>865</v>
      </c>
      <c r="G612" s="161" t="s">
        <v>67</v>
      </c>
      <c r="H612" s="45" t="s">
        <v>870</v>
      </c>
      <c r="I612" s="47" t="e">
        <f>VLOOKUP(H612,'合同综合查询数据（3月返）'!$A:$A,1,FALSE)</f>
        <v>#N/A</v>
      </c>
      <c r="J612" s="65" t="s">
        <v>69</v>
      </c>
      <c r="K612" s="135" t="s">
        <v>871</v>
      </c>
      <c r="L612" s="164"/>
      <c r="M612" s="50"/>
      <c r="N612" s="165">
        <v>44927</v>
      </c>
      <c r="O612" s="172"/>
      <c r="P612" s="171">
        <v>1667</v>
      </c>
      <c r="Q612" s="171">
        <v>1</v>
      </c>
      <c r="R612" s="68">
        <f t="shared" si="22"/>
        <v>1667</v>
      </c>
      <c r="S612" s="70">
        <v>202301</v>
      </c>
      <c r="T612" s="170" t="s">
        <v>874</v>
      </c>
      <c r="U612" s="170"/>
      <c r="V612" s="146"/>
      <c r="W612" s="146"/>
      <c r="X612" s="73"/>
      <c r="Y612" s="73"/>
    </row>
    <row r="613" s="79" customFormat="1" customHeight="1" spans="1:25">
      <c r="A613" s="16" t="s">
        <v>403</v>
      </c>
      <c r="B613" s="17" t="s">
        <v>83</v>
      </c>
      <c r="C613" s="17" t="s">
        <v>63</v>
      </c>
      <c r="D613" s="96" t="s">
        <v>566</v>
      </c>
      <c r="E613" s="18" t="s">
        <v>875</v>
      </c>
      <c r="F613" s="16" t="s">
        <v>876</v>
      </c>
      <c r="G613" s="16" t="s">
        <v>78</v>
      </c>
      <c r="H613" s="19" t="s">
        <v>877</v>
      </c>
      <c r="I613" s="23" t="e">
        <f>VLOOKUP(H613,'合同综合查询数据（3月返）'!$A:$A,1,FALSE)</f>
        <v>#N/A</v>
      </c>
      <c r="J613" s="24" t="s">
        <v>878</v>
      </c>
      <c r="K613" s="16"/>
      <c r="L613" s="25"/>
      <c r="M613" s="26"/>
      <c r="N613" s="28">
        <v>42156</v>
      </c>
      <c r="O613" s="28" t="s">
        <v>879</v>
      </c>
      <c r="P613" s="173">
        <v>750000</v>
      </c>
      <c r="Q613" s="35">
        <v>1</v>
      </c>
      <c r="R613" s="173">
        <f t="shared" si="22"/>
        <v>750000</v>
      </c>
      <c r="S613" s="117">
        <v>202303</v>
      </c>
      <c r="T613" s="38" t="s">
        <v>880</v>
      </c>
      <c r="U613" s="39"/>
      <c r="V613" s="41"/>
      <c r="W613" s="41"/>
      <c r="X613" s="118">
        <v>44682</v>
      </c>
      <c r="Y613" s="118">
        <v>45046</v>
      </c>
    </row>
    <row r="614" s="79" customFormat="1" customHeight="1" spans="1:25">
      <c r="A614" s="98" t="s">
        <v>403</v>
      </c>
      <c r="B614" s="96" t="s">
        <v>62</v>
      </c>
      <c r="C614" s="98" t="s">
        <v>130</v>
      </c>
      <c r="D614" s="98" t="s">
        <v>881</v>
      </c>
      <c r="E614" s="147" t="s">
        <v>882</v>
      </c>
      <c r="F614" s="98" t="s">
        <v>883</v>
      </c>
      <c r="G614" s="151" t="s">
        <v>88</v>
      </c>
      <c r="H614" s="19" t="s">
        <v>884</v>
      </c>
      <c r="I614" s="23" t="e">
        <f>VLOOKUP(H614,'合同综合查询数据（3月返）'!$A:$A,1,FALSE)</f>
        <v>#N/A</v>
      </c>
      <c r="J614" s="129" t="s">
        <v>885</v>
      </c>
      <c r="K614" s="129"/>
      <c r="L614" s="153"/>
      <c r="M614" s="26" t="s">
        <v>886</v>
      </c>
      <c r="N614" s="154">
        <v>42965</v>
      </c>
      <c r="O614" s="155" t="s">
        <v>92</v>
      </c>
      <c r="P614" s="174">
        <v>0</v>
      </c>
      <c r="Q614" s="174">
        <v>6</v>
      </c>
      <c r="R614" s="120">
        <f t="shared" si="22"/>
        <v>0</v>
      </c>
      <c r="S614" s="117">
        <v>202303</v>
      </c>
      <c r="T614" s="157" t="s">
        <v>887</v>
      </c>
      <c r="U614" s="157"/>
      <c r="V614" s="122"/>
      <c r="W614" s="122"/>
      <c r="X614" s="118">
        <v>44409</v>
      </c>
      <c r="Y614" s="118">
        <v>45138</v>
      </c>
    </row>
    <row r="615" s="79" customFormat="1" customHeight="1" spans="1:25">
      <c r="A615" s="98" t="s">
        <v>403</v>
      </c>
      <c r="B615" s="96" t="s">
        <v>62</v>
      </c>
      <c r="C615" s="98" t="s">
        <v>130</v>
      </c>
      <c r="D615" s="98" t="s">
        <v>881</v>
      </c>
      <c r="E615" s="147" t="s">
        <v>882</v>
      </c>
      <c r="F615" s="98" t="s">
        <v>883</v>
      </c>
      <c r="G615" s="151" t="s">
        <v>88</v>
      </c>
      <c r="H615" s="19" t="s">
        <v>884</v>
      </c>
      <c r="I615" s="23" t="e">
        <f>VLOOKUP(H615,'合同综合查询数据（3月返）'!$A:$A,1,FALSE)</f>
        <v>#N/A</v>
      </c>
      <c r="J615" s="129" t="s">
        <v>885</v>
      </c>
      <c r="K615" s="129"/>
      <c r="L615" s="153"/>
      <c r="M615" s="26" t="s">
        <v>886</v>
      </c>
      <c r="N615" s="154">
        <v>44409</v>
      </c>
      <c r="O615" s="155" t="s">
        <v>92</v>
      </c>
      <c r="P615" s="174">
        <v>0</v>
      </c>
      <c r="Q615" s="174">
        <v>-1</v>
      </c>
      <c r="R615" s="120">
        <f t="shared" si="22"/>
        <v>0</v>
      </c>
      <c r="S615" s="117">
        <v>202303</v>
      </c>
      <c r="T615" s="157" t="s">
        <v>888</v>
      </c>
      <c r="U615" s="157"/>
      <c r="V615" s="122"/>
      <c r="W615" s="122"/>
      <c r="X615" s="118">
        <v>44409</v>
      </c>
      <c r="Y615" s="118">
        <v>45138</v>
      </c>
    </row>
    <row r="616" s="79" customFormat="1" customHeight="1" spans="1:25">
      <c r="A616" s="98" t="s">
        <v>403</v>
      </c>
      <c r="B616" s="96" t="s">
        <v>62</v>
      </c>
      <c r="C616" s="98" t="s">
        <v>130</v>
      </c>
      <c r="D616" s="98" t="s">
        <v>881</v>
      </c>
      <c r="E616" s="147" t="s">
        <v>882</v>
      </c>
      <c r="F616" s="98" t="s">
        <v>883</v>
      </c>
      <c r="G616" s="151" t="s">
        <v>31</v>
      </c>
      <c r="H616" s="19" t="s">
        <v>884</v>
      </c>
      <c r="I616" s="23" t="e">
        <f>VLOOKUP(H616,'合同综合查询数据（3月返）'!$A:$A,1,FALSE)</f>
        <v>#N/A</v>
      </c>
      <c r="J616" s="129" t="s">
        <v>889</v>
      </c>
      <c r="K616" s="129"/>
      <c r="L616" s="153"/>
      <c r="M616" s="26"/>
      <c r="N616" s="154"/>
      <c r="O616" s="155"/>
      <c r="P616" s="174">
        <v>0</v>
      </c>
      <c r="Q616" s="174">
        <v>1792</v>
      </c>
      <c r="R616" s="120">
        <f t="shared" si="22"/>
        <v>0</v>
      </c>
      <c r="S616" s="117">
        <v>202303</v>
      </c>
      <c r="T616" s="157" t="s">
        <v>890</v>
      </c>
      <c r="U616" s="157"/>
      <c r="V616" s="122"/>
      <c r="W616" s="122"/>
      <c r="X616" s="118">
        <v>44409</v>
      </c>
      <c r="Y616" s="118">
        <v>45138</v>
      </c>
    </row>
    <row r="617" s="79" customFormat="1" customHeight="1" spans="1:25">
      <c r="A617" s="98" t="s">
        <v>403</v>
      </c>
      <c r="B617" s="96" t="s">
        <v>62</v>
      </c>
      <c r="C617" s="98" t="s">
        <v>130</v>
      </c>
      <c r="D617" s="98" t="s">
        <v>881</v>
      </c>
      <c r="E617" s="147" t="s">
        <v>882</v>
      </c>
      <c r="F617" s="98" t="s">
        <v>883</v>
      </c>
      <c r="G617" s="151" t="s">
        <v>31</v>
      </c>
      <c r="H617" s="19" t="s">
        <v>884</v>
      </c>
      <c r="I617" s="23" t="e">
        <f>VLOOKUP(H617,'合同综合查询数据（3月返）'!$A:$A,1,FALSE)</f>
        <v>#N/A</v>
      </c>
      <c r="J617" s="129" t="s">
        <v>33</v>
      </c>
      <c r="K617" s="129"/>
      <c r="L617" s="99" t="s">
        <v>891</v>
      </c>
      <c r="M617" s="26"/>
      <c r="N617" s="154"/>
      <c r="O617" s="155"/>
      <c r="P617" s="174">
        <v>0</v>
      </c>
      <c r="Q617" s="174">
        <v>256</v>
      </c>
      <c r="R617" s="120">
        <f t="shared" si="22"/>
        <v>0</v>
      </c>
      <c r="S617" s="117">
        <v>202303</v>
      </c>
      <c r="T617" s="157" t="s">
        <v>892</v>
      </c>
      <c r="U617" s="157"/>
      <c r="V617" s="122"/>
      <c r="W617" s="122"/>
      <c r="X617" s="118">
        <v>44409</v>
      </c>
      <c r="Y617" s="118">
        <v>45138</v>
      </c>
    </row>
    <row r="618" s="79" customFormat="1" customHeight="1" spans="1:25">
      <c r="A618" s="98" t="s">
        <v>403</v>
      </c>
      <c r="B618" s="96" t="s">
        <v>62</v>
      </c>
      <c r="C618" s="98" t="s">
        <v>130</v>
      </c>
      <c r="D618" s="98" t="s">
        <v>881</v>
      </c>
      <c r="E618" s="147" t="s">
        <v>882</v>
      </c>
      <c r="F618" s="98" t="s">
        <v>883</v>
      </c>
      <c r="G618" s="151" t="s">
        <v>31</v>
      </c>
      <c r="H618" s="19" t="s">
        <v>884</v>
      </c>
      <c r="I618" s="23" t="e">
        <f>VLOOKUP(H618,'合同综合查询数据（3月返）'!$A:$A,1,FALSE)</f>
        <v>#N/A</v>
      </c>
      <c r="J618" s="129" t="s">
        <v>667</v>
      </c>
      <c r="K618" s="129"/>
      <c r="L618" s="153"/>
      <c r="M618" s="26" t="s">
        <v>886</v>
      </c>
      <c r="N618" s="154"/>
      <c r="O618" s="155"/>
      <c r="P618" s="174">
        <v>10</v>
      </c>
      <c r="Q618" s="174">
        <v>2048</v>
      </c>
      <c r="R618" s="120">
        <f t="shared" si="22"/>
        <v>20480</v>
      </c>
      <c r="S618" s="117">
        <v>202303</v>
      </c>
      <c r="T618" s="157" t="s">
        <v>893</v>
      </c>
      <c r="U618" s="157"/>
      <c r="V618" s="122"/>
      <c r="W618" s="122"/>
      <c r="X618" s="118">
        <v>44409</v>
      </c>
      <c r="Y618" s="118">
        <v>45138</v>
      </c>
    </row>
    <row r="619" s="79" customFormat="1" customHeight="1" spans="1:25">
      <c r="A619" s="98" t="s">
        <v>403</v>
      </c>
      <c r="B619" s="96" t="s">
        <v>62</v>
      </c>
      <c r="C619" s="98" t="s">
        <v>130</v>
      </c>
      <c r="D619" s="98" t="s">
        <v>881</v>
      </c>
      <c r="E619" s="147" t="s">
        <v>882</v>
      </c>
      <c r="F619" s="98" t="s">
        <v>883</v>
      </c>
      <c r="G619" s="151" t="s">
        <v>88</v>
      </c>
      <c r="H619" s="19" t="s">
        <v>884</v>
      </c>
      <c r="I619" s="23" t="e">
        <f>VLOOKUP(H619,'合同综合查询数据（3月返）'!$A:$A,1,FALSE)</f>
        <v>#N/A</v>
      </c>
      <c r="J619" s="129" t="s">
        <v>885</v>
      </c>
      <c r="K619" s="129"/>
      <c r="L619" s="153"/>
      <c r="M619" s="26" t="s">
        <v>886</v>
      </c>
      <c r="N619" s="154">
        <v>42965</v>
      </c>
      <c r="O619" s="155" t="s">
        <v>92</v>
      </c>
      <c r="P619" s="174">
        <v>4000</v>
      </c>
      <c r="Q619" s="174">
        <v>26</v>
      </c>
      <c r="R619" s="120">
        <f t="shared" si="22"/>
        <v>104000</v>
      </c>
      <c r="S619" s="117">
        <v>202303</v>
      </c>
      <c r="T619" s="157" t="s">
        <v>894</v>
      </c>
      <c r="U619" s="157"/>
      <c r="V619" s="122"/>
      <c r="W619" s="122"/>
      <c r="X619" s="118">
        <v>44409</v>
      </c>
      <c r="Y619" s="118">
        <v>45138</v>
      </c>
    </row>
    <row r="620" s="79" customFormat="1" customHeight="1" spans="1:25">
      <c r="A620" s="98" t="s">
        <v>403</v>
      </c>
      <c r="B620" s="96" t="s">
        <v>62</v>
      </c>
      <c r="C620" s="98" t="s">
        <v>130</v>
      </c>
      <c r="D620" s="98" t="s">
        <v>881</v>
      </c>
      <c r="E620" s="147" t="s">
        <v>882</v>
      </c>
      <c r="F620" s="98" t="s">
        <v>883</v>
      </c>
      <c r="G620" s="151" t="s">
        <v>88</v>
      </c>
      <c r="H620" s="19" t="s">
        <v>884</v>
      </c>
      <c r="I620" s="23" t="e">
        <f>VLOOKUP(H620,'合同综合查询数据（3月返）'!$A:$A,1,FALSE)</f>
        <v>#N/A</v>
      </c>
      <c r="J620" s="129" t="s">
        <v>126</v>
      </c>
      <c r="K620" s="129"/>
      <c r="L620" s="99" t="s">
        <v>891</v>
      </c>
      <c r="M620" s="26" t="s">
        <v>886</v>
      </c>
      <c r="N620" s="154">
        <v>42965</v>
      </c>
      <c r="O620" s="155" t="s">
        <v>92</v>
      </c>
      <c r="P620" s="174">
        <v>4000</v>
      </c>
      <c r="Q620" s="174">
        <v>2</v>
      </c>
      <c r="R620" s="120">
        <f t="shared" si="22"/>
        <v>8000</v>
      </c>
      <c r="S620" s="117">
        <v>202303</v>
      </c>
      <c r="T620" s="157" t="s">
        <v>895</v>
      </c>
      <c r="U620" s="157"/>
      <c r="V620" s="122"/>
      <c r="W620" s="122"/>
      <c r="X620" s="118">
        <v>44409</v>
      </c>
      <c r="Y620" s="118">
        <v>45138</v>
      </c>
    </row>
    <row r="621" s="79" customFormat="1" customHeight="1" spans="1:25">
      <c r="A621" s="98" t="s">
        <v>403</v>
      </c>
      <c r="B621" s="96" t="s">
        <v>62</v>
      </c>
      <c r="C621" s="98" t="s">
        <v>130</v>
      </c>
      <c r="D621" s="98" t="s">
        <v>881</v>
      </c>
      <c r="E621" s="147" t="s">
        <v>882</v>
      </c>
      <c r="F621" s="98" t="s">
        <v>883</v>
      </c>
      <c r="G621" s="151" t="s">
        <v>88</v>
      </c>
      <c r="H621" s="19" t="s">
        <v>884</v>
      </c>
      <c r="I621" s="23" t="e">
        <f>VLOOKUP(H621,'合同综合查询数据（3月返）'!$A:$A,1,FALSE)</f>
        <v>#N/A</v>
      </c>
      <c r="J621" s="129" t="s">
        <v>126</v>
      </c>
      <c r="K621" s="129"/>
      <c r="L621" s="99" t="s">
        <v>891</v>
      </c>
      <c r="M621" s="26" t="s">
        <v>886</v>
      </c>
      <c r="N621" s="154">
        <v>44561</v>
      </c>
      <c r="O621" s="155" t="s">
        <v>92</v>
      </c>
      <c r="P621" s="174">
        <v>4000</v>
      </c>
      <c r="Q621" s="174">
        <v>-2</v>
      </c>
      <c r="R621" s="120">
        <f t="shared" si="22"/>
        <v>-8000</v>
      </c>
      <c r="S621" s="117">
        <v>202303</v>
      </c>
      <c r="T621" s="157" t="s">
        <v>896</v>
      </c>
      <c r="U621" s="157"/>
      <c r="V621" s="122"/>
      <c r="W621" s="122"/>
      <c r="X621" s="118">
        <v>44409</v>
      </c>
      <c r="Y621" s="118">
        <v>45138</v>
      </c>
    </row>
    <row r="622" s="79" customFormat="1" customHeight="1" spans="1:25">
      <c r="A622" s="98" t="s">
        <v>403</v>
      </c>
      <c r="B622" s="96" t="s">
        <v>62</v>
      </c>
      <c r="C622" s="98" t="s">
        <v>130</v>
      </c>
      <c r="D622" s="98" t="s">
        <v>881</v>
      </c>
      <c r="E622" s="147" t="s">
        <v>882</v>
      </c>
      <c r="F622" s="98" t="s">
        <v>883</v>
      </c>
      <c r="G622" s="151" t="s">
        <v>88</v>
      </c>
      <c r="H622" s="19" t="s">
        <v>884</v>
      </c>
      <c r="I622" s="23" t="e">
        <f>VLOOKUP(H622,'合同综合查询数据（3月返）'!$A:$A,1,FALSE)</f>
        <v>#N/A</v>
      </c>
      <c r="J622" s="129" t="s">
        <v>897</v>
      </c>
      <c r="K622" s="129"/>
      <c r="L622" s="153"/>
      <c r="M622" s="26" t="s">
        <v>886</v>
      </c>
      <c r="N622" s="154">
        <v>42965</v>
      </c>
      <c r="O622" s="155" t="s">
        <v>92</v>
      </c>
      <c r="P622" s="174">
        <v>4000</v>
      </c>
      <c r="Q622" s="174">
        <v>3</v>
      </c>
      <c r="R622" s="120">
        <f t="shared" si="22"/>
        <v>12000</v>
      </c>
      <c r="S622" s="117">
        <v>202303</v>
      </c>
      <c r="T622" s="157" t="s">
        <v>898</v>
      </c>
      <c r="U622" s="157"/>
      <c r="V622" s="122"/>
      <c r="W622" s="122"/>
      <c r="X622" s="118">
        <v>44409</v>
      </c>
      <c r="Y622" s="118">
        <v>45138</v>
      </c>
    </row>
    <row r="623" s="79" customFormat="1" customHeight="1" spans="1:25">
      <c r="A623" s="98" t="s">
        <v>403</v>
      </c>
      <c r="B623" s="96" t="s">
        <v>62</v>
      </c>
      <c r="C623" s="98" t="s">
        <v>130</v>
      </c>
      <c r="D623" s="98" t="s">
        <v>881</v>
      </c>
      <c r="E623" s="147" t="s">
        <v>882</v>
      </c>
      <c r="F623" s="98" t="s">
        <v>883</v>
      </c>
      <c r="G623" s="151" t="s">
        <v>88</v>
      </c>
      <c r="H623" s="19" t="s">
        <v>884</v>
      </c>
      <c r="I623" s="23" t="e">
        <f>VLOOKUP(H623,'合同综合查询数据（3月返）'!$A:$A,1,FALSE)</f>
        <v>#N/A</v>
      </c>
      <c r="J623" s="129" t="s">
        <v>126</v>
      </c>
      <c r="K623" s="129"/>
      <c r="L623" s="99" t="s">
        <v>891</v>
      </c>
      <c r="M623" s="26" t="s">
        <v>886</v>
      </c>
      <c r="N623" s="154">
        <v>42965</v>
      </c>
      <c r="O623" s="155" t="s">
        <v>92</v>
      </c>
      <c r="P623" s="174">
        <v>4000</v>
      </c>
      <c r="Q623" s="174">
        <v>6</v>
      </c>
      <c r="R623" s="120">
        <f t="shared" si="22"/>
        <v>24000</v>
      </c>
      <c r="S623" s="117">
        <v>202303</v>
      </c>
      <c r="T623" s="157" t="s">
        <v>899</v>
      </c>
      <c r="U623" s="157"/>
      <c r="V623" s="122"/>
      <c r="W623" s="122"/>
      <c r="X623" s="118">
        <v>44409</v>
      </c>
      <c r="Y623" s="118">
        <v>45138</v>
      </c>
    </row>
    <row r="624" s="79" customFormat="1" customHeight="1" spans="1:25">
      <c r="A624" s="98" t="s">
        <v>403</v>
      </c>
      <c r="B624" s="96" t="s">
        <v>62</v>
      </c>
      <c r="C624" s="98" t="s">
        <v>130</v>
      </c>
      <c r="D624" s="98" t="s">
        <v>881</v>
      </c>
      <c r="E624" s="147" t="s">
        <v>882</v>
      </c>
      <c r="F624" s="98" t="s">
        <v>883</v>
      </c>
      <c r="G624" s="151" t="s">
        <v>88</v>
      </c>
      <c r="H624" s="19" t="s">
        <v>884</v>
      </c>
      <c r="I624" s="23" t="e">
        <f>VLOOKUP(H624,'合同综合查询数据（3月返）'!$A:$A,1,FALSE)</f>
        <v>#N/A</v>
      </c>
      <c r="J624" s="129" t="s">
        <v>126</v>
      </c>
      <c r="K624" s="129"/>
      <c r="L624" s="99" t="s">
        <v>891</v>
      </c>
      <c r="M624" s="26" t="s">
        <v>886</v>
      </c>
      <c r="N624" s="154">
        <v>42965</v>
      </c>
      <c r="O624" s="155" t="s">
        <v>92</v>
      </c>
      <c r="P624" s="174">
        <v>4000</v>
      </c>
      <c r="Q624" s="174">
        <v>3</v>
      </c>
      <c r="R624" s="120">
        <f t="shared" si="22"/>
        <v>12000</v>
      </c>
      <c r="S624" s="117">
        <v>202303</v>
      </c>
      <c r="T624" s="157" t="s">
        <v>900</v>
      </c>
      <c r="U624" s="157"/>
      <c r="V624" s="122"/>
      <c r="W624" s="122"/>
      <c r="X624" s="118">
        <v>44409</v>
      </c>
      <c r="Y624" s="118">
        <v>45138</v>
      </c>
    </row>
    <row r="625" s="79" customFormat="1" customHeight="1" spans="1:25">
      <c r="A625" s="98" t="s">
        <v>403</v>
      </c>
      <c r="B625" s="96" t="s">
        <v>62</v>
      </c>
      <c r="C625" s="98" t="s">
        <v>130</v>
      </c>
      <c r="D625" s="98" t="s">
        <v>881</v>
      </c>
      <c r="E625" s="147" t="s">
        <v>882</v>
      </c>
      <c r="F625" s="98" t="s">
        <v>883</v>
      </c>
      <c r="G625" s="151" t="s">
        <v>88</v>
      </c>
      <c r="H625" s="19" t="s">
        <v>884</v>
      </c>
      <c r="I625" s="23" t="e">
        <f>VLOOKUP(H625,'合同综合查询数据（3月返）'!$A:$A,1,FALSE)</f>
        <v>#N/A</v>
      </c>
      <c r="J625" s="129" t="s">
        <v>90</v>
      </c>
      <c r="K625" s="129"/>
      <c r="L625" s="153"/>
      <c r="M625" s="26" t="s">
        <v>886</v>
      </c>
      <c r="N625" s="154">
        <v>44348</v>
      </c>
      <c r="O625" s="155" t="s">
        <v>511</v>
      </c>
      <c r="P625" s="174">
        <v>10000</v>
      </c>
      <c r="Q625" s="174">
        <v>1</v>
      </c>
      <c r="R625" s="120">
        <f t="shared" si="22"/>
        <v>10000</v>
      </c>
      <c r="S625" s="117">
        <v>202303</v>
      </c>
      <c r="T625" s="157" t="s">
        <v>901</v>
      </c>
      <c r="U625" s="157"/>
      <c r="V625" s="122"/>
      <c r="W625" s="122"/>
      <c r="X625" s="118">
        <v>44409</v>
      </c>
      <c r="Y625" s="118">
        <v>45138</v>
      </c>
    </row>
    <row r="626" s="79" customFormat="1" customHeight="1" spans="1:25">
      <c r="A626" s="98" t="s">
        <v>403</v>
      </c>
      <c r="B626" s="96" t="s">
        <v>62</v>
      </c>
      <c r="C626" s="98" t="s">
        <v>130</v>
      </c>
      <c r="D626" s="98" t="s">
        <v>881</v>
      </c>
      <c r="E626" s="147" t="s">
        <v>882</v>
      </c>
      <c r="F626" s="98" t="s">
        <v>883</v>
      </c>
      <c r="G626" s="151" t="s">
        <v>67</v>
      </c>
      <c r="H626" s="19" t="s">
        <v>884</v>
      </c>
      <c r="I626" s="23" t="e">
        <f>VLOOKUP(H626,'合同综合查询数据（3月返）'!$A:$A,1,FALSE)</f>
        <v>#N/A</v>
      </c>
      <c r="J626" s="129" t="s">
        <v>69</v>
      </c>
      <c r="K626" s="129" t="s">
        <v>902</v>
      </c>
      <c r="L626" s="153"/>
      <c r="M626" s="26"/>
      <c r="N626" s="154">
        <v>42963</v>
      </c>
      <c r="O626" s="155" t="s">
        <v>903</v>
      </c>
      <c r="P626" s="174">
        <v>1000</v>
      </c>
      <c r="Q626" s="174">
        <v>2</v>
      </c>
      <c r="R626" s="120">
        <f t="shared" si="22"/>
        <v>2000</v>
      </c>
      <c r="S626" s="117">
        <v>202303</v>
      </c>
      <c r="T626" s="157" t="s">
        <v>902</v>
      </c>
      <c r="U626" s="157"/>
      <c r="V626" s="122"/>
      <c r="W626" s="122"/>
      <c r="X626" s="118">
        <v>44409</v>
      </c>
      <c r="Y626" s="118">
        <v>45138</v>
      </c>
    </row>
    <row r="627" s="79" customFormat="1" customHeight="1" spans="1:25">
      <c r="A627" s="98" t="s">
        <v>403</v>
      </c>
      <c r="B627" s="96" t="s">
        <v>62</v>
      </c>
      <c r="C627" s="98" t="s">
        <v>130</v>
      </c>
      <c r="D627" s="98" t="s">
        <v>881</v>
      </c>
      <c r="E627" s="147" t="s">
        <v>882</v>
      </c>
      <c r="F627" s="98" t="s">
        <v>883</v>
      </c>
      <c r="G627" s="151" t="s">
        <v>67</v>
      </c>
      <c r="H627" s="19" t="s">
        <v>884</v>
      </c>
      <c r="I627" s="23" t="e">
        <f>VLOOKUP(H627,'合同综合查询数据（3月返）'!$A:$A,1,FALSE)</f>
        <v>#N/A</v>
      </c>
      <c r="J627" s="129" t="s">
        <v>69</v>
      </c>
      <c r="K627" s="129" t="s">
        <v>904</v>
      </c>
      <c r="L627" s="153"/>
      <c r="M627" s="26"/>
      <c r="N627" s="154">
        <v>43609</v>
      </c>
      <c r="O627" s="155" t="s">
        <v>903</v>
      </c>
      <c r="P627" s="174">
        <v>1000</v>
      </c>
      <c r="Q627" s="174">
        <v>1</v>
      </c>
      <c r="R627" s="120">
        <f t="shared" si="22"/>
        <v>1000</v>
      </c>
      <c r="S627" s="117">
        <v>202303</v>
      </c>
      <c r="T627" s="157" t="s">
        <v>904</v>
      </c>
      <c r="U627" s="157"/>
      <c r="V627" s="122"/>
      <c r="W627" s="122"/>
      <c r="X627" s="118">
        <v>44409</v>
      </c>
      <c r="Y627" s="118">
        <v>45138</v>
      </c>
    </row>
    <row r="628" s="79" customFormat="1" customHeight="1" spans="1:25">
      <c r="A628" s="98" t="s">
        <v>403</v>
      </c>
      <c r="B628" s="98" t="s">
        <v>62</v>
      </c>
      <c r="C628" s="98" t="s">
        <v>217</v>
      </c>
      <c r="D628" s="98" t="s">
        <v>566</v>
      </c>
      <c r="E628" s="147" t="s">
        <v>905</v>
      </c>
      <c r="F628" s="98" t="s">
        <v>906</v>
      </c>
      <c r="G628" s="151" t="s">
        <v>88</v>
      </c>
      <c r="H628" s="19" t="s">
        <v>907</v>
      </c>
      <c r="I628" s="23" t="e">
        <f>VLOOKUP(H628,'合同综合查询数据（3月返）'!$A:$A,1,FALSE)</f>
        <v>#N/A</v>
      </c>
      <c r="J628" s="24" t="s">
        <v>90</v>
      </c>
      <c r="K628" s="129" t="s">
        <v>908</v>
      </c>
      <c r="L628" s="153"/>
      <c r="M628" s="26" t="s">
        <v>909</v>
      </c>
      <c r="N628" s="154">
        <v>44116</v>
      </c>
      <c r="O628" s="155" t="s">
        <v>457</v>
      </c>
      <c r="P628" s="156">
        <v>5900</v>
      </c>
      <c r="Q628" s="156">
        <v>5</v>
      </c>
      <c r="R628" s="120">
        <f t="shared" si="22"/>
        <v>29500</v>
      </c>
      <c r="S628" s="117">
        <v>202303</v>
      </c>
      <c r="T628" s="157" t="s">
        <v>910</v>
      </c>
      <c r="U628" s="157"/>
      <c r="V628" s="133"/>
      <c r="W628" s="133"/>
      <c r="X628" s="118">
        <v>44084</v>
      </c>
      <c r="Y628" s="118">
        <v>46274</v>
      </c>
    </row>
    <row r="629" s="79" customFormat="1" customHeight="1" spans="1:25">
      <c r="A629" s="98" t="s">
        <v>403</v>
      </c>
      <c r="B629" s="98" t="s">
        <v>62</v>
      </c>
      <c r="C629" s="98" t="s">
        <v>217</v>
      </c>
      <c r="D629" s="98" t="s">
        <v>566</v>
      </c>
      <c r="E629" s="147" t="s">
        <v>905</v>
      </c>
      <c r="F629" s="98" t="s">
        <v>906</v>
      </c>
      <c r="G629" s="151" t="s">
        <v>88</v>
      </c>
      <c r="H629" s="19" t="s">
        <v>907</v>
      </c>
      <c r="I629" s="23" t="e">
        <f>VLOOKUP(H629,'合同综合查询数据（3月返）'!$A:$A,1,FALSE)</f>
        <v>#N/A</v>
      </c>
      <c r="J629" s="24" t="s">
        <v>90</v>
      </c>
      <c r="K629" s="129" t="s">
        <v>908</v>
      </c>
      <c r="L629" s="153"/>
      <c r="M629" s="26" t="s">
        <v>909</v>
      </c>
      <c r="N629" s="154">
        <v>44116</v>
      </c>
      <c r="O629" s="155" t="s">
        <v>457</v>
      </c>
      <c r="P629" s="156">
        <v>5900</v>
      </c>
      <c r="Q629" s="156">
        <v>10</v>
      </c>
      <c r="R629" s="120">
        <f t="shared" si="22"/>
        <v>59000</v>
      </c>
      <c r="S629" s="117">
        <v>202303</v>
      </c>
      <c r="T629" s="157" t="s">
        <v>911</v>
      </c>
      <c r="U629" s="157"/>
      <c r="V629" s="133"/>
      <c r="W629" s="133"/>
      <c r="X629" s="118">
        <v>44084</v>
      </c>
      <c r="Y629" s="118">
        <v>46274</v>
      </c>
    </row>
    <row r="630" s="79" customFormat="1" customHeight="1" spans="1:25">
      <c r="A630" s="98" t="s">
        <v>403</v>
      </c>
      <c r="B630" s="98" t="s">
        <v>62</v>
      </c>
      <c r="C630" s="98" t="s">
        <v>217</v>
      </c>
      <c r="D630" s="98" t="s">
        <v>566</v>
      </c>
      <c r="E630" s="147" t="s">
        <v>905</v>
      </c>
      <c r="F630" s="98" t="s">
        <v>906</v>
      </c>
      <c r="G630" s="151" t="s">
        <v>88</v>
      </c>
      <c r="H630" s="19" t="s">
        <v>907</v>
      </c>
      <c r="I630" s="23" t="e">
        <f>VLOOKUP(H630,'合同综合查询数据（3月返）'!$A:$A,1,FALSE)</f>
        <v>#N/A</v>
      </c>
      <c r="J630" s="24" t="s">
        <v>90</v>
      </c>
      <c r="K630" s="129" t="s">
        <v>908</v>
      </c>
      <c r="L630" s="153"/>
      <c r="M630" s="26" t="s">
        <v>909</v>
      </c>
      <c r="N630" s="154">
        <v>44116</v>
      </c>
      <c r="O630" s="155" t="s">
        <v>457</v>
      </c>
      <c r="P630" s="156">
        <v>5900</v>
      </c>
      <c r="Q630" s="156">
        <v>4</v>
      </c>
      <c r="R630" s="120">
        <f t="shared" si="22"/>
        <v>23600</v>
      </c>
      <c r="S630" s="117">
        <v>202303</v>
      </c>
      <c r="T630" s="157" t="s">
        <v>912</v>
      </c>
      <c r="U630" s="157"/>
      <c r="V630" s="133"/>
      <c r="W630" s="133"/>
      <c r="X630" s="118">
        <v>44084</v>
      </c>
      <c r="Y630" s="118">
        <v>46274</v>
      </c>
    </row>
    <row r="631" s="79" customFormat="1" customHeight="1" spans="1:25">
      <c r="A631" s="98" t="s">
        <v>403</v>
      </c>
      <c r="B631" s="98" t="s">
        <v>62</v>
      </c>
      <c r="C631" s="98" t="s">
        <v>217</v>
      </c>
      <c r="D631" s="98" t="s">
        <v>566</v>
      </c>
      <c r="E631" s="147" t="s">
        <v>905</v>
      </c>
      <c r="F631" s="98" t="s">
        <v>906</v>
      </c>
      <c r="G631" s="151" t="s">
        <v>88</v>
      </c>
      <c r="H631" s="19" t="s">
        <v>907</v>
      </c>
      <c r="I631" s="23" t="e">
        <f>VLOOKUP(H631,'合同综合查询数据（3月返）'!$A:$A,1,FALSE)</f>
        <v>#N/A</v>
      </c>
      <c r="J631" s="24" t="s">
        <v>90</v>
      </c>
      <c r="K631" s="129" t="s">
        <v>908</v>
      </c>
      <c r="L631" s="153"/>
      <c r="M631" s="26" t="s">
        <v>909</v>
      </c>
      <c r="N631" s="154">
        <v>44116</v>
      </c>
      <c r="O631" s="155" t="s">
        <v>470</v>
      </c>
      <c r="P631" s="156">
        <v>8900</v>
      </c>
      <c r="Q631" s="156">
        <v>16</v>
      </c>
      <c r="R631" s="120">
        <f t="shared" si="22"/>
        <v>142400</v>
      </c>
      <c r="S631" s="117">
        <v>202303</v>
      </c>
      <c r="T631" s="157" t="s">
        <v>913</v>
      </c>
      <c r="U631" s="157"/>
      <c r="V631" s="133"/>
      <c r="W631" s="133"/>
      <c r="X631" s="118">
        <v>44084</v>
      </c>
      <c r="Y631" s="118">
        <v>46274</v>
      </c>
    </row>
    <row r="632" s="79" customFormat="1" customHeight="1" spans="1:25">
      <c r="A632" s="98" t="s">
        <v>403</v>
      </c>
      <c r="B632" s="98" t="s">
        <v>62</v>
      </c>
      <c r="C632" s="98" t="s">
        <v>217</v>
      </c>
      <c r="D632" s="98" t="s">
        <v>566</v>
      </c>
      <c r="E632" s="147" t="s">
        <v>905</v>
      </c>
      <c r="F632" s="98" t="s">
        <v>906</v>
      </c>
      <c r="G632" s="151" t="s">
        <v>88</v>
      </c>
      <c r="H632" s="19" t="s">
        <v>907</v>
      </c>
      <c r="I632" s="23" t="e">
        <f>VLOOKUP(H632,'合同综合查询数据（3月返）'!$A:$A,1,FALSE)</f>
        <v>#N/A</v>
      </c>
      <c r="J632" s="24" t="s">
        <v>90</v>
      </c>
      <c r="K632" s="129" t="s">
        <v>908</v>
      </c>
      <c r="L632" s="153"/>
      <c r="M632" s="26" t="s">
        <v>909</v>
      </c>
      <c r="N632" s="154">
        <v>44116</v>
      </c>
      <c r="O632" s="155" t="s">
        <v>574</v>
      </c>
      <c r="P632" s="156">
        <f>11200+(109-40)*300</f>
        <v>31900</v>
      </c>
      <c r="Q632" s="156">
        <v>8</v>
      </c>
      <c r="R632" s="120">
        <f t="shared" si="22"/>
        <v>255200</v>
      </c>
      <c r="S632" s="117">
        <v>202303</v>
      </c>
      <c r="T632" s="157" t="s">
        <v>914</v>
      </c>
      <c r="U632" s="157"/>
      <c r="V632" s="133"/>
      <c r="W632" s="133"/>
      <c r="X632" s="118">
        <v>44084</v>
      </c>
      <c r="Y632" s="118">
        <v>46274</v>
      </c>
    </row>
    <row r="633" s="79" customFormat="1" customHeight="1" spans="1:25">
      <c r="A633" s="98" t="s">
        <v>403</v>
      </c>
      <c r="B633" s="98" t="s">
        <v>62</v>
      </c>
      <c r="C633" s="98" t="s">
        <v>217</v>
      </c>
      <c r="D633" s="98" t="s">
        <v>566</v>
      </c>
      <c r="E633" s="147" t="s">
        <v>905</v>
      </c>
      <c r="F633" s="98" t="s">
        <v>906</v>
      </c>
      <c r="G633" s="151" t="s">
        <v>88</v>
      </c>
      <c r="H633" s="19" t="s">
        <v>907</v>
      </c>
      <c r="I633" s="23" t="e">
        <f>VLOOKUP(H633,'合同综合查询数据（3月返）'!$A:$A,1,FALSE)</f>
        <v>#N/A</v>
      </c>
      <c r="J633" s="24" t="s">
        <v>90</v>
      </c>
      <c r="K633" s="129" t="s">
        <v>908</v>
      </c>
      <c r="L633" s="153"/>
      <c r="M633" s="26" t="s">
        <v>909</v>
      </c>
      <c r="N633" s="154">
        <v>44122</v>
      </c>
      <c r="O633" s="155" t="s">
        <v>457</v>
      </c>
      <c r="P633" s="156">
        <v>5900</v>
      </c>
      <c r="Q633" s="156">
        <v>1</v>
      </c>
      <c r="R633" s="120">
        <f t="shared" si="22"/>
        <v>5900</v>
      </c>
      <c r="S633" s="117">
        <v>202303</v>
      </c>
      <c r="T633" s="157" t="s">
        <v>915</v>
      </c>
      <c r="U633" s="157"/>
      <c r="V633" s="133"/>
      <c r="W633" s="133"/>
      <c r="X633" s="118">
        <v>44084</v>
      </c>
      <c r="Y633" s="118">
        <v>46274</v>
      </c>
    </row>
    <row r="634" s="79" customFormat="1" customHeight="1" spans="1:25">
      <c r="A634" s="98" t="s">
        <v>403</v>
      </c>
      <c r="B634" s="98" t="s">
        <v>62</v>
      </c>
      <c r="C634" s="98" t="s">
        <v>217</v>
      </c>
      <c r="D634" s="98" t="s">
        <v>566</v>
      </c>
      <c r="E634" s="147" t="s">
        <v>905</v>
      </c>
      <c r="F634" s="98" t="s">
        <v>906</v>
      </c>
      <c r="G634" s="151" t="s">
        <v>88</v>
      </c>
      <c r="H634" s="19" t="s">
        <v>907</v>
      </c>
      <c r="I634" s="23" t="e">
        <f>VLOOKUP(H634,'合同综合查询数据（3月返）'!$A:$A,1,FALSE)</f>
        <v>#N/A</v>
      </c>
      <c r="J634" s="24" t="s">
        <v>90</v>
      </c>
      <c r="K634" s="129" t="s">
        <v>908</v>
      </c>
      <c r="L634" s="153"/>
      <c r="M634" s="26" t="s">
        <v>909</v>
      </c>
      <c r="N634" s="154">
        <v>44122</v>
      </c>
      <c r="O634" s="155" t="s">
        <v>461</v>
      </c>
      <c r="P634" s="156">
        <v>11200</v>
      </c>
      <c r="Q634" s="156">
        <v>52</v>
      </c>
      <c r="R634" s="120">
        <f t="shared" si="22"/>
        <v>582400</v>
      </c>
      <c r="S634" s="117">
        <v>202303</v>
      </c>
      <c r="T634" s="157" t="s">
        <v>916</v>
      </c>
      <c r="U634" s="157"/>
      <c r="V634" s="133"/>
      <c r="W634" s="133"/>
      <c r="X634" s="118">
        <v>44084</v>
      </c>
      <c r="Y634" s="118">
        <v>46274</v>
      </c>
    </row>
    <row r="635" s="79" customFormat="1" customHeight="1" spans="1:25">
      <c r="A635" s="98" t="s">
        <v>403</v>
      </c>
      <c r="B635" s="98" t="s">
        <v>62</v>
      </c>
      <c r="C635" s="98" t="s">
        <v>217</v>
      </c>
      <c r="D635" s="98" t="s">
        <v>566</v>
      </c>
      <c r="E635" s="147" t="s">
        <v>905</v>
      </c>
      <c r="F635" s="98" t="s">
        <v>906</v>
      </c>
      <c r="G635" s="151" t="s">
        <v>88</v>
      </c>
      <c r="H635" s="19" t="s">
        <v>907</v>
      </c>
      <c r="I635" s="23" t="e">
        <f>VLOOKUP(H635,'合同综合查询数据（3月返）'!$A:$A,1,FALSE)</f>
        <v>#N/A</v>
      </c>
      <c r="J635" s="24" t="s">
        <v>90</v>
      </c>
      <c r="K635" s="129" t="s">
        <v>908</v>
      </c>
      <c r="L635" s="153"/>
      <c r="M635" s="26" t="s">
        <v>909</v>
      </c>
      <c r="N635" s="154">
        <v>44123</v>
      </c>
      <c r="O635" s="155" t="s">
        <v>461</v>
      </c>
      <c r="P635" s="156">
        <v>11200</v>
      </c>
      <c r="Q635" s="156">
        <v>156</v>
      </c>
      <c r="R635" s="120">
        <f t="shared" si="22"/>
        <v>1747200</v>
      </c>
      <c r="S635" s="117">
        <v>202303</v>
      </c>
      <c r="T635" s="157" t="s">
        <v>917</v>
      </c>
      <c r="U635" s="157"/>
      <c r="V635" s="133"/>
      <c r="W635" s="133"/>
      <c r="X635" s="118">
        <v>44084</v>
      </c>
      <c r="Y635" s="118">
        <v>46274</v>
      </c>
    </row>
    <row r="636" s="79" customFormat="1" customHeight="1" spans="1:25">
      <c r="A636" s="98" t="s">
        <v>403</v>
      </c>
      <c r="B636" s="98" t="s">
        <v>62</v>
      </c>
      <c r="C636" s="98" t="s">
        <v>217</v>
      </c>
      <c r="D636" s="98" t="s">
        <v>566</v>
      </c>
      <c r="E636" s="147" t="s">
        <v>905</v>
      </c>
      <c r="F636" s="98" t="s">
        <v>906</v>
      </c>
      <c r="G636" s="151" t="s">
        <v>88</v>
      </c>
      <c r="H636" s="19" t="s">
        <v>907</v>
      </c>
      <c r="I636" s="23" t="e">
        <f>VLOOKUP(H636,'合同综合查询数据（3月返）'!$A:$A,1,FALSE)</f>
        <v>#N/A</v>
      </c>
      <c r="J636" s="24" t="s">
        <v>90</v>
      </c>
      <c r="K636" s="129" t="s">
        <v>908</v>
      </c>
      <c r="L636" s="153"/>
      <c r="M636" s="26" t="s">
        <v>909</v>
      </c>
      <c r="N636" s="154">
        <v>44127</v>
      </c>
      <c r="O636" s="155" t="s">
        <v>461</v>
      </c>
      <c r="P636" s="156">
        <v>11200</v>
      </c>
      <c r="Q636" s="156">
        <v>10</v>
      </c>
      <c r="R636" s="120">
        <f t="shared" si="22"/>
        <v>112000</v>
      </c>
      <c r="S636" s="117">
        <v>202303</v>
      </c>
      <c r="T636" s="157" t="s">
        <v>918</v>
      </c>
      <c r="U636" s="157"/>
      <c r="V636" s="133"/>
      <c r="W636" s="133"/>
      <c r="X636" s="118">
        <v>44084</v>
      </c>
      <c r="Y636" s="118">
        <v>46274</v>
      </c>
    </row>
    <row r="637" s="79" customFormat="1" customHeight="1" spans="1:25">
      <c r="A637" s="98" t="s">
        <v>403</v>
      </c>
      <c r="B637" s="98" t="s">
        <v>62</v>
      </c>
      <c r="C637" s="98" t="s">
        <v>217</v>
      </c>
      <c r="D637" s="98" t="s">
        <v>566</v>
      </c>
      <c r="E637" s="147" t="s">
        <v>905</v>
      </c>
      <c r="F637" s="98" t="s">
        <v>906</v>
      </c>
      <c r="G637" s="151" t="s">
        <v>88</v>
      </c>
      <c r="H637" s="19" t="s">
        <v>907</v>
      </c>
      <c r="I637" s="23" t="e">
        <f>VLOOKUP(H637,'合同综合查询数据（3月返）'!$A:$A,1,FALSE)</f>
        <v>#N/A</v>
      </c>
      <c r="J637" s="24" t="s">
        <v>90</v>
      </c>
      <c r="K637" s="129" t="s">
        <v>908</v>
      </c>
      <c r="L637" s="153"/>
      <c r="M637" s="26" t="s">
        <v>909</v>
      </c>
      <c r="N637" s="154">
        <v>44128</v>
      </c>
      <c r="O637" s="155" t="s">
        <v>461</v>
      </c>
      <c r="P637" s="156">
        <v>11200</v>
      </c>
      <c r="Q637" s="156">
        <v>74</v>
      </c>
      <c r="R637" s="120">
        <f t="shared" si="22"/>
        <v>828800</v>
      </c>
      <c r="S637" s="117">
        <v>202303</v>
      </c>
      <c r="T637" s="157" t="s">
        <v>919</v>
      </c>
      <c r="U637" s="157"/>
      <c r="V637" s="133"/>
      <c r="W637" s="133"/>
      <c r="X637" s="118">
        <v>44084</v>
      </c>
      <c r="Y637" s="118">
        <v>46274</v>
      </c>
    </row>
    <row r="638" s="79" customFormat="1" customHeight="1" spans="1:25">
      <c r="A638" s="98" t="s">
        <v>403</v>
      </c>
      <c r="B638" s="98" t="s">
        <v>62</v>
      </c>
      <c r="C638" s="98" t="s">
        <v>217</v>
      </c>
      <c r="D638" s="98" t="s">
        <v>566</v>
      </c>
      <c r="E638" s="147" t="s">
        <v>905</v>
      </c>
      <c r="F638" s="98" t="s">
        <v>906</v>
      </c>
      <c r="G638" s="151" t="s">
        <v>88</v>
      </c>
      <c r="H638" s="19" t="s">
        <v>907</v>
      </c>
      <c r="I638" s="23" t="e">
        <f>VLOOKUP(H638,'合同综合查询数据（3月返）'!$A:$A,1,FALSE)</f>
        <v>#N/A</v>
      </c>
      <c r="J638" s="24" t="s">
        <v>90</v>
      </c>
      <c r="K638" s="129" t="s">
        <v>908</v>
      </c>
      <c r="L638" s="153"/>
      <c r="M638" s="26" t="s">
        <v>909</v>
      </c>
      <c r="N638" s="154">
        <v>44129</v>
      </c>
      <c r="O638" s="155" t="s">
        <v>461</v>
      </c>
      <c r="P638" s="156">
        <v>11200</v>
      </c>
      <c r="Q638" s="156">
        <v>69</v>
      </c>
      <c r="R638" s="120">
        <f t="shared" si="22"/>
        <v>772800</v>
      </c>
      <c r="S638" s="117">
        <v>202303</v>
      </c>
      <c r="T638" s="157" t="s">
        <v>920</v>
      </c>
      <c r="U638" s="157"/>
      <c r="V638" s="133"/>
      <c r="W638" s="133"/>
      <c r="X638" s="118">
        <v>44084</v>
      </c>
      <c r="Y638" s="118">
        <v>46274</v>
      </c>
    </row>
    <row r="639" s="79" customFormat="1" customHeight="1" spans="1:25">
      <c r="A639" s="98" t="s">
        <v>403</v>
      </c>
      <c r="B639" s="98" t="s">
        <v>62</v>
      </c>
      <c r="C639" s="98" t="s">
        <v>217</v>
      </c>
      <c r="D639" s="98" t="s">
        <v>566</v>
      </c>
      <c r="E639" s="147" t="s">
        <v>905</v>
      </c>
      <c r="F639" s="98" t="s">
        <v>906</v>
      </c>
      <c r="G639" s="151" t="s">
        <v>88</v>
      </c>
      <c r="H639" s="19" t="s">
        <v>907</v>
      </c>
      <c r="I639" s="23" t="e">
        <f>VLOOKUP(H639,'合同综合查询数据（3月返）'!$A:$A,1,FALSE)</f>
        <v>#N/A</v>
      </c>
      <c r="J639" s="24" t="s">
        <v>90</v>
      </c>
      <c r="K639" s="129" t="s">
        <v>908</v>
      </c>
      <c r="L639" s="153"/>
      <c r="M639" s="26" t="s">
        <v>909</v>
      </c>
      <c r="N639" s="154">
        <v>44130</v>
      </c>
      <c r="O639" s="155" t="s">
        <v>461</v>
      </c>
      <c r="P639" s="156">
        <v>11200</v>
      </c>
      <c r="Q639" s="156">
        <v>35</v>
      </c>
      <c r="R639" s="120">
        <f t="shared" si="22"/>
        <v>392000</v>
      </c>
      <c r="S639" s="117">
        <v>202303</v>
      </c>
      <c r="T639" s="157" t="s">
        <v>921</v>
      </c>
      <c r="U639" s="157"/>
      <c r="V639" s="133"/>
      <c r="W639" s="133"/>
      <c r="X639" s="118">
        <v>44084</v>
      </c>
      <c r="Y639" s="118">
        <v>46274</v>
      </c>
    </row>
    <row r="640" s="79" customFormat="1" customHeight="1" spans="1:25">
      <c r="A640" s="98" t="s">
        <v>403</v>
      </c>
      <c r="B640" s="98" t="s">
        <v>62</v>
      </c>
      <c r="C640" s="98" t="s">
        <v>217</v>
      </c>
      <c r="D640" s="98" t="s">
        <v>566</v>
      </c>
      <c r="E640" s="147" t="s">
        <v>905</v>
      </c>
      <c r="F640" s="98" t="s">
        <v>906</v>
      </c>
      <c r="G640" s="151" t="s">
        <v>88</v>
      </c>
      <c r="H640" s="19" t="s">
        <v>907</v>
      </c>
      <c r="I640" s="23" t="e">
        <f>VLOOKUP(H640,'合同综合查询数据（3月返）'!$A:$A,1,FALSE)</f>
        <v>#N/A</v>
      </c>
      <c r="J640" s="24" t="s">
        <v>90</v>
      </c>
      <c r="K640" s="129" t="s">
        <v>908</v>
      </c>
      <c r="L640" s="153"/>
      <c r="M640" s="26" t="s">
        <v>909</v>
      </c>
      <c r="N640" s="154">
        <v>44162</v>
      </c>
      <c r="O640" s="155" t="s">
        <v>470</v>
      </c>
      <c r="P640" s="156">
        <v>8900</v>
      </c>
      <c r="Q640" s="156">
        <v>2</v>
      </c>
      <c r="R640" s="120">
        <f t="shared" si="22"/>
        <v>17800</v>
      </c>
      <c r="S640" s="117">
        <v>202303</v>
      </c>
      <c r="T640" s="157" t="s">
        <v>922</v>
      </c>
      <c r="U640" s="157"/>
      <c r="V640" s="133"/>
      <c r="W640" s="133"/>
      <c r="X640" s="118">
        <v>44084</v>
      </c>
      <c r="Y640" s="118">
        <v>46274</v>
      </c>
    </row>
    <row r="641" s="79" customFormat="1" customHeight="1" spans="1:25">
      <c r="A641" s="98" t="s">
        <v>403</v>
      </c>
      <c r="B641" s="98" t="s">
        <v>62</v>
      </c>
      <c r="C641" s="98" t="s">
        <v>217</v>
      </c>
      <c r="D641" s="98" t="s">
        <v>566</v>
      </c>
      <c r="E641" s="147" t="s">
        <v>905</v>
      </c>
      <c r="F641" s="98" t="s">
        <v>906</v>
      </c>
      <c r="G641" s="151" t="s">
        <v>88</v>
      </c>
      <c r="H641" s="19" t="s">
        <v>907</v>
      </c>
      <c r="I641" s="23" t="e">
        <f>VLOOKUP(H641,'合同综合查询数据（3月返）'!$A:$A,1,FALSE)</f>
        <v>#N/A</v>
      </c>
      <c r="J641" s="24" t="s">
        <v>90</v>
      </c>
      <c r="K641" s="129" t="s">
        <v>908</v>
      </c>
      <c r="L641" s="153"/>
      <c r="M641" s="26" t="s">
        <v>909</v>
      </c>
      <c r="N641" s="154">
        <v>44168</v>
      </c>
      <c r="O641" s="155" t="s">
        <v>457</v>
      </c>
      <c r="P641" s="156">
        <v>5900</v>
      </c>
      <c r="Q641" s="156">
        <v>5</v>
      </c>
      <c r="R641" s="120">
        <f t="shared" si="22"/>
        <v>29500</v>
      </c>
      <c r="S641" s="117">
        <v>202303</v>
      </c>
      <c r="T641" s="157" t="s">
        <v>923</v>
      </c>
      <c r="U641" s="157"/>
      <c r="V641" s="133"/>
      <c r="W641" s="133"/>
      <c r="X641" s="118">
        <v>44084</v>
      </c>
      <c r="Y641" s="118">
        <v>46274</v>
      </c>
    </row>
    <row r="642" s="79" customFormat="1" customHeight="1" spans="1:25">
      <c r="A642" s="98" t="s">
        <v>403</v>
      </c>
      <c r="B642" s="98" t="s">
        <v>62</v>
      </c>
      <c r="C642" s="98" t="s">
        <v>217</v>
      </c>
      <c r="D642" s="98" t="s">
        <v>566</v>
      </c>
      <c r="E642" s="147" t="s">
        <v>905</v>
      </c>
      <c r="F642" s="98" t="s">
        <v>906</v>
      </c>
      <c r="G642" s="151" t="s">
        <v>88</v>
      </c>
      <c r="H642" s="19" t="s">
        <v>907</v>
      </c>
      <c r="I642" s="23" t="e">
        <f>VLOOKUP(H642,'合同综合查询数据（3月返）'!$A:$A,1,FALSE)</f>
        <v>#N/A</v>
      </c>
      <c r="J642" s="24" t="s">
        <v>90</v>
      </c>
      <c r="K642" s="129" t="s">
        <v>908</v>
      </c>
      <c r="L642" s="153"/>
      <c r="M642" s="26" t="s">
        <v>909</v>
      </c>
      <c r="N642" s="154">
        <v>44175</v>
      </c>
      <c r="O642" s="155" t="s">
        <v>457</v>
      </c>
      <c r="P642" s="156">
        <v>5900</v>
      </c>
      <c r="Q642" s="156">
        <v>19</v>
      </c>
      <c r="R642" s="120">
        <f t="shared" si="22"/>
        <v>112100</v>
      </c>
      <c r="S642" s="117">
        <v>202303</v>
      </c>
      <c r="T642" s="157" t="s">
        <v>924</v>
      </c>
      <c r="U642" s="157"/>
      <c r="V642" s="133"/>
      <c r="W642" s="133"/>
      <c r="X642" s="118">
        <v>44084</v>
      </c>
      <c r="Y642" s="118">
        <v>46274</v>
      </c>
    </row>
    <row r="643" s="79" customFormat="1" customHeight="1" spans="1:25">
      <c r="A643" s="98" t="s">
        <v>403</v>
      </c>
      <c r="B643" s="98" t="s">
        <v>62</v>
      </c>
      <c r="C643" s="98" t="s">
        <v>217</v>
      </c>
      <c r="D643" s="98" t="s">
        <v>566</v>
      </c>
      <c r="E643" s="147" t="s">
        <v>905</v>
      </c>
      <c r="F643" s="98" t="s">
        <v>906</v>
      </c>
      <c r="G643" s="151" t="s">
        <v>88</v>
      </c>
      <c r="H643" s="19" t="s">
        <v>907</v>
      </c>
      <c r="I643" s="23" t="e">
        <f>VLOOKUP(H643,'合同综合查询数据（3月返）'!$A:$A,1,FALSE)</f>
        <v>#N/A</v>
      </c>
      <c r="J643" s="24" t="s">
        <v>90</v>
      </c>
      <c r="K643" s="129" t="s">
        <v>908</v>
      </c>
      <c r="L643" s="153"/>
      <c r="M643" s="26" t="s">
        <v>909</v>
      </c>
      <c r="N643" s="154">
        <v>44294</v>
      </c>
      <c r="O643" s="155" t="s">
        <v>457</v>
      </c>
      <c r="P643" s="156">
        <v>5900</v>
      </c>
      <c r="Q643" s="156">
        <v>1</v>
      </c>
      <c r="R643" s="120">
        <f t="shared" si="22"/>
        <v>5900</v>
      </c>
      <c r="S643" s="117">
        <v>202303</v>
      </c>
      <c r="T643" s="177" t="s">
        <v>925</v>
      </c>
      <c r="U643" s="133"/>
      <c r="V643" s="133"/>
      <c r="W643" s="133"/>
      <c r="X643" s="118">
        <v>44084</v>
      </c>
      <c r="Y643" s="118">
        <v>46274</v>
      </c>
    </row>
    <row r="644" s="79" customFormat="1" customHeight="1" spans="1:25">
      <c r="A644" s="98" t="s">
        <v>403</v>
      </c>
      <c r="B644" s="98" t="s">
        <v>62</v>
      </c>
      <c r="C644" s="98" t="s">
        <v>217</v>
      </c>
      <c r="D644" s="98" t="s">
        <v>566</v>
      </c>
      <c r="E644" s="147" t="s">
        <v>905</v>
      </c>
      <c r="F644" s="98" t="s">
        <v>906</v>
      </c>
      <c r="G644" s="151" t="s">
        <v>88</v>
      </c>
      <c r="H644" s="19" t="s">
        <v>907</v>
      </c>
      <c r="I644" s="23" t="e">
        <f>VLOOKUP(H644,'合同综合查询数据（3月返）'!$A:$A,1,FALSE)</f>
        <v>#N/A</v>
      </c>
      <c r="J644" s="24" t="s">
        <v>90</v>
      </c>
      <c r="K644" s="129" t="s">
        <v>908</v>
      </c>
      <c r="L644" s="153"/>
      <c r="M644" s="26" t="s">
        <v>909</v>
      </c>
      <c r="N644" s="154">
        <v>44294</v>
      </c>
      <c r="O644" s="155" t="s">
        <v>470</v>
      </c>
      <c r="P644" s="156">
        <v>8900</v>
      </c>
      <c r="Q644" s="156">
        <v>2</v>
      </c>
      <c r="R644" s="120">
        <f t="shared" si="22"/>
        <v>17800</v>
      </c>
      <c r="S644" s="117">
        <v>202303</v>
      </c>
      <c r="T644" s="157" t="s">
        <v>926</v>
      </c>
      <c r="U644" s="157"/>
      <c r="V644" s="133"/>
      <c r="W644" s="133"/>
      <c r="X644" s="118">
        <v>44084</v>
      </c>
      <c r="Y644" s="118">
        <v>46274</v>
      </c>
    </row>
    <row r="645" s="79" customFormat="1" customHeight="1" spans="1:25">
      <c r="A645" s="98" t="s">
        <v>403</v>
      </c>
      <c r="B645" s="98" t="s">
        <v>62</v>
      </c>
      <c r="C645" s="98" t="s">
        <v>217</v>
      </c>
      <c r="D645" s="98" t="s">
        <v>566</v>
      </c>
      <c r="E645" s="147" t="s">
        <v>905</v>
      </c>
      <c r="F645" s="98" t="s">
        <v>906</v>
      </c>
      <c r="G645" s="151" t="s">
        <v>88</v>
      </c>
      <c r="H645" s="19" t="s">
        <v>907</v>
      </c>
      <c r="I645" s="23" t="e">
        <f>VLOOKUP(H645,'合同综合查询数据（3月返）'!$A:$A,1,FALSE)</f>
        <v>#N/A</v>
      </c>
      <c r="J645" s="24" t="s">
        <v>90</v>
      </c>
      <c r="K645" s="129" t="s">
        <v>908</v>
      </c>
      <c r="L645" s="153"/>
      <c r="M645" s="26" t="s">
        <v>909</v>
      </c>
      <c r="N645" s="154">
        <v>44294</v>
      </c>
      <c r="O645" s="155" t="s">
        <v>461</v>
      </c>
      <c r="P645" s="156">
        <v>11200</v>
      </c>
      <c r="Q645" s="156">
        <v>4</v>
      </c>
      <c r="R645" s="120">
        <f t="shared" si="22"/>
        <v>44800</v>
      </c>
      <c r="S645" s="117">
        <v>202303</v>
      </c>
      <c r="T645" s="157" t="s">
        <v>927</v>
      </c>
      <c r="U645" s="157"/>
      <c r="V645" s="133"/>
      <c r="W645" s="133"/>
      <c r="X645" s="118">
        <v>44084</v>
      </c>
      <c r="Y645" s="118">
        <v>46274</v>
      </c>
    </row>
    <row r="646" s="79" customFormat="1" customHeight="1" spans="1:25">
      <c r="A646" s="98" t="s">
        <v>403</v>
      </c>
      <c r="B646" s="98" t="s">
        <v>62</v>
      </c>
      <c r="C646" s="98" t="s">
        <v>217</v>
      </c>
      <c r="D646" s="98" t="s">
        <v>566</v>
      </c>
      <c r="E646" s="147" t="s">
        <v>905</v>
      </c>
      <c r="F646" s="98" t="s">
        <v>906</v>
      </c>
      <c r="G646" s="151" t="s">
        <v>88</v>
      </c>
      <c r="H646" s="19" t="s">
        <v>907</v>
      </c>
      <c r="I646" s="23" t="e">
        <f>VLOOKUP(H646,'合同综合查询数据（3月返）'!$A:$A,1,FALSE)</f>
        <v>#N/A</v>
      </c>
      <c r="J646" s="24" t="s">
        <v>90</v>
      </c>
      <c r="K646" s="129" t="s">
        <v>908</v>
      </c>
      <c r="L646" s="153"/>
      <c r="M646" s="26" t="s">
        <v>909</v>
      </c>
      <c r="N646" s="154">
        <v>44294</v>
      </c>
      <c r="O646" s="155" t="s">
        <v>574</v>
      </c>
      <c r="P646" s="156">
        <v>31900</v>
      </c>
      <c r="Q646" s="156">
        <v>10</v>
      </c>
      <c r="R646" s="120">
        <f t="shared" si="22"/>
        <v>319000</v>
      </c>
      <c r="S646" s="117">
        <v>202303</v>
      </c>
      <c r="T646" s="157" t="s">
        <v>928</v>
      </c>
      <c r="U646" s="157"/>
      <c r="V646" s="133"/>
      <c r="W646" s="133"/>
      <c r="X646" s="118">
        <v>44084</v>
      </c>
      <c r="Y646" s="118">
        <v>46274</v>
      </c>
    </row>
    <row r="647" s="79" customFormat="1" customHeight="1" spans="1:25">
      <c r="A647" s="98" t="s">
        <v>403</v>
      </c>
      <c r="B647" s="98" t="s">
        <v>62</v>
      </c>
      <c r="C647" s="98" t="s">
        <v>217</v>
      </c>
      <c r="D647" s="98" t="s">
        <v>566</v>
      </c>
      <c r="E647" s="147" t="s">
        <v>905</v>
      </c>
      <c r="F647" s="98" t="s">
        <v>906</v>
      </c>
      <c r="G647" s="151" t="s">
        <v>88</v>
      </c>
      <c r="H647" s="19" t="s">
        <v>907</v>
      </c>
      <c r="I647" s="23" t="e">
        <f>VLOOKUP(H647,'合同综合查询数据（3月返）'!$A:$A,1,FALSE)</f>
        <v>#N/A</v>
      </c>
      <c r="J647" s="24" t="s">
        <v>90</v>
      </c>
      <c r="K647" s="129" t="s">
        <v>908</v>
      </c>
      <c r="L647" s="153"/>
      <c r="M647" s="26" t="s">
        <v>909</v>
      </c>
      <c r="N647" s="154">
        <v>44298</v>
      </c>
      <c r="O647" s="155" t="s">
        <v>574</v>
      </c>
      <c r="P647" s="156">
        <v>31900</v>
      </c>
      <c r="Q647" s="156">
        <v>4</v>
      </c>
      <c r="R647" s="120">
        <f t="shared" si="22"/>
        <v>127600</v>
      </c>
      <c r="S647" s="117">
        <v>202303</v>
      </c>
      <c r="T647" s="157" t="s">
        <v>929</v>
      </c>
      <c r="U647" s="157"/>
      <c r="V647" s="133"/>
      <c r="W647" s="133"/>
      <c r="X647" s="118">
        <v>44084</v>
      </c>
      <c r="Y647" s="118">
        <v>46274</v>
      </c>
    </row>
    <row r="648" s="79" customFormat="1" customHeight="1" spans="1:25">
      <c r="A648" s="98" t="s">
        <v>403</v>
      </c>
      <c r="B648" s="98" t="s">
        <v>62</v>
      </c>
      <c r="C648" s="98" t="s">
        <v>217</v>
      </c>
      <c r="D648" s="98" t="s">
        <v>566</v>
      </c>
      <c r="E648" s="147" t="s">
        <v>905</v>
      </c>
      <c r="F648" s="98" t="s">
        <v>906</v>
      </c>
      <c r="G648" s="151" t="s">
        <v>88</v>
      </c>
      <c r="H648" s="19" t="s">
        <v>907</v>
      </c>
      <c r="I648" s="23" t="e">
        <f>VLOOKUP(H648,'合同综合查询数据（3月返）'!$A:$A,1,FALSE)</f>
        <v>#N/A</v>
      </c>
      <c r="J648" s="24" t="s">
        <v>90</v>
      </c>
      <c r="K648" s="129" t="s">
        <v>908</v>
      </c>
      <c r="L648" s="153"/>
      <c r="M648" s="26" t="s">
        <v>909</v>
      </c>
      <c r="N648" s="154">
        <v>44329</v>
      </c>
      <c r="O648" s="155" t="s">
        <v>461</v>
      </c>
      <c r="P648" s="156">
        <v>11200</v>
      </c>
      <c r="Q648" s="156">
        <v>4</v>
      </c>
      <c r="R648" s="120">
        <f t="shared" si="22"/>
        <v>44800</v>
      </c>
      <c r="S648" s="117">
        <v>202303</v>
      </c>
      <c r="T648" s="157" t="s">
        <v>930</v>
      </c>
      <c r="U648" s="157"/>
      <c r="V648" s="133"/>
      <c r="W648" s="133"/>
      <c r="X648" s="118">
        <v>44084</v>
      </c>
      <c r="Y648" s="118">
        <v>46274</v>
      </c>
    </row>
    <row r="649" s="79" customFormat="1" customHeight="1" spans="1:25">
      <c r="A649" s="98" t="s">
        <v>403</v>
      </c>
      <c r="B649" s="98" t="s">
        <v>62</v>
      </c>
      <c r="C649" s="98" t="s">
        <v>217</v>
      </c>
      <c r="D649" s="98" t="s">
        <v>566</v>
      </c>
      <c r="E649" s="147" t="s">
        <v>905</v>
      </c>
      <c r="F649" s="98" t="s">
        <v>906</v>
      </c>
      <c r="G649" s="151" t="s">
        <v>88</v>
      </c>
      <c r="H649" s="19" t="s">
        <v>907</v>
      </c>
      <c r="I649" s="23" t="e">
        <f>VLOOKUP(H649,'合同综合查询数据（3月返）'!$A:$A,1,FALSE)</f>
        <v>#N/A</v>
      </c>
      <c r="J649" s="24" t="s">
        <v>90</v>
      </c>
      <c r="K649" s="129" t="s">
        <v>908</v>
      </c>
      <c r="L649" s="153"/>
      <c r="M649" s="26" t="s">
        <v>909</v>
      </c>
      <c r="N649" s="154">
        <v>44389</v>
      </c>
      <c r="O649" s="155" t="s">
        <v>457</v>
      </c>
      <c r="P649" s="156">
        <v>5900</v>
      </c>
      <c r="Q649" s="156">
        <v>12</v>
      </c>
      <c r="R649" s="120">
        <f t="shared" si="22"/>
        <v>70800</v>
      </c>
      <c r="S649" s="117">
        <v>202303</v>
      </c>
      <c r="T649" s="157" t="s">
        <v>931</v>
      </c>
      <c r="U649" s="157"/>
      <c r="V649" s="133"/>
      <c r="W649" s="133"/>
      <c r="X649" s="118">
        <v>44084</v>
      </c>
      <c r="Y649" s="118">
        <v>46274</v>
      </c>
    </row>
    <row r="650" s="79" customFormat="1" customHeight="1" spans="1:25">
      <c r="A650" s="98" t="s">
        <v>403</v>
      </c>
      <c r="B650" s="98" t="s">
        <v>62</v>
      </c>
      <c r="C650" s="98" t="s">
        <v>217</v>
      </c>
      <c r="D650" s="98" t="s">
        <v>566</v>
      </c>
      <c r="E650" s="147" t="s">
        <v>905</v>
      </c>
      <c r="F650" s="98" t="s">
        <v>906</v>
      </c>
      <c r="G650" s="151" t="s">
        <v>88</v>
      </c>
      <c r="H650" s="19" t="s">
        <v>907</v>
      </c>
      <c r="I650" s="23" t="e">
        <f>VLOOKUP(H650,'合同综合查询数据（3月返）'!$A:$A,1,FALSE)</f>
        <v>#N/A</v>
      </c>
      <c r="J650" s="24" t="s">
        <v>90</v>
      </c>
      <c r="K650" s="129" t="s">
        <v>908</v>
      </c>
      <c r="L650" s="153"/>
      <c r="M650" s="26" t="s">
        <v>909</v>
      </c>
      <c r="N650" s="154">
        <v>44396</v>
      </c>
      <c r="O650" s="155" t="s">
        <v>457</v>
      </c>
      <c r="P650" s="156">
        <v>5900</v>
      </c>
      <c r="Q650" s="156">
        <v>2</v>
      </c>
      <c r="R650" s="120">
        <f t="shared" si="22"/>
        <v>11800</v>
      </c>
      <c r="S650" s="117">
        <v>202303</v>
      </c>
      <c r="T650" s="157" t="s">
        <v>932</v>
      </c>
      <c r="U650" s="157"/>
      <c r="V650" s="133"/>
      <c r="W650" s="133"/>
      <c r="X650" s="118">
        <v>44084</v>
      </c>
      <c r="Y650" s="118">
        <v>46274</v>
      </c>
    </row>
    <row r="651" s="79" customFormat="1" customHeight="1" spans="1:25">
      <c r="A651" s="98" t="s">
        <v>403</v>
      </c>
      <c r="B651" s="98" t="s">
        <v>62</v>
      </c>
      <c r="C651" s="98" t="s">
        <v>217</v>
      </c>
      <c r="D651" s="98" t="s">
        <v>566</v>
      </c>
      <c r="E651" s="147" t="s">
        <v>905</v>
      </c>
      <c r="F651" s="98" t="s">
        <v>906</v>
      </c>
      <c r="G651" s="151" t="s">
        <v>88</v>
      </c>
      <c r="H651" s="19" t="s">
        <v>907</v>
      </c>
      <c r="I651" s="23" t="e">
        <f>VLOOKUP(H651,'合同综合查询数据（3月返）'!$A:$A,1,FALSE)</f>
        <v>#N/A</v>
      </c>
      <c r="J651" s="24" t="s">
        <v>90</v>
      </c>
      <c r="K651" s="129" t="s">
        <v>908</v>
      </c>
      <c r="L651" s="153"/>
      <c r="M651" s="26" t="s">
        <v>909</v>
      </c>
      <c r="N651" s="154">
        <v>44467</v>
      </c>
      <c r="O651" s="155" t="s">
        <v>574</v>
      </c>
      <c r="P651" s="156">
        <v>31900</v>
      </c>
      <c r="Q651" s="156">
        <v>2</v>
      </c>
      <c r="R651" s="120">
        <f t="shared" si="22"/>
        <v>63800</v>
      </c>
      <c r="S651" s="117">
        <v>202303</v>
      </c>
      <c r="T651" s="177" t="s">
        <v>933</v>
      </c>
      <c r="U651" s="133"/>
      <c r="V651" s="133"/>
      <c r="W651" s="133"/>
      <c r="X651" s="118">
        <v>44084</v>
      </c>
      <c r="Y651" s="118">
        <v>46274</v>
      </c>
    </row>
    <row r="652" s="79" customFormat="1" customHeight="1" spans="1:25">
      <c r="A652" s="98" t="s">
        <v>403</v>
      </c>
      <c r="B652" s="98" t="s">
        <v>62</v>
      </c>
      <c r="C652" s="98" t="s">
        <v>217</v>
      </c>
      <c r="D652" s="98" t="s">
        <v>566</v>
      </c>
      <c r="E652" s="147" t="s">
        <v>905</v>
      </c>
      <c r="F652" s="98" t="s">
        <v>906</v>
      </c>
      <c r="G652" s="151" t="s">
        <v>88</v>
      </c>
      <c r="H652" s="19" t="s">
        <v>907</v>
      </c>
      <c r="I652" s="23" t="e">
        <f>VLOOKUP(H652,'合同综合查询数据（3月返）'!$A:$A,1,FALSE)</f>
        <v>#N/A</v>
      </c>
      <c r="J652" s="24" t="s">
        <v>90</v>
      </c>
      <c r="K652" s="129" t="s">
        <v>908</v>
      </c>
      <c r="L652" s="153"/>
      <c r="M652" s="26" t="s">
        <v>909</v>
      </c>
      <c r="N652" s="154">
        <v>44573</v>
      </c>
      <c r="O652" s="155" t="s">
        <v>457</v>
      </c>
      <c r="P652" s="156">
        <v>5900</v>
      </c>
      <c r="Q652" s="156">
        <v>1</v>
      </c>
      <c r="R652" s="120">
        <f t="shared" si="22"/>
        <v>5900</v>
      </c>
      <c r="S652" s="117">
        <v>202303</v>
      </c>
      <c r="T652" s="177" t="s">
        <v>934</v>
      </c>
      <c r="U652" s="133"/>
      <c r="V652" s="133"/>
      <c r="W652" s="133"/>
      <c r="X652" s="118">
        <v>44084</v>
      </c>
      <c r="Y652" s="118">
        <v>46274</v>
      </c>
    </row>
    <row r="653" s="79" customFormat="1" customHeight="1" spans="1:25">
      <c r="A653" s="98" t="s">
        <v>403</v>
      </c>
      <c r="B653" s="98" t="s">
        <v>62</v>
      </c>
      <c r="C653" s="98" t="s">
        <v>217</v>
      </c>
      <c r="D653" s="98" t="s">
        <v>566</v>
      </c>
      <c r="E653" s="147" t="s">
        <v>905</v>
      </c>
      <c r="F653" s="98" t="s">
        <v>906</v>
      </c>
      <c r="G653" s="151" t="s">
        <v>88</v>
      </c>
      <c r="H653" s="19" t="s">
        <v>907</v>
      </c>
      <c r="I653" s="23" t="e">
        <f>VLOOKUP(H653,'合同综合查询数据（3月返）'!$A:$A,1,FALSE)</f>
        <v>#N/A</v>
      </c>
      <c r="J653" s="24" t="s">
        <v>90</v>
      </c>
      <c r="K653" s="129" t="s">
        <v>908</v>
      </c>
      <c r="L653" s="153"/>
      <c r="M653" s="26" t="s">
        <v>909</v>
      </c>
      <c r="N653" s="154">
        <v>44729</v>
      </c>
      <c r="O653" s="155" t="s">
        <v>457</v>
      </c>
      <c r="P653" s="156">
        <v>5900</v>
      </c>
      <c r="Q653" s="156">
        <v>2</v>
      </c>
      <c r="R653" s="120">
        <f t="shared" si="22"/>
        <v>11800</v>
      </c>
      <c r="S653" s="117">
        <v>202303</v>
      </c>
      <c r="T653" s="177" t="s">
        <v>935</v>
      </c>
      <c r="U653" s="133"/>
      <c r="V653" s="133"/>
      <c r="W653" s="133"/>
      <c r="X653" s="118">
        <v>44084</v>
      </c>
      <c r="Y653" s="118">
        <v>46274</v>
      </c>
    </row>
    <row r="654" s="79" customFormat="1" customHeight="1" spans="1:25">
      <c r="A654" s="98" t="s">
        <v>403</v>
      </c>
      <c r="B654" s="98" t="s">
        <v>62</v>
      </c>
      <c r="C654" s="98" t="s">
        <v>217</v>
      </c>
      <c r="D654" s="98" t="s">
        <v>566</v>
      </c>
      <c r="E654" s="147" t="s">
        <v>905</v>
      </c>
      <c r="F654" s="98" t="s">
        <v>906</v>
      </c>
      <c r="G654" s="151" t="s">
        <v>88</v>
      </c>
      <c r="H654" s="19" t="s">
        <v>907</v>
      </c>
      <c r="I654" s="23" t="e">
        <f>VLOOKUP(H654,'合同综合查询数据（3月返）'!$A:$A,1,FALSE)</f>
        <v>#N/A</v>
      </c>
      <c r="J654" s="24" t="s">
        <v>90</v>
      </c>
      <c r="K654" s="129" t="s">
        <v>908</v>
      </c>
      <c r="L654" s="40"/>
      <c r="M654" s="26" t="s">
        <v>909</v>
      </c>
      <c r="N654" s="154">
        <v>44778</v>
      </c>
      <c r="O654" s="155" t="s">
        <v>457</v>
      </c>
      <c r="P654" s="156">
        <v>5900</v>
      </c>
      <c r="Q654" s="156">
        <v>1</v>
      </c>
      <c r="R654" s="120">
        <f t="shared" si="22"/>
        <v>5900</v>
      </c>
      <c r="S654" s="117">
        <v>202303</v>
      </c>
      <c r="T654" s="177" t="s">
        <v>936</v>
      </c>
      <c r="U654" s="133"/>
      <c r="V654" s="133"/>
      <c r="W654" s="133"/>
      <c r="X654" s="118">
        <v>44084</v>
      </c>
      <c r="Y654" s="118">
        <v>46274</v>
      </c>
    </row>
    <row r="655" s="79" customFormat="1" customHeight="1" spans="1:25">
      <c r="A655" s="98" t="s">
        <v>403</v>
      </c>
      <c r="B655" s="98" t="s">
        <v>62</v>
      </c>
      <c r="C655" s="98" t="s">
        <v>217</v>
      </c>
      <c r="D655" s="98" t="s">
        <v>566</v>
      </c>
      <c r="E655" s="147" t="s">
        <v>905</v>
      </c>
      <c r="F655" s="98" t="s">
        <v>906</v>
      </c>
      <c r="G655" s="151" t="s">
        <v>88</v>
      </c>
      <c r="H655" s="19" t="s">
        <v>907</v>
      </c>
      <c r="I655" s="23" t="e">
        <f>VLOOKUP(H655,'合同综合查询数据（3月返）'!$A:$A,1,FALSE)</f>
        <v>#N/A</v>
      </c>
      <c r="J655" s="24" t="s">
        <v>90</v>
      </c>
      <c r="K655" s="129" t="s">
        <v>908</v>
      </c>
      <c r="L655" s="40"/>
      <c r="M655" s="26" t="s">
        <v>909</v>
      </c>
      <c r="N655" s="154">
        <v>44823</v>
      </c>
      <c r="O655" s="155" t="s">
        <v>457</v>
      </c>
      <c r="P655" s="156">
        <v>5900</v>
      </c>
      <c r="Q655" s="156">
        <v>2</v>
      </c>
      <c r="R655" s="120">
        <f t="shared" si="22"/>
        <v>11800</v>
      </c>
      <c r="S655" s="117">
        <v>202303</v>
      </c>
      <c r="T655" s="177" t="s">
        <v>937</v>
      </c>
      <c r="U655" s="133"/>
      <c r="V655" s="133"/>
      <c r="W655" s="133"/>
      <c r="X655" s="118">
        <v>44084</v>
      </c>
      <c r="Y655" s="118">
        <v>46274</v>
      </c>
    </row>
    <row r="656" s="81" customFormat="1" customHeight="1" spans="1:25">
      <c r="A656" s="61" t="s">
        <v>403</v>
      </c>
      <c r="B656" s="61" t="s">
        <v>62</v>
      </c>
      <c r="C656" s="61" t="s">
        <v>217</v>
      </c>
      <c r="D656" s="61" t="s">
        <v>566</v>
      </c>
      <c r="E656" s="160" t="s">
        <v>905</v>
      </c>
      <c r="F656" s="61" t="s">
        <v>906</v>
      </c>
      <c r="G656" s="161" t="s">
        <v>88</v>
      </c>
      <c r="H656" s="45" t="s">
        <v>938</v>
      </c>
      <c r="I656" s="47" t="e">
        <f>VLOOKUP(H656,'合同综合查询数据（3月返）'!$A:$A,1,FALSE)</f>
        <v>#N/A</v>
      </c>
      <c r="J656" s="48" t="s">
        <v>90</v>
      </c>
      <c r="K656" s="135" t="s">
        <v>908</v>
      </c>
      <c r="L656" s="164"/>
      <c r="M656" s="50" t="s">
        <v>909</v>
      </c>
      <c r="N656" s="165">
        <v>44392</v>
      </c>
      <c r="O656" s="138" t="s">
        <v>939</v>
      </c>
      <c r="P656" s="140">
        <v>11200</v>
      </c>
      <c r="Q656" s="140">
        <v>2</v>
      </c>
      <c r="R656" s="68">
        <f t="shared" si="22"/>
        <v>22400</v>
      </c>
      <c r="S656" s="70">
        <v>202303</v>
      </c>
      <c r="T656" s="170" t="s">
        <v>940</v>
      </c>
      <c r="U656" s="170"/>
      <c r="V656" s="143"/>
      <c r="W656" s="143"/>
      <c r="X656" s="73"/>
      <c r="Y656" s="73"/>
    </row>
    <row r="657" s="79" customFormat="1" customHeight="1" spans="1:25">
      <c r="A657" s="98" t="s">
        <v>403</v>
      </c>
      <c r="B657" s="98" t="s">
        <v>62</v>
      </c>
      <c r="C657" s="98" t="s">
        <v>217</v>
      </c>
      <c r="D657" s="98" t="s">
        <v>566</v>
      </c>
      <c r="E657" s="147" t="s">
        <v>905</v>
      </c>
      <c r="F657" s="98" t="s">
        <v>906</v>
      </c>
      <c r="G657" s="151" t="s">
        <v>88</v>
      </c>
      <c r="H657" s="19" t="s">
        <v>907</v>
      </c>
      <c r="I657" s="23" t="e">
        <f>VLOOKUP(H657,'合同综合查询数据（3月返）'!$A:$A,1,FALSE)</f>
        <v>#N/A</v>
      </c>
      <c r="J657" s="24" t="s">
        <v>90</v>
      </c>
      <c r="K657" s="129" t="s">
        <v>908</v>
      </c>
      <c r="L657" s="40"/>
      <c r="M657" s="26" t="s">
        <v>909</v>
      </c>
      <c r="N657" s="154">
        <v>44866</v>
      </c>
      <c r="O657" s="155" t="s">
        <v>545</v>
      </c>
      <c r="P657" s="156">
        <v>0</v>
      </c>
      <c r="Q657" s="156">
        <v>26</v>
      </c>
      <c r="R657" s="120">
        <f t="shared" si="22"/>
        <v>0</v>
      </c>
      <c r="S657" s="117">
        <v>202303</v>
      </c>
      <c r="T657" s="177" t="s">
        <v>941</v>
      </c>
      <c r="U657" s="133"/>
      <c r="V657" s="133"/>
      <c r="W657" s="133"/>
      <c r="X657" s="118">
        <v>44084</v>
      </c>
      <c r="Y657" s="118">
        <v>46274</v>
      </c>
    </row>
    <row r="658" s="79" customFormat="1" customHeight="1" spans="1:25">
      <c r="A658" s="98" t="s">
        <v>403</v>
      </c>
      <c r="B658" s="98" t="s">
        <v>62</v>
      </c>
      <c r="C658" s="98" t="s">
        <v>217</v>
      </c>
      <c r="D658" s="98" t="s">
        <v>566</v>
      </c>
      <c r="E658" s="147" t="s">
        <v>905</v>
      </c>
      <c r="F658" s="98" t="s">
        <v>942</v>
      </c>
      <c r="G658" s="151" t="s">
        <v>88</v>
      </c>
      <c r="H658" s="19" t="s">
        <v>943</v>
      </c>
      <c r="I658" s="23" t="e">
        <f>VLOOKUP(H658,'合同综合查询数据（3月返）'!$A:$A,1,FALSE)</f>
        <v>#N/A</v>
      </c>
      <c r="J658" s="24" t="s">
        <v>90</v>
      </c>
      <c r="K658" s="129" t="s">
        <v>944</v>
      </c>
      <c r="L658" s="153"/>
      <c r="M658" s="26" t="s">
        <v>945</v>
      </c>
      <c r="N658" s="154">
        <v>44241</v>
      </c>
      <c r="O658" s="155" t="s">
        <v>457</v>
      </c>
      <c r="P658" s="156">
        <v>5900</v>
      </c>
      <c r="Q658" s="156">
        <v>24</v>
      </c>
      <c r="R658" s="120">
        <f t="shared" si="22"/>
        <v>141600</v>
      </c>
      <c r="S658" s="117">
        <v>202303</v>
      </c>
      <c r="T658" s="157" t="s">
        <v>946</v>
      </c>
      <c r="U658" s="157"/>
      <c r="V658" s="133"/>
      <c r="W658" s="133"/>
      <c r="X658" s="118">
        <v>44211</v>
      </c>
      <c r="Y658" s="118">
        <v>46401</v>
      </c>
    </row>
    <row r="659" s="79" customFormat="1" customHeight="1" spans="1:25">
      <c r="A659" s="98" t="s">
        <v>403</v>
      </c>
      <c r="B659" s="98" t="s">
        <v>62</v>
      </c>
      <c r="C659" s="98" t="s">
        <v>217</v>
      </c>
      <c r="D659" s="98" t="s">
        <v>566</v>
      </c>
      <c r="E659" s="147" t="s">
        <v>905</v>
      </c>
      <c r="F659" s="98" t="s">
        <v>942</v>
      </c>
      <c r="G659" s="151" t="s">
        <v>88</v>
      </c>
      <c r="H659" s="19" t="s">
        <v>943</v>
      </c>
      <c r="I659" s="23" t="e">
        <f>VLOOKUP(H659,'合同综合查询数据（3月返）'!$A:$A,1,FALSE)</f>
        <v>#N/A</v>
      </c>
      <c r="J659" s="24" t="s">
        <v>90</v>
      </c>
      <c r="K659" s="129" t="s">
        <v>944</v>
      </c>
      <c r="L659" s="153"/>
      <c r="M659" s="26" t="s">
        <v>945</v>
      </c>
      <c r="N659" s="154">
        <v>44241</v>
      </c>
      <c r="O659" s="155" t="s">
        <v>461</v>
      </c>
      <c r="P659" s="156">
        <v>11700</v>
      </c>
      <c r="Q659" s="156">
        <v>27</v>
      </c>
      <c r="R659" s="120">
        <f t="shared" si="22"/>
        <v>315900</v>
      </c>
      <c r="S659" s="117">
        <v>202303</v>
      </c>
      <c r="T659" s="157" t="s">
        <v>947</v>
      </c>
      <c r="U659" s="157"/>
      <c r="V659" s="133"/>
      <c r="W659" s="133"/>
      <c r="X659" s="118">
        <v>44211</v>
      </c>
      <c r="Y659" s="118">
        <v>46401</v>
      </c>
    </row>
    <row r="660" s="79" customFormat="1" customHeight="1" spans="1:25">
      <c r="A660" s="98" t="s">
        <v>403</v>
      </c>
      <c r="B660" s="98" t="s">
        <v>62</v>
      </c>
      <c r="C660" s="98" t="s">
        <v>217</v>
      </c>
      <c r="D660" s="98" t="s">
        <v>566</v>
      </c>
      <c r="E660" s="147" t="s">
        <v>905</v>
      </c>
      <c r="F660" s="98" t="s">
        <v>942</v>
      </c>
      <c r="G660" s="151" t="s">
        <v>88</v>
      </c>
      <c r="H660" s="19" t="s">
        <v>943</v>
      </c>
      <c r="I660" s="23" t="e">
        <f>VLOOKUP(H660,'合同综合查询数据（3月返）'!$A:$A,1,FALSE)</f>
        <v>#N/A</v>
      </c>
      <c r="J660" s="24" t="s">
        <v>90</v>
      </c>
      <c r="K660" s="129" t="s">
        <v>944</v>
      </c>
      <c r="L660" s="153"/>
      <c r="M660" s="26" t="s">
        <v>945</v>
      </c>
      <c r="N660" s="154">
        <v>44241</v>
      </c>
      <c r="O660" s="155" t="s">
        <v>511</v>
      </c>
      <c r="P660" s="156">
        <v>11970</v>
      </c>
      <c r="Q660" s="156">
        <v>4</v>
      </c>
      <c r="R660" s="120">
        <f t="shared" ref="R660:R723" si="23">ROUND(P660*Q660,2)</f>
        <v>47880</v>
      </c>
      <c r="S660" s="117">
        <v>202303</v>
      </c>
      <c r="T660" s="157" t="s">
        <v>948</v>
      </c>
      <c r="U660" s="157"/>
      <c r="V660" s="133"/>
      <c r="W660" s="133"/>
      <c r="X660" s="118">
        <v>44211</v>
      </c>
      <c r="Y660" s="118">
        <v>46401</v>
      </c>
    </row>
    <row r="661" s="79" customFormat="1" customHeight="1" spans="1:25">
      <c r="A661" s="98" t="s">
        <v>403</v>
      </c>
      <c r="B661" s="98" t="s">
        <v>62</v>
      </c>
      <c r="C661" s="98" t="s">
        <v>217</v>
      </c>
      <c r="D661" s="98" t="s">
        <v>566</v>
      </c>
      <c r="E661" s="147" t="s">
        <v>905</v>
      </c>
      <c r="F661" s="98" t="s">
        <v>942</v>
      </c>
      <c r="G661" s="151" t="s">
        <v>88</v>
      </c>
      <c r="H661" s="19" t="s">
        <v>943</v>
      </c>
      <c r="I661" s="23" t="e">
        <f>VLOOKUP(H661,'合同综合查询数据（3月返）'!$A:$A,1,FALSE)</f>
        <v>#N/A</v>
      </c>
      <c r="J661" s="24" t="s">
        <v>90</v>
      </c>
      <c r="K661" s="129" t="s">
        <v>944</v>
      </c>
      <c r="L661" s="153"/>
      <c r="M661" s="26" t="s">
        <v>945</v>
      </c>
      <c r="N661" s="154">
        <v>44241</v>
      </c>
      <c r="O661" s="155" t="s">
        <v>574</v>
      </c>
      <c r="P661" s="156">
        <v>32400</v>
      </c>
      <c r="Q661" s="156">
        <v>10</v>
      </c>
      <c r="R661" s="120">
        <f t="shared" si="23"/>
        <v>324000</v>
      </c>
      <c r="S661" s="117">
        <v>202303</v>
      </c>
      <c r="T661" s="157" t="s">
        <v>949</v>
      </c>
      <c r="U661" s="157"/>
      <c r="V661" s="133"/>
      <c r="W661" s="133"/>
      <c r="X661" s="118">
        <v>44211</v>
      </c>
      <c r="Y661" s="118">
        <v>46401</v>
      </c>
    </row>
    <row r="662" s="79" customFormat="1" customHeight="1" spans="1:25">
      <c r="A662" s="98" t="s">
        <v>403</v>
      </c>
      <c r="B662" s="98" t="s">
        <v>62</v>
      </c>
      <c r="C662" s="98" t="s">
        <v>217</v>
      </c>
      <c r="D662" s="98" t="s">
        <v>566</v>
      </c>
      <c r="E662" s="147" t="s">
        <v>905</v>
      </c>
      <c r="F662" s="98" t="s">
        <v>942</v>
      </c>
      <c r="G662" s="151" t="s">
        <v>88</v>
      </c>
      <c r="H662" s="19" t="s">
        <v>943</v>
      </c>
      <c r="I662" s="23" t="e">
        <f>VLOOKUP(H662,'合同综合查询数据（3月返）'!$A:$A,1,FALSE)</f>
        <v>#N/A</v>
      </c>
      <c r="J662" s="24" t="s">
        <v>90</v>
      </c>
      <c r="K662" s="129" t="s">
        <v>944</v>
      </c>
      <c r="L662" s="153"/>
      <c r="M662" s="26" t="s">
        <v>945</v>
      </c>
      <c r="N662" s="154">
        <v>44254</v>
      </c>
      <c r="O662" s="155" t="s">
        <v>461</v>
      </c>
      <c r="P662" s="156">
        <v>11700</v>
      </c>
      <c r="Q662" s="156">
        <v>7</v>
      </c>
      <c r="R662" s="120">
        <f t="shared" si="23"/>
        <v>81900</v>
      </c>
      <c r="S662" s="117">
        <v>202303</v>
      </c>
      <c r="T662" s="177" t="s">
        <v>950</v>
      </c>
      <c r="U662" s="133"/>
      <c r="V662" s="133"/>
      <c r="W662" s="133"/>
      <c r="X662" s="118">
        <v>44211</v>
      </c>
      <c r="Y662" s="118">
        <v>46401</v>
      </c>
    </row>
    <row r="663" s="79" customFormat="1" customHeight="1" spans="1:25">
      <c r="A663" s="98" t="s">
        <v>403</v>
      </c>
      <c r="B663" s="98" t="s">
        <v>62</v>
      </c>
      <c r="C663" s="98" t="s">
        <v>217</v>
      </c>
      <c r="D663" s="98" t="s">
        <v>566</v>
      </c>
      <c r="E663" s="147" t="s">
        <v>905</v>
      </c>
      <c r="F663" s="98" t="s">
        <v>942</v>
      </c>
      <c r="G663" s="151" t="s">
        <v>88</v>
      </c>
      <c r="H663" s="19" t="s">
        <v>943</v>
      </c>
      <c r="I663" s="23" t="e">
        <f>VLOOKUP(H663,'合同综合查询数据（3月返）'!$A:$A,1,FALSE)</f>
        <v>#N/A</v>
      </c>
      <c r="J663" s="24" t="s">
        <v>90</v>
      </c>
      <c r="K663" s="129" t="s">
        <v>944</v>
      </c>
      <c r="L663" s="153"/>
      <c r="M663" s="26" t="s">
        <v>945</v>
      </c>
      <c r="N663" s="154">
        <v>44270</v>
      </c>
      <c r="O663" s="155" t="s">
        <v>461</v>
      </c>
      <c r="P663" s="156">
        <v>11700</v>
      </c>
      <c r="Q663" s="156">
        <v>3</v>
      </c>
      <c r="R663" s="120">
        <f t="shared" si="23"/>
        <v>35100</v>
      </c>
      <c r="S663" s="117">
        <v>202303</v>
      </c>
      <c r="T663" s="157" t="s">
        <v>951</v>
      </c>
      <c r="U663" s="157"/>
      <c r="V663" s="133"/>
      <c r="W663" s="133"/>
      <c r="X663" s="118">
        <v>44211</v>
      </c>
      <c r="Y663" s="118">
        <v>46401</v>
      </c>
    </row>
    <row r="664" s="79" customFormat="1" customHeight="1" spans="1:25">
      <c r="A664" s="98" t="s">
        <v>403</v>
      </c>
      <c r="B664" s="98" t="s">
        <v>62</v>
      </c>
      <c r="C664" s="98" t="s">
        <v>217</v>
      </c>
      <c r="D664" s="98" t="s">
        <v>566</v>
      </c>
      <c r="E664" s="147" t="s">
        <v>905</v>
      </c>
      <c r="F664" s="98" t="s">
        <v>942</v>
      </c>
      <c r="G664" s="151" t="s">
        <v>88</v>
      </c>
      <c r="H664" s="19" t="s">
        <v>943</v>
      </c>
      <c r="I664" s="23" t="e">
        <f>VLOOKUP(H664,'合同综合查询数据（3月返）'!$A:$A,1,FALSE)</f>
        <v>#N/A</v>
      </c>
      <c r="J664" s="24" t="s">
        <v>90</v>
      </c>
      <c r="K664" s="129" t="s">
        <v>944</v>
      </c>
      <c r="L664" s="153"/>
      <c r="M664" s="26" t="s">
        <v>945</v>
      </c>
      <c r="N664" s="154">
        <v>44272</v>
      </c>
      <c r="O664" s="155" t="s">
        <v>457</v>
      </c>
      <c r="P664" s="156">
        <v>5900</v>
      </c>
      <c r="Q664" s="156">
        <v>6</v>
      </c>
      <c r="R664" s="120">
        <f t="shared" si="23"/>
        <v>35400</v>
      </c>
      <c r="S664" s="117">
        <v>202303</v>
      </c>
      <c r="T664" s="157" t="s">
        <v>952</v>
      </c>
      <c r="U664" s="157"/>
      <c r="V664" s="133"/>
      <c r="W664" s="133"/>
      <c r="X664" s="118">
        <v>44211</v>
      </c>
      <c r="Y664" s="118">
        <v>46401</v>
      </c>
    </row>
    <row r="665" s="79" customFormat="1" customHeight="1" spans="1:25">
      <c r="A665" s="98" t="s">
        <v>403</v>
      </c>
      <c r="B665" s="98" t="s">
        <v>62</v>
      </c>
      <c r="C665" s="98" t="s">
        <v>217</v>
      </c>
      <c r="D665" s="98" t="s">
        <v>566</v>
      </c>
      <c r="E665" s="147" t="s">
        <v>905</v>
      </c>
      <c r="F665" s="98" t="s">
        <v>942</v>
      </c>
      <c r="G665" s="151" t="s">
        <v>88</v>
      </c>
      <c r="H665" s="19" t="s">
        <v>943</v>
      </c>
      <c r="I665" s="23" t="e">
        <f>VLOOKUP(H665,'合同综合查询数据（3月返）'!$A:$A,1,FALSE)</f>
        <v>#N/A</v>
      </c>
      <c r="J665" s="24" t="s">
        <v>90</v>
      </c>
      <c r="K665" s="129" t="s">
        <v>944</v>
      </c>
      <c r="L665" s="153"/>
      <c r="M665" s="26" t="s">
        <v>945</v>
      </c>
      <c r="N665" s="154">
        <v>44277</v>
      </c>
      <c r="O665" s="155" t="s">
        <v>461</v>
      </c>
      <c r="P665" s="156">
        <v>11700</v>
      </c>
      <c r="Q665" s="156">
        <v>8</v>
      </c>
      <c r="R665" s="120">
        <f t="shared" si="23"/>
        <v>93600</v>
      </c>
      <c r="S665" s="117">
        <v>202303</v>
      </c>
      <c r="T665" s="157" t="s">
        <v>953</v>
      </c>
      <c r="U665" s="157"/>
      <c r="V665" s="133"/>
      <c r="W665" s="133"/>
      <c r="X665" s="118">
        <v>44211</v>
      </c>
      <c r="Y665" s="118">
        <v>46401</v>
      </c>
    </row>
    <row r="666" s="79" customFormat="1" customHeight="1" spans="1:25">
      <c r="A666" s="98" t="s">
        <v>403</v>
      </c>
      <c r="B666" s="98" t="s">
        <v>62</v>
      </c>
      <c r="C666" s="98" t="s">
        <v>217</v>
      </c>
      <c r="D666" s="98" t="s">
        <v>566</v>
      </c>
      <c r="E666" s="147" t="s">
        <v>905</v>
      </c>
      <c r="F666" s="98" t="s">
        <v>942</v>
      </c>
      <c r="G666" s="151" t="s">
        <v>88</v>
      </c>
      <c r="H666" s="19" t="s">
        <v>943</v>
      </c>
      <c r="I666" s="23" t="e">
        <f>VLOOKUP(H666,'合同综合查询数据（3月返）'!$A:$A,1,FALSE)</f>
        <v>#N/A</v>
      </c>
      <c r="J666" s="24" t="s">
        <v>90</v>
      </c>
      <c r="K666" s="129" t="s">
        <v>944</v>
      </c>
      <c r="L666" s="153"/>
      <c r="M666" s="26" t="s">
        <v>945</v>
      </c>
      <c r="N666" s="154">
        <v>44278</v>
      </c>
      <c r="O666" s="155" t="s">
        <v>461</v>
      </c>
      <c r="P666" s="156">
        <v>11700</v>
      </c>
      <c r="Q666" s="156">
        <v>26</v>
      </c>
      <c r="R666" s="120">
        <f t="shared" si="23"/>
        <v>304200</v>
      </c>
      <c r="S666" s="117">
        <v>202303</v>
      </c>
      <c r="T666" s="157" t="s">
        <v>954</v>
      </c>
      <c r="U666" s="157"/>
      <c r="V666" s="133"/>
      <c r="W666" s="133"/>
      <c r="X666" s="118">
        <v>44211</v>
      </c>
      <c r="Y666" s="118">
        <v>46401</v>
      </c>
    </row>
    <row r="667" s="79" customFormat="1" customHeight="1" spans="1:25">
      <c r="A667" s="98" t="s">
        <v>403</v>
      </c>
      <c r="B667" s="98" t="s">
        <v>62</v>
      </c>
      <c r="C667" s="98" t="s">
        <v>217</v>
      </c>
      <c r="D667" s="98" t="s">
        <v>566</v>
      </c>
      <c r="E667" s="147" t="s">
        <v>905</v>
      </c>
      <c r="F667" s="98" t="s">
        <v>942</v>
      </c>
      <c r="G667" s="151" t="s">
        <v>88</v>
      </c>
      <c r="H667" s="19" t="s">
        <v>943</v>
      </c>
      <c r="I667" s="23" t="e">
        <f>VLOOKUP(H667,'合同综合查询数据（3月返）'!$A:$A,1,FALSE)</f>
        <v>#N/A</v>
      </c>
      <c r="J667" s="24" t="s">
        <v>90</v>
      </c>
      <c r="K667" s="129" t="s">
        <v>944</v>
      </c>
      <c r="L667" s="153"/>
      <c r="M667" s="26" t="s">
        <v>945</v>
      </c>
      <c r="N667" s="154">
        <v>44265</v>
      </c>
      <c r="O667" s="155" t="s">
        <v>511</v>
      </c>
      <c r="P667" s="156">
        <v>11970</v>
      </c>
      <c r="Q667" s="156">
        <v>-4</v>
      </c>
      <c r="R667" s="120">
        <f t="shared" si="23"/>
        <v>-47880</v>
      </c>
      <c r="S667" s="117">
        <v>202303</v>
      </c>
      <c r="T667" s="157" t="s">
        <v>948</v>
      </c>
      <c r="U667" s="157"/>
      <c r="V667" s="133"/>
      <c r="W667" s="133"/>
      <c r="X667" s="118">
        <v>44211</v>
      </c>
      <c r="Y667" s="118">
        <v>46401</v>
      </c>
    </row>
    <row r="668" s="79" customFormat="1" customHeight="1" spans="1:25">
      <c r="A668" s="98" t="s">
        <v>403</v>
      </c>
      <c r="B668" s="98" t="s">
        <v>62</v>
      </c>
      <c r="C668" s="98" t="s">
        <v>217</v>
      </c>
      <c r="D668" s="98" t="s">
        <v>566</v>
      </c>
      <c r="E668" s="147" t="s">
        <v>905</v>
      </c>
      <c r="F668" s="98" t="s">
        <v>942</v>
      </c>
      <c r="G668" s="151" t="s">
        <v>88</v>
      </c>
      <c r="H668" s="19" t="s">
        <v>943</v>
      </c>
      <c r="I668" s="23" t="e">
        <f>VLOOKUP(H668,'合同综合查询数据（3月返）'!$A:$A,1,FALSE)</f>
        <v>#N/A</v>
      </c>
      <c r="J668" s="24" t="s">
        <v>90</v>
      </c>
      <c r="K668" s="129" t="s">
        <v>944</v>
      </c>
      <c r="L668" s="153"/>
      <c r="M668" s="26" t="s">
        <v>945</v>
      </c>
      <c r="N668" s="154">
        <v>44272</v>
      </c>
      <c r="O668" s="155" t="s">
        <v>511</v>
      </c>
      <c r="P668" s="156">
        <v>11970</v>
      </c>
      <c r="Q668" s="156">
        <v>4</v>
      </c>
      <c r="R668" s="120">
        <f t="shared" si="23"/>
        <v>47880</v>
      </c>
      <c r="S668" s="117">
        <v>202303</v>
      </c>
      <c r="T668" s="157" t="s">
        <v>955</v>
      </c>
      <c r="U668" s="157"/>
      <c r="V668" s="133"/>
      <c r="W668" s="133"/>
      <c r="X668" s="118">
        <v>44211</v>
      </c>
      <c r="Y668" s="118">
        <v>46401</v>
      </c>
    </row>
    <row r="669" s="79" customFormat="1" customHeight="1" spans="1:25">
      <c r="A669" s="98" t="s">
        <v>403</v>
      </c>
      <c r="B669" s="98" t="s">
        <v>62</v>
      </c>
      <c r="C669" s="98" t="s">
        <v>217</v>
      </c>
      <c r="D669" s="98" t="s">
        <v>566</v>
      </c>
      <c r="E669" s="147" t="s">
        <v>905</v>
      </c>
      <c r="F669" s="98" t="s">
        <v>942</v>
      </c>
      <c r="G669" s="151" t="s">
        <v>88</v>
      </c>
      <c r="H669" s="19" t="s">
        <v>943</v>
      </c>
      <c r="I669" s="23" t="e">
        <f>VLOOKUP(H669,'合同综合查询数据（3月返）'!$A:$A,1,FALSE)</f>
        <v>#N/A</v>
      </c>
      <c r="J669" s="24" t="s">
        <v>90</v>
      </c>
      <c r="K669" s="129" t="s">
        <v>944</v>
      </c>
      <c r="L669" s="153"/>
      <c r="M669" s="26" t="s">
        <v>945</v>
      </c>
      <c r="N669" s="154">
        <v>44280</v>
      </c>
      <c r="O669" s="155" t="s">
        <v>461</v>
      </c>
      <c r="P669" s="156">
        <v>11700</v>
      </c>
      <c r="Q669" s="156">
        <v>8</v>
      </c>
      <c r="R669" s="120">
        <f t="shared" si="23"/>
        <v>93600</v>
      </c>
      <c r="S669" s="117">
        <v>202303</v>
      </c>
      <c r="T669" s="157" t="s">
        <v>956</v>
      </c>
      <c r="U669" s="157"/>
      <c r="V669" s="133"/>
      <c r="W669" s="133"/>
      <c r="X669" s="118">
        <v>44211</v>
      </c>
      <c r="Y669" s="118">
        <v>46401</v>
      </c>
    </row>
    <row r="670" s="79" customFormat="1" customHeight="1" spans="1:25">
      <c r="A670" s="98" t="s">
        <v>403</v>
      </c>
      <c r="B670" s="98" t="s">
        <v>62</v>
      </c>
      <c r="C670" s="98" t="s">
        <v>217</v>
      </c>
      <c r="D670" s="98" t="s">
        <v>566</v>
      </c>
      <c r="E670" s="147" t="s">
        <v>905</v>
      </c>
      <c r="F670" s="98" t="s">
        <v>942</v>
      </c>
      <c r="G670" s="151" t="s">
        <v>88</v>
      </c>
      <c r="H670" s="19" t="s">
        <v>943</v>
      </c>
      <c r="I670" s="23" t="e">
        <f>VLOOKUP(H670,'合同综合查询数据（3月返）'!$A:$A,1,FALSE)</f>
        <v>#N/A</v>
      </c>
      <c r="J670" s="24" t="s">
        <v>90</v>
      </c>
      <c r="K670" s="129" t="s">
        <v>944</v>
      </c>
      <c r="L670" s="153"/>
      <c r="M670" s="26" t="s">
        <v>945</v>
      </c>
      <c r="N670" s="154">
        <v>44284</v>
      </c>
      <c r="O670" s="155" t="s">
        <v>461</v>
      </c>
      <c r="P670" s="156">
        <v>11700</v>
      </c>
      <c r="Q670" s="156">
        <v>6</v>
      </c>
      <c r="R670" s="120">
        <f t="shared" si="23"/>
        <v>70200</v>
      </c>
      <c r="S670" s="117">
        <v>202303</v>
      </c>
      <c r="T670" s="157" t="s">
        <v>957</v>
      </c>
      <c r="U670" s="157"/>
      <c r="V670" s="133"/>
      <c r="W670" s="133"/>
      <c r="X670" s="118">
        <v>44211</v>
      </c>
      <c r="Y670" s="118">
        <v>46401</v>
      </c>
    </row>
    <row r="671" s="79" customFormat="1" customHeight="1" spans="1:25">
      <c r="A671" s="98" t="s">
        <v>403</v>
      </c>
      <c r="B671" s="98" t="s">
        <v>62</v>
      </c>
      <c r="C671" s="98" t="s">
        <v>217</v>
      </c>
      <c r="D671" s="98" t="s">
        <v>566</v>
      </c>
      <c r="E671" s="147" t="s">
        <v>905</v>
      </c>
      <c r="F671" s="98" t="s">
        <v>942</v>
      </c>
      <c r="G671" s="151" t="s">
        <v>88</v>
      </c>
      <c r="H671" s="19" t="s">
        <v>943</v>
      </c>
      <c r="I671" s="23" t="e">
        <f>VLOOKUP(H671,'合同综合查询数据（3月返）'!$A:$A,1,FALSE)</f>
        <v>#N/A</v>
      </c>
      <c r="J671" s="24" t="s">
        <v>90</v>
      </c>
      <c r="K671" s="129" t="s">
        <v>944</v>
      </c>
      <c r="L671" s="153"/>
      <c r="M671" s="26" t="s">
        <v>945</v>
      </c>
      <c r="N671" s="154">
        <v>44301</v>
      </c>
      <c r="O671" s="155" t="s">
        <v>457</v>
      </c>
      <c r="P671" s="156">
        <v>5900</v>
      </c>
      <c r="Q671" s="156">
        <v>2</v>
      </c>
      <c r="R671" s="120">
        <f t="shared" si="23"/>
        <v>11800</v>
      </c>
      <c r="S671" s="117">
        <v>202303</v>
      </c>
      <c r="T671" s="157" t="s">
        <v>958</v>
      </c>
      <c r="U671" s="157"/>
      <c r="V671" s="133"/>
      <c r="W671" s="133"/>
      <c r="X671" s="118">
        <v>44211</v>
      </c>
      <c r="Y671" s="118">
        <v>46401</v>
      </c>
    </row>
    <row r="672" s="79" customFormat="1" customHeight="1" spans="1:25">
      <c r="A672" s="98" t="s">
        <v>403</v>
      </c>
      <c r="B672" s="98" t="s">
        <v>62</v>
      </c>
      <c r="C672" s="98" t="s">
        <v>217</v>
      </c>
      <c r="D672" s="98" t="s">
        <v>566</v>
      </c>
      <c r="E672" s="147" t="s">
        <v>905</v>
      </c>
      <c r="F672" s="98" t="s">
        <v>942</v>
      </c>
      <c r="G672" s="151" t="s">
        <v>88</v>
      </c>
      <c r="H672" s="19" t="s">
        <v>943</v>
      </c>
      <c r="I672" s="23" t="e">
        <f>VLOOKUP(H672,'合同综合查询数据（3月返）'!$A:$A,1,FALSE)</f>
        <v>#N/A</v>
      </c>
      <c r="J672" s="24" t="s">
        <v>90</v>
      </c>
      <c r="K672" s="129" t="s">
        <v>944</v>
      </c>
      <c r="L672" s="153"/>
      <c r="M672" s="26" t="s">
        <v>945</v>
      </c>
      <c r="N672" s="154">
        <v>44301</v>
      </c>
      <c r="O672" s="155" t="s">
        <v>461</v>
      </c>
      <c r="P672" s="156">
        <v>11700</v>
      </c>
      <c r="Q672" s="156">
        <v>2</v>
      </c>
      <c r="R672" s="120">
        <f t="shared" si="23"/>
        <v>23400</v>
      </c>
      <c r="S672" s="117">
        <v>202303</v>
      </c>
      <c r="T672" s="157" t="s">
        <v>959</v>
      </c>
      <c r="U672" s="157"/>
      <c r="V672" s="133"/>
      <c r="W672" s="133"/>
      <c r="X672" s="118">
        <v>44211</v>
      </c>
      <c r="Y672" s="118">
        <v>46401</v>
      </c>
    </row>
    <row r="673" s="79" customFormat="1" customHeight="1" spans="1:25">
      <c r="A673" s="98" t="s">
        <v>403</v>
      </c>
      <c r="B673" s="98" t="s">
        <v>62</v>
      </c>
      <c r="C673" s="98" t="s">
        <v>217</v>
      </c>
      <c r="D673" s="98" t="s">
        <v>566</v>
      </c>
      <c r="E673" s="147" t="s">
        <v>905</v>
      </c>
      <c r="F673" s="98" t="s">
        <v>942</v>
      </c>
      <c r="G673" s="151" t="s">
        <v>88</v>
      </c>
      <c r="H673" s="19" t="s">
        <v>943</v>
      </c>
      <c r="I673" s="23" t="e">
        <f>VLOOKUP(H673,'合同综合查询数据（3月返）'!$A:$A,1,FALSE)</f>
        <v>#N/A</v>
      </c>
      <c r="J673" s="24" t="s">
        <v>90</v>
      </c>
      <c r="K673" s="129" t="s">
        <v>944</v>
      </c>
      <c r="L673" s="153"/>
      <c r="M673" s="26" t="s">
        <v>945</v>
      </c>
      <c r="N673" s="154">
        <v>44302</v>
      </c>
      <c r="O673" s="155" t="s">
        <v>461</v>
      </c>
      <c r="P673" s="156">
        <v>11700</v>
      </c>
      <c r="Q673" s="156">
        <v>4</v>
      </c>
      <c r="R673" s="120">
        <f t="shared" si="23"/>
        <v>46800</v>
      </c>
      <c r="S673" s="117">
        <v>202303</v>
      </c>
      <c r="T673" s="157" t="s">
        <v>960</v>
      </c>
      <c r="U673" s="157"/>
      <c r="V673" s="133"/>
      <c r="W673" s="133"/>
      <c r="X673" s="118">
        <v>44211</v>
      </c>
      <c r="Y673" s="118">
        <v>46401</v>
      </c>
    </row>
    <row r="674" s="79" customFormat="1" customHeight="1" spans="1:25">
      <c r="A674" s="98" t="s">
        <v>403</v>
      </c>
      <c r="B674" s="98" t="s">
        <v>62</v>
      </c>
      <c r="C674" s="98" t="s">
        <v>217</v>
      </c>
      <c r="D674" s="98" t="s">
        <v>566</v>
      </c>
      <c r="E674" s="147" t="s">
        <v>905</v>
      </c>
      <c r="F674" s="98" t="s">
        <v>942</v>
      </c>
      <c r="G674" s="151" t="s">
        <v>88</v>
      </c>
      <c r="H674" s="19" t="s">
        <v>943</v>
      </c>
      <c r="I674" s="23" t="e">
        <f>VLOOKUP(H674,'合同综合查询数据（3月返）'!$A:$A,1,FALSE)</f>
        <v>#N/A</v>
      </c>
      <c r="J674" s="24" t="s">
        <v>90</v>
      </c>
      <c r="K674" s="129" t="s">
        <v>944</v>
      </c>
      <c r="L674" s="153"/>
      <c r="M674" s="26" t="s">
        <v>945</v>
      </c>
      <c r="N674" s="154">
        <v>44308</v>
      </c>
      <c r="O674" s="155" t="s">
        <v>461</v>
      </c>
      <c r="P674" s="156">
        <v>11700</v>
      </c>
      <c r="Q674" s="156">
        <v>11</v>
      </c>
      <c r="R674" s="120">
        <f t="shared" si="23"/>
        <v>128700</v>
      </c>
      <c r="S674" s="117">
        <v>202303</v>
      </c>
      <c r="T674" s="157" t="s">
        <v>961</v>
      </c>
      <c r="U674" s="157"/>
      <c r="V674" s="133"/>
      <c r="W674" s="133"/>
      <c r="X674" s="118">
        <v>44211</v>
      </c>
      <c r="Y674" s="118">
        <v>46401</v>
      </c>
    </row>
    <row r="675" s="79" customFormat="1" customHeight="1" spans="1:25">
      <c r="A675" s="98" t="s">
        <v>403</v>
      </c>
      <c r="B675" s="98" t="s">
        <v>62</v>
      </c>
      <c r="C675" s="98" t="s">
        <v>217</v>
      </c>
      <c r="D675" s="98" t="s">
        <v>566</v>
      </c>
      <c r="E675" s="147" t="s">
        <v>905</v>
      </c>
      <c r="F675" s="98" t="s">
        <v>942</v>
      </c>
      <c r="G675" s="151" t="s">
        <v>88</v>
      </c>
      <c r="H675" s="19" t="s">
        <v>943</v>
      </c>
      <c r="I675" s="23" t="e">
        <f>VLOOKUP(H675,'合同综合查询数据（3月返）'!$A:$A,1,FALSE)</f>
        <v>#N/A</v>
      </c>
      <c r="J675" s="24" t="s">
        <v>90</v>
      </c>
      <c r="K675" s="129" t="s">
        <v>944</v>
      </c>
      <c r="L675" s="153"/>
      <c r="M675" s="26" t="s">
        <v>945</v>
      </c>
      <c r="N675" s="154">
        <v>44313</v>
      </c>
      <c r="O675" s="155" t="s">
        <v>461</v>
      </c>
      <c r="P675" s="156">
        <v>11700</v>
      </c>
      <c r="Q675" s="156">
        <v>2</v>
      </c>
      <c r="R675" s="120">
        <f t="shared" si="23"/>
        <v>23400</v>
      </c>
      <c r="S675" s="117">
        <v>202303</v>
      </c>
      <c r="T675" s="157" t="s">
        <v>962</v>
      </c>
      <c r="U675" s="157"/>
      <c r="V675" s="133"/>
      <c r="W675" s="133"/>
      <c r="X675" s="118">
        <v>44211</v>
      </c>
      <c r="Y675" s="118">
        <v>46401</v>
      </c>
    </row>
    <row r="676" s="79" customFormat="1" customHeight="1" spans="1:25">
      <c r="A676" s="98" t="s">
        <v>403</v>
      </c>
      <c r="B676" s="98" t="s">
        <v>62</v>
      </c>
      <c r="C676" s="98" t="s">
        <v>217</v>
      </c>
      <c r="D676" s="98" t="s">
        <v>566</v>
      </c>
      <c r="E676" s="147" t="s">
        <v>905</v>
      </c>
      <c r="F676" s="98" t="s">
        <v>942</v>
      </c>
      <c r="G676" s="151" t="s">
        <v>88</v>
      </c>
      <c r="H676" s="19" t="s">
        <v>943</v>
      </c>
      <c r="I676" s="23" t="e">
        <f>VLOOKUP(H676,'合同综合查询数据（3月返）'!$A:$A,1,FALSE)</f>
        <v>#N/A</v>
      </c>
      <c r="J676" s="24" t="s">
        <v>90</v>
      </c>
      <c r="K676" s="129" t="s">
        <v>944</v>
      </c>
      <c r="L676" s="153"/>
      <c r="M676" s="26" t="s">
        <v>945</v>
      </c>
      <c r="N676" s="154">
        <v>44315</v>
      </c>
      <c r="O676" s="155" t="s">
        <v>461</v>
      </c>
      <c r="P676" s="156">
        <v>11700</v>
      </c>
      <c r="Q676" s="156">
        <v>9</v>
      </c>
      <c r="R676" s="120">
        <f t="shared" si="23"/>
        <v>105300</v>
      </c>
      <c r="S676" s="117">
        <v>202303</v>
      </c>
      <c r="T676" s="157" t="s">
        <v>963</v>
      </c>
      <c r="U676" s="157"/>
      <c r="V676" s="133"/>
      <c r="W676" s="133"/>
      <c r="X676" s="118">
        <v>44211</v>
      </c>
      <c r="Y676" s="118">
        <v>46401</v>
      </c>
    </row>
    <row r="677" s="79" customFormat="1" customHeight="1" spans="1:25">
      <c r="A677" s="98" t="s">
        <v>403</v>
      </c>
      <c r="B677" s="98" t="s">
        <v>62</v>
      </c>
      <c r="C677" s="98" t="s">
        <v>217</v>
      </c>
      <c r="D677" s="98" t="s">
        <v>566</v>
      </c>
      <c r="E677" s="147" t="s">
        <v>905</v>
      </c>
      <c r="F677" s="98" t="s">
        <v>942</v>
      </c>
      <c r="G677" s="151" t="s">
        <v>88</v>
      </c>
      <c r="H677" s="19" t="s">
        <v>943</v>
      </c>
      <c r="I677" s="23" t="e">
        <f>VLOOKUP(H677,'合同综合查询数据（3月返）'!$A:$A,1,FALSE)</f>
        <v>#N/A</v>
      </c>
      <c r="J677" s="24" t="s">
        <v>90</v>
      </c>
      <c r="K677" s="129" t="s">
        <v>944</v>
      </c>
      <c r="L677" s="153"/>
      <c r="M677" s="26" t="s">
        <v>945</v>
      </c>
      <c r="N677" s="154">
        <v>44329</v>
      </c>
      <c r="O677" s="155" t="s">
        <v>461</v>
      </c>
      <c r="P677" s="156">
        <v>11700</v>
      </c>
      <c r="Q677" s="156">
        <v>2</v>
      </c>
      <c r="R677" s="120">
        <f t="shared" si="23"/>
        <v>23400</v>
      </c>
      <c r="S677" s="117">
        <v>202303</v>
      </c>
      <c r="T677" s="157" t="s">
        <v>964</v>
      </c>
      <c r="U677" s="157"/>
      <c r="V677" s="133"/>
      <c r="W677" s="133"/>
      <c r="X677" s="118">
        <v>44211</v>
      </c>
      <c r="Y677" s="118">
        <v>46401</v>
      </c>
    </row>
    <row r="678" s="79" customFormat="1" customHeight="1" spans="1:25">
      <c r="A678" s="98" t="s">
        <v>403</v>
      </c>
      <c r="B678" s="98" t="s">
        <v>62</v>
      </c>
      <c r="C678" s="98" t="s">
        <v>217</v>
      </c>
      <c r="D678" s="98" t="s">
        <v>566</v>
      </c>
      <c r="E678" s="147" t="s">
        <v>905</v>
      </c>
      <c r="F678" s="98" t="s">
        <v>942</v>
      </c>
      <c r="G678" s="151" t="s">
        <v>88</v>
      </c>
      <c r="H678" s="19" t="s">
        <v>943</v>
      </c>
      <c r="I678" s="23" t="e">
        <f>VLOOKUP(H678,'合同综合查询数据（3月返）'!$A:$A,1,FALSE)</f>
        <v>#N/A</v>
      </c>
      <c r="J678" s="24" t="s">
        <v>90</v>
      </c>
      <c r="K678" s="129" t="s">
        <v>944</v>
      </c>
      <c r="L678" s="153"/>
      <c r="M678" s="26" t="s">
        <v>945</v>
      </c>
      <c r="N678" s="154">
        <v>44342</v>
      </c>
      <c r="O678" s="155" t="s">
        <v>461</v>
      </c>
      <c r="P678" s="156">
        <v>11700</v>
      </c>
      <c r="Q678" s="156">
        <v>6</v>
      </c>
      <c r="R678" s="120">
        <f t="shared" si="23"/>
        <v>70200</v>
      </c>
      <c r="S678" s="117">
        <v>202303</v>
      </c>
      <c r="T678" s="157" t="s">
        <v>965</v>
      </c>
      <c r="U678" s="157"/>
      <c r="V678" s="133"/>
      <c r="W678" s="133"/>
      <c r="X678" s="118">
        <v>44211</v>
      </c>
      <c r="Y678" s="118">
        <v>46401</v>
      </c>
    </row>
    <row r="679" s="79" customFormat="1" customHeight="1" spans="1:25">
      <c r="A679" s="98" t="s">
        <v>403</v>
      </c>
      <c r="B679" s="98" t="s">
        <v>62</v>
      </c>
      <c r="C679" s="98" t="s">
        <v>217</v>
      </c>
      <c r="D679" s="98" t="s">
        <v>566</v>
      </c>
      <c r="E679" s="147" t="s">
        <v>905</v>
      </c>
      <c r="F679" s="98" t="s">
        <v>942</v>
      </c>
      <c r="G679" s="151" t="s">
        <v>88</v>
      </c>
      <c r="H679" s="19" t="s">
        <v>943</v>
      </c>
      <c r="I679" s="23" t="e">
        <f>VLOOKUP(H679,'合同综合查询数据（3月返）'!$A:$A,1,FALSE)</f>
        <v>#N/A</v>
      </c>
      <c r="J679" s="24" t="s">
        <v>90</v>
      </c>
      <c r="K679" s="129" t="s">
        <v>944</v>
      </c>
      <c r="L679" s="153"/>
      <c r="M679" s="26" t="s">
        <v>945</v>
      </c>
      <c r="N679" s="154">
        <v>44382</v>
      </c>
      <c r="O679" s="155" t="s">
        <v>461</v>
      </c>
      <c r="P679" s="156">
        <v>11700</v>
      </c>
      <c r="Q679" s="156">
        <v>93</v>
      </c>
      <c r="R679" s="120">
        <f t="shared" si="23"/>
        <v>1088100</v>
      </c>
      <c r="S679" s="117">
        <v>202303</v>
      </c>
      <c r="T679" s="157" t="s">
        <v>966</v>
      </c>
      <c r="U679" s="157"/>
      <c r="V679" s="133"/>
      <c r="W679" s="133"/>
      <c r="X679" s="118">
        <v>44211</v>
      </c>
      <c r="Y679" s="118">
        <v>46401</v>
      </c>
    </row>
    <row r="680" s="79" customFormat="1" customHeight="1" spans="1:25">
      <c r="A680" s="98" t="s">
        <v>403</v>
      </c>
      <c r="B680" s="98" t="s">
        <v>62</v>
      </c>
      <c r="C680" s="98" t="s">
        <v>217</v>
      </c>
      <c r="D680" s="98" t="s">
        <v>566</v>
      </c>
      <c r="E680" s="147" t="s">
        <v>905</v>
      </c>
      <c r="F680" s="98" t="s">
        <v>942</v>
      </c>
      <c r="G680" s="151" t="s">
        <v>88</v>
      </c>
      <c r="H680" s="19" t="s">
        <v>943</v>
      </c>
      <c r="I680" s="23" t="e">
        <f>VLOOKUP(H680,'合同综合查询数据（3月返）'!$A:$A,1,FALSE)</f>
        <v>#N/A</v>
      </c>
      <c r="J680" s="24" t="s">
        <v>90</v>
      </c>
      <c r="K680" s="129" t="s">
        <v>944</v>
      </c>
      <c r="L680" s="153"/>
      <c r="M680" s="26" t="s">
        <v>945</v>
      </c>
      <c r="N680" s="154">
        <v>44386</v>
      </c>
      <c r="O680" s="155" t="s">
        <v>457</v>
      </c>
      <c r="P680" s="156">
        <v>5900</v>
      </c>
      <c r="Q680" s="156">
        <v>6</v>
      </c>
      <c r="R680" s="120">
        <f t="shared" si="23"/>
        <v>35400</v>
      </c>
      <c r="S680" s="117">
        <v>202303</v>
      </c>
      <c r="T680" s="157" t="s">
        <v>967</v>
      </c>
      <c r="U680" s="157"/>
      <c r="V680" s="133"/>
      <c r="W680" s="133"/>
      <c r="X680" s="118">
        <v>44211</v>
      </c>
      <c r="Y680" s="118">
        <v>46401</v>
      </c>
    </row>
    <row r="681" s="79" customFormat="1" customHeight="1" spans="1:25">
      <c r="A681" s="98" t="s">
        <v>403</v>
      </c>
      <c r="B681" s="98" t="s">
        <v>62</v>
      </c>
      <c r="C681" s="98" t="s">
        <v>217</v>
      </c>
      <c r="D681" s="98" t="s">
        <v>566</v>
      </c>
      <c r="E681" s="147" t="s">
        <v>905</v>
      </c>
      <c r="F681" s="98" t="s">
        <v>942</v>
      </c>
      <c r="G681" s="151" t="s">
        <v>88</v>
      </c>
      <c r="H681" s="19" t="s">
        <v>943</v>
      </c>
      <c r="I681" s="23" t="e">
        <f>VLOOKUP(H681,'合同综合查询数据（3月返）'!$A:$A,1,FALSE)</f>
        <v>#N/A</v>
      </c>
      <c r="J681" s="24" t="s">
        <v>90</v>
      </c>
      <c r="K681" s="129" t="s">
        <v>944</v>
      </c>
      <c r="L681" s="153"/>
      <c r="M681" s="26" t="s">
        <v>945</v>
      </c>
      <c r="N681" s="154">
        <v>44400</v>
      </c>
      <c r="O681" s="155" t="s">
        <v>461</v>
      </c>
      <c r="P681" s="156">
        <v>11700</v>
      </c>
      <c r="Q681" s="156">
        <v>3</v>
      </c>
      <c r="R681" s="120">
        <f t="shared" si="23"/>
        <v>35100</v>
      </c>
      <c r="S681" s="117">
        <v>202303</v>
      </c>
      <c r="T681" s="157" t="s">
        <v>968</v>
      </c>
      <c r="U681" s="157"/>
      <c r="V681" s="133"/>
      <c r="W681" s="133"/>
      <c r="X681" s="118">
        <v>44211</v>
      </c>
      <c r="Y681" s="118">
        <v>46401</v>
      </c>
    </row>
    <row r="682" s="79" customFormat="1" customHeight="1" spans="1:25">
      <c r="A682" s="98" t="s">
        <v>403</v>
      </c>
      <c r="B682" s="98" t="s">
        <v>62</v>
      </c>
      <c r="C682" s="98" t="s">
        <v>217</v>
      </c>
      <c r="D682" s="98" t="s">
        <v>566</v>
      </c>
      <c r="E682" s="147" t="s">
        <v>905</v>
      </c>
      <c r="F682" s="98" t="s">
        <v>942</v>
      </c>
      <c r="G682" s="151" t="s">
        <v>88</v>
      </c>
      <c r="H682" s="19" t="s">
        <v>943</v>
      </c>
      <c r="I682" s="23" t="e">
        <f>VLOOKUP(H682,'合同综合查询数据（3月返）'!$A:$A,1,FALSE)</f>
        <v>#N/A</v>
      </c>
      <c r="J682" s="24" t="s">
        <v>90</v>
      </c>
      <c r="K682" s="129" t="s">
        <v>944</v>
      </c>
      <c r="L682" s="153"/>
      <c r="M682" s="26" t="s">
        <v>945</v>
      </c>
      <c r="N682" s="154">
        <v>44407</v>
      </c>
      <c r="O682" s="155" t="s">
        <v>461</v>
      </c>
      <c r="P682" s="156">
        <v>11700</v>
      </c>
      <c r="Q682" s="156">
        <v>22</v>
      </c>
      <c r="R682" s="120">
        <f t="shared" si="23"/>
        <v>257400</v>
      </c>
      <c r="S682" s="117">
        <v>202303</v>
      </c>
      <c r="T682" s="157" t="s">
        <v>969</v>
      </c>
      <c r="U682" s="157"/>
      <c r="V682" s="133"/>
      <c r="W682" s="133"/>
      <c r="X682" s="118">
        <v>44211</v>
      </c>
      <c r="Y682" s="118">
        <v>46401</v>
      </c>
    </row>
    <row r="683" s="79" customFormat="1" customHeight="1" spans="1:25">
      <c r="A683" s="98" t="s">
        <v>403</v>
      </c>
      <c r="B683" s="98" t="s">
        <v>62</v>
      </c>
      <c r="C683" s="98" t="s">
        <v>217</v>
      </c>
      <c r="D683" s="98" t="s">
        <v>566</v>
      </c>
      <c r="E683" s="147" t="s">
        <v>905</v>
      </c>
      <c r="F683" s="98" t="s">
        <v>942</v>
      </c>
      <c r="G683" s="151" t="s">
        <v>88</v>
      </c>
      <c r="H683" s="19" t="s">
        <v>943</v>
      </c>
      <c r="I683" s="23" t="e">
        <f>VLOOKUP(H683,'合同综合查询数据（3月返）'!$A:$A,1,FALSE)</f>
        <v>#N/A</v>
      </c>
      <c r="J683" s="24" t="s">
        <v>90</v>
      </c>
      <c r="K683" s="129" t="s">
        <v>944</v>
      </c>
      <c r="L683" s="153"/>
      <c r="M683" s="26" t="s">
        <v>945</v>
      </c>
      <c r="N683" s="154">
        <v>44432</v>
      </c>
      <c r="O683" s="155" t="s">
        <v>461</v>
      </c>
      <c r="P683" s="156">
        <v>11700</v>
      </c>
      <c r="Q683" s="156">
        <v>6</v>
      </c>
      <c r="R683" s="120">
        <f t="shared" si="23"/>
        <v>70200</v>
      </c>
      <c r="S683" s="117">
        <v>202303</v>
      </c>
      <c r="T683" s="157" t="s">
        <v>970</v>
      </c>
      <c r="U683" s="157"/>
      <c r="V683" s="133"/>
      <c r="W683" s="133"/>
      <c r="X683" s="118">
        <v>44211</v>
      </c>
      <c r="Y683" s="118">
        <v>46401</v>
      </c>
    </row>
    <row r="684" s="79" customFormat="1" customHeight="1" spans="1:25">
      <c r="A684" s="98" t="s">
        <v>403</v>
      </c>
      <c r="B684" s="98" t="s">
        <v>62</v>
      </c>
      <c r="C684" s="98" t="s">
        <v>217</v>
      </c>
      <c r="D684" s="98" t="s">
        <v>566</v>
      </c>
      <c r="E684" s="147" t="s">
        <v>905</v>
      </c>
      <c r="F684" s="98" t="s">
        <v>942</v>
      </c>
      <c r="G684" s="151" t="s">
        <v>88</v>
      </c>
      <c r="H684" s="19" t="s">
        <v>943</v>
      </c>
      <c r="I684" s="23" t="e">
        <f>VLOOKUP(H684,'合同综合查询数据（3月返）'!$A:$A,1,FALSE)</f>
        <v>#N/A</v>
      </c>
      <c r="J684" s="24" t="s">
        <v>90</v>
      </c>
      <c r="K684" s="129" t="s">
        <v>944</v>
      </c>
      <c r="L684" s="153"/>
      <c r="M684" s="26" t="s">
        <v>945</v>
      </c>
      <c r="N684" s="154">
        <v>44434</v>
      </c>
      <c r="O684" s="155" t="s">
        <v>461</v>
      </c>
      <c r="P684" s="156">
        <v>11700</v>
      </c>
      <c r="Q684" s="156">
        <v>34</v>
      </c>
      <c r="R684" s="120">
        <f t="shared" si="23"/>
        <v>397800</v>
      </c>
      <c r="S684" s="117">
        <v>202303</v>
      </c>
      <c r="T684" s="157" t="s">
        <v>971</v>
      </c>
      <c r="U684" s="157"/>
      <c r="V684" s="133"/>
      <c r="W684" s="133"/>
      <c r="X684" s="118">
        <v>44211</v>
      </c>
      <c r="Y684" s="118">
        <v>46401</v>
      </c>
    </row>
    <row r="685" s="79" customFormat="1" customHeight="1" spans="1:25">
      <c r="A685" s="98" t="s">
        <v>403</v>
      </c>
      <c r="B685" s="98" t="s">
        <v>62</v>
      </c>
      <c r="C685" s="98" t="s">
        <v>217</v>
      </c>
      <c r="D685" s="98" t="s">
        <v>566</v>
      </c>
      <c r="E685" s="147" t="s">
        <v>905</v>
      </c>
      <c r="F685" s="98" t="s">
        <v>942</v>
      </c>
      <c r="G685" s="151" t="s">
        <v>88</v>
      </c>
      <c r="H685" s="19" t="s">
        <v>943</v>
      </c>
      <c r="I685" s="23" t="e">
        <f>VLOOKUP(H685,'合同综合查询数据（3月返）'!$A:$A,1,FALSE)</f>
        <v>#N/A</v>
      </c>
      <c r="J685" s="24" t="s">
        <v>90</v>
      </c>
      <c r="K685" s="129" t="s">
        <v>944</v>
      </c>
      <c r="L685" s="153"/>
      <c r="M685" s="26" t="s">
        <v>945</v>
      </c>
      <c r="N685" s="154">
        <v>44435</v>
      </c>
      <c r="O685" s="155" t="s">
        <v>461</v>
      </c>
      <c r="P685" s="156">
        <v>11700</v>
      </c>
      <c r="Q685" s="156">
        <v>10</v>
      </c>
      <c r="R685" s="120">
        <f t="shared" si="23"/>
        <v>117000</v>
      </c>
      <c r="S685" s="117">
        <v>202303</v>
      </c>
      <c r="T685" s="157" t="s">
        <v>972</v>
      </c>
      <c r="U685" s="157"/>
      <c r="V685" s="133"/>
      <c r="W685" s="133"/>
      <c r="X685" s="118">
        <v>44211</v>
      </c>
      <c r="Y685" s="118">
        <v>46401</v>
      </c>
    </row>
    <row r="686" s="79" customFormat="1" customHeight="1" spans="1:25">
      <c r="A686" s="98" t="s">
        <v>403</v>
      </c>
      <c r="B686" s="98" t="s">
        <v>62</v>
      </c>
      <c r="C686" s="98" t="s">
        <v>217</v>
      </c>
      <c r="D686" s="98" t="s">
        <v>566</v>
      </c>
      <c r="E686" s="147" t="s">
        <v>905</v>
      </c>
      <c r="F686" s="98" t="s">
        <v>942</v>
      </c>
      <c r="G686" s="151" t="s">
        <v>88</v>
      </c>
      <c r="H686" s="19" t="s">
        <v>943</v>
      </c>
      <c r="I686" s="23" t="e">
        <f>VLOOKUP(H686,'合同综合查询数据（3月返）'!$A:$A,1,FALSE)</f>
        <v>#N/A</v>
      </c>
      <c r="J686" s="24" t="s">
        <v>90</v>
      </c>
      <c r="K686" s="129" t="s">
        <v>944</v>
      </c>
      <c r="L686" s="153"/>
      <c r="M686" s="26" t="s">
        <v>945</v>
      </c>
      <c r="N686" s="154">
        <v>44439</v>
      </c>
      <c r="O686" s="155" t="s">
        <v>461</v>
      </c>
      <c r="P686" s="156">
        <v>11700</v>
      </c>
      <c r="Q686" s="156">
        <v>5</v>
      </c>
      <c r="R686" s="120">
        <f t="shared" si="23"/>
        <v>58500</v>
      </c>
      <c r="S686" s="117">
        <v>202303</v>
      </c>
      <c r="T686" s="157" t="s">
        <v>973</v>
      </c>
      <c r="U686" s="157"/>
      <c r="V686" s="133"/>
      <c r="W686" s="133"/>
      <c r="X686" s="118">
        <v>44211</v>
      </c>
      <c r="Y686" s="118">
        <v>46401</v>
      </c>
    </row>
    <row r="687" s="79" customFormat="1" customHeight="1" spans="1:25">
      <c r="A687" s="98" t="s">
        <v>403</v>
      </c>
      <c r="B687" s="98" t="s">
        <v>62</v>
      </c>
      <c r="C687" s="98" t="s">
        <v>217</v>
      </c>
      <c r="D687" s="98" t="s">
        <v>566</v>
      </c>
      <c r="E687" s="147" t="s">
        <v>905</v>
      </c>
      <c r="F687" s="98" t="s">
        <v>942</v>
      </c>
      <c r="G687" s="151" t="s">
        <v>88</v>
      </c>
      <c r="H687" s="19" t="s">
        <v>943</v>
      </c>
      <c r="I687" s="23" t="e">
        <f>VLOOKUP(H687,'合同综合查询数据（3月返）'!$A:$A,1,FALSE)</f>
        <v>#N/A</v>
      </c>
      <c r="J687" s="24" t="s">
        <v>90</v>
      </c>
      <c r="K687" s="129" t="s">
        <v>944</v>
      </c>
      <c r="L687" s="153"/>
      <c r="M687" s="26" t="s">
        <v>945</v>
      </c>
      <c r="N687" s="154">
        <v>44254</v>
      </c>
      <c r="O687" s="155" t="s">
        <v>461</v>
      </c>
      <c r="P687" s="156">
        <v>11700</v>
      </c>
      <c r="Q687" s="156">
        <v>1</v>
      </c>
      <c r="R687" s="120">
        <f t="shared" si="23"/>
        <v>11700</v>
      </c>
      <c r="S687" s="117">
        <v>202303</v>
      </c>
      <c r="T687" s="157" t="s">
        <v>974</v>
      </c>
      <c r="U687" s="157"/>
      <c r="V687" s="133"/>
      <c r="W687" s="133"/>
      <c r="X687" s="118">
        <v>44211</v>
      </c>
      <c r="Y687" s="118">
        <v>46401</v>
      </c>
    </row>
    <row r="688" s="79" customFormat="1" customHeight="1" spans="1:25">
      <c r="A688" s="98" t="s">
        <v>403</v>
      </c>
      <c r="B688" s="98" t="s">
        <v>62</v>
      </c>
      <c r="C688" s="98" t="s">
        <v>217</v>
      </c>
      <c r="D688" s="98" t="s">
        <v>566</v>
      </c>
      <c r="E688" s="147" t="s">
        <v>905</v>
      </c>
      <c r="F688" s="98" t="s">
        <v>942</v>
      </c>
      <c r="G688" s="151" t="s">
        <v>88</v>
      </c>
      <c r="H688" s="19" t="s">
        <v>943</v>
      </c>
      <c r="I688" s="23" t="e">
        <f>VLOOKUP(H688,'合同综合查询数据（3月返）'!$A:$A,1,FALSE)</f>
        <v>#N/A</v>
      </c>
      <c r="J688" s="24" t="s">
        <v>90</v>
      </c>
      <c r="K688" s="129" t="s">
        <v>944</v>
      </c>
      <c r="L688" s="153"/>
      <c r="M688" s="26" t="s">
        <v>945</v>
      </c>
      <c r="N688" s="154">
        <v>44442</v>
      </c>
      <c r="O688" s="155" t="s">
        <v>461</v>
      </c>
      <c r="P688" s="156">
        <v>11700</v>
      </c>
      <c r="Q688" s="156">
        <v>3</v>
      </c>
      <c r="R688" s="120">
        <f t="shared" si="23"/>
        <v>35100</v>
      </c>
      <c r="S688" s="117">
        <v>202303</v>
      </c>
      <c r="T688" s="157" t="s">
        <v>975</v>
      </c>
      <c r="U688" s="157"/>
      <c r="V688" s="133"/>
      <c r="W688" s="133"/>
      <c r="X688" s="118">
        <v>44211</v>
      </c>
      <c r="Y688" s="118">
        <v>46401</v>
      </c>
    </row>
    <row r="689" s="79" customFormat="1" customHeight="1" spans="1:25">
      <c r="A689" s="98" t="s">
        <v>403</v>
      </c>
      <c r="B689" s="98" t="s">
        <v>62</v>
      </c>
      <c r="C689" s="98" t="s">
        <v>217</v>
      </c>
      <c r="D689" s="98" t="s">
        <v>566</v>
      </c>
      <c r="E689" s="147" t="s">
        <v>905</v>
      </c>
      <c r="F689" s="98" t="s">
        <v>942</v>
      </c>
      <c r="G689" s="151" t="s">
        <v>88</v>
      </c>
      <c r="H689" s="19" t="s">
        <v>943</v>
      </c>
      <c r="I689" s="23" t="e">
        <f>VLOOKUP(H689,'合同综合查询数据（3月返）'!$A:$A,1,FALSE)</f>
        <v>#N/A</v>
      </c>
      <c r="J689" s="24" t="s">
        <v>90</v>
      </c>
      <c r="K689" s="129" t="s">
        <v>944</v>
      </c>
      <c r="L689" s="153"/>
      <c r="M689" s="26" t="s">
        <v>945</v>
      </c>
      <c r="N689" s="154">
        <v>44447</v>
      </c>
      <c r="O689" s="155" t="s">
        <v>461</v>
      </c>
      <c r="P689" s="156">
        <v>11700</v>
      </c>
      <c r="Q689" s="156">
        <v>2</v>
      </c>
      <c r="R689" s="120">
        <f t="shared" si="23"/>
        <v>23400</v>
      </c>
      <c r="S689" s="117">
        <v>202303</v>
      </c>
      <c r="T689" s="157" t="s">
        <v>976</v>
      </c>
      <c r="U689" s="157"/>
      <c r="V689" s="133"/>
      <c r="W689" s="133"/>
      <c r="X689" s="118">
        <v>44211</v>
      </c>
      <c r="Y689" s="118">
        <v>46401</v>
      </c>
    </row>
    <row r="690" s="79" customFormat="1" customHeight="1" spans="1:25">
      <c r="A690" s="98" t="s">
        <v>403</v>
      </c>
      <c r="B690" s="98" t="s">
        <v>62</v>
      </c>
      <c r="C690" s="98" t="s">
        <v>217</v>
      </c>
      <c r="D690" s="98" t="s">
        <v>566</v>
      </c>
      <c r="E690" s="147" t="s">
        <v>905</v>
      </c>
      <c r="F690" s="98" t="s">
        <v>942</v>
      </c>
      <c r="G690" s="151" t="s">
        <v>88</v>
      </c>
      <c r="H690" s="19" t="s">
        <v>943</v>
      </c>
      <c r="I690" s="23" t="e">
        <f>VLOOKUP(H690,'合同综合查询数据（3月返）'!$A:$A,1,FALSE)</f>
        <v>#N/A</v>
      </c>
      <c r="J690" s="24" t="s">
        <v>90</v>
      </c>
      <c r="K690" s="129" t="s">
        <v>944</v>
      </c>
      <c r="L690" s="153"/>
      <c r="M690" s="26" t="s">
        <v>945</v>
      </c>
      <c r="N690" s="154">
        <v>44453</v>
      </c>
      <c r="O690" s="155" t="s">
        <v>457</v>
      </c>
      <c r="P690" s="156">
        <v>5900</v>
      </c>
      <c r="Q690" s="156">
        <v>8</v>
      </c>
      <c r="R690" s="120">
        <f t="shared" si="23"/>
        <v>47200</v>
      </c>
      <c r="S690" s="117">
        <v>202303</v>
      </c>
      <c r="T690" s="157" t="s">
        <v>977</v>
      </c>
      <c r="U690" s="157"/>
      <c r="V690" s="133"/>
      <c r="W690" s="133"/>
      <c r="X690" s="118">
        <v>44211</v>
      </c>
      <c r="Y690" s="118">
        <v>46401</v>
      </c>
    </row>
    <row r="691" s="79" customFormat="1" customHeight="1" spans="1:25">
      <c r="A691" s="98" t="s">
        <v>403</v>
      </c>
      <c r="B691" s="98" t="s">
        <v>62</v>
      </c>
      <c r="C691" s="98" t="s">
        <v>217</v>
      </c>
      <c r="D691" s="98" t="s">
        <v>566</v>
      </c>
      <c r="E691" s="147" t="s">
        <v>905</v>
      </c>
      <c r="F691" s="98" t="s">
        <v>942</v>
      </c>
      <c r="G691" s="151" t="s">
        <v>88</v>
      </c>
      <c r="H691" s="19" t="s">
        <v>943</v>
      </c>
      <c r="I691" s="23" t="e">
        <f>VLOOKUP(H691,'合同综合查询数据（3月返）'!$A:$A,1,FALSE)</f>
        <v>#N/A</v>
      </c>
      <c r="J691" s="24" t="s">
        <v>90</v>
      </c>
      <c r="K691" s="129" t="s">
        <v>944</v>
      </c>
      <c r="L691" s="153"/>
      <c r="M691" s="26" t="s">
        <v>945</v>
      </c>
      <c r="N691" s="154">
        <v>44477</v>
      </c>
      <c r="O691" s="155" t="s">
        <v>461</v>
      </c>
      <c r="P691" s="156">
        <v>11700</v>
      </c>
      <c r="Q691" s="156">
        <v>13</v>
      </c>
      <c r="R691" s="120">
        <f t="shared" si="23"/>
        <v>152100</v>
      </c>
      <c r="S691" s="117">
        <v>202303</v>
      </c>
      <c r="T691" s="157" t="s">
        <v>978</v>
      </c>
      <c r="U691" s="157"/>
      <c r="V691" s="133"/>
      <c r="W691" s="133"/>
      <c r="X691" s="118">
        <v>44211</v>
      </c>
      <c r="Y691" s="118">
        <v>46401</v>
      </c>
    </row>
    <row r="692" s="79" customFormat="1" customHeight="1" spans="1:25">
      <c r="A692" s="98" t="s">
        <v>403</v>
      </c>
      <c r="B692" s="98" t="s">
        <v>62</v>
      </c>
      <c r="C692" s="98" t="s">
        <v>217</v>
      </c>
      <c r="D692" s="98" t="s">
        <v>566</v>
      </c>
      <c r="E692" s="147" t="s">
        <v>905</v>
      </c>
      <c r="F692" s="98" t="s">
        <v>942</v>
      </c>
      <c r="G692" s="151" t="s">
        <v>88</v>
      </c>
      <c r="H692" s="19" t="s">
        <v>943</v>
      </c>
      <c r="I692" s="23" t="e">
        <f>VLOOKUP(H692,'合同综合查询数据（3月返）'!$A:$A,1,FALSE)</f>
        <v>#N/A</v>
      </c>
      <c r="J692" s="24" t="s">
        <v>90</v>
      </c>
      <c r="K692" s="129" t="s">
        <v>944</v>
      </c>
      <c r="L692" s="153"/>
      <c r="M692" s="26" t="s">
        <v>945</v>
      </c>
      <c r="N692" s="154">
        <v>44481</v>
      </c>
      <c r="O692" s="155" t="s">
        <v>461</v>
      </c>
      <c r="P692" s="156">
        <v>11700</v>
      </c>
      <c r="Q692" s="156">
        <v>69</v>
      </c>
      <c r="R692" s="120">
        <f t="shared" si="23"/>
        <v>807300</v>
      </c>
      <c r="S692" s="117">
        <v>202303</v>
      </c>
      <c r="T692" s="157" t="s">
        <v>979</v>
      </c>
      <c r="U692" s="157"/>
      <c r="V692" s="133"/>
      <c r="W692" s="133"/>
      <c r="X692" s="118">
        <v>44211</v>
      </c>
      <c r="Y692" s="118">
        <v>46401</v>
      </c>
    </row>
    <row r="693" s="79" customFormat="1" customHeight="1" spans="1:25">
      <c r="A693" s="98" t="s">
        <v>403</v>
      </c>
      <c r="B693" s="98" t="s">
        <v>62</v>
      </c>
      <c r="C693" s="98" t="s">
        <v>217</v>
      </c>
      <c r="D693" s="98" t="s">
        <v>566</v>
      </c>
      <c r="E693" s="147" t="s">
        <v>905</v>
      </c>
      <c r="F693" s="98" t="s">
        <v>942</v>
      </c>
      <c r="G693" s="151" t="s">
        <v>88</v>
      </c>
      <c r="H693" s="19" t="s">
        <v>943</v>
      </c>
      <c r="I693" s="23" t="e">
        <f>VLOOKUP(H693,'合同综合查询数据（3月返）'!$A:$A,1,FALSE)</f>
        <v>#N/A</v>
      </c>
      <c r="J693" s="24" t="s">
        <v>90</v>
      </c>
      <c r="K693" s="129" t="s">
        <v>944</v>
      </c>
      <c r="L693" s="153"/>
      <c r="M693" s="26" t="s">
        <v>945</v>
      </c>
      <c r="N693" s="154">
        <v>44498</v>
      </c>
      <c r="O693" s="155" t="s">
        <v>461</v>
      </c>
      <c r="P693" s="156">
        <v>11700</v>
      </c>
      <c r="Q693" s="156">
        <v>4</v>
      </c>
      <c r="R693" s="120">
        <f t="shared" si="23"/>
        <v>46800</v>
      </c>
      <c r="S693" s="117">
        <v>202303</v>
      </c>
      <c r="T693" s="157" t="s">
        <v>980</v>
      </c>
      <c r="U693" s="157"/>
      <c r="V693" s="133"/>
      <c r="W693" s="133"/>
      <c r="X693" s="118">
        <v>44211</v>
      </c>
      <c r="Y693" s="118">
        <v>46401</v>
      </c>
    </row>
    <row r="694" s="79" customFormat="1" customHeight="1" spans="1:25">
      <c r="A694" s="98" t="s">
        <v>403</v>
      </c>
      <c r="B694" s="98" t="s">
        <v>62</v>
      </c>
      <c r="C694" s="98" t="s">
        <v>217</v>
      </c>
      <c r="D694" s="98" t="s">
        <v>566</v>
      </c>
      <c r="E694" s="147" t="s">
        <v>905</v>
      </c>
      <c r="F694" s="98" t="s">
        <v>942</v>
      </c>
      <c r="G694" s="151" t="s">
        <v>88</v>
      </c>
      <c r="H694" s="19" t="s">
        <v>943</v>
      </c>
      <c r="I694" s="23" t="e">
        <f>VLOOKUP(H694,'合同综合查询数据（3月返）'!$A:$A,1,FALSE)</f>
        <v>#N/A</v>
      </c>
      <c r="J694" s="24" t="s">
        <v>90</v>
      </c>
      <c r="K694" s="129" t="s">
        <v>944</v>
      </c>
      <c r="L694" s="153"/>
      <c r="M694" s="26" t="s">
        <v>945</v>
      </c>
      <c r="N694" s="154">
        <v>44501</v>
      </c>
      <c r="O694" s="155" t="s">
        <v>461</v>
      </c>
      <c r="P694" s="156">
        <v>11700</v>
      </c>
      <c r="Q694" s="156">
        <v>2</v>
      </c>
      <c r="R694" s="120">
        <f t="shared" si="23"/>
        <v>23400</v>
      </c>
      <c r="S694" s="117">
        <v>202303</v>
      </c>
      <c r="T694" s="157" t="s">
        <v>981</v>
      </c>
      <c r="U694" s="157"/>
      <c r="V694" s="133"/>
      <c r="W694" s="133"/>
      <c r="X694" s="118">
        <v>44211</v>
      </c>
      <c r="Y694" s="118">
        <v>46401</v>
      </c>
    </row>
    <row r="695" s="79" customFormat="1" customHeight="1" spans="1:25">
      <c r="A695" s="98" t="s">
        <v>403</v>
      </c>
      <c r="B695" s="98" t="s">
        <v>62</v>
      </c>
      <c r="C695" s="98" t="s">
        <v>217</v>
      </c>
      <c r="D695" s="98" t="s">
        <v>566</v>
      </c>
      <c r="E695" s="147" t="s">
        <v>905</v>
      </c>
      <c r="F695" s="98" t="s">
        <v>942</v>
      </c>
      <c r="G695" s="151" t="s">
        <v>88</v>
      </c>
      <c r="H695" s="19" t="s">
        <v>943</v>
      </c>
      <c r="I695" s="23" t="e">
        <f>VLOOKUP(H695,'合同综合查询数据（3月返）'!$A:$A,1,FALSE)</f>
        <v>#N/A</v>
      </c>
      <c r="J695" s="24" t="s">
        <v>90</v>
      </c>
      <c r="K695" s="129" t="s">
        <v>944</v>
      </c>
      <c r="L695" s="153"/>
      <c r="M695" s="26" t="s">
        <v>945</v>
      </c>
      <c r="N695" s="154">
        <v>44531</v>
      </c>
      <c r="O695" s="155" t="s">
        <v>461</v>
      </c>
      <c r="P695" s="156">
        <v>11700</v>
      </c>
      <c r="Q695" s="156">
        <v>31</v>
      </c>
      <c r="R695" s="120">
        <f t="shared" si="23"/>
        <v>362700</v>
      </c>
      <c r="S695" s="117">
        <v>202303</v>
      </c>
      <c r="T695" s="157" t="s">
        <v>982</v>
      </c>
      <c r="U695" s="157"/>
      <c r="V695" s="133"/>
      <c r="W695" s="133"/>
      <c r="X695" s="118">
        <v>44211</v>
      </c>
      <c r="Y695" s="118">
        <v>46401</v>
      </c>
    </row>
    <row r="696" s="79" customFormat="1" customHeight="1" spans="1:25">
      <c r="A696" s="98" t="s">
        <v>403</v>
      </c>
      <c r="B696" s="98" t="s">
        <v>62</v>
      </c>
      <c r="C696" s="98" t="s">
        <v>217</v>
      </c>
      <c r="D696" s="98" t="s">
        <v>566</v>
      </c>
      <c r="E696" s="147" t="s">
        <v>905</v>
      </c>
      <c r="F696" s="98" t="s">
        <v>942</v>
      </c>
      <c r="G696" s="151" t="s">
        <v>88</v>
      </c>
      <c r="H696" s="19" t="s">
        <v>943</v>
      </c>
      <c r="I696" s="23" t="e">
        <f>VLOOKUP(H696,'合同综合查询数据（3月返）'!$A:$A,1,FALSE)</f>
        <v>#N/A</v>
      </c>
      <c r="J696" s="24" t="s">
        <v>90</v>
      </c>
      <c r="K696" s="129" t="s">
        <v>944</v>
      </c>
      <c r="L696" s="153"/>
      <c r="M696" s="26" t="s">
        <v>945</v>
      </c>
      <c r="N696" s="154">
        <v>44536</v>
      </c>
      <c r="O696" s="155" t="s">
        <v>461</v>
      </c>
      <c r="P696" s="156">
        <v>11700</v>
      </c>
      <c r="Q696" s="156">
        <v>3</v>
      </c>
      <c r="R696" s="120">
        <f t="shared" si="23"/>
        <v>35100</v>
      </c>
      <c r="S696" s="117">
        <v>202303</v>
      </c>
      <c r="T696" s="157" t="s">
        <v>983</v>
      </c>
      <c r="U696" s="157"/>
      <c r="V696" s="133"/>
      <c r="W696" s="133"/>
      <c r="X696" s="118">
        <v>44211</v>
      </c>
      <c r="Y696" s="118">
        <v>46401</v>
      </c>
    </row>
    <row r="697" s="79" customFormat="1" customHeight="1" spans="1:25">
      <c r="A697" s="98" t="s">
        <v>403</v>
      </c>
      <c r="B697" s="98" t="s">
        <v>62</v>
      </c>
      <c r="C697" s="98" t="s">
        <v>217</v>
      </c>
      <c r="D697" s="98" t="s">
        <v>566</v>
      </c>
      <c r="E697" s="147" t="s">
        <v>905</v>
      </c>
      <c r="F697" s="98" t="s">
        <v>942</v>
      </c>
      <c r="G697" s="151" t="s">
        <v>88</v>
      </c>
      <c r="H697" s="19" t="s">
        <v>943</v>
      </c>
      <c r="I697" s="23" t="e">
        <f>VLOOKUP(H697,'合同综合查询数据（3月返）'!$A:$A,1,FALSE)</f>
        <v>#N/A</v>
      </c>
      <c r="J697" s="24" t="s">
        <v>90</v>
      </c>
      <c r="K697" s="129" t="s">
        <v>944</v>
      </c>
      <c r="L697" s="153"/>
      <c r="M697" s="26" t="s">
        <v>945</v>
      </c>
      <c r="N697" s="154">
        <v>44540</v>
      </c>
      <c r="O697" s="155" t="s">
        <v>461</v>
      </c>
      <c r="P697" s="156">
        <v>11700</v>
      </c>
      <c r="Q697" s="156">
        <v>5</v>
      </c>
      <c r="R697" s="120">
        <f t="shared" si="23"/>
        <v>58500</v>
      </c>
      <c r="S697" s="117">
        <v>202303</v>
      </c>
      <c r="T697" s="157" t="s">
        <v>984</v>
      </c>
      <c r="U697" s="157"/>
      <c r="V697" s="133"/>
      <c r="W697" s="133"/>
      <c r="X697" s="118">
        <v>44211</v>
      </c>
      <c r="Y697" s="118">
        <v>46401</v>
      </c>
    </row>
    <row r="698" s="79" customFormat="1" customHeight="1" spans="1:25">
      <c r="A698" s="98" t="s">
        <v>403</v>
      </c>
      <c r="B698" s="98" t="s">
        <v>62</v>
      </c>
      <c r="C698" s="98" t="s">
        <v>217</v>
      </c>
      <c r="D698" s="98" t="s">
        <v>566</v>
      </c>
      <c r="E698" s="147" t="s">
        <v>905</v>
      </c>
      <c r="F698" s="98" t="s">
        <v>942</v>
      </c>
      <c r="G698" s="151" t="s">
        <v>88</v>
      </c>
      <c r="H698" s="19" t="s">
        <v>943</v>
      </c>
      <c r="I698" s="23" t="e">
        <f>VLOOKUP(H698,'合同综合查询数据（3月返）'!$A:$A,1,FALSE)</f>
        <v>#N/A</v>
      </c>
      <c r="J698" s="24" t="s">
        <v>90</v>
      </c>
      <c r="K698" s="129" t="s">
        <v>944</v>
      </c>
      <c r="L698" s="153"/>
      <c r="M698" s="26" t="s">
        <v>945</v>
      </c>
      <c r="N698" s="154">
        <v>44546</v>
      </c>
      <c r="O698" s="155" t="s">
        <v>461</v>
      </c>
      <c r="P698" s="156">
        <v>11700</v>
      </c>
      <c r="Q698" s="156">
        <v>36</v>
      </c>
      <c r="R698" s="120">
        <f t="shared" si="23"/>
        <v>421200</v>
      </c>
      <c r="S698" s="117">
        <v>202303</v>
      </c>
      <c r="T698" s="157" t="s">
        <v>985</v>
      </c>
      <c r="U698" s="157"/>
      <c r="V698" s="133"/>
      <c r="W698" s="133"/>
      <c r="X698" s="118">
        <v>44211</v>
      </c>
      <c r="Y698" s="118">
        <v>46401</v>
      </c>
    </row>
    <row r="699" s="79" customFormat="1" customHeight="1" spans="1:25">
      <c r="A699" s="98" t="s">
        <v>403</v>
      </c>
      <c r="B699" s="98" t="s">
        <v>62</v>
      </c>
      <c r="C699" s="98" t="s">
        <v>217</v>
      </c>
      <c r="D699" s="98" t="s">
        <v>566</v>
      </c>
      <c r="E699" s="147" t="s">
        <v>905</v>
      </c>
      <c r="F699" s="98" t="s">
        <v>942</v>
      </c>
      <c r="G699" s="151" t="s">
        <v>88</v>
      </c>
      <c r="H699" s="19" t="s">
        <v>943</v>
      </c>
      <c r="I699" s="23" t="e">
        <f>VLOOKUP(H699,'合同综合查询数据（3月返）'!$A:$A,1,FALSE)</f>
        <v>#N/A</v>
      </c>
      <c r="J699" s="24" t="s">
        <v>90</v>
      </c>
      <c r="K699" s="129" t="s">
        <v>944</v>
      </c>
      <c r="L699" s="153"/>
      <c r="M699" s="26" t="s">
        <v>945</v>
      </c>
      <c r="N699" s="154">
        <v>44553</v>
      </c>
      <c r="O699" s="155" t="s">
        <v>461</v>
      </c>
      <c r="P699" s="156">
        <v>11700</v>
      </c>
      <c r="Q699" s="156">
        <v>4</v>
      </c>
      <c r="R699" s="120">
        <f t="shared" si="23"/>
        <v>46800</v>
      </c>
      <c r="S699" s="117">
        <v>202303</v>
      </c>
      <c r="T699" s="157" t="s">
        <v>986</v>
      </c>
      <c r="U699" s="157"/>
      <c r="V699" s="133"/>
      <c r="W699" s="133"/>
      <c r="X699" s="118">
        <v>44211</v>
      </c>
      <c r="Y699" s="118">
        <v>46401</v>
      </c>
    </row>
    <row r="700" s="79" customFormat="1" customHeight="1" spans="1:25">
      <c r="A700" s="98" t="s">
        <v>403</v>
      </c>
      <c r="B700" s="98" t="s">
        <v>62</v>
      </c>
      <c r="C700" s="98" t="s">
        <v>217</v>
      </c>
      <c r="D700" s="98" t="s">
        <v>566</v>
      </c>
      <c r="E700" s="147" t="s">
        <v>905</v>
      </c>
      <c r="F700" s="98" t="s">
        <v>942</v>
      </c>
      <c r="G700" s="151" t="s">
        <v>88</v>
      </c>
      <c r="H700" s="19" t="s">
        <v>943</v>
      </c>
      <c r="I700" s="23" t="e">
        <f>VLOOKUP(H700,'合同综合查询数据（3月返）'!$A:$A,1,FALSE)</f>
        <v>#N/A</v>
      </c>
      <c r="J700" s="24" t="s">
        <v>90</v>
      </c>
      <c r="K700" s="129" t="s">
        <v>944</v>
      </c>
      <c r="L700" s="153"/>
      <c r="M700" s="26" t="s">
        <v>945</v>
      </c>
      <c r="N700" s="154">
        <v>44556</v>
      </c>
      <c r="O700" s="155" t="s">
        <v>461</v>
      </c>
      <c r="P700" s="156">
        <v>11700</v>
      </c>
      <c r="Q700" s="156">
        <v>2</v>
      </c>
      <c r="R700" s="120">
        <f t="shared" si="23"/>
        <v>23400</v>
      </c>
      <c r="S700" s="117">
        <v>202303</v>
      </c>
      <c r="T700" s="157" t="s">
        <v>987</v>
      </c>
      <c r="U700" s="157"/>
      <c r="V700" s="133"/>
      <c r="W700" s="133"/>
      <c r="X700" s="118">
        <v>44211</v>
      </c>
      <c r="Y700" s="118">
        <v>46401</v>
      </c>
    </row>
    <row r="701" s="79" customFormat="1" customHeight="1" spans="1:25">
      <c r="A701" s="98" t="s">
        <v>403</v>
      </c>
      <c r="B701" s="98" t="s">
        <v>62</v>
      </c>
      <c r="C701" s="98" t="s">
        <v>217</v>
      </c>
      <c r="D701" s="98" t="s">
        <v>566</v>
      </c>
      <c r="E701" s="147" t="s">
        <v>905</v>
      </c>
      <c r="F701" s="98" t="s">
        <v>942</v>
      </c>
      <c r="G701" s="151" t="s">
        <v>88</v>
      </c>
      <c r="H701" s="19" t="s">
        <v>943</v>
      </c>
      <c r="I701" s="23" t="e">
        <f>VLOOKUP(H701,'合同综合查询数据（3月返）'!$A:$A,1,FALSE)</f>
        <v>#N/A</v>
      </c>
      <c r="J701" s="24" t="s">
        <v>90</v>
      </c>
      <c r="K701" s="129" t="s">
        <v>944</v>
      </c>
      <c r="L701" s="153"/>
      <c r="M701" s="26" t="s">
        <v>945</v>
      </c>
      <c r="N701" s="154">
        <v>44693</v>
      </c>
      <c r="O701" s="155" t="s">
        <v>574</v>
      </c>
      <c r="P701" s="156">
        <v>32400</v>
      </c>
      <c r="Q701" s="156">
        <v>2</v>
      </c>
      <c r="R701" s="120">
        <f t="shared" si="23"/>
        <v>64800</v>
      </c>
      <c r="S701" s="117">
        <v>202303</v>
      </c>
      <c r="T701" s="157" t="s">
        <v>988</v>
      </c>
      <c r="U701" s="157"/>
      <c r="V701" s="133"/>
      <c r="W701" s="133"/>
      <c r="X701" s="118">
        <v>44211</v>
      </c>
      <c r="Y701" s="118">
        <v>46401</v>
      </c>
    </row>
    <row r="702" s="79" customFormat="1" customHeight="1" spans="1:25">
      <c r="A702" s="98" t="s">
        <v>403</v>
      </c>
      <c r="B702" s="98" t="s">
        <v>62</v>
      </c>
      <c r="C702" s="98" t="s">
        <v>217</v>
      </c>
      <c r="D702" s="98" t="s">
        <v>566</v>
      </c>
      <c r="E702" s="147" t="s">
        <v>905</v>
      </c>
      <c r="F702" s="98" t="s">
        <v>942</v>
      </c>
      <c r="G702" s="151" t="s">
        <v>88</v>
      </c>
      <c r="H702" s="19" t="s">
        <v>943</v>
      </c>
      <c r="I702" s="23" t="e">
        <f>VLOOKUP(H702,'合同综合查询数据（3月返）'!$A:$A,1,FALSE)</f>
        <v>#N/A</v>
      </c>
      <c r="J702" s="24" t="s">
        <v>90</v>
      </c>
      <c r="K702" s="129" t="s">
        <v>944</v>
      </c>
      <c r="L702" s="153"/>
      <c r="M702" s="26" t="s">
        <v>945</v>
      </c>
      <c r="N702" s="154">
        <v>44844</v>
      </c>
      <c r="O702" s="155" t="s">
        <v>461</v>
      </c>
      <c r="P702" s="156">
        <v>11700</v>
      </c>
      <c r="Q702" s="156">
        <v>3</v>
      </c>
      <c r="R702" s="120">
        <f t="shared" si="23"/>
        <v>35100</v>
      </c>
      <c r="S702" s="117">
        <v>202303</v>
      </c>
      <c r="T702" s="157" t="s">
        <v>989</v>
      </c>
      <c r="U702" s="157"/>
      <c r="V702" s="133"/>
      <c r="W702" s="133"/>
      <c r="X702" s="118">
        <v>44211</v>
      </c>
      <c r="Y702" s="118">
        <v>46401</v>
      </c>
    </row>
    <row r="703" s="79" customFormat="1" customHeight="1" spans="1:25">
      <c r="A703" s="98" t="s">
        <v>403</v>
      </c>
      <c r="B703" s="98" t="s">
        <v>62</v>
      </c>
      <c r="C703" s="98" t="s">
        <v>217</v>
      </c>
      <c r="D703" s="98" t="s">
        <v>566</v>
      </c>
      <c r="E703" s="147" t="s">
        <v>905</v>
      </c>
      <c r="F703" s="98" t="s">
        <v>942</v>
      </c>
      <c r="G703" s="151" t="s">
        <v>88</v>
      </c>
      <c r="H703" s="19" t="s">
        <v>943</v>
      </c>
      <c r="I703" s="23" t="e">
        <f>VLOOKUP(H703,'合同综合查询数据（3月返）'!$A:$A,1,FALSE)</f>
        <v>#N/A</v>
      </c>
      <c r="J703" s="24" t="s">
        <v>90</v>
      </c>
      <c r="K703" s="129" t="s">
        <v>944</v>
      </c>
      <c r="L703" s="153"/>
      <c r="M703" s="26" t="s">
        <v>945</v>
      </c>
      <c r="N703" s="154">
        <v>44844</v>
      </c>
      <c r="O703" s="155" t="s">
        <v>461</v>
      </c>
      <c r="P703" s="156">
        <v>11700</v>
      </c>
      <c r="Q703" s="156">
        <v>-1</v>
      </c>
      <c r="R703" s="120">
        <f t="shared" si="23"/>
        <v>-11700</v>
      </c>
      <c r="S703" s="117">
        <v>202303</v>
      </c>
      <c r="T703" s="157" t="s">
        <v>990</v>
      </c>
      <c r="U703" s="157"/>
      <c r="V703" s="133"/>
      <c r="W703" s="133"/>
      <c r="X703" s="118">
        <v>44211</v>
      </c>
      <c r="Y703" s="118">
        <v>46401</v>
      </c>
    </row>
    <row r="704" s="79" customFormat="1" customHeight="1" spans="1:25">
      <c r="A704" s="98" t="s">
        <v>403</v>
      </c>
      <c r="B704" s="98" t="s">
        <v>62</v>
      </c>
      <c r="C704" s="98" t="s">
        <v>217</v>
      </c>
      <c r="D704" s="98" t="s">
        <v>566</v>
      </c>
      <c r="E704" s="147" t="s">
        <v>905</v>
      </c>
      <c r="F704" s="98" t="s">
        <v>942</v>
      </c>
      <c r="G704" s="151" t="s">
        <v>88</v>
      </c>
      <c r="H704" s="19" t="s">
        <v>943</v>
      </c>
      <c r="I704" s="23" t="e">
        <f>VLOOKUP(H704,'合同综合查询数据（3月返）'!$A:$A,1,FALSE)</f>
        <v>#N/A</v>
      </c>
      <c r="J704" s="24" t="s">
        <v>90</v>
      </c>
      <c r="K704" s="129" t="s">
        <v>944</v>
      </c>
      <c r="L704" s="153"/>
      <c r="M704" s="26" t="s">
        <v>945</v>
      </c>
      <c r="N704" s="154">
        <v>44874</v>
      </c>
      <c r="O704" s="155" t="s">
        <v>461</v>
      </c>
      <c r="P704" s="156">
        <v>11700</v>
      </c>
      <c r="Q704" s="156">
        <v>4</v>
      </c>
      <c r="R704" s="120">
        <f t="shared" si="23"/>
        <v>46800</v>
      </c>
      <c r="S704" s="117">
        <v>202303</v>
      </c>
      <c r="T704" s="157" t="s">
        <v>991</v>
      </c>
      <c r="U704" s="157"/>
      <c r="V704" s="133"/>
      <c r="W704" s="133"/>
      <c r="X704" s="118">
        <v>44211</v>
      </c>
      <c r="Y704" s="118">
        <v>46401</v>
      </c>
    </row>
    <row r="705" s="79" customFormat="1" customHeight="1" spans="1:25">
      <c r="A705" s="98" t="s">
        <v>403</v>
      </c>
      <c r="B705" s="98" t="s">
        <v>62</v>
      </c>
      <c r="C705" s="98" t="s">
        <v>217</v>
      </c>
      <c r="D705" s="98" t="s">
        <v>566</v>
      </c>
      <c r="E705" s="147" t="s">
        <v>905</v>
      </c>
      <c r="F705" s="98" t="s">
        <v>942</v>
      </c>
      <c r="G705" s="151" t="s">
        <v>88</v>
      </c>
      <c r="H705" s="19" t="s">
        <v>943</v>
      </c>
      <c r="I705" s="23" t="e">
        <f>VLOOKUP(H705,'合同综合查询数据（3月返）'!$A:$A,1,FALSE)</f>
        <v>#N/A</v>
      </c>
      <c r="J705" s="24" t="s">
        <v>90</v>
      </c>
      <c r="K705" s="129" t="s">
        <v>944</v>
      </c>
      <c r="L705" s="153"/>
      <c r="M705" s="26" t="s">
        <v>945</v>
      </c>
      <c r="N705" s="154">
        <v>44861</v>
      </c>
      <c r="O705" s="155" t="s">
        <v>461</v>
      </c>
      <c r="P705" s="156">
        <v>11700</v>
      </c>
      <c r="Q705" s="156">
        <v>-10</v>
      </c>
      <c r="R705" s="120">
        <f t="shared" si="23"/>
        <v>-117000</v>
      </c>
      <c r="S705" s="117">
        <v>202303</v>
      </c>
      <c r="T705" s="157" t="s">
        <v>992</v>
      </c>
      <c r="U705" s="157"/>
      <c r="V705" s="133"/>
      <c r="W705" s="133"/>
      <c r="X705" s="118">
        <v>44211</v>
      </c>
      <c r="Y705" s="118">
        <v>46401</v>
      </c>
    </row>
    <row r="706" s="79" customFormat="1" customHeight="1" spans="1:25">
      <c r="A706" s="98" t="s">
        <v>403</v>
      </c>
      <c r="B706" s="98" t="s">
        <v>62</v>
      </c>
      <c r="C706" s="98" t="s">
        <v>217</v>
      </c>
      <c r="D706" s="98" t="s">
        <v>566</v>
      </c>
      <c r="E706" s="147" t="s">
        <v>905</v>
      </c>
      <c r="F706" s="98" t="s">
        <v>942</v>
      </c>
      <c r="G706" s="151" t="s">
        <v>88</v>
      </c>
      <c r="H706" s="19" t="s">
        <v>943</v>
      </c>
      <c r="I706" s="23" t="e">
        <f>VLOOKUP(H706,'合同综合查询数据（3月返）'!$A:$A,1,FALSE)</f>
        <v>#N/A</v>
      </c>
      <c r="J706" s="24" t="s">
        <v>90</v>
      </c>
      <c r="K706" s="129" t="s">
        <v>944</v>
      </c>
      <c r="L706" s="153"/>
      <c r="M706" s="26" t="s">
        <v>945</v>
      </c>
      <c r="N706" s="154">
        <v>44869</v>
      </c>
      <c r="O706" s="155" t="s">
        <v>461</v>
      </c>
      <c r="P706" s="156">
        <v>11700</v>
      </c>
      <c r="Q706" s="156">
        <v>-1</v>
      </c>
      <c r="R706" s="120">
        <f t="shared" si="23"/>
        <v>-11700</v>
      </c>
      <c r="S706" s="117">
        <v>202303</v>
      </c>
      <c r="T706" s="157" t="s">
        <v>993</v>
      </c>
      <c r="U706" s="157"/>
      <c r="V706" s="133"/>
      <c r="W706" s="133"/>
      <c r="X706" s="118">
        <v>44211</v>
      </c>
      <c r="Y706" s="118">
        <v>46401</v>
      </c>
    </row>
    <row r="707" s="79" customFormat="1" customHeight="1" spans="1:25">
      <c r="A707" s="98" t="s">
        <v>403</v>
      </c>
      <c r="B707" s="98" t="s">
        <v>62</v>
      </c>
      <c r="C707" s="98" t="s">
        <v>217</v>
      </c>
      <c r="D707" s="98" t="s">
        <v>566</v>
      </c>
      <c r="E707" s="147" t="s">
        <v>905</v>
      </c>
      <c r="F707" s="98" t="s">
        <v>942</v>
      </c>
      <c r="G707" s="151" t="s">
        <v>88</v>
      </c>
      <c r="H707" s="19" t="s">
        <v>943</v>
      </c>
      <c r="I707" s="23" t="e">
        <f>VLOOKUP(H707,'合同综合查询数据（3月返）'!$A:$A,1,FALSE)</f>
        <v>#N/A</v>
      </c>
      <c r="J707" s="24" t="s">
        <v>90</v>
      </c>
      <c r="K707" s="129" t="s">
        <v>944</v>
      </c>
      <c r="L707" s="40"/>
      <c r="M707" s="26" t="s">
        <v>945</v>
      </c>
      <c r="N707" s="154">
        <v>44937</v>
      </c>
      <c r="O707" s="155" t="s">
        <v>461</v>
      </c>
      <c r="P707" s="156">
        <v>11700</v>
      </c>
      <c r="Q707" s="156">
        <v>3</v>
      </c>
      <c r="R707" s="120">
        <f t="shared" si="23"/>
        <v>35100</v>
      </c>
      <c r="S707" s="117">
        <v>202303</v>
      </c>
      <c r="T707" s="157" t="s">
        <v>994</v>
      </c>
      <c r="U707" s="157"/>
      <c r="V707" s="133"/>
      <c r="W707" s="133"/>
      <c r="X707" s="118">
        <v>44211</v>
      </c>
      <c r="Y707" s="118">
        <v>46401</v>
      </c>
    </row>
    <row r="708" s="79" customFormat="1" customHeight="1" spans="1:25">
      <c r="A708" s="98" t="s">
        <v>403</v>
      </c>
      <c r="B708" s="98" t="s">
        <v>62</v>
      </c>
      <c r="C708" s="98" t="s">
        <v>217</v>
      </c>
      <c r="D708" s="98" t="s">
        <v>566</v>
      </c>
      <c r="E708" s="147" t="s">
        <v>905</v>
      </c>
      <c r="F708" s="98" t="s">
        <v>906</v>
      </c>
      <c r="G708" s="151" t="s">
        <v>88</v>
      </c>
      <c r="H708" s="19" t="s">
        <v>995</v>
      </c>
      <c r="I708" s="23" t="e">
        <f>VLOOKUP(H708,'合同综合查询数据（3月返）'!$A:$A,1,FALSE)</f>
        <v>#N/A</v>
      </c>
      <c r="J708" s="24" t="s">
        <v>90</v>
      </c>
      <c r="K708" s="129" t="s">
        <v>996</v>
      </c>
      <c r="L708" s="153"/>
      <c r="M708" s="26" t="s">
        <v>909</v>
      </c>
      <c r="N708" s="154">
        <v>44331</v>
      </c>
      <c r="O708" s="155" t="s">
        <v>457</v>
      </c>
      <c r="P708" s="156">
        <v>5900</v>
      </c>
      <c r="Q708" s="156">
        <v>6</v>
      </c>
      <c r="R708" s="120">
        <f t="shared" si="23"/>
        <v>35400</v>
      </c>
      <c r="S708" s="117">
        <v>202303</v>
      </c>
      <c r="T708" s="157" t="s">
        <v>997</v>
      </c>
      <c r="U708" s="157"/>
      <c r="V708" s="133"/>
      <c r="W708" s="133"/>
      <c r="X708" s="118">
        <v>44301</v>
      </c>
      <c r="Y708" s="118">
        <v>46491</v>
      </c>
    </row>
    <row r="709" s="79" customFormat="1" customHeight="1" spans="1:25">
      <c r="A709" s="98" t="s">
        <v>403</v>
      </c>
      <c r="B709" s="98" t="s">
        <v>62</v>
      </c>
      <c r="C709" s="98" t="s">
        <v>217</v>
      </c>
      <c r="D709" s="98" t="s">
        <v>566</v>
      </c>
      <c r="E709" s="147" t="s">
        <v>905</v>
      </c>
      <c r="F709" s="98" t="s">
        <v>906</v>
      </c>
      <c r="G709" s="151" t="s">
        <v>88</v>
      </c>
      <c r="H709" s="19" t="s">
        <v>995</v>
      </c>
      <c r="I709" s="23" t="e">
        <f>VLOOKUP(H709,'合同综合查询数据（3月返）'!$A:$A,1,FALSE)</f>
        <v>#N/A</v>
      </c>
      <c r="J709" s="24" t="s">
        <v>90</v>
      </c>
      <c r="K709" s="129" t="s">
        <v>996</v>
      </c>
      <c r="L709" s="153"/>
      <c r="M709" s="26" t="s">
        <v>909</v>
      </c>
      <c r="N709" s="154">
        <v>44331</v>
      </c>
      <c r="O709" s="155" t="s">
        <v>461</v>
      </c>
      <c r="P709" s="156">
        <v>8595</v>
      </c>
      <c r="Q709" s="156">
        <v>367</v>
      </c>
      <c r="R709" s="120">
        <f t="shared" si="23"/>
        <v>3154365</v>
      </c>
      <c r="S709" s="117">
        <v>202303</v>
      </c>
      <c r="T709" s="157" t="s">
        <v>998</v>
      </c>
      <c r="U709" s="157"/>
      <c r="V709" s="133"/>
      <c r="W709" s="133"/>
      <c r="X709" s="118">
        <v>44301</v>
      </c>
      <c r="Y709" s="118">
        <v>46491</v>
      </c>
    </row>
    <row r="710" s="79" customFormat="1" customHeight="1" spans="1:25">
      <c r="A710" s="98" t="s">
        <v>403</v>
      </c>
      <c r="B710" s="98" t="s">
        <v>62</v>
      </c>
      <c r="C710" s="98" t="s">
        <v>217</v>
      </c>
      <c r="D710" s="98" t="s">
        <v>566</v>
      </c>
      <c r="E710" s="147" t="s">
        <v>905</v>
      </c>
      <c r="F710" s="98" t="s">
        <v>906</v>
      </c>
      <c r="G710" s="151" t="s">
        <v>88</v>
      </c>
      <c r="H710" s="19" t="s">
        <v>995</v>
      </c>
      <c r="I710" s="23" t="e">
        <f>VLOOKUP(H710,'合同综合查询数据（3月返）'!$A:$A,1,FALSE)</f>
        <v>#N/A</v>
      </c>
      <c r="J710" s="24" t="s">
        <v>90</v>
      </c>
      <c r="K710" s="129" t="s">
        <v>996</v>
      </c>
      <c r="L710" s="153"/>
      <c r="M710" s="26" t="s">
        <v>909</v>
      </c>
      <c r="N710" s="154">
        <v>44331</v>
      </c>
      <c r="O710" s="155" t="s">
        <v>461</v>
      </c>
      <c r="P710" s="156">
        <v>8595</v>
      </c>
      <c r="Q710" s="156">
        <v>170</v>
      </c>
      <c r="R710" s="120">
        <f t="shared" si="23"/>
        <v>1461150</v>
      </c>
      <c r="S710" s="117">
        <v>202303</v>
      </c>
      <c r="T710" s="157" t="s">
        <v>999</v>
      </c>
      <c r="U710" s="157"/>
      <c r="V710" s="133"/>
      <c r="W710" s="133"/>
      <c r="X710" s="118">
        <v>44301</v>
      </c>
      <c r="Y710" s="118">
        <v>46491</v>
      </c>
    </row>
    <row r="711" s="79" customFormat="1" customHeight="1" spans="1:25">
      <c r="A711" s="98" t="s">
        <v>403</v>
      </c>
      <c r="B711" s="98" t="s">
        <v>62</v>
      </c>
      <c r="C711" s="98" t="s">
        <v>217</v>
      </c>
      <c r="D711" s="98" t="s">
        <v>566</v>
      </c>
      <c r="E711" s="147" t="s">
        <v>905</v>
      </c>
      <c r="F711" s="98" t="s">
        <v>906</v>
      </c>
      <c r="G711" s="151" t="s">
        <v>88</v>
      </c>
      <c r="H711" s="19" t="s">
        <v>995</v>
      </c>
      <c r="I711" s="23" t="e">
        <f>VLOOKUP(H711,'合同综合查询数据（3月返）'!$A:$A,1,FALSE)</f>
        <v>#N/A</v>
      </c>
      <c r="J711" s="24" t="s">
        <v>90</v>
      </c>
      <c r="K711" s="129" t="s">
        <v>996</v>
      </c>
      <c r="L711" s="153"/>
      <c r="M711" s="26" t="s">
        <v>909</v>
      </c>
      <c r="N711" s="154">
        <v>44335</v>
      </c>
      <c r="O711" s="155" t="s">
        <v>461</v>
      </c>
      <c r="P711" s="156">
        <v>8595</v>
      </c>
      <c r="Q711" s="156">
        <v>4</v>
      </c>
      <c r="R711" s="120">
        <f t="shared" si="23"/>
        <v>34380</v>
      </c>
      <c r="S711" s="117">
        <v>202303</v>
      </c>
      <c r="T711" s="157" t="s">
        <v>1000</v>
      </c>
      <c r="U711" s="157"/>
      <c r="V711" s="133"/>
      <c r="W711" s="133"/>
      <c r="X711" s="118">
        <v>44301</v>
      </c>
      <c r="Y711" s="118">
        <v>46491</v>
      </c>
    </row>
    <row r="712" s="79" customFormat="1" customHeight="1" spans="1:25">
      <c r="A712" s="98" t="s">
        <v>403</v>
      </c>
      <c r="B712" s="98" t="s">
        <v>62</v>
      </c>
      <c r="C712" s="98" t="s">
        <v>217</v>
      </c>
      <c r="D712" s="98" t="s">
        <v>566</v>
      </c>
      <c r="E712" s="147" t="s">
        <v>905</v>
      </c>
      <c r="F712" s="98" t="s">
        <v>906</v>
      </c>
      <c r="G712" s="151" t="s">
        <v>88</v>
      </c>
      <c r="H712" s="19" t="s">
        <v>995</v>
      </c>
      <c r="I712" s="23" t="e">
        <f>VLOOKUP(H712,'合同综合查询数据（3月返）'!$A:$A,1,FALSE)</f>
        <v>#N/A</v>
      </c>
      <c r="J712" s="24" t="s">
        <v>90</v>
      </c>
      <c r="K712" s="129" t="s">
        <v>996</v>
      </c>
      <c r="L712" s="153"/>
      <c r="M712" s="26" t="s">
        <v>909</v>
      </c>
      <c r="N712" s="154">
        <v>44336</v>
      </c>
      <c r="O712" s="155" t="s">
        <v>461</v>
      </c>
      <c r="P712" s="156">
        <v>8595</v>
      </c>
      <c r="Q712" s="156">
        <v>6</v>
      </c>
      <c r="R712" s="120">
        <f t="shared" si="23"/>
        <v>51570</v>
      </c>
      <c r="S712" s="117">
        <v>202303</v>
      </c>
      <c r="T712" s="157" t="s">
        <v>1001</v>
      </c>
      <c r="U712" s="157"/>
      <c r="V712" s="133"/>
      <c r="W712" s="133"/>
      <c r="X712" s="118">
        <v>44301</v>
      </c>
      <c r="Y712" s="118">
        <v>46491</v>
      </c>
    </row>
    <row r="713" s="79" customFormat="1" customHeight="1" spans="1:25">
      <c r="A713" s="98" t="s">
        <v>403</v>
      </c>
      <c r="B713" s="98" t="s">
        <v>62</v>
      </c>
      <c r="C713" s="98" t="s">
        <v>217</v>
      </c>
      <c r="D713" s="98" t="s">
        <v>566</v>
      </c>
      <c r="E713" s="147" t="s">
        <v>905</v>
      </c>
      <c r="F713" s="98" t="s">
        <v>906</v>
      </c>
      <c r="G713" s="151" t="s">
        <v>88</v>
      </c>
      <c r="H713" s="19" t="s">
        <v>995</v>
      </c>
      <c r="I713" s="23" t="e">
        <f>VLOOKUP(H713,'合同综合查询数据（3月返）'!$A:$A,1,FALSE)</f>
        <v>#N/A</v>
      </c>
      <c r="J713" s="24" t="s">
        <v>90</v>
      </c>
      <c r="K713" s="129" t="s">
        <v>996</v>
      </c>
      <c r="L713" s="153"/>
      <c r="M713" s="26" t="s">
        <v>909</v>
      </c>
      <c r="N713" s="154">
        <v>44340</v>
      </c>
      <c r="O713" s="155" t="s">
        <v>461</v>
      </c>
      <c r="P713" s="156">
        <v>8595</v>
      </c>
      <c r="Q713" s="156">
        <v>2</v>
      </c>
      <c r="R713" s="120">
        <f t="shared" si="23"/>
        <v>17190</v>
      </c>
      <c r="S713" s="117">
        <v>202303</v>
      </c>
      <c r="T713" s="157" t="s">
        <v>1002</v>
      </c>
      <c r="U713" s="157"/>
      <c r="V713" s="133"/>
      <c r="W713" s="133"/>
      <c r="X713" s="118">
        <v>44301</v>
      </c>
      <c r="Y713" s="118">
        <v>46491</v>
      </c>
    </row>
    <row r="714" s="79" customFormat="1" customHeight="1" spans="1:25">
      <c r="A714" s="98" t="s">
        <v>403</v>
      </c>
      <c r="B714" s="98" t="s">
        <v>62</v>
      </c>
      <c r="C714" s="98" t="s">
        <v>217</v>
      </c>
      <c r="D714" s="98" t="s">
        <v>566</v>
      </c>
      <c r="E714" s="147" t="s">
        <v>905</v>
      </c>
      <c r="F714" s="98" t="s">
        <v>906</v>
      </c>
      <c r="G714" s="151" t="s">
        <v>88</v>
      </c>
      <c r="H714" s="19" t="s">
        <v>995</v>
      </c>
      <c r="I714" s="23" t="e">
        <f>VLOOKUP(H714,'合同综合查询数据（3月返）'!$A:$A,1,FALSE)</f>
        <v>#N/A</v>
      </c>
      <c r="J714" s="24" t="s">
        <v>90</v>
      </c>
      <c r="K714" s="129" t="s">
        <v>996</v>
      </c>
      <c r="L714" s="153"/>
      <c r="M714" s="26" t="s">
        <v>909</v>
      </c>
      <c r="N714" s="154">
        <v>44341</v>
      </c>
      <c r="O714" s="155" t="s">
        <v>461</v>
      </c>
      <c r="P714" s="156">
        <v>8595</v>
      </c>
      <c r="Q714" s="156">
        <v>6</v>
      </c>
      <c r="R714" s="120">
        <f t="shared" si="23"/>
        <v>51570</v>
      </c>
      <c r="S714" s="117">
        <v>202303</v>
      </c>
      <c r="T714" s="157" t="s">
        <v>1003</v>
      </c>
      <c r="U714" s="157"/>
      <c r="V714" s="133"/>
      <c r="W714" s="133"/>
      <c r="X714" s="118">
        <v>44301</v>
      </c>
      <c r="Y714" s="118">
        <v>46491</v>
      </c>
    </row>
    <row r="715" s="79" customFormat="1" customHeight="1" spans="1:25">
      <c r="A715" s="98" t="s">
        <v>403</v>
      </c>
      <c r="B715" s="98" t="s">
        <v>62</v>
      </c>
      <c r="C715" s="98" t="s">
        <v>217</v>
      </c>
      <c r="D715" s="98" t="s">
        <v>566</v>
      </c>
      <c r="E715" s="147" t="s">
        <v>905</v>
      </c>
      <c r="F715" s="98" t="s">
        <v>906</v>
      </c>
      <c r="G715" s="151" t="s">
        <v>88</v>
      </c>
      <c r="H715" s="19" t="s">
        <v>995</v>
      </c>
      <c r="I715" s="23" t="e">
        <f>VLOOKUP(H715,'合同综合查询数据（3月返）'!$A:$A,1,FALSE)</f>
        <v>#N/A</v>
      </c>
      <c r="J715" s="24" t="s">
        <v>90</v>
      </c>
      <c r="K715" s="129" t="s">
        <v>996</v>
      </c>
      <c r="L715" s="153"/>
      <c r="M715" s="26" t="s">
        <v>909</v>
      </c>
      <c r="N715" s="154">
        <v>44343</v>
      </c>
      <c r="O715" s="155" t="s">
        <v>461</v>
      </c>
      <c r="P715" s="156">
        <v>8595</v>
      </c>
      <c r="Q715" s="156">
        <v>16</v>
      </c>
      <c r="R715" s="120">
        <f t="shared" si="23"/>
        <v>137520</v>
      </c>
      <c r="S715" s="117">
        <v>202303</v>
      </c>
      <c r="T715" s="157" t="s">
        <v>1004</v>
      </c>
      <c r="U715" s="157"/>
      <c r="V715" s="133"/>
      <c r="W715" s="133"/>
      <c r="X715" s="118">
        <v>44301</v>
      </c>
      <c r="Y715" s="118">
        <v>46491</v>
      </c>
    </row>
    <row r="716" s="79" customFormat="1" customHeight="1" spans="1:25">
      <c r="A716" s="98" t="s">
        <v>403</v>
      </c>
      <c r="B716" s="98" t="s">
        <v>62</v>
      </c>
      <c r="C716" s="98" t="s">
        <v>217</v>
      </c>
      <c r="D716" s="98" t="s">
        <v>566</v>
      </c>
      <c r="E716" s="147" t="s">
        <v>905</v>
      </c>
      <c r="F716" s="98" t="s">
        <v>906</v>
      </c>
      <c r="G716" s="151" t="s">
        <v>88</v>
      </c>
      <c r="H716" s="19" t="s">
        <v>995</v>
      </c>
      <c r="I716" s="23" t="e">
        <f>VLOOKUP(H716,'合同综合查询数据（3月返）'!$A:$A,1,FALSE)</f>
        <v>#N/A</v>
      </c>
      <c r="J716" s="24" t="s">
        <v>90</v>
      </c>
      <c r="K716" s="129" t="s">
        <v>996</v>
      </c>
      <c r="L716" s="153"/>
      <c r="M716" s="26" t="s">
        <v>909</v>
      </c>
      <c r="N716" s="154">
        <v>44344</v>
      </c>
      <c r="O716" s="155" t="s">
        <v>461</v>
      </c>
      <c r="P716" s="156">
        <v>8595</v>
      </c>
      <c r="Q716" s="156">
        <v>9</v>
      </c>
      <c r="R716" s="120">
        <f t="shared" si="23"/>
        <v>77355</v>
      </c>
      <c r="S716" s="117">
        <v>202303</v>
      </c>
      <c r="T716" s="157" t="s">
        <v>1005</v>
      </c>
      <c r="U716" s="157"/>
      <c r="V716" s="133"/>
      <c r="W716" s="133"/>
      <c r="X716" s="118">
        <v>44301</v>
      </c>
      <c r="Y716" s="118">
        <v>46491</v>
      </c>
    </row>
    <row r="717" s="79" customFormat="1" customHeight="1" spans="1:25">
      <c r="A717" s="98" t="s">
        <v>403</v>
      </c>
      <c r="B717" s="98" t="s">
        <v>62</v>
      </c>
      <c r="C717" s="98" t="s">
        <v>217</v>
      </c>
      <c r="D717" s="98" t="s">
        <v>566</v>
      </c>
      <c r="E717" s="147" t="s">
        <v>905</v>
      </c>
      <c r="F717" s="98" t="s">
        <v>906</v>
      </c>
      <c r="G717" s="151" t="s">
        <v>88</v>
      </c>
      <c r="H717" s="19" t="s">
        <v>995</v>
      </c>
      <c r="I717" s="23" t="e">
        <f>VLOOKUP(H717,'合同综合查询数据（3月返）'!$A:$A,1,FALSE)</f>
        <v>#N/A</v>
      </c>
      <c r="J717" s="24" t="s">
        <v>90</v>
      </c>
      <c r="K717" s="129" t="s">
        <v>996</v>
      </c>
      <c r="L717" s="153"/>
      <c r="M717" s="26" t="s">
        <v>909</v>
      </c>
      <c r="N717" s="154">
        <v>44347</v>
      </c>
      <c r="O717" s="155" t="s">
        <v>461</v>
      </c>
      <c r="P717" s="156">
        <v>8595</v>
      </c>
      <c r="Q717" s="156">
        <v>2</v>
      </c>
      <c r="R717" s="120">
        <f t="shared" si="23"/>
        <v>17190</v>
      </c>
      <c r="S717" s="117">
        <v>202303</v>
      </c>
      <c r="T717" s="157" t="s">
        <v>1006</v>
      </c>
      <c r="U717" s="157"/>
      <c r="V717" s="133"/>
      <c r="W717" s="133"/>
      <c r="X717" s="118">
        <v>44301</v>
      </c>
      <c r="Y717" s="118">
        <v>46491</v>
      </c>
    </row>
    <row r="718" s="79" customFormat="1" customHeight="1" spans="1:25">
      <c r="A718" s="98" t="s">
        <v>403</v>
      </c>
      <c r="B718" s="98" t="s">
        <v>62</v>
      </c>
      <c r="C718" s="98" t="s">
        <v>217</v>
      </c>
      <c r="D718" s="98" t="s">
        <v>566</v>
      </c>
      <c r="E718" s="147" t="s">
        <v>905</v>
      </c>
      <c r="F718" s="98" t="s">
        <v>906</v>
      </c>
      <c r="G718" s="151" t="s">
        <v>88</v>
      </c>
      <c r="H718" s="19" t="s">
        <v>995</v>
      </c>
      <c r="I718" s="23" t="e">
        <f>VLOOKUP(H718,'合同综合查询数据（3月返）'!$A:$A,1,FALSE)</f>
        <v>#N/A</v>
      </c>
      <c r="J718" s="24" t="s">
        <v>90</v>
      </c>
      <c r="K718" s="129" t="s">
        <v>996</v>
      </c>
      <c r="L718" s="153"/>
      <c r="M718" s="26" t="s">
        <v>909</v>
      </c>
      <c r="N718" s="154">
        <v>44344</v>
      </c>
      <c r="O718" s="155" t="s">
        <v>461</v>
      </c>
      <c r="P718" s="156">
        <v>8595</v>
      </c>
      <c r="Q718" s="156">
        <v>3</v>
      </c>
      <c r="R718" s="120">
        <f t="shared" si="23"/>
        <v>25785</v>
      </c>
      <c r="S718" s="117">
        <v>202303</v>
      </c>
      <c r="T718" s="157" t="s">
        <v>1007</v>
      </c>
      <c r="U718" s="157"/>
      <c r="V718" s="133"/>
      <c r="W718" s="133"/>
      <c r="X718" s="118">
        <v>44301</v>
      </c>
      <c r="Y718" s="118">
        <v>46491</v>
      </c>
    </row>
    <row r="719" s="79" customFormat="1" customHeight="1" spans="1:25">
      <c r="A719" s="98" t="s">
        <v>403</v>
      </c>
      <c r="B719" s="98" t="s">
        <v>62</v>
      </c>
      <c r="C719" s="98" t="s">
        <v>217</v>
      </c>
      <c r="D719" s="98" t="s">
        <v>566</v>
      </c>
      <c r="E719" s="147" t="s">
        <v>905</v>
      </c>
      <c r="F719" s="98" t="s">
        <v>906</v>
      </c>
      <c r="G719" s="151" t="s">
        <v>88</v>
      </c>
      <c r="H719" s="19" t="s">
        <v>995</v>
      </c>
      <c r="I719" s="23" t="e">
        <f>VLOOKUP(H719,'合同综合查询数据（3月返）'!$A:$A,1,FALSE)</f>
        <v>#N/A</v>
      </c>
      <c r="J719" s="24" t="s">
        <v>90</v>
      </c>
      <c r="K719" s="129" t="s">
        <v>996</v>
      </c>
      <c r="L719" s="153"/>
      <c r="M719" s="26" t="s">
        <v>909</v>
      </c>
      <c r="N719" s="154">
        <v>44345</v>
      </c>
      <c r="O719" s="155" t="s">
        <v>461</v>
      </c>
      <c r="P719" s="156">
        <v>8595</v>
      </c>
      <c r="Q719" s="156">
        <v>1</v>
      </c>
      <c r="R719" s="120">
        <f t="shared" si="23"/>
        <v>8595</v>
      </c>
      <c r="S719" s="117">
        <v>202303</v>
      </c>
      <c r="T719" s="157" t="s">
        <v>1008</v>
      </c>
      <c r="U719" s="157"/>
      <c r="V719" s="133"/>
      <c r="W719" s="133"/>
      <c r="X719" s="118">
        <v>44301</v>
      </c>
      <c r="Y719" s="118">
        <v>46491</v>
      </c>
    </row>
    <row r="720" s="79" customFormat="1" customHeight="1" spans="1:25">
      <c r="A720" s="98" t="s">
        <v>403</v>
      </c>
      <c r="B720" s="98" t="s">
        <v>62</v>
      </c>
      <c r="C720" s="98" t="s">
        <v>217</v>
      </c>
      <c r="D720" s="98" t="s">
        <v>566</v>
      </c>
      <c r="E720" s="147" t="s">
        <v>905</v>
      </c>
      <c r="F720" s="98" t="s">
        <v>906</v>
      </c>
      <c r="G720" s="151" t="s">
        <v>88</v>
      </c>
      <c r="H720" s="19" t="s">
        <v>995</v>
      </c>
      <c r="I720" s="23" t="e">
        <f>VLOOKUP(H720,'合同综合查询数据（3月返）'!$A:$A,1,FALSE)</f>
        <v>#N/A</v>
      </c>
      <c r="J720" s="24" t="s">
        <v>90</v>
      </c>
      <c r="K720" s="129" t="s">
        <v>996</v>
      </c>
      <c r="L720" s="153"/>
      <c r="M720" s="26" t="s">
        <v>909</v>
      </c>
      <c r="N720" s="154">
        <v>44349</v>
      </c>
      <c r="O720" s="155" t="s">
        <v>461</v>
      </c>
      <c r="P720" s="156">
        <v>8595</v>
      </c>
      <c r="Q720" s="156">
        <v>1</v>
      </c>
      <c r="R720" s="120">
        <f t="shared" si="23"/>
        <v>8595</v>
      </c>
      <c r="S720" s="117">
        <v>202303</v>
      </c>
      <c r="T720" s="157" t="s">
        <v>1009</v>
      </c>
      <c r="U720" s="157"/>
      <c r="V720" s="133"/>
      <c r="W720" s="133"/>
      <c r="X720" s="118">
        <v>44301</v>
      </c>
      <c r="Y720" s="118">
        <v>46491</v>
      </c>
    </row>
    <row r="721" s="79" customFormat="1" customHeight="1" spans="1:25">
      <c r="A721" s="98" t="s">
        <v>403</v>
      </c>
      <c r="B721" s="98" t="s">
        <v>62</v>
      </c>
      <c r="C721" s="98" t="s">
        <v>217</v>
      </c>
      <c r="D721" s="98" t="s">
        <v>566</v>
      </c>
      <c r="E721" s="147" t="s">
        <v>905</v>
      </c>
      <c r="F721" s="98" t="s">
        <v>906</v>
      </c>
      <c r="G721" s="151" t="s">
        <v>88</v>
      </c>
      <c r="H721" s="19" t="s">
        <v>995</v>
      </c>
      <c r="I721" s="23" t="e">
        <f>VLOOKUP(H721,'合同综合查询数据（3月返）'!$A:$A,1,FALSE)</f>
        <v>#N/A</v>
      </c>
      <c r="J721" s="24" t="s">
        <v>90</v>
      </c>
      <c r="K721" s="129" t="s">
        <v>996</v>
      </c>
      <c r="L721" s="153"/>
      <c r="M721" s="26" t="s">
        <v>909</v>
      </c>
      <c r="N721" s="154">
        <v>44354</v>
      </c>
      <c r="O721" s="155" t="s">
        <v>461</v>
      </c>
      <c r="P721" s="156">
        <v>8595</v>
      </c>
      <c r="Q721" s="156">
        <v>13</v>
      </c>
      <c r="R721" s="120">
        <f t="shared" si="23"/>
        <v>111735</v>
      </c>
      <c r="S721" s="117">
        <v>202303</v>
      </c>
      <c r="T721" s="157" t="s">
        <v>1010</v>
      </c>
      <c r="U721" s="180"/>
      <c r="V721" s="133"/>
      <c r="W721" s="133"/>
      <c r="X721" s="118">
        <v>44301</v>
      </c>
      <c r="Y721" s="118">
        <v>46491</v>
      </c>
    </row>
    <row r="722" s="79" customFormat="1" customHeight="1" spans="1:25">
      <c r="A722" s="98" t="s">
        <v>403</v>
      </c>
      <c r="B722" s="98" t="s">
        <v>62</v>
      </c>
      <c r="C722" s="98" t="s">
        <v>217</v>
      </c>
      <c r="D722" s="98" t="s">
        <v>566</v>
      </c>
      <c r="E722" s="147" t="s">
        <v>905</v>
      </c>
      <c r="F722" s="98" t="s">
        <v>906</v>
      </c>
      <c r="G722" s="151" t="s">
        <v>88</v>
      </c>
      <c r="H722" s="19" t="s">
        <v>995</v>
      </c>
      <c r="I722" s="23" t="e">
        <f>VLOOKUP(H722,'合同综合查询数据（3月返）'!$A:$A,1,FALSE)</f>
        <v>#N/A</v>
      </c>
      <c r="J722" s="24" t="s">
        <v>90</v>
      </c>
      <c r="K722" s="129" t="s">
        <v>996</v>
      </c>
      <c r="L722" s="153"/>
      <c r="M722" s="26" t="s">
        <v>909</v>
      </c>
      <c r="N722" s="154">
        <v>44363</v>
      </c>
      <c r="O722" s="155" t="s">
        <v>461</v>
      </c>
      <c r="P722" s="156">
        <v>8595</v>
      </c>
      <c r="Q722" s="156">
        <v>2</v>
      </c>
      <c r="R722" s="120">
        <f t="shared" si="23"/>
        <v>17190</v>
      </c>
      <c r="S722" s="117">
        <v>202303</v>
      </c>
      <c r="T722" s="157" t="s">
        <v>1011</v>
      </c>
      <c r="U722" s="157"/>
      <c r="V722" s="133"/>
      <c r="W722" s="133"/>
      <c r="X722" s="118">
        <v>44301</v>
      </c>
      <c r="Y722" s="118">
        <v>46491</v>
      </c>
    </row>
    <row r="723" s="79" customFormat="1" customHeight="1" spans="1:25">
      <c r="A723" s="98" t="s">
        <v>403</v>
      </c>
      <c r="B723" s="98" t="s">
        <v>62</v>
      </c>
      <c r="C723" s="98" t="s">
        <v>217</v>
      </c>
      <c r="D723" s="98" t="s">
        <v>566</v>
      </c>
      <c r="E723" s="147" t="s">
        <v>905</v>
      </c>
      <c r="F723" s="98" t="s">
        <v>906</v>
      </c>
      <c r="G723" s="151" t="s">
        <v>88</v>
      </c>
      <c r="H723" s="19" t="s">
        <v>995</v>
      </c>
      <c r="I723" s="23" t="e">
        <f>VLOOKUP(H723,'合同综合查询数据（3月返）'!$A:$A,1,FALSE)</f>
        <v>#N/A</v>
      </c>
      <c r="J723" s="24" t="s">
        <v>90</v>
      </c>
      <c r="K723" s="129" t="s">
        <v>996</v>
      </c>
      <c r="L723" s="153"/>
      <c r="M723" s="26" t="s">
        <v>909</v>
      </c>
      <c r="N723" s="154">
        <v>44365</v>
      </c>
      <c r="O723" s="155" t="s">
        <v>461</v>
      </c>
      <c r="P723" s="156">
        <v>8595</v>
      </c>
      <c r="Q723" s="156">
        <v>2</v>
      </c>
      <c r="R723" s="120">
        <f t="shared" si="23"/>
        <v>17190</v>
      </c>
      <c r="S723" s="117">
        <v>202303</v>
      </c>
      <c r="T723" s="157" t="s">
        <v>1012</v>
      </c>
      <c r="U723" s="157"/>
      <c r="V723" s="133"/>
      <c r="W723" s="133"/>
      <c r="X723" s="118">
        <v>44301</v>
      </c>
      <c r="Y723" s="118">
        <v>46491</v>
      </c>
    </row>
    <row r="724" s="79" customFormat="1" customHeight="1" spans="1:25">
      <c r="A724" s="98" t="s">
        <v>403</v>
      </c>
      <c r="B724" s="98" t="s">
        <v>62</v>
      </c>
      <c r="C724" s="98" t="s">
        <v>217</v>
      </c>
      <c r="D724" s="98" t="s">
        <v>566</v>
      </c>
      <c r="E724" s="147" t="s">
        <v>905</v>
      </c>
      <c r="F724" s="98" t="s">
        <v>906</v>
      </c>
      <c r="G724" s="151" t="s">
        <v>88</v>
      </c>
      <c r="H724" s="19" t="s">
        <v>995</v>
      </c>
      <c r="I724" s="23" t="e">
        <f>VLOOKUP(H724,'合同综合查询数据（3月返）'!$A:$A,1,FALSE)</f>
        <v>#N/A</v>
      </c>
      <c r="J724" s="24" t="s">
        <v>90</v>
      </c>
      <c r="K724" s="129" t="s">
        <v>996</v>
      </c>
      <c r="L724" s="153"/>
      <c r="M724" s="26" t="s">
        <v>909</v>
      </c>
      <c r="N724" s="154">
        <v>44377</v>
      </c>
      <c r="O724" s="155" t="s">
        <v>461</v>
      </c>
      <c r="P724" s="156">
        <v>8595</v>
      </c>
      <c r="Q724" s="156">
        <v>3</v>
      </c>
      <c r="R724" s="120">
        <f t="shared" ref="R724:R787" si="24">ROUND(P724*Q724,2)</f>
        <v>25785</v>
      </c>
      <c r="S724" s="117">
        <v>202303</v>
      </c>
      <c r="T724" s="157" t="s">
        <v>1013</v>
      </c>
      <c r="U724" s="157"/>
      <c r="V724" s="133"/>
      <c r="W724" s="133"/>
      <c r="X724" s="118">
        <v>44301</v>
      </c>
      <c r="Y724" s="118">
        <v>46491</v>
      </c>
    </row>
    <row r="725" s="79" customFormat="1" customHeight="1" spans="1:25">
      <c r="A725" s="98" t="s">
        <v>403</v>
      </c>
      <c r="B725" s="98" t="s">
        <v>62</v>
      </c>
      <c r="C725" s="98" t="s">
        <v>217</v>
      </c>
      <c r="D725" s="98" t="s">
        <v>566</v>
      </c>
      <c r="E725" s="147" t="s">
        <v>905</v>
      </c>
      <c r="F725" s="98" t="s">
        <v>906</v>
      </c>
      <c r="G725" s="151" t="s">
        <v>88</v>
      </c>
      <c r="H725" s="19" t="s">
        <v>995</v>
      </c>
      <c r="I725" s="23" t="e">
        <f>VLOOKUP(H725,'合同综合查询数据（3月返）'!$A:$A,1,FALSE)</f>
        <v>#N/A</v>
      </c>
      <c r="J725" s="24" t="s">
        <v>90</v>
      </c>
      <c r="K725" s="129" t="s">
        <v>996</v>
      </c>
      <c r="L725" s="153"/>
      <c r="M725" s="26" t="s">
        <v>909</v>
      </c>
      <c r="N725" s="154">
        <v>44392</v>
      </c>
      <c r="O725" s="155" t="s">
        <v>461</v>
      </c>
      <c r="P725" s="156">
        <v>8595</v>
      </c>
      <c r="Q725" s="156">
        <v>3</v>
      </c>
      <c r="R725" s="120">
        <f t="shared" si="24"/>
        <v>25785</v>
      </c>
      <c r="S725" s="117">
        <v>202303</v>
      </c>
      <c r="T725" s="157" t="s">
        <v>1014</v>
      </c>
      <c r="U725" s="157"/>
      <c r="V725" s="133"/>
      <c r="W725" s="133"/>
      <c r="X725" s="118">
        <v>44301</v>
      </c>
      <c r="Y725" s="118">
        <v>46491</v>
      </c>
    </row>
    <row r="726" s="79" customFormat="1" customHeight="1" spans="1:25">
      <c r="A726" s="98" t="s">
        <v>403</v>
      </c>
      <c r="B726" s="98" t="s">
        <v>62</v>
      </c>
      <c r="C726" s="98" t="s">
        <v>217</v>
      </c>
      <c r="D726" s="98" t="s">
        <v>566</v>
      </c>
      <c r="E726" s="147" t="s">
        <v>905</v>
      </c>
      <c r="F726" s="98" t="s">
        <v>906</v>
      </c>
      <c r="G726" s="151" t="s">
        <v>88</v>
      </c>
      <c r="H726" s="19" t="s">
        <v>995</v>
      </c>
      <c r="I726" s="23" t="e">
        <f>VLOOKUP(H726,'合同综合查询数据（3月返）'!$A:$A,1,FALSE)</f>
        <v>#N/A</v>
      </c>
      <c r="J726" s="24" t="s">
        <v>90</v>
      </c>
      <c r="K726" s="129" t="s">
        <v>996</v>
      </c>
      <c r="L726" s="153"/>
      <c r="M726" s="26" t="s">
        <v>909</v>
      </c>
      <c r="N726" s="154">
        <v>44399</v>
      </c>
      <c r="O726" s="155" t="s">
        <v>461</v>
      </c>
      <c r="P726" s="156">
        <v>8595</v>
      </c>
      <c r="Q726" s="156">
        <v>2</v>
      </c>
      <c r="R726" s="120">
        <f t="shared" si="24"/>
        <v>17190</v>
      </c>
      <c r="S726" s="117">
        <v>202303</v>
      </c>
      <c r="T726" s="157" t="s">
        <v>1015</v>
      </c>
      <c r="U726" s="157"/>
      <c r="V726" s="133"/>
      <c r="W726" s="133"/>
      <c r="X726" s="118">
        <v>44301</v>
      </c>
      <c r="Y726" s="118">
        <v>46491</v>
      </c>
    </row>
    <row r="727" s="79" customFormat="1" customHeight="1" spans="1:25">
      <c r="A727" s="98" t="s">
        <v>403</v>
      </c>
      <c r="B727" s="98" t="s">
        <v>62</v>
      </c>
      <c r="C727" s="98" t="s">
        <v>217</v>
      </c>
      <c r="D727" s="98" t="s">
        <v>566</v>
      </c>
      <c r="E727" s="147" t="s">
        <v>905</v>
      </c>
      <c r="F727" s="98" t="s">
        <v>906</v>
      </c>
      <c r="G727" s="151" t="s">
        <v>88</v>
      </c>
      <c r="H727" s="19" t="s">
        <v>995</v>
      </c>
      <c r="I727" s="23" t="e">
        <f>VLOOKUP(H727,'合同综合查询数据（3月返）'!$A:$A,1,FALSE)</f>
        <v>#N/A</v>
      </c>
      <c r="J727" s="24" t="s">
        <v>90</v>
      </c>
      <c r="K727" s="129" t="s">
        <v>996</v>
      </c>
      <c r="L727" s="153"/>
      <c r="M727" s="26" t="s">
        <v>909</v>
      </c>
      <c r="N727" s="154">
        <v>44866</v>
      </c>
      <c r="O727" s="155" t="s">
        <v>545</v>
      </c>
      <c r="P727" s="156">
        <v>0</v>
      </c>
      <c r="Q727" s="156">
        <v>6</v>
      </c>
      <c r="R727" s="120">
        <f t="shared" si="24"/>
        <v>0</v>
      </c>
      <c r="S727" s="117">
        <v>202303</v>
      </c>
      <c r="T727" s="157" t="s">
        <v>1016</v>
      </c>
      <c r="U727" s="157"/>
      <c r="V727" s="133"/>
      <c r="W727" s="133"/>
      <c r="X727" s="118">
        <v>44301</v>
      </c>
      <c r="Y727" s="118">
        <v>46491</v>
      </c>
    </row>
    <row r="728" s="79" customFormat="1" customHeight="1" spans="1:25">
      <c r="A728" s="98" t="s">
        <v>403</v>
      </c>
      <c r="B728" s="98" t="s">
        <v>62</v>
      </c>
      <c r="C728" s="98" t="s">
        <v>217</v>
      </c>
      <c r="D728" s="98" t="s">
        <v>566</v>
      </c>
      <c r="E728" s="147" t="s">
        <v>905</v>
      </c>
      <c r="F728" s="98" t="s">
        <v>906</v>
      </c>
      <c r="G728" s="151" t="s">
        <v>88</v>
      </c>
      <c r="H728" s="19" t="s">
        <v>995</v>
      </c>
      <c r="I728" s="23" t="e">
        <f>VLOOKUP(H728,'合同综合查询数据（3月返）'!$A:$A,1,FALSE)</f>
        <v>#N/A</v>
      </c>
      <c r="J728" s="129" t="s">
        <v>312</v>
      </c>
      <c r="K728" s="129" t="s">
        <v>996</v>
      </c>
      <c r="L728" s="153"/>
      <c r="M728" s="26" t="s">
        <v>909</v>
      </c>
      <c r="N728" s="154"/>
      <c r="O728" s="155"/>
      <c r="P728" s="156">
        <v>300</v>
      </c>
      <c r="Q728" s="156">
        <v>300</v>
      </c>
      <c r="R728" s="120">
        <f t="shared" si="24"/>
        <v>90000</v>
      </c>
      <c r="S728" s="117">
        <v>202303</v>
      </c>
      <c r="T728" s="157" t="s">
        <v>1017</v>
      </c>
      <c r="U728" s="157"/>
      <c r="V728" s="133"/>
      <c r="W728" s="133"/>
      <c r="X728" s="118">
        <v>44301</v>
      </c>
      <c r="Y728" s="118">
        <v>46491</v>
      </c>
    </row>
    <row r="729" s="81" customFormat="1" customHeight="1" spans="1:25">
      <c r="A729" s="60" t="s">
        <v>403</v>
      </c>
      <c r="B729" s="61" t="s">
        <v>62</v>
      </c>
      <c r="C729" s="60" t="s">
        <v>217</v>
      </c>
      <c r="D729" s="60" t="s">
        <v>566</v>
      </c>
      <c r="E729" s="63" t="s">
        <v>905</v>
      </c>
      <c r="F729" s="60" t="s">
        <v>906</v>
      </c>
      <c r="G729" s="161" t="s">
        <v>31</v>
      </c>
      <c r="H729" s="45" t="s">
        <v>1018</v>
      </c>
      <c r="I729" s="47" t="e">
        <f>VLOOKUP(H729,'合同综合查询数据（3月返）'!$A:$A,1,FALSE)</f>
        <v>#N/A</v>
      </c>
      <c r="J729" s="66" t="s">
        <v>1019</v>
      </c>
      <c r="K729" s="62" t="s">
        <v>1020</v>
      </c>
      <c r="L729" s="164" t="s">
        <v>1021</v>
      </c>
      <c r="M729" s="50" t="s">
        <v>1022</v>
      </c>
      <c r="N729" s="178" t="s">
        <v>503</v>
      </c>
      <c r="O729" s="62"/>
      <c r="P729" s="179">
        <v>0</v>
      </c>
      <c r="Q729" s="69">
        <v>768</v>
      </c>
      <c r="R729" s="69">
        <f t="shared" si="24"/>
        <v>0</v>
      </c>
      <c r="S729" s="70">
        <v>202303</v>
      </c>
      <c r="T729" s="168" t="s">
        <v>1023</v>
      </c>
      <c r="U729" s="168"/>
      <c r="V729" s="146"/>
      <c r="W729" s="146"/>
      <c r="X729" s="73"/>
      <c r="Y729" s="73"/>
    </row>
    <row r="730" s="81" customFormat="1" customHeight="1" spans="1:25">
      <c r="A730" s="60" t="s">
        <v>403</v>
      </c>
      <c r="B730" s="61" t="s">
        <v>62</v>
      </c>
      <c r="C730" s="60" t="s">
        <v>217</v>
      </c>
      <c r="D730" s="60" t="s">
        <v>566</v>
      </c>
      <c r="E730" s="63" t="s">
        <v>905</v>
      </c>
      <c r="F730" s="60" t="s">
        <v>906</v>
      </c>
      <c r="G730" s="161" t="s">
        <v>31</v>
      </c>
      <c r="H730" s="45" t="s">
        <v>1018</v>
      </c>
      <c r="I730" s="47" t="e">
        <f>VLOOKUP(H730,'合同综合查询数据（3月返）'!$A:$A,1,FALSE)</f>
        <v>#N/A</v>
      </c>
      <c r="J730" s="66" t="s">
        <v>1019</v>
      </c>
      <c r="K730" s="62" t="s">
        <v>1020</v>
      </c>
      <c r="L730" s="164" t="s">
        <v>1021</v>
      </c>
      <c r="M730" s="50" t="s">
        <v>1022</v>
      </c>
      <c r="N730" s="51">
        <v>44454</v>
      </c>
      <c r="O730" s="62"/>
      <c r="P730" s="179">
        <v>0</v>
      </c>
      <c r="Q730" s="69">
        <v>-768</v>
      </c>
      <c r="R730" s="69">
        <f t="shared" si="24"/>
        <v>0</v>
      </c>
      <c r="S730" s="70">
        <v>202303</v>
      </c>
      <c r="T730" s="168" t="s">
        <v>1024</v>
      </c>
      <c r="U730" s="168"/>
      <c r="V730" s="146"/>
      <c r="W730" s="146"/>
      <c r="X730" s="73"/>
      <c r="Y730" s="73"/>
    </row>
    <row r="731" s="81" customFormat="1" customHeight="1" spans="1:25">
      <c r="A731" s="60" t="s">
        <v>403</v>
      </c>
      <c r="B731" s="61" t="s">
        <v>62</v>
      </c>
      <c r="C731" s="60" t="s">
        <v>217</v>
      </c>
      <c r="D731" s="60" t="s">
        <v>566</v>
      </c>
      <c r="E731" s="63" t="s">
        <v>905</v>
      </c>
      <c r="F731" s="60" t="s">
        <v>906</v>
      </c>
      <c r="G731" s="161" t="s">
        <v>31</v>
      </c>
      <c r="H731" s="45" t="s">
        <v>1018</v>
      </c>
      <c r="I731" s="47" t="e">
        <f>VLOOKUP(H731,'合同综合查询数据（3月返）'!$A:$A,1,FALSE)</f>
        <v>#N/A</v>
      </c>
      <c r="J731" s="66" t="s">
        <v>1019</v>
      </c>
      <c r="K731" s="62" t="s">
        <v>775</v>
      </c>
      <c r="L731" s="164" t="s">
        <v>1021</v>
      </c>
      <c r="M731" s="50" t="s">
        <v>1025</v>
      </c>
      <c r="N731" s="51">
        <v>44462</v>
      </c>
      <c r="O731" s="62"/>
      <c r="P731" s="179">
        <v>0</v>
      </c>
      <c r="Q731" s="69">
        <v>768</v>
      </c>
      <c r="R731" s="68">
        <f t="shared" si="24"/>
        <v>0</v>
      </c>
      <c r="S731" s="70">
        <v>202303</v>
      </c>
      <c r="T731" s="168" t="s">
        <v>1026</v>
      </c>
      <c r="U731" s="168"/>
      <c r="V731" s="146"/>
      <c r="W731" s="146"/>
      <c r="X731" s="73"/>
      <c r="Y731" s="73"/>
    </row>
    <row r="732" s="81" customFormat="1" customHeight="1" spans="1:25">
      <c r="A732" s="62" t="s">
        <v>403</v>
      </c>
      <c r="B732" s="61" t="s">
        <v>62</v>
      </c>
      <c r="C732" s="60" t="s">
        <v>217</v>
      </c>
      <c r="D732" s="60" t="s">
        <v>566</v>
      </c>
      <c r="E732" s="47" t="s">
        <v>905</v>
      </c>
      <c r="F732" s="62" t="s">
        <v>906</v>
      </c>
      <c r="G732" s="138" t="s">
        <v>31</v>
      </c>
      <c r="H732" s="45" t="s">
        <v>1018</v>
      </c>
      <c r="I732" s="47" t="e">
        <f>VLOOKUP(H732,'合同综合查询数据（3月返）'!$A:$A,1,FALSE)</f>
        <v>#N/A</v>
      </c>
      <c r="J732" s="65" t="s">
        <v>33</v>
      </c>
      <c r="K732" s="62" t="s">
        <v>1027</v>
      </c>
      <c r="L732" s="66" t="s">
        <v>906</v>
      </c>
      <c r="M732" s="50"/>
      <c r="N732" s="51"/>
      <c r="O732" s="138"/>
      <c r="P732" s="141">
        <v>0</v>
      </c>
      <c r="Q732" s="181">
        <v>512</v>
      </c>
      <c r="R732" s="68">
        <f t="shared" si="24"/>
        <v>0</v>
      </c>
      <c r="S732" s="70">
        <v>202303</v>
      </c>
      <c r="T732" s="72" t="s">
        <v>1028</v>
      </c>
      <c r="U732" s="72"/>
      <c r="V732" s="146"/>
      <c r="W732" s="146"/>
      <c r="X732" s="73"/>
      <c r="Y732" s="73"/>
    </row>
    <row r="733" s="81" customFormat="1" customHeight="1" spans="1:25">
      <c r="A733" s="62" t="s">
        <v>403</v>
      </c>
      <c r="B733" s="61" t="s">
        <v>62</v>
      </c>
      <c r="C733" s="60" t="s">
        <v>217</v>
      </c>
      <c r="D733" s="60" t="s">
        <v>566</v>
      </c>
      <c r="E733" s="47" t="s">
        <v>905</v>
      </c>
      <c r="F733" s="62" t="s">
        <v>906</v>
      </c>
      <c r="G733" s="138" t="s">
        <v>31</v>
      </c>
      <c r="H733" s="45" t="s">
        <v>1018</v>
      </c>
      <c r="I733" s="47" t="e">
        <f>VLOOKUP(H733,'合同综合查询数据（3月返）'!$A:$A,1,FALSE)</f>
        <v>#N/A</v>
      </c>
      <c r="J733" s="65" t="s">
        <v>33</v>
      </c>
      <c r="K733" s="62" t="s">
        <v>1027</v>
      </c>
      <c r="L733" s="66" t="s">
        <v>906</v>
      </c>
      <c r="M733" s="50"/>
      <c r="N733" s="51"/>
      <c r="O733" s="138"/>
      <c r="P733" s="141">
        <v>0</v>
      </c>
      <c r="Q733" s="181">
        <v>512</v>
      </c>
      <c r="R733" s="68">
        <f t="shared" si="24"/>
        <v>0</v>
      </c>
      <c r="S733" s="70">
        <v>202303</v>
      </c>
      <c r="T733" s="72" t="s">
        <v>1029</v>
      </c>
      <c r="U733" s="72"/>
      <c r="V733" s="146"/>
      <c r="W733" s="146"/>
      <c r="X733" s="73"/>
      <c r="Y733" s="73"/>
    </row>
    <row r="734" s="81" customFormat="1" customHeight="1" spans="1:25">
      <c r="A734" s="62" t="s">
        <v>403</v>
      </c>
      <c r="B734" s="61" t="s">
        <v>62</v>
      </c>
      <c r="C734" s="60" t="s">
        <v>217</v>
      </c>
      <c r="D734" s="60" t="s">
        <v>566</v>
      </c>
      <c r="E734" s="47" t="s">
        <v>905</v>
      </c>
      <c r="F734" s="62" t="s">
        <v>906</v>
      </c>
      <c r="G734" s="138" t="s">
        <v>31</v>
      </c>
      <c r="H734" s="45" t="s">
        <v>1018</v>
      </c>
      <c r="I734" s="47" t="e">
        <f>VLOOKUP(H734,'合同综合查询数据（3月返）'!$A:$A,1,FALSE)</f>
        <v>#N/A</v>
      </c>
      <c r="J734" s="65" t="s">
        <v>33</v>
      </c>
      <c r="K734" s="62" t="s">
        <v>1030</v>
      </c>
      <c r="L734" s="66" t="s">
        <v>1031</v>
      </c>
      <c r="M734" s="50"/>
      <c r="N734" s="51"/>
      <c r="O734" s="138"/>
      <c r="P734" s="141">
        <v>0</v>
      </c>
      <c r="Q734" s="181">
        <v>512</v>
      </c>
      <c r="R734" s="68">
        <f t="shared" si="24"/>
        <v>0</v>
      </c>
      <c r="S734" s="70">
        <v>202303</v>
      </c>
      <c r="T734" s="72" t="s">
        <v>1032</v>
      </c>
      <c r="U734" s="72"/>
      <c r="V734" s="146"/>
      <c r="W734" s="146"/>
      <c r="X734" s="73"/>
      <c r="Y734" s="73"/>
    </row>
    <row r="735" s="81" customFormat="1" customHeight="1" spans="1:25">
      <c r="A735" s="60" t="s">
        <v>403</v>
      </c>
      <c r="B735" s="61" t="s">
        <v>62</v>
      </c>
      <c r="C735" s="60" t="s">
        <v>217</v>
      </c>
      <c r="D735" s="60" t="s">
        <v>566</v>
      </c>
      <c r="E735" s="63" t="s">
        <v>905</v>
      </c>
      <c r="F735" s="60" t="s">
        <v>906</v>
      </c>
      <c r="G735" s="161" t="s">
        <v>88</v>
      </c>
      <c r="H735" s="45" t="s">
        <v>1018</v>
      </c>
      <c r="I735" s="47" t="e">
        <f>VLOOKUP(H735,'合同综合查询数据（3月返）'!$A:$A,1,FALSE)</f>
        <v>#N/A</v>
      </c>
      <c r="J735" s="65" t="s">
        <v>1033</v>
      </c>
      <c r="K735" s="62" t="s">
        <v>1020</v>
      </c>
      <c r="L735" s="62" t="s">
        <v>1021</v>
      </c>
      <c r="M735" s="50" t="s">
        <v>1022</v>
      </c>
      <c r="N735" s="178" t="s">
        <v>503</v>
      </c>
      <c r="O735" s="62" t="s">
        <v>624</v>
      </c>
      <c r="P735" s="179">
        <v>4000</v>
      </c>
      <c r="Q735" s="69">
        <v>2</v>
      </c>
      <c r="R735" s="69">
        <f t="shared" si="24"/>
        <v>8000</v>
      </c>
      <c r="S735" s="70">
        <v>202303</v>
      </c>
      <c r="T735" s="168" t="s">
        <v>1034</v>
      </c>
      <c r="U735" s="168"/>
      <c r="V735" s="182"/>
      <c r="W735" s="182"/>
      <c r="X735" s="73"/>
      <c r="Y735" s="73"/>
    </row>
    <row r="736" s="81" customFormat="1" customHeight="1" spans="1:25">
      <c r="A736" s="60" t="s">
        <v>403</v>
      </c>
      <c r="B736" s="61" t="s">
        <v>62</v>
      </c>
      <c r="C736" s="60" t="s">
        <v>217</v>
      </c>
      <c r="D736" s="60" t="s">
        <v>566</v>
      </c>
      <c r="E736" s="63" t="s">
        <v>905</v>
      </c>
      <c r="F736" s="60" t="s">
        <v>906</v>
      </c>
      <c r="G736" s="161" t="s">
        <v>88</v>
      </c>
      <c r="H736" s="45" t="s">
        <v>1018</v>
      </c>
      <c r="I736" s="47" t="e">
        <f>VLOOKUP(H736,'合同综合查询数据（3月返）'!$A:$A,1,FALSE)</f>
        <v>#N/A</v>
      </c>
      <c r="J736" s="65" t="s">
        <v>1033</v>
      </c>
      <c r="K736" s="62" t="s">
        <v>1020</v>
      </c>
      <c r="L736" s="62" t="s">
        <v>1021</v>
      </c>
      <c r="M736" s="50" t="s">
        <v>1022</v>
      </c>
      <c r="N736" s="178" t="s">
        <v>503</v>
      </c>
      <c r="O736" s="62" t="s">
        <v>624</v>
      </c>
      <c r="P736" s="179">
        <v>0</v>
      </c>
      <c r="Q736" s="69">
        <v>4</v>
      </c>
      <c r="R736" s="69">
        <f t="shared" si="24"/>
        <v>0</v>
      </c>
      <c r="S736" s="70">
        <v>202303</v>
      </c>
      <c r="T736" s="168" t="s">
        <v>1035</v>
      </c>
      <c r="U736" s="168"/>
      <c r="V736" s="182"/>
      <c r="W736" s="182"/>
      <c r="X736" s="73"/>
      <c r="Y736" s="73"/>
    </row>
    <row r="737" s="81" customFormat="1" customHeight="1" spans="1:25">
      <c r="A737" s="60" t="s">
        <v>403</v>
      </c>
      <c r="B737" s="61" t="s">
        <v>62</v>
      </c>
      <c r="C737" s="60" t="s">
        <v>217</v>
      </c>
      <c r="D737" s="60" t="s">
        <v>566</v>
      </c>
      <c r="E737" s="63" t="s">
        <v>905</v>
      </c>
      <c r="F737" s="60" t="s">
        <v>906</v>
      </c>
      <c r="G737" s="161" t="s">
        <v>88</v>
      </c>
      <c r="H737" s="45" t="s">
        <v>1018</v>
      </c>
      <c r="I737" s="47" t="e">
        <f>VLOOKUP(H737,'合同综合查询数据（3月返）'!$A:$A,1,FALSE)</f>
        <v>#N/A</v>
      </c>
      <c r="J737" s="65" t="s">
        <v>1033</v>
      </c>
      <c r="K737" s="62" t="s">
        <v>1020</v>
      </c>
      <c r="L737" s="62" t="s">
        <v>1021</v>
      </c>
      <c r="M737" s="50" t="s">
        <v>1022</v>
      </c>
      <c r="N737" s="51">
        <v>44454</v>
      </c>
      <c r="O737" s="62" t="s">
        <v>624</v>
      </c>
      <c r="P737" s="179">
        <v>4000</v>
      </c>
      <c r="Q737" s="69">
        <v>-2</v>
      </c>
      <c r="R737" s="68">
        <f t="shared" si="24"/>
        <v>-8000</v>
      </c>
      <c r="S737" s="70">
        <v>202303</v>
      </c>
      <c r="T737" s="168" t="s">
        <v>1036</v>
      </c>
      <c r="U737" s="168"/>
      <c r="V737" s="182"/>
      <c r="W737" s="182"/>
      <c r="X737" s="73"/>
      <c r="Y737" s="73"/>
    </row>
    <row r="738" s="81" customFormat="1" customHeight="1" spans="1:25">
      <c r="A738" s="60" t="s">
        <v>403</v>
      </c>
      <c r="B738" s="61" t="s">
        <v>62</v>
      </c>
      <c r="C738" s="60" t="s">
        <v>217</v>
      </c>
      <c r="D738" s="60" t="s">
        <v>566</v>
      </c>
      <c r="E738" s="63" t="s">
        <v>905</v>
      </c>
      <c r="F738" s="60" t="s">
        <v>906</v>
      </c>
      <c r="G738" s="161" t="s">
        <v>88</v>
      </c>
      <c r="H738" s="45" t="s">
        <v>1018</v>
      </c>
      <c r="I738" s="47" t="e">
        <f>VLOOKUP(H738,'合同综合查询数据（3月返）'!$A:$A,1,FALSE)</f>
        <v>#N/A</v>
      </c>
      <c r="J738" s="65" t="s">
        <v>1033</v>
      </c>
      <c r="K738" s="62" t="s">
        <v>1020</v>
      </c>
      <c r="L738" s="62" t="s">
        <v>1021</v>
      </c>
      <c r="M738" s="50" t="s">
        <v>1022</v>
      </c>
      <c r="N738" s="51">
        <v>44454</v>
      </c>
      <c r="O738" s="62" t="s">
        <v>624</v>
      </c>
      <c r="P738" s="179">
        <v>0</v>
      </c>
      <c r="Q738" s="69">
        <v>-4</v>
      </c>
      <c r="R738" s="69">
        <f t="shared" si="24"/>
        <v>0</v>
      </c>
      <c r="S738" s="70">
        <v>202303</v>
      </c>
      <c r="T738" s="168" t="s">
        <v>1037</v>
      </c>
      <c r="U738" s="168"/>
      <c r="V738" s="182"/>
      <c r="W738" s="182"/>
      <c r="X738" s="73"/>
      <c r="Y738" s="73"/>
    </row>
    <row r="739" s="81" customFormat="1" customHeight="1" spans="1:25">
      <c r="A739" s="60" t="s">
        <v>403</v>
      </c>
      <c r="B739" s="61" t="s">
        <v>62</v>
      </c>
      <c r="C739" s="60" t="s">
        <v>217</v>
      </c>
      <c r="D739" s="60" t="s">
        <v>566</v>
      </c>
      <c r="E739" s="63" t="s">
        <v>905</v>
      </c>
      <c r="F739" s="60" t="s">
        <v>906</v>
      </c>
      <c r="G739" s="161" t="s">
        <v>88</v>
      </c>
      <c r="H739" s="45" t="s">
        <v>1018</v>
      </c>
      <c r="I739" s="47" t="e">
        <f>VLOOKUP(H739,'合同综合查询数据（3月返）'!$A:$A,1,FALSE)</f>
        <v>#N/A</v>
      </c>
      <c r="J739" s="65" t="s">
        <v>1033</v>
      </c>
      <c r="K739" s="62" t="s">
        <v>1038</v>
      </c>
      <c r="L739" s="164" t="s">
        <v>1021</v>
      </c>
      <c r="M739" s="50" t="s">
        <v>1025</v>
      </c>
      <c r="N739" s="51">
        <v>44462</v>
      </c>
      <c r="O739" s="62" t="s">
        <v>624</v>
      </c>
      <c r="P739" s="179">
        <v>0</v>
      </c>
      <c r="Q739" s="69">
        <v>2</v>
      </c>
      <c r="R739" s="68">
        <f t="shared" si="24"/>
        <v>0</v>
      </c>
      <c r="S739" s="70">
        <v>202303</v>
      </c>
      <c r="T739" s="168" t="s">
        <v>1039</v>
      </c>
      <c r="U739" s="168"/>
      <c r="V739" s="182"/>
      <c r="W739" s="182"/>
      <c r="X739" s="73"/>
      <c r="Y739" s="73"/>
    </row>
    <row r="740" s="81" customFormat="1" customHeight="1" spans="1:25">
      <c r="A740" s="60" t="s">
        <v>403</v>
      </c>
      <c r="B740" s="61" t="s">
        <v>62</v>
      </c>
      <c r="C740" s="60" t="s">
        <v>217</v>
      </c>
      <c r="D740" s="60" t="s">
        <v>566</v>
      </c>
      <c r="E740" s="63" t="s">
        <v>905</v>
      </c>
      <c r="F740" s="60" t="s">
        <v>906</v>
      </c>
      <c r="G740" s="161" t="s">
        <v>88</v>
      </c>
      <c r="H740" s="45" t="s">
        <v>1018</v>
      </c>
      <c r="I740" s="47" t="e">
        <f>VLOOKUP(H740,'合同综合查询数据（3月返）'!$A:$A,1,FALSE)</f>
        <v>#N/A</v>
      </c>
      <c r="J740" s="65" t="s">
        <v>1033</v>
      </c>
      <c r="K740" s="62" t="s">
        <v>1038</v>
      </c>
      <c r="L740" s="164" t="s">
        <v>1021</v>
      </c>
      <c r="M740" s="50" t="s">
        <v>1025</v>
      </c>
      <c r="N740" s="51">
        <v>44462</v>
      </c>
      <c r="O740" s="62" t="s">
        <v>624</v>
      </c>
      <c r="P740" s="179">
        <v>0</v>
      </c>
      <c r="Q740" s="69">
        <v>4</v>
      </c>
      <c r="R740" s="68">
        <f t="shared" si="24"/>
        <v>0</v>
      </c>
      <c r="S740" s="70">
        <v>202303</v>
      </c>
      <c r="T740" s="168" t="s">
        <v>1040</v>
      </c>
      <c r="U740" s="168"/>
      <c r="V740" s="182"/>
      <c r="W740" s="182"/>
      <c r="X740" s="73"/>
      <c r="Y740" s="73"/>
    </row>
    <row r="741" s="81" customFormat="1" customHeight="1" spans="1:25">
      <c r="A741" s="60" t="s">
        <v>403</v>
      </c>
      <c r="B741" s="61" t="s">
        <v>62</v>
      </c>
      <c r="C741" s="60" t="s">
        <v>217</v>
      </c>
      <c r="D741" s="60" t="s">
        <v>566</v>
      </c>
      <c r="E741" s="63" t="s">
        <v>905</v>
      </c>
      <c r="F741" s="60" t="s">
        <v>906</v>
      </c>
      <c r="G741" s="161" t="s">
        <v>88</v>
      </c>
      <c r="H741" s="45" t="s">
        <v>1018</v>
      </c>
      <c r="I741" s="47" t="e">
        <f>VLOOKUP(H741,'合同综合查询数据（3月返）'!$A:$A,1,FALSE)</f>
        <v>#N/A</v>
      </c>
      <c r="J741" s="65" t="s">
        <v>126</v>
      </c>
      <c r="K741" s="62" t="s">
        <v>775</v>
      </c>
      <c r="L741" s="66" t="s">
        <v>1031</v>
      </c>
      <c r="M741" s="50" t="s">
        <v>1041</v>
      </c>
      <c r="N741" s="178" t="s">
        <v>503</v>
      </c>
      <c r="O741" s="62" t="s">
        <v>457</v>
      </c>
      <c r="P741" s="179">
        <v>0</v>
      </c>
      <c r="Q741" s="69">
        <v>9</v>
      </c>
      <c r="R741" s="68">
        <f t="shared" si="24"/>
        <v>0</v>
      </c>
      <c r="S741" s="70">
        <v>202303</v>
      </c>
      <c r="T741" s="168" t="s">
        <v>1042</v>
      </c>
      <c r="U741" s="168"/>
      <c r="V741" s="182"/>
      <c r="W741" s="182"/>
      <c r="X741" s="73"/>
      <c r="Y741" s="73"/>
    </row>
    <row r="742" s="81" customFormat="1" customHeight="1" spans="1:25">
      <c r="A742" s="60" t="s">
        <v>403</v>
      </c>
      <c r="B742" s="61" t="s">
        <v>62</v>
      </c>
      <c r="C742" s="60" t="s">
        <v>217</v>
      </c>
      <c r="D742" s="60" t="s">
        <v>566</v>
      </c>
      <c r="E742" s="47" t="s">
        <v>1043</v>
      </c>
      <c r="F742" s="60" t="s">
        <v>906</v>
      </c>
      <c r="G742" s="161" t="s">
        <v>88</v>
      </c>
      <c r="H742" s="45" t="s">
        <v>1018</v>
      </c>
      <c r="I742" s="47" t="e">
        <f>VLOOKUP(H742,'合同综合查询数据（3月返）'!$A:$A,1,FALSE)</f>
        <v>#N/A</v>
      </c>
      <c r="J742" s="65" t="s">
        <v>126</v>
      </c>
      <c r="K742" s="62" t="s">
        <v>775</v>
      </c>
      <c r="L742" s="66" t="s">
        <v>1044</v>
      </c>
      <c r="M742" s="50" t="s">
        <v>1041</v>
      </c>
      <c r="N742" s="178">
        <v>43889</v>
      </c>
      <c r="O742" s="62" t="s">
        <v>457</v>
      </c>
      <c r="P742" s="179">
        <v>0</v>
      </c>
      <c r="Q742" s="69">
        <v>3</v>
      </c>
      <c r="R742" s="68">
        <f t="shared" si="24"/>
        <v>0</v>
      </c>
      <c r="S742" s="70">
        <v>202303</v>
      </c>
      <c r="T742" s="168" t="s">
        <v>1045</v>
      </c>
      <c r="U742" s="168"/>
      <c r="V742" s="182"/>
      <c r="W742" s="182"/>
      <c r="X742" s="73"/>
      <c r="Y742" s="73"/>
    </row>
    <row r="743" s="81" customFormat="1" customHeight="1" spans="1:25">
      <c r="A743" s="60" t="s">
        <v>403</v>
      </c>
      <c r="B743" s="61" t="s">
        <v>62</v>
      </c>
      <c r="C743" s="60" t="s">
        <v>217</v>
      </c>
      <c r="D743" s="60" t="s">
        <v>566</v>
      </c>
      <c r="E743" s="63" t="s">
        <v>905</v>
      </c>
      <c r="F743" s="60" t="s">
        <v>906</v>
      </c>
      <c r="G743" s="161" t="s">
        <v>88</v>
      </c>
      <c r="H743" s="45" t="s">
        <v>1018</v>
      </c>
      <c r="I743" s="47" t="e">
        <f>VLOOKUP(H743,'合同综合查询数据（3月返）'!$A:$A,1,FALSE)</f>
        <v>#N/A</v>
      </c>
      <c r="J743" s="65" t="s">
        <v>126</v>
      </c>
      <c r="K743" s="62" t="s">
        <v>775</v>
      </c>
      <c r="L743" s="66" t="s">
        <v>906</v>
      </c>
      <c r="M743" s="50" t="s">
        <v>1041</v>
      </c>
      <c r="N743" s="178" t="s">
        <v>503</v>
      </c>
      <c r="O743" s="62" t="s">
        <v>457</v>
      </c>
      <c r="P743" s="179">
        <v>0</v>
      </c>
      <c r="Q743" s="69">
        <v>6</v>
      </c>
      <c r="R743" s="68">
        <f t="shared" si="24"/>
        <v>0</v>
      </c>
      <c r="S743" s="70">
        <v>202303</v>
      </c>
      <c r="T743" s="168" t="s">
        <v>1046</v>
      </c>
      <c r="U743" s="168"/>
      <c r="V743" s="182"/>
      <c r="W743" s="182"/>
      <c r="X743" s="73"/>
      <c r="Y743" s="73"/>
    </row>
    <row r="744" s="81" customFormat="1" customHeight="1" spans="1:25">
      <c r="A744" s="60" t="s">
        <v>403</v>
      </c>
      <c r="B744" s="61" t="s">
        <v>62</v>
      </c>
      <c r="C744" s="60" t="s">
        <v>217</v>
      </c>
      <c r="D744" s="60" t="s">
        <v>566</v>
      </c>
      <c r="E744" s="63" t="s">
        <v>905</v>
      </c>
      <c r="F744" s="60" t="s">
        <v>906</v>
      </c>
      <c r="G744" s="161" t="s">
        <v>88</v>
      </c>
      <c r="H744" s="45" t="s">
        <v>1018</v>
      </c>
      <c r="I744" s="47" t="e">
        <f>VLOOKUP(H744,'合同综合查询数据（3月返）'!$A:$A,1,FALSE)</f>
        <v>#N/A</v>
      </c>
      <c r="J744" s="65" t="s">
        <v>126</v>
      </c>
      <c r="K744" s="62" t="s">
        <v>775</v>
      </c>
      <c r="L744" s="66" t="s">
        <v>906</v>
      </c>
      <c r="M744" s="50" t="s">
        <v>1041</v>
      </c>
      <c r="N744" s="178" t="s">
        <v>503</v>
      </c>
      <c r="O744" s="62" t="s">
        <v>457</v>
      </c>
      <c r="P744" s="179">
        <v>0</v>
      </c>
      <c r="Q744" s="69">
        <v>3</v>
      </c>
      <c r="R744" s="68">
        <f t="shared" si="24"/>
        <v>0</v>
      </c>
      <c r="S744" s="70">
        <v>202303</v>
      </c>
      <c r="T744" s="168" t="s">
        <v>1047</v>
      </c>
      <c r="U744" s="168"/>
      <c r="V744" s="182"/>
      <c r="W744" s="182"/>
      <c r="X744" s="73"/>
      <c r="Y744" s="73"/>
    </row>
    <row r="745" s="81" customFormat="1" customHeight="1" spans="1:25">
      <c r="A745" s="60" t="s">
        <v>403</v>
      </c>
      <c r="B745" s="61" t="s">
        <v>62</v>
      </c>
      <c r="C745" s="60" t="s">
        <v>217</v>
      </c>
      <c r="D745" s="60" t="s">
        <v>566</v>
      </c>
      <c r="E745" s="63" t="s">
        <v>905</v>
      </c>
      <c r="F745" s="60" t="s">
        <v>906</v>
      </c>
      <c r="G745" s="161" t="s">
        <v>88</v>
      </c>
      <c r="H745" s="45" t="s">
        <v>1018</v>
      </c>
      <c r="I745" s="47" t="e">
        <f>VLOOKUP(H745,'合同综合查询数据（3月返）'!$A:$A,1,FALSE)</f>
        <v>#N/A</v>
      </c>
      <c r="J745" s="65" t="s">
        <v>126</v>
      </c>
      <c r="K745" s="62" t="s">
        <v>775</v>
      </c>
      <c r="L745" s="66" t="s">
        <v>906</v>
      </c>
      <c r="M745" s="50" t="s">
        <v>1041</v>
      </c>
      <c r="N745" s="178">
        <v>44178</v>
      </c>
      <c r="O745" s="62" t="s">
        <v>457</v>
      </c>
      <c r="P745" s="179">
        <v>5400</v>
      </c>
      <c r="Q745" s="69">
        <v>1</v>
      </c>
      <c r="R745" s="68">
        <f t="shared" si="24"/>
        <v>5400</v>
      </c>
      <c r="S745" s="70">
        <v>202303</v>
      </c>
      <c r="T745" s="168" t="s">
        <v>1048</v>
      </c>
      <c r="U745" s="168"/>
      <c r="V745" s="182"/>
      <c r="W745" s="182"/>
      <c r="X745" s="73"/>
      <c r="Y745" s="73"/>
    </row>
    <row r="746" s="81" customFormat="1" customHeight="1" spans="1:25">
      <c r="A746" s="62" t="s">
        <v>403</v>
      </c>
      <c r="B746" s="61" t="s">
        <v>62</v>
      </c>
      <c r="C746" s="60" t="s">
        <v>217</v>
      </c>
      <c r="D746" s="60" t="s">
        <v>566</v>
      </c>
      <c r="E746" s="47" t="s">
        <v>905</v>
      </c>
      <c r="F746" s="62" t="s">
        <v>1049</v>
      </c>
      <c r="G746" s="62" t="s">
        <v>31</v>
      </c>
      <c r="H746" s="45" t="s">
        <v>1050</v>
      </c>
      <c r="I746" s="47" t="e">
        <f>VLOOKUP(H746,'合同综合查询数据（3月返）'!$A:$A,1,FALSE)</f>
        <v>#N/A</v>
      </c>
      <c r="J746" s="65" t="s">
        <v>33</v>
      </c>
      <c r="K746" s="62" t="s">
        <v>1051</v>
      </c>
      <c r="L746" s="66" t="s">
        <v>1052</v>
      </c>
      <c r="M746" s="62"/>
      <c r="N746" s="178">
        <v>43364</v>
      </c>
      <c r="O746" s="62"/>
      <c r="P746" s="124">
        <v>0</v>
      </c>
      <c r="Q746" s="112">
        <v>544</v>
      </c>
      <c r="R746" s="69">
        <f t="shared" si="24"/>
        <v>0</v>
      </c>
      <c r="S746" s="70">
        <v>202303</v>
      </c>
      <c r="T746" s="72" t="s">
        <v>1053</v>
      </c>
      <c r="U746" s="72"/>
      <c r="V746" s="183"/>
      <c r="W746" s="183"/>
      <c r="X746" s="73"/>
      <c r="Y746" s="73"/>
    </row>
    <row r="747" s="81" customFormat="1" customHeight="1" spans="1:25">
      <c r="A747" s="62" t="s">
        <v>403</v>
      </c>
      <c r="B747" s="61" t="s">
        <v>62</v>
      </c>
      <c r="C747" s="60" t="s">
        <v>217</v>
      </c>
      <c r="D747" s="60" t="s">
        <v>566</v>
      </c>
      <c r="E747" s="47" t="s">
        <v>905</v>
      </c>
      <c r="F747" s="62" t="s">
        <v>1049</v>
      </c>
      <c r="G747" s="62" t="s">
        <v>31</v>
      </c>
      <c r="H747" s="45" t="s">
        <v>1050</v>
      </c>
      <c r="I747" s="47" t="e">
        <f>VLOOKUP(H747,'合同综合查询数据（3月返）'!$A:$A,1,FALSE)</f>
        <v>#N/A</v>
      </c>
      <c r="J747" s="65" t="s">
        <v>33</v>
      </c>
      <c r="K747" s="62" t="s">
        <v>1054</v>
      </c>
      <c r="L747" s="66" t="s">
        <v>1052</v>
      </c>
      <c r="M747" s="62"/>
      <c r="N747" s="178">
        <v>44730</v>
      </c>
      <c r="O747" s="62"/>
      <c r="P747" s="124">
        <v>0</v>
      </c>
      <c r="Q747" s="112">
        <v>256</v>
      </c>
      <c r="R747" s="69">
        <f t="shared" si="24"/>
        <v>0</v>
      </c>
      <c r="S747" s="70">
        <v>202303</v>
      </c>
      <c r="T747" s="72" t="s">
        <v>1055</v>
      </c>
      <c r="U747" s="72"/>
      <c r="V747" s="183"/>
      <c r="W747" s="183"/>
      <c r="X747" s="73"/>
      <c r="Y747" s="73"/>
    </row>
    <row r="748" s="81" customFormat="1" customHeight="1" spans="1:25">
      <c r="A748" s="62" t="s">
        <v>403</v>
      </c>
      <c r="B748" s="61" t="s">
        <v>62</v>
      </c>
      <c r="C748" s="60" t="s">
        <v>217</v>
      </c>
      <c r="D748" s="60" t="s">
        <v>566</v>
      </c>
      <c r="E748" s="47" t="s">
        <v>905</v>
      </c>
      <c r="F748" s="62" t="s">
        <v>1049</v>
      </c>
      <c r="G748" s="62" t="s">
        <v>31</v>
      </c>
      <c r="H748" s="45" t="s">
        <v>1050</v>
      </c>
      <c r="I748" s="47" t="e">
        <f>VLOOKUP(H748,'合同综合查询数据（3月返）'!$A:$A,1,FALSE)</f>
        <v>#N/A</v>
      </c>
      <c r="J748" s="65" t="s">
        <v>33</v>
      </c>
      <c r="K748" s="62" t="s">
        <v>1056</v>
      </c>
      <c r="L748" s="66" t="s">
        <v>1052</v>
      </c>
      <c r="M748" s="62"/>
      <c r="N748" s="178">
        <v>43364</v>
      </c>
      <c r="O748" s="62"/>
      <c r="P748" s="124">
        <v>0</v>
      </c>
      <c r="Q748" s="112">
        <v>32</v>
      </c>
      <c r="R748" s="69">
        <f t="shared" si="24"/>
        <v>0</v>
      </c>
      <c r="S748" s="70">
        <v>202303</v>
      </c>
      <c r="T748" s="72" t="s">
        <v>1057</v>
      </c>
      <c r="U748" s="72"/>
      <c r="V748" s="183"/>
      <c r="W748" s="183"/>
      <c r="X748" s="73"/>
      <c r="Y748" s="73"/>
    </row>
    <row r="749" s="81" customFormat="1" customHeight="1" spans="1:25">
      <c r="A749" s="62" t="s">
        <v>403</v>
      </c>
      <c r="B749" s="61" t="s">
        <v>62</v>
      </c>
      <c r="C749" s="60" t="s">
        <v>217</v>
      </c>
      <c r="D749" s="60" t="s">
        <v>566</v>
      </c>
      <c r="E749" s="47" t="s">
        <v>905</v>
      </c>
      <c r="F749" s="62" t="s">
        <v>1049</v>
      </c>
      <c r="G749" s="62" t="s">
        <v>31</v>
      </c>
      <c r="H749" s="45" t="s">
        <v>1050</v>
      </c>
      <c r="I749" s="47" t="e">
        <f>VLOOKUP(H749,'合同综合查询数据（3月返）'!$A:$A,1,FALSE)</f>
        <v>#N/A</v>
      </c>
      <c r="J749" s="65" t="s">
        <v>33</v>
      </c>
      <c r="K749" s="62" t="s">
        <v>1056</v>
      </c>
      <c r="L749" s="66" t="s">
        <v>1052</v>
      </c>
      <c r="M749" s="62"/>
      <c r="N749" s="178">
        <v>43364</v>
      </c>
      <c r="O749" s="62"/>
      <c r="P749" s="124">
        <v>0</v>
      </c>
      <c r="Q749" s="112">
        <v>256</v>
      </c>
      <c r="R749" s="69">
        <f t="shared" si="24"/>
        <v>0</v>
      </c>
      <c r="S749" s="70">
        <v>202303</v>
      </c>
      <c r="T749" s="72" t="s">
        <v>1058</v>
      </c>
      <c r="U749" s="72"/>
      <c r="V749" s="183"/>
      <c r="W749" s="183"/>
      <c r="X749" s="73"/>
      <c r="Y749" s="73"/>
    </row>
    <row r="750" s="81" customFormat="1" customHeight="1" spans="1:25">
      <c r="A750" s="62" t="s">
        <v>403</v>
      </c>
      <c r="B750" s="61" t="s">
        <v>62</v>
      </c>
      <c r="C750" s="60" t="s">
        <v>217</v>
      </c>
      <c r="D750" s="60" t="s">
        <v>566</v>
      </c>
      <c r="E750" s="47" t="s">
        <v>905</v>
      </c>
      <c r="F750" s="62" t="s">
        <v>1049</v>
      </c>
      <c r="G750" s="62" t="s">
        <v>31</v>
      </c>
      <c r="H750" s="45" t="s">
        <v>1050</v>
      </c>
      <c r="I750" s="47" t="e">
        <f>VLOOKUP(H750,'合同综合查询数据（3月返）'!$A:$A,1,FALSE)</f>
        <v>#N/A</v>
      </c>
      <c r="J750" s="65" t="s">
        <v>33</v>
      </c>
      <c r="K750" s="62" t="s">
        <v>1056</v>
      </c>
      <c r="L750" s="66" t="s">
        <v>1052</v>
      </c>
      <c r="M750" s="62"/>
      <c r="N750" s="178">
        <v>44730</v>
      </c>
      <c r="O750" s="62"/>
      <c r="P750" s="124">
        <v>0</v>
      </c>
      <c r="Q750" s="112">
        <v>256</v>
      </c>
      <c r="R750" s="69">
        <f t="shared" si="24"/>
        <v>0</v>
      </c>
      <c r="S750" s="70">
        <v>202303</v>
      </c>
      <c r="T750" s="72" t="s">
        <v>1059</v>
      </c>
      <c r="U750" s="72"/>
      <c r="V750" s="183"/>
      <c r="W750" s="183"/>
      <c r="X750" s="73"/>
      <c r="Y750" s="73"/>
    </row>
    <row r="751" s="81" customFormat="1" customHeight="1" spans="1:25">
      <c r="A751" s="62" t="s">
        <v>403</v>
      </c>
      <c r="B751" s="61" t="s">
        <v>62</v>
      </c>
      <c r="C751" s="60" t="s">
        <v>217</v>
      </c>
      <c r="D751" s="60" t="s">
        <v>566</v>
      </c>
      <c r="E751" s="47" t="s">
        <v>905</v>
      </c>
      <c r="F751" s="62" t="s">
        <v>1049</v>
      </c>
      <c r="G751" s="62" t="s">
        <v>88</v>
      </c>
      <c r="H751" s="45" t="s">
        <v>1050</v>
      </c>
      <c r="I751" s="47" t="e">
        <f>VLOOKUP(H751,'合同综合查询数据（3月返）'!$A:$A,1,FALSE)</f>
        <v>#N/A</v>
      </c>
      <c r="J751" s="65" t="s">
        <v>126</v>
      </c>
      <c r="K751" s="62" t="s">
        <v>1060</v>
      </c>
      <c r="L751" s="66" t="s">
        <v>1061</v>
      </c>
      <c r="M751" s="62" t="s">
        <v>1062</v>
      </c>
      <c r="N751" s="178"/>
      <c r="O751" s="62" t="s">
        <v>92</v>
      </c>
      <c r="P751" s="124">
        <v>0</v>
      </c>
      <c r="Q751" s="112">
        <v>8</v>
      </c>
      <c r="R751" s="69">
        <f t="shared" si="24"/>
        <v>0</v>
      </c>
      <c r="S751" s="70">
        <v>202303</v>
      </c>
      <c r="T751" s="72" t="s">
        <v>1063</v>
      </c>
      <c r="U751" s="72"/>
      <c r="V751" s="183"/>
      <c r="W751" s="183"/>
      <c r="X751" s="73"/>
      <c r="Y751" s="73"/>
    </row>
    <row r="752" s="81" customFormat="1" customHeight="1" spans="1:25">
      <c r="A752" s="62" t="s">
        <v>403</v>
      </c>
      <c r="B752" s="61" t="s">
        <v>62</v>
      </c>
      <c r="C752" s="60" t="s">
        <v>217</v>
      </c>
      <c r="D752" s="60" t="s">
        <v>566</v>
      </c>
      <c r="E752" s="47" t="s">
        <v>905</v>
      </c>
      <c r="F752" s="62" t="s">
        <v>1049</v>
      </c>
      <c r="G752" s="62" t="s">
        <v>88</v>
      </c>
      <c r="H752" s="45" t="s">
        <v>1050</v>
      </c>
      <c r="I752" s="47" t="e">
        <f>VLOOKUP(H752,'合同综合查询数据（3月返）'!$A:$A,1,FALSE)</f>
        <v>#N/A</v>
      </c>
      <c r="J752" s="65" t="s">
        <v>126</v>
      </c>
      <c r="K752" s="62" t="s">
        <v>1060</v>
      </c>
      <c r="L752" s="66" t="s">
        <v>1061</v>
      </c>
      <c r="M752" s="62" t="s">
        <v>1062</v>
      </c>
      <c r="N752" s="178">
        <v>44391</v>
      </c>
      <c r="O752" s="62" t="s">
        <v>92</v>
      </c>
      <c r="P752" s="124">
        <v>0</v>
      </c>
      <c r="Q752" s="112">
        <v>-3</v>
      </c>
      <c r="R752" s="69">
        <f t="shared" si="24"/>
        <v>0</v>
      </c>
      <c r="S752" s="70">
        <v>202303</v>
      </c>
      <c r="T752" s="72" t="s">
        <v>1064</v>
      </c>
      <c r="U752" s="72"/>
      <c r="V752" s="183"/>
      <c r="W752" s="183"/>
      <c r="X752" s="73"/>
      <c r="Y752" s="73"/>
    </row>
    <row r="753" s="81" customFormat="1" customHeight="1" spans="1:25">
      <c r="A753" s="62" t="s">
        <v>403</v>
      </c>
      <c r="B753" s="61" t="s">
        <v>62</v>
      </c>
      <c r="C753" s="60" t="s">
        <v>217</v>
      </c>
      <c r="D753" s="60" t="s">
        <v>566</v>
      </c>
      <c r="E753" s="47" t="s">
        <v>905</v>
      </c>
      <c r="F753" s="62" t="s">
        <v>1049</v>
      </c>
      <c r="G753" s="62" t="s">
        <v>88</v>
      </c>
      <c r="H753" s="45" t="s">
        <v>1050</v>
      </c>
      <c r="I753" s="47" t="e">
        <f>VLOOKUP(H753,'合同综合查询数据（3月返）'!$A:$A,1,FALSE)</f>
        <v>#N/A</v>
      </c>
      <c r="J753" s="65" t="s">
        <v>126</v>
      </c>
      <c r="K753" s="62" t="s">
        <v>1060</v>
      </c>
      <c r="L753" s="66" t="s">
        <v>1061</v>
      </c>
      <c r="M753" s="62" t="s">
        <v>1062</v>
      </c>
      <c r="N753" s="178"/>
      <c r="O753" s="62" t="s">
        <v>92</v>
      </c>
      <c r="P753" s="124">
        <v>0</v>
      </c>
      <c r="Q753" s="112">
        <v>1</v>
      </c>
      <c r="R753" s="69">
        <f t="shared" si="24"/>
        <v>0</v>
      </c>
      <c r="S753" s="70">
        <v>202303</v>
      </c>
      <c r="T753" s="72" t="s">
        <v>1065</v>
      </c>
      <c r="U753" s="72"/>
      <c r="V753" s="183"/>
      <c r="W753" s="183"/>
      <c r="X753" s="73"/>
      <c r="Y753" s="73"/>
    </row>
    <row r="754" s="81" customFormat="1" customHeight="1" spans="1:25">
      <c r="A754" s="62" t="s">
        <v>403</v>
      </c>
      <c r="B754" s="61" t="s">
        <v>62</v>
      </c>
      <c r="C754" s="60" t="s">
        <v>217</v>
      </c>
      <c r="D754" s="60" t="s">
        <v>566</v>
      </c>
      <c r="E754" s="47" t="s">
        <v>905</v>
      </c>
      <c r="F754" s="62" t="s">
        <v>1049</v>
      </c>
      <c r="G754" s="62" t="s">
        <v>88</v>
      </c>
      <c r="H754" s="45" t="s">
        <v>1050</v>
      </c>
      <c r="I754" s="47" t="e">
        <f>VLOOKUP(H754,'合同综合查询数据（3月返）'!$A:$A,1,FALSE)</f>
        <v>#N/A</v>
      </c>
      <c r="J754" s="65" t="s">
        <v>126</v>
      </c>
      <c r="K754" s="62" t="s">
        <v>1060</v>
      </c>
      <c r="L754" s="66" t="s">
        <v>1049</v>
      </c>
      <c r="M754" s="62" t="s">
        <v>1062</v>
      </c>
      <c r="N754" s="178"/>
      <c r="O754" s="62" t="s">
        <v>92</v>
      </c>
      <c r="P754" s="124">
        <v>0</v>
      </c>
      <c r="Q754" s="112">
        <v>3</v>
      </c>
      <c r="R754" s="69">
        <f t="shared" si="24"/>
        <v>0</v>
      </c>
      <c r="S754" s="70">
        <v>202303</v>
      </c>
      <c r="T754" s="72" t="s">
        <v>1066</v>
      </c>
      <c r="U754" s="72"/>
      <c r="V754" s="183"/>
      <c r="W754" s="183"/>
      <c r="X754" s="73"/>
      <c r="Y754" s="73"/>
    </row>
    <row r="755" s="81" customFormat="1" customHeight="1" spans="1:25">
      <c r="A755" s="62" t="s">
        <v>403</v>
      </c>
      <c r="B755" s="61" t="s">
        <v>62</v>
      </c>
      <c r="C755" s="60" t="s">
        <v>217</v>
      </c>
      <c r="D755" s="60" t="s">
        <v>566</v>
      </c>
      <c r="E755" s="47" t="s">
        <v>905</v>
      </c>
      <c r="F755" s="62" t="s">
        <v>1049</v>
      </c>
      <c r="G755" s="62" t="s">
        <v>88</v>
      </c>
      <c r="H755" s="45" t="s">
        <v>1050</v>
      </c>
      <c r="I755" s="47" t="e">
        <f>VLOOKUP(H755,'合同综合查询数据（3月返）'!$A:$A,1,FALSE)</f>
        <v>#N/A</v>
      </c>
      <c r="J755" s="65" t="s">
        <v>126</v>
      </c>
      <c r="K755" s="62" t="s">
        <v>1060</v>
      </c>
      <c r="L755" s="66" t="s">
        <v>1049</v>
      </c>
      <c r="M755" s="62" t="s">
        <v>1062</v>
      </c>
      <c r="N755" s="178">
        <v>44389</v>
      </c>
      <c r="O755" s="62" t="s">
        <v>92</v>
      </c>
      <c r="P755" s="124">
        <v>0</v>
      </c>
      <c r="Q755" s="112">
        <v>-3</v>
      </c>
      <c r="R755" s="69">
        <f t="shared" si="24"/>
        <v>0</v>
      </c>
      <c r="S755" s="70">
        <v>202303</v>
      </c>
      <c r="T755" s="72" t="s">
        <v>1067</v>
      </c>
      <c r="U755" s="72"/>
      <c r="V755" s="183"/>
      <c r="W755" s="183"/>
      <c r="X755" s="73"/>
      <c r="Y755" s="73"/>
    </row>
    <row r="756" s="81" customFormat="1" customHeight="1" spans="1:25">
      <c r="A756" s="62" t="s">
        <v>403</v>
      </c>
      <c r="B756" s="61" t="s">
        <v>62</v>
      </c>
      <c r="C756" s="60" t="s">
        <v>217</v>
      </c>
      <c r="D756" s="60" t="s">
        <v>566</v>
      </c>
      <c r="E756" s="47" t="s">
        <v>905</v>
      </c>
      <c r="F756" s="62" t="s">
        <v>1049</v>
      </c>
      <c r="G756" s="62" t="s">
        <v>88</v>
      </c>
      <c r="H756" s="45" t="s">
        <v>1050</v>
      </c>
      <c r="I756" s="47" t="e">
        <f>VLOOKUP(H756,'合同综合查询数据（3月返）'!$A:$A,1,FALSE)</f>
        <v>#N/A</v>
      </c>
      <c r="J756" s="65" t="s">
        <v>126</v>
      </c>
      <c r="K756" s="62" t="s">
        <v>1054</v>
      </c>
      <c r="L756" s="66" t="s">
        <v>1052</v>
      </c>
      <c r="M756" s="62" t="s">
        <v>1062</v>
      </c>
      <c r="N756" s="178">
        <v>44730</v>
      </c>
      <c r="O756" s="62" t="s">
        <v>92</v>
      </c>
      <c r="P756" s="124">
        <v>0</v>
      </c>
      <c r="Q756" s="112">
        <v>23</v>
      </c>
      <c r="R756" s="69">
        <f t="shared" si="24"/>
        <v>0</v>
      </c>
      <c r="S756" s="70">
        <v>202303</v>
      </c>
      <c r="T756" s="72" t="s">
        <v>1068</v>
      </c>
      <c r="U756" s="72"/>
      <c r="V756" s="183"/>
      <c r="W756" s="183"/>
      <c r="X756" s="73"/>
      <c r="Y756" s="73"/>
    </row>
    <row r="757" s="81" customFormat="1" customHeight="1" spans="1:25">
      <c r="A757" s="62" t="s">
        <v>403</v>
      </c>
      <c r="B757" s="61" t="s">
        <v>62</v>
      </c>
      <c r="C757" s="60" t="s">
        <v>217</v>
      </c>
      <c r="D757" s="60" t="s">
        <v>566</v>
      </c>
      <c r="E757" s="47" t="s">
        <v>905</v>
      </c>
      <c r="F757" s="62" t="s">
        <v>1049</v>
      </c>
      <c r="G757" s="62" t="s">
        <v>88</v>
      </c>
      <c r="H757" s="45" t="s">
        <v>1050</v>
      </c>
      <c r="I757" s="47" t="e">
        <f>VLOOKUP(H757,'合同综合查询数据（3月返）'!$A:$A,1,FALSE)</f>
        <v>#N/A</v>
      </c>
      <c r="J757" s="65" t="s">
        <v>126</v>
      </c>
      <c r="K757" s="62" t="s">
        <v>1054</v>
      </c>
      <c r="L757" s="66" t="s">
        <v>1052</v>
      </c>
      <c r="M757" s="62" t="s">
        <v>1062</v>
      </c>
      <c r="N757" s="178">
        <v>44873</v>
      </c>
      <c r="O757" s="62" t="s">
        <v>92</v>
      </c>
      <c r="P757" s="124">
        <v>0</v>
      </c>
      <c r="Q757" s="112">
        <v>1</v>
      </c>
      <c r="R757" s="69">
        <f t="shared" si="24"/>
        <v>0</v>
      </c>
      <c r="S757" s="70">
        <v>202303</v>
      </c>
      <c r="T757" s="72" t="s">
        <v>1069</v>
      </c>
      <c r="U757" s="72"/>
      <c r="V757" s="183"/>
      <c r="W757" s="183"/>
      <c r="X757" s="73"/>
      <c r="Y757" s="73"/>
    </row>
    <row r="758" s="79" customFormat="1" customHeight="1" spans="1:25">
      <c r="A758" s="98" t="s">
        <v>403</v>
      </c>
      <c r="B758" s="98" t="s">
        <v>62</v>
      </c>
      <c r="C758" s="98" t="s">
        <v>217</v>
      </c>
      <c r="D758" s="98" t="s">
        <v>566</v>
      </c>
      <c r="E758" s="147" t="s">
        <v>905</v>
      </c>
      <c r="F758" s="98" t="s">
        <v>906</v>
      </c>
      <c r="G758" s="151" t="s">
        <v>88</v>
      </c>
      <c r="H758" s="19" t="s">
        <v>1070</v>
      </c>
      <c r="I758" s="23" t="e">
        <f>VLOOKUP(H758,'合同综合查询数据（3月返）'!$A:$A,1,FALSE)</f>
        <v>#N/A</v>
      </c>
      <c r="J758" s="24" t="s">
        <v>90</v>
      </c>
      <c r="K758" s="129" t="s">
        <v>1071</v>
      </c>
      <c r="L758" s="153"/>
      <c r="M758" s="26" t="s">
        <v>909</v>
      </c>
      <c r="N758" s="154">
        <v>44386</v>
      </c>
      <c r="O758" s="155" t="s">
        <v>457</v>
      </c>
      <c r="P758" s="156">
        <v>5900</v>
      </c>
      <c r="Q758" s="156">
        <v>7</v>
      </c>
      <c r="R758" s="120">
        <f t="shared" si="24"/>
        <v>41300</v>
      </c>
      <c r="S758" s="117">
        <v>202303</v>
      </c>
      <c r="T758" s="157" t="s">
        <v>1072</v>
      </c>
      <c r="U758" s="157"/>
      <c r="V758" s="133"/>
      <c r="W758" s="133"/>
      <c r="X758" s="118">
        <v>44356</v>
      </c>
      <c r="Y758" s="118">
        <v>46546</v>
      </c>
    </row>
    <row r="759" s="79" customFormat="1" customHeight="1" spans="1:25">
      <c r="A759" s="98" t="s">
        <v>403</v>
      </c>
      <c r="B759" s="98" t="s">
        <v>62</v>
      </c>
      <c r="C759" s="98" t="s">
        <v>217</v>
      </c>
      <c r="D759" s="98" t="s">
        <v>566</v>
      </c>
      <c r="E759" s="147" t="s">
        <v>905</v>
      </c>
      <c r="F759" s="98" t="s">
        <v>906</v>
      </c>
      <c r="G759" s="151" t="s">
        <v>88</v>
      </c>
      <c r="H759" s="19" t="s">
        <v>1070</v>
      </c>
      <c r="I759" s="23" t="e">
        <f>VLOOKUP(H759,'合同综合查询数据（3月返）'!$A:$A,1,FALSE)</f>
        <v>#N/A</v>
      </c>
      <c r="J759" s="24" t="s">
        <v>90</v>
      </c>
      <c r="K759" s="129" t="s">
        <v>1071</v>
      </c>
      <c r="L759" s="153"/>
      <c r="M759" s="26" t="s">
        <v>909</v>
      </c>
      <c r="N759" s="154">
        <v>44386</v>
      </c>
      <c r="O759" s="155" t="s">
        <v>461</v>
      </c>
      <c r="P759" s="156">
        <v>8595</v>
      </c>
      <c r="Q759" s="156">
        <v>345</v>
      </c>
      <c r="R759" s="120">
        <f t="shared" si="24"/>
        <v>2965275</v>
      </c>
      <c r="S759" s="117">
        <v>202303</v>
      </c>
      <c r="T759" s="157" t="s">
        <v>1073</v>
      </c>
      <c r="U759" s="157"/>
      <c r="V759" s="133"/>
      <c r="W759" s="133"/>
      <c r="X759" s="118">
        <v>44356</v>
      </c>
      <c r="Y759" s="118">
        <v>46546</v>
      </c>
    </row>
    <row r="760" s="79" customFormat="1" customHeight="1" spans="1:25">
      <c r="A760" s="98" t="s">
        <v>403</v>
      </c>
      <c r="B760" s="98" t="s">
        <v>62</v>
      </c>
      <c r="C760" s="98" t="s">
        <v>217</v>
      </c>
      <c r="D760" s="98" t="s">
        <v>566</v>
      </c>
      <c r="E760" s="147" t="s">
        <v>905</v>
      </c>
      <c r="F760" s="98" t="s">
        <v>906</v>
      </c>
      <c r="G760" s="151" t="s">
        <v>88</v>
      </c>
      <c r="H760" s="19" t="s">
        <v>1070</v>
      </c>
      <c r="I760" s="23" t="e">
        <f>VLOOKUP(H760,'合同综合查询数据（3月返）'!$A:$A,1,FALSE)</f>
        <v>#N/A</v>
      </c>
      <c r="J760" s="24" t="s">
        <v>90</v>
      </c>
      <c r="K760" s="129" t="s">
        <v>1071</v>
      </c>
      <c r="L760" s="153"/>
      <c r="M760" s="26" t="s">
        <v>909</v>
      </c>
      <c r="N760" s="154">
        <v>44386</v>
      </c>
      <c r="O760" s="155" t="s">
        <v>574</v>
      </c>
      <c r="P760" s="156">
        <v>11200</v>
      </c>
      <c r="Q760" s="156">
        <v>8</v>
      </c>
      <c r="R760" s="120">
        <f t="shared" si="24"/>
        <v>89600</v>
      </c>
      <c r="S760" s="117">
        <v>202303</v>
      </c>
      <c r="T760" s="157" t="s">
        <v>1074</v>
      </c>
      <c r="U760" s="157"/>
      <c r="V760" s="133"/>
      <c r="W760" s="133"/>
      <c r="X760" s="118">
        <v>44356</v>
      </c>
      <c r="Y760" s="118">
        <v>46546</v>
      </c>
    </row>
    <row r="761" s="79" customFormat="1" customHeight="1" spans="1:25">
      <c r="A761" s="98" t="s">
        <v>403</v>
      </c>
      <c r="B761" s="98" t="s">
        <v>62</v>
      </c>
      <c r="C761" s="98" t="s">
        <v>217</v>
      </c>
      <c r="D761" s="98" t="s">
        <v>566</v>
      </c>
      <c r="E761" s="147" t="s">
        <v>905</v>
      </c>
      <c r="F761" s="98" t="s">
        <v>906</v>
      </c>
      <c r="G761" s="151" t="s">
        <v>88</v>
      </c>
      <c r="H761" s="19" t="s">
        <v>1070</v>
      </c>
      <c r="I761" s="23" t="e">
        <f>VLOOKUP(H761,'合同综合查询数据（3月返）'!$A:$A,1,FALSE)</f>
        <v>#N/A</v>
      </c>
      <c r="J761" s="24" t="s">
        <v>90</v>
      </c>
      <c r="K761" s="129" t="s">
        <v>1071</v>
      </c>
      <c r="L761" s="153"/>
      <c r="M761" s="26" t="s">
        <v>909</v>
      </c>
      <c r="N761" s="154">
        <v>44391</v>
      </c>
      <c r="O761" s="155" t="s">
        <v>461</v>
      </c>
      <c r="P761" s="156">
        <v>8595</v>
      </c>
      <c r="Q761" s="156">
        <v>14</v>
      </c>
      <c r="R761" s="120">
        <f t="shared" si="24"/>
        <v>120330</v>
      </c>
      <c r="S761" s="117">
        <v>202303</v>
      </c>
      <c r="T761" s="157" t="s">
        <v>1075</v>
      </c>
      <c r="U761" s="157"/>
      <c r="V761" s="133"/>
      <c r="W761" s="133"/>
      <c r="X761" s="118">
        <v>44356</v>
      </c>
      <c r="Y761" s="118">
        <v>46546</v>
      </c>
    </row>
    <row r="762" s="79" customFormat="1" customHeight="1" spans="1:25">
      <c r="A762" s="98" t="s">
        <v>403</v>
      </c>
      <c r="B762" s="98" t="s">
        <v>62</v>
      </c>
      <c r="C762" s="98" t="s">
        <v>217</v>
      </c>
      <c r="D762" s="98" t="s">
        <v>566</v>
      </c>
      <c r="E762" s="147" t="s">
        <v>905</v>
      </c>
      <c r="F762" s="98" t="s">
        <v>906</v>
      </c>
      <c r="G762" s="151" t="s">
        <v>88</v>
      </c>
      <c r="H762" s="19" t="s">
        <v>1070</v>
      </c>
      <c r="I762" s="23" t="e">
        <f>VLOOKUP(H762,'合同综合查询数据（3月返）'!$A:$A,1,FALSE)</f>
        <v>#N/A</v>
      </c>
      <c r="J762" s="24" t="s">
        <v>90</v>
      </c>
      <c r="K762" s="129" t="s">
        <v>1071</v>
      </c>
      <c r="L762" s="153"/>
      <c r="M762" s="26" t="s">
        <v>909</v>
      </c>
      <c r="N762" s="154">
        <v>44393</v>
      </c>
      <c r="O762" s="155" t="s">
        <v>461</v>
      </c>
      <c r="P762" s="156">
        <v>8595</v>
      </c>
      <c r="Q762" s="156">
        <v>8</v>
      </c>
      <c r="R762" s="120">
        <f t="shared" si="24"/>
        <v>68760</v>
      </c>
      <c r="S762" s="117">
        <v>202303</v>
      </c>
      <c r="T762" s="157" t="s">
        <v>1076</v>
      </c>
      <c r="U762" s="157"/>
      <c r="V762" s="133"/>
      <c r="W762" s="133"/>
      <c r="X762" s="118">
        <v>44356</v>
      </c>
      <c r="Y762" s="118">
        <v>46546</v>
      </c>
    </row>
    <row r="763" s="79" customFormat="1" customHeight="1" spans="1:25">
      <c r="A763" s="98" t="s">
        <v>403</v>
      </c>
      <c r="B763" s="98" t="s">
        <v>62</v>
      </c>
      <c r="C763" s="98" t="s">
        <v>217</v>
      </c>
      <c r="D763" s="98" t="s">
        <v>566</v>
      </c>
      <c r="E763" s="147" t="s">
        <v>905</v>
      </c>
      <c r="F763" s="98" t="s">
        <v>906</v>
      </c>
      <c r="G763" s="151" t="s">
        <v>88</v>
      </c>
      <c r="H763" s="19" t="s">
        <v>1070</v>
      </c>
      <c r="I763" s="23" t="e">
        <f>VLOOKUP(H763,'合同综合查询数据（3月返）'!$A:$A,1,FALSE)</f>
        <v>#N/A</v>
      </c>
      <c r="J763" s="24" t="s">
        <v>90</v>
      </c>
      <c r="K763" s="129" t="s">
        <v>1071</v>
      </c>
      <c r="L763" s="153"/>
      <c r="M763" s="26" t="s">
        <v>909</v>
      </c>
      <c r="N763" s="154">
        <v>44396</v>
      </c>
      <c r="O763" s="155" t="s">
        <v>461</v>
      </c>
      <c r="P763" s="156">
        <v>8595</v>
      </c>
      <c r="Q763" s="156">
        <v>7</v>
      </c>
      <c r="R763" s="120">
        <f t="shared" si="24"/>
        <v>60165</v>
      </c>
      <c r="S763" s="117">
        <v>202303</v>
      </c>
      <c r="T763" s="157" t="s">
        <v>1077</v>
      </c>
      <c r="U763" s="157"/>
      <c r="V763" s="133"/>
      <c r="W763" s="133"/>
      <c r="X763" s="118">
        <v>44356</v>
      </c>
      <c r="Y763" s="118">
        <v>46546</v>
      </c>
    </row>
    <row r="764" s="79" customFormat="1" customHeight="1" spans="1:25">
      <c r="A764" s="98" t="s">
        <v>403</v>
      </c>
      <c r="B764" s="98" t="s">
        <v>62</v>
      </c>
      <c r="C764" s="98" t="s">
        <v>217</v>
      </c>
      <c r="D764" s="98" t="s">
        <v>566</v>
      </c>
      <c r="E764" s="147" t="s">
        <v>905</v>
      </c>
      <c r="F764" s="98" t="s">
        <v>906</v>
      </c>
      <c r="G764" s="151" t="s">
        <v>88</v>
      </c>
      <c r="H764" s="19" t="s">
        <v>1070</v>
      </c>
      <c r="I764" s="23" t="e">
        <f>VLOOKUP(H764,'合同综合查询数据（3月返）'!$A:$A,1,FALSE)</f>
        <v>#N/A</v>
      </c>
      <c r="J764" s="24" t="s">
        <v>90</v>
      </c>
      <c r="K764" s="129" t="s">
        <v>1071</v>
      </c>
      <c r="L764" s="153"/>
      <c r="M764" s="26" t="s">
        <v>909</v>
      </c>
      <c r="N764" s="154">
        <v>44398</v>
      </c>
      <c r="O764" s="155" t="s">
        <v>461</v>
      </c>
      <c r="P764" s="156">
        <v>8595</v>
      </c>
      <c r="Q764" s="156">
        <v>7</v>
      </c>
      <c r="R764" s="120">
        <f t="shared" si="24"/>
        <v>60165</v>
      </c>
      <c r="S764" s="117">
        <v>202303</v>
      </c>
      <c r="T764" s="157" t="s">
        <v>1078</v>
      </c>
      <c r="U764" s="157"/>
      <c r="V764" s="133"/>
      <c r="W764" s="133"/>
      <c r="X764" s="118">
        <v>44356</v>
      </c>
      <c r="Y764" s="118">
        <v>46546</v>
      </c>
    </row>
    <row r="765" s="79" customFormat="1" customHeight="1" spans="1:25">
      <c r="A765" s="98" t="s">
        <v>403</v>
      </c>
      <c r="B765" s="98" t="s">
        <v>62</v>
      </c>
      <c r="C765" s="98" t="s">
        <v>217</v>
      </c>
      <c r="D765" s="98" t="s">
        <v>566</v>
      </c>
      <c r="E765" s="147" t="s">
        <v>905</v>
      </c>
      <c r="F765" s="98" t="s">
        <v>906</v>
      </c>
      <c r="G765" s="151" t="s">
        <v>88</v>
      </c>
      <c r="H765" s="19" t="s">
        <v>1070</v>
      </c>
      <c r="I765" s="23" t="e">
        <f>VLOOKUP(H765,'合同综合查询数据（3月返）'!$A:$A,1,FALSE)</f>
        <v>#N/A</v>
      </c>
      <c r="J765" s="24" t="s">
        <v>90</v>
      </c>
      <c r="K765" s="129" t="s">
        <v>1071</v>
      </c>
      <c r="L765" s="153"/>
      <c r="M765" s="26" t="s">
        <v>909</v>
      </c>
      <c r="N765" s="154">
        <v>44406</v>
      </c>
      <c r="O765" s="155" t="s">
        <v>461</v>
      </c>
      <c r="P765" s="156">
        <v>8595</v>
      </c>
      <c r="Q765" s="156">
        <v>17</v>
      </c>
      <c r="R765" s="120">
        <f t="shared" si="24"/>
        <v>146115</v>
      </c>
      <c r="S765" s="117">
        <v>202303</v>
      </c>
      <c r="T765" s="157" t="s">
        <v>1079</v>
      </c>
      <c r="U765" s="157"/>
      <c r="V765" s="133"/>
      <c r="W765" s="133"/>
      <c r="X765" s="118">
        <v>44356</v>
      </c>
      <c r="Y765" s="118">
        <v>46546</v>
      </c>
    </row>
    <row r="766" s="79" customFormat="1" customHeight="1" spans="1:25">
      <c r="A766" s="98" t="s">
        <v>403</v>
      </c>
      <c r="B766" s="98" t="s">
        <v>62</v>
      </c>
      <c r="C766" s="98" t="s">
        <v>217</v>
      </c>
      <c r="D766" s="98" t="s">
        <v>566</v>
      </c>
      <c r="E766" s="147" t="s">
        <v>905</v>
      </c>
      <c r="F766" s="98" t="s">
        <v>906</v>
      </c>
      <c r="G766" s="151" t="s">
        <v>88</v>
      </c>
      <c r="H766" s="19" t="s">
        <v>1070</v>
      </c>
      <c r="I766" s="23" t="e">
        <f>VLOOKUP(H766,'合同综合查询数据（3月返）'!$A:$A,1,FALSE)</f>
        <v>#N/A</v>
      </c>
      <c r="J766" s="24" t="s">
        <v>90</v>
      </c>
      <c r="K766" s="129" t="s">
        <v>1071</v>
      </c>
      <c r="L766" s="153"/>
      <c r="M766" s="26" t="s">
        <v>909</v>
      </c>
      <c r="N766" s="154">
        <v>44407</v>
      </c>
      <c r="O766" s="155" t="s">
        <v>461</v>
      </c>
      <c r="P766" s="156">
        <v>8595</v>
      </c>
      <c r="Q766" s="156">
        <v>16</v>
      </c>
      <c r="R766" s="120">
        <f t="shared" si="24"/>
        <v>137520</v>
      </c>
      <c r="S766" s="117">
        <v>202303</v>
      </c>
      <c r="T766" s="157" t="s">
        <v>1080</v>
      </c>
      <c r="U766" s="157"/>
      <c r="V766" s="133"/>
      <c r="W766" s="133"/>
      <c r="X766" s="118">
        <v>44356</v>
      </c>
      <c r="Y766" s="118">
        <v>46546</v>
      </c>
    </row>
    <row r="767" s="79" customFormat="1" customHeight="1" spans="1:25">
      <c r="A767" s="98" t="s">
        <v>403</v>
      </c>
      <c r="B767" s="98" t="s">
        <v>62</v>
      </c>
      <c r="C767" s="98" t="s">
        <v>217</v>
      </c>
      <c r="D767" s="98" t="s">
        <v>566</v>
      </c>
      <c r="E767" s="147" t="s">
        <v>905</v>
      </c>
      <c r="F767" s="98" t="s">
        <v>906</v>
      </c>
      <c r="G767" s="151" t="s">
        <v>88</v>
      </c>
      <c r="H767" s="19" t="s">
        <v>1070</v>
      </c>
      <c r="I767" s="23" t="e">
        <f>VLOOKUP(H767,'合同综合查询数据（3月返）'!$A:$A,1,FALSE)</f>
        <v>#N/A</v>
      </c>
      <c r="J767" s="24" t="s">
        <v>90</v>
      </c>
      <c r="K767" s="129" t="s">
        <v>1071</v>
      </c>
      <c r="L767" s="153"/>
      <c r="M767" s="26" t="s">
        <v>909</v>
      </c>
      <c r="N767" s="154">
        <v>44409</v>
      </c>
      <c r="O767" s="155" t="s">
        <v>461</v>
      </c>
      <c r="P767" s="156">
        <v>8595</v>
      </c>
      <c r="Q767" s="156">
        <v>11</v>
      </c>
      <c r="R767" s="120">
        <f t="shared" si="24"/>
        <v>94545</v>
      </c>
      <c r="S767" s="117">
        <v>202303</v>
      </c>
      <c r="T767" s="157" t="s">
        <v>1081</v>
      </c>
      <c r="U767" s="157"/>
      <c r="V767" s="133"/>
      <c r="W767" s="133"/>
      <c r="X767" s="118">
        <v>44356</v>
      </c>
      <c r="Y767" s="118">
        <v>46546</v>
      </c>
    </row>
    <row r="768" s="79" customFormat="1" customHeight="1" spans="1:25">
      <c r="A768" s="98" t="s">
        <v>403</v>
      </c>
      <c r="B768" s="98" t="s">
        <v>62</v>
      </c>
      <c r="C768" s="98" t="s">
        <v>217</v>
      </c>
      <c r="D768" s="98" t="s">
        <v>566</v>
      </c>
      <c r="E768" s="147" t="s">
        <v>905</v>
      </c>
      <c r="F768" s="98" t="s">
        <v>906</v>
      </c>
      <c r="G768" s="151" t="s">
        <v>88</v>
      </c>
      <c r="H768" s="19" t="s">
        <v>1070</v>
      </c>
      <c r="I768" s="23" t="e">
        <f>VLOOKUP(H768,'合同综合查询数据（3月返）'!$A:$A,1,FALSE)</f>
        <v>#N/A</v>
      </c>
      <c r="J768" s="24" t="s">
        <v>90</v>
      </c>
      <c r="K768" s="129" t="s">
        <v>1071</v>
      </c>
      <c r="L768" s="153"/>
      <c r="M768" s="26" t="s">
        <v>909</v>
      </c>
      <c r="N768" s="154">
        <v>44417</v>
      </c>
      <c r="O768" s="155" t="s">
        <v>461</v>
      </c>
      <c r="P768" s="156">
        <v>8595</v>
      </c>
      <c r="Q768" s="156">
        <v>4</v>
      </c>
      <c r="R768" s="120">
        <f t="shared" si="24"/>
        <v>34380</v>
      </c>
      <c r="S768" s="117">
        <v>202303</v>
      </c>
      <c r="T768" s="177" t="s">
        <v>1082</v>
      </c>
      <c r="U768" s="133"/>
      <c r="V768" s="133"/>
      <c r="W768" s="133"/>
      <c r="X768" s="118">
        <v>44356</v>
      </c>
      <c r="Y768" s="118">
        <v>46546</v>
      </c>
    </row>
    <row r="769" s="79" customFormat="1" customHeight="1" spans="1:25">
      <c r="A769" s="98" t="s">
        <v>403</v>
      </c>
      <c r="B769" s="98" t="s">
        <v>62</v>
      </c>
      <c r="C769" s="98" t="s">
        <v>217</v>
      </c>
      <c r="D769" s="98" t="s">
        <v>566</v>
      </c>
      <c r="E769" s="147" t="s">
        <v>905</v>
      </c>
      <c r="F769" s="98" t="s">
        <v>906</v>
      </c>
      <c r="G769" s="151" t="s">
        <v>88</v>
      </c>
      <c r="H769" s="19" t="s">
        <v>1070</v>
      </c>
      <c r="I769" s="23" t="e">
        <f>VLOOKUP(H769,'合同综合查询数据（3月返）'!$A:$A,1,FALSE)</f>
        <v>#N/A</v>
      </c>
      <c r="J769" s="24" t="s">
        <v>90</v>
      </c>
      <c r="K769" s="129" t="s">
        <v>1071</v>
      </c>
      <c r="L769" s="153"/>
      <c r="M769" s="26" t="s">
        <v>909</v>
      </c>
      <c r="N769" s="154">
        <v>44425</v>
      </c>
      <c r="O769" s="155" t="s">
        <v>461</v>
      </c>
      <c r="P769" s="156">
        <v>8595</v>
      </c>
      <c r="Q769" s="156">
        <v>7</v>
      </c>
      <c r="R769" s="120">
        <f t="shared" si="24"/>
        <v>60165</v>
      </c>
      <c r="S769" s="117">
        <v>202303</v>
      </c>
      <c r="T769" s="157" t="s">
        <v>1083</v>
      </c>
      <c r="U769" s="157"/>
      <c r="V769" s="133"/>
      <c r="W769" s="133"/>
      <c r="X769" s="118">
        <v>44356</v>
      </c>
      <c r="Y769" s="118">
        <v>46546</v>
      </c>
    </row>
    <row r="770" s="79" customFormat="1" customHeight="1" spans="1:25">
      <c r="A770" s="98" t="s">
        <v>403</v>
      </c>
      <c r="B770" s="98" t="s">
        <v>62</v>
      </c>
      <c r="C770" s="98" t="s">
        <v>217</v>
      </c>
      <c r="D770" s="98" t="s">
        <v>566</v>
      </c>
      <c r="E770" s="147" t="s">
        <v>905</v>
      </c>
      <c r="F770" s="98" t="s">
        <v>906</v>
      </c>
      <c r="G770" s="151" t="s">
        <v>88</v>
      </c>
      <c r="H770" s="19" t="s">
        <v>1070</v>
      </c>
      <c r="I770" s="23" t="e">
        <f>VLOOKUP(H770,'合同综合查询数据（3月返）'!$A:$A,1,FALSE)</f>
        <v>#N/A</v>
      </c>
      <c r="J770" s="24" t="s">
        <v>90</v>
      </c>
      <c r="K770" s="129" t="s">
        <v>1071</v>
      </c>
      <c r="L770" s="153"/>
      <c r="M770" s="26" t="s">
        <v>909</v>
      </c>
      <c r="N770" s="154">
        <v>44415</v>
      </c>
      <c r="O770" s="155" t="s">
        <v>457</v>
      </c>
      <c r="P770" s="156">
        <v>5900</v>
      </c>
      <c r="Q770" s="156">
        <v>4</v>
      </c>
      <c r="R770" s="120">
        <f t="shared" si="24"/>
        <v>23600</v>
      </c>
      <c r="S770" s="117">
        <v>202303</v>
      </c>
      <c r="T770" s="157" t="s">
        <v>1084</v>
      </c>
      <c r="U770" s="157"/>
      <c r="V770" s="133"/>
      <c r="W770" s="133"/>
      <c r="X770" s="118">
        <v>44356</v>
      </c>
      <c r="Y770" s="118">
        <v>46546</v>
      </c>
    </row>
    <row r="771" s="79" customFormat="1" customHeight="1" spans="1:25">
      <c r="A771" s="98" t="s">
        <v>403</v>
      </c>
      <c r="B771" s="98" t="s">
        <v>62</v>
      </c>
      <c r="C771" s="98" t="s">
        <v>217</v>
      </c>
      <c r="D771" s="98" t="s">
        <v>566</v>
      </c>
      <c r="E771" s="147" t="s">
        <v>905</v>
      </c>
      <c r="F771" s="98" t="s">
        <v>906</v>
      </c>
      <c r="G771" s="151" t="s">
        <v>88</v>
      </c>
      <c r="H771" s="19" t="s">
        <v>1070</v>
      </c>
      <c r="I771" s="23" t="e">
        <f>VLOOKUP(H771,'合同综合查询数据（3月返）'!$A:$A,1,FALSE)</f>
        <v>#N/A</v>
      </c>
      <c r="J771" s="24" t="s">
        <v>90</v>
      </c>
      <c r="K771" s="129" t="s">
        <v>1071</v>
      </c>
      <c r="L771" s="153"/>
      <c r="M771" s="26" t="s">
        <v>909</v>
      </c>
      <c r="N771" s="154">
        <v>44415</v>
      </c>
      <c r="O771" s="155" t="s">
        <v>461</v>
      </c>
      <c r="P771" s="156">
        <v>8595</v>
      </c>
      <c r="Q771" s="156">
        <v>167</v>
      </c>
      <c r="R771" s="120">
        <f t="shared" si="24"/>
        <v>1435365</v>
      </c>
      <c r="S771" s="117">
        <v>202303</v>
      </c>
      <c r="T771" s="177" t="s">
        <v>1085</v>
      </c>
      <c r="U771" s="133"/>
      <c r="V771" s="133"/>
      <c r="W771" s="133"/>
      <c r="X771" s="118">
        <v>44356</v>
      </c>
      <c r="Y771" s="118">
        <v>46546</v>
      </c>
    </row>
    <row r="772" s="79" customFormat="1" customHeight="1" spans="1:25">
      <c r="A772" s="98" t="s">
        <v>403</v>
      </c>
      <c r="B772" s="98" t="s">
        <v>62</v>
      </c>
      <c r="C772" s="98" t="s">
        <v>217</v>
      </c>
      <c r="D772" s="98" t="s">
        <v>566</v>
      </c>
      <c r="E772" s="147" t="s">
        <v>905</v>
      </c>
      <c r="F772" s="98" t="s">
        <v>906</v>
      </c>
      <c r="G772" s="151" t="s">
        <v>88</v>
      </c>
      <c r="H772" s="19" t="s">
        <v>1070</v>
      </c>
      <c r="I772" s="23" t="e">
        <f>VLOOKUP(H772,'合同综合查询数据（3月返）'!$A:$A,1,FALSE)</f>
        <v>#N/A</v>
      </c>
      <c r="J772" s="24" t="s">
        <v>90</v>
      </c>
      <c r="K772" s="129" t="s">
        <v>1071</v>
      </c>
      <c r="L772" s="153"/>
      <c r="M772" s="26" t="s">
        <v>909</v>
      </c>
      <c r="N772" s="154">
        <v>44439</v>
      </c>
      <c r="O772" s="155" t="s">
        <v>461</v>
      </c>
      <c r="P772" s="156">
        <v>8595</v>
      </c>
      <c r="Q772" s="156">
        <v>13</v>
      </c>
      <c r="R772" s="120">
        <f t="shared" si="24"/>
        <v>111735</v>
      </c>
      <c r="S772" s="117">
        <v>202303</v>
      </c>
      <c r="T772" s="177" t="s">
        <v>1086</v>
      </c>
      <c r="U772" s="133"/>
      <c r="V772" s="133"/>
      <c r="W772" s="133"/>
      <c r="X772" s="118">
        <v>44356</v>
      </c>
      <c r="Y772" s="118">
        <v>46546</v>
      </c>
    </row>
    <row r="773" s="79" customFormat="1" customHeight="1" spans="1:25">
      <c r="A773" s="98" t="s">
        <v>403</v>
      </c>
      <c r="B773" s="98" t="s">
        <v>62</v>
      </c>
      <c r="C773" s="98" t="s">
        <v>217</v>
      </c>
      <c r="D773" s="98" t="s">
        <v>566</v>
      </c>
      <c r="E773" s="147" t="s">
        <v>905</v>
      </c>
      <c r="F773" s="98" t="s">
        <v>906</v>
      </c>
      <c r="G773" s="151" t="s">
        <v>88</v>
      </c>
      <c r="H773" s="19" t="s">
        <v>1070</v>
      </c>
      <c r="I773" s="23" t="e">
        <f>VLOOKUP(H773,'合同综合查询数据（3月返）'!$A:$A,1,FALSE)</f>
        <v>#N/A</v>
      </c>
      <c r="J773" s="24" t="s">
        <v>90</v>
      </c>
      <c r="K773" s="129" t="s">
        <v>1071</v>
      </c>
      <c r="L773" s="153"/>
      <c r="M773" s="26" t="s">
        <v>909</v>
      </c>
      <c r="N773" s="154">
        <v>44452</v>
      </c>
      <c r="O773" s="155" t="s">
        <v>461</v>
      </c>
      <c r="P773" s="156">
        <v>8595</v>
      </c>
      <c r="Q773" s="156">
        <v>11</v>
      </c>
      <c r="R773" s="120">
        <f t="shared" si="24"/>
        <v>94545</v>
      </c>
      <c r="S773" s="117">
        <v>202303</v>
      </c>
      <c r="T773" s="177" t="s">
        <v>1087</v>
      </c>
      <c r="U773" s="133"/>
      <c r="V773" s="133"/>
      <c r="W773" s="133"/>
      <c r="X773" s="118">
        <v>44356</v>
      </c>
      <c r="Y773" s="118">
        <v>46546</v>
      </c>
    </row>
    <row r="774" s="79" customFormat="1" customHeight="1" spans="1:25">
      <c r="A774" s="98" t="s">
        <v>403</v>
      </c>
      <c r="B774" s="98" t="s">
        <v>62</v>
      </c>
      <c r="C774" s="98" t="s">
        <v>217</v>
      </c>
      <c r="D774" s="98" t="s">
        <v>566</v>
      </c>
      <c r="E774" s="147" t="s">
        <v>905</v>
      </c>
      <c r="F774" s="98" t="s">
        <v>906</v>
      </c>
      <c r="G774" s="151" t="s">
        <v>88</v>
      </c>
      <c r="H774" s="19" t="s">
        <v>1070</v>
      </c>
      <c r="I774" s="23" t="e">
        <f>VLOOKUP(H774,'合同综合查询数据（3月返）'!$A:$A,1,FALSE)</f>
        <v>#N/A</v>
      </c>
      <c r="J774" s="24" t="s">
        <v>90</v>
      </c>
      <c r="K774" s="129" t="s">
        <v>1071</v>
      </c>
      <c r="L774" s="153"/>
      <c r="M774" s="26" t="s">
        <v>909</v>
      </c>
      <c r="N774" s="154">
        <v>44454</v>
      </c>
      <c r="O774" s="155" t="s">
        <v>461</v>
      </c>
      <c r="P774" s="156">
        <v>8595</v>
      </c>
      <c r="Q774" s="156">
        <v>19</v>
      </c>
      <c r="R774" s="120">
        <f t="shared" si="24"/>
        <v>163305</v>
      </c>
      <c r="S774" s="117">
        <v>202303</v>
      </c>
      <c r="T774" s="177" t="s">
        <v>1088</v>
      </c>
      <c r="U774" s="133"/>
      <c r="V774" s="133"/>
      <c r="W774" s="133"/>
      <c r="X774" s="118">
        <v>44356</v>
      </c>
      <c r="Y774" s="118">
        <v>46546</v>
      </c>
    </row>
    <row r="775" s="79" customFormat="1" customHeight="1" spans="1:25">
      <c r="A775" s="98" t="s">
        <v>403</v>
      </c>
      <c r="B775" s="98" t="s">
        <v>62</v>
      </c>
      <c r="C775" s="98" t="s">
        <v>217</v>
      </c>
      <c r="D775" s="98" t="s">
        <v>566</v>
      </c>
      <c r="E775" s="147" t="s">
        <v>905</v>
      </c>
      <c r="F775" s="98" t="s">
        <v>906</v>
      </c>
      <c r="G775" s="151" t="s">
        <v>88</v>
      </c>
      <c r="H775" s="19" t="s">
        <v>1070</v>
      </c>
      <c r="I775" s="23" t="e">
        <f>VLOOKUP(H775,'合同综合查询数据（3月返）'!$A:$A,1,FALSE)</f>
        <v>#N/A</v>
      </c>
      <c r="J775" s="24" t="s">
        <v>90</v>
      </c>
      <c r="K775" s="129" t="s">
        <v>1071</v>
      </c>
      <c r="L775" s="153"/>
      <c r="M775" s="26" t="s">
        <v>909</v>
      </c>
      <c r="N775" s="154">
        <v>44461</v>
      </c>
      <c r="O775" s="155" t="s">
        <v>461</v>
      </c>
      <c r="P775" s="156">
        <v>8595</v>
      </c>
      <c r="Q775" s="156">
        <v>41</v>
      </c>
      <c r="R775" s="120">
        <f t="shared" si="24"/>
        <v>352395</v>
      </c>
      <c r="S775" s="117">
        <v>202303</v>
      </c>
      <c r="T775" s="157" t="s">
        <v>1089</v>
      </c>
      <c r="U775" s="157"/>
      <c r="V775" s="133"/>
      <c r="W775" s="133"/>
      <c r="X775" s="118">
        <v>44356</v>
      </c>
      <c r="Y775" s="118">
        <v>46546</v>
      </c>
    </row>
    <row r="776" s="79" customFormat="1" customHeight="1" spans="1:25">
      <c r="A776" s="98" t="s">
        <v>403</v>
      </c>
      <c r="B776" s="98" t="s">
        <v>62</v>
      </c>
      <c r="C776" s="98" t="s">
        <v>217</v>
      </c>
      <c r="D776" s="98" t="s">
        <v>566</v>
      </c>
      <c r="E776" s="147" t="s">
        <v>905</v>
      </c>
      <c r="F776" s="98" t="s">
        <v>906</v>
      </c>
      <c r="G776" s="151" t="s">
        <v>88</v>
      </c>
      <c r="H776" s="19" t="s">
        <v>1070</v>
      </c>
      <c r="I776" s="23" t="e">
        <f>VLOOKUP(H776,'合同综合查询数据（3月返）'!$A:$A,1,FALSE)</f>
        <v>#N/A</v>
      </c>
      <c r="J776" s="24" t="s">
        <v>90</v>
      </c>
      <c r="K776" s="129" t="s">
        <v>1071</v>
      </c>
      <c r="L776" s="153"/>
      <c r="M776" s="26" t="s">
        <v>909</v>
      </c>
      <c r="N776" s="154">
        <v>44468</v>
      </c>
      <c r="O776" s="155" t="s">
        <v>461</v>
      </c>
      <c r="P776" s="156">
        <v>8595</v>
      </c>
      <c r="Q776" s="156">
        <v>69</v>
      </c>
      <c r="R776" s="120">
        <f t="shared" si="24"/>
        <v>593055</v>
      </c>
      <c r="S776" s="117">
        <v>202303</v>
      </c>
      <c r="T776" s="177" t="s">
        <v>1090</v>
      </c>
      <c r="U776" s="133"/>
      <c r="V776" s="133"/>
      <c r="W776" s="133"/>
      <c r="X776" s="118">
        <v>44356</v>
      </c>
      <c r="Y776" s="118">
        <v>46546</v>
      </c>
    </row>
    <row r="777" s="79" customFormat="1" customHeight="1" spans="1:25">
      <c r="A777" s="98" t="s">
        <v>403</v>
      </c>
      <c r="B777" s="98" t="s">
        <v>62</v>
      </c>
      <c r="C777" s="98" t="s">
        <v>217</v>
      </c>
      <c r="D777" s="98" t="s">
        <v>566</v>
      </c>
      <c r="E777" s="147" t="s">
        <v>905</v>
      </c>
      <c r="F777" s="98" t="s">
        <v>906</v>
      </c>
      <c r="G777" s="151" t="s">
        <v>88</v>
      </c>
      <c r="H777" s="19" t="s">
        <v>1070</v>
      </c>
      <c r="I777" s="23" t="e">
        <f>VLOOKUP(H777,'合同综合查询数据（3月返）'!$A:$A,1,FALSE)</f>
        <v>#N/A</v>
      </c>
      <c r="J777" s="24" t="s">
        <v>90</v>
      </c>
      <c r="K777" s="129" t="s">
        <v>1071</v>
      </c>
      <c r="L777" s="153"/>
      <c r="M777" s="26" t="s">
        <v>909</v>
      </c>
      <c r="N777" s="154">
        <v>44468</v>
      </c>
      <c r="O777" s="155" t="s">
        <v>461</v>
      </c>
      <c r="P777" s="156">
        <v>8595</v>
      </c>
      <c r="Q777" s="156">
        <v>10</v>
      </c>
      <c r="R777" s="120">
        <f t="shared" si="24"/>
        <v>85950</v>
      </c>
      <c r="S777" s="117">
        <v>202303</v>
      </c>
      <c r="T777" s="177" t="s">
        <v>1091</v>
      </c>
      <c r="U777" s="133"/>
      <c r="V777" s="133"/>
      <c r="W777" s="133"/>
      <c r="X777" s="118">
        <v>44356</v>
      </c>
      <c r="Y777" s="118">
        <v>46546</v>
      </c>
    </row>
    <row r="778" s="79" customFormat="1" customHeight="1" spans="1:25">
      <c r="A778" s="98" t="s">
        <v>403</v>
      </c>
      <c r="B778" s="98" t="s">
        <v>62</v>
      </c>
      <c r="C778" s="98" t="s">
        <v>217</v>
      </c>
      <c r="D778" s="98" t="s">
        <v>566</v>
      </c>
      <c r="E778" s="147" t="s">
        <v>905</v>
      </c>
      <c r="F778" s="98" t="s">
        <v>906</v>
      </c>
      <c r="G778" s="151" t="s">
        <v>88</v>
      </c>
      <c r="H778" s="19" t="s">
        <v>1070</v>
      </c>
      <c r="I778" s="23" t="e">
        <f>VLOOKUP(H778,'合同综合查询数据（3月返）'!$A:$A,1,FALSE)</f>
        <v>#N/A</v>
      </c>
      <c r="J778" s="24" t="s">
        <v>90</v>
      </c>
      <c r="K778" s="129" t="s">
        <v>1071</v>
      </c>
      <c r="L778" s="153"/>
      <c r="M778" s="26" t="s">
        <v>909</v>
      </c>
      <c r="N778" s="154">
        <v>44483</v>
      </c>
      <c r="O778" s="155" t="s">
        <v>461</v>
      </c>
      <c r="P778" s="156">
        <v>8595</v>
      </c>
      <c r="Q778" s="156">
        <v>10</v>
      </c>
      <c r="R778" s="120">
        <f t="shared" si="24"/>
        <v>85950</v>
      </c>
      <c r="S778" s="117">
        <v>202303</v>
      </c>
      <c r="T778" s="177" t="s">
        <v>1092</v>
      </c>
      <c r="U778" s="133"/>
      <c r="V778" s="133"/>
      <c r="W778" s="133"/>
      <c r="X778" s="118">
        <v>44356</v>
      </c>
      <c r="Y778" s="118">
        <v>46546</v>
      </c>
    </row>
    <row r="779" s="79" customFormat="1" customHeight="1" spans="1:25">
      <c r="A779" s="98" t="s">
        <v>403</v>
      </c>
      <c r="B779" s="98" t="s">
        <v>62</v>
      </c>
      <c r="C779" s="98" t="s">
        <v>217</v>
      </c>
      <c r="D779" s="98" t="s">
        <v>566</v>
      </c>
      <c r="E779" s="147" t="s">
        <v>905</v>
      </c>
      <c r="F779" s="98" t="s">
        <v>906</v>
      </c>
      <c r="G779" s="151" t="s">
        <v>88</v>
      </c>
      <c r="H779" s="19" t="s">
        <v>1070</v>
      </c>
      <c r="I779" s="23" t="e">
        <f>VLOOKUP(H779,'合同综合查询数据（3月返）'!$A:$A,1,FALSE)</f>
        <v>#N/A</v>
      </c>
      <c r="J779" s="24" t="s">
        <v>90</v>
      </c>
      <c r="K779" s="129" t="s">
        <v>1071</v>
      </c>
      <c r="L779" s="153"/>
      <c r="M779" s="26" t="s">
        <v>909</v>
      </c>
      <c r="N779" s="154">
        <v>44483</v>
      </c>
      <c r="O779" s="155" t="s">
        <v>461</v>
      </c>
      <c r="P779" s="156">
        <v>8595</v>
      </c>
      <c r="Q779" s="156">
        <v>51</v>
      </c>
      <c r="R779" s="120">
        <f t="shared" si="24"/>
        <v>438345</v>
      </c>
      <c r="S779" s="117">
        <v>202303</v>
      </c>
      <c r="T779" s="157" t="s">
        <v>1093</v>
      </c>
      <c r="U779" s="157"/>
      <c r="V779" s="133"/>
      <c r="W779" s="133"/>
      <c r="X779" s="118">
        <v>44356</v>
      </c>
      <c r="Y779" s="118">
        <v>46546</v>
      </c>
    </row>
    <row r="780" s="79" customFormat="1" customHeight="1" spans="1:25">
      <c r="A780" s="98" t="s">
        <v>403</v>
      </c>
      <c r="B780" s="98" t="s">
        <v>62</v>
      </c>
      <c r="C780" s="98" t="s">
        <v>217</v>
      </c>
      <c r="D780" s="98" t="s">
        <v>566</v>
      </c>
      <c r="E780" s="147" t="s">
        <v>905</v>
      </c>
      <c r="F780" s="98" t="s">
        <v>906</v>
      </c>
      <c r="G780" s="151" t="s">
        <v>88</v>
      </c>
      <c r="H780" s="19" t="s">
        <v>1070</v>
      </c>
      <c r="I780" s="23" t="e">
        <f>VLOOKUP(H780,'合同综合查询数据（3月返）'!$A:$A,1,FALSE)</f>
        <v>#N/A</v>
      </c>
      <c r="J780" s="24" t="s">
        <v>90</v>
      </c>
      <c r="K780" s="129" t="s">
        <v>1071</v>
      </c>
      <c r="L780" s="153"/>
      <c r="M780" s="26" t="s">
        <v>909</v>
      </c>
      <c r="N780" s="154">
        <v>44484</v>
      </c>
      <c r="O780" s="155" t="s">
        <v>461</v>
      </c>
      <c r="P780" s="156">
        <v>8595</v>
      </c>
      <c r="Q780" s="156">
        <v>31</v>
      </c>
      <c r="R780" s="120">
        <f t="shared" si="24"/>
        <v>266445</v>
      </c>
      <c r="S780" s="117">
        <v>202303</v>
      </c>
      <c r="T780" s="157" t="s">
        <v>1094</v>
      </c>
      <c r="U780" s="157"/>
      <c r="V780" s="133"/>
      <c r="W780" s="133"/>
      <c r="X780" s="118">
        <v>44356</v>
      </c>
      <c r="Y780" s="118">
        <v>46546</v>
      </c>
    </row>
    <row r="781" s="79" customFormat="1" customHeight="1" spans="1:25">
      <c r="A781" s="98" t="s">
        <v>403</v>
      </c>
      <c r="B781" s="98" t="s">
        <v>62</v>
      </c>
      <c r="C781" s="98" t="s">
        <v>217</v>
      </c>
      <c r="D781" s="98" t="s">
        <v>566</v>
      </c>
      <c r="E781" s="147" t="s">
        <v>905</v>
      </c>
      <c r="F781" s="98" t="s">
        <v>906</v>
      </c>
      <c r="G781" s="151" t="s">
        <v>88</v>
      </c>
      <c r="H781" s="19" t="s">
        <v>1070</v>
      </c>
      <c r="I781" s="23" t="e">
        <f>VLOOKUP(H781,'合同综合查询数据（3月返）'!$A:$A,1,FALSE)</f>
        <v>#N/A</v>
      </c>
      <c r="J781" s="24" t="s">
        <v>90</v>
      </c>
      <c r="K781" s="129" t="s">
        <v>1071</v>
      </c>
      <c r="L781" s="153"/>
      <c r="M781" s="26" t="s">
        <v>909</v>
      </c>
      <c r="N781" s="154">
        <v>44487</v>
      </c>
      <c r="O781" s="155" t="s">
        <v>461</v>
      </c>
      <c r="P781" s="156">
        <v>8595</v>
      </c>
      <c r="Q781" s="156">
        <v>2</v>
      </c>
      <c r="R781" s="120">
        <f t="shared" si="24"/>
        <v>17190</v>
      </c>
      <c r="S781" s="117">
        <v>202303</v>
      </c>
      <c r="T781" s="177" t="s">
        <v>1095</v>
      </c>
      <c r="U781" s="133"/>
      <c r="V781" s="133"/>
      <c r="W781" s="133"/>
      <c r="X781" s="118">
        <v>44356</v>
      </c>
      <c r="Y781" s="118">
        <v>46546</v>
      </c>
    </row>
    <row r="782" s="79" customFormat="1" customHeight="1" spans="1:25">
      <c r="A782" s="98" t="s">
        <v>403</v>
      </c>
      <c r="B782" s="98" t="s">
        <v>62</v>
      </c>
      <c r="C782" s="98" t="s">
        <v>217</v>
      </c>
      <c r="D782" s="98" t="s">
        <v>566</v>
      </c>
      <c r="E782" s="147" t="s">
        <v>905</v>
      </c>
      <c r="F782" s="98" t="s">
        <v>906</v>
      </c>
      <c r="G782" s="151" t="s">
        <v>88</v>
      </c>
      <c r="H782" s="19" t="s">
        <v>1070</v>
      </c>
      <c r="I782" s="23" t="e">
        <f>VLOOKUP(H782,'合同综合查询数据（3月返）'!$A:$A,1,FALSE)</f>
        <v>#N/A</v>
      </c>
      <c r="J782" s="24" t="s">
        <v>90</v>
      </c>
      <c r="K782" s="129" t="s">
        <v>1071</v>
      </c>
      <c r="L782" s="153"/>
      <c r="M782" s="26" t="s">
        <v>909</v>
      </c>
      <c r="N782" s="154">
        <v>44495</v>
      </c>
      <c r="O782" s="155" t="s">
        <v>461</v>
      </c>
      <c r="P782" s="156">
        <v>8595</v>
      </c>
      <c r="Q782" s="156">
        <v>4</v>
      </c>
      <c r="R782" s="120">
        <f t="shared" si="24"/>
        <v>34380</v>
      </c>
      <c r="S782" s="117">
        <v>202303</v>
      </c>
      <c r="T782" s="177" t="s">
        <v>1096</v>
      </c>
      <c r="U782" s="133"/>
      <c r="V782" s="133"/>
      <c r="W782" s="133"/>
      <c r="X782" s="118">
        <v>44356</v>
      </c>
      <c r="Y782" s="118">
        <v>46546</v>
      </c>
    </row>
    <row r="783" s="79" customFormat="1" customHeight="1" spans="1:25">
      <c r="A783" s="98" t="s">
        <v>403</v>
      </c>
      <c r="B783" s="98" t="s">
        <v>62</v>
      </c>
      <c r="C783" s="98" t="s">
        <v>217</v>
      </c>
      <c r="D783" s="98" t="s">
        <v>566</v>
      </c>
      <c r="E783" s="147" t="s">
        <v>905</v>
      </c>
      <c r="F783" s="98" t="s">
        <v>906</v>
      </c>
      <c r="G783" s="151" t="s">
        <v>88</v>
      </c>
      <c r="H783" s="19" t="s">
        <v>1070</v>
      </c>
      <c r="I783" s="23" t="e">
        <f>VLOOKUP(H783,'合同综合查询数据（3月返）'!$A:$A,1,FALSE)</f>
        <v>#N/A</v>
      </c>
      <c r="J783" s="24" t="s">
        <v>90</v>
      </c>
      <c r="K783" s="129" t="s">
        <v>1071</v>
      </c>
      <c r="L783" s="153"/>
      <c r="M783" s="26" t="s">
        <v>909</v>
      </c>
      <c r="N783" s="154">
        <v>44501</v>
      </c>
      <c r="O783" s="155" t="s">
        <v>461</v>
      </c>
      <c r="P783" s="156">
        <v>8595</v>
      </c>
      <c r="Q783" s="156">
        <v>1</v>
      </c>
      <c r="R783" s="120">
        <f t="shared" si="24"/>
        <v>8595</v>
      </c>
      <c r="S783" s="117">
        <v>202303</v>
      </c>
      <c r="T783" s="177" t="s">
        <v>1097</v>
      </c>
      <c r="U783" s="133"/>
      <c r="V783" s="133"/>
      <c r="W783" s="133"/>
      <c r="X783" s="118">
        <v>44356</v>
      </c>
      <c r="Y783" s="118">
        <v>46546</v>
      </c>
    </row>
    <row r="784" s="79" customFormat="1" customHeight="1" spans="1:25">
      <c r="A784" s="98" t="s">
        <v>403</v>
      </c>
      <c r="B784" s="98" t="s">
        <v>62</v>
      </c>
      <c r="C784" s="98" t="s">
        <v>217</v>
      </c>
      <c r="D784" s="98" t="s">
        <v>566</v>
      </c>
      <c r="E784" s="147" t="s">
        <v>905</v>
      </c>
      <c r="F784" s="98" t="s">
        <v>906</v>
      </c>
      <c r="G784" s="151" t="s">
        <v>88</v>
      </c>
      <c r="H784" s="19" t="s">
        <v>1070</v>
      </c>
      <c r="I784" s="23" t="e">
        <f>VLOOKUP(H784,'合同综合查询数据（3月返）'!$A:$A,1,FALSE)</f>
        <v>#N/A</v>
      </c>
      <c r="J784" s="24" t="s">
        <v>90</v>
      </c>
      <c r="K784" s="129" t="s">
        <v>1071</v>
      </c>
      <c r="L784" s="153"/>
      <c r="M784" s="26" t="s">
        <v>909</v>
      </c>
      <c r="N784" s="154">
        <v>44551</v>
      </c>
      <c r="O784" s="155" t="s">
        <v>461</v>
      </c>
      <c r="P784" s="156">
        <v>8595</v>
      </c>
      <c r="Q784" s="156">
        <v>-10</v>
      </c>
      <c r="R784" s="120">
        <f t="shared" si="24"/>
        <v>-85950</v>
      </c>
      <c r="S784" s="117">
        <v>202303</v>
      </c>
      <c r="T784" s="177" t="s">
        <v>1098</v>
      </c>
      <c r="U784" s="133"/>
      <c r="V784" s="133"/>
      <c r="W784" s="133"/>
      <c r="X784" s="118">
        <v>44356</v>
      </c>
      <c r="Y784" s="118">
        <v>46546</v>
      </c>
    </row>
    <row r="785" s="79" customFormat="1" customHeight="1" spans="1:25">
      <c r="A785" s="98" t="s">
        <v>403</v>
      </c>
      <c r="B785" s="98" t="s">
        <v>62</v>
      </c>
      <c r="C785" s="98" t="s">
        <v>217</v>
      </c>
      <c r="D785" s="98" t="s">
        <v>566</v>
      </c>
      <c r="E785" s="147" t="s">
        <v>905</v>
      </c>
      <c r="F785" s="98" t="s">
        <v>906</v>
      </c>
      <c r="G785" s="151" t="s">
        <v>88</v>
      </c>
      <c r="H785" s="19" t="s">
        <v>1070</v>
      </c>
      <c r="I785" s="23" t="e">
        <f>VLOOKUP(H785,'合同综合查询数据（3月返）'!$A:$A,1,FALSE)</f>
        <v>#N/A</v>
      </c>
      <c r="J785" s="24" t="s">
        <v>90</v>
      </c>
      <c r="K785" s="129" t="s">
        <v>1071</v>
      </c>
      <c r="L785" s="153"/>
      <c r="M785" s="26" t="s">
        <v>909</v>
      </c>
      <c r="N785" s="154">
        <v>44560</v>
      </c>
      <c r="O785" s="155" t="s">
        <v>461</v>
      </c>
      <c r="P785" s="156">
        <v>8595</v>
      </c>
      <c r="Q785" s="156">
        <v>10</v>
      </c>
      <c r="R785" s="120">
        <f t="shared" si="24"/>
        <v>85950</v>
      </c>
      <c r="S785" s="117">
        <v>202303</v>
      </c>
      <c r="T785" s="177" t="s">
        <v>1099</v>
      </c>
      <c r="U785" s="133"/>
      <c r="V785" s="133"/>
      <c r="W785" s="133"/>
      <c r="X785" s="118">
        <v>44356</v>
      </c>
      <c r="Y785" s="118">
        <v>46546</v>
      </c>
    </row>
    <row r="786" s="79" customFormat="1" customHeight="1" spans="1:25">
      <c r="A786" s="98" t="s">
        <v>403</v>
      </c>
      <c r="B786" s="98" t="s">
        <v>62</v>
      </c>
      <c r="C786" s="98" t="s">
        <v>217</v>
      </c>
      <c r="D786" s="98" t="s">
        <v>566</v>
      </c>
      <c r="E786" s="147" t="s">
        <v>905</v>
      </c>
      <c r="F786" s="98" t="s">
        <v>906</v>
      </c>
      <c r="G786" s="151" t="s">
        <v>88</v>
      </c>
      <c r="H786" s="19" t="s">
        <v>1070</v>
      </c>
      <c r="I786" s="23" t="e">
        <f>VLOOKUP(H786,'合同综合查询数据（3月返）'!$A:$A,1,FALSE)</f>
        <v>#N/A</v>
      </c>
      <c r="J786" s="24" t="s">
        <v>90</v>
      </c>
      <c r="K786" s="129" t="s">
        <v>1071</v>
      </c>
      <c r="L786" s="153"/>
      <c r="M786" s="26" t="s">
        <v>909</v>
      </c>
      <c r="N786" s="154">
        <v>44609</v>
      </c>
      <c r="O786" s="155" t="s">
        <v>461</v>
      </c>
      <c r="P786" s="156">
        <v>8595</v>
      </c>
      <c r="Q786" s="156">
        <v>2</v>
      </c>
      <c r="R786" s="120">
        <f t="shared" si="24"/>
        <v>17190</v>
      </c>
      <c r="S786" s="117">
        <v>202303</v>
      </c>
      <c r="T786" s="177" t="s">
        <v>1100</v>
      </c>
      <c r="U786" s="133"/>
      <c r="V786" s="133"/>
      <c r="W786" s="133"/>
      <c r="X786" s="118">
        <v>44356</v>
      </c>
      <c r="Y786" s="118">
        <v>46546</v>
      </c>
    </row>
    <row r="787" s="79" customFormat="1" customHeight="1" spans="1:25">
      <c r="A787" s="129" t="s">
        <v>403</v>
      </c>
      <c r="B787" s="96" t="s">
        <v>62</v>
      </c>
      <c r="C787" s="98" t="s">
        <v>217</v>
      </c>
      <c r="D787" s="98" t="s">
        <v>566</v>
      </c>
      <c r="E787" s="130" t="s">
        <v>905</v>
      </c>
      <c r="F787" s="129" t="s">
        <v>906</v>
      </c>
      <c r="G787" s="99" t="s">
        <v>88</v>
      </c>
      <c r="H787" s="100" t="s">
        <v>1070</v>
      </c>
      <c r="I787" s="23" t="e">
        <f>VLOOKUP(H787,'合同综合查询数据（3月返）'!$A:$A,1,FALSE)</f>
        <v>#N/A</v>
      </c>
      <c r="J787" s="99" t="s">
        <v>90</v>
      </c>
      <c r="K787" s="129" t="s">
        <v>1071</v>
      </c>
      <c r="L787" s="109"/>
      <c r="M787" s="26" t="s">
        <v>909</v>
      </c>
      <c r="N787" s="28">
        <v>44620</v>
      </c>
      <c r="O787" s="109" t="s">
        <v>461</v>
      </c>
      <c r="P787" s="131">
        <v>8595</v>
      </c>
      <c r="Q787" s="131">
        <v>8</v>
      </c>
      <c r="R787" s="120">
        <f t="shared" si="24"/>
        <v>68760</v>
      </c>
      <c r="S787" s="117">
        <v>202303</v>
      </c>
      <c r="T787" s="117" t="s">
        <v>1101</v>
      </c>
      <c r="U787" s="132"/>
      <c r="V787" s="133"/>
      <c r="W787" s="133"/>
      <c r="X787" s="118">
        <v>44356</v>
      </c>
      <c r="Y787" s="118">
        <v>46546</v>
      </c>
    </row>
    <row r="788" s="79" customFormat="1" customHeight="1" spans="1:25">
      <c r="A788" s="98" t="s">
        <v>403</v>
      </c>
      <c r="B788" s="98" t="s">
        <v>62</v>
      </c>
      <c r="C788" s="98" t="s">
        <v>217</v>
      </c>
      <c r="D788" s="98" t="s">
        <v>566</v>
      </c>
      <c r="E788" s="147" t="s">
        <v>905</v>
      </c>
      <c r="F788" s="98" t="s">
        <v>906</v>
      </c>
      <c r="G788" s="151" t="s">
        <v>88</v>
      </c>
      <c r="H788" s="19" t="s">
        <v>1070</v>
      </c>
      <c r="I788" s="23" t="e">
        <f>VLOOKUP(H788,'合同综合查询数据（3月返）'!$A:$A,1,FALSE)</f>
        <v>#N/A</v>
      </c>
      <c r="J788" s="24" t="s">
        <v>90</v>
      </c>
      <c r="K788" s="129" t="s">
        <v>1071</v>
      </c>
      <c r="L788" s="153"/>
      <c r="M788" s="26" t="s">
        <v>909</v>
      </c>
      <c r="N788" s="154">
        <v>44621</v>
      </c>
      <c r="O788" s="155" t="s">
        <v>461</v>
      </c>
      <c r="P788" s="156">
        <v>8595</v>
      </c>
      <c r="Q788" s="156">
        <v>1</v>
      </c>
      <c r="R788" s="120">
        <f t="shared" ref="R788:R839" si="25">ROUND(P788*Q788,2)</f>
        <v>8595</v>
      </c>
      <c r="S788" s="117">
        <v>202303</v>
      </c>
      <c r="T788" s="177" t="s">
        <v>1102</v>
      </c>
      <c r="U788" s="133"/>
      <c r="V788" s="133"/>
      <c r="W788" s="133"/>
      <c r="X788" s="118">
        <v>44356</v>
      </c>
      <c r="Y788" s="118">
        <v>46546</v>
      </c>
    </row>
    <row r="789" s="79" customFormat="1" customHeight="1" spans="1:25">
      <c r="A789" s="98" t="s">
        <v>403</v>
      </c>
      <c r="B789" s="98" t="s">
        <v>62</v>
      </c>
      <c r="C789" s="98" t="s">
        <v>217</v>
      </c>
      <c r="D789" s="98" t="s">
        <v>566</v>
      </c>
      <c r="E789" s="147" t="s">
        <v>905</v>
      </c>
      <c r="F789" s="98" t="s">
        <v>906</v>
      </c>
      <c r="G789" s="151" t="s">
        <v>88</v>
      </c>
      <c r="H789" s="19" t="s">
        <v>1070</v>
      </c>
      <c r="I789" s="23" t="e">
        <f>VLOOKUP(H789,'合同综合查询数据（3月返）'!$A:$A,1,FALSE)</f>
        <v>#N/A</v>
      </c>
      <c r="J789" s="24" t="s">
        <v>90</v>
      </c>
      <c r="K789" s="129" t="s">
        <v>1071</v>
      </c>
      <c r="L789" s="153"/>
      <c r="M789" s="26" t="s">
        <v>909</v>
      </c>
      <c r="N789" s="154">
        <v>44630</v>
      </c>
      <c r="O789" s="155" t="s">
        <v>461</v>
      </c>
      <c r="P789" s="156">
        <v>8595</v>
      </c>
      <c r="Q789" s="156">
        <v>-6</v>
      </c>
      <c r="R789" s="120">
        <f t="shared" si="25"/>
        <v>-51570</v>
      </c>
      <c r="S789" s="117">
        <v>202303</v>
      </c>
      <c r="T789" s="177" t="s">
        <v>1103</v>
      </c>
      <c r="U789" s="133"/>
      <c r="V789" s="133"/>
      <c r="W789" s="133"/>
      <c r="X789" s="118">
        <v>44356</v>
      </c>
      <c r="Y789" s="118">
        <v>46546</v>
      </c>
    </row>
    <row r="790" s="79" customFormat="1" customHeight="1" spans="1:31">
      <c r="A790" s="98" t="s">
        <v>403</v>
      </c>
      <c r="B790" s="98" t="s">
        <v>62</v>
      </c>
      <c r="C790" s="98" t="s">
        <v>217</v>
      </c>
      <c r="D790" s="98" t="s">
        <v>566</v>
      </c>
      <c r="E790" s="147" t="s">
        <v>905</v>
      </c>
      <c r="F790" s="98" t="s">
        <v>906</v>
      </c>
      <c r="G790" s="151" t="s">
        <v>88</v>
      </c>
      <c r="H790" s="19" t="s">
        <v>1070</v>
      </c>
      <c r="I790" s="23" t="e">
        <f>VLOOKUP(H790,'合同综合查询数据（3月返）'!$A:$A,1,FALSE)</f>
        <v>#N/A</v>
      </c>
      <c r="J790" s="24" t="s">
        <v>90</v>
      </c>
      <c r="K790" s="129" t="s">
        <v>1071</v>
      </c>
      <c r="L790" s="153"/>
      <c r="M790" s="26" t="s">
        <v>909</v>
      </c>
      <c r="N790" s="154">
        <v>44645</v>
      </c>
      <c r="O790" s="155" t="s">
        <v>461</v>
      </c>
      <c r="P790" s="156">
        <v>8595</v>
      </c>
      <c r="Q790" s="156">
        <v>3</v>
      </c>
      <c r="R790" s="120">
        <f t="shared" si="25"/>
        <v>25785</v>
      </c>
      <c r="S790" s="117">
        <v>202303</v>
      </c>
      <c r="T790" s="177" t="s">
        <v>1104</v>
      </c>
      <c r="U790" s="133"/>
      <c r="V790" s="133"/>
      <c r="W790" s="133"/>
      <c r="X790" s="118">
        <v>44356</v>
      </c>
      <c r="Y790" s="118">
        <v>46546</v>
      </c>
      <c r="Z790" s="9"/>
      <c r="AA790" s="9"/>
      <c r="AB790" s="9"/>
      <c r="AC790" s="9"/>
      <c r="AD790" s="9"/>
      <c r="AE790" s="9"/>
    </row>
    <row r="791" s="79" customFormat="1" customHeight="1" spans="1:31">
      <c r="A791" s="98" t="s">
        <v>403</v>
      </c>
      <c r="B791" s="98" t="s">
        <v>62</v>
      </c>
      <c r="C791" s="98" t="s">
        <v>217</v>
      </c>
      <c r="D791" s="98" t="s">
        <v>566</v>
      </c>
      <c r="E791" s="147" t="s">
        <v>905</v>
      </c>
      <c r="F791" s="98" t="s">
        <v>906</v>
      </c>
      <c r="G791" s="151" t="s">
        <v>88</v>
      </c>
      <c r="H791" s="19" t="s">
        <v>1070</v>
      </c>
      <c r="I791" s="23" t="e">
        <f>VLOOKUP(H791,'合同综合查询数据（3月返）'!$A:$A,1,FALSE)</f>
        <v>#N/A</v>
      </c>
      <c r="J791" s="24" t="s">
        <v>90</v>
      </c>
      <c r="K791" s="129" t="s">
        <v>1071</v>
      </c>
      <c r="L791" s="153"/>
      <c r="M791" s="26" t="s">
        <v>909</v>
      </c>
      <c r="N791" s="154">
        <v>44755</v>
      </c>
      <c r="O791" s="155" t="s">
        <v>457</v>
      </c>
      <c r="P791" s="156">
        <v>5900</v>
      </c>
      <c r="Q791" s="156">
        <v>2</v>
      </c>
      <c r="R791" s="120">
        <f t="shared" si="25"/>
        <v>11800</v>
      </c>
      <c r="S791" s="117">
        <v>202303</v>
      </c>
      <c r="T791" s="177" t="s">
        <v>1105</v>
      </c>
      <c r="U791" s="133"/>
      <c r="V791" s="133"/>
      <c r="W791" s="133"/>
      <c r="X791" s="118">
        <v>44356</v>
      </c>
      <c r="Y791" s="118">
        <v>46546</v>
      </c>
      <c r="Z791" s="9"/>
      <c r="AA791" s="9"/>
      <c r="AB791" s="9"/>
      <c r="AC791" s="9"/>
      <c r="AD791" s="9"/>
      <c r="AE791" s="9"/>
    </row>
    <row r="792" s="79" customFormat="1" customHeight="1" spans="1:31">
      <c r="A792" s="98" t="s">
        <v>403</v>
      </c>
      <c r="B792" s="98" t="s">
        <v>62</v>
      </c>
      <c r="C792" s="98" t="s">
        <v>217</v>
      </c>
      <c r="D792" s="98" t="s">
        <v>566</v>
      </c>
      <c r="E792" s="147" t="s">
        <v>905</v>
      </c>
      <c r="F792" s="98" t="s">
        <v>906</v>
      </c>
      <c r="G792" s="151" t="s">
        <v>88</v>
      </c>
      <c r="H792" s="19" t="s">
        <v>1070</v>
      </c>
      <c r="I792" s="23" t="e">
        <f>VLOOKUP(H792,'合同综合查询数据（3月返）'!$A:$A,1,FALSE)</f>
        <v>#N/A</v>
      </c>
      <c r="J792" s="24" t="s">
        <v>90</v>
      </c>
      <c r="K792" s="129" t="s">
        <v>1071</v>
      </c>
      <c r="L792" s="153"/>
      <c r="M792" s="26" t="s">
        <v>909</v>
      </c>
      <c r="N792" s="154">
        <v>44757</v>
      </c>
      <c r="O792" s="155" t="s">
        <v>574</v>
      </c>
      <c r="P792" s="156">
        <v>11200</v>
      </c>
      <c r="Q792" s="156">
        <v>4</v>
      </c>
      <c r="R792" s="120">
        <f t="shared" si="25"/>
        <v>44800</v>
      </c>
      <c r="S792" s="117">
        <v>202303</v>
      </c>
      <c r="T792" s="177" t="s">
        <v>1106</v>
      </c>
      <c r="U792" s="133"/>
      <c r="V792" s="133"/>
      <c r="W792" s="133"/>
      <c r="X792" s="118">
        <v>44356</v>
      </c>
      <c r="Y792" s="118">
        <v>46546</v>
      </c>
      <c r="Z792" s="9"/>
      <c r="AA792" s="9"/>
      <c r="AB792" s="9"/>
      <c r="AC792" s="9"/>
      <c r="AD792" s="9"/>
      <c r="AE792" s="9"/>
    </row>
    <row r="793" s="79" customFormat="1" customHeight="1" spans="1:31">
      <c r="A793" s="98" t="s">
        <v>403</v>
      </c>
      <c r="B793" s="98" t="s">
        <v>62</v>
      </c>
      <c r="C793" s="98" t="s">
        <v>217</v>
      </c>
      <c r="D793" s="98" t="s">
        <v>566</v>
      </c>
      <c r="E793" s="147" t="s">
        <v>905</v>
      </c>
      <c r="F793" s="98" t="s">
        <v>906</v>
      </c>
      <c r="G793" s="151" t="s">
        <v>88</v>
      </c>
      <c r="H793" s="19" t="s">
        <v>1070</v>
      </c>
      <c r="I793" s="23" t="e">
        <f>VLOOKUP(H793,'合同综合查询数据（3月返）'!$A:$A,1,FALSE)</f>
        <v>#N/A</v>
      </c>
      <c r="J793" s="24" t="s">
        <v>90</v>
      </c>
      <c r="K793" s="129" t="s">
        <v>1071</v>
      </c>
      <c r="L793" s="153"/>
      <c r="M793" s="26" t="s">
        <v>909</v>
      </c>
      <c r="N793" s="154">
        <v>44862</v>
      </c>
      <c r="O793" s="155" t="s">
        <v>461</v>
      </c>
      <c r="P793" s="156">
        <v>8595</v>
      </c>
      <c r="Q793" s="156">
        <v>-13</v>
      </c>
      <c r="R793" s="120">
        <f t="shared" si="25"/>
        <v>-111735</v>
      </c>
      <c r="S793" s="117">
        <v>202303</v>
      </c>
      <c r="T793" s="177" t="s">
        <v>1107</v>
      </c>
      <c r="U793" s="133"/>
      <c r="V793" s="133"/>
      <c r="W793" s="133"/>
      <c r="X793" s="118">
        <v>44356</v>
      </c>
      <c r="Y793" s="118">
        <v>46546</v>
      </c>
      <c r="Z793" s="9"/>
      <c r="AA793" s="9"/>
      <c r="AB793" s="9"/>
      <c r="AC793" s="9"/>
      <c r="AD793" s="9"/>
      <c r="AE793" s="9"/>
    </row>
    <row r="794" s="79" customFormat="1" customHeight="1" spans="1:31">
      <c r="A794" s="98" t="s">
        <v>403</v>
      </c>
      <c r="B794" s="98" t="s">
        <v>62</v>
      </c>
      <c r="C794" s="98" t="s">
        <v>217</v>
      </c>
      <c r="D794" s="98" t="s">
        <v>566</v>
      </c>
      <c r="E794" s="147" t="s">
        <v>905</v>
      </c>
      <c r="F794" s="98" t="s">
        <v>906</v>
      </c>
      <c r="G794" s="151" t="s">
        <v>88</v>
      </c>
      <c r="H794" s="19" t="s">
        <v>1070</v>
      </c>
      <c r="I794" s="23" t="e">
        <f>VLOOKUP(H794,'合同综合查询数据（3月返）'!$A:$A,1,FALSE)</f>
        <v>#N/A</v>
      </c>
      <c r="J794" s="24" t="s">
        <v>90</v>
      </c>
      <c r="K794" s="129" t="s">
        <v>1071</v>
      </c>
      <c r="L794" s="153"/>
      <c r="M794" s="26" t="s">
        <v>909</v>
      </c>
      <c r="N794" s="154">
        <v>44866</v>
      </c>
      <c r="O794" s="155" t="s">
        <v>545</v>
      </c>
      <c r="P794" s="156">
        <v>0</v>
      </c>
      <c r="Q794" s="156">
        <v>20</v>
      </c>
      <c r="R794" s="120">
        <f t="shared" si="25"/>
        <v>0</v>
      </c>
      <c r="S794" s="117">
        <v>202303</v>
      </c>
      <c r="T794" s="177" t="s">
        <v>1108</v>
      </c>
      <c r="U794" s="133"/>
      <c r="V794" s="133"/>
      <c r="W794" s="133"/>
      <c r="X794" s="118">
        <v>44356</v>
      </c>
      <c r="Y794" s="118">
        <v>46546</v>
      </c>
      <c r="Z794" s="9"/>
      <c r="AA794" s="9"/>
      <c r="AB794" s="9"/>
      <c r="AC794" s="9"/>
      <c r="AD794" s="9"/>
      <c r="AE794" s="9"/>
    </row>
    <row r="795" s="79" customFormat="1" customHeight="1" spans="1:31">
      <c r="A795" s="98" t="s">
        <v>403</v>
      </c>
      <c r="B795" s="98" t="s">
        <v>62</v>
      </c>
      <c r="C795" s="98" t="s">
        <v>217</v>
      </c>
      <c r="D795" s="98" t="s">
        <v>566</v>
      </c>
      <c r="E795" s="147" t="s">
        <v>905</v>
      </c>
      <c r="F795" s="98" t="s">
        <v>906</v>
      </c>
      <c r="G795" s="151" t="s">
        <v>88</v>
      </c>
      <c r="H795" s="19" t="s">
        <v>1070</v>
      </c>
      <c r="I795" s="23" t="e">
        <f>VLOOKUP(H795,'合同综合查询数据（3月返）'!$A:$A,1,FALSE)</f>
        <v>#N/A</v>
      </c>
      <c r="J795" s="24" t="s">
        <v>312</v>
      </c>
      <c r="K795" s="129" t="s">
        <v>1071</v>
      </c>
      <c r="L795" s="153"/>
      <c r="M795" s="26" t="s">
        <v>909</v>
      </c>
      <c r="N795" s="154"/>
      <c r="O795" s="155"/>
      <c r="P795" s="156">
        <v>300</v>
      </c>
      <c r="Q795" s="156">
        <v>1200</v>
      </c>
      <c r="R795" s="120">
        <f t="shared" si="25"/>
        <v>360000</v>
      </c>
      <c r="S795" s="117">
        <v>202303</v>
      </c>
      <c r="T795" s="177" t="s">
        <v>1109</v>
      </c>
      <c r="U795" s="133"/>
      <c r="V795" s="133"/>
      <c r="W795" s="133"/>
      <c r="X795" s="118">
        <v>44356</v>
      </c>
      <c r="Y795" s="118">
        <v>46546</v>
      </c>
      <c r="Z795" s="9"/>
      <c r="AA795" s="9"/>
      <c r="AB795" s="9"/>
      <c r="AC795" s="9"/>
      <c r="AD795" s="9"/>
      <c r="AE795" s="9"/>
    </row>
    <row r="796" s="79" customFormat="1" customHeight="1" spans="1:31">
      <c r="A796" s="98" t="s">
        <v>403</v>
      </c>
      <c r="B796" s="98" t="s">
        <v>62</v>
      </c>
      <c r="C796" s="98" t="s">
        <v>217</v>
      </c>
      <c r="D796" s="98" t="s">
        <v>566</v>
      </c>
      <c r="E796" s="147" t="s">
        <v>905</v>
      </c>
      <c r="F796" s="98" t="s">
        <v>906</v>
      </c>
      <c r="G796" s="151" t="s">
        <v>88</v>
      </c>
      <c r="H796" s="19" t="s">
        <v>1110</v>
      </c>
      <c r="I796" s="23" t="e">
        <f>VLOOKUP(H796,'合同综合查询数据（3月返）'!$A:$A,1,FALSE)</f>
        <v>#N/A</v>
      </c>
      <c r="J796" s="24" t="s">
        <v>90</v>
      </c>
      <c r="K796" s="129" t="s">
        <v>1111</v>
      </c>
      <c r="L796" s="153"/>
      <c r="M796" s="26" t="s">
        <v>909</v>
      </c>
      <c r="N796" s="154">
        <v>44637</v>
      </c>
      <c r="O796" s="155" t="s">
        <v>461</v>
      </c>
      <c r="P796" s="156">
        <v>8595</v>
      </c>
      <c r="Q796" s="156">
        <v>178</v>
      </c>
      <c r="R796" s="120">
        <f t="shared" si="25"/>
        <v>1529910</v>
      </c>
      <c r="S796" s="117">
        <v>202303</v>
      </c>
      <c r="T796" s="177" t="s">
        <v>1112</v>
      </c>
      <c r="U796" s="133"/>
      <c r="V796" s="133"/>
      <c r="W796" s="133"/>
      <c r="X796" s="118">
        <v>44593</v>
      </c>
      <c r="Y796" s="118">
        <v>46783</v>
      </c>
      <c r="Z796" s="9"/>
      <c r="AA796" s="9"/>
      <c r="AB796" s="9"/>
      <c r="AC796" s="9"/>
      <c r="AD796" s="9"/>
      <c r="AE796" s="9"/>
    </row>
    <row r="797" s="79" customFormat="1" customHeight="1" spans="1:31">
      <c r="A797" s="98" t="s">
        <v>403</v>
      </c>
      <c r="B797" s="98" t="s">
        <v>62</v>
      </c>
      <c r="C797" s="98" t="s">
        <v>217</v>
      </c>
      <c r="D797" s="98" t="s">
        <v>566</v>
      </c>
      <c r="E797" s="147" t="s">
        <v>905</v>
      </c>
      <c r="F797" s="98" t="s">
        <v>906</v>
      </c>
      <c r="G797" s="151" t="s">
        <v>88</v>
      </c>
      <c r="H797" s="19" t="s">
        <v>1110</v>
      </c>
      <c r="I797" s="23" t="e">
        <f>VLOOKUP(H797,'合同综合查询数据（3月返）'!$A:$A,1,FALSE)</f>
        <v>#N/A</v>
      </c>
      <c r="J797" s="24" t="s">
        <v>90</v>
      </c>
      <c r="K797" s="129" t="s">
        <v>1111</v>
      </c>
      <c r="L797" s="153"/>
      <c r="M797" s="26" t="s">
        <v>909</v>
      </c>
      <c r="N797" s="154">
        <v>44637</v>
      </c>
      <c r="O797" s="155" t="s">
        <v>457</v>
      </c>
      <c r="P797" s="156">
        <v>5900</v>
      </c>
      <c r="Q797" s="156">
        <v>2</v>
      </c>
      <c r="R797" s="120">
        <f t="shared" si="25"/>
        <v>11800</v>
      </c>
      <c r="S797" s="117">
        <v>202303</v>
      </c>
      <c r="T797" s="177" t="s">
        <v>1113</v>
      </c>
      <c r="U797" s="133"/>
      <c r="V797" s="133"/>
      <c r="W797" s="133"/>
      <c r="X797" s="118">
        <v>44593</v>
      </c>
      <c r="Y797" s="118">
        <v>46783</v>
      </c>
      <c r="Z797" s="9"/>
      <c r="AA797" s="9"/>
      <c r="AB797" s="9"/>
      <c r="AC797" s="9"/>
      <c r="AD797" s="9"/>
      <c r="AE797" s="9"/>
    </row>
    <row r="798" s="79" customFormat="1" customHeight="1" spans="1:31">
      <c r="A798" s="98" t="s">
        <v>403</v>
      </c>
      <c r="B798" s="98" t="s">
        <v>62</v>
      </c>
      <c r="C798" s="98" t="s">
        <v>217</v>
      </c>
      <c r="D798" s="98" t="s">
        <v>566</v>
      </c>
      <c r="E798" s="147" t="s">
        <v>905</v>
      </c>
      <c r="F798" s="98" t="s">
        <v>906</v>
      </c>
      <c r="G798" s="151" t="s">
        <v>88</v>
      </c>
      <c r="H798" s="19" t="s">
        <v>1110</v>
      </c>
      <c r="I798" s="23" t="e">
        <f>VLOOKUP(H798,'合同综合查询数据（3月返）'!$A:$A,1,FALSE)</f>
        <v>#N/A</v>
      </c>
      <c r="J798" s="24" t="s">
        <v>90</v>
      </c>
      <c r="K798" s="129" t="s">
        <v>1111</v>
      </c>
      <c r="L798" s="153"/>
      <c r="M798" s="26" t="s">
        <v>909</v>
      </c>
      <c r="N798" s="154">
        <v>44866</v>
      </c>
      <c r="O798" s="155" t="s">
        <v>545</v>
      </c>
      <c r="P798" s="156">
        <v>0</v>
      </c>
      <c r="Q798" s="156">
        <v>2</v>
      </c>
      <c r="R798" s="120">
        <f t="shared" si="25"/>
        <v>0</v>
      </c>
      <c r="S798" s="117">
        <v>202303</v>
      </c>
      <c r="T798" s="177" t="s">
        <v>1114</v>
      </c>
      <c r="U798" s="133"/>
      <c r="V798" s="133"/>
      <c r="W798" s="133"/>
      <c r="X798" s="118">
        <v>44593</v>
      </c>
      <c r="Y798" s="118">
        <v>46783</v>
      </c>
      <c r="Z798" s="9"/>
      <c r="AA798" s="9"/>
      <c r="AB798" s="9"/>
      <c r="AC798" s="9"/>
      <c r="AD798" s="9"/>
      <c r="AE798" s="9"/>
    </row>
    <row r="799" s="9" customFormat="1" customHeight="1" spans="1:25">
      <c r="A799" s="98" t="s">
        <v>403</v>
      </c>
      <c r="B799" s="98" t="s">
        <v>62</v>
      </c>
      <c r="C799" s="98" t="s">
        <v>217</v>
      </c>
      <c r="D799" s="98" t="s">
        <v>566</v>
      </c>
      <c r="E799" s="147" t="s">
        <v>905</v>
      </c>
      <c r="F799" s="98" t="s">
        <v>906</v>
      </c>
      <c r="G799" s="151" t="s">
        <v>88</v>
      </c>
      <c r="H799" s="19" t="s">
        <v>1110</v>
      </c>
      <c r="I799" s="23" t="e">
        <f>VLOOKUP(H799,'合同综合查询数据（3月返）'!$A:$A,1,FALSE)</f>
        <v>#N/A</v>
      </c>
      <c r="J799" s="24" t="s">
        <v>312</v>
      </c>
      <c r="K799" s="129" t="s">
        <v>1111</v>
      </c>
      <c r="L799" s="153"/>
      <c r="M799" s="26" t="s">
        <v>909</v>
      </c>
      <c r="N799" s="154"/>
      <c r="O799" s="155"/>
      <c r="P799" s="156">
        <v>300</v>
      </c>
      <c r="Q799" s="156">
        <v>50</v>
      </c>
      <c r="R799" s="120">
        <f t="shared" si="25"/>
        <v>15000</v>
      </c>
      <c r="S799" s="117">
        <v>202303</v>
      </c>
      <c r="T799" s="177" t="s">
        <v>1115</v>
      </c>
      <c r="U799" s="133"/>
      <c r="V799" s="133"/>
      <c r="W799" s="133"/>
      <c r="X799" s="118">
        <v>44593</v>
      </c>
      <c r="Y799" s="118">
        <v>46783</v>
      </c>
    </row>
    <row r="800" s="9" customFormat="1" customHeight="1" spans="1:25">
      <c r="A800" s="98" t="s">
        <v>403</v>
      </c>
      <c r="B800" s="98" t="s">
        <v>62</v>
      </c>
      <c r="C800" s="98" t="s">
        <v>217</v>
      </c>
      <c r="D800" s="98" t="s">
        <v>566</v>
      </c>
      <c r="E800" s="147" t="s">
        <v>905</v>
      </c>
      <c r="F800" s="98" t="s">
        <v>906</v>
      </c>
      <c r="G800" s="151" t="s">
        <v>88</v>
      </c>
      <c r="H800" s="19" t="s">
        <v>1116</v>
      </c>
      <c r="I800" s="23" t="e">
        <f>VLOOKUP(H800,'合同综合查询数据（3月返）'!$A:$A,1,FALSE)</f>
        <v>#N/A</v>
      </c>
      <c r="J800" s="24" t="s">
        <v>90</v>
      </c>
      <c r="K800" s="129" t="s">
        <v>1117</v>
      </c>
      <c r="L800" s="153"/>
      <c r="M800" s="26" t="s">
        <v>909</v>
      </c>
      <c r="N800" s="154">
        <v>44713</v>
      </c>
      <c r="O800" s="155" t="s">
        <v>457</v>
      </c>
      <c r="P800" s="156">
        <v>5900</v>
      </c>
      <c r="Q800" s="156">
        <v>1</v>
      </c>
      <c r="R800" s="120">
        <f t="shared" si="25"/>
        <v>5900</v>
      </c>
      <c r="S800" s="117">
        <v>202303</v>
      </c>
      <c r="T800" s="177" t="s">
        <v>1118</v>
      </c>
      <c r="U800" s="133"/>
      <c r="V800" s="133"/>
      <c r="W800" s="133"/>
      <c r="X800" s="118">
        <v>44679</v>
      </c>
      <c r="Y800" s="118">
        <v>46873</v>
      </c>
    </row>
    <row r="801" s="9" customFormat="1" customHeight="1" spans="1:25">
      <c r="A801" s="98" t="s">
        <v>403</v>
      </c>
      <c r="B801" s="98" t="s">
        <v>62</v>
      </c>
      <c r="C801" s="98" t="s">
        <v>217</v>
      </c>
      <c r="D801" s="98" t="s">
        <v>566</v>
      </c>
      <c r="E801" s="147" t="s">
        <v>905</v>
      </c>
      <c r="F801" s="98" t="s">
        <v>906</v>
      </c>
      <c r="G801" s="151" t="s">
        <v>88</v>
      </c>
      <c r="H801" s="19" t="s">
        <v>1116</v>
      </c>
      <c r="I801" s="23" t="e">
        <f>VLOOKUP(H801,'合同综合查询数据（3月返）'!$A:$A,1,FALSE)</f>
        <v>#N/A</v>
      </c>
      <c r="J801" s="24" t="s">
        <v>90</v>
      </c>
      <c r="K801" s="129" t="s">
        <v>1117</v>
      </c>
      <c r="L801" s="153"/>
      <c r="M801" s="26" t="s">
        <v>909</v>
      </c>
      <c r="N801" s="154">
        <v>44713</v>
      </c>
      <c r="O801" s="155" t="s">
        <v>461</v>
      </c>
      <c r="P801" s="156">
        <v>8595</v>
      </c>
      <c r="Q801" s="156">
        <v>123</v>
      </c>
      <c r="R801" s="120">
        <f t="shared" si="25"/>
        <v>1057185</v>
      </c>
      <c r="S801" s="117">
        <v>202303</v>
      </c>
      <c r="T801" s="177" t="s">
        <v>1119</v>
      </c>
      <c r="U801" s="133"/>
      <c r="V801" s="133"/>
      <c r="W801" s="133"/>
      <c r="X801" s="118">
        <v>44679</v>
      </c>
      <c r="Y801" s="118">
        <v>46873</v>
      </c>
    </row>
    <row r="802" s="9" customFormat="1" customHeight="1" spans="1:25">
      <c r="A802" s="98" t="s">
        <v>403</v>
      </c>
      <c r="B802" s="98" t="s">
        <v>62</v>
      </c>
      <c r="C802" s="98" t="s">
        <v>217</v>
      </c>
      <c r="D802" s="98" t="s">
        <v>566</v>
      </c>
      <c r="E802" s="147" t="s">
        <v>905</v>
      </c>
      <c r="F802" s="98" t="s">
        <v>906</v>
      </c>
      <c r="G802" s="151" t="s">
        <v>88</v>
      </c>
      <c r="H802" s="19" t="s">
        <v>1116</v>
      </c>
      <c r="I802" s="23" t="e">
        <f>VLOOKUP(H802,'合同综合查询数据（3月返）'!$A:$A,1,FALSE)</f>
        <v>#N/A</v>
      </c>
      <c r="J802" s="24" t="s">
        <v>90</v>
      </c>
      <c r="K802" s="129" t="s">
        <v>1117</v>
      </c>
      <c r="L802" s="153"/>
      <c r="M802" s="26" t="s">
        <v>909</v>
      </c>
      <c r="N802" s="154">
        <v>44866</v>
      </c>
      <c r="O802" s="155" t="s">
        <v>545</v>
      </c>
      <c r="P802" s="156">
        <v>0</v>
      </c>
      <c r="Q802" s="156">
        <v>2</v>
      </c>
      <c r="R802" s="120">
        <f t="shared" si="25"/>
        <v>0</v>
      </c>
      <c r="S802" s="117">
        <v>202303</v>
      </c>
      <c r="T802" s="177" t="s">
        <v>1120</v>
      </c>
      <c r="U802" s="133"/>
      <c r="V802" s="133"/>
      <c r="W802" s="133"/>
      <c r="X802" s="118">
        <v>44679</v>
      </c>
      <c r="Y802" s="118">
        <v>46873</v>
      </c>
    </row>
    <row r="803" s="9" customFormat="1" customHeight="1" spans="1:25">
      <c r="A803" s="98" t="s">
        <v>403</v>
      </c>
      <c r="B803" s="98" t="s">
        <v>62</v>
      </c>
      <c r="C803" s="98" t="s">
        <v>217</v>
      </c>
      <c r="D803" s="98" t="s">
        <v>566</v>
      </c>
      <c r="E803" s="147" t="s">
        <v>905</v>
      </c>
      <c r="F803" s="98" t="s">
        <v>906</v>
      </c>
      <c r="G803" s="151" t="s">
        <v>88</v>
      </c>
      <c r="H803" s="19" t="s">
        <v>1116</v>
      </c>
      <c r="I803" s="23" t="e">
        <f>VLOOKUP(H803,'合同综合查询数据（3月返）'!$A:$A,1,FALSE)</f>
        <v>#N/A</v>
      </c>
      <c r="J803" s="24" t="s">
        <v>312</v>
      </c>
      <c r="K803" s="129" t="s">
        <v>1117</v>
      </c>
      <c r="L803" s="153"/>
      <c r="M803" s="26" t="s">
        <v>909</v>
      </c>
      <c r="N803" s="154"/>
      <c r="O803" s="155"/>
      <c r="P803" s="156">
        <v>300</v>
      </c>
      <c r="Q803" s="156">
        <v>150</v>
      </c>
      <c r="R803" s="120">
        <f t="shared" si="25"/>
        <v>45000</v>
      </c>
      <c r="S803" s="117">
        <v>202303</v>
      </c>
      <c r="T803" s="177" t="s">
        <v>1121</v>
      </c>
      <c r="U803" s="133"/>
      <c r="V803" s="133"/>
      <c r="W803" s="133"/>
      <c r="X803" s="118">
        <v>44679</v>
      </c>
      <c r="Y803" s="118">
        <v>46873</v>
      </c>
    </row>
    <row r="804" s="9" customFormat="1" customHeight="1" spans="1:25">
      <c r="A804" s="98" t="s">
        <v>403</v>
      </c>
      <c r="B804" s="98" t="s">
        <v>62</v>
      </c>
      <c r="C804" s="98" t="s">
        <v>217</v>
      </c>
      <c r="D804" s="98" t="s">
        <v>566</v>
      </c>
      <c r="E804" s="147" t="s">
        <v>905</v>
      </c>
      <c r="F804" s="98" t="s">
        <v>906</v>
      </c>
      <c r="G804" s="151" t="s">
        <v>88</v>
      </c>
      <c r="H804" s="19" t="s">
        <v>1122</v>
      </c>
      <c r="I804" s="23" t="e">
        <f>VLOOKUP(H804,'合同综合查询数据（3月返）'!$A:$A,1,FALSE)</f>
        <v>#N/A</v>
      </c>
      <c r="J804" s="24" t="s">
        <v>90</v>
      </c>
      <c r="K804" s="129" t="s">
        <v>1123</v>
      </c>
      <c r="L804" s="153"/>
      <c r="M804" s="26" t="s">
        <v>909</v>
      </c>
      <c r="N804" s="154">
        <v>44713</v>
      </c>
      <c r="O804" s="155" t="s">
        <v>457</v>
      </c>
      <c r="P804" s="156">
        <v>5900</v>
      </c>
      <c r="Q804" s="156">
        <v>6</v>
      </c>
      <c r="R804" s="120">
        <f t="shared" si="25"/>
        <v>35400</v>
      </c>
      <c r="S804" s="117">
        <v>202303</v>
      </c>
      <c r="T804" s="177" t="s">
        <v>1124</v>
      </c>
      <c r="U804" s="133"/>
      <c r="V804" s="133"/>
      <c r="W804" s="133"/>
      <c r="X804" s="118">
        <v>44681</v>
      </c>
      <c r="Y804" s="118">
        <v>46873</v>
      </c>
    </row>
    <row r="805" s="9" customFormat="1" customHeight="1" spans="1:25">
      <c r="A805" s="98" t="s">
        <v>403</v>
      </c>
      <c r="B805" s="98" t="s">
        <v>62</v>
      </c>
      <c r="C805" s="98" t="s">
        <v>217</v>
      </c>
      <c r="D805" s="98" t="s">
        <v>566</v>
      </c>
      <c r="E805" s="147" t="s">
        <v>905</v>
      </c>
      <c r="F805" s="98" t="s">
        <v>906</v>
      </c>
      <c r="G805" s="151" t="s">
        <v>88</v>
      </c>
      <c r="H805" s="19" t="s">
        <v>1122</v>
      </c>
      <c r="I805" s="23" t="e">
        <f>VLOOKUP(H805,'合同综合查询数据（3月返）'!$A:$A,1,FALSE)</f>
        <v>#N/A</v>
      </c>
      <c r="J805" s="24" t="s">
        <v>90</v>
      </c>
      <c r="K805" s="129" t="s">
        <v>1123</v>
      </c>
      <c r="L805" s="153"/>
      <c r="M805" s="26" t="s">
        <v>909</v>
      </c>
      <c r="N805" s="154">
        <v>44713</v>
      </c>
      <c r="O805" s="155" t="s">
        <v>461</v>
      </c>
      <c r="P805" s="156">
        <v>8595</v>
      </c>
      <c r="Q805" s="156">
        <v>301</v>
      </c>
      <c r="R805" s="120">
        <f t="shared" si="25"/>
        <v>2587095</v>
      </c>
      <c r="S805" s="117">
        <v>202303</v>
      </c>
      <c r="T805" s="177" t="s">
        <v>1125</v>
      </c>
      <c r="U805" s="133"/>
      <c r="V805" s="133"/>
      <c r="W805" s="133"/>
      <c r="X805" s="118">
        <v>44681</v>
      </c>
      <c r="Y805" s="118">
        <v>46873</v>
      </c>
    </row>
    <row r="806" s="9" customFormat="1" customHeight="1" spans="1:25">
      <c r="A806" s="98" t="s">
        <v>403</v>
      </c>
      <c r="B806" s="98" t="s">
        <v>62</v>
      </c>
      <c r="C806" s="98" t="s">
        <v>217</v>
      </c>
      <c r="D806" s="98" t="s">
        <v>566</v>
      </c>
      <c r="E806" s="147" t="s">
        <v>905</v>
      </c>
      <c r="F806" s="98" t="s">
        <v>906</v>
      </c>
      <c r="G806" s="151" t="s">
        <v>88</v>
      </c>
      <c r="H806" s="19" t="s">
        <v>1122</v>
      </c>
      <c r="I806" s="23" t="e">
        <f>VLOOKUP(H806,'合同综合查询数据（3月返）'!$A:$A,1,FALSE)</f>
        <v>#N/A</v>
      </c>
      <c r="J806" s="24" t="s">
        <v>90</v>
      </c>
      <c r="K806" s="129" t="s">
        <v>1123</v>
      </c>
      <c r="L806" s="153"/>
      <c r="M806" s="26" t="s">
        <v>909</v>
      </c>
      <c r="N806" s="154">
        <v>44726</v>
      </c>
      <c r="O806" s="155" t="s">
        <v>461</v>
      </c>
      <c r="P806" s="156">
        <v>8595</v>
      </c>
      <c r="Q806" s="156">
        <v>17</v>
      </c>
      <c r="R806" s="120">
        <f t="shared" si="25"/>
        <v>146115</v>
      </c>
      <c r="S806" s="117">
        <v>202303</v>
      </c>
      <c r="T806" s="177" t="s">
        <v>1126</v>
      </c>
      <c r="U806" s="133"/>
      <c r="V806" s="133"/>
      <c r="W806" s="133"/>
      <c r="X806" s="118">
        <v>44681</v>
      </c>
      <c r="Y806" s="118">
        <v>46873</v>
      </c>
    </row>
    <row r="807" s="9" customFormat="1" customHeight="1" spans="1:25">
      <c r="A807" s="98" t="s">
        <v>403</v>
      </c>
      <c r="B807" s="98" t="s">
        <v>62</v>
      </c>
      <c r="C807" s="98" t="s">
        <v>217</v>
      </c>
      <c r="D807" s="98" t="s">
        <v>566</v>
      </c>
      <c r="E807" s="147" t="s">
        <v>905</v>
      </c>
      <c r="F807" s="98" t="s">
        <v>906</v>
      </c>
      <c r="G807" s="151" t="s">
        <v>88</v>
      </c>
      <c r="H807" s="19" t="s">
        <v>1122</v>
      </c>
      <c r="I807" s="23" t="e">
        <f>VLOOKUP(H807,'合同综合查询数据（3月返）'!$A:$A,1,FALSE)</f>
        <v>#N/A</v>
      </c>
      <c r="J807" s="24" t="s">
        <v>90</v>
      </c>
      <c r="K807" s="129" t="s">
        <v>1123</v>
      </c>
      <c r="L807" s="153"/>
      <c r="M807" s="26" t="s">
        <v>909</v>
      </c>
      <c r="N807" s="154">
        <v>44733</v>
      </c>
      <c r="O807" s="155" t="s">
        <v>461</v>
      </c>
      <c r="P807" s="156">
        <v>8595</v>
      </c>
      <c r="Q807" s="156">
        <v>95</v>
      </c>
      <c r="R807" s="120">
        <f t="shared" si="25"/>
        <v>816525</v>
      </c>
      <c r="S807" s="117">
        <v>202303</v>
      </c>
      <c r="T807" s="177" t="s">
        <v>1127</v>
      </c>
      <c r="U807" s="133"/>
      <c r="V807" s="133"/>
      <c r="W807" s="133"/>
      <c r="X807" s="118">
        <v>44681</v>
      </c>
      <c r="Y807" s="118">
        <v>46873</v>
      </c>
    </row>
    <row r="808" s="9" customFormat="1" customHeight="1" spans="1:25">
      <c r="A808" s="98" t="s">
        <v>403</v>
      </c>
      <c r="B808" s="98" t="s">
        <v>62</v>
      </c>
      <c r="C808" s="98" t="s">
        <v>217</v>
      </c>
      <c r="D808" s="98" t="s">
        <v>566</v>
      </c>
      <c r="E808" s="147" t="s">
        <v>905</v>
      </c>
      <c r="F808" s="98" t="s">
        <v>906</v>
      </c>
      <c r="G808" s="151" t="s">
        <v>88</v>
      </c>
      <c r="H808" s="19" t="s">
        <v>1122</v>
      </c>
      <c r="I808" s="23" t="e">
        <f>VLOOKUP(H808,'合同综合查询数据（3月返）'!$A:$A,1,FALSE)</f>
        <v>#N/A</v>
      </c>
      <c r="J808" s="24" t="s">
        <v>90</v>
      </c>
      <c r="K808" s="129" t="s">
        <v>1123</v>
      </c>
      <c r="L808" s="153"/>
      <c r="M808" s="26" t="s">
        <v>909</v>
      </c>
      <c r="N808" s="154">
        <v>44749</v>
      </c>
      <c r="O808" s="155" t="s">
        <v>461</v>
      </c>
      <c r="P808" s="156">
        <v>8595</v>
      </c>
      <c r="Q808" s="156">
        <v>26</v>
      </c>
      <c r="R808" s="120">
        <f t="shared" si="25"/>
        <v>223470</v>
      </c>
      <c r="S808" s="117">
        <v>202303</v>
      </c>
      <c r="T808" s="177" t="s">
        <v>1128</v>
      </c>
      <c r="U808" s="133"/>
      <c r="V808" s="133"/>
      <c r="W808" s="133"/>
      <c r="X808" s="118">
        <v>44681</v>
      </c>
      <c r="Y808" s="118">
        <v>46873</v>
      </c>
    </row>
    <row r="809" s="9" customFormat="1" customHeight="1" spans="1:25">
      <c r="A809" s="98" t="s">
        <v>403</v>
      </c>
      <c r="B809" s="98" t="s">
        <v>62</v>
      </c>
      <c r="C809" s="98" t="s">
        <v>217</v>
      </c>
      <c r="D809" s="98" t="s">
        <v>566</v>
      </c>
      <c r="E809" s="147" t="s">
        <v>905</v>
      </c>
      <c r="F809" s="98" t="s">
        <v>906</v>
      </c>
      <c r="G809" s="151" t="s">
        <v>88</v>
      </c>
      <c r="H809" s="19" t="s">
        <v>1122</v>
      </c>
      <c r="I809" s="23" t="e">
        <f>VLOOKUP(H809,'合同综合查询数据（3月返）'!$A:$A,1,FALSE)</f>
        <v>#N/A</v>
      </c>
      <c r="J809" s="24" t="s">
        <v>90</v>
      </c>
      <c r="K809" s="129" t="s">
        <v>1123</v>
      </c>
      <c r="L809" s="153"/>
      <c r="M809" s="26" t="s">
        <v>909</v>
      </c>
      <c r="N809" s="154">
        <v>44750</v>
      </c>
      <c r="O809" s="155" t="s">
        <v>461</v>
      </c>
      <c r="P809" s="156">
        <v>8595</v>
      </c>
      <c r="Q809" s="156">
        <v>10</v>
      </c>
      <c r="R809" s="120">
        <f t="shared" si="25"/>
        <v>85950</v>
      </c>
      <c r="S809" s="117">
        <v>202303</v>
      </c>
      <c r="T809" s="177" t="s">
        <v>1129</v>
      </c>
      <c r="U809" s="133"/>
      <c r="V809" s="133"/>
      <c r="W809" s="133"/>
      <c r="X809" s="118">
        <v>44681</v>
      </c>
      <c r="Y809" s="118">
        <v>46873</v>
      </c>
    </row>
    <row r="810" s="79" customFormat="1" customHeight="1" spans="1:25">
      <c r="A810" s="98" t="s">
        <v>403</v>
      </c>
      <c r="B810" s="98" t="s">
        <v>62</v>
      </c>
      <c r="C810" s="98" t="s">
        <v>217</v>
      </c>
      <c r="D810" s="98" t="s">
        <v>566</v>
      </c>
      <c r="E810" s="147" t="s">
        <v>905</v>
      </c>
      <c r="F810" s="98" t="s">
        <v>906</v>
      </c>
      <c r="G810" s="151" t="s">
        <v>88</v>
      </c>
      <c r="H810" s="19" t="s">
        <v>1122</v>
      </c>
      <c r="I810" s="23" t="e">
        <f>VLOOKUP(H810,'合同综合查询数据（3月返）'!$A:$A,1,FALSE)</f>
        <v>#N/A</v>
      </c>
      <c r="J810" s="24" t="s">
        <v>90</v>
      </c>
      <c r="K810" s="129" t="s">
        <v>1123</v>
      </c>
      <c r="L810" s="153"/>
      <c r="M810" s="26" t="s">
        <v>909</v>
      </c>
      <c r="N810" s="154">
        <v>44755</v>
      </c>
      <c r="O810" s="155" t="s">
        <v>461</v>
      </c>
      <c r="P810" s="156">
        <v>8595</v>
      </c>
      <c r="Q810" s="156">
        <v>1</v>
      </c>
      <c r="R810" s="120">
        <f t="shared" si="25"/>
        <v>8595</v>
      </c>
      <c r="S810" s="117">
        <v>202303</v>
      </c>
      <c r="T810" s="177" t="s">
        <v>1130</v>
      </c>
      <c r="U810" s="133"/>
      <c r="V810" s="133"/>
      <c r="W810" s="133"/>
      <c r="X810" s="118">
        <v>44681</v>
      </c>
      <c r="Y810" s="118">
        <v>46873</v>
      </c>
    </row>
    <row r="811" s="79" customFormat="1" customHeight="1" spans="1:25">
      <c r="A811" s="98" t="s">
        <v>403</v>
      </c>
      <c r="B811" s="98" t="s">
        <v>62</v>
      </c>
      <c r="C811" s="98" t="s">
        <v>217</v>
      </c>
      <c r="D811" s="98" t="s">
        <v>566</v>
      </c>
      <c r="E811" s="147" t="s">
        <v>905</v>
      </c>
      <c r="F811" s="98" t="s">
        <v>906</v>
      </c>
      <c r="G811" s="151" t="s">
        <v>88</v>
      </c>
      <c r="H811" s="19" t="s">
        <v>1122</v>
      </c>
      <c r="I811" s="23" t="e">
        <f>VLOOKUP(H811,'合同综合查询数据（3月返）'!$A:$A,1,FALSE)</f>
        <v>#N/A</v>
      </c>
      <c r="J811" s="24" t="s">
        <v>90</v>
      </c>
      <c r="K811" s="129" t="s">
        <v>1123</v>
      </c>
      <c r="L811" s="153"/>
      <c r="M811" s="26" t="s">
        <v>909</v>
      </c>
      <c r="N811" s="154">
        <v>44757</v>
      </c>
      <c r="O811" s="155" t="s">
        <v>461</v>
      </c>
      <c r="P811" s="156">
        <v>8595</v>
      </c>
      <c r="Q811" s="156">
        <v>8</v>
      </c>
      <c r="R811" s="120">
        <f t="shared" si="25"/>
        <v>68760</v>
      </c>
      <c r="S811" s="117">
        <v>202303</v>
      </c>
      <c r="T811" s="177" t="s">
        <v>1131</v>
      </c>
      <c r="U811" s="133"/>
      <c r="V811" s="133"/>
      <c r="W811" s="133"/>
      <c r="X811" s="118">
        <v>44681</v>
      </c>
      <c r="Y811" s="118">
        <v>46873</v>
      </c>
    </row>
    <row r="812" s="79" customFormat="1" customHeight="1" spans="1:25">
      <c r="A812" s="98" t="s">
        <v>403</v>
      </c>
      <c r="B812" s="98" t="s">
        <v>62</v>
      </c>
      <c r="C812" s="98" t="s">
        <v>217</v>
      </c>
      <c r="D812" s="98" t="s">
        <v>566</v>
      </c>
      <c r="E812" s="147" t="s">
        <v>905</v>
      </c>
      <c r="F812" s="98" t="s">
        <v>906</v>
      </c>
      <c r="G812" s="151" t="s">
        <v>88</v>
      </c>
      <c r="H812" s="19" t="s">
        <v>1122</v>
      </c>
      <c r="I812" s="23" t="e">
        <f>VLOOKUP(H812,'合同综合查询数据（3月返）'!$A:$A,1,FALSE)</f>
        <v>#N/A</v>
      </c>
      <c r="J812" s="24" t="s">
        <v>90</v>
      </c>
      <c r="K812" s="129" t="s">
        <v>1123</v>
      </c>
      <c r="L812" s="153"/>
      <c r="M812" s="26" t="s">
        <v>909</v>
      </c>
      <c r="N812" s="154">
        <v>44768</v>
      </c>
      <c r="O812" s="155" t="s">
        <v>461</v>
      </c>
      <c r="P812" s="156">
        <v>8595</v>
      </c>
      <c r="Q812" s="156">
        <v>1</v>
      </c>
      <c r="R812" s="120">
        <f t="shared" si="25"/>
        <v>8595</v>
      </c>
      <c r="S812" s="117">
        <v>202303</v>
      </c>
      <c r="T812" s="177" t="s">
        <v>1132</v>
      </c>
      <c r="U812" s="133"/>
      <c r="V812" s="133"/>
      <c r="W812" s="133"/>
      <c r="X812" s="118">
        <v>44681</v>
      </c>
      <c r="Y812" s="118">
        <v>46873</v>
      </c>
    </row>
    <row r="813" s="79" customFormat="1" customHeight="1" spans="1:25">
      <c r="A813" s="98" t="s">
        <v>403</v>
      </c>
      <c r="B813" s="98" t="s">
        <v>62</v>
      </c>
      <c r="C813" s="98" t="s">
        <v>217</v>
      </c>
      <c r="D813" s="98" t="s">
        <v>566</v>
      </c>
      <c r="E813" s="147" t="s">
        <v>905</v>
      </c>
      <c r="F813" s="98" t="s">
        <v>906</v>
      </c>
      <c r="G813" s="151" t="s">
        <v>88</v>
      </c>
      <c r="H813" s="19" t="s">
        <v>1122</v>
      </c>
      <c r="I813" s="23" t="e">
        <f>VLOOKUP(H813,'合同综合查询数据（3月返）'!$A:$A,1,FALSE)</f>
        <v>#N/A</v>
      </c>
      <c r="J813" s="24" t="s">
        <v>90</v>
      </c>
      <c r="K813" s="129" t="s">
        <v>1123</v>
      </c>
      <c r="L813" s="153"/>
      <c r="M813" s="26" t="s">
        <v>909</v>
      </c>
      <c r="N813" s="154">
        <v>44777</v>
      </c>
      <c r="O813" s="155" t="s">
        <v>461</v>
      </c>
      <c r="P813" s="156">
        <v>8595</v>
      </c>
      <c r="Q813" s="156">
        <v>14</v>
      </c>
      <c r="R813" s="120">
        <f t="shared" si="25"/>
        <v>120330</v>
      </c>
      <c r="S813" s="117">
        <v>202303</v>
      </c>
      <c r="T813" s="177" t="s">
        <v>1133</v>
      </c>
      <c r="U813" s="133"/>
      <c r="V813" s="133"/>
      <c r="W813" s="133"/>
      <c r="X813" s="118">
        <v>44681</v>
      </c>
      <c r="Y813" s="118">
        <v>46873</v>
      </c>
    </row>
    <row r="814" s="79" customFormat="1" customHeight="1" spans="1:25">
      <c r="A814" s="98" t="s">
        <v>403</v>
      </c>
      <c r="B814" s="98" t="s">
        <v>62</v>
      </c>
      <c r="C814" s="98" t="s">
        <v>217</v>
      </c>
      <c r="D814" s="98" t="s">
        <v>566</v>
      </c>
      <c r="E814" s="147" t="s">
        <v>905</v>
      </c>
      <c r="F814" s="98" t="s">
        <v>906</v>
      </c>
      <c r="G814" s="151" t="s">
        <v>88</v>
      </c>
      <c r="H814" s="19" t="s">
        <v>1122</v>
      </c>
      <c r="I814" s="23" t="e">
        <f>VLOOKUP(H814,'合同综合查询数据（3月返）'!$A:$A,1,FALSE)</f>
        <v>#N/A</v>
      </c>
      <c r="J814" s="24" t="s">
        <v>90</v>
      </c>
      <c r="K814" s="129" t="s">
        <v>1123</v>
      </c>
      <c r="L814" s="153"/>
      <c r="M814" s="26" t="s">
        <v>909</v>
      </c>
      <c r="N814" s="154">
        <v>44782</v>
      </c>
      <c r="O814" s="155" t="s">
        <v>461</v>
      </c>
      <c r="P814" s="156">
        <v>8595</v>
      </c>
      <c r="Q814" s="156">
        <v>78</v>
      </c>
      <c r="R814" s="120">
        <f t="shared" si="25"/>
        <v>670410</v>
      </c>
      <c r="S814" s="117">
        <v>202303</v>
      </c>
      <c r="T814" s="177" t="s">
        <v>1134</v>
      </c>
      <c r="U814" s="133"/>
      <c r="V814" s="133"/>
      <c r="W814" s="133"/>
      <c r="X814" s="118">
        <v>44681</v>
      </c>
      <c r="Y814" s="118">
        <v>46873</v>
      </c>
    </row>
    <row r="815" s="79" customFormat="1" customHeight="1" spans="1:25">
      <c r="A815" s="98" t="s">
        <v>403</v>
      </c>
      <c r="B815" s="98" t="s">
        <v>62</v>
      </c>
      <c r="C815" s="98" t="s">
        <v>217</v>
      </c>
      <c r="D815" s="98" t="s">
        <v>566</v>
      </c>
      <c r="E815" s="147" t="s">
        <v>905</v>
      </c>
      <c r="F815" s="98" t="s">
        <v>906</v>
      </c>
      <c r="G815" s="151" t="s">
        <v>88</v>
      </c>
      <c r="H815" s="19" t="s">
        <v>1122</v>
      </c>
      <c r="I815" s="23" t="e">
        <f>VLOOKUP(H815,'合同综合查询数据（3月返）'!$A:$A,1,FALSE)</f>
        <v>#N/A</v>
      </c>
      <c r="J815" s="24" t="s">
        <v>90</v>
      </c>
      <c r="K815" s="129" t="s">
        <v>1123</v>
      </c>
      <c r="L815" s="153"/>
      <c r="M815" s="26" t="s">
        <v>909</v>
      </c>
      <c r="N815" s="154">
        <v>44813</v>
      </c>
      <c r="O815" s="155" t="s">
        <v>461</v>
      </c>
      <c r="P815" s="156">
        <v>8595</v>
      </c>
      <c r="Q815" s="156">
        <v>5</v>
      </c>
      <c r="R815" s="120">
        <f t="shared" si="25"/>
        <v>42975</v>
      </c>
      <c r="S815" s="117">
        <v>202303</v>
      </c>
      <c r="T815" s="177" t="s">
        <v>1135</v>
      </c>
      <c r="U815" s="133"/>
      <c r="V815" s="133"/>
      <c r="W815" s="133"/>
      <c r="X815" s="118">
        <v>44681</v>
      </c>
      <c r="Y815" s="118">
        <v>46873</v>
      </c>
    </row>
    <row r="816" s="79" customFormat="1" customHeight="1" spans="1:25">
      <c r="A816" s="98" t="s">
        <v>403</v>
      </c>
      <c r="B816" s="98" t="s">
        <v>62</v>
      </c>
      <c r="C816" s="98" t="s">
        <v>217</v>
      </c>
      <c r="D816" s="98" t="s">
        <v>566</v>
      </c>
      <c r="E816" s="147" t="s">
        <v>905</v>
      </c>
      <c r="F816" s="98" t="s">
        <v>906</v>
      </c>
      <c r="G816" s="151" t="s">
        <v>88</v>
      </c>
      <c r="H816" s="19" t="s">
        <v>1122</v>
      </c>
      <c r="I816" s="23" t="e">
        <f>VLOOKUP(H816,'合同综合查询数据（3月返）'!$A:$A,1,FALSE)</f>
        <v>#N/A</v>
      </c>
      <c r="J816" s="24" t="s">
        <v>90</v>
      </c>
      <c r="K816" s="129" t="s">
        <v>1123</v>
      </c>
      <c r="L816" s="153"/>
      <c r="M816" s="26" t="s">
        <v>909</v>
      </c>
      <c r="N816" s="154">
        <v>44817</v>
      </c>
      <c r="O816" s="155" t="s">
        <v>461</v>
      </c>
      <c r="P816" s="156">
        <v>8595</v>
      </c>
      <c r="Q816" s="156">
        <v>1</v>
      </c>
      <c r="R816" s="120">
        <f t="shared" si="25"/>
        <v>8595</v>
      </c>
      <c r="S816" s="117">
        <v>202303</v>
      </c>
      <c r="T816" s="177" t="s">
        <v>1136</v>
      </c>
      <c r="U816" s="133"/>
      <c r="V816" s="133"/>
      <c r="W816" s="133"/>
      <c r="X816" s="118">
        <v>44681</v>
      </c>
      <c r="Y816" s="118">
        <v>46873</v>
      </c>
    </row>
    <row r="817" s="79" customFormat="1" customHeight="1" spans="1:25">
      <c r="A817" s="98" t="s">
        <v>403</v>
      </c>
      <c r="B817" s="98" t="s">
        <v>62</v>
      </c>
      <c r="C817" s="98" t="s">
        <v>217</v>
      </c>
      <c r="D817" s="98" t="s">
        <v>566</v>
      </c>
      <c r="E817" s="147" t="s">
        <v>905</v>
      </c>
      <c r="F817" s="98" t="s">
        <v>906</v>
      </c>
      <c r="G817" s="151" t="s">
        <v>88</v>
      </c>
      <c r="H817" s="19" t="s">
        <v>1122</v>
      </c>
      <c r="I817" s="23" t="e">
        <f>VLOOKUP(H817,'合同综合查询数据（3月返）'!$A:$A,1,FALSE)</f>
        <v>#N/A</v>
      </c>
      <c r="J817" s="24" t="s">
        <v>90</v>
      </c>
      <c r="K817" s="129" t="s">
        <v>1123</v>
      </c>
      <c r="L817" s="153"/>
      <c r="M817" s="26" t="s">
        <v>909</v>
      </c>
      <c r="N817" s="154">
        <v>44866</v>
      </c>
      <c r="O817" s="155" t="s">
        <v>545</v>
      </c>
      <c r="P817" s="156">
        <v>0</v>
      </c>
      <c r="Q817" s="156">
        <v>14</v>
      </c>
      <c r="R817" s="120">
        <f t="shared" si="25"/>
        <v>0</v>
      </c>
      <c r="S817" s="117">
        <v>202303</v>
      </c>
      <c r="T817" s="177" t="s">
        <v>1137</v>
      </c>
      <c r="U817" s="133"/>
      <c r="V817" s="133"/>
      <c r="W817" s="133"/>
      <c r="X817" s="118">
        <v>44681</v>
      </c>
      <c r="Y817" s="118">
        <v>46873</v>
      </c>
    </row>
    <row r="818" s="79" customFormat="1" customHeight="1" spans="1:25">
      <c r="A818" s="98" t="s">
        <v>403</v>
      </c>
      <c r="B818" s="98" t="s">
        <v>62</v>
      </c>
      <c r="C818" s="98" t="s">
        <v>217</v>
      </c>
      <c r="D818" s="98" t="s">
        <v>566</v>
      </c>
      <c r="E818" s="147" t="s">
        <v>905</v>
      </c>
      <c r="F818" s="98" t="s">
        <v>906</v>
      </c>
      <c r="G818" s="151" t="s">
        <v>88</v>
      </c>
      <c r="H818" s="19" t="s">
        <v>1122</v>
      </c>
      <c r="I818" s="23" t="e">
        <f>VLOOKUP(H818,'合同综合查询数据（3月返）'!$A:$A,1,FALSE)</f>
        <v>#N/A</v>
      </c>
      <c r="J818" s="24" t="s">
        <v>90</v>
      </c>
      <c r="K818" s="129" t="s">
        <v>1123</v>
      </c>
      <c r="L818" s="153"/>
      <c r="M818" s="26" t="s">
        <v>909</v>
      </c>
      <c r="N818" s="154">
        <v>44896</v>
      </c>
      <c r="O818" s="155" t="s">
        <v>461</v>
      </c>
      <c r="P818" s="156">
        <v>8595</v>
      </c>
      <c r="Q818" s="156">
        <v>13</v>
      </c>
      <c r="R818" s="120">
        <f t="shared" si="25"/>
        <v>111735</v>
      </c>
      <c r="S818" s="117">
        <v>202303</v>
      </c>
      <c r="T818" s="177" t="s">
        <v>1138</v>
      </c>
      <c r="U818" s="133"/>
      <c r="V818" s="133"/>
      <c r="W818" s="133"/>
      <c r="X818" s="118">
        <v>44681</v>
      </c>
      <c r="Y818" s="118">
        <v>46873</v>
      </c>
    </row>
    <row r="819" s="79" customFormat="1" customHeight="1" spans="1:25">
      <c r="A819" s="98" t="s">
        <v>403</v>
      </c>
      <c r="B819" s="98" t="s">
        <v>62</v>
      </c>
      <c r="C819" s="98" t="s">
        <v>217</v>
      </c>
      <c r="D819" s="98" t="s">
        <v>566</v>
      </c>
      <c r="E819" s="147" t="s">
        <v>905</v>
      </c>
      <c r="F819" s="98" t="s">
        <v>906</v>
      </c>
      <c r="G819" s="151" t="s">
        <v>88</v>
      </c>
      <c r="H819" s="19" t="s">
        <v>1122</v>
      </c>
      <c r="I819" s="23" t="e">
        <f>VLOOKUP(H819,'合同综合查询数据（3月返）'!$A:$A,1,FALSE)</f>
        <v>#N/A</v>
      </c>
      <c r="J819" s="24" t="s">
        <v>312</v>
      </c>
      <c r="K819" s="129" t="s">
        <v>1123</v>
      </c>
      <c r="L819" s="153"/>
      <c r="M819" s="26" t="s">
        <v>909</v>
      </c>
      <c r="N819" s="154"/>
      <c r="O819" s="155"/>
      <c r="P819" s="156">
        <v>300</v>
      </c>
      <c r="Q819" s="156">
        <v>800</v>
      </c>
      <c r="R819" s="120">
        <f t="shared" si="25"/>
        <v>240000</v>
      </c>
      <c r="S819" s="117">
        <v>202303</v>
      </c>
      <c r="T819" s="177" t="s">
        <v>1139</v>
      </c>
      <c r="U819" s="133"/>
      <c r="V819" s="133"/>
      <c r="W819" s="133"/>
      <c r="X819" s="118">
        <v>44681</v>
      </c>
      <c r="Y819" s="118">
        <v>46873</v>
      </c>
    </row>
    <row r="820" s="79" customFormat="1" customHeight="1" spans="1:25">
      <c r="A820" s="98" t="s">
        <v>403</v>
      </c>
      <c r="B820" s="98" t="s">
        <v>62</v>
      </c>
      <c r="C820" s="98" t="s">
        <v>217</v>
      </c>
      <c r="D820" s="98" t="s">
        <v>566</v>
      </c>
      <c r="E820" s="147" t="s">
        <v>905</v>
      </c>
      <c r="F820" s="98" t="s">
        <v>942</v>
      </c>
      <c r="G820" s="151" t="s">
        <v>88</v>
      </c>
      <c r="H820" s="19" t="s">
        <v>1140</v>
      </c>
      <c r="I820" s="23" t="e">
        <f>VLOOKUP(H820,'合同综合查询数据（3月返）'!$A:$A,1,FALSE)</f>
        <v>#N/A</v>
      </c>
      <c r="J820" s="24" t="s">
        <v>90</v>
      </c>
      <c r="K820" s="129" t="s">
        <v>1141</v>
      </c>
      <c r="L820" s="153"/>
      <c r="M820" s="26" t="s">
        <v>945</v>
      </c>
      <c r="N820" s="154">
        <v>44652</v>
      </c>
      <c r="O820" s="155" t="s">
        <v>457</v>
      </c>
      <c r="P820" s="156">
        <v>5900</v>
      </c>
      <c r="Q820" s="156">
        <v>18</v>
      </c>
      <c r="R820" s="120">
        <f t="shared" si="25"/>
        <v>106200</v>
      </c>
      <c r="S820" s="117">
        <v>202303</v>
      </c>
      <c r="T820" s="184" t="s">
        <v>1142</v>
      </c>
      <c r="U820" s="185"/>
      <c r="V820" s="133"/>
      <c r="W820" s="133"/>
      <c r="X820" s="118">
        <v>44637</v>
      </c>
      <c r="Y820" s="118">
        <v>46828</v>
      </c>
    </row>
    <row r="821" s="79" customFormat="1" customHeight="1" spans="1:25">
      <c r="A821" s="98" t="s">
        <v>403</v>
      </c>
      <c r="B821" s="98" t="s">
        <v>62</v>
      </c>
      <c r="C821" s="98" t="s">
        <v>217</v>
      </c>
      <c r="D821" s="98" t="s">
        <v>566</v>
      </c>
      <c r="E821" s="147" t="s">
        <v>905</v>
      </c>
      <c r="F821" s="98" t="s">
        <v>942</v>
      </c>
      <c r="G821" s="151" t="s">
        <v>88</v>
      </c>
      <c r="H821" s="19" t="s">
        <v>1140</v>
      </c>
      <c r="I821" s="23" t="e">
        <f>VLOOKUP(H821,'合同综合查询数据（3月返）'!$A:$A,1,FALSE)</f>
        <v>#N/A</v>
      </c>
      <c r="J821" s="24" t="s">
        <v>90</v>
      </c>
      <c r="K821" s="129" t="s">
        <v>1141</v>
      </c>
      <c r="L821" s="153"/>
      <c r="M821" s="26" t="s">
        <v>945</v>
      </c>
      <c r="N821" s="154">
        <v>44652</v>
      </c>
      <c r="O821" s="155" t="s">
        <v>461</v>
      </c>
      <c r="P821" s="156">
        <v>8595</v>
      </c>
      <c r="Q821" s="156">
        <v>42</v>
      </c>
      <c r="R821" s="120">
        <f t="shared" si="25"/>
        <v>360990</v>
      </c>
      <c r="S821" s="117">
        <v>202303</v>
      </c>
      <c r="T821" s="184" t="s">
        <v>1143</v>
      </c>
      <c r="U821" s="185"/>
      <c r="V821" s="133"/>
      <c r="W821" s="133"/>
      <c r="X821" s="118">
        <v>44637</v>
      </c>
      <c r="Y821" s="118">
        <v>46828</v>
      </c>
    </row>
    <row r="822" s="79" customFormat="1" customHeight="1" spans="1:25">
      <c r="A822" s="98" t="s">
        <v>403</v>
      </c>
      <c r="B822" s="98" t="s">
        <v>62</v>
      </c>
      <c r="C822" s="98" t="s">
        <v>217</v>
      </c>
      <c r="D822" s="98" t="s">
        <v>566</v>
      </c>
      <c r="E822" s="147" t="s">
        <v>905</v>
      </c>
      <c r="F822" s="98" t="s">
        <v>942</v>
      </c>
      <c r="G822" s="151" t="s">
        <v>88</v>
      </c>
      <c r="H822" s="19" t="s">
        <v>1140</v>
      </c>
      <c r="I822" s="23" t="e">
        <f>VLOOKUP(H822,'合同综合查询数据（3月返）'!$A:$A,1,FALSE)</f>
        <v>#N/A</v>
      </c>
      <c r="J822" s="24" t="s">
        <v>90</v>
      </c>
      <c r="K822" s="129" t="s">
        <v>1141</v>
      </c>
      <c r="L822" s="153"/>
      <c r="M822" s="26" t="s">
        <v>945</v>
      </c>
      <c r="N822" s="154">
        <v>44652</v>
      </c>
      <c r="O822" s="155" t="s">
        <v>1144</v>
      </c>
      <c r="P822" s="156">
        <v>11200</v>
      </c>
      <c r="Q822" s="156">
        <v>12</v>
      </c>
      <c r="R822" s="120">
        <f t="shared" si="25"/>
        <v>134400</v>
      </c>
      <c r="S822" s="117">
        <v>202303</v>
      </c>
      <c r="T822" s="184" t="s">
        <v>1145</v>
      </c>
      <c r="U822" s="185"/>
      <c r="V822" s="133"/>
      <c r="W822" s="133"/>
      <c r="X822" s="118">
        <v>44637</v>
      </c>
      <c r="Y822" s="118">
        <v>46828</v>
      </c>
    </row>
    <row r="823" s="79" customFormat="1" customHeight="1" spans="1:25">
      <c r="A823" s="98" t="s">
        <v>403</v>
      </c>
      <c r="B823" s="98" t="s">
        <v>62</v>
      </c>
      <c r="C823" s="98" t="s">
        <v>217</v>
      </c>
      <c r="D823" s="98" t="s">
        <v>566</v>
      </c>
      <c r="E823" s="147" t="s">
        <v>905</v>
      </c>
      <c r="F823" s="98" t="s">
        <v>942</v>
      </c>
      <c r="G823" s="151" t="s">
        <v>88</v>
      </c>
      <c r="H823" s="19" t="s">
        <v>1140</v>
      </c>
      <c r="I823" s="23" t="e">
        <f>VLOOKUP(H823,'合同综合查询数据（3月返）'!$A:$A,1,FALSE)</f>
        <v>#N/A</v>
      </c>
      <c r="J823" s="24" t="s">
        <v>90</v>
      </c>
      <c r="K823" s="129" t="s">
        <v>1141</v>
      </c>
      <c r="L823" s="153"/>
      <c r="M823" s="26" t="s">
        <v>945</v>
      </c>
      <c r="N823" s="154">
        <v>44652</v>
      </c>
      <c r="O823" s="155" t="s">
        <v>574</v>
      </c>
      <c r="P823" s="156">
        <v>11200</v>
      </c>
      <c r="Q823" s="156">
        <v>6</v>
      </c>
      <c r="R823" s="120">
        <f t="shared" si="25"/>
        <v>67200</v>
      </c>
      <c r="S823" s="117">
        <v>202303</v>
      </c>
      <c r="T823" s="184" t="s">
        <v>1146</v>
      </c>
      <c r="U823" s="185"/>
      <c r="V823" s="133"/>
      <c r="W823" s="133"/>
      <c r="X823" s="118">
        <v>44637</v>
      </c>
      <c r="Y823" s="118">
        <v>46828</v>
      </c>
    </row>
    <row r="824" s="79" customFormat="1" customHeight="1" spans="1:25">
      <c r="A824" s="98" t="s">
        <v>403</v>
      </c>
      <c r="B824" s="98" t="s">
        <v>62</v>
      </c>
      <c r="C824" s="98" t="s">
        <v>217</v>
      </c>
      <c r="D824" s="98" t="s">
        <v>566</v>
      </c>
      <c r="E824" s="147" t="s">
        <v>905</v>
      </c>
      <c r="F824" s="98" t="s">
        <v>942</v>
      </c>
      <c r="G824" s="151" t="s">
        <v>88</v>
      </c>
      <c r="H824" s="19" t="s">
        <v>1140</v>
      </c>
      <c r="I824" s="23" t="e">
        <f>VLOOKUP(H824,'合同综合查询数据（3月返）'!$A:$A,1,FALSE)</f>
        <v>#N/A</v>
      </c>
      <c r="J824" s="24" t="s">
        <v>90</v>
      </c>
      <c r="K824" s="129" t="s">
        <v>1141</v>
      </c>
      <c r="L824" s="153"/>
      <c r="M824" s="26" t="s">
        <v>945</v>
      </c>
      <c r="N824" s="154">
        <v>44671</v>
      </c>
      <c r="O824" s="155" t="s">
        <v>457</v>
      </c>
      <c r="P824" s="156">
        <v>5900</v>
      </c>
      <c r="Q824" s="156">
        <v>6</v>
      </c>
      <c r="R824" s="120">
        <f t="shared" si="25"/>
        <v>35400</v>
      </c>
      <c r="S824" s="117">
        <v>202303</v>
      </c>
      <c r="T824" s="184" t="s">
        <v>1147</v>
      </c>
      <c r="U824" s="185"/>
      <c r="V824" s="133"/>
      <c r="W824" s="133"/>
      <c r="X824" s="118">
        <v>44637</v>
      </c>
      <c r="Y824" s="118">
        <v>46828</v>
      </c>
    </row>
    <row r="825" s="79" customFormat="1" customHeight="1" spans="1:25">
      <c r="A825" s="98" t="s">
        <v>403</v>
      </c>
      <c r="B825" s="98" t="s">
        <v>62</v>
      </c>
      <c r="C825" s="98" t="s">
        <v>217</v>
      </c>
      <c r="D825" s="98" t="s">
        <v>566</v>
      </c>
      <c r="E825" s="147" t="s">
        <v>905</v>
      </c>
      <c r="F825" s="98" t="s">
        <v>942</v>
      </c>
      <c r="G825" s="151" t="s">
        <v>88</v>
      </c>
      <c r="H825" s="19" t="s">
        <v>1140</v>
      </c>
      <c r="I825" s="23" t="e">
        <f>VLOOKUP(H825,'合同综合查询数据（3月返）'!$A:$A,1,FALSE)</f>
        <v>#N/A</v>
      </c>
      <c r="J825" s="24" t="s">
        <v>90</v>
      </c>
      <c r="K825" s="129" t="s">
        <v>1141</v>
      </c>
      <c r="L825" s="153"/>
      <c r="M825" s="26" t="s">
        <v>945</v>
      </c>
      <c r="N825" s="154">
        <v>44671</v>
      </c>
      <c r="O825" s="155" t="s">
        <v>461</v>
      </c>
      <c r="P825" s="156">
        <v>8595</v>
      </c>
      <c r="Q825" s="156">
        <v>2</v>
      </c>
      <c r="R825" s="120">
        <f t="shared" si="25"/>
        <v>17190</v>
      </c>
      <c r="S825" s="117">
        <v>202303</v>
      </c>
      <c r="T825" s="184" t="s">
        <v>1148</v>
      </c>
      <c r="U825" s="185"/>
      <c r="V825" s="133"/>
      <c r="W825" s="133"/>
      <c r="X825" s="118">
        <v>44637</v>
      </c>
      <c r="Y825" s="118">
        <v>46828</v>
      </c>
    </row>
    <row r="826" s="79" customFormat="1" customHeight="1" spans="1:25">
      <c r="A826" s="98" t="s">
        <v>403</v>
      </c>
      <c r="B826" s="98" t="s">
        <v>62</v>
      </c>
      <c r="C826" s="98" t="s">
        <v>217</v>
      </c>
      <c r="D826" s="98" t="s">
        <v>566</v>
      </c>
      <c r="E826" s="147" t="s">
        <v>905</v>
      </c>
      <c r="F826" s="98" t="s">
        <v>942</v>
      </c>
      <c r="G826" s="151" t="s">
        <v>88</v>
      </c>
      <c r="H826" s="19" t="s">
        <v>1140</v>
      </c>
      <c r="I826" s="23" t="e">
        <f>VLOOKUP(H826,'合同综合查询数据（3月返）'!$A:$A,1,FALSE)</f>
        <v>#N/A</v>
      </c>
      <c r="J826" s="24" t="s">
        <v>90</v>
      </c>
      <c r="K826" s="129" t="s">
        <v>1141</v>
      </c>
      <c r="L826" s="153"/>
      <c r="M826" s="26" t="s">
        <v>945</v>
      </c>
      <c r="N826" s="154">
        <v>44677</v>
      </c>
      <c r="O826" s="155" t="s">
        <v>461</v>
      </c>
      <c r="P826" s="156">
        <v>8595</v>
      </c>
      <c r="Q826" s="156">
        <v>6</v>
      </c>
      <c r="R826" s="120">
        <f t="shared" si="25"/>
        <v>51570</v>
      </c>
      <c r="S826" s="117">
        <v>202303</v>
      </c>
      <c r="T826" s="184" t="s">
        <v>1149</v>
      </c>
      <c r="U826" s="185"/>
      <c r="V826" s="133"/>
      <c r="W826" s="133"/>
      <c r="X826" s="118">
        <v>44637</v>
      </c>
      <c r="Y826" s="118">
        <v>46828</v>
      </c>
    </row>
    <row r="827" s="79" customFormat="1" customHeight="1" spans="1:25">
      <c r="A827" s="98" t="s">
        <v>403</v>
      </c>
      <c r="B827" s="98" t="s">
        <v>62</v>
      </c>
      <c r="C827" s="98" t="s">
        <v>217</v>
      </c>
      <c r="D827" s="98" t="s">
        <v>566</v>
      </c>
      <c r="E827" s="147" t="s">
        <v>905</v>
      </c>
      <c r="F827" s="98" t="s">
        <v>942</v>
      </c>
      <c r="G827" s="151" t="s">
        <v>88</v>
      </c>
      <c r="H827" s="19" t="s">
        <v>1140</v>
      </c>
      <c r="I827" s="23" t="e">
        <f>VLOOKUP(H827,'合同综合查询数据（3月返）'!$A:$A,1,FALSE)</f>
        <v>#N/A</v>
      </c>
      <c r="J827" s="24" t="s">
        <v>90</v>
      </c>
      <c r="K827" s="129" t="s">
        <v>1141</v>
      </c>
      <c r="L827" s="153"/>
      <c r="M827" s="26" t="s">
        <v>945</v>
      </c>
      <c r="N827" s="154">
        <v>44697</v>
      </c>
      <c r="O827" s="155" t="s">
        <v>461</v>
      </c>
      <c r="P827" s="156">
        <v>8595</v>
      </c>
      <c r="Q827" s="156">
        <v>4</v>
      </c>
      <c r="R827" s="120">
        <f t="shared" si="25"/>
        <v>34380</v>
      </c>
      <c r="S827" s="117">
        <v>202303</v>
      </c>
      <c r="T827" s="184" t="s">
        <v>1150</v>
      </c>
      <c r="U827" s="185"/>
      <c r="V827" s="133"/>
      <c r="W827" s="133"/>
      <c r="X827" s="118">
        <v>44637</v>
      </c>
      <c r="Y827" s="118">
        <v>46828</v>
      </c>
    </row>
    <row r="828" s="79" customFormat="1" customHeight="1" spans="1:25">
      <c r="A828" s="98" t="s">
        <v>403</v>
      </c>
      <c r="B828" s="98" t="s">
        <v>62</v>
      </c>
      <c r="C828" s="98" t="s">
        <v>217</v>
      </c>
      <c r="D828" s="98" t="s">
        <v>566</v>
      </c>
      <c r="E828" s="147" t="s">
        <v>905</v>
      </c>
      <c r="F828" s="98" t="s">
        <v>942</v>
      </c>
      <c r="G828" s="151" t="s">
        <v>88</v>
      </c>
      <c r="H828" s="19" t="s">
        <v>1140</v>
      </c>
      <c r="I828" s="23" t="e">
        <f>VLOOKUP(H828,'合同综合查询数据（3月返）'!$A:$A,1,FALSE)</f>
        <v>#N/A</v>
      </c>
      <c r="J828" s="24" t="s">
        <v>90</v>
      </c>
      <c r="K828" s="129" t="s">
        <v>1141</v>
      </c>
      <c r="L828" s="153"/>
      <c r="M828" s="26" t="s">
        <v>945</v>
      </c>
      <c r="N828" s="154">
        <v>44713</v>
      </c>
      <c r="O828" s="155" t="s">
        <v>461</v>
      </c>
      <c r="P828" s="156">
        <v>8595</v>
      </c>
      <c r="Q828" s="156">
        <v>3</v>
      </c>
      <c r="R828" s="120">
        <f t="shared" si="25"/>
        <v>25785</v>
      </c>
      <c r="S828" s="117">
        <v>202303</v>
      </c>
      <c r="T828" s="184" t="s">
        <v>1151</v>
      </c>
      <c r="U828" s="185"/>
      <c r="V828" s="133"/>
      <c r="W828" s="133"/>
      <c r="X828" s="118">
        <v>44637</v>
      </c>
      <c r="Y828" s="118">
        <v>46828</v>
      </c>
    </row>
    <row r="829" s="79" customFormat="1" customHeight="1" spans="1:25">
      <c r="A829" s="98" t="s">
        <v>403</v>
      </c>
      <c r="B829" s="98" t="s">
        <v>62</v>
      </c>
      <c r="C829" s="98" t="s">
        <v>217</v>
      </c>
      <c r="D829" s="98" t="s">
        <v>566</v>
      </c>
      <c r="E829" s="147" t="s">
        <v>905</v>
      </c>
      <c r="F829" s="98" t="s">
        <v>942</v>
      </c>
      <c r="G829" s="151" t="s">
        <v>88</v>
      </c>
      <c r="H829" s="19" t="s">
        <v>1140</v>
      </c>
      <c r="I829" s="23" t="e">
        <f>VLOOKUP(H829,'合同综合查询数据（3月返）'!$A:$A,1,FALSE)</f>
        <v>#N/A</v>
      </c>
      <c r="J829" s="24" t="s">
        <v>90</v>
      </c>
      <c r="K829" s="129" t="s">
        <v>1141</v>
      </c>
      <c r="L829" s="153"/>
      <c r="M829" s="26" t="s">
        <v>945</v>
      </c>
      <c r="N829" s="154">
        <v>44741</v>
      </c>
      <c r="O829" s="155" t="s">
        <v>461</v>
      </c>
      <c r="P829" s="156">
        <v>8595</v>
      </c>
      <c r="Q829" s="156">
        <v>8</v>
      </c>
      <c r="R829" s="120">
        <f t="shared" si="25"/>
        <v>68760</v>
      </c>
      <c r="S829" s="117">
        <v>202303</v>
      </c>
      <c r="T829" s="184" t="s">
        <v>1152</v>
      </c>
      <c r="U829" s="185"/>
      <c r="V829" s="133"/>
      <c r="W829" s="133"/>
      <c r="X829" s="118">
        <v>44637</v>
      </c>
      <c r="Y829" s="118">
        <v>46828</v>
      </c>
    </row>
    <row r="830" s="79" customFormat="1" customHeight="1" spans="1:25">
      <c r="A830" s="98" t="s">
        <v>403</v>
      </c>
      <c r="B830" s="98" t="s">
        <v>62</v>
      </c>
      <c r="C830" s="98" t="s">
        <v>217</v>
      </c>
      <c r="D830" s="98" t="s">
        <v>566</v>
      </c>
      <c r="E830" s="147" t="s">
        <v>905</v>
      </c>
      <c r="F830" s="98" t="s">
        <v>942</v>
      </c>
      <c r="G830" s="151" t="s">
        <v>88</v>
      </c>
      <c r="H830" s="19" t="s">
        <v>1140</v>
      </c>
      <c r="I830" s="23" t="e">
        <f>VLOOKUP(H830,'合同综合查询数据（3月返）'!$A:$A,1,FALSE)</f>
        <v>#N/A</v>
      </c>
      <c r="J830" s="24" t="s">
        <v>90</v>
      </c>
      <c r="K830" s="129" t="s">
        <v>1141</v>
      </c>
      <c r="L830" s="153"/>
      <c r="M830" s="26" t="s">
        <v>945</v>
      </c>
      <c r="N830" s="154">
        <v>44742</v>
      </c>
      <c r="O830" s="155" t="s">
        <v>461</v>
      </c>
      <c r="P830" s="156">
        <v>8595</v>
      </c>
      <c r="Q830" s="156">
        <v>9</v>
      </c>
      <c r="R830" s="120">
        <f t="shared" si="25"/>
        <v>77355</v>
      </c>
      <c r="S830" s="117">
        <v>202303</v>
      </c>
      <c r="T830" s="184" t="s">
        <v>1153</v>
      </c>
      <c r="U830" s="185"/>
      <c r="V830" s="133"/>
      <c r="W830" s="133"/>
      <c r="X830" s="118">
        <v>44637</v>
      </c>
      <c r="Y830" s="118">
        <v>46828</v>
      </c>
    </row>
    <row r="831" s="79" customFormat="1" customHeight="1" spans="1:25">
      <c r="A831" s="98" t="s">
        <v>403</v>
      </c>
      <c r="B831" s="98" t="s">
        <v>62</v>
      </c>
      <c r="C831" s="98" t="s">
        <v>217</v>
      </c>
      <c r="D831" s="98" t="s">
        <v>566</v>
      </c>
      <c r="E831" s="147" t="s">
        <v>905</v>
      </c>
      <c r="F831" s="98" t="s">
        <v>942</v>
      </c>
      <c r="G831" s="151" t="s">
        <v>88</v>
      </c>
      <c r="H831" s="19" t="s">
        <v>1140</v>
      </c>
      <c r="I831" s="23" t="e">
        <f>VLOOKUP(H831,'合同综合查询数据（3月返）'!$A:$A,1,FALSE)</f>
        <v>#N/A</v>
      </c>
      <c r="J831" s="24" t="s">
        <v>90</v>
      </c>
      <c r="K831" s="129" t="s">
        <v>1141</v>
      </c>
      <c r="L831" s="153"/>
      <c r="M831" s="26" t="s">
        <v>945</v>
      </c>
      <c r="N831" s="154">
        <v>44761</v>
      </c>
      <c r="O831" s="155" t="s">
        <v>461</v>
      </c>
      <c r="P831" s="156">
        <v>8595</v>
      </c>
      <c r="Q831" s="156">
        <v>4</v>
      </c>
      <c r="R831" s="120">
        <f t="shared" si="25"/>
        <v>34380</v>
      </c>
      <c r="S831" s="117">
        <v>202303</v>
      </c>
      <c r="T831" s="184" t="s">
        <v>1154</v>
      </c>
      <c r="U831" s="185"/>
      <c r="V831" s="133"/>
      <c r="W831" s="133"/>
      <c r="X831" s="118">
        <v>44637</v>
      </c>
      <c r="Y831" s="118">
        <v>46828</v>
      </c>
    </row>
    <row r="832" s="79" customFormat="1" customHeight="1" spans="1:25">
      <c r="A832" s="98" t="s">
        <v>403</v>
      </c>
      <c r="B832" s="98" t="s">
        <v>62</v>
      </c>
      <c r="C832" s="98" t="s">
        <v>217</v>
      </c>
      <c r="D832" s="98" t="s">
        <v>566</v>
      </c>
      <c r="E832" s="147" t="s">
        <v>905</v>
      </c>
      <c r="F832" s="98" t="s">
        <v>942</v>
      </c>
      <c r="G832" s="151" t="s">
        <v>88</v>
      </c>
      <c r="H832" s="19" t="s">
        <v>1140</v>
      </c>
      <c r="I832" s="23" t="e">
        <f>VLOOKUP(H832,'合同综合查询数据（3月返）'!$A:$A,1,FALSE)</f>
        <v>#N/A</v>
      </c>
      <c r="J832" s="24" t="s">
        <v>90</v>
      </c>
      <c r="K832" s="129" t="s">
        <v>1141</v>
      </c>
      <c r="L832" s="153"/>
      <c r="M832" s="26" t="s">
        <v>945</v>
      </c>
      <c r="N832" s="154">
        <v>44770</v>
      </c>
      <c r="O832" s="155" t="s">
        <v>461</v>
      </c>
      <c r="P832" s="156">
        <v>8595</v>
      </c>
      <c r="Q832" s="156">
        <v>15</v>
      </c>
      <c r="R832" s="120">
        <f t="shared" si="25"/>
        <v>128925</v>
      </c>
      <c r="S832" s="117">
        <v>202303</v>
      </c>
      <c r="T832" s="184" t="s">
        <v>1155</v>
      </c>
      <c r="U832" s="185"/>
      <c r="V832" s="133"/>
      <c r="W832" s="133"/>
      <c r="X832" s="118">
        <v>44637</v>
      </c>
      <c r="Y832" s="118">
        <v>46828</v>
      </c>
    </row>
    <row r="833" s="79" customFormat="1" customHeight="1" spans="1:25">
      <c r="A833" s="98" t="s">
        <v>403</v>
      </c>
      <c r="B833" s="98" t="s">
        <v>62</v>
      </c>
      <c r="C833" s="98" t="s">
        <v>217</v>
      </c>
      <c r="D833" s="98" t="s">
        <v>566</v>
      </c>
      <c r="E833" s="147" t="s">
        <v>905</v>
      </c>
      <c r="F833" s="98" t="s">
        <v>942</v>
      </c>
      <c r="G833" s="151" t="s">
        <v>88</v>
      </c>
      <c r="H833" s="19" t="s">
        <v>1140</v>
      </c>
      <c r="I833" s="23" t="e">
        <f>VLOOKUP(H833,'合同综合查询数据（3月返）'!$A:$A,1,FALSE)</f>
        <v>#N/A</v>
      </c>
      <c r="J833" s="24" t="s">
        <v>90</v>
      </c>
      <c r="K833" s="129" t="s">
        <v>1141</v>
      </c>
      <c r="L833" s="153"/>
      <c r="M833" s="26" t="s">
        <v>945</v>
      </c>
      <c r="N833" s="154">
        <v>44792</v>
      </c>
      <c r="O833" s="155" t="s">
        <v>461</v>
      </c>
      <c r="P833" s="156">
        <v>8595</v>
      </c>
      <c r="Q833" s="156">
        <v>18</v>
      </c>
      <c r="R833" s="120">
        <f t="shared" si="25"/>
        <v>154710</v>
      </c>
      <c r="S833" s="117">
        <v>202303</v>
      </c>
      <c r="T833" s="184" t="s">
        <v>1156</v>
      </c>
      <c r="U833" s="185"/>
      <c r="V833" s="133"/>
      <c r="W833" s="133"/>
      <c r="X833" s="118">
        <v>44637</v>
      </c>
      <c r="Y833" s="118">
        <v>46828</v>
      </c>
    </row>
    <row r="834" s="79" customFormat="1" customHeight="1" spans="1:25">
      <c r="A834" s="98" t="s">
        <v>403</v>
      </c>
      <c r="B834" s="98" t="s">
        <v>62</v>
      </c>
      <c r="C834" s="98" t="s">
        <v>217</v>
      </c>
      <c r="D834" s="98" t="s">
        <v>566</v>
      </c>
      <c r="E834" s="147" t="s">
        <v>905</v>
      </c>
      <c r="F834" s="98" t="s">
        <v>942</v>
      </c>
      <c r="G834" s="151" t="s">
        <v>88</v>
      </c>
      <c r="H834" s="19" t="s">
        <v>1140</v>
      </c>
      <c r="I834" s="23" t="e">
        <f>VLOOKUP(H834,'合同综合查询数据（3月返）'!$A:$A,1,FALSE)</f>
        <v>#N/A</v>
      </c>
      <c r="J834" s="24" t="s">
        <v>90</v>
      </c>
      <c r="K834" s="129" t="s">
        <v>1141</v>
      </c>
      <c r="L834" s="153"/>
      <c r="M834" s="26" t="s">
        <v>945</v>
      </c>
      <c r="N834" s="154">
        <v>44806</v>
      </c>
      <c r="O834" s="155" t="s">
        <v>461</v>
      </c>
      <c r="P834" s="156">
        <v>8595</v>
      </c>
      <c r="Q834" s="156">
        <v>11</v>
      </c>
      <c r="R834" s="120">
        <f t="shared" si="25"/>
        <v>94545</v>
      </c>
      <c r="S834" s="117">
        <v>202303</v>
      </c>
      <c r="T834" s="184" t="s">
        <v>1157</v>
      </c>
      <c r="U834" s="185"/>
      <c r="V834" s="133"/>
      <c r="W834" s="133"/>
      <c r="X834" s="118">
        <v>44637</v>
      </c>
      <c r="Y834" s="118">
        <v>46828</v>
      </c>
    </row>
    <row r="835" s="79" customFormat="1" customHeight="1" spans="1:25">
      <c r="A835" s="98" t="s">
        <v>403</v>
      </c>
      <c r="B835" s="98" t="s">
        <v>62</v>
      </c>
      <c r="C835" s="98" t="s">
        <v>217</v>
      </c>
      <c r="D835" s="98" t="s">
        <v>566</v>
      </c>
      <c r="E835" s="147" t="s">
        <v>905</v>
      </c>
      <c r="F835" s="98" t="s">
        <v>942</v>
      </c>
      <c r="G835" s="151" t="s">
        <v>88</v>
      </c>
      <c r="H835" s="19" t="s">
        <v>1140</v>
      </c>
      <c r="I835" s="23" t="e">
        <f>VLOOKUP(H835,'合同综合查询数据（3月返）'!$A:$A,1,FALSE)</f>
        <v>#N/A</v>
      </c>
      <c r="J835" s="24" t="s">
        <v>90</v>
      </c>
      <c r="K835" s="129" t="s">
        <v>1141</v>
      </c>
      <c r="L835" s="153"/>
      <c r="M835" s="26" t="s">
        <v>945</v>
      </c>
      <c r="N835" s="154">
        <v>44869</v>
      </c>
      <c r="O835" s="155" t="s">
        <v>457</v>
      </c>
      <c r="P835" s="156">
        <v>5900</v>
      </c>
      <c r="Q835" s="156">
        <v>-9</v>
      </c>
      <c r="R835" s="120">
        <f t="shared" si="25"/>
        <v>-53100</v>
      </c>
      <c r="S835" s="117">
        <v>202303</v>
      </c>
      <c r="T835" s="184" t="s">
        <v>1158</v>
      </c>
      <c r="U835" s="185"/>
      <c r="V835" s="133"/>
      <c r="W835" s="133"/>
      <c r="X835" s="118">
        <v>44637</v>
      </c>
      <c r="Y835" s="118">
        <v>46828</v>
      </c>
    </row>
    <row r="836" s="79" customFormat="1" customHeight="1" spans="1:25">
      <c r="A836" s="98" t="s">
        <v>403</v>
      </c>
      <c r="B836" s="98" t="s">
        <v>62</v>
      </c>
      <c r="C836" s="98" t="s">
        <v>217</v>
      </c>
      <c r="D836" s="98" t="s">
        <v>566</v>
      </c>
      <c r="E836" s="147" t="s">
        <v>905</v>
      </c>
      <c r="F836" s="98" t="s">
        <v>942</v>
      </c>
      <c r="G836" s="151" t="s">
        <v>88</v>
      </c>
      <c r="H836" s="19" t="s">
        <v>1140</v>
      </c>
      <c r="I836" s="23" t="e">
        <f>VLOOKUP(H836,'合同综合查询数据（3月返）'!$A:$A,1,FALSE)</f>
        <v>#N/A</v>
      </c>
      <c r="J836" s="24" t="s">
        <v>90</v>
      </c>
      <c r="K836" s="129" t="s">
        <v>1141</v>
      </c>
      <c r="L836" s="153"/>
      <c r="M836" s="26" t="s">
        <v>945</v>
      </c>
      <c r="N836" s="154">
        <v>44869</v>
      </c>
      <c r="O836" s="155" t="s">
        <v>1144</v>
      </c>
      <c r="P836" s="156">
        <v>11200</v>
      </c>
      <c r="Q836" s="156">
        <v>-3</v>
      </c>
      <c r="R836" s="120">
        <f t="shared" si="25"/>
        <v>-33600</v>
      </c>
      <c r="S836" s="117">
        <v>202303</v>
      </c>
      <c r="T836" s="184" t="s">
        <v>1159</v>
      </c>
      <c r="U836" s="185"/>
      <c r="V836" s="133"/>
      <c r="W836" s="133"/>
      <c r="X836" s="118">
        <v>44637</v>
      </c>
      <c r="Y836" s="118">
        <v>46828</v>
      </c>
    </row>
    <row r="837" s="79" customFormat="1" customHeight="1" spans="1:25">
      <c r="A837" s="98" t="s">
        <v>403</v>
      </c>
      <c r="B837" s="98" t="s">
        <v>62</v>
      </c>
      <c r="C837" s="98" t="s">
        <v>217</v>
      </c>
      <c r="D837" s="98" t="s">
        <v>566</v>
      </c>
      <c r="E837" s="147" t="s">
        <v>905</v>
      </c>
      <c r="F837" s="98" t="s">
        <v>942</v>
      </c>
      <c r="G837" s="151" t="s">
        <v>88</v>
      </c>
      <c r="H837" s="19" t="s">
        <v>1140</v>
      </c>
      <c r="I837" s="23" t="e">
        <f>VLOOKUP(H837,'合同综合查询数据（3月返）'!$A:$A,1,FALSE)</f>
        <v>#N/A</v>
      </c>
      <c r="J837" s="24" t="s">
        <v>90</v>
      </c>
      <c r="K837" s="129" t="s">
        <v>1141</v>
      </c>
      <c r="L837" s="153"/>
      <c r="M837" s="26" t="s">
        <v>945</v>
      </c>
      <c r="N837" s="154">
        <v>44904</v>
      </c>
      <c r="O837" s="155" t="s">
        <v>457</v>
      </c>
      <c r="P837" s="156">
        <v>5900</v>
      </c>
      <c r="Q837" s="156">
        <v>2</v>
      </c>
      <c r="R837" s="120">
        <f t="shared" si="25"/>
        <v>11800</v>
      </c>
      <c r="S837" s="117">
        <v>202303</v>
      </c>
      <c r="T837" s="184" t="s">
        <v>1160</v>
      </c>
      <c r="U837" s="185"/>
      <c r="V837" s="133"/>
      <c r="W837" s="133"/>
      <c r="X837" s="118">
        <v>44637</v>
      </c>
      <c r="Y837" s="118">
        <v>46828</v>
      </c>
    </row>
    <row r="838" s="79" customFormat="1" customHeight="1" spans="1:25">
      <c r="A838" s="98" t="s">
        <v>403</v>
      </c>
      <c r="B838" s="98" t="s">
        <v>62</v>
      </c>
      <c r="C838" s="98" t="s">
        <v>217</v>
      </c>
      <c r="D838" s="98" t="s">
        <v>566</v>
      </c>
      <c r="E838" s="147" t="s">
        <v>905</v>
      </c>
      <c r="F838" s="98" t="s">
        <v>942</v>
      </c>
      <c r="G838" s="151" t="s">
        <v>88</v>
      </c>
      <c r="H838" s="19" t="s">
        <v>1140</v>
      </c>
      <c r="I838" s="23" t="e">
        <f>VLOOKUP(H838,'合同综合查询数据（3月返）'!$A:$A,1,FALSE)</f>
        <v>#N/A</v>
      </c>
      <c r="J838" s="24" t="s">
        <v>90</v>
      </c>
      <c r="K838" s="129" t="s">
        <v>1161</v>
      </c>
      <c r="L838" s="153"/>
      <c r="M838" s="26" t="s">
        <v>945</v>
      </c>
      <c r="N838" s="154">
        <v>44974</v>
      </c>
      <c r="O838" s="155" t="s">
        <v>457</v>
      </c>
      <c r="P838" s="156">
        <v>5900</v>
      </c>
      <c r="Q838" s="156">
        <v>1</v>
      </c>
      <c r="R838" s="120">
        <f t="shared" si="25"/>
        <v>5900</v>
      </c>
      <c r="S838" s="117">
        <v>202303</v>
      </c>
      <c r="T838" s="184" t="s">
        <v>1162</v>
      </c>
      <c r="U838" s="185"/>
      <c r="V838" s="133"/>
      <c r="W838" s="133"/>
      <c r="X838" s="118">
        <v>44637</v>
      </c>
      <c r="Y838" s="118">
        <v>46828</v>
      </c>
    </row>
    <row r="839" s="79" customFormat="1" customHeight="1" spans="1:25">
      <c r="A839" s="98" t="s">
        <v>403</v>
      </c>
      <c r="B839" s="98" t="s">
        <v>62</v>
      </c>
      <c r="C839" s="98" t="s">
        <v>217</v>
      </c>
      <c r="D839" s="98" t="s">
        <v>566</v>
      </c>
      <c r="E839" s="147" t="s">
        <v>905</v>
      </c>
      <c r="F839" s="98" t="s">
        <v>942</v>
      </c>
      <c r="G839" s="151" t="s">
        <v>88</v>
      </c>
      <c r="H839" s="19" t="s">
        <v>1140</v>
      </c>
      <c r="I839" s="23" t="e">
        <f>VLOOKUP(H839,'合同综合查询数据（3月返）'!$A:$A,1,FALSE)</f>
        <v>#N/A</v>
      </c>
      <c r="J839" s="24" t="s">
        <v>90</v>
      </c>
      <c r="K839" s="129" t="s">
        <v>1161</v>
      </c>
      <c r="L839" s="153"/>
      <c r="M839" s="26" t="s">
        <v>945</v>
      </c>
      <c r="N839" s="154">
        <v>44974</v>
      </c>
      <c r="O839" s="155" t="s">
        <v>461</v>
      </c>
      <c r="P839" s="156">
        <v>8595</v>
      </c>
      <c r="Q839" s="156">
        <v>4</v>
      </c>
      <c r="R839" s="120">
        <f t="shared" si="25"/>
        <v>34380</v>
      </c>
      <c r="S839" s="117">
        <v>202303</v>
      </c>
      <c r="T839" s="184" t="s">
        <v>1163</v>
      </c>
      <c r="U839" s="185"/>
      <c r="V839" s="133"/>
      <c r="W839" s="133"/>
      <c r="X839" s="118">
        <v>44637</v>
      </c>
      <c r="Y839" s="118">
        <v>46828</v>
      </c>
    </row>
    <row r="840" s="79" customFormat="1" customHeight="1" spans="1:25">
      <c r="A840" s="98" t="s">
        <v>403</v>
      </c>
      <c r="B840" s="98" t="s">
        <v>62</v>
      </c>
      <c r="C840" s="98" t="s">
        <v>217</v>
      </c>
      <c r="D840" s="98" t="s">
        <v>566</v>
      </c>
      <c r="E840" s="147" t="s">
        <v>905</v>
      </c>
      <c r="F840" s="98" t="s">
        <v>942</v>
      </c>
      <c r="G840" s="151" t="s">
        <v>88</v>
      </c>
      <c r="H840" s="19" t="s">
        <v>1140</v>
      </c>
      <c r="I840" s="23" t="e">
        <f>VLOOKUP(H840,'合同综合查询数据（3月返）'!$A:$A,1,FALSE)</f>
        <v>#N/A</v>
      </c>
      <c r="J840" s="24" t="s">
        <v>90</v>
      </c>
      <c r="K840" s="129" t="s">
        <v>1161</v>
      </c>
      <c r="L840" s="153"/>
      <c r="M840" s="26" t="s">
        <v>945</v>
      </c>
      <c r="N840" s="154">
        <v>45001</v>
      </c>
      <c r="O840" s="155" t="s">
        <v>461</v>
      </c>
      <c r="P840" s="156">
        <v>8595</v>
      </c>
      <c r="Q840" s="156">
        <v>17</v>
      </c>
      <c r="R840" s="120">
        <f>ROUND(P840*Q840*16/31,2)</f>
        <v>75414.19</v>
      </c>
      <c r="S840" s="117">
        <v>202303</v>
      </c>
      <c r="T840" s="192" t="s">
        <v>1164</v>
      </c>
      <c r="U840" s="185"/>
      <c r="V840" s="133"/>
      <c r="W840" s="133"/>
      <c r="X840" s="118">
        <v>44637</v>
      </c>
      <c r="Y840" s="118">
        <v>46828</v>
      </c>
    </row>
    <row r="841" s="79" customFormat="1" customHeight="1" spans="1:25">
      <c r="A841" s="98" t="s">
        <v>403</v>
      </c>
      <c r="B841" s="98" t="s">
        <v>62</v>
      </c>
      <c r="C841" s="98" t="s">
        <v>217</v>
      </c>
      <c r="D841" s="98" t="s">
        <v>566</v>
      </c>
      <c r="E841" s="147" t="s">
        <v>905</v>
      </c>
      <c r="F841" s="98" t="s">
        <v>942</v>
      </c>
      <c r="G841" s="151" t="s">
        <v>88</v>
      </c>
      <c r="H841" s="19" t="s">
        <v>1140</v>
      </c>
      <c r="I841" s="23" t="e">
        <f>VLOOKUP(H841,'合同综合查询数据（3月返）'!$A:$A,1,FALSE)</f>
        <v>#N/A</v>
      </c>
      <c r="J841" s="24" t="s">
        <v>312</v>
      </c>
      <c r="K841" s="129" t="s">
        <v>1165</v>
      </c>
      <c r="L841" s="153"/>
      <c r="M841" s="26" t="s">
        <v>945</v>
      </c>
      <c r="N841" s="154"/>
      <c r="O841" s="155"/>
      <c r="P841" s="156">
        <v>300</v>
      </c>
      <c r="Q841" s="156">
        <v>150</v>
      </c>
      <c r="R841" s="120">
        <f t="shared" ref="R841:R904" si="26">ROUND(P841*Q841,2)</f>
        <v>45000</v>
      </c>
      <c r="S841" s="117">
        <v>202303</v>
      </c>
      <c r="T841" s="177" t="s">
        <v>1166</v>
      </c>
      <c r="U841" s="185"/>
      <c r="V841" s="133"/>
      <c r="W841" s="133"/>
      <c r="X841" s="118">
        <v>44637</v>
      </c>
      <c r="Y841" s="118">
        <v>46828</v>
      </c>
    </row>
    <row r="842" s="81" customFormat="1" customHeight="1" spans="1:25">
      <c r="A842" s="61" t="s">
        <v>403</v>
      </c>
      <c r="B842" s="61" t="s">
        <v>62</v>
      </c>
      <c r="C842" s="61" t="s">
        <v>217</v>
      </c>
      <c r="D842" s="61" t="s">
        <v>566</v>
      </c>
      <c r="E842" s="160" t="s">
        <v>905</v>
      </c>
      <c r="F842" s="61" t="s">
        <v>942</v>
      </c>
      <c r="G842" s="161" t="s">
        <v>31</v>
      </c>
      <c r="H842" s="45" t="s">
        <v>1167</v>
      </c>
      <c r="I842" s="47" t="e">
        <f>VLOOKUP(H842,'合同综合查询数据（3月返）'!$A:$A,1,FALSE)</f>
        <v>#N/A</v>
      </c>
      <c r="J842" s="135" t="s">
        <v>451</v>
      </c>
      <c r="K842" s="135" t="s">
        <v>1168</v>
      </c>
      <c r="L842" s="164" t="s">
        <v>1169</v>
      </c>
      <c r="M842" s="50"/>
      <c r="N842" s="165">
        <v>44099</v>
      </c>
      <c r="O842" s="172" t="s">
        <v>37</v>
      </c>
      <c r="P842" s="171">
        <v>0</v>
      </c>
      <c r="Q842" s="171">
        <v>4640</v>
      </c>
      <c r="R842" s="68">
        <f t="shared" si="26"/>
        <v>0</v>
      </c>
      <c r="S842" s="70">
        <v>202303</v>
      </c>
      <c r="T842" s="170" t="s">
        <v>1170</v>
      </c>
      <c r="U842" s="170"/>
      <c r="V842" s="143"/>
      <c r="W842" s="143"/>
      <c r="X842" s="73"/>
      <c r="Y842" s="73"/>
    </row>
    <row r="843" s="81" customFormat="1" customHeight="1" spans="1:25">
      <c r="A843" s="61" t="s">
        <v>403</v>
      </c>
      <c r="B843" s="61" t="s">
        <v>62</v>
      </c>
      <c r="C843" s="61" t="s">
        <v>217</v>
      </c>
      <c r="D843" s="61" t="s">
        <v>566</v>
      </c>
      <c r="E843" s="160" t="s">
        <v>905</v>
      </c>
      <c r="F843" s="61" t="s">
        <v>942</v>
      </c>
      <c r="G843" s="161" t="s">
        <v>31</v>
      </c>
      <c r="H843" s="45" t="s">
        <v>1167</v>
      </c>
      <c r="I843" s="47" t="e">
        <f>VLOOKUP(H843,'合同综合查询数据（3月返）'!$A:$A,1,FALSE)</f>
        <v>#N/A</v>
      </c>
      <c r="J843" s="135" t="s">
        <v>451</v>
      </c>
      <c r="K843" s="135" t="s">
        <v>1168</v>
      </c>
      <c r="L843" s="164" t="s">
        <v>1169</v>
      </c>
      <c r="M843" s="50"/>
      <c r="N843" s="165">
        <v>44099</v>
      </c>
      <c r="O843" s="172" t="s">
        <v>37</v>
      </c>
      <c r="P843" s="171">
        <v>10</v>
      </c>
      <c r="Q843" s="171">
        <v>3552</v>
      </c>
      <c r="R843" s="68">
        <f t="shared" si="26"/>
        <v>35520</v>
      </c>
      <c r="S843" s="70">
        <v>202303</v>
      </c>
      <c r="T843" s="170" t="s">
        <v>1170</v>
      </c>
      <c r="U843" s="170"/>
      <c r="V843" s="143"/>
      <c r="W843" s="143"/>
      <c r="X843" s="73"/>
      <c r="Y843" s="73"/>
    </row>
    <row r="844" s="81" customFormat="1" customHeight="1" spans="1:25">
      <c r="A844" s="61" t="s">
        <v>403</v>
      </c>
      <c r="B844" s="61" t="s">
        <v>62</v>
      </c>
      <c r="C844" s="61" t="s">
        <v>217</v>
      </c>
      <c r="D844" s="61" t="s">
        <v>566</v>
      </c>
      <c r="E844" s="160" t="s">
        <v>905</v>
      </c>
      <c r="F844" s="61" t="s">
        <v>942</v>
      </c>
      <c r="G844" s="161" t="s">
        <v>31</v>
      </c>
      <c r="H844" s="45" t="s">
        <v>1167</v>
      </c>
      <c r="I844" s="47" t="e">
        <f>VLOOKUP(H844,'合同综合查询数据（3月返）'!$A:$A,1,FALSE)</f>
        <v>#N/A</v>
      </c>
      <c r="J844" s="161" t="s">
        <v>667</v>
      </c>
      <c r="K844" s="161" t="s">
        <v>501</v>
      </c>
      <c r="L844" s="162"/>
      <c r="M844" s="50" t="s">
        <v>527</v>
      </c>
      <c r="N844" s="187">
        <v>43874</v>
      </c>
      <c r="O844" s="187" t="s">
        <v>1171</v>
      </c>
      <c r="P844" s="140">
        <v>12.5</v>
      </c>
      <c r="Q844" s="140">
        <v>512</v>
      </c>
      <c r="R844" s="68">
        <f t="shared" si="26"/>
        <v>6400</v>
      </c>
      <c r="S844" s="70">
        <v>202303</v>
      </c>
      <c r="T844" s="168" t="s">
        <v>1172</v>
      </c>
      <c r="U844" s="169"/>
      <c r="V844" s="143"/>
      <c r="W844" s="143"/>
      <c r="X844" s="73"/>
      <c r="Y844" s="73"/>
    </row>
    <row r="845" s="81" customFormat="1" customHeight="1" spans="1:25">
      <c r="A845" s="61" t="s">
        <v>403</v>
      </c>
      <c r="B845" s="61" t="s">
        <v>62</v>
      </c>
      <c r="C845" s="61" t="s">
        <v>217</v>
      </c>
      <c r="D845" s="61" t="s">
        <v>566</v>
      </c>
      <c r="E845" s="160" t="s">
        <v>905</v>
      </c>
      <c r="F845" s="61" t="s">
        <v>942</v>
      </c>
      <c r="G845" s="161" t="s">
        <v>31</v>
      </c>
      <c r="H845" s="45" t="s">
        <v>1167</v>
      </c>
      <c r="I845" s="47" t="e">
        <f>VLOOKUP(H845,'合同综合查询数据（3月返）'!$A:$A,1,FALSE)</f>
        <v>#N/A</v>
      </c>
      <c r="J845" s="161" t="s">
        <v>667</v>
      </c>
      <c r="K845" s="161" t="s">
        <v>501</v>
      </c>
      <c r="L845" s="162"/>
      <c r="M845" s="50" t="s">
        <v>527</v>
      </c>
      <c r="N845" s="187">
        <v>44140</v>
      </c>
      <c r="O845" s="187" t="s">
        <v>1171</v>
      </c>
      <c r="P845" s="140">
        <v>12.5</v>
      </c>
      <c r="Q845" s="140">
        <v>512</v>
      </c>
      <c r="R845" s="68">
        <f t="shared" si="26"/>
        <v>6400</v>
      </c>
      <c r="S845" s="70">
        <v>202303</v>
      </c>
      <c r="T845" s="168" t="s">
        <v>1173</v>
      </c>
      <c r="U845" s="169"/>
      <c r="V845" s="143"/>
      <c r="W845" s="143"/>
      <c r="X845" s="73"/>
      <c r="Y845" s="73"/>
    </row>
    <row r="846" s="81" customFormat="1" customHeight="1" spans="1:25">
      <c r="A846" s="61" t="s">
        <v>403</v>
      </c>
      <c r="B846" s="61" t="s">
        <v>62</v>
      </c>
      <c r="C846" s="61" t="s">
        <v>217</v>
      </c>
      <c r="D846" s="61" t="s">
        <v>566</v>
      </c>
      <c r="E846" s="160" t="s">
        <v>905</v>
      </c>
      <c r="F846" s="61" t="s">
        <v>942</v>
      </c>
      <c r="G846" s="161" t="s">
        <v>31</v>
      </c>
      <c r="H846" s="45" t="s">
        <v>1167</v>
      </c>
      <c r="I846" s="47" t="e">
        <f>VLOOKUP(H846,'合同综合查询数据（3月返）'!$A:$A,1,FALSE)</f>
        <v>#N/A</v>
      </c>
      <c r="J846" s="161" t="s">
        <v>667</v>
      </c>
      <c r="K846" s="161" t="s">
        <v>501</v>
      </c>
      <c r="L846" s="162"/>
      <c r="M846" s="50" t="s">
        <v>527</v>
      </c>
      <c r="N846" s="187">
        <v>44183</v>
      </c>
      <c r="O846" s="187" t="s">
        <v>1174</v>
      </c>
      <c r="P846" s="140">
        <v>12.5</v>
      </c>
      <c r="Q846" s="140">
        <f>256*4</f>
        <v>1024</v>
      </c>
      <c r="R846" s="68">
        <f t="shared" si="26"/>
        <v>12800</v>
      </c>
      <c r="S846" s="70">
        <v>202303</v>
      </c>
      <c r="T846" s="168" t="s">
        <v>1175</v>
      </c>
      <c r="U846" s="169"/>
      <c r="V846" s="143"/>
      <c r="W846" s="143"/>
      <c r="X846" s="73"/>
      <c r="Y846" s="73"/>
    </row>
    <row r="847" s="81" customFormat="1" customHeight="1" spans="1:25">
      <c r="A847" s="61" t="s">
        <v>403</v>
      </c>
      <c r="B847" s="61" t="s">
        <v>62</v>
      </c>
      <c r="C847" s="61" t="s">
        <v>217</v>
      </c>
      <c r="D847" s="61" t="s">
        <v>566</v>
      </c>
      <c r="E847" s="160" t="s">
        <v>905</v>
      </c>
      <c r="F847" s="61" t="s">
        <v>942</v>
      </c>
      <c r="G847" s="66" t="s">
        <v>31</v>
      </c>
      <c r="H847" s="45" t="s">
        <v>1167</v>
      </c>
      <c r="I847" s="47" t="e">
        <f>VLOOKUP(H847,'合同综合查询数据（3月返）'!$A:$A,1,FALSE)</f>
        <v>#N/A</v>
      </c>
      <c r="J847" s="66" t="s">
        <v>667</v>
      </c>
      <c r="K847" s="161" t="s">
        <v>501</v>
      </c>
      <c r="L847" s="162"/>
      <c r="M847" s="50" t="s">
        <v>527</v>
      </c>
      <c r="N847" s="163">
        <v>44536</v>
      </c>
      <c r="O847" s="163" t="s">
        <v>1176</v>
      </c>
      <c r="P847" s="144">
        <v>12.5</v>
      </c>
      <c r="Q847" s="144">
        <v>3072</v>
      </c>
      <c r="R847" s="68">
        <f t="shared" si="26"/>
        <v>38400</v>
      </c>
      <c r="S847" s="70">
        <v>202303</v>
      </c>
      <c r="T847" s="168" t="s">
        <v>1177</v>
      </c>
      <c r="U847" s="169"/>
      <c r="V847" s="143"/>
      <c r="W847" s="143"/>
      <c r="X847" s="73"/>
      <c r="Y847" s="73"/>
    </row>
    <row r="848" s="81" customFormat="1" customHeight="1" spans="1:25">
      <c r="A848" s="61" t="s">
        <v>403</v>
      </c>
      <c r="B848" s="61" t="s">
        <v>62</v>
      </c>
      <c r="C848" s="61" t="s">
        <v>217</v>
      </c>
      <c r="D848" s="61" t="s">
        <v>566</v>
      </c>
      <c r="E848" s="160" t="s">
        <v>905</v>
      </c>
      <c r="F848" s="61" t="s">
        <v>906</v>
      </c>
      <c r="G848" s="161" t="s">
        <v>31</v>
      </c>
      <c r="H848" s="45" t="s">
        <v>1178</v>
      </c>
      <c r="I848" s="47" t="e">
        <f>VLOOKUP(H848,'合同综合查询数据（3月返）'!$A:$A,1,FALSE)</f>
        <v>#N/A</v>
      </c>
      <c r="J848" s="135" t="s">
        <v>451</v>
      </c>
      <c r="K848" s="135" t="s">
        <v>1179</v>
      </c>
      <c r="L848" s="164" t="s">
        <v>1180</v>
      </c>
      <c r="M848" s="50"/>
      <c r="N848" s="178">
        <v>44099</v>
      </c>
      <c r="O848" s="138" t="s">
        <v>37</v>
      </c>
      <c r="P848" s="171">
        <v>0</v>
      </c>
      <c r="Q848" s="171">
        <v>960</v>
      </c>
      <c r="R848" s="68">
        <f t="shared" si="26"/>
        <v>0</v>
      </c>
      <c r="S848" s="70">
        <v>202303</v>
      </c>
      <c r="T848" s="170" t="s">
        <v>1181</v>
      </c>
      <c r="U848" s="170"/>
      <c r="V848" s="143"/>
      <c r="W848" s="143"/>
      <c r="X848" s="73"/>
      <c r="Y848" s="73"/>
    </row>
    <row r="849" s="81" customFormat="1" customHeight="1" spans="1:25">
      <c r="A849" s="61" t="s">
        <v>403</v>
      </c>
      <c r="B849" s="61" t="s">
        <v>62</v>
      </c>
      <c r="C849" s="61" t="s">
        <v>217</v>
      </c>
      <c r="D849" s="61" t="s">
        <v>566</v>
      </c>
      <c r="E849" s="160" t="s">
        <v>905</v>
      </c>
      <c r="F849" s="61" t="s">
        <v>906</v>
      </c>
      <c r="G849" s="161" t="s">
        <v>31</v>
      </c>
      <c r="H849" s="45" t="s">
        <v>1178</v>
      </c>
      <c r="I849" s="47" t="e">
        <f>VLOOKUP(H849,'合同综合查询数据（3月返）'!$A:$A,1,FALSE)</f>
        <v>#N/A</v>
      </c>
      <c r="J849" s="135" t="s">
        <v>451</v>
      </c>
      <c r="K849" s="135" t="s">
        <v>1179</v>
      </c>
      <c r="L849" s="164" t="s">
        <v>1180</v>
      </c>
      <c r="M849" s="50"/>
      <c r="N849" s="178">
        <v>44099</v>
      </c>
      <c r="O849" s="138" t="s">
        <v>37</v>
      </c>
      <c r="P849" s="171">
        <v>10</v>
      </c>
      <c r="Q849" s="171">
        <v>5184</v>
      </c>
      <c r="R849" s="68">
        <f t="shared" si="26"/>
        <v>51840</v>
      </c>
      <c r="S849" s="70">
        <v>202303</v>
      </c>
      <c r="T849" s="170" t="s">
        <v>1181</v>
      </c>
      <c r="U849" s="170"/>
      <c r="V849" s="143"/>
      <c r="W849" s="143"/>
      <c r="X849" s="73"/>
      <c r="Y849" s="73"/>
    </row>
    <row r="850" s="81" customFormat="1" ht="14.5" spans="1:25">
      <c r="A850" s="61" t="s">
        <v>403</v>
      </c>
      <c r="B850" s="61" t="s">
        <v>62</v>
      </c>
      <c r="C850" s="61" t="s">
        <v>217</v>
      </c>
      <c r="D850" s="61" t="s">
        <v>566</v>
      </c>
      <c r="E850" s="160" t="s">
        <v>905</v>
      </c>
      <c r="F850" s="61" t="s">
        <v>1182</v>
      </c>
      <c r="G850" s="161" t="s">
        <v>31</v>
      </c>
      <c r="H850" s="45" t="s">
        <v>1183</v>
      </c>
      <c r="I850" s="47" t="e">
        <f>VLOOKUP(H850,'合同综合查询数据（3月返）'!$A:$A,1,FALSE)</f>
        <v>#N/A</v>
      </c>
      <c r="J850" s="65" t="s">
        <v>33</v>
      </c>
      <c r="K850" s="135" t="s">
        <v>1184</v>
      </c>
      <c r="L850" s="66" t="s">
        <v>1185</v>
      </c>
      <c r="M850" s="50"/>
      <c r="N850" s="165">
        <v>44470</v>
      </c>
      <c r="O850" s="135" t="s">
        <v>37</v>
      </c>
      <c r="P850" s="171">
        <v>0</v>
      </c>
      <c r="Q850" s="171">
        <v>768</v>
      </c>
      <c r="R850" s="68">
        <f t="shared" si="26"/>
        <v>0</v>
      </c>
      <c r="S850" s="70">
        <v>202303</v>
      </c>
      <c r="T850" s="170" t="s">
        <v>1186</v>
      </c>
      <c r="U850" s="170"/>
      <c r="V850" s="143"/>
      <c r="W850" s="143"/>
      <c r="X850" s="73"/>
      <c r="Y850" s="73"/>
    </row>
    <row r="851" s="81" customFormat="1" ht="14.5" spans="1:25">
      <c r="A851" s="61" t="s">
        <v>403</v>
      </c>
      <c r="B851" s="61" t="s">
        <v>62</v>
      </c>
      <c r="C851" s="61" t="s">
        <v>217</v>
      </c>
      <c r="D851" s="61" t="s">
        <v>566</v>
      </c>
      <c r="E851" s="160" t="s">
        <v>905</v>
      </c>
      <c r="F851" s="61" t="s">
        <v>1182</v>
      </c>
      <c r="G851" s="161" t="s">
        <v>31</v>
      </c>
      <c r="H851" s="45" t="s">
        <v>1183</v>
      </c>
      <c r="I851" s="47" t="e">
        <f>VLOOKUP(H851,'合同综合查询数据（3月返）'!$A:$A,1,FALSE)</f>
        <v>#N/A</v>
      </c>
      <c r="J851" s="65" t="s">
        <v>33</v>
      </c>
      <c r="K851" s="135" t="s">
        <v>1184</v>
      </c>
      <c r="L851" s="66" t="s">
        <v>1185</v>
      </c>
      <c r="M851" s="50"/>
      <c r="N851" s="165">
        <v>44912</v>
      </c>
      <c r="O851" s="135" t="s">
        <v>37</v>
      </c>
      <c r="P851" s="171">
        <v>30</v>
      </c>
      <c r="Q851" s="171">
        <v>-256</v>
      </c>
      <c r="R851" s="68">
        <f t="shared" si="26"/>
        <v>-7680</v>
      </c>
      <c r="S851" s="70">
        <v>202303</v>
      </c>
      <c r="T851" s="170" t="s">
        <v>1187</v>
      </c>
      <c r="U851" s="170"/>
      <c r="V851" s="143"/>
      <c r="W851" s="143"/>
      <c r="X851" s="73"/>
      <c r="Y851" s="73"/>
    </row>
    <row r="852" s="81" customFormat="1" ht="14.5" spans="1:25">
      <c r="A852" s="61" t="s">
        <v>403</v>
      </c>
      <c r="B852" s="61" t="s">
        <v>62</v>
      </c>
      <c r="C852" s="61" t="s">
        <v>217</v>
      </c>
      <c r="D852" s="61" t="s">
        <v>566</v>
      </c>
      <c r="E852" s="160" t="s">
        <v>905</v>
      </c>
      <c r="F852" s="61" t="s">
        <v>1182</v>
      </c>
      <c r="G852" s="161" t="s">
        <v>31</v>
      </c>
      <c r="H852" s="45" t="s">
        <v>1183</v>
      </c>
      <c r="I852" s="47" t="e">
        <f>VLOOKUP(H852,'合同综合查询数据（3月返）'!$A:$A,1,FALSE)</f>
        <v>#N/A</v>
      </c>
      <c r="J852" s="135" t="s">
        <v>451</v>
      </c>
      <c r="K852" s="135" t="s">
        <v>1184</v>
      </c>
      <c r="L852" s="164" t="s">
        <v>1188</v>
      </c>
      <c r="M852" s="50"/>
      <c r="N852" s="165">
        <v>44470</v>
      </c>
      <c r="O852" s="135" t="s">
        <v>37</v>
      </c>
      <c r="P852" s="171">
        <v>0</v>
      </c>
      <c r="Q852" s="171">
        <f>1536-256*2</f>
        <v>1024</v>
      </c>
      <c r="R852" s="68">
        <f t="shared" si="26"/>
        <v>0</v>
      </c>
      <c r="S852" s="70">
        <v>202303</v>
      </c>
      <c r="T852" s="170" t="s">
        <v>1189</v>
      </c>
      <c r="U852" s="170"/>
      <c r="V852" s="143"/>
      <c r="W852" s="143"/>
      <c r="X852" s="73"/>
      <c r="Y852" s="73"/>
    </row>
    <row r="853" s="81" customFormat="1" ht="14.5" spans="1:25">
      <c r="A853" s="61" t="s">
        <v>403</v>
      </c>
      <c r="B853" s="61" t="s">
        <v>62</v>
      </c>
      <c r="C853" s="61" t="s">
        <v>217</v>
      </c>
      <c r="D853" s="61" t="s">
        <v>566</v>
      </c>
      <c r="E853" s="160" t="s">
        <v>905</v>
      </c>
      <c r="F853" s="61" t="s">
        <v>1182</v>
      </c>
      <c r="G853" s="161" t="s">
        <v>31</v>
      </c>
      <c r="H853" s="45" t="s">
        <v>1183</v>
      </c>
      <c r="I853" s="47" t="e">
        <f>VLOOKUP(H853,'合同综合查询数据（3月返）'!$A:$A,1,FALSE)</f>
        <v>#N/A</v>
      </c>
      <c r="J853" s="135" t="s">
        <v>33</v>
      </c>
      <c r="K853" s="135" t="s">
        <v>1190</v>
      </c>
      <c r="L853" s="164" t="s">
        <v>1191</v>
      </c>
      <c r="M853" s="50"/>
      <c r="N853" s="165">
        <v>44470</v>
      </c>
      <c r="O853" s="135" t="s">
        <v>37</v>
      </c>
      <c r="P853" s="171">
        <v>0</v>
      </c>
      <c r="Q853" s="171">
        <f>256*2</f>
        <v>512</v>
      </c>
      <c r="R853" s="68">
        <f t="shared" si="26"/>
        <v>0</v>
      </c>
      <c r="S853" s="70">
        <v>202303</v>
      </c>
      <c r="T853" s="170" t="s">
        <v>1192</v>
      </c>
      <c r="U853" s="170"/>
      <c r="V853" s="143"/>
      <c r="W853" s="143"/>
      <c r="X853" s="73"/>
      <c r="Y853" s="73"/>
    </row>
    <row r="854" s="81" customFormat="1" ht="14.5" spans="1:25">
      <c r="A854" s="61" t="s">
        <v>403</v>
      </c>
      <c r="B854" s="61" t="s">
        <v>62</v>
      </c>
      <c r="C854" s="61" t="s">
        <v>217</v>
      </c>
      <c r="D854" s="61" t="s">
        <v>566</v>
      </c>
      <c r="E854" s="160" t="s">
        <v>905</v>
      </c>
      <c r="F854" s="61" t="s">
        <v>1182</v>
      </c>
      <c r="G854" s="161" t="s">
        <v>31</v>
      </c>
      <c r="H854" s="45" t="s">
        <v>1183</v>
      </c>
      <c r="I854" s="47" t="e">
        <f>VLOOKUP(H854,'合同综合查询数据（3月返）'!$A:$A,1,FALSE)</f>
        <v>#N/A</v>
      </c>
      <c r="J854" s="135" t="s">
        <v>451</v>
      </c>
      <c r="K854" s="135" t="s">
        <v>1184</v>
      </c>
      <c r="L854" s="164" t="s">
        <v>1188</v>
      </c>
      <c r="M854" s="50"/>
      <c r="N854" s="165">
        <v>44470</v>
      </c>
      <c r="O854" s="135" t="s">
        <v>37</v>
      </c>
      <c r="P854" s="171">
        <v>30</v>
      </c>
      <c r="Q854" s="171">
        <v>768</v>
      </c>
      <c r="R854" s="68">
        <f t="shared" si="26"/>
        <v>23040</v>
      </c>
      <c r="S854" s="70">
        <v>202303</v>
      </c>
      <c r="T854" s="170" t="s">
        <v>1193</v>
      </c>
      <c r="U854" s="170"/>
      <c r="V854" s="143"/>
      <c r="W854" s="143"/>
      <c r="X854" s="73"/>
      <c r="Y854" s="73"/>
    </row>
    <row r="855" s="81" customFormat="1" ht="14.5" spans="1:25">
      <c r="A855" s="61" t="s">
        <v>403</v>
      </c>
      <c r="B855" s="61" t="s">
        <v>62</v>
      </c>
      <c r="C855" s="61" t="s">
        <v>217</v>
      </c>
      <c r="D855" s="61" t="s">
        <v>566</v>
      </c>
      <c r="E855" s="160" t="s">
        <v>905</v>
      </c>
      <c r="F855" s="61" t="s">
        <v>1182</v>
      </c>
      <c r="G855" s="161" t="s">
        <v>31</v>
      </c>
      <c r="H855" s="45" t="s">
        <v>1183</v>
      </c>
      <c r="I855" s="47" t="e">
        <f>VLOOKUP(H855,'合同综合查询数据（3月返）'!$A:$A,1,FALSE)</f>
        <v>#N/A</v>
      </c>
      <c r="J855" s="135" t="s">
        <v>451</v>
      </c>
      <c r="K855" s="135" t="s">
        <v>1184</v>
      </c>
      <c r="L855" s="164" t="s">
        <v>1188</v>
      </c>
      <c r="M855" s="50"/>
      <c r="N855" s="51">
        <v>44748</v>
      </c>
      <c r="O855" s="135" t="s">
        <v>37</v>
      </c>
      <c r="P855" s="171">
        <v>30</v>
      </c>
      <c r="Q855" s="140">
        <v>512</v>
      </c>
      <c r="R855" s="68">
        <f t="shared" si="26"/>
        <v>15360</v>
      </c>
      <c r="S855" s="70">
        <v>202303</v>
      </c>
      <c r="T855" s="56" t="s">
        <v>1194</v>
      </c>
      <c r="U855" s="170"/>
      <c r="V855" s="143"/>
      <c r="W855" s="143"/>
      <c r="X855" s="73"/>
      <c r="Y855" s="73"/>
    </row>
    <row r="856" s="81" customFormat="1" ht="14.5" spans="1:25">
      <c r="A856" s="61" t="s">
        <v>403</v>
      </c>
      <c r="B856" s="61" t="s">
        <v>62</v>
      </c>
      <c r="C856" s="61" t="s">
        <v>217</v>
      </c>
      <c r="D856" s="61" t="s">
        <v>566</v>
      </c>
      <c r="E856" s="160" t="s">
        <v>905</v>
      </c>
      <c r="F856" s="61" t="s">
        <v>1182</v>
      </c>
      <c r="G856" s="161" t="s">
        <v>31</v>
      </c>
      <c r="H856" s="45" t="s">
        <v>1183</v>
      </c>
      <c r="I856" s="47" t="e">
        <f>VLOOKUP(H856,'合同综合查询数据（3月返）'!$A:$A,1,FALSE)</f>
        <v>#N/A</v>
      </c>
      <c r="J856" s="65" t="s">
        <v>33</v>
      </c>
      <c r="K856" s="135" t="s">
        <v>1184</v>
      </c>
      <c r="L856" s="66" t="s">
        <v>1185</v>
      </c>
      <c r="M856" s="50"/>
      <c r="N856" s="165">
        <v>44555</v>
      </c>
      <c r="O856" s="135" t="s">
        <v>37</v>
      </c>
      <c r="P856" s="171">
        <v>30</v>
      </c>
      <c r="Q856" s="171">
        <v>256</v>
      </c>
      <c r="R856" s="68">
        <f t="shared" si="26"/>
        <v>7680</v>
      </c>
      <c r="S856" s="70">
        <v>202303</v>
      </c>
      <c r="T856" s="170" t="s">
        <v>1195</v>
      </c>
      <c r="U856" s="170"/>
      <c r="V856" s="143"/>
      <c r="W856" s="143"/>
      <c r="X856" s="73"/>
      <c r="Y856" s="73"/>
    </row>
    <row r="857" s="81" customFormat="1" ht="14.5" spans="1:25">
      <c r="A857" s="61" t="s">
        <v>403</v>
      </c>
      <c r="B857" s="61" t="s">
        <v>62</v>
      </c>
      <c r="C857" s="61" t="s">
        <v>217</v>
      </c>
      <c r="D857" s="61" t="s">
        <v>566</v>
      </c>
      <c r="E857" s="160" t="s">
        <v>905</v>
      </c>
      <c r="F857" s="61" t="s">
        <v>1182</v>
      </c>
      <c r="G857" s="161" t="s">
        <v>31</v>
      </c>
      <c r="H857" s="45" t="s">
        <v>1183</v>
      </c>
      <c r="I857" s="47" t="e">
        <f>VLOOKUP(H857,'合同综合查询数据（3月返）'!$A:$A,1,FALSE)</f>
        <v>#N/A</v>
      </c>
      <c r="J857" s="65" t="s">
        <v>33</v>
      </c>
      <c r="K857" s="135" t="s">
        <v>1184</v>
      </c>
      <c r="L857" s="66" t="s">
        <v>1185</v>
      </c>
      <c r="M857" s="50"/>
      <c r="N857" s="165">
        <v>44925</v>
      </c>
      <c r="O857" s="135" t="s">
        <v>37</v>
      </c>
      <c r="P857" s="171">
        <v>30</v>
      </c>
      <c r="Q857" s="171">
        <v>-256</v>
      </c>
      <c r="R857" s="68">
        <f t="shared" si="26"/>
        <v>-7680</v>
      </c>
      <c r="S857" s="70">
        <v>202303</v>
      </c>
      <c r="T857" s="170" t="s">
        <v>1196</v>
      </c>
      <c r="U857" s="170"/>
      <c r="V857" s="143"/>
      <c r="W857" s="143"/>
      <c r="X857" s="73"/>
      <c r="Y857" s="73"/>
    </row>
    <row r="858" s="81" customFormat="1" customHeight="1" spans="1:25">
      <c r="A858" s="61" t="s">
        <v>403</v>
      </c>
      <c r="B858" s="61" t="s">
        <v>62</v>
      </c>
      <c r="C858" s="61" t="s">
        <v>217</v>
      </c>
      <c r="D858" s="61" t="s">
        <v>566</v>
      </c>
      <c r="E858" s="160" t="s">
        <v>905</v>
      </c>
      <c r="F858" s="61" t="s">
        <v>1182</v>
      </c>
      <c r="G858" s="161" t="s">
        <v>88</v>
      </c>
      <c r="H858" s="45" t="s">
        <v>1183</v>
      </c>
      <c r="I858" s="47" t="e">
        <f>VLOOKUP(H858,'合同综合查询数据（3月返）'!$A:$A,1,FALSE)</f>
        <v>#N/A</v>
      </c>
      <c r="J858" s="135" t="s">
        <v>126</v>
      </c>
      <c r="K858" s="135" t="s">
        <v>1184</v>
      </c>
      <c r="L858" s="66" t="s">
        <v>1185</v>
      </c>
      <c r="M858" s="50" t="s">
        <v>1197</v>
      </c>
      <c r="N858" s="165">
        <v>44470</v>
      </c>
      <c r="O858" s="172" t="s">
        <v>470</v>
      </c>
      <c r="P858" s="171">
        <v>5900</v>
      </c>
      <c r="Q858" s="171">
        <v>19</v>
      </c>
      <c r="R858" s="68">
        <f t="shared" si="26"/>
        <v>112100</v>
      </c>
      <c r="S858" s="70">
        <v>202303</v>
      </c>
      <c r="T858" s="170" t="s">
        <v>1198</v>
      </c>
      <c r="U858" s="170"/>
      <c r="V858" s="143"/>
      <c r="W858" s="143"/>
      <c r="X858" s="73"/>
      <c r="Y858" s="73"/>
    </row>
    <row r="859" s="81" customFormat="1" customHeight="1" spans="1:25">
      <c r="A859" s="61" t="s">
        <v>403</v>
      </c>
      <c r="B859" s="61" t="s">
        <v>62</v>
      </c>
      <c r="C859" s="61" t="s">
        <v>217</v>
      </c>
      <c r="D859" s="61" t="s">
        <v>566</v>
      </c>
      <c r="E859" s="160" t="s">
        <v>905</v>
      </c>
      <c r="F859" s="61" t="s">
        <v>1182</v>
      </c>
      <c r="G859" s="161" t="s">
        <v>88</v>
      </c>
      <c r="H859" s="45" t="s">
        <v>1183</v>
      </c>
      <c r="I859" s="47" t="e">
        <f>VLOOKUP(H859,'合同综合查询数据（3月返）'!$A:$A,1,FALSE)</f>
        <v>#N/A</v>
      </c>
      <c r="J859" s="135" t="s">
        <v>126</v>
      </c>
      <c r="K859" s="135" t="s">
        <v>1190</v>
      </c>
      <c r="L859" s="66" t="s">
        <v>1199</v>
      </c>
      <c r="M859" s="50" t="s">
        <v>1197</v>
      </c>
      <c r="N859" s="165">
        <v>44523</v>
      </c>
      <c r="O859" s="172" t="s">
        <v>470</v>
      </c>
      <c r="P859" s="171">
        <v>5900</v>
      </c>
      <c r="Q859" s="171">
        <v>8</v>
      </c>
      <c r="R859" s="68">
        <f t="shared" si="26"/>
        <v>47200</v>
      </c>
      <c r="S859" s="70">
        <v>202303</v>
      </c>
      <c r="T859" s="170" t="s">
        <v>1200</v>
      </c>
      <c r="U859" s="170"/>
      <c r="V859" s="143"/>
      <c r="W859" s="143"/>
      <c r="X859" s="73"/>
      <c r="Y859" s="73"/>
    </row>
    <row r="860" s="79" customFormat="1" customHeight="1" spans="1:25">
      <c r="A860" s="98" t="s">
        <v>403</v>
      </c>
      <c r="B860" s="98" t="s">
        <v>62</v>
      </c>
      <c r="C860" s="98" t="s">
        <v>217</v>
      </c>
      <c r="D860" s="98" t="s">
        <v>566</v>
      </c>
      <c r="E860" s="147" t="s">
        <v>905</v>
      </c>
      <c r="F860" s="98" t="s">
        <v>906</v>
      </c>
      <c r="G860" s="151" t="s">
        <v>88</v>
      </c>
      <c r="H860" s="19" t="s">
        <v>1201</v>
      </c>
      <c r="I860" s="23" t="e">
        <f>VLOOKUP(H860,'合同综合查询数据（3月返）'!$A:$A,1,FALSE)</f>
        <v>#N/A</v>
      </c>
      <c r="J860" s="24" t="s">
        <v>90</v>
      </c>
      <c r="K860" s="188" t="s">
        <v>1202</v>
      </c>
      <c r="L860" s="153"/>
      <c r="M860" s="26" t="s">
        <v>909</v>
      </c>
      <c r="N860" s="154">
        <v>44848</v>
      </c>
      <c r="O860" s="155" t="s">
        <v>457</v>
      </c>
      <c r="P860" s="156">
        <v>5900</v>
      </c>
      <c r="Q860" s="156">
        <v>2</v>
      </c>
      <c r="R860" s="120">
        <f t="shared" si="26"/>
        <v>11800</v>
      </c>
      <c r="S860" s="117">
        <v>202303</v>
      </c>
      <c r="T860" s="177" t="s">
        <v>1203</v>
      </c>
      <c r="U860" s="133"/>
      <c r="V860" s="133"/>
      <c r="W860" s="133"/>
      <c r="X860" s="118">
        <v>44844</v>
      </c>
      <c r="Y860" s="118">
        <v>47036</v>
      </c>
    </row>
    <row r="861" s="79" customFormat="1" customHeight="1" spans="1:25">
      <c r="A861" s="98" t="s">
        <v>403</v>
      </c>
      <c r="B861" s="98" t="s">
        <v>62</v>
      </c>
      <c r="C861" s="98" t="s">
        <v>217</v>
      </c>
      <c r="D861" s="98" t="s">
        <v>566</v>
      </c>
      <c r="E861" s="147" t="s">
        <v>905</v>
      </c>
      <c r="F861" s="98" t="s">
        <v>906</v>
      </c>
      <c r="G861" s="151" t="s">
        <v>88</v>
      </c>
      <c r="H861" s="19" t="s">
        <v>1201</v>
      </c>
      <c r="I861" s="23" t="e">
        <f>VLOOKUP(H861,'合同综合查询数据（3月返）'!$A:$A,1,FALSE)</f>
        <v>#N/A</v>
      </c>
      <c r="J861" s="24" t="s">
        <v>90</v>
      </c>
      <c r="K861" s="188" t="s">
        <v>1202</v>
      </c>
      <c r="L861" s="153"/>
      <c r="M861" s="26" t="s">
        <v>909</v>
      </c>
      <c r="N861" s="154">
        <v>44848</v>
      </c>
      <c r="O861" s="155" t="s">
        <v>461</v>
      </c>
      <c r="P861" s="156">
        <v>8595</v>
      </c>
      <c r="Q861" s="156">
        <v>299</v>
      </c>
      <c r="R861" s="120">
        <f t="shared" si="26"/>
        <v>2569905</v>
      </c>
      <c r="S861" s="117">
        <v>202303</v>
      </c>
      <c r="T861" s="177" t="s">
        <v>1204</v>
      </c>
      <c r="U861" s="133"/>
      <c r="V861" s="133"/>
      <c r="W861" s="133"/>
      <c r="X861" s="118">
        <v>44844</v>
      </c>
      <c r="Y861" s="118">
        <v>47036</v>
      </c>
    </row>
    <row r="862" s="79" customFormat="1" customHeight="1" spans="1:25">
      <c r="A862" s="98" t="s">
        <v>403</v>
      </c>
      <c r="B862" s="98" t="s">
        <v>62</v>
      </c>
      <c r="C862" s="98" t="s">
        <v>217</v>
      </c>
      <c r="D862" s="98" t="s">
        <v>566</v>
      </c>
      <c r="E862" s="147" t="s">
        <v>1205</v>
      </c>
      <c r="F862" s="98" t="s">
        <v>942</v>
      </c>
      <c r="G862" s="99" t="s">
        <v>67</v>
      </c>
      <c r="H862" s="186" t="s">
        <v>1206</v>
      </c>
      <c r="I862" s="23" t="e">
        <f>VLOOKUP(H862,'合同综合查询数据（3月返）'!$A:$A,1,FALSE)</f>
        <v>#N/A</v>
      </c>
      <c r="J862" s="99" t="s">
        <v>69</v>
      </c>
      <c r="K862" s="151" t="s">
        <v>1207</v>
      </c>
      <c r="L862" s="189"/>
      <c r="M862" s="26"/>
      <c r="N862" s="190">
        <v>42293</v>
      </c>
      <c r="O862" s="190" t="s">
        <v>71</v>
      </c>
      <c r="P862" s="173">
        <v>13200</v>
      </c>
      <c r="Q862" s="119">
        <v>1</v>
      </c>
      <c r="R862" s="120">
        <f t="shared" si="26"/>
        <v>13200</v>
      </c>
      <c r="S862" s="117">
        <v>202303</v>
      </c>
      <c r="T862" s="184" t="s">
        <v>1208</v>
      </c>
      <c r="U862" s="185"/>
      <c r="V862" s="133"/>
      <c r="W862" s="133"/>
      <c r="X862" s="118">
        <v>42217</v>
      </c>
      <c r="Y862" s="118">
        <v>45138</v>
      </c>
    </row>
    <row r="863" s="79" customFormat="1" customHeight="1" spans="1:25">
      <c r="A863" s="98" t="s">
        <v>403</v>
      </c>
      <c r="B863" s="98" t="s">
        <v>62</v>
      </c>
      <c r="C863" s="98" t="s">
        <v>217</v>
      </c>
      <c r="D863" s="98" t="s">
        <v>566</v>
      </c>
      <c r="E863" s="147" t="s">
        <v>1205</v>
      </c>
      <c r="F863" s="98" t="s">
        <v>942</v>
      </c>
      <c r="G863" s="151" t="s">
        <v>88</v>
      </c>
      <c r="H863" s="19" t="s">
        <v>1209</v>
      </c>
      <c r="I863" s="23" t="e">
        <f>VLOOKUP(H863,'合同综合查询数据（3月返）'!$A:$A,1,FALSE)</f>
        <v>#N/A</v>
      </c>
      <c r="J863" s="24" t="s">
        <v>90</v>
      </c>
      <c r="K863" s="151" t="s">
        <v>1210</v>
      </c>
      <c r="L863" s="189"/>
      <c r="M863" s="26" t="s">
        <v>945</v>
      </c>
      <c r="N863" s="190">
        <v>43094</v>
      </c>
      <c r="O863" s="190" t="s">
        <v>457</v>
      </c>
      <c r="P863" s="173">
        <v>6000</v>
      </c>
      <c r="Q863" s="173">
        <v>238</v>
      </c>
      <c r="R863" s="120">
        <f t="shared" si="26"/>
        <v>1428000</v>
      </c>
      <c r="S863" s="117">
        <v>202303</v>
      </c>
      <c r="T863" s="184" t="s">
        <v>1211</v>
      </c>
      <c r="U863" s="185"/>
      <c r="V863" s="133"/>
      <c r="W863" s="133"/>
      <c r="X863" s="118">
        <v>43008</v>
      </c>
      <c r="Y863" s="118">
        <v>45199</v>
      </c>
    </row>
    <row r="864" s="79" customFormat="1" customHeight="1" spans="1:25">
      <c r="A864" s="98" t="s">
        <v>403</v>
      </c>
      <c r="B864" s="98" t="s">
        <v>62</v>
      </c>
      <c r="C864" s="98" t="s">
        <v>217</v>
      </c>
      <c r="D864" s="98" t="s">
        <v>566</v>
      </c>
      <c r="E864" s="147" t="s">
        <v>1205</v>
      </c>
      <c r="F864" s="98" t="s">
        <v>942</v>
      </c>
      <c r="G864" s="151" t="s">
        <v>88</v>
      </c>
      <c r="H864" s="19" t="s">
        <v>1209</v>
      </c>
      <c r="I864" s="23" t="e">
        <f>VLOOKUP(H864,'合同综合查询数据（3月返）'!$A:$A,1,FALSE)</f>
        <v>#N/A</v>
      </c>
      <c r="J864" s="24" t="s">
        <v>90</v>
      </c>
      <c r="K864" s="151" t="s">
        <v>1210</v>
      </c>
      <c r="L864" s="189"/>
      <c r="M864" s="26" t="s">
        <v>945</v>
      </c>
      <c r="N864" s="190">
        <v>43094</v>
      </c>
      <c r="O864" s="190" t="s">
        <v>457</v>
      </c>
      <c r="P864" s="173">
        <v>6000</v>
      </c>
      <c r="Q864" s="173">
        <v>88</v>
      </c>
      <c r="R864" s="120">
        <f t="shared" si="26"/>
        <v>528000</v>
      </c>
      <c r="S864" s="117">
        <v>202303</v>
      </c>
      <c r="T864" s="184" t="s">
        <v>1212</v>
      </c>
      <c r="U864" s="185"/>
      <c r="V864" s="133"/>
      <c r="W864" s="133"/>
      <c r="X864" s="118">
        <v>43008</v>
      </c>
      <c r="Y864" s="118">
        <v>45199</v>
      </c>
    </row>
    <row r="865" s="79" customFormat="1" customHeight="1" spans="1:25">
      <c r="A865" s="98" t="s">
        <v>403</v>
      </c>
      <c r="B865" s="98" t="s">
        <v>62</v>
      </c>
      <c r="C865" s="98" t="s">
        <v>217</v>
      </c>
      <c r="D865" s="98" t="s">
        <v>566</v>
      </c>
      <c r="E865" s="147" t="s">
        <v>1205</v>
      </c>
      <c r="F865" s="98" t="s">
        <v>942</v>
      </c>
      <c r="G865" s="151" t="s">
        <v>88</v>
      </c>
      <c r="H865" s="19" t="s">
        <v>1209</v>
      </c>
      <c r="I865" s="23" t="e">
        <f>VLOOKUP(H865,'合同综合查询数据（3月返）'!$A:$A,1,FALSE)</f>
        <v>#N/A</v>
      </c>
      <c r="J865" s="24" t="s">
        <v>90</v>
      </c>
      <c r="K865" s="151" t="s">
        <v>1210</v>
      </c>
      <c r="L865" s="189"/>
      <c r="M865" s="26" t="s">
        <v>945</v>
      </c>
      <c r="N865" s="190">
        <v>43101</v>
      </c>
      <c r="O865" s="190" t="s">
        <v>457</v>
      </c>
      <c r="P865" s="173">
        <v>6000</v>
      </c>
      <c r="Q865" s="173">
        <v>78</v>
      </c>
      <c r="R865" s="120">
        <f t="shared" si="26"/>
        <v>468000</v>
      </c>
      <c r="S865" s="117">
        <v>202303</v>
      </c>
      <c r="T865" s="184" t="s">
        <v>1213</v>
      </c>
      <c r="U865" s="185"/>
      <c r="V865" s="133"/>
      <c r="W865" s="133"/>
      <c r="X865" s="118">
        <v>43008</v>
      </c>
      <c r="Y865" s="118">
        <v>45199</v>
      </c>
    </row>
    <row r="866" s="79" customFormat="1" customHeight="1" spans="1:25">
      <c r="A866" s="98" t="s">
        <v>403</v>
      </c>
      <c r="B866" s="98" t="s">
        <v>62</v>
      </c>
      <c r="C866" s="98" t="s">
        <v>217</v>
      </c>
      <c r="D866" s="98" t="s">
        <v>566</v>
      </c>
      <c r="E866" s="147" t="s">
        <v>1205</v>
      </c>
      <c r="F866" s="98" t="s">
        <v>942</v>
      </c>
      <c r="G866" s="151" t="s">
        <v>88</v>
      </c>
      <c r="H866" s="19" t="s">
        <v>1209</v>
      </c>
      <c r="I866" s="23" t="e">
        <f>VLOOKUP(H866,'合同综合查询数据（3月返）'!$A:$A,1,FALSE)</f>
        <v>#N/A</v>
      </c>
      <c r="J866" s="24" t="s">
        <v>90</v>
      </c>
      <c r="K866" s="151" t="s">
        <v>1210</v>
      </c>
      <c r="L866" s="189"/>
      <c r="M866" s="26" t="s">
        <v>945</v>
      </c>
      <c r="N866" s="190">
        <v>43118</v>
      </c>
      <c r="O866" s="190" t="s">
        <v>457</v>
      </c>
      <c r="P866" s="173">
        <v>6000</v>
      </c>
      <c r="Q866" s="173">
        <v>3</v>
      </c>
      <c r="R866" s="120">
        <f t="shared" si="26"/>
        <v>18000</v>
      </c>
      <c r="S866" s="117">
        <v>202303</v>
      </c>
      <c r="T866" s="184" t="s">
        <v>1212</v>
      </c>
      <c r="U866" s="185"/>
      <c r="V866" s="133"/>
      <c r="W866" s="133"/>
      <c r="X866" s="118">
        <v>43008</v>
      </c>
      <c r="Y866" s="118">
        <v>45199</v>
      </c>
    </row>
    <row r="867" s="79" customFormat="1" customHeight="1" spans="1:25">
      <c r="A867" s="98" t="s">
        <v>403</v>
      </c>
      <c r="B867" s="98" t="s">
        <v>62</v>
      </c>
      <c r="C867" s="98" t="s">
        <v>217</v>
      </c>
      <c r="D867" s="98" t="s">
        <v>566</v>
      </c>
      <c r="E867" s="147" t="s">
        <v>1205</v>
      </c>
      <c r="F867" s="98" t="s">
        <v>942</v>
      </c>
      <c r="G867" s="151" t="s">
        <v>88</v>
      </c>
      <c r="H867" s="19" t="s">
        <v>1209</v>
      </c>
      <c r="I867" s="23" t="e">
        <f>VLOOKUP(H867,'合同综合查询数据（3月返）'!$A:$A,1,FALSE)</f>
        <v>#N/A</v>
      </c>
      <c r="J867" s="24" t="s">
        <v>90</v>
      </c>
      <c r="K867" s="151" t="s">
        <v>1210</v>
      </c>
      <c r="L867" s="189"/>
      <c r="M867" s="26" t="s">
        <v>945</v>
      </c>
      <c r="N867" s="190">
        <v>43118</v>
      </c>
      <c r="O867" s="190" t="s">
        <v>457</v>
      </c>
      <c r="P867" s="173">
        <v>6000</v>
      </c>
      <c r="Q867" s="173">
        <v>5</v>
      </c>
      <c r="R867" s="120">
        <f t="shared" si="26"/>
        <v>30000</v>
      </c>
      <c r="S867" s="117">
        <v>202303</v>
      </c>
      <c r="T867" s="184"/>
      <c r="U867" s="185"/>
      <c r="V867" s="133"/>
      <c r="W867" s="133"/>
      <c r="X867" s="118">
        <v>43008</v>
      </c>
      <c r="Y867" s="118">
        <v>45199</v>
      </c>
    </row>
    <row r="868" s="79" customFormat="1" customHeight="1" spans="1:25">
      <c r="A868" s="98" t="s">
        <v>403</v>
      </c>
      <c r="B868" s="98" t="s">
        <v>62</v>
      </c>
      <c r="C868" s="98" t="s">
        <v>217</v>
      </c>
      <c r="D868" s="98" t="s">
        <v>566</v>
      </c>
      <c r="E868" s="147" t="s">
        <v>1205</v>
      </c>
      <c r="F868" s="98" t="s">
        <v>942</v>
      </c>
      <c r="G868" s="151" t="s">
        <v>88</v>
      </c>
      <c r="H868" s="19" t="s">
        <v>1209</v>
      </c>
      <c r="I868" s="23" t="e">
        <f>VLOOKUP(H868,'合同综合查询数据（3月返）'!$A:$A,1,FALSE)</f>
        <v>#N/A</v>
      </c>
      <c r="J868" s="24" t="s">
        <v>90</v>
      </c>
      <c r="K868" s="151" t="s">
        <v>1210</v>
      </c>
      <c r="L868" s="189"/>
      <c r="M868" s="26" t="s">
        <v>945</v>
      </c>
      <c r="N868" s="190">
        <v>43130</v>
      </c>
      <c r="O868" s="190" t="s">
        <v>457</v>
      </c>
      <c r="P868" s="173">
        <v>6000</v>
      </c>
      <c r="Q868" s="173">
        <v>8</v>
      </c>
      <c r="R868" s="120">
        <f t="shared" si="26"/>
        <v>48000</v>
      </c>
      <c r="S868" s="117">
        <v>202303</v>
      </c>
      <c r="T868" s="184"/>
      <c r="U868" s="185"/>
      <c r="V868" s="133"/>
      <c r="W868" s="133"/>
      <c r="X868" s="118">
        <v>43008</v>
      </c>
      <c r="Y868" s="118">
        <v>45199</v>
      </c>
    </row>
    <row r="869" s="79" customFormat="1" customHeight="1" spans="1:25">
      <c r="A869" s="98" t="s">
        <v>403</v>
      </c>
      <c r="B869" s="98" t="s">
        <v>62</v>
      </c>
      <c r="C869" s="98" t="s">
        <v>217</v>
      </c>
      <c r="D869" s="98" t="s">
        <v>566</v>
      </c>
      <c r="E869" s="147" t="s">
        <v>1205</v>
      </c>
      <c r="F869" s="98" t="s">
        <v>942</v>
      </c>
      <c r="G869" s="151" t="s">
        <v>88</v>
      </c>
      <c r="H869" s="19" t="s">
        <v>1209</v>
      </c>
      <c r="I869" s="23" t="e">
        <f>VLOOKUP(H869,'合同综合查询数据（3月返）'!$A:$A,1,FALSE)</f>
        <v>#N/A</v>
      </c>
      <c r="J869" s="24" t="s">
        <v>90</v>
      </c>
      <c r="K869" s="151" t="s">
        <v>1210</v>
      </c>
      <c r="L869" s="189"/>
      <c r="M869" s="26" t="s">
        <v>945</v>
      </c>
      <c r="N869" s="190">
        <v>43131</v>
      </c>
      <c r="O869" s="190" t="s">
        <v>457</v>
      </c>
      <c r="P869" s="173">
        <v>6000</v>
      </c>
      <c r="Q869" s="173">
        <v>1</v>
      </c>
      <c r="R869" s="120">
        <f t="shared" si="26"/>
        <v>6000</v>
      </c>
      <c r="S869" s="117">
        <v>202303</v>
      </c>
      <c r="T869" s="184"/>
      <c r="U869" s="185"/>
      <c r="V869" s="133"/>
      <c r="W869" s="133"/>
      <c r="X869" s="118">
        <v>43008</v>
      </c>
      <c r="Y869" s="118">
        <v>45199</v>
      </c>
    </row>
    <row r="870" s="79" customFormat="1" customHeight="1" spans="1:25">
      <c r="A870" s="98" t="s">
        <v>403</v>
      </c>
      <c r="B870" s="98" t="s">
        <v>62</v>
      </c>
      <c r="C870" s="98" t="s">
        <v>217</v>
      </c>
      <c r="D870" s="98" t="s">
        <v>566</v>
      </c>
      <c r="E870" s="147" t="s">
        <v>1205</v>
      </c>
      <c r="F870" s="98" t="s">
        <v>942</v>
      </c>
      <c r="G870" s="151" t="s">
        <v>88</v>
      </c>
      <c r="H870" s="19" t="s">
        <v>1209</v>
      </c>
      <c r="I870" s="23" t="e">
        <f>VLOOKUP(H870,'合同综合查询数据（3月返）'!$A:$A,1,FALSE)</f>
        <v>#N/A</v>
      </c>
      <c r="J870" s="24" t="s">
        <v>90</v>
      </c>
      <c r="K870" s="151" t="s">
        <v>1210</v>
      </c>
      <c r="L870" s="189"/>
      <c r="M870" s="26" t="s">
        <v>945</v>
      </c>
      <c r="N870" s="190">
        <v>43138</v>
      </c>
      <c r="O870" s="190" t="s">
        <v>457</v>
      </c>
      <c r="P870" s="173">
        <v>6000</v>
      </c>
      <c r="Q870" s="173">
        <v>7</v>
      </c>
      <c r="R870" s="120">
        <f t="shared" si="26"/>
        <v>42000</v>
      </c>
      <c r="S870" s="117">
        <v>202303</v>
      </c>
      <c r="T870" s="184"/>
      <c r="U870" s="185"/>
      <c r="V870" s="133"/>
      <c r="W870" s="133"/>
      <c r="X870" s="118">
        <v>43008</v>
      </c>
      <c r="Y870" s="118">
        <v>45199</v>
      </c>
    </row>
    <row r="871" s="79" customFormat="1" customHeight="1" spans="1:25">
      <c r="A871" s="98" t="s">
        <v>403</v>
      </c>
      <c r="B871" s="98" t="s">
        <v>62</v>
      </c>
      <c r="C871" s="98" t="s">
        <v>217</v>
      </c>
      <c r="D871" s="98" t="s">
        <v>566</v>
      </c>
      <c r="E871" s="147" t="s">
        <v>1205</v>
      </c>
      <c r="F871" s="98" t="s">
        <v>942</v>
      </c>
      <c r="G871" s="151" t="s">
        <v>88</v>
      </c>
      <c r="H871" s="19" t="s">
        <v>1209</v>
      </c>
      <c r="I871" s="23" t="e">
        <f>VLOOKUP(H871,'合同综合查询数据（3月返）'!$A:$A,1,FALSE)</f>
        <v>#N/A</v>
      </c>
      <c r="J871" s="24" t="s">
        <v>90</v>
      </c>
      <c r="K871" s="151" t="s">
        <v>1210</v>
      </c>
      <c r="L871" s="189"/>
      <c r="M871" s="26" t="s">
        <v>945</v>
      </c>
      <c r="N871" s="190">
        <v>43143</v>
      </c>
      <c r="O871" s="190" t="s">
        <v>457</v>
      </c>
      <c r="P871" s="173">
        <v>6000</v>
      </c>
      <c r="Q871" s="173">
        <v>6</v>
      </c>
      <c r="R871" s="120">
        <f t="shared" si="26"/>
        <v>36000</v>
      </c>
      <c r="S871" s="117">
        <v>202303</v>
      </c>
      <c r="T871" s="184"/>
      <c r="U871" s="185"/>
      <c r="V871" s="133"/>
      <c r="W871" s="133"/>
      <c r="X871" s="118">
        <v>43008</v>
      </c>
      <c r="Y871" s="118">
        <v>45199</v>
      </c>
    </row>
    <row r="872" s="79" customFormat="1" customHeight="1" spans="1:25">
      <c r="A872" s="98" t="s">
        <v>403</v>
      </c>
      <c r="B872" s="98" t="s">
        <v>62</v>
      </c>
      <c r="C872" s="98" t="s">
        <v>217</v>
      </c>
      <c r="D872" s="98" t="s">
        <v>566</v>
      </c>
      <c r="E872" s="147" t="s">
        <v>1205</v>
      </c>
      <c r="F872" s="98" t="s">
        <v>942</v>
      </c>
      <c r="G872" s="151" t="s">
        <v>88</v>
      </c>
      <c r="H872" s="19" t="s">
        <v>1209</v>
      </c>
      <c r="I872" s="23" t="e">
        <f>VLOOKUP(H872,'合同综合查询数据（3月返）'!$A:$A,1,FALSE)</f>
        <v>#N/A</v>
      </c>
      <c r="J872" s="24" t="s">
        <v>90</v>
      </c>
      <c r="K872" s="151" t="s">
        <v>1210</v>
      </c>
      <c r="L872" s="189"/>
      <c r="M872" s="26" t="s">
        <v>945</v>
      </c>
      <c r="N872" s="190">
        <v>43143</v>
      </c>
      <c r="O872" s="190" t="s">
        <v>457</v>
      </c>
      <c r="P872" s="173">
        <v>6000</v>
      </c>
      <c r="Q872" s="173">
        <v>21</v>
      </c>
      <c r="R872" s="120">
        <f t="shared" si="26"/>
        <v>126000</v>
      </c>
      <c r="S872" s="117">
        <v>202303</v>
      </c>
      <c r="T872" s="184"/>
      <c r="U872" s="185"/>
      <c r="V872" s="133"/>
      <c r="W872" s="133"/>
      <c r="X872" s="118">
        <v>43008</v>
      </c>
      <c r="Y872" s="118">
        <v>45199</v>
      </c>
    </row>
    <row r="873" s="79" customFormat="1" customHeight="1" spans="1:25">
      <c r="A873" s="98" t="s">
        <v>403</v>
      </c>
      <c r="B873" s="98" t="s">
        <v>62</v>
      </c>
      <c r="C873" s="98" t="s">
        <v>217</v>
      </c>
      <c r="D873" s="98" t="s">
        <v>566</v>
      </c>
      <c r="E873" s="147" t="s">
        <v>1205</v>
      </c>
      <c r="F873" s="98" t="s">
        <v>942</v>
      </c>
      <c r="G873" s="151" t="s">
        <v>88</v>
      </c>
      <c r="H873" s="19" t="s">
        <v>1209</v>
      </c>
      <c r="I873" s="23" t="e">
        <f>VLOOKUP(H873,'合同综合查询数据（3月返）'!$A:$A,1,FALSE)</f>
        <v>#N/A</v>
      </c>
      <c r="J873" s="24" t="s">
        <v>90</v>
      </c>
      <c r="K873" s="151" t="s">
        <v>1210</v>
      </c>
      <c r="L873" s="189"/>
      <c r="M873" s="26" t="s">
        <v>945</v>
      </c>
      <c r="N873" s="190">
        <v>43158</v>
      </c>
      <c r="O873" s="190" t="s">
        <v>457</v>
      </c>
      <c r="P873" s="173">
        <v>6000</v>
      </c>
      <c r="Q873" s="173">
        <v>1</v>
      </c>
      <c r="R873" s="120">
        <f t="shared" si="26"/>
        <v>6000</v>
      </c>
      <c r="S873" s="117">
        <v>202303</v>
      </c>
      <c r="T873" s="184"/>
      <c r="U873" s="185"/>
      <c r="V873" s="133"/>
      <c r="W873" s="133"/>
      <c r="X873" s="118">
        <v>43008</v>
      </c>
      <c r="Y873" s="118">
        <v>45199</v>
      </c>
    </row>
    <row r="874" s="79" customFormat="1" customHeight="1" spans="1:25">
      <c r="A874" s="98" t="s">
        <v>403</v>
      </c>
      <c r="B874" s="98" t="s">
        <v>62</v>
      </c>
      <c r="C874" s="98" t="s">
        <v>217</v>
      </c>
      <c r="D874" s="98" t="s">
        <v>566</v>
      </c>
      <c r="E874" s="147" t="s">
        <v>1205</v>
      </c>
      <c r="F874" s="98" t="s">
        <v>942</v>
      </c>
      <c r="G874" s="151" t="s">
        <v>88</v>
      </c>
      <c r="H874" s="19" t="s">
        <v>1209</v>
      </c>
      <c r="I874" s="23" t="e">
        <f>VLOOKUP(H874,'合同综合查询数据（3月返）'!$A:$A,1,FALSE)</f>
        <v>#N/A</v>
      </c>
      <c r="J874" s="24" t="s">
        <v>90</v>
      </c>
      <c r="K874" s="151" t="s">
        <v>1210</v>
      </c>
      <c r="L874" s="189"/>
      <c r="M874" s="26" t="s">
        <v>945</v>
      </c>
      <c r="N874" s="190">
        <v>43160</v>
      </c>
      <c r="O874" s="190" t="s">
        <v>457</v>
      </c>
      <c r="P874" s="173">
        <v>6000</v>
      </c>
      <c r="Q874" s="173">
        <v>7</v>
      </c>
      <c r="R874" s="120">
        <f t="shared" si="26"/>
        <v>42000</v>
      </c>
      <c r="S874" s="117">
        <v>202303</v>
      </c>
      <c r="T874" s="184"/>
      <c r="U874" s="185"/>
      <c r="V874" s="133"/>
      <c r="W874" s="133"/>
      <c r="X874" s="118">
        <v>43008</v>
      </c>
      <c r="Y874" s="118">
        <v>45199</v>
      </c>
    </row>
    <row r="875" s="79" customFormat="1" customHeight="1" spans="1:25">
      <c r="A875" s="98" t="s">
        <v>403</v>
      </c>
      <c r="B875" s="98" t="s">
        <v>62</v>
      </c>
      <c r="C875" s="98" t="s">
        <v>217</v>
      </c>
      <c r="D875" s="98" t="s">
        <v>566</v>
      </c>
      <c r="E875" s="147" t="s">
        <v>1205</v>
      </c>
      <c r="F875" s="98" t="s">
        <v>942</v>
      </c>
      <c r="G875" s="151" t="s">
        <v>88</v>
      </c>
      <c r="H875" s="19" t="s">
        <v>1209</v>
      </c>
      <c r="I875" s="23" t="e">
        <f>VLOOKUP(H875,'合同综合查询数据（3月返）'!$A:$A,1,FALSE)</f>
        <v>#N/A</v>
      </c>
      <c r="J875" s="24" t="s">
        <v>90</v>
      </c>
      <c r="K875" s="151" t="s">
        <v>1210</v>
      </c>
      <c r="L875" s="189"/>
      <c r="M875" s="26" t="s">
        <v>945</v>
      </c>
      <c r="N875" s="190">
        <v>43161</v>
      </c>
      <c r="O875" s="190" t="s">
        <v>457</v>
      </c>
      <c r="P875" s="173">
        <v>6000</v>
      </c>
      <c r="Q875" s="173">
        <v>6</v>
      </c>
      <c r="R875" s="120">
        <f t="shared" si="26"/>
        <v>36000</v>
      </c>
      <c r="S875" s="117">
        <v>202303</v>
      </c>
      <c r="T875" s="184"/>
      <c r="U875" s="185"/>
      <c r="V875" s="133"/>
      <c r="W875" s="133"/>
      <c r="X875" s="118">
        <v>43008</v>
      </c>
      <c r="Y875" s="118">
        <v>45199</v>
      </c>
    </row>
    <row r="876" s="79" customFormat="1" customHeight="1" spans="1:25">
      <c r="A876" s="98" t="s">
        <v>403</v>
      </c>
      <c r="B876" s="98" t="s">
        <v>62</v>
      </c>
      <c r="C876" s="98" t="s">
        <v>217</v>
      </c>
      <c r="D876" s="98" t="s">
        <v>566</v>
      </c>
      <c r="E876" s="147" t="s">
        <v>1205</v>
      </c>
      <c r="F876" s="98" t="s">
        <v>942</v>
      </c>
      <c r="G876" s="151" t="s">
        <v>88</v>
      </c>
      <c r="H876" s="19" t="s">
        <v>1209</v>
      </c>
      <c r="I876" s="23" t="e">
        <f>VLOOKUP(H876,'合同综合查询数据（3月返）'!$A:$A,1,FALSE)</f>
        <v>#N/A</v>
      </c>
      <c r="J876" s="24" t="s">
        <v>90</v>
      </c>
      <c r="K876" s="151" t="s">
        <v>1210</v>
      </c>
      <c r="L876" s="189"/>
      <c r="M876" s="26" t="s">
        <v>945</v>
      </c>
      <c r="N876" s="190">
        <v>43167</v>
      </c>
      <c r="O876" s="190" t="s">
        <v>457</v>
      </c>
      <c r="P876" s="173">
        <v>6000</v>
      </c>
      <c r="Q876" s="173">
        <v>7</v>
      </c>
      <c r="R876" s="120">
        <f t="shared" si="26"/>
        <v>42000</v>
      </c>
      <c r="S876" s="117">
        <v>202303</v>
      </c>
      <c r="T876" s="184"/>
      <c r="U876" s="185"/>
      <c r="V876" s="133"/>
      <c r="W876" s="133"/>
      <c r="X876" s="118">
        <v>43008</v>
      </c>
      <c r="Y876" s="118">
        <v>45199</v>
      </c>
    </row>
    <row r="877" s="79" customFormat="1" customHeight="1" spans="1:25">
      <c r="A877" s="98" t="s">
        <v>403</v>
      </c>
      <c r="B877" s="98" t="s">
        <v>62</v>
      </c>
      <c r="C877" s="98" t="s">
        <v>217</v>
      </c>
      <c r="D877" s="98" t="s">
        <v>566</v>
      </c>
      <c r="E877" s="147" t="s">
        <v>1205</v>
      </c>
      <c r="F877" s="98" t="s">
        <v>942</v>
      </c>
      <c r="G877" s="151" t="s">
        <v>88</v>
      </c>
      <c r="H877" s="19" t="s">
        <v>1209</v>
      </c>
      <c r="I877" s="23" t="e">
        <f>VLOOKUP(H877,'合同综合查询数据（3月返）'!$A:$A,1,FALSE)</f>
        <v>#N/A</v>
      </c>
      <c r="J877" s="24" t="s">
        <v>90</v>
      </c>
      <c r="K877" s="151" t="s">
        <v>1210</v>
      </c>
      <c r="L877" s="189"/>
      <c r="M877" s="26" t="s">
        <v>945</v>
      </c>
      <c r="N877" s="190">
        <v>43168</v>
      </c>
      <c r="O877" s="190" t="s">
        <v>457</v>
      </c>
      <c r="P877" s="173">
        <v>6000</v>
      </c>
      <c r="Q877" s="173">
        <v>1</v>
      </c>
      <c r="R877" s="120">
        <f t="shared" si="26"/>
        <v>6000</v>
      </c>
      <c r="S877" s="117">
        <v>202303</v>
      </c>
      <c r="T877" s="184"/>
      <c r="U877" s="185"/>
      <c r="V877" s="133"/>
      <c r="W877" s="133"/>
      <c r="X877" s="118">
        <v>43008</v>
      </c>
      <c r="Y877" s="118">
        <v>45199</v>
      </c>
    </row>
    <row r="878" s="79" customFormat="1" customHeight="1" spans="1:25">
      <c r="A878" s="98" t="s">
        <v>403</v>
      </c>
      <c r="B878" s="98" t="s">
        <v>62</v>
      </c>
      <c r="C878" s="98" t="s">
        <v>217</v>
      </c>
      <c r="D878" s="98" t="s">
        <v>566</v>
      </c>
      <c r="E878" s="147" t="s">
        <v>1205</v>
      </c>
      <c r="F878" s="98" t="s">
        <v>942</v>
      </c>
      <c r="G878" s="151" t="s">
        <v>88</v>
      </c>
      <c r="H878" s="19" t="s">
        <v>1209</v>
      </c>
      <c r="I878" s="23" t="e">
        <f>VLOOKUP(H878,'合同综合查询数据（3月返）'!$A:$A,1,FALSE)</f>
        <v>#N/A</v>
      </c>
      <c r="J878" s="24" t="s">
        <v>90</v>
      </c>
      <c r="K878" s="151" t="s">
        <v>1210</v>
      </c>
      <c r="L878" s="189"/>
      <c r="M878" s="26" t="s">
        <v>945</v>
      </c>
      <c r="N878" s="190">
        <v>43173</v>
      </c>
      <c r="O878" s="190" t="s">
        <v>457</v>
      </c>
      <c r="P878" s="173">
        <v>6000</v>
      </c>
      <c r="Q878" s="173">
        <v>1</v>
      </c>
      <c r="R878" s="120">
        <f t="shared" si="26"/>
        <v>6000</v>
      </c>
      <c r="S878" s="117">
        <v>202303</v>
      </c>
      <c r="T878" s="184"/>
      <c r="U878" s="185"/>
      <c r="V878" s="133"/>
      <c r="W878" s="133"/>
      <c r="X878" s="118">
        <v>43008</v>
      </c>
      <c r="Y878" s="118">
        <v>45199</v>
      </c>
    </row>
    <row r="879" s="79" customFormat="1" customHeight="1" spans="1:25">
      <c r="A879" s="98" t="s">
        <v>403</v>
      </c>
      <c r="B879" s="98" t="s">
        <v>62</v>
      </c>
      <c r="C879" s="98" t="s">
        <v>217</v>
      </c>
      <c r="D879" s="98" t="s">
        <v>566</v>
      </c>
      <c r="E879" s="147" t="s">
        <v>1205</v>
      </c>
      <c r="F879" s="98" t="s">
        <v>942</v>
      </c>
      <c r="G879" s="151" t="s">
        <v>88</v>
      </c>
      <c r="H879" s="19" t="s">
        <v>1209</v>
      </c>
      <c r="I879" s="23" t="e">
        <f>VLOOKUP(H879,'合同综合查询数据（3月返）'!$A:$A,1,FALSE)</f>
        <v>#N/A</v>
      </c>
      <c r="J879" s="24" t="s">
        <v>90</v>
      </c>
      <c r="K879" s="151" t="s">
        <v>1210</v>
      </c>
      <c r="L879" s="189"/>
      <c r="M879" s="26" t="s">
        <v>945</v>
      </c>
      <c r="N879" s="190">
        <v>43174</v>
      </c>
      <c r="O879" s="190" t="s">
        <v>457</v>
      </c>
      <c r="P879" s="173">
        <v>6000</v>
      </c>
      <c r="Q879" s="173">
        <v>1</v>
      </c>
      <c r="R879" s="120">
        <f t="shared" si="26"/>
        <v>6000</v>
      </c>
      <c r="S879" s="117">
        <v>202303</v>
      </c>
      <c r="T879" s="184"/>
      <c r="U879" s="185"/>
      <c r="V879" s="133"/>
      <c r="W879" s="133"/>
      <c r="X879" s="118">
        <v>43008</v>
      </c>
      <c r="Y879" s="118">
        <v>45199</v>
      </c>
    </row>
    <row r="880" s="79" customFormat="1" customHeight="1" spans="1:25">
      <c r="A880" s="98" t="s">
        <v>403</v>
      </c>
      <c r="B880" s="98" t="s">
        <v>62</v>
      </c>
      <c r="C880" s="98" t="s">
        <v>217</v>
      </c>
      <c r="D880" s="98" t="s">
        <v>566</v>
      </c>
      <c r="E880" s="147" t="s">
        <v>1205</v>
      </c>
      <c r="F880" s="98" t="s">
        <v>942</v>
      </c>
      <c r="G880" s="151" t="s">
        <v>88</v>
      </c>
      <c r="H880" s="19" t="s">
        <v>1209</v>
      </c>
      <c r="I880" s="23" t="e">
        <f>VLOOKUP(H880,'合同综合查询数据（3月返）'!$A:$A,1,FALSE)</f>
        <v>#N/A</v>
      </c>
      <c r="J880" s="24" t="s">
        <v>90</v>
      </c>
      <c r="K880" s="151" t="s">
        <v>1210</v>
      </c>
      <c r="L880" s="189"/>
      <c r="M880" s="26" t="s">
        <v>945</v>
      </c>
      <c r="N880" s="190">
        <v>43179</v>
      </c>
      <c r="O880" s="190" t="s">
        <v>457</v>
      </c>
      <c r="P880" s="173">
        <v>6000</v>
      </c>
      <c r="Q880" s="173">
        <v>2</v>
      </c>
      <c r="R880" s="120">
        <f t="shared" si="26"/>
        <v>12000</v>
      </c>
      <c r="S880" s="117">
        <v>202303</v>
      </c>
      <c r="T880" s="184"/>
      <c r="U880" s="185"/>
      <c r="V880" s="133"/>
      <c r="W880" s="133"/>
      <c r="X880" s="118">
        <v>43008</v>
      </c>
      <c r="Y880" s="118">
        <v>45199</v>
      </c>
    </row>
    <row r="881" s="79" customFormat="1" customHeight="1" spans="1:25">
      <c r="A881" s="98" t="s">
        <v>403</v>
      </c>
      <c r="B881" s="98" t="s">
        <v>62</v>
      </c>
      <c r="C881" s="98" t="s">
        <v>217</v>
      </c>
      <c r="D881" s="98" t="s">
        <v>566</v>
      </c>
      <c r="E881" s="147" t="s">
        <v>1205</v>
      </c>
      <c r="F881" s="98" t="s">
        <v>942</v>
      </c>
      <c r="G881" s="151" t="s">
        <v>88</v>
      </c>
      <c r="H881" s="19" t="s">
        <v>1209</v>
      </c>
      <c r="I881" s="23" t="e">
        <f>VLOOKUP(H881,'合同综合查询数据（3月返）'!$A:$A,1,FALSE)</f>
        <v>#N/A</v>
      </c>
      <c r="J881" s="24" t="s">
        <v>90</v>
      </c>
      <c r="K881" s="151" t="s">
        <v>1210</v>
      </c>
      <c r="L881" s="189"/>
      <c r="M881" s="26" t="s">
        <v>945</v>
      </c>
      <c r="N881" s="190">
        <v>43218</v>
      </c>
      <c r="O881" s="190" t="s">
        <v>457</v>
      </c>
      <c r="P881" s="173">
        <v>6000</v>
      </c>
      <c r="Q881" s="173">
        <v>20</v>
      </c>
      <c r="R881" s="120">
        <f t="shared" si="26"/>
        <v>120000</v>
      </c>
      <c r="S881" s="117">
        <v>202303</v>
      </c>
      <c r="T881" s="184"/>
      <c r="U881" s="185"/>
      <c r="V881" s="133"/>
      <c r="W881" s="133"/>
      <c r="X881" s="118">
        <v>43008</v>
      </c>
      <c r="Y881" s="118">
        <v>45199</v>
      </c>
    </row>
    <row r="882" s="79" customFormat="1" customHeight="1" spans="1:25">
      <c r="A882" s="98" t="s">
        <v>403</v>
      </c>
      <c r="B882" s="98" t="s">
        <v>62</v>
      </c>
      <c r="C882" s="98" t="s">
        <v>217</v>
      </c>
      <c r="D882" s="98" t="s">
        <v>566</v>
      </c>
      <c r="E882" s="147" t="s">
        <v>1205</v>
      </c>
      <c r="F882" s="98" t="s">
        <v>942</v>
      </c>
      <c r="G882" s="151" t="s">
        <v>88</v>
      </c>
      <c r="H882" s="19" t="s">
        <v>1209</v>
      </c>
      <c r="I882" s="23" t="e">
        <f>VLOOKUP(H882,'合同综合查询数据（3月返）'!$A:$A,1,FALSE)</f>
        <v>#N/A</v>
      </c>
      <c r="J882" s="24" t="s">
        <v>90</v>
      </c>
      <c r="K882" s="151" t="s">
        <v>1210</v>
      </c>
      <c r="L882" s="189"/>
      <c r="M882" s="26" t="s">
        <v>945</v>
      </c>
      <c r="N882" s="190">
        <v>43225</v>
      </c>
      <c r="O882" s="190" t="s">
        <v>457</v>
      </c>
      <c r="P882" s="173">
        <v>6000</v>
      </c>
      <c r="Q882" s="173">
        <v>17</v>
      </c>
      <c r="R882" s="120">
        <f t="shared" si="26"/>
        <v>102000</v>
      </c>
      <c r="S882" s="117">
        <v>202303</v>
      </c>
      <c r="T882" s="184"/>
      <c r="U882" s="185"/>
      <c r="V882" s="133"/>
      <c r="W882" s="133"/>
      <c r="X882" s="118">
        <v>43008</v>
      </c>
      <c r="Y882" s="118">
        <v>45199</v>
      </c>
    </row>
    <row r="883" s="79" customFormat="1" customHeight="1" spans="1:25">
      <c r="A883" s="98" t="s">
        <v>403</v>
      </c>
      <c r="B883" s="98" t="s">
        <v>62</v>
      </c>
      <c r="C883" s="98" t="s">
        <v>217</v>
      </c>
      <c r="D883" s="98" t="s">
        <v>566</v>
      </c>
      <c r="E883" s="147" t="s">
        <v>1205</v>
      </c>
      <c r="F883" s="98" t="s">
        <v>942</v>
      </c>
      <c r="G883" s="151" t="s">
        <v>88</v>
      </c>
      <c r="H883" s="19" t="s">
        <v>1209</v>
      </c>
      <c r="I883" s="23" t="e">
        <f>VLOOKUP(H883,'合同综合查询数据（3月返）'!$A:$A,1,FALSE)</f>
        <v>#N/A</v>
      </c>
      <c r="J883" s="24" t="s">
        <v>90</v>
      </c>
      <c r="K883" s="151" t="s">
        <v>1210</v>
      </c>
      <c r="L883" s="189"/>
      <c r="M883" s="26" t="s">
        <v>945</v>
      </c>
      <c r="N883" s="190">
        <v>43252</v>
      </c>
      <c r="O883" s="190" t="s">
        <v>457</v>
      </c>
      <c r="P883" s="173">
        <v>6000</v>
      </c>
      <c r="Q883" s="173">
        <v>3</v>
      </c>
      <c r="R883" s="120">
        <f t="shared" si="26"/>
        <v>18000</v>
      </c>
      <c r="S883" s="117">
        <v>202303</v>
      </c>
      <c r="T883" s="184"/>
      <c r="U883" s="185"/>
      <c r="V883" s="133"/>
      <c r="W883" s="133"/>
      <c r="X883" s="118">
        <v>43008</v>
      </c>
      <c r="Y883" s="118">
        <v>45199</v>
      </c>
    </row>
    <row r="884" s="79" customFormat="1" customHeight="1" spans="1:25">
      <c r="A884" s="98" t="s">
        <v>403</v>
      </c>
      <c r="B884" s="98" t="s">
        <v>62</v>
      </c>
      <c r="C884" s="98" t="s">
        <v>217</v>
      </c>
      <c r="D884" s="98" t="s">
        <v>566</v>
      </c>
      <c r="E884" s="147" t="s">
        <v>1205</v>
      </c>
      <c r="F884" s="98" t="s">
        <v>942</v>
      </c>
      <c r="G884" s="151" t="s">
        <v>88</v>
      </c>
      <c r="H884" s="19" t="s">
        <v>1209</v>
      </c>
      <c r="I884" s="23" t="e">
        <f>VLOOKUP(H884,'合同综合查询数据（3月返）'!$A:$A,1,FALSE)</f>
        <v>#N/A</v>
      </c>
      <c r="J884" s="24" t="s">
        <v>90</v>
      </c>
      <c r="K884" s="151" t="s">
        <v>1210</v>
      </c>
      <c r="L884" s="189"/>
      <c r="M884" s="26" t="s">
        <v>945</v>
      </c>
      <c r="N884" s="190">
        <v>43327</v>
      </c>
      <c r="O884" s="190" t="s">
        <v>457</v>
      </c>
      <c r="P884" s="173">
        <v>6000</v>
      </c>
      <c r="Q884" s="173">
        <v>-8</v>
      </c>
      <c r="R884" s="120">
        <f t="shared" si="26"/>
        <v>-48000</v>
      </c>
      <c r="S884" s="117">
        <v>202303</v>
      </c>
      <c r="T884" s="184" t="s">
        <v>1214</v>
      </c>
      <c r="U884" s="185"/>
      <c r="V884" s="133"/>
      <c r="W884" s="133"/>
      <c r="X884" s="118">
        <v>43008</v>
      </c>
      <c r="Y884" s="118">
        <v>45199</v>
      </c>
    </row>
    <row r="885" s="79" customFormat="1" customHeight="1" spans="1:25">
      <c r="A885" s="98" t="s">
        <v>403</v>
      </c>
      <c r="B885" s="98" t="s">
        <v>62</v>
      </c>
      <c r="C885" s="98" t="s">
        <v>217</v>
      </c>
      <c r="D885" s="98" t="s">
        <v>566</v>
      </c>
      <c r="E885" s="147" t="s">
        <v>1205</v>
      </c>
      <c r="F885" s="98" t="s">
        <v>942</v>
      </c>
      <c r="G885" s="151" t="s">
        <v>88</v>
      </c>
      <c r="H885" s="19" t="s">
        <v>1209</v>
      </c>
      <c r="I885" s="23" t="e">
        <f>VLOOKUP(H885,'合同综合查询数据（3月返）'!$A:$A,1,FALSE)</f>
        <v>#N/A</v>
      </c>
      <c r="J885" s="24" t="s">
        <v>90</v>
      </c>
      <c r="K885" s="151" t="s">
        <v>1210</v>
      </c>
      <c r="L885" s="189"/>
      <c r="M885" s="26" t="s">
        <v>945</v>
      </c>
      <c r="N885" s="190">
        <v>43332</v>
      </c>
      <c r="O885" s="190" t="s">
        <v>457</v>
      </c>
      <c r="P885" s="173">
        <v>6000</v>
      </c>
      <c r="Q885" s="173">
        <v>3</v>
      </c>
      <c r="R885" s="120">
        <f t="shared" si="26"/>
        <v>18000</v>
      </c>
      <c r="S885" s="117">
        <v>202303</v>
      </c>
      <c r="T885" s="184" t="s">
        <v>1215</v>
      </c>
      <c r="U885" s="185"/>
      <c r="V885" s="133"/>
      <c r="W885" s="133"/>
      <c r="X885" s="118">
        <v>43008</v>
      </c>
      <c r="Y885" s="118">
        <v>45199</v>
      </c>
    </row>
    <row r="886" s="79" customFormat="1" customHeight="1" spans="1:25">
      <c r="A886" s="98" t="s">
        <v>403</v>
      </c>
      <c r="B886" s="98" t="s">
        <v>62</v>
      </c>
      <c r="C886" s="98" t="s">
        <v>217</v>
      </c>
      <c r="D886" s="98" t="s">
        <v>566</v>
      </c>
      <c r="E886" s="147" t="s">
        <v>1205</v>
      </c>
      <c r="F886" s="98" t="s">
        <v>942</v>
      </c>
      <c r="G886" s="151" t="s">
        <v>88</v>
      </c>
      <c r="H886" s="19" t="s">
        <v>1209</v>
      </c>
      <c r="I886" s="23" t="e">
        <f>VLOOKUP(H886,'合同综合查询数据（3月返）'!$A:$A,1,FALSE)</f>
        <v>#N/A</v>
      </c>
      <c r="J886" s="24" t="s">
        <v>90</v>
      </c>
      <c r="K886" s="151" t="s">
        <v>1210</v>
      </c>
      <c r="L886" s="189"/>
      <c r="M886" s="26" t="s">
        <v>945</v>
      </c>
      <c r="N886" s="190">
        <v>43349</v>
      </c>
      <c r="O886" s="190" t="s">
        <v>457</v>
      </c>
      <c r="P886" s="173">
        <v>6000</v>
      </c>
      <c r="Q886" s="173">
        <v>1</v>
      </c>
      <c r="R886" s="120">
        <f t="shared" si="26"/>
        <v>6000</v>
      </c>
      <c r="S886" s="117">
        <v>202303</v>
      </c>
      <c r="T886" s="184" t="s">
        <v>1216</v>
      </c>
      <c r="U886" s="185"/>
      <c r="V886" s="133"/>
      <c r="W886" s="133"/>
      <c r="X886" s="118">
        <v>43008</v>
      </c>
      <c r="Y886" s="118">
        <v>45199</v>
      </c>
    </row>
    <row r="887" s="79" customFormat="1" customHeight="1" spans="1:25">
      <c r="A887" s="98" t="s">
        <v>403</v>
      </c>
      <c r="B887" s="98" t="s">
        <v>62</v>
      </c>
      <c r="C887" s="98" t="s">
        <v>217</v>
      </c>
      <c r="D887" s="98" t="s">
        <v>566</v>
      </c>
      <c r="E887" s="147" t="s">
        <v>1205</v>
      </c>
      <c r="F887" s="98" t="s">
        <v>942</v>
      </c>
      <c r="G887" s="151" t="s">
        <v>88</v>
      </c>
      <c r="H887" s="19" t="s">
        <v>1209</v>
      </c>
      <c r="I887" s="23" t="e">
        <f>VLOOKUP(H887,'合同综合查询数据（3月返）'!$A:$A,1,FALSE)</f>
        <v>#N/A</v>
      </c>
      <c r="J887" s="24" t="s">
        <v>90</v>
      </c>
      <c r="K887" s="151" t="s">
        <v>1210</v>
      </c>
      <c r="L887" s="189"/>
      <c r="M887" s="26" t="s">
        <v>945</v>
      </c>
      <c r="N887" s="190">
        <v>43354</v>
      </c>
      <c r="O887" s="190" t="s">
        <v>457</v>
      </c>
      <c r="P887" s="173">
        <v>6000</v>
      </c>
      <c r="Q887" s="173">
        <v>2</v>
      </c>
      <c r="R887" s="120">
        <f t="shared" si="26"/>
        <v>12000</v>
      </c>
      <c r="S887" s="117">
        <v>202303</v>
      </c>
      <c r="T887" s="184" t="s">
        <v>1217</v>
      </c>
      <c r="U887" s="185"/>
      <c r="V887" s="133"/>
      <c r="W887" s="133"/>
      <c r="X887" s="118">
        <v>43008</v>
      </c>
      <c r="Y887" s="118">
        <v>45199</v>
      </c>
    </row>
    <row r="888" s="79" customFormat="1" customHeight="1" spans="1:25">
      <c r="A888" s="98" t="s">
        <v>403</v>
      </c>
      <c r="B888" s="98" t="s">
        <v>62</v>
      </c>
      <c r="C888" s="98" t="s">
        <v>217</v>
      </c>
      <c r="D888" s="98" t="s">
        <v>566</v>
      </c>
      <c r="E888" s="147" t="s">
        <v>1205</v>
      </c>
      <c r="F888" s="98" t="s">
        <v>942</v>
      </c>
      <c r="G888" s="151" t="s">
        <v>88</v>
      </c>
      <c r="H888" s="19" t="s">
        <v>1209</v>
      </c>
      <c r="I888" s="23" t="e">
        <f>VLOOKUP(H888,'合同综合查询数据（3月返）'!$A:$A,1,FALSE)</f>
        <v>#N/A</v>
      </c>
      <c r="J888" s="24" t="s">
        <v>90</v>
      </c>
      <c r="K888" s="151" t="s">
        <v>1210</v>
      </c>
      <c r="L888" s="189"/>
      <c r="M888" s="26" t="s">
        <v>945</v>
      </c>
      <c r="N888" s="190">
        <v>43340</v>
      </c>
      <c r="O888" s="190" t="s">
        <v>457</v>
      </c>
      <c r="P888" s="173">
        <v>6000</v>
      </c>
      <c r="Q888" s="173">
        <v>2</v>
      </c>
      <c r="R888" s="120">
        <f t="shared" si="26"/>
        <v>12000</v>
      </c>
      <c r="S888" s="117">
        <v>202303</v>
      </c>
      <c r="T888" s="184" t="s">
        <v>1218</v>
      </c>
      <c r="U888" s="185"/>
      <c r="V888" s="133"/>
      <c r="W888" s="133"/>
      <c r="X888" s="118">
        <v>43008</v>
      </c>
      <c r="Y888" s="118">
        <v>45199</v>
      </c>
    </row>
    <row r="889" s="79" customFormat="1" customHeight="1" spans="1:25">
      <c r="A889" s="98" t="s">
        <v>403</v>
      </c>
      <c r="B889" s="98" t="s">
        <v>62</v>
      </c>
      <c r="C889" s="98" t="s">
        <v>217</v>
      </c>
      <c r="D889" s="98" t="s">
        <v>566</v>
      </c>
      <c r="E889" s="147" t="s">
        <v>1205</v>
      </c>
      <c r="F889" s="98" t="s">
        <v>942</v>
      </c>
      <c r="G889" s="151" t="s">
        <v>88</v>
      </c>
      <c r="H889" s="19" t="s">
        <v>1209</v>
      </c>
      <c r="I889" s="23" t="e">
        <f>VLOOKUP(H889,'合同综合查询数据（3月返）'!$A:$A,1,FALSE)</f>
        <v>#N/A</v>
      </c>
      <c r="J889" s="24" t="s">
        <v>90</v>
      </c>
      <c r="K889" s="151" t="s">
        <v>1210</v>
      </c>
      <c r="L889" s="189"/>
      <c r="M889" s="26" t="s">
        <v>945</v>
      </c>
      <c r="N889" s="190">
        <v>43342</v>
      </c>
      <c r="O889" s="190" t="s">
        <v>457</v>
      </c>
      <c r="P889" s="173">
        <v>6000</v>
      </c>
      <c r="Q889" s="173">
        <v>1</v>
      </c>
      <c r="R889" s="120">
        <f t="shared" si="26"/>
        <v>6000</v>
      </c>
      <c r="S889" s="117">
        <v>202303</v>
      </c>
      <c r="T889" s="184" t="s">
        <v>1219</v>
      </c>
      <c r="U889" s="185"/>
      <c r="V889" s="133"/>
      <c r="W889" s="133"/>
      <c r="X889" s="118">
        <v>43008</v>
      </c>
      <c r="Y889" s="118">
        <v>45199</v>
      </c>
    </row>
    <row r="890" s="79" customFormat="1" customHeight="1" spans="1:25">
      <c r="A890" s="98" t="s">
        <v>403</v>
      </c>
      <c r="B890" s="98" t="s">
        <v>62</v>
      </c>
      <c r="C890" s="98" t="s">
        <v>217</v>
      </c>
      <c r="D890" s="98" t="s">
        <v>566</v>
      </c>
      <c r="E890" s="147" t="s">
        <v>1205</v>
      </c>
      <c r="F890" s="98" t="s">
        <v>942</v>
      </c>
      <c r="G890" s="151" t="s">
        <v>88</v>
      </c>
      <c r="H890" s="19" t="s">
        <v>1209</v>
      </c>
      <c r="I890" s="23" t="e">
        <f>VLOOKUP(H890,'合同综合查询数据（3月返）'!$A:$A,1,FALSE)</f>
        <v>#N/A</v>
      </c>
      <c r="J890" s="24" t="s">
        <v>90</v>
      </c>
      <c r="K890" s="151" t="s">
        <v>1210</v>
      </c>
      <c r="L890" s="189"/>
      <c r="M890" s="26" t="s">
        <v>945</v>
      </c>
      <c r="N890" s="190">
        <v>43347</v>
      </c>
      <c r="O890" s="190" t="s">
        <v>457</v>
      </c>
      <c r="P890" s="173">
        <v>6000</v>
      </c>
      <c r="Q890" s="173">
        <v>8</v>
      </c>
      <c r="R890" s="120">
        <f t="shared" si="26"/>
        <v>48000</v>
      </c>
      <c r="S890" s="117">
        <v>202303</v>
      </c>
      <c r="T890" s="184" t="s">
        <v>1220</v>
      </c>
      <c r="U890" s="185"/>
      <c r="V890" s="133"/>
      <c r="W890" s="133"/>
      <c r="X890" s="118">
        <v>43008</v>
      </c>
      <c r="Y890" s="118">
        <v>45199</v>
      </c>
    </row>
    <row r="891" s="79" customFormat="1" customHeight="1" spans="1:25">
      <c r="A891" s="98" t="s">
        <v>403</v>
      </c>
      <c r="B891" s="98" t="s">
        <v>62</v>
      </c>
      <c r="C891" s="98" t="s">
        <v>217</v>
      </c>
      <c r="D891" s="98" t="s">
        <v>566</v>
      </c>
      <c r="E891" s="147" t="s">
        <v>1205</v>
      </c>
      <c r="F891" s="98" t="s">
        <v>942</v>
      </c>
      <c r="G891" s="151" t="s">
        <v>88</v>
      </c>
      <c r="H891" s="19" t="s">
        <v>1209</v>
      </c>
      <c r="I891" s="23" t="e">
        <f>VLOOKUP(H891,'合同综合查询数据（3月返）'!$A:$A,1,FALSE)</f>
        <v>#N/A</v>
      </c>
      <c r="J891" s="24" t="s">
        <v>90</v>
      </c>
      <c r="K891" s="151" t="s">
        <v>1210</v>
      </c>
      <c r="L891" s="189"/>
      <c r="M891" s="26" t="s">
        <v>945</v>
      </c>
      <c r="N891" s="190">
        <v>43347</v>
      </c>
      <c r="O891" s="190" t="s">
        <v>457</v>
      </c>
      <c r="P891" s="173">
        <v>6000</v>
      </c>
      <c r="Q891" s="173">
        <v>3</v>
      </c>
      <c r="R891" s="120">
        <f t="shared" si="26"/>
        <v>18000</v>
      </c>
      <c r="S891" s="117">
        <v>202303</v>
      </c>
      <c r="T891" s="184" t="s">
        <v>1221</v>
      </c>
      <c r="U891" s="185"/>
      <c r="V891" s="133"/>
      <c r="W891" s="133"/>
      <c r="X891" s="118">
        <v>43008</v>
      </c>
      <c r="Y891" s="118">
        <v>45199</v>
      </c>
    </row>
    <row r="892" s="79" customFormat="1" customHeight="1" spans="1:25">
      <c r="A892" s="98" t="s">
        <v>403</v>
      </c>
      <c r="B892" s="98" t="s">
        <v>62</v>
      </c>
      <c r="C892" s="98" t="s">
        <v>217</v>
      </c>
      <c r="D892" s="98" t="s">
        <v>566</v>
      </c>
      <c r="E892" s="147" t="s">
        <v>1205</v>
      </c>
      <c r="F892" s="98" t="s">
        <v>942</v>
      </c>
      <c r="G892" s="151" t="s">
        <v>88</v>
      </c>
      <c r="H892" s="19" t="s">
        <v>1209</v>
      </c>
      <c r="I892" s="23" t="e">
        <f>VLOOKUP(H892,'合同综合查询数据（3月返）'!$A:$A,1,FALSE)</f>
        <v>#N/A</v>
      </c>
      <c r="J892" s="24" t="s">
        <v>90</v>
      </c>
      <c r="K892" s="151" t="s">
        <v>1210</v>
      </c>
      <c r="L892" s="189"/>
      <c r="M892" s="26" t="s">
        <v>945</v>
      </c>
      <c r="N892" s="191">
        <v>43363</v>
      </c>
      <c r="O892" s="155" t="s">
        <v>457</v>
      </c>
      <c r="P892" s="173">
        <v>6000</v>
      </c>
      <c r="Q892" s="173">
        <v>3</v>
      </c>
      <c r="R892" s="120">
        <f t="shared" si="26"/>
        <v>18000</v>
      </c>
      <c r="S892" s="117">
        <v>202303</v>
      </c>
      <c r="T892" s="184" t="s">
        <v>1222</v>
      </c>
      <c r="U892" s="185"/>
      <c r="V892" s="133"/>
      <c r="W892" s="133"/>
      <c r="X892" s="118">
        <v>43008</v>
      </c>
      <c r="Y892" s="118">
        <v>45199</v>
      </c>
    </row>
    <row r="893" s="79" customFormat="1" customHeight="1" spans="1:25">
      <c r="A893" s="98" t="s">
        <v>403</v>
      </c>
      <c r="B893" s="98" t="s">
        <v>62</v>
      </c>
      <c r="C893" s="98" t="s">
        <v>217</v>
      </c>
      <c r="D893" s="98" t="s">
        <v>566</v>
      </c>
      <c r="E893" s="147" t="s">
        <v>1205</v>
      </c>
      <c r="F893" s="98" t="s">
        <v>942</v>
      </c>
      <c r="G893" s="151" t="s">
        <v>88</v>
      </c>
      <c r="H893" s="19" t="s">
        <v>1209</v>
      </c>
      <c r="I893" s="23" t="e">
        <f>VLOOKUP(H893,'合同综合查询数据（3月返）'!$A:$A,1,FALSE)</f>
        <v>#N/A</v>
      </c>
      <c r="J893" s="24" t="s">
        <v>90</v>
      </c>
      <c r="K893" s="151" t="s">
        <v>1210</v>
      </c>
      <c r="L893" s="189"/>
      <c r="M893" s="26" t="s">
        <v>945</v>
      </c>
      <c r="N893" s="191">
        <v>43382</v>
      </c>
      <c r="O893" s="155" t="s">
        <v>457</v>
      </c>
      <c r="P893" s="173">
        <v>6000</v>
      </c>
      <c r="Q893" s="173">
        <v>9</v>
      </c>
      <c r="R893" s="120">
        <f t="shared" si="26"/>
        <v>54000</v>
      </c>
      <c r="S893" s="117">
        <v>202303</v>
      </c>
      <c r="T893" s="184" t="s">
        <v>1223</v>
      </c>
      <c r="U893" s="185"/>
      <c r="V893" s="133"/>
      <c r="W893" s="133"/>
      <c r="X893" s="118">
        <v>43008</v>
      </c>
      <c r="Y893" s="118">
        <v>45199</v>
      </c>
    </row>
    <row r="894" s="79" customFormat="1" customHeight="1" spans="1:25">
      <c r="A894" s="98" t="s">
        <v>403</v>
      </c>
      <c r="B894" s="98" t="s">
        <v>62</v>
      </c>
      <c r="C894" s="98" t="s">
        <v>217</v>
      </c>
      <c r="D894" s="98" t="s">
        <v>566</v>
      </c>
      <c r="E894" s="147" t="s">
        <v>1205</v>
      </c>
      <c r="F894" s="98" t="s">
        <v>942</v>
      </c>
      <c r="G894" s="151" t="s">
        <v>88</v>
      </c>
      <c r="H894" s="19" t="s">
        <v>1209</v>
      </c>
      <c r="I894" s="23" t="e">
        <f>VLOOKUP(H894,'合同综合查询数据（3月返）'!$A:$A,1,FALSE)</f>
        <v>#N/A</v>
      </c>
      <c r="J894" s="24" t="s">
        <v>90</v>
      </c>
      <c r="K894" s="151" t="s">
        <v>1210</v>
      </c>
      <c r="L894" s="189"/>
      <c r="M894" s="26" t="s">
        <v>945</v>
      </c>
      <c r="N894" s="191">
        <v>43485</v>
      </c>
      <c r="O894" s="155" t="s">
        <v>457</v>
      </c>
      <c r="P894" s="173">
        <v>6000</v>
      </c>
      <c r="Q894" s="173">
        <v>2</v>
      </c>
      <c r="R894" s="120">
        <f t="shared" si="26"/>
        <v>12000</v>
      </c>
      <c r="S894" s="117">
        <v>202303</v>
      </c>
      <c r="T894" s="184"/>
      <c r="U894" s="185"/>
      <c r="V894" s="133"/>
      <c r="W894" s="133"/>
      <c r="X894" s="118">
        <v>43008</v>
      </c>
      <c r="Y894" s="118">
        <v>45199</v>
      </c>
    </row>
    <row r="895" s="79" customFormat="1" customHeight="1" spans="1:25">
      <c r="A895" s="98" t="s">
        <v>403</v>
      </c>
      <c r="B895" s="98" t="s">
        <v>62</v>
      </c>
      <c r="C895" s="98" t="s">
        <v>217</v>
      </c>
      <c r="D895" s="98" t="s">
        <v>566</v>
      </c>
      <c r="E895" s="147" t="s">
        <v>1205</v>
      </c>
      <c r="F895" s="98" t="s">
        <v>942</v>
      </c>
      <c r="G895" s="151" t="s">
        <v>88</v>
      </c>
      <c r="H895" s="19" t="s">
        <v>1209</v>
      </c>
      <c r="I895" s="23" t="e">
        <f>VLOOKUP(H895,'合同综合查询数据（3月返）'!$A:$A,1,FALSE)</f>
        <v>#N/A</v>
      </c>
      <c r="J895" s="24" t="s">
        <v>90</v>
      </c>
      <c r="K895" s="151" t="s">
        <v>1210</v>
      </c>
      <c r="L895" s="189"/>
      <c r="M895" s="26" t="s">
        <v>945</v>
      </c>
      <c r="N895" s="190">
        <v>43492</v>
      </c>
      <c r="O895" s="190" t="s">
        <v>457</v>
      </c>
      <c r="P895" s="173">
        <v>6000</v>
      </c>
      <c r="Q895" s="173">
        <v>3</v>
      </c>
      <c r="R895" s="120">
        <f t="shared" si="26"/>
        <v>18000</v>
      </c>
      <c r="S895" s="117">
        <v>202303</v>
      </c>
      <c r="T895" s="184"/>
      <c r="U895" s="185"/>
      <c r="V895" s="133"/>
      <c r="W895" s="133"/>
      <c r="X895" s="118">
        <v>43008</v>
      </c>
      <c r="Y895" s="118">
        <v>45199</v>
      </c>
    </row>
    <row r="896" s="79" customFormat="1" customHeight="1" spans="1:25">
      <c r="A896" s="98" t="s">
        <v>403</v>
      </c>
      <c r="B896" s="98" t="s">
        <v>62</v>
      </c>
      <c r="C896" s="98" t="s">
        <v>217</v>
      </c>
      <c r="D896" s="98" t="s">
        <v>566</v>
      </c>
      <c r="E896" s="147" t="s">
        <v>1205</v>
      </c>
      <c r="F896" s="98" t="s">
        <v>942</v>
      </c>
      <c r="G896" s="151" t="s">
        <v>88</v>
      </c>
      <c r="H896" s="19" t="s">
        <v>1209</v>
      </c>
      <c r="I896" s="23" t="e">
        <f>VLOOKUP(H896,'合同综合查询数据（3月返）'!$A:$A,1,FALSE)</f>
        <v>#N/A</v>
      </c>
      <c r="J896" s="24" t="s">
        <v>90</v>
      </c>
      <c r="K896" s="151" t="s">
        <v>1210</v>
      </c>
      <c r="L896" s="189"/>
      <c r="M896" s="26" t="s">
        <v>945</v>
      </c>
      <c r="N896" s="190">
        <v>43514</v>
      </c>
      <c r="O896" s="190" t="s">
        <v>457</v>
      </c>
      <c r="P896" s="173">
        <v>6000</v>
      </c>
      <c r="Q896" s="173">
        <v>1</v>
      </c>
      <c r="R896" s="120">
        <f t="shared" si="26"/>
        <v>6000</v>
      </c>
      <c r="S896" s="117">
        <v>202303</v>
      </c>
      <c r="T896" s="184" t="s">
        <v>1224</v>
      </c>
      <c r="U896" s="185"/>
      <c r="V896" s="133"/>
      <c r="W896" s="133"/>
      <c r="X896" s="118">
        <v>43008</v>
      </c>
      <c r="Y896" s="118">
        <v>45199</v>
      </c>
    </row>
    <row r="897" s="79" customFormat="1" customHeight="1" spans="1:25">
      <c r="A897" s="98" t="s">
        <v>403</v>
      </c>
      <c r="B897" s="98" t="s">
        <v>62</v>
      </c>
      <c r="C897" s="98" t="s">
        <v>217</v>
      </c>
      <c r="D897" s="98" t="s">
        <v>566</v>
      </c>
      <c r="E897" s="147" t="s">
        <v>1205</v>
      </c>
      <c r="F897" s="98" t="s">
        <v>942</v>
      </c>
      <c r="G897" s="151" t="s">
        <v>88</v>
      </c>
      <c r="H897" s="19" t="s">
        <v>1209</v>
      </c>
      <c r="I897" s="23" t="e">
        <f>VLOOKUP(H897,'合同综合查询数据（3月返）'!$A:$A,1,FALSE)</f>
        <v>#N/A</v>
      </c>
      <c r="J897" s="24" t="s">
        <v>90</v>
      </c>
      <c r="K897" s="151" t="s">
        <v>1210</v>
      </c>
      <c r="L897" s="189"/>
      <c r="M897" s="26" t="s">
        <v>945</v>
      </c>
      <c r="N897" s="190" t="s">
        <v>1225</v>
      </c>
      <c r="O897" s="190" t="s">
        <v>457</v>
      </c>
      <c r="P897" s="173">
        <v>6000</v>
      </c>
      <c r="Q897" s="173">
        <v>4</v>
      </c>
      <c r="R897" s="120">
        <f t="shared" si="26"/>
        <v>24000</v>
      </c>
      <c r="S897" s="117">
        <v>202303</v>
      </c>
      <c r="T897" s="184" t="s">
        <v>1226</v>
      </c>
      <c r="U897" s="185"/>
      <c r="V897" s="133"/>
      <c r="W897" s="133"/>
      <c r="X897" s="118">
        <v>43008</v>
      </c>
      <c r="Y897" s="118">
        <v>45199</v>
      </c>
    </row>
    <row r="898" s="79" customFormat="1" customHeight="1" spans="1:25">
      <c r="A898" s="98" t="s">
        <v>403</v>
      </c>
      <c r="B898" s="98" t="s">
        <v>62</v>
      </c>
      <c r="C898" s="98" t="s">
        <v>217</v>
      </c>
      <c r="D898" s="98" t="s">
        <v>566</v>
      </c>
      <c r="E898" s="147" t="s">
        <v>1205</v>
      </c>
      <c r="F898" s="98" t="s">
        <v>942</v>
      </c>
      <c r="G898" s="151" t="s">
        <v>88</v>
      </c>
      <c r="H898" s="19" t="s">
        <v>1209</v>
      </c>
      <c r="I898" s="23" t="e">
        <f>VLOOKUP(H898,'合同综合查询数据（3月返）'!$A:$A,1,FALSE)</f>
        <v>#N/A</v>
      </c>
      <c r="J898" s="24" t="s">
        <v>90</v>
      </c>
      <c r="K898" s="151" t="s">
        <v>1210</v>
      </c>
      <c r="L898" s="189"/>
      <c r="M898" s="26" t="s">
        <v>945</v>
      </c>
      <c r="N898" s="190">
        <v>44029</v>
      </c>
      <c r="O898" s="190" t="s">
        <v>457</v>
      </c>
      <c r="P898" s="173">
        <v>6000</v>
      </c>
      <c r="Q898" s="173">
        <v>15</v>
      </c>
      <c r="R898" s="120">
        <f t="shared" si="26"/>
        <v>90000</v>
      </c>
      <c r="S898" s="117">
        <v>202303</v>
      </c>
      <c r="T898" s="184" t="s">
        <v>1227</v>
      </c>
      <c r="U898" s="185"/>
      <c r="V898" s="133"/>
      <c r="W898" s="133"/>
      <c r="X898" s="118">
        <v>43008</v>
      </c>
      <c r="Y898" s="118">
        <v>45199</v>
      </c>
    </row>
    <row r="899" s="79" customFormat="1" customHeight="1" spans="1:25">
      <c r="A899" s="98" t="s">
        <v>403</v>
      </c>
      <c r="B899" s="98" t="s">
        <v>62</v>
      </c>
      <c r="C899" s="98" t="s">
        <v>217</v>
      </c>
      <c r="D899" s="98" t="s">
        <v>566</v>
      </c>
      <c r="E899" s="147" t="s">
        <v>1205</v>
      </c>
      <c r="F899" s="98" t="s">
        <v>942</v>
      </c>
      <c r="G899" s="151" t="s">
        <v>88</v>
      </c>
      <c r="H899" s="19" t="s">
        <v>1209</v>
      </c>
      <c r="I899" s="23" t="e">
        <f>VLOOKUP(H899,'合同综合查询数据（3月返）'!$A:$A,1,FALSE)</f>
        <v>#N/A</v>
      </c>
      <c r="J899" s="24" t="s">
        <v>90</v>
      </c>
      <c r="K899" s="151" t="s">
        <v>1210</v>
      </c>
      <c r="L899" s="189"/>
      <c r="M899" s="26" t="s">
        <v>945</v>
      </c>
      <c r="N899" s="190">
        <v>44035</v>
      </c>
      <c r="O899" s="190" t="s">
        <v>461</v>
      </c>
      <c r="P899" s="173">
        <v>6000</v>
      </c>
      <c r="Q899" s="173">
        <v>1</v>
      </c>
      <c r="R899" s="120">
        <f t="shared" si="26"/>
        <v>6000</v>
      </c>
      <c r="S899" s="117">
        <v>202303</v>
      </c>
      <c r="T899" s="184" t="s">
        <v>1228</v>
      </c>
      <c r="U899" s="185"/>
      <c r="V899" s="133"/>
      <c r="W899" s="133"/>
      <c r="X899" s="118">
        <v>43008</v>
      </c>
      <c r="Y899" s="118">
        <v>45199</v>
      </c>
    </row>
    <row r="900" s="79" customFormat="1" customHeight="1" spans="1:25">
      <c r="A900" s="98" t="s">
        <v>403</v>
      </c>
      <c r="B900" s="98" t="s">
        <v>62</v>
      </c>
      <c r="C900" s="98" t="s">
        <v>217</v>
      </c>
      <c r="D900" s="98" t="s">
        <v>566</v>
      </c>
      <c r="E900" s="147" t="s">
        <v>1205</v>
      </c>
      <c r="F900" s="98" t="s">
        <v>942</v>
      </c>
      <c r="G900" s="151" t="s">
        <v>88</v>
      </c>
      <c r="H900" s="19" t="s">
        <v>1209</v>
      </c>
      <c r="I900" s="23" t="e">
        <f>VLOOKUP(H900,'合同综合查询数据（3月返）'!$A:$A,1,FALSE)</f>
        <v>#N/A</v>
      </c>
      <c r="J900" s="24" t="s">
        <v>90</v>
      </c>
      <c r="K900" s="151" t="s">
        <v>1210</v>
      </c>
      <c r="L900" s="189"/>
      <c r="M900" s="26" t="s">
        <v>945</v>
      </c>
      <c r="N900" s="190">
        <v>44861</v>
      </c>
      <c r="O900" s="190" t="s">
        <v>457</v>
      </c>
      <c r="P900" s="173">
        <v>0</v>
      </c>
      <c r="Q900" s="173">
        <v>-4</v>
      </c>
      <c r="R900" s="120">
        <f t="shared" si="26"/>
        <v>0</v>
      </c>
      <c r="S900" s="117">
        <v>202303</v>
      </c>
      <c r="T900" s="184" t="s">
        <v>1229</v>
      </c>
      <c r="U900" s="185"/>
      <c r="V900" s="133"/>
      <c r="W900" s="133"/>
      <c r="X900" s="118">
        <v>43008</v>
      </c>
      <c r="Y900" s="118">
        <v>45199</v>
      </c>
    </row>
    <row r="901" s="79" customFormat="1" customHeight="1" spans="1:25">
      <c r="A901" s="98" t="s">
        <v>403</v>
      </c>
      <c r="B901" s="98" t="s">
        <v>62</v>
      </c>
      <c r="C901" s="98" t="s">
        <v>217</v>
      </c>
      <c r="D901" s="98" t="s">
        <v>566</v>
      </c>
      <c r="E901" s="147" t="s">
        <v>1205</v>
      </c>
      <c r="F901" s="98" t="s">
        <v>942</v>
      </c>
      <c r="G901" s="151" t="s">
        <v>88</v>
      </c>
      <c r="H901" s="19" t="s">
        <v>1209</v>
      </c>
      <c r="I901" s="23" t="e">
        <f>VLOOKUP(H901,'合同综合查询数据（3月返）'!$A:$A,1,FALSE)</f>
        <v>#N/A</v>
      </c>
      <c r="J901" s="98" t="s">
        <v>312</v>
      </c>
      <c r="K901" s="151" t="s">
        <v>1230</v>
      </c>
      <c r="L901" s="189"/>
      <c r="M901" s="26" t="s">
        <v>945</v>
      </c>
      <c r="N901" s="190">
        <v>43094</v>
      </c>
      <c r="O901" s="190" t="s">
        <v>1231</v>
      </c>
      <c r="P901" s="173">
        <v>300</v>
      </c>
      <c r="Q901" s="173">
        <v>3000</v>
      </c>
      <c r="R901" s="120">
        <f t="shared" si="26"/>
        <v>900000</v>
      </c>
      <c r="S901" s="117">
        <v>202303</v>
      </c>
      <c r="T901" s="184" t="s">
        <v>1232</v>
      </c>
      <c r="U901" s="185"/>
      <c r="V901" s="133"/>
      <c r="W901" s="133"/>
      <c r="X901" s="118">
        <v>43008</v>
      </c>
      <c r="Y901" s="118">
        <v>45199</v>
      </c>
    </row>
    <row r="902" s="79" customFormat="1" customHeight="1" spans="1:25">
      <c r="A902" s="98" t="s">
        <v>403</v>
      </c>
      <c r="B902" s="98" t="s">
        <v>62</v>
      </c>
      <c r="C902" s="98" t="s">
        <v>217</v>
      </c>
      <c r="D902" s="98" t="s">
        <v>566</v>
      </c>
      <c r="E902" s="147" t="s">
        <v>1205</v>
      </c>
      <c r="F902" s="98" t="s">
        <v>942</v>
      </c>
      <c r="G902" s="99" t="s">
        <v>67</v>
      </c>
      <c r="H902" s="186" t="s">
        <v>1233</v>
      </c>
      <c r="I902" s="23" t="e">
        <f>VLOOKUP(H902,'合同综合查询数据（3月返）'!$A:$A,1,FALSE)</f>
        <v>#N/A</v>
      </c>
      <c r="J902" s="99" t="s">
        <v>69</v>
      </c>
      <c r="K902" s="151" t="s">
        <v>1234</v>
      </c>
      <c r="L902" s="189"/>
      <c r="M902" s="26"/>
      <c r="N902" s="190">
        <v>43000</v>
      </c>
      <c r="O902" s="190" t="s">
        <v>71</v>
      </c>
      <c r="P902" s="173">
        <v>1600</v>
      </c>
      <c r="Q902" s="119">
        <v>1</v>
      </c>
      <c r="R902" s="120">
        <f t="shared" si="26"/>
        <v>1600</v>
      </c>
      <c r="S902" s="117">
        <v>202303</v>
      </c>
      <c r="T902" s="184" t="s">
        <v>1235</v>
      </c>
      <c r="U902" s="185"/>
      <c r="V902" s="133"/>
      <c r="W902" s="133"/>
      <c r="X902" s="118">
        <v>42948</v>
      </c>
      <c r="Y902" s="118">
        <v>45138</v>
      </c>
    </row>
    <row r="903" s="79" customFormat="1" customHeight="1" spans="1:25">
      <c r="A903" s="98" t="s">
        <v>403</v>
      </c>
      <c r="B903" s="98" t="s">
        <v>62</v>
      </c>
      <c r="C903" s="98" t="s">
        <v>217</v>
      </c>
      <c r="D903" s="98" t="s">
        <v>566</v>
      </c>
      <c r="E903" s="147" t="s">
        <v>1205</v>
      </c>
      <c r="F903" s="98" t="s">
        <v>942</v>
      </c>
      <c r="G903" s="151" t="s">
        <v>88</v>
      </c>
      <c r="H903" s="19" t="s">
        <v>1236</v>
      </c>
      <c r="I903" s="23" t="e">
        <f>VLOOKUP(H903,'合同综合查询数据（3月返）'!$A:$A,1,FALSE)</f>
        <v>#N/A</v>
      </c>
      <c r="J903" s="24" t="s">
        <v>90</v>
      </c>
      <c r="K903" s="151" t="s">
        <v>1237</v>
      </c>
      <c r="L903" s="189"/>
      <c r="M903" s="26" t="s">
        <v>945</v>
      </c>
      <c r="N903" s="190">
        <v>43352</v>
      </c>
      <c r="O903" s="190" t="s">
        <v>457</v>
      </c>
      <c r="P903" s="173">
        <v>5950</v>
      </c>
      <c r="Q903" s="173">
        <v>44</v>
      </c>
      <c r="R903" s="120">
        <f t="shared" si="26"/>
        <v>261800</v>
      </c>
      <c r="S903" s="117">
        <v>202303</v>
      </c>
      <c r="T903" s="184" t="s">
        <v>1238</v>
      </c>
      <c r="U903" s="185"/>
      <c r="V903" s="133"/>
      <c r="W903" s="133"/>
      <c r="X903" s="118">
        <v>43358</v>
      </c>
      <c r="Y903" s="118">
        <v>45549</v>
      </c>
    </row>
    <row r="904" s="79" customFormat="1" customHeight="1" spans="1:25">
      <c r="A904" s="98" t="s">
        <v>403</v>
      </c>
      <c r="B904" s="98" t="s">
        <v>62</v>
      </c>
      <c r="C904" s="98" t="s">
        <v>217</v>
      </c>
      <c r="D904" s="98" t="s">
        <v>566</v>
      </c>
      <c r="E904" s="147" t="s">
        <v>1205</v>
      </c>
      <c r="F904" s="98" t="s">
        <v>942</v>
      </c>
      <c r="G904" s="151" t="s">
        <v>88</v>
      </c>
      <c r="H904" s="19" t="s">
        <v>1236</v>
      </c>
      <c r="I904" s="23" t="e">
        <f>VLOOKUP(H904,'合同综合查询数据（3月返）'!$A:$A,1,FALSE)</f>
        <v>#N/A</v>
      </c>
      <c r="J904" s="24" t="s">
        <v>90</v>
      </c>
      <c r="K904" s="151" t="s">
        <v>1237</v>
      </c>
      <c r="L904" s="189"/>
      <c r="M904" s="26" t="s">
        <v>945</v>
      </c>
      <c r="N904" s="190">
        <v>43352</v>
      </c>
      <c r="O904" s="190" t="s">
        <v>457</v>
      </c>
      <c r="P904" s="173">
        <v>5950</v>
      </c>
      <c r="Q904" s="173">
        <v>-1</v>
      </c>
      <c r="R904" s="120">
        <f t="shared" si="26"/>
        <v>-5950</v>
      </c>
      <c r="S904" s="117">
        <v>202303</v>
      </c>
      <c r="T904" s="184" t="s">
        <v>1239</v>
      </c>
      <c r="U904" s="185"/>
      <c r="V904" s="133"/>
      <c r="W904" s="133"/>
      <c r="X904" s="118">
        <v>43358</v>
      </c>
      <c r="Y904" s="118">
        <v>45549</v>
      </c>
    </row>
    <row r="905" s="79" customFormat="1" customHeight="1" spans="1:25">
      <c r="A905" s="98" t="s">
        <v>403</v>
      </c>
      <c r="B905" s="98" t="s">
        <v>62</v>
      </c>
      <c r="C905" s="98" t="s">
        <v>217</v>
      </c>
      <c r="D905" s="98" t="s">
        <v>566</v>
      </c>
      <c r="E905" s="147" t="s">
        <v>1205</v>
      </c>
      <c r="F905" s="98" t="s">
        <v>942</v>
      </c>
      <c r="G905" s="151" t="s">
        <v>88</v>
      </c>
      <c r="H905" s="19" t="s">
        <v>1236</v>
      </c>
      <c r="I905" s="23" t="e">
        <f>VLOOKUP(H905,'合同综合查询数据（3月返）'!$A:$A,1,FALSE)</f>
        <v>#N/A</v>
      </c>
      <c r="J905" s="24" t="s">
        <v>90</v>
      </c>
      <c r="K905" s="151" t="s">
        <v>1237</v>
      </c>
      <c r="L905" s="189"/>
      <c r="M905" s="26" t="s">
        <v>945</v>
      </c>
      <c r="N905" s="190">
        <v>43347</v>
      </c>
      <c r="O905" s="190" t="s">
        <v>457</v>
      </c>
      <c r="P905" s="173">
        <v>5950</v>
      </c>
      <c r="Q905" s="173">
        <v>1</v>
      </c>
      <c r="R905" s="120">
        <f t="shared" ref="R905:R968" si="27">ROUND(P905*Q905,2)</f>
        <v>5950</v>
      </c>
      <c r="S905" s="117">
        <v>202303</v>
      </c>
      <c r="T905" s="184" t="s">
        <v>1240</v>
      </c>
      <c r="U905" s="185"/>
      <c r="V905" s="133"/>
      <c r="W905" s="133"/>
      <c r="X905" s="118">
        <v>43358</v>
      </c>
      <c r="Y905" s="118">
        <v>45549</v>
      </c>
    </row>
    <row r="906" s="79" customFormat="1" customHeight="1" spans="1:25">
      <c r="A906" s="98" t="s">
        <v>403</v>
      </c>
      <c r="B906" s="98" t="s">
        <v>62</v>
      </c>
      <c r="C906" s="98" t="s">
        <v>217</v>
      </c>
      <c r="D906" s="98" t="s">
        <v>566</v>
      </c>
      <c r="E906" s="147" t="s">
        <v>1205</v>
      </c>
      <c r="F906" s="98" t="s">
        <v>942</v>
      </c>
      <c r="G906" s="151" t="s">
        <v>88</v>
      </c>
      <c r="H906" s="19" t="s">
        <v>1236</v>
      </c>
      <c r="I906" s="23" t="e">
        <f>VLOOKUP(H906,'合同综合查询数据（3月返）'!$A:$A,1,FALSE)</f>
        <v>#N/A</v>
      </c>
      <c r="J906" s="24" t="s">
        <v>90</v>
      </c>
      <c r="K906" s="151" t="s">
        <v>1237</v>
      </c>
      <c r="L906" s="189"/>
      <c r="M906" s="26" t="s">
        <v>945</v>
      </c>
      <c r="N906" s="190">
        <v>43363</v>
      </c>
      <c r="O906" s="190" t="s">
        <v>457</v>
      </c>
      <c r="P906" s="173">
        <v>5950</v>
      </c>
      <c r="Q906" s="173">
        <v>3</v>
      </c>
      <c r="R906" s="120">
        <f t="shared" si="27"/>
        <v>17850</v>
      </c>
      <c r="S906" s="117">
        <v>202303</v>
      </c>
      <c r="T906" s="184" t="s">
        <v>1241</v>
      </c>
      <c r="U906" s="185"/>
      <c r="V906" s="133"/>
      <c r="W906" s="133"/>
      <c r="X906" s="118">
        <v>43358</v>
      </c>
      <c r="Y906" s="118">
        <v>45549</v>
      </c>
    </row>
    <row r="907" s="79" customFormat="1" customHeight="1" spans="1:25">
      <c r="A907" s="98" t="s">
        <v>403</v>
      </c>
      <c r="B907" s="98" t="s">
        <v>62</v>
      </c>
      <c r="C907" s="98" t="s">
        <v>217</v>
      </c>
      <c r="D907" s="98" t="s">
        <v>566</v>
      </c>
      <c r="E907" s="147" t="s">
        <v>1205</v>
      </c>
      <c r="F907" s="98" t="s">
        <v>942</v>
      </c>
      <c r="G907" s="151" t="s">
        <v>88</v>
      </c>
      <c r="H907" s="19" t="s">
        <v>1236</v>
      </c>
      <c r="I907" s="23" t="e">
        <f>VLOOKUP(H907,'合同综合查询数据（3月返）'!$A:$A,1,FALSE)</f>
        <v>#N/A</v>
      </c>
      <c r="J907" s="24" t="s">
        <v>90</v>
      </c>
      <c r="K907" s="151" t="s">
        <v>1237</v>
      </c>
      <c r="L907" s="189"/>
      <c r="M907" s="26" t="s">
        <v>945</v>
      </c>
      <c r="N907" s="190">
        <v>43365</v>
      </c>
      <c r="O907" s="190" t="s">
        <v>457</v>
      </c>
      <c r="P907" s="173">
        <v>5950</v>
      </c>
      <c r="Q907" s="173">
        <v>30</v>
      </c>
      <c r="R907" s="120">
        <f t="shared" si="27"/>
        <v>178500</v>
      </c>
      <c r="S907" s="117">
        <v>202303</v>
      </c>
      <c r="T907" s="184" t="s">
        <v>1242</v>
      </c>
      <c r="U907" s="185"/>
      <c r="V907" s="133"/>
      <c r="W907" s="133"/>
      <c r="X907" s="118">
        <v>43358</v>
      </c>
      <c r="Y907" s="118">
        <v>45549</v>
      </c>
    </row>
    <row r="908" s="79" customFormat="1" customHeight="1" spans="1:25">
      <c r="A908" s="98" t="s">
        <v>403</v>
      </c>
      <c r="B908" s="98" t="s">
        <v>62</v>
      </c>
      <c r="C908" s="98" t="s">
        <v>217</v>
      </c>
      <c r="D908" s="98" t="s">
        <v>566</v>
      </c>
      <c r="E908" s="147" t="s">
        <v>1205</v>
      </c>
      <c r="F908" s="98" t="s">
        <v>942</v>
      </c>
      <c r="G908" s="151" t="s">
        <v>88</v>
      </c>
      <c r="H908" s="19" t="s">
        <v>1236</v>
      </c>
      <c r="I908" s="23" t="e">
        <f>VLOOKUP(H908,'合同综合查询数据（3月返）'!$A:$A,1,FALSE)</f>
        <v>#N/A</v>
      </c>
      <c r="J908" s="24" t="s">
        <v>90</v>
      </c>
      <c r="K908" s="151" t="s">
        <v>1237</v>
      </c>
      <c r="L908" s="189"/>
      <c r="M908" s="26" t="s">
        <v>945</v>
      </c>
      <c r="N908" s="190">
        <v>43368</v>
      </c>
      <c r="O908" s="190" t="s">
        <v>457</v>
      </c>
      <c r="P908" s="173">
        <v>5950</v>
      </c>
      <c r="Q908" s="173">
        <v>30</v>
      </c>
      <c r="R908" s="120">
        <f t="shared" si="27"/>
        <v>178500</v>
      </c>
      <c r="S908" s="117">
        <v>202303</v>
      </c>
      <c r="T908" s="184" t="s">
        <v>1243</v>
      </c>
      <c r="U908" s="185"/>
      <c r="V908" s="133"/>
      <c r="W908" s="133"/>
      <c r="X908" s="118">
        <v>43358</v>
      </c>
      <c r="Y908" s="118">
        <v>45549</v>
      </c>
    </row>
    <row r="909" s="79" customFormat="1" customHeight="1" spans="1:25">
      <c r="A909" s="98" t="s">
        <v>403</v>
      </c>
      <c r="B909" s="98" t="s">
        <v>62</v>
      </c>
      <c r="C909" s="98" t="s">
        <v>217</v>
      </c>
      <c r="D909" s="98" t="s">
        <v>566</v>
      </c>
      <c r="E909" s="147" t="s">
        <v>1205</v>
      </c>
      <c r="F909" s="98" t="s">
        <v>942</v>
      </c>
      <c r="G909" s="151" t="s">
        <v>88</v>
      </c>
      <c r="H909" s="19" t="s">
        <v>1236</v>
      </c>
      <c r="I909" s="23" t="e">
        <f>VLOOKUP(H909,'合同综合查询数据（3月返）'!$A:$A,1,FALSE)</f>
        <v>#N/A</v>
      </c>
      <c r="J909" s="24" t="s">
        <v>90</v>
      </c>
      <c r="K909" s="151" t="s">
        <v>1237</v>
      </c>
      <c r="L909" s="189"/>
      <c r="M909" s="26" t="s">
        <v>945</v>
      </c>
      <c r="N909" s="190">
        <v>43370</v>
      </c>
      <c r="O909" s="190" t="s">
        <v>457</v>
      </c>
      <c r="P909" s="173">
        <v>5950</v>
      </c>
      <c r="Q909" s="173">
        <v>31</v>
      </c>
      <c r="R909" s="120">
        <f t="shared" si="27"/>
        <v>184450</v>
      </c>
      <c r="S909" s="117">
        <v>202303</v>
      </c>
      <c r="T909" s="184" t="s">
        <v>1244</v>
      </c>
      <c r="U909" s="185"/>
      <c r="V909" s="133"/>
      <c r="W909" s="133"/>
      <c r="X909" s="118">
        <v>43358</v>
      </c>
      <c r="Y909" s="118">
        <v>45549</v>
      </c>
    </row>
    <row r="910" s="79" customFormat="1" customHeight="1" spans="1:25">
      <c r="A910" s="98" t="s">
        <v>403</v>
      </c>
      <c r="B910" s="98" t="s">
        <v>62</v>
      </c>
      <c r="C910" s="98" t="s">
        <v>217</v>
      </c>
      <c r="D910" s="98" t="s">
        <v>566</v>
      </c>
      <c r="E910" s="147" t="s">
        <v>1205</v>
      </c>
      <c r="F910" s="98" t="s">
        <v>942</v>
      </c>
      <c r="G910" s="151" t="s">
        <v>88</v>
      </c>
      <c r="H910" s="19" t="s">
        <v>1236</v>
      </c>
      <c r="I910" s="23" t="e">
        <f>VLOOKUP(H910,'合同综合查询数据（3月返）'!$A:$A,1,FALSE)</f>
        <v>#N/A</v>
      </c>
      <c r="J910" s="24" t="s">
        <v>90</v>
      </c>
      <c r="K910" s="151" t="s">
        <v>1237</v>
      </c>
      <c r="L910" s="189"/>
      <c r="M910" s="26" t="s">
        <v>945</v>
      </c>
      <c r="N910" s="190">
        <v>43371</v>
      </c>
      <c r="O910" s="190" t="s">
        <v>457</v>
      </c>
      <c r="P910" s="173">
        <v>5950</v>
      </c>
      <c r="Q910" s="173">
        <v>8</v>
      </c>
      <c r="R910" s="120">
        <f t="shared" si="27"/>
        <v>47600</v>
      </c>
      <c r="S910" s="117">
        <v>202303</v>
      </c>
      <c r="T910" s="184" t="s">
        <v>1245</v>
      </c>
      <c r="U910" s="185"/>
      <c r="V910" s="133"/>
      <c r="W910" s="133"/>
      <c r="X910" s="118">
        <v>43358</v>
      </c>
      <c r="Y910" s="118">
        <v>45549</v>
      </c>
    </row>
    <row r="911" s="79" customFormat="1" customHeight="1" spans="1:25">
      <c r="A911" s="98" t="s">
        <v>403</v>
      </c>
      <c r="B911" s="98" t="s">
        <v>62</v>
      </c>
      <c r="C911" s="98" t="s">
        <v>217</v>
      </c>
      <c r="D911" s="98" t="s">
        <v>566</v>
      </c>
      <c r="E911" s="147" t="s">
        <v>1205</v>
      </c>
      <c r="F911" s="98" t="s">
        <v>942</v>
      </c>
      <c r="G911" s="151" t="s">
        <v>88</v>
      </c>
      <c r="H911" s="19" t="s">
        <v>1236</v>
      </c>
      <c r="I911" s="23" t="e">
        <f>VLOOKUP(H911,'合同综合查询数据（3月返）'!$A:$A,1,FALSE)</f>
        <v>#N/A</v>
      </c>
      <c r="J911" s="24" t="s">
        <v>90</v>
      </c>
      <c r="K911" s="151" t="s">
        <v>1237</v>
      </c>
      <c r="L911" s="189"/>
      <c r="M911" s="26" t="s">
        <v>945</v>
      </c>
      <c r="N911" s="190">
        <v>43382</v>
      </c>
      <c r="O911" s="190" t="s">
        <v>457</v>
      </c>
      <c r="P911" s="173">
        <v>5950</v>
      </c>
      <c r="Q911" s="173">
        <v>169</v>
      </c>
      <c r="R911" s="120">
        <f t="shared" si="27"/>
        <v>1005550</v>
      </c>
      <c r="S911" s="117">
        <v>202303</v>
      </c>
      <c r="T911" s="184" t="s">
        <v>1246</v>
      </c>
      <c r="U911" s="185"/>
      <c r="V911" s="133"/>
      <c r="W911" s="133"/>
      <c r="X911" s="118">
        <v>43358</v>
      </c>
      <c r="Y911" s="118">
        <v>45549</v>
      </c>
    </row>
    <row r="912" s="79" customFormat="1" customHeight="1" spans="1:25">
      <c r="A912" s="98" t="s">
        <v>403</v>
      </c>
      <c r="B912" s="98" t="s">
        <v>62</v>
      </c>
      <c r="C912" s="98" t="s">
        <v>217</v>
      </c>
      <c r="D912" s="98" t="s">
        <v>566</v>
      </c>
      <c r="E912" s="147" t="s">
        <v>1205</v>
      </c>
      <c r="F912" s="98" t="s">
        <v>942</v>
      </c>
      <c r="G912" s="151" t="s">
        <v>88</v>
      </c>
      <c r="H912" s="19" t="s">
        <v>1236</v>
      </c>
      <c r="I912" s="23" t="e">
        <f>VLOOKUP(H912,'合同综合查询数据（3月返）'!$A:$A,1,FALSE)</f>
        <v>#N/A</v>
      </c>
      <c r="J912" s="24" t="s">
        <v>90</v>
      </c>
      <c r="K912" s="151" t="s">
        <v>1237</v>
      </c>
      <c r="L912" s="189"/>
      <c r="M912" s="26" t="s">
        <v>945</v>
      </c>
      <c r="N912" s="190">
        <v>43389</v>
      </c>
      <c r="O912" s="190" t="s">
        <v>457</v>
      </c>
      <c r="P912" s="173">
        <v>5950</v>
      </c>
      <c r="Q912" s="173">
        <v>3</v>
      </c>
      <c r="R912" s="120">
        <f t="shared" si="27"/>
        <v>17850</v>
      </c>
      <c r="S912" s="117">
        <v>202303</v>
      </c>
      <c r="T912" s="184" t="s">
        <v>1247</v>
      </c>
      <c r="U912" s="185"/>
      <c r="V912" s="133"/>
      <c r="W912" s="133"/>
      <c r="X912" s="118">
        <v>43358</v>
      </c>
      <c r="Y912" s="118">
        <v>45549</v>
      </c>
    </row>
    <row r="913" s="79" customFormat="1" customHeight="1" spans="1:25">
      <c r="A913" s="98" t="s">
        <v>403</v>
      </c>
      <c r="B913" s="98" t="s">
        <v>62</v>
      </c>
      <c r="C913" s="98" t="s">
        <v>217</v>
      </c>
      <c r="D913" s="98" t="s">
        <v>566</v>
      </c>
      <c r="E913" s="147" t="s">
        <v>1205</v>
      </c>
      <c r="F913" s="98" t="s">
        <v>942</v>
      </c>
      <c r="G913" s="151" t="s">
        <v>88</v>
      </c>
      <c r="H913" s="19" t="s">
        <v>1236</v>
      </c>
      <c r="I913" s="23" t="e">
        <f>VLOOKUP(H913,'合同综合查询数据（3月返）'!$A:$A,1,FALSE)</f>
        <v>#N/A</v>
      </c>
      <c r="J913" s="24" t="s">
        <v>90</v>
      </c>
      <c r="K913" s="151" t="s">
        <v>1237</v>
      </c>
      <c r="L913" s="189"/>
      <c r="M913" s="26" t="s">
        <v>945</v>
      </c>
      <c r="N913" s="190">
        <v>43391</v>
      </c>
      <c r="O913" s="190" t="s">
        <v>457</v>
      </c>
      <c r="P913" s="173">
        <v>5950</v>
      </c>
      <c r="Q913" s="173">
        <v>6</v>
      </c>
      <c r="R913" s="120">
        <f t="shared" si="27"/>
        <v>35700</v>
      </c>
      <c r="S913" s="117">
        <v>202303</v>
      </c>
      <c r="T913" s="184" t="s">
        <v>1248</v>
      </c>
      <c r="U913" s="185"/>
      <c r="V913" s="133"/>
      <c r="W913" s="133"/>
      <c r="X913" s="118">
        <v>43358</v>
      </c>
      <c r="Y913" s="118">
        <v>45549</v>
      </c>
    </row>
    <row r="914" s="79" customFormat="1" customHeight="1" spans="1:25">
      <c r="A914" s="98" t="s">
        <v>403</v>
      </c>
      <c r="B914" s="98" t="s">
        <v>62</v>
      </c>
      <c r="C914" s="98" t="s">
        <v>217</v>
      </c>
      <c r="D914" s="98" t="s">
        <v>566</v>
      </c>
      <c r="E914" s="147" t="s">
        <v>1205</v>
      </c>
      <c r="F914" s="98" t="s">
        <v>942</v>
      </c>
      <c r="G914" s="151" t="s">
        <v>88</v>
      </c>
      <c r="H914" s="19" t="s">
        <v>1236</v>
      </c>
      <c r="I914" s="23" t="e">
        <f>VLOOKUP(H914,'合同综合查询数据（3月返）'!$A:$A,1,FALSE)</f>
        <v>#N/A</v>
      </c>
      <c r="J914" s="24" t="s">
        <v>90</v>
      </c>
      <c r="K914" s="151" t="s">
        <v>1237</v>
      </c>
      <c r="L914" s="189"/>
      <c r="M914" s="26" t="s">
        <v>945</v>
      </c>
      <c r="N914" s="190">
        <v>43397</v>
      </c>
      <c r="O914" s="190" t="s">
        <v>457</v>
      </c>
      <c r="P914" s="173">
        <v>5950</v>
      </c>
      <c r="Q914" s="173">
        <v>1</v>
      </c>
      <c r="R914" s="120">
        <f t="shared" si="27"/>
        <v>5950</v>
      </c>
      <c r="S914" s="117">
        <v>202303</v>
      </c>
      <c r="T914" s="184" t="s">
        <v>1249</v>
      </c>
      <c r="U914" s="185"/>
      <c r="V914" s="133"/>
      <c r="W914" s="133"/>
      <c r="X914" s="118">
        <v>43358</v>
      </c>
      <c r="Y914" s="118">
        <v>45549</v>
      </c>
    </row>
    <row r="915" s="79" customFormat="1" customHeight="1" spans="1:25">
      <c r="A915" s="98" t="s">
        <v>403</v>
      </c>
      <c r="B915" s="98" t="s">
        <v>62</v>
      </c>
      <c r="C915" s="98" t="s">
        <v>217</v>
      </c>
      <c r="D915" s="98" t="s">
        <v>566</v>
      </c>
      <c r="E915" s="147" t="s">
        <v>1205</v>
      </c>
      <c r="F915" s="98" t="s">
        <v>942</v>
      </c>
      <c r="G915" s="151" t="s">
        <v>88</v>
      </c>
      <c r="H915" s="19" t="s">
        <v>1236</v>
      </c>
      <c r="I915" s="23" t="e">
        <f>VLOOKUP(H915,'合同综合查询数据（3月返）'!$A:$A,1,FALSE)</f>
        <v>#N/A</v>
      </c>
      <c r="J915" s="24" t="s">
        <v>90</v>
      </c>
      <c r="K915" s="151" t="s">
        <v>1237</v>
      </c>
      <c r="L915" s="189"/>
      <c r="M915" s="26" t="s">
        <v>945</v>
      </c>
      <c r="N915" s="190">
        <v>43383</v>
      </c>
      <c r="O915" s="190" t="s">
        <v>457</v>
      </c>
      <c r="P915" s="173">
        <v>5950</v>
      </c>
      <c r="Q915" s="173">
        <v>12</v>
      </c>
      <c r="R915" s="120">
        <f t="shared" si="27"/>
        <v>71400</v>
      </c>
      <c r="S915" s="117">
        <v>202303</v>
      </c>
      <c r="T915" s="184" t="s">
        <v>1250</v>
      </c>
      <c r="U915" s="185"/>
      <c r="V915" s="133"/>
      <c r="W915" s="133"/>
      <c r="X915" s="118">
        <v>43358</v>
      </c>
      <c r="Y915" s="118">
        <v>45549</v>
      </c>
    </row>
    <row r="916" s="79" customFormat="1" customHeight="1" spans="1:25">
      <c r="A916" s="98" t="s">
        <v>403</v>
      </c>
      <c r="B916" s="98" t="s">
        <v>62</v>
      </c>
      <c r="C916" s="98" t="s">
        <v>217</v>
      </c>
      <c r="D916" s="98" t="s">
        <v>566</v>
      </c>
      <c r="E916" s="147" t="s">
        <v>1205</v>
      </c>
      <c r="F916" s="98" t="s">
        <v>942</v>
      </c>
      <c r="G916" s="151" t="s">
        <v>88</v>
      </c>
      <c r="H916" s="19" t="s">
        <v>1236</v>
      </c>
      <c r="I916" s="23" t="e">
        <f>VLOOKUP(H916,'合同综合查询数据（3月返）'!$A:$A,1,FALSE)</f>
        <v>#N/A</v>
      </c>
      <c r="J916" s="24" t="s">
        <v>90</v>
      </c>
      <c r="K916" s="151" t="s">
        <v>1237</v>
      </c>
      <c r="L916" s="189"/>
      <c r="M916" s="26" t="s">
        <v>945</v>
      </c>
      <c r="N916" s="190">
        <v>43384</v>
      </c>
      <c r="O916" s="190" t="s">
        <v>457</v>
      </c>
      <c r="P916" s="173">
        <v>5950</v>
      </c>
      <c r="Q916" s="173">
        <v>1</v>
      </c>
      <c r="R916" s="120">
        <f t="shared" si="27"/>
        <v>5950</v>
      </c>
      <c r="S916" s="117">
        <v>202303</v>
      </c>
      <c r="T916" s="184" t="s">
        <v>1251</v>
      </c>
      <c r="U916" s="185"/>
      <c r="V916" s="133"/>
      <c r="W916" s="133"/>
      <c r="X916" s="118">
        <v>43358</v>
      </c>
      <c r="Y916" s="118">
        <v>45549</v>
      </c>
    </row>
    <row r="917" s="79" customFormat="1" customHeight="1" spans="1:25">
      <c r="A917" s="98" t="s">
        <v>403</v>
      </c>
      <c r="B917" s="98" t="s">
        <v>62</v>
      </c>
      <c r="C917" s="98" t="s">
        <v>217</v>
      </c>
      <c r="D917" s="98" t="s">
        <v>566</v>
      </c>
      <c r="E917" s="147" t="s">
        <v>1205</v>
      </c>
      <c r="F917" s="98" t="s">
        <v>942</v>
      </c>
      <c r="G917" s="151" t="s">
        <v>88</v>
      </c>
      <c r="H917" s="19" t="s">
        <v>1236</v>
      </c>
      <c r="I917" s="23" t="e">
        <f>VLOOKUP(H917,'合同综合查询数据（3月返）'!$A:$A,1,FALSE)</f>
        <v>#N/A</v>
      </c>
      <c r="J917" s="24" t="s">
        <v>90</v>
      </c>
      <c r="K917" s="151" t="s">
        <v>1237</v>
      </c>
      <c r="L917" s="189"/>
      <c r="M917" s="26" t="s">
        <v>945</v>
      </c>
      <c r="N917" s="190">
        <v>43385</v>
      </c>
      <c r="O917" s="190" t="s">
        <v>457</v>
      </c>
      <c r="P917" s="173">
        <v>5950</v>
      </c>
      <c r="Q917" s="173">
        <v>4</v>
      </c>
      <c r="R917" s="120">
        <f t="shared" si="27"/>
        <v>23800</v>
      </c>
      <c r="S917" s="117">
        <v>202303</v>
      </c>
      <c r="T917" s="184" t="s">
        <v>1252</v>
      </c>
      <c r="U917" s="185"/>
      <c r="V917" s="133"/>
      <c r="W917" s="133"/>
      <c r="X917" s="118">
        <v>43358</v>
      </c>
      <c r="Y917" s="118">
        <v>45549</v>
      </c>
    </row>
    <row r="918" s="79" customFormat="1" customHeight="1" spans="1:25">
      <c r="A918" s="98" t="s">
        <v>403</v>
      </c>
      <c r="B918" s="98" t="s">
        <v>62</v>
      </c>
      <c r="C918" s="98" t="s">
        <v>217</v>
      </c>
      <c r="D918" s="98" t="s">
        <v>566</v>
      </c>
      <c r="E918" s="147" t="s">
        <v>1205</v>
      </c>
      <c r="F918" s="98" t="s">
        <v>942</v>
      </c>
      <c r="G918" s="151" t="s">
        <v>88</v>
      </c>
      <c r="H918" s="19" t="s">
        <v>1236</v>
      </c>
      <c r="I918" s="23" t="e">
        <f>VLOOKUP(H918,'合同综合查询数据（3月返）'!$A:$A,1,FALSE)</f>
        <v>#N/A</v>
      </c>
      <c r="J918" s="24" t="s">
        <v>90</v>
      </c>
      <c r="K918" s="151" t="s">
        <v>1237</v>
      </c>
      <c r="L918" s="189"/>
      <c r="M918" s="26" t="s">
        <v>945</v>
      </c>
      <c r="N918" s="190">
        <v>43389</v>
      </c>
      <c r="O918" s="190" t="s">
        <v>457</v>
      </c>
      <c r="P918" s="173">
        <v>5950</v>
      </c>
      <c r="Q918" s="173">
        <v>1</v>
      </c>
      <c r="R918" s="120">
        <f t="shared" si="27"/>
        <v>5950</v>
      </c>
      <c r="S918" s="117">
        <v>202303</v>
      </c>
      <c r="T918" s="184" t="s">
        <v>1253</v>
      </c>
      <c r="U918" s="185"/>
      <c r="V918" s="133"/>
      <c r="W918" s="133"/>
      <c r="X918" s="118">
        <v>43358</v>
      </c>
      <c r="Y918" s="118">
        <v>45549</v>
      </c>
    </row>
    <row r="919" s="79" customFormat="1" customHeight="1" spans="1:25">
      <c r="A919" s="98" t="s">
        <v>403</v>
      </c>
      <c r="B919" s="98" t="s">
        <v>62</v>
      </c>
      <c r="C919" s="98" t="s">
        <v>217</v>
      </c>
      <c r="D919" s="98" t="s">
        <v>566</v>
      </c>
      <c r="E919" s="147" t="s">
        <v>1205</v>
      </c>
      <c r="F919" s="98" t="s">
        <v>942</v>
      </c>
      <c r="G919" s="151" t="s">
        <v>88</v>
      </c>
      <c r="H919" s="19" t="s">
        <v>1236</v>
      </c>
      <c r="I919" s="23" t="e">
        <f>VLOOKUP(H919,'合同综合查询数据（3月返）'!$A:$A,1,FALSE)</f>
        <v>#N/A</v>
      </c>
      <c r="J919" s="24" t="s">
        <v>90</v>
      </c>
      <c r="K919" s="151" t="s">
        <v>1237</v>
      </c>
      <c r="L919" s="189"/>
      <c r="M919" s="26" t="s">
        <v>945</v>
      </c>
      <c r="N919" s="190">
        <v>43391</v>
      </c>
      <c r="O919" s="190" t="s">
        <v>457</v>
      </c>
      <c r="P919" s="173">
        <v>5950</v>
      </c>
      <c r="Q919" s="173">
        <v>4</v>
      </c>
      <c r="R919" s="120">
        <f t="shared" si="27"/>
        <v>23800</v>
      </c>
      <c r="S919" s="117">
        <v>202303</v>
      </c>
      <c r="T919" s="184" t="s">
        <v>1254</v>
      </c>
      <c r="U919" s="185"/>
      <c r="V919" s="133"/>
      <c r="W919" s="133"/>
      <c r="X919" s="118">
        <v>43358</v>
      </c>
      <c r="Y919" s="118">
        <v>45549</v>
      </c>
    </row>
    <row r="920" s="79" customFormat="1" customHeight="1" spans="1:25">
      <c r="A920" s="98" t="s">
        <v>403</v>
      </c>
      <c r="B920" s="98" t="s">
        <v>62</v>
      </c>
      <c r="C920" s="98" t="s">
        <v>217</v>
      </c>
      <c r="D920" s="98" t="s">
        <v>566</v>
      </c>
      <c r="E920" s="147" t="s">
        <v>1205</v>
      </c>
      <c r="F920" s="98" t="s">
        <v>942</v>
      </c>
      <c r="G920" s="151" t="s">
        <v>88</v>
      </c>
      <c r="H920" s="19" t="s">
        <v>1236</v>
      </c>
      <c r="I920" s="23" t="e">
        <f>VLOOKUP(H920,'合同综合查询数据（3月返）'!$A:$A,1,FALSE)</f>
        <v>#N/A</v>
      </c>
      <c r="J920" s="24" t="s">
        <v>90</v>
      </c>
      <c r="K920" s="151" t="s">
        <v>1237</v>
      </c>
      <c r="L920" s="189"/>
      <c r="M920" s="26" t="s">
        <v>945</v>
      </c>
      <c r="N920" s="190">
        <v>43404</v>
      </c>
      <c r="O920" s="190" t="s">
        <v>457</v>
      </c>
      <c r="P920" s="173">
        <v>5950</v>
      </c>
      <c r="Q920" s="173">
        <v>26</v>
      </c>
      <c r="R920" s="120">
        <f t="shared" si="27"/>
        <v>154700</v>
      </c>
      <c r="S920" s="117">
        <v>202303</v>
      </c>
      <c r="T920" s="184" t="s">
        <v>1255</v>
      </c>
      <c r="U920" s="185"/>
      <c r="V920" s="133"/>
      <c r="W920" s="133"/>
      <c r="X920" s="118">
        <v>43358</v>
      </c>
      <c r="Y920" s="118">
        <v>45549</v>
      </c>
    </row>
    <row r="921" s="79" customFormat="1" customHeight="1" spans="1:25">
      <c r="A921" s="98" t="s">
        <v>403</v>
      </c>
      <c r="B921" s="98" t="s">
        <v>62</v>
      </c>
      <c r="C921" s="98" t="s">
        <v>217</v>
      </c>
      <c r="D921" s="98" t="s">
        <v>566</v>
      </c>
      <c r="E921" s="147" t="s">
        <v>1205</v>
      </c>
      <c r="F921" s="98" t="s">
        <v>942</v>
      </c>
      <c r="G921" s="151" t="s">
        <v>88</v>
      </c>
      <c r="H921" s="19" t="s">
        <v>1236</v>
      </c>
      <c r="I921" s="23" t="e">
        <f>VLOOKUP(H921,'合同综合查询数据（3月返）'!$A:$A,1,FALSE)</f>
        <v>#N/A</v>
      </c>
      <c r="J921" s="24" t="s">
        <v>90</v>
      </c>
      <c r="K921" s="151" t="s">
        <v>1237</v>
      </c>
      <c r="L921" s="189"/>
      <c r="M921" s="26" t="s">
        <v>945</v>
      </c>
      <c r="N921" s="190">
        <v>43411</v>
      </c>
      <c r="O921" s="190" t="s">
        <v>457</v>
      </c>
      <c r="P921" s="173">
        <v>5950</v>
      </c>
      <c r="Q921" s="173">
        <v>5</v>
      </c>
      <c r="R921" s="120">
        <f t="shared" si="27"/>
        <v>29750</v>
      </c>
      <c r="S921" s="117">
        <v>202303</v>
      </c>
      <c r="T921" s="184" t="s">
        <v>1256</v>
      </c>
      <c r="U921" s="185"/>
      <c r="V921" s="133"/>
      <c r="W921" s="133"/>
      <c r="X921" s="118">
        <v>43358</v>
      </c>
      <c r="Y921" s="118">
        <v>45549</v>
      </c>
    </row>
    <row r="922" s="79" customFormat="1" customHeight="1" spans="1:25">
      <c r="A922" s="98" t="s">
        <v>403</v>
      </c>
      <c r="B922" s="98" t="s">
        <v>62</v>
      </c>
      <c r="C922" s="98" t="s">
        <v>217</v>
      </c>
      <c r="D922" s="98" t="s">
        <v>566</v>
      </c>
      <c r="E922" s="147" t="s">
        <v>1205</v>
      </c>
      <c r="F922" s="98" t="s">
        <v>942</v>
      </c>
      <c r="G922" s="151" t="s">
        <v>88</v>
      </c>
      <c r="H922" s="19" t="s">
        <v>1236</v>
      </c>
      <c r="I922" s="23" t="e">
        <f>VLOOKUP(H922,'合同综合查询数据（3月返）'!$A:$A,1,FALSE)</f>
        <v>#N/A</v>
      </c>
      <c r="J922" s="24" t="s">
        <v>90</v>
      </c>
      <c r="K922" s="151" t="s">
        <v>1237</v>
      </c>
      <c r="L922" s="189"/>
      <c r="M922" s="26" t="s">
        <v>945</v>
      </c>
      <c r="N922" s="191">
        <v>43420</v>
      </c>
      <c r="O922" s="155" t="s">
        <v>457</v>
      </c>
      <c r="P922" s="173">
        <v>5950</v>
      </c>
      <c r="Q922" s="173">
        <v>9</v>
      </c>
      <c r="R922" s="120">
        <f t="shared" si="27"/>
        <v>53550</v>
      </c>
      <c r="S922" s="117">
        <v>202303</v>
      </c>
      <c r="T922" s="184" t="s">
        <v>1257</v>
      </c>
      <c r="U922" s="185"/>
      <c r="V922" s="133"/>
      <c r="W922" s="133"/>
      <c r="X922" s="118">
        <v>43358</v>
      </c>
      <c r="Y922" s="118">
        <v>45549</v>
      </c>
    </row>
    <row r="923" s="79" customFormat="1" customHeight="1" spans="1:25">
      <c r="A923" s="98" t="s">
        <v>403</v>
      </c>
      <c r="B923" s="98" t="s">
        <v>62</v>
      </c>
      <c r="C923" s="98" t="s">
        <v>217</v>
      </c>
      <c r="D923" s="98" t="s">
        <v>566</v>
      </c>
      <c r="E923" s="147" t="s">
        <v>1205</v>
      </c>
      <c r="F923" s="98" t="s">
        <v>942</v>
      </c>
      <c r="G923" s="151" t="s">
        <v>88</v>
      </c>
      <c r="H923" s="19" t="s">
        <v>1236</v>
      </c>
      <c r="I923" s="23" t="e">
        <f>VLOOKUP(H923,'合同综合查询数据（3月返）'!$A:$A,1,FALSE)</f>
        <v>#N/A</v>
      </c>
      <c r="J923" s="24" t="s">
        <v>90</v>
      </c>
      <c r="K923" s="151" t="s">
        <v>1237</v>
      </c>
      <c r="L923" s="189"/>
      <c r="M923" s="26" t="s">
        <v>945</v>
      </c>
      <c r="N923" s="191">
        <v>43429</v>
      </c>
      <c r="O923" s="155" t="s">
        <v>457</v>
      </c>
      <c r="P923" s="173">
        <v>5900</v>
      </c>
      <c r="Q923" s="173">
        <v>21</v>
      </c>
      <c r="R923" s="120">
        <f t="shared" si="27"/>
        <v>123900</v>
      </c>
      <c r="S923" s="117">
        <v>202303</v>
      </c>
      <c r="T923" s="184" t="s">
        <v>1258</v>
      </c>
      <c r="U923" s="185"/>
      <c r="V923" s="133"/>
      <c r="W923" s="133"/>
      <c r="X923" s="118">
        <v>43358</v>
      </c>
      <c r="Y923" s="118">
        <v>45549</v>
      </c>
    </row>
    <row r="924" s="79" customFormat="1" customHeight="1" spans="1:25">
      <c r="A924" s="98" t="s">
        <v>403</v>
      </c>
      <c r="B924" s="98" t="s">
        <v>62</v>
      </c>
      <c r="C924" s="98" t="s">
        <v>217</v>
      </c>
      <c r="D924" s="98" t="s">
        <v>566</v>
      </c>
      <c r="E924" s="147" t="s">
        <v>1205</v>
      </c>
      <c r="F924" s="98" t="s">
        <v>942</v>
      </c>
      <c r="G924" s="151" t="s">
        <v>88</v>
      </c>
      <c r="H924" s="19" t="s">
        <v>1236</v>
      </c>
      <c r="I924" s="23" t="e">
        <f>VLOOKUP(H924,'合同综合查询数据（3月返）'!$A:$A,1,FALSE)</f>
        <v>#N/A</v>
      </c>
      <c r="J924" s="24" t="s">
        <v>90</v>
      </c>
      <c r="K924" s="151" t="s">
        <v>1237</v>
      </c>
      <c r="L924" s="189"/>
      <c r="M924" s="26" t="s">
        <v>945</v>
      </c>
      <c r="N924" s="191">
        <v>43432</v>
      </c>
      <c r="O924" s="155" t="s">
        <v>457</v>
      </c>
      <c r="P924" s="173">
        <v>5950</v>
      </c>
      <c r="Q924" s="173">
        <v>11</v>
      </c>
      <c r="R924" s="120">
        <f t="shared" si="27"/>
        <v>65450</v>
      </c>
      <c r="S924" s="117">
        <v>202303</v>
      </c>
      <c r="T924" s="184" t="s">
        <v>1259</v>
      </c>
      <c r="U924" s="185"/>
      <c r="V924" s="133"/>
      <c r="W924" s="133"/>
      <c r="X924" s="118">
        <v>43358</v>
      </c>
      <c r="Y924" s="118">
        <v>45549</v>
      </c>
    </row>
    <row r="925" s="79" customFormat="1" customHeight="1" spans="1:25">
      <c r="A925" s="98" t="s">
        <v>403</v>
      </c>
      <c r="B925" s="98" t="s">
        <v>62</v>
      </c>
      <c r="C925" s="98" t="s">
        <v>217</v>
      </c>
      <c r="D925" s="98" t="s">
        <v>566</v>
      </c>
      <c r="E925" s="147" t="s">
        <v>1205</v>
      </c>
      <c r="F925" s="98" t="s">
        <v>942</v>
      </c>
      <c r="G925" s="151" t="s">
        <v>88</v>
      </c>
      <c r="H925" s="19" t="s">
        <v>1236</v>
      </c>
      <c r="I925" s="23" t="e">
        <f>VLOOKUP(H925,'合同综合查询数据（3月返）'!$A:$A,1,FALSE)</f>
        <v>#N/A</v>
      </c>
      <c r="J925" s="24" t="s">
        <v>90</v>
      </c>
      <c r="K925" s="151" t="s">
        <v>1237</v>
      </c>
      <c r="L925" s="189"/>
      <c r="M925" s="26" t="s">
        <v>945</v>
      </c>
      <c r="N925" s="191">
        <v>43434</v>
      </c>
      <c r="O925" s="155" t="s">
        <v>457</v>
      </c>
      <c r="P925" s="173">
        <v>5950</v>
      </c>
      <c r="Q925" s="173">
        <v>31</v>
      </c>
      <c r="R925" s="120">
        <f t="shared" si="27"/>
        <v>184450</v>
      </c>
      <c r="S925" s="117">
        <v>202303</v>
      </c>
      <c r="T925" s="184" t="s">
        <v>1260</v>
      </c>
      <c r="U925" s="185"/>
      <c r="V925" s="133"/>
      <c r="W925" s="133"/>
      <c r="X925" s="118">
        <v>43358</v>
      </c>
      <c r="Y925" s="118">
        <v>45549</v>
      </c>
    </row>
    <row r="926" s="79" customFormat="1" customHeight="1" spans="1:25">
      <c r="A926" s="98" t="s">
        <v>403</v>
      </c>
      <c r="B926" s="98" t="s">
        <v>62</v>
      </c>
      <c r="C926" s="98" t="s">
        <v>217</v>
      </c>
      <c r="D926" s="98" t="s">
        <v>566</v>
      </c>
      <c r="E926" s="147" t="s">
        <v>1205</v>
      </c>
      <c r="F926" s="98" t="s">
        <v>942</v>
      </c>
      <c r="G926" s="151" t="s">
        <v>88</v>
      </c>
      <c r="H926" s="19" t="s">
        <v>1236</v>
      </c>
      <c r="I926" s="23" t="e">
        <f>VLOOKUP(H926,'合同综合查询数据（3月返）'!$A:$A,1,FALSE)</f>
        <v>#N/A</v>
      </c>
      <c r="J926" s="24" t="s">
        <v>90</v>
      </c>
      <c r="K926" s="151" t="s">
        <v>1237</v>
      </c>
      <c r="L926" s="189"/>
      <c r="M926" s="26" t="s">
        <v>945</v>
      </c>
      <c r="N926" s="191">
        <v>43438</v>
      </c>
      <c r="O926" s="155" t="s">
        <v>457</v>
      </c>
      <c r="P926" s="173">
        <v>5950</v>
      </c>
      <c r="Q926" s="173">
        <v>2</v>
      </c>
      <c r="R926" s="120">
        <f t="shared" si="27"/>
        <v>11900</v>
      </c>
      <c r="S926" s="117">
        <v>202303</v>
      </c>
      <c r="T926" s="184" t="s">
        <v>1261</v>
      </c>
      <c r="U926" s="185"/>
      <c r="V926" s="133"/>
      <c r="W926" s="133"/>
      <c r="X926" s="118">
        <v>43358</v>
      </c>
      <c r="Y926" s="118">
        <v>45549</v>
      </c>
    </row>
    <row r="927" s="79" customFormat="1" customHeight="1" spans="1:25">
      <c r="A927" s="98" t="s">
        <v>403</v>
      </c>
      <c r="B927" s="98" t="s">
        <v>62</v>
      </c>
      <c r="C927" s="98" t="s">
        <v>217</v>
      </c>
      <c r="D927" s="98" t="s">
        <v>566</v>
      </c>
      <c r="E927" s="147" t="s">
        <v>1205</v>
      </c>
      <c r="F927" s="98" t="s">
        <v>942</v>
      </c>
      <c r="G927" s="151" t="s">
        <v>88</v>
      </c>
      <c r="H927" s="19" t="s">
        <v>1236</v>
      </c>
      <c r="I927" s="23" t="e">
        <f>VLOOKUP(H927,'合同综合查询数据（3月返）'!$A:$A,1,FALSE)</f>
        <v>#N/A</v>
      </c>
      <c r="J927" s="24" t="s">
        <v>90</v>
      </c>
      <c r="K927" s="151" t="s">
        <v>1237</v>
      </c>
      <c r="L927" s="189"/>
      <c r="M927" s="26" t="s">
        <v>945</v>
      </c>
      <c r="N927" s="191">
        <v>43445</v>
      </c>
      <c r="O927" s="155" t="s">
        <v>457</v>
      </c>
      <c r="P927" s="173">
        <v>5950</v>
      </c>
      <c r="Q927" s="173">
        <v>4</v>
      </c>
      <c r="R927" s="120">
        <f t="shared" si="27"/>
        <v>23800</v>
      </c>
      <c r="S927" s="117">
        <v>202303</v>
      </c>
      <c r="T927" s="184" t="s">
        <v>1262</v>
      </c>
      <c r="U927" s="185"/>
      <c r="V927" s="133"/>
      <c r="W927" s="133"/>
      <c r="X927" s="118">
        <v>43358</v>
      </c>
      <c r="Y927" s="118">
        <v>45549</v>
      </c>
    </row>
    <row r="928" s="79" customFormat="1" customHeight="1" spans="1:25">
      <c r="A928" s="98" t="s">
        <v>403</v>
      </c>
      <c r="B928" s="98" t="s">
        <v>62</v>
      </c>
      <c r="C928" s="98" t="s">
        <v>217</v>
      </c>
      <c r="D928" s="98" t="s">
        <v>566</v>
      </c>
      <c r="E928" s="147" t="s">
        <v>1205</v>
      </c>
      <c r="F928" s="98" t="s">
        <v>942</v>
      </c>
      <c r="G928" s="151" t="s">
        <v>88</v>
      </c>
      <c r="H928" s="19" t="s">
        <v>1236</v>
      </c>
      <c r="I928" s="23" t="e">
        <f>VLOOKUP(H928,'合同综合查询数据（3月返）'!$A:$A,1,FALSE)</f>
        <v>#N/A</v>
      </c>
      <c r="J928" s="24" t="s">
        <v>90</v>
      </c>
      <c r="K928" s="151" t="s">
        <v>1237</v>
      </c>
      <c r="L928" s="189"/>
      <c r="M928" s="26" t="s">
        <v>945</v>
      </c>
      <c r="N928" s="191">
        <v>43447</v>
      </c>
      <c r="O928" s="155" t="s">
        <v>457</v>
      </c>
      <c r="P928" s="173">
        <v>5950</v>
      </c>
      <c r="Q928" s="173">
        <v>6</v>
      </c>
      <c r="R928" s="120">
        <f t="shared" si="27"/>
        <v>35700</v>
      </c>
      <c r="S928" s="117">
        <v>202303</v>
      </c>
      <c r="T928" s="184" t="s">
        <v>1263</v>
      </c>
      <c r="U928" s="185"/>
      <c r="V928" s="133"/>
      <c r="W928" s="133"/>
      <c r="X928" s="118">
        <v>43358</v>
      </c>
      <c r="Y928" s="118">
        <v>45549</v>
      </c>
    </row>
    <row r="929" s="79" customFormat="1" customHeight="1" spans="1:25">
      <c r="A929" s="98" t="s">
        <v>403</v>
      </c>
      <c r="B929" s="98" t="s">
        <v>62</v>
      </c>
      <c r="C929" s="98" t="s">
        <v>217</v>
      </c>
      <c r="D929" s="98" t="s">
        <v>566</v>
      </c>
      <c r="E929" s="147" t="s">
        <v>1205</v>
      </c>
      <c r="F929" s="98" t="s">
        <v>942</v>
      </c>
      <c r="G929" s="151" t="s">
        <v>88</v>
      </c>
      <c r="H929" s="19" t="s">
        <v>1236</v>
      </c>
      <c r="I929" s="23" t="e">
        <f>VLOOKUP(H929,'合同综合查询数据（3月返）'!$A:$A,1,FALSE)</f>
        <v>#N/A</v>
      </c>
      <c r="J929" s="24" t="s">
        <v>90</v>
      </c>
      <c r="K929" s="151" t="s">
        <v>1237</v>
      </c>
      <c r="L929" s="189"/>
      <c r="M929" s="26" t="s">
        <v>945</v>
      </c>
      <c r="N929" s="191">
        <v>43458</v>
      </c>
      <c r="O929" s="155" t="s">
        <v>457</v>
      </c>
      <c r="P929" s="173">
        <v>5950</v>
      </c>
      <c r="Q929" s="173">
        <v>6</v>
      </c>
      <c r="R929" s="120">
        <f t="shared" si="27"/>
        <v>35700</v>
      </c>
      <c r="S929" s="117">
        <v>202303</v>
      </c>
      <c r="T929" s="184" t="s">
        <v>1264</v>
      </c>
      <c r="U929" s="185"/>
      <c r="V929" s="133"/>
      <c r="W929" s="133"/>
      <c r="X929" s="118">
        <v>43358</v>
      </c>
      <c r="Y929" s="118">
        <v>45549</v>
      </c>
    </row>
    <row r="930" s="79" customFormat="1" customHeight="1" spans="1:25">
      <c r="A930" s="98" t="s">
        <v>403</v>
      </c>
      <c r="B930" s="98" t="s">
        <v>62</v>
      </c>
      <c r="C930" s="98" t="s">
        <v>217</v>
      </c>
      <c r="D930" s="98" t="s">
        <v>566</v>
      </c>
      <c r="E930" s="147" t="s">
        <v>1205</v>
      </c>
      <c r="F930" s="98" t="s">
        <v>942</v>
      </c>
      <c r="G930" s="151" t="s">
        <v>88</v>
      </c>
      <c r="H930" s="19" t="s">
        <v>1236</v>
      </c>
      <c r="I930" s="23" t="e">
        <f>VLOOKUP(H930,'合同综合查询数据（3月返）'!$A:$A,1,FALSE)</f>
        <v>#N/A</v>
      </c>
      <c r="J930" s="24" t="s">
        <v>90</v>
      </c>
      <c r="K930" s="151" t="s">
        <v>1237</v>
      </c>
      <c r="L930" s="189"/>
      <c r="M930" s="26" t="s">
        <v>945</v>
      </c>
      <c r="N930" s="191">
        <v>43451</v>
      </c>
      <c r="O930" s="155" t="s">
        <v>457</v>
      </c>
      <c r="P930" s="173">
        <v>5950</v>
      </c>
      <c r="Q930" s="173">
        <v>-3</v>
      </c>
      <c r="R930" s="120">
        <f t="shared" si="27"/>
        <v>-17850</v>
      </c>
      <c r="S930" s="117">
        <v>202303</v>
      </c>
      <c r="T930" s="184" t="s">
        <v>1241</v>
      </c>
      <c r="U930" s="185"/>
      <c r="V930" s="133"/>
      <c r="W930" s="133"/>
      <c r="X930" s="118">
        <v>43358</v>
      </c>
      <c r="Y930" s="118">
        <v>45549</v>
      </c>
    </row>
    <row r="931" s="79" customFormat="1" customHeight="1" spans="1:25">
      <c r="A931" s="98" t="s">
        <v>403</v>
      </c>
      <c r="B931" s="98" t="s">
        <v>62</v>
      </c>
      <c r="C931" s="98" t="s">
        <v>217</v>
      </c>
      <c r="D931" s="98" t="s">
        <v>566</v>
      </c>
      <c r="E931" s="147" t="s">
        <v>1205</v>
      </c>
      <c r="F931" s="98" t="s">
        <v>942</v>
      </c>
      <c r="G931" s="151" t="s">
        <v>88</v>
      </c>
      <c r="H931" s="19" t="s">
        <v>1236</v>
      </c>
      <c r="I931" s="23" t="e">
        <f>VLOOKUP(H931,'合同综合查询数据（3月返）'!$A:$A,1,FALSE)</f>
        <v>#N/A</v>
      </c>
      <c r="J931" s="24" t="s">
        <v>90</v>
      </c>
      <c r="K931" s="151" t="s">
        <v>1237</v>
      </c>
      <c r="L931" s="189"/>
      <c r="M931" s="26" t="s">
        <v>945</v>
      </c>
      <c r="N931" s="191">
        <v>43476</v>
      </c>
      <c r="O931" s="155" t="s">
        <v>457</v>
      </c>
      <c r="P931" s="173">
        <v>5950</v>
      </c>
      <c r="Q931" s="173">
        <v>2</v>
      </c>
      <c r="R931" s="120">
        <f t="shared" si="27"/>
        <v>11900</v>
      </c>
      <c r="S931" s="117">
        <v>202303</v>
      </c>
      <c r="T931" s="184"/>
      <c r="U931" s="185"/>
      <c r="V931" s="133"/>
      <c r="W931" s="133"/>
      <c r="X931" s="118">
        <v>43358</v>
      </c>
      <c r="Y931" s="118">
        <v>45549</v>
      </c>
    </row>
    <row r="932" s="79" customFormat="1" customHeight="1" spans="1:25">
      <c r="A932" s="98" t="s">
        <v>403</v>
      </c>
      <c r="B932" s="98" t="s">
        <v>62</v>
      </c>
      <c r="C932" s="98" t="s">
        <v>217</v>
      </c>
      <c r="D932" s="98" t="s">
        <v>566</v>
      </c>
      <c r="E932" s="147" t="s">
        <v>1205</v>
      </c>
      <c r="F932" s="98" t="s">
        <v>942</v>
      </c>
      <c r="G932" s="151" t="s">
        <v>88</v>
      </c>
      <c r="H932" s="19" t="s">
        <v>1236</v>
      </c>
      <c r="I932" s="23" t="e">
        <f>VLOOKUP(H932,'合同综合查询数据（3月返）'!$A:$A,1,FALSE)</f>
        <v>#N/A</v>
      </c>
      <c r="J932" s="24" t="s">
        <v>90</v>
      </c>
      <c r="K932" s="151" t="s">
        <v>1237</v>
      </c>
      <c r="L932" s="189"/>
      <c r="M932" s="26" t="s">
        <v>945</v>
      </c>
      <c r="N932" s="191">
        <v>43481</v>
      </c>
      <c r="O932" s="155" t="s">
        <v>457</v>
      </c>
      <c r="P932" s="173">
        <v>5950</v>
      </c>
      <c r="Q932" s="173">
        <f>187-Q933</f>
        <v>129</v>
      </c>
      <c r="R932" s="120">
        <f t="shared" si="27"/>
        <v>767550</v>
      </c>
      <c r="S932" s="117">
        <v>202303</v>
      </c>
      <c r="T932" s="184" t="s">
        <v>1265</v>
      </c>
      <c r="U932" s="185"/>
      <c r="V932" s="133"/>
      <c r="W932" s="133"/>
      <c r="X932" s="118">
        <v>43358</v>
      </c>
      <c r="Y932" s="118">
        <v>45549</v>
      </c>
    </row>
    <row r="933" s="79" customFormat="1" customHeight="1" spans="1:25">
      <c r="A933" s="98" t="s">
        <v>403</v>
      </c>
      <c r="B933" s="98" t="s">
        <v>62</v>
      </c>
      <c r="C933" s="98" t="s">
        <v>217</v>
      </c>
      <c r="D933" s="98" t="s">
        <v>566</v>
      </c>
      <c r="E933" s="147" t="s">
        <v>1205</v>
      </c>
      <c r="F933" s="98" t="s">
        <v>942</v>
      </c>
      <c r="G933" s="151" t="s">
        <v>88</v>
      </c>
      <c r="H933" s="19" t="s">
        <v>1236</v>
      </c>
      <c r="I933" s="23" t="e">
        <f>VLOOKUP(H933,'合同综合查询数据（3月返）'!$A:$A,1,FALSE)</f>
        <v>#N/A</v>
      </c>
      <c r="J933" s="24" t="s">
        <v>90</v>
      </c>
      <c r="K933" s="151" t="s">
        <v>1237</v>
      </c>
      <c r="L933" s="189"/>
      <c r="M933" s="26" t="s">
        <v>945</v>
      </c>
      <c r="N933" s="191">
        <v>43481</v>
      </c>
      <c r="O933" s="155" t="s">
        <v>457</v>
      </c>
      <c r="P933" s="173">
        <v>5900</v>
      </c>
      <c r="Q933" s="173">
        <v>58</v>
      </c>
      <c r="R933" s="120">
        <f t="shared" si="27"/>
        <v>342200</v>
      </c>
      <c r="S933" s="117">
        <v>202303</v>
      </c>
      <c r="T933" s="184" t="s">
        <v>1266</v>
      </c>
      <c r="U933" s="185"/>
      <c r="V933" s="133"/>
      <c r="W933" s="133"/>
      <c r="X933" s="118">
        <v>43358</v>
      </c>
      <c r="Y933" s="118">
        <v>45549</v>
      </c>
    </row>
    <row r="934" s="79" customFormat="1" customHeight="1" spans="1:25">
      <c r="A934" s="98" t="s">
        <v>403</v>
      </c>
      <c r="B934" s="98" t="s">
        <v>62</v>
      </c>
      <c r="C934" s="98" t="s">
        <v>217</v>
      </c>
      <c r="D934" s="98" t="s">
        <v>566</v>
      </c>
      <c r="E934" s="147" t="s">
        <v>1205</v>
      </c>
      <c r="F934" s="98" t="s">
        <v>942</v>
      </c>
      <c r="G934" s="151" t="s">
        <v>88</v>
      </c>
      <c r="H934" s="19" t="s">
        <v>1236</v>
      </c>
      <c r="I934" s="23" t="e">
        <f>VLOOKUP(H934,'合同综合查询数据（3月返）'!$A:$A,1,FALSE)</f>
        <v>#N/A</v>
      </c>
      <c r="J934" s="24" t="s">
        <v>90</v>
      </c>
      <c r="K934" s="151" t="s">
        <v>1237</v>
      </c>
      <c r="L934" s="189"/>
      <c r="M934" s="26" t="s">
        <v>945</v>
      </c>
      <c r="N934" s="191">
        <v>43485</v>
      </c>
      <c r="O934" s="155" t="s">
        <v>457</v>
      </c>
      <c r="P934" s="173">
        <v>5900</v>
      </c>
      <c r="Q934" s="173">
        <v>37</v>
      </c>
      <c r="R934" s="120">
        <f t="shared" si="27"/>
        <v>218300</v>
      </c>
      <c r="S934" s="117">
        <v>202303</v>
      </c>
      <c r="T934" s="184" t="s">
        <v>1266</v>
      </c>
      <c r="U934" s="185"/>
      <c r="V934" s="133"/>
      <c r="W934" s="133"/>
      <c r="X934" s="118">
        <v>43358</v>
      </c>
      <c r="Y934" s="118">
        <v>45549</v>
      </c>
    </row>
    <row r="935" s="79" customFormat="1" customHeight="1" spans="1:25">
      <c r="A935" s="98" t="s">
        <v>403</v>
      </c>
      <c r="B935" s="98" t="s">
        <v>62</v>
      </c>
      <c r="C935" s="98" t="s">
        <v>217</v>
      </c>
      <c r="D935" s="98" t="s">
        <v>566</v>
      </c>
      <c r="E935" s="147" t="s">
        <v>1205</v>
      </c>
      <c r="F935" s="98" t="s">
        <v>942</v>
      </c>
      <c r="G935" s="151" t="s">
        <v>88</v>
      </c>
      <c r="H935" s="19" t="s">
        <v>1236</v>
      </c>
      <c r="I935" s="23" t="e">
        <f>VLOOKUP(H935,'合同综合查询数据（3月返）'!$A:$A,1,FALSE)</f>
        <v>#N/A</v>
      </c>
      <c r="J935" s="24" t="s">
        <v>90</v>
      </c>
      <c r="K935" s="151" t="s">
        <v>1237</v>
      </c>
      <c r="L935" s="189"/>
      <c r="M935" s="26" t="s">
        <v>945</v>
      </c>
      <c r="N935" s="193">
        <v>43486</v>
      </c>
      <c r="O935" s="193" t="s">
        <v>457</v>
      </c>
      <c r="P935" s="173">
        <v>5900</v>
      </c>
      <c r="Q935" s="131">
        <v>70</v>
      </c>
      <c r="R935" s="120">
        <f t="shared" si="27"/>
        <v>413000</v>
      </c>
      <c r="S935" s="117">
        <v>202303</v>
      </c>
      <c r="T935" s="184" t="s">
        <v>1266</v>
      </c>
      <c r="U935" s="185"/>
      <c r="V935" s="133"/>
      <c r="W935" s="133"/>
      <c r="X935" s="118">
        <v>43358</v>
      </c>
      <c r="Y935" s="118">
        <v>45549</v>
      </c>
    </row>
    <row r="936" s="79" customFormat="1" customHeight="1" spans="1:25">
      <c r="A936" s="98" t="s">
        <v>403</v>
      </c>
      <c r="B936" s="98" t="s">
        <v>62</v>
      </c>
      <c r="C936" s="98" t="s">
        <v>217</v>
      </c>
      <c r="D936" s="98" t="s">
        <v>566</v>
      </c>
      <c r="E936" s="147" t="s">
        <v>1205</v>
      </c>
      <c r="F936" s="98" t="s">
        <v>942</v>
      </c>
      <c r="G936" s="151" t="s">
        <v>88</v>
      </c>
      <c r="H936" s="19" t="s">
        <v>1236</v>
      </c>
      <c r="I936" s="23" t="e">
        <f>VLOOKUP(H936,'合同综合查询数据（3月返）'!$A:$A,1,FALSE)</f>
        <v>#N/A</v>
      </c>
      <c r="J936" s="24" t="s">
        <v>90</v>
      </c>
      <c r="K936" s="151" t="s">
        <v>1237</v>
      </c>
      <c r="L936" s="189"/>
      <c r="M936" s="26" t="s">
        <v>945</v>
      </c>
      <c r="N936" s="193">
        <v>43487</v>
      </c>
      <c r="O936" s="193" t="s">
        <v>457</v>
      </c>
      <c r="P936" s="173">
        <v>5900</v>
      </c>
      <c r="Q936" s="131">
        <v>46</v>
      </c>
      <c r="R936" s="120">
        <f t="shared" si="27"/>
        <v>271400</v>
      </c>
      <c r="S936" s="117">
        <v>202303</v>
      </c>
      <c r="T936" s="184" t="s">
        <v>1266</v>
      </c>
      <c r="U936" s="185"/>
      <c r="V936" s="133"/>
      <c r="W936" s="133"/>
      <c r="X936" s="118">
        <v>43358</v>
      </c>
      <c r="Y936" s="118">
        <v>45549</v>
      </c>
    </row>
    <row r="937" s="79" customFormat="1" customHeight="1" spans="1:25">
      <c r="A937" s="98" t="s">
        <v>403</v>
      </c>
      <c r="B937" s="98" t="s">
        <v>62</v>
      </c>
      <c r="C937" s="98" t="s">
        <v>217</v>
      </c>
      <c r="D937" s="98" t="s">
        <v>566</v>
      </c>
      <c r="E937" s="147" t="s">
        <v>1205</v>
      </c>
      <c r="F937" s="98" t="s">
        <v>942</v>
      </c>
      <c r="G937" s="151" t="s">
        <v>88</v>
      </c>
      <c r="H937" s="19" t="s">
        <v>1236</v>
      </c>
      <c r="I937" s="23" t="e">
        <f>VLOOKUP(H937,'合同综合查询数据（3月返）'!$A:$A,1,FALSE)</f>
        <v>#N/A</v>
      </c>
      <c r="J937" s="24" t="s">
        <v>90</v>
      </c>
      <c r="K937" s="151" t="s">
        <v>1237</v>
      </c>
      <c r="L937" s="189"/>
      <c r="M937" s="26" t="s">
        <v>945</v>
      </c>
      <c r="N937" s="193">
        <v>43565</v>
      </c>
      <c r="O937" s="193" t="s">
        <v>461</v>
      </c>
      <c r="P937" s="173">
        <v>5900</v>
      </c>
      <c r="Q937" s="131">
        <v>8</v>
      </c>
      <c r="R937" s="120">
        <f t="shared" si="27"/>
        <v>47200</v>
      </c>
      <c r="S937" s="117">
        <v>202303</v>
      </c>
      <c r="T937" s="184" t="s">
        <v>1266</v>
      </c>
      <c r="U937" s="185"/>
      <c r="V937" s="133"/>
      <c r="W937" s="133"/>
      <c r="X937" s="118">
        <v>43358</v>
      </c>
      <c r="Y937" s="118">
        <v>45549</v>
      </c>
    </row>
    <row r="938" s="79" customFormat="1" customHeight="1" spans="1:25">
      <c r="A938" s="98" t="s">
        <v>403</v>
      </c>
      <c r="B938" s="98" t="s">
        <v>62</v>
      </c>
      <c r="C938" s="98" t="s">
        <v>217</v>
      </c>
      <c r="D938" s="98" t="s">
        <v>566</v>
      </c>
      <c r="E938" s="147" t="s">
        <v>1205</v>
      </c>
      <c r="F938" s="98" t="s">
        <v>942</v>
      </c>
      <c r="G938" s="151" t="s">
        <v>88</v>
      </c>
      <c r="H938" s="19" t="s">
        <v>1236</v>
      </c>
      <c r="I938" s="23" t="e">
        <f>VLOOKUP(H938,'合同综合查询数据（3月返）'!$A:$A,1,FALSE)</f>
        <v>#N/A</v>
      </c>
      <c r="J938" s="24" t="s">
        <v>90</v>
      </c>
      <c r="K938" s="151" t="s">
        <v>1237</v>
      </c>
      <c r="L938" s="189"/>
      <c r="M938" s="26" t="s">
        <v>945</v>
      </c>
      <c r="N938" s="193">
        <v>43577</v>
      </c>
      <c r="O938" s="193" t="s">
        <v>461</v>
      </c>
      <c r="P938" s="173">
        <v>5900</v>
      </c>
      <c r="Q938" s="131">
        <v>3</v>
      </c>
      <c r="R938" s="120">
        <f t="shared" si="27"/>
        <v>17700</v>
      </c>
      <c r="S938" s="117">
        <v>202303</v>
      </c>
      <c r="T938" s="184" t="s">
        <v>1267</v>
      </c>
      <c r="U938" s="185"/>
      <c r="V938" s="133"/>
      <c r="W938" s="133"/>
      <c r="X938" s="118">
        <v>43358</v>
      </c>
      <c r="Y938" s="118">
        <v>45549</v>
      </c>
    </row>
    <row r="939" s="79" customFormat="1" customHeight="1" spans="1:25">
      <c r="A939" s="98" t="s">
        <v>403</v>
      </c>
      <c r="B939" s="98" t="s">
        <v>62</v>
      </c>
      <c r="C939" s="98" t="s">
        <v>217</v>
      </c>
      <c r="D939" s="98" t="s">
        <v>566</v>
      </c>
      <c r="E939" s="147" t="s">
        <v>1205</v>
      </c>
      <c r="F939" s="98" t="s">
        <v>942</v>
      </c>
      <c r="G939" s="151" t="s">
        <v>88</v>
      </c>
      <c r="H939" s="19" t="s">
        <v>1236</v>
      </c>
      <c r="I939" s="23" t="e">
        <f>VLOOKUP(H939,'合同综合查询数据（3月返）'!$A:$A,1,FALSE)</f>
        <v>#N/A</v>
      </c>
      <c r="J939" s="24" t="s">
        <v>90</v>
      </c>
      <c r="K939" s="151" t="s">
        <v>1237</v>
      </c>
      <c r="L939" s="189"/>
      <c r="M939" s="26" t="s">
        <v>945</v>
      </c>
      <c r="N939" s="193">
        <v>43579</v>
      </c>
      <c r="O939" s="193" t="s">
        <v>461</v>
      </c>
      <c r="P939" s="173">
        <v>5900</v>
      </c>
      <c r="Q939" s="131">
        <v>1</v>
      </c>
      <c r="R939" s="120">
        <f t="shared" si="27"/>
        <v>5900</v>
      </c>
      <c r="S939" s="117">
        <v>202303</v>
      </c>
      <c r="T939" s="184" t="s">
        <v>1268</v>
      </c>
      <c r="U939" s="185"/>
      <c r="V939" s="133"/>
      <c r="W939" s="133"/>
      <c r="X939" s="118">
        <v>43358</v>
      </c>
      <c r="Y939" s="118">
        <v>45549</v>
      </c>
    </row>
    <row r="940" s="79" customFormat="1" customHeight="1" spans="1:25">
      <c r="A940" s="98" t="s">
        <v>403</v>
      </c>
      <c r="B940" s="98" t="s">
        <v>62</v>
      </c>
      <c r="C940" s="98" t="s">
        <v>217</v>
      </c>
      <c r="D940" s="98" t="s">
        <v>566</v>
      </c>
      <c r="E940" s="147" t="s">
        <v>1205</v>
      </c>
      <c r="F940" s="98" t="s">
        <v>942</v>
      </c>
      <c r="G940" s="151" t="s">
        <v>88</v>
      </c>
      <c r="H940" s="19" t="s">
        <v>1236</v>
      </c>
      <c r="I940" s="23" t="e">
        <f>VLOOKUP(H940,'合同综合查询数据（3月返）'!$A:$A,1,FALSE)</f>
        <v>#N/A</v>
      </c>
      <c r="J940" s="24" t="s">
        <v>90</v>
      </c>
      <c r="K940" s="151" t="s">
        <v>1237</v>
      </c>
      <c r="L940" s="189"/>
      <c r="M940" s="26" t="s">
        <v>945</v>
      </c>
      <c r="N940" s="193">
        <v>43585</v>
      </c>
      <c r="O940" s="193" t="s">
        <v>461</v>
      </c>
      <c r="P940" s="173">
        <v>5900</v>
      </c>
      <c r="Q940" s="131">
        <v>5</v>
      </c>
      <c r="R940" s="120">
        <f t="shared" si="27"/>
        <v>29500</v>
      </c>
      <c r="S940" s="117">
        <v>202303</v>
      </c>
      <c r="T940" s="184" t="s">
        <v>1269</v>
      </c>
      <c r="U940" s="185"/>
      <c r="V940" s="133"/>
      <c r="W940" s="133"/>
      <c r="X940" s="118">
        <v>43358</v>
      </c>
      <c r="Y940" s="118">
        <v>45549</v>
      </c>
    </row>
    <row r="941" s="79" customFormat="1" customHeight="1" spans="1:25">
      <c r="A941" s="98" t="s">
        <v>403</v>
      </c>
      <c r="B941" s="98" t="s">
        <v>62</v>
      </c>
      <c r="C941" s="98" t="s">
        <v>217</v>
      </c>
      <c r="D941" s="98" t="s">
        <v>566</v>
      </c>
      <c r="E941" s="147" t="s">
        <v>1205</v>
      </c>
      <c r="F941" s="98" t="s">
        <v>942</v>
      </c>
      <c r="G941" s="151" t="s">
        <v>88</v>
      </c>
      <c r="H941" s="19" t="s">
        <v>1236</v>
      </c>
      <c r="I941" s="23" t="e">
        <f>VLOOKUP(H941,'合同综合查询数据（3月返）'!$A:$A,1,FALSE)</f>
        <v>#N/A</v>
      </c>
      <c r="J941" s="24" t="s">
        <v>90</v>
      </c>
      <c r="K941" s="151" t="s">
        <v>1237</v>
      </c>
      <c r="L941" s="189"/>
      <c r="M941" s="26" t="s">
        <v>945</v>
      </c>
      <c r="N941" s="193">
        <v>43595</v>
      </c>
      <c r="O941" s="193" t="s">
        <v>461</v>
      </c>
      <c r="P941" s="173">
        <v>5900</v>
      </c>
      <c r="Q941" s="131">
        <v>2</v>
      </c>
      <c r="R941" s="120">
        <f t="shared" si="27"/>
        <v>11800</v>
      </c>
      <c r="S941" s="117">
        <v>202303</v>
      </c>
      <c r="T941" s="184" t="s">
        <v>1270</v>
      </c>
      <c r="U941" s="185"/>
      <c r="V941" s="133"/>
      <c r="W941" s="133"/>
      <c r="X941" s="118">
        <v>43358</v>
      </c>
      <c r="Y941" s="118">
        <v>45549</v>
      </c>
    </row>
    <row r="942" s="79" customFormat="1" customHeight="1" spans="1:25">
      <c r="A942" s="98" t="s">
        <v>403</v>
      </c>
      <c r="B942" s="98" t="s">
        <v>62</v>
      </c>
      <c r="C942" s="98" t="s">
        <v>217</v>
      </c>
      <c r="D942" s="98" t="s">
        <v>566</v>
      </c>
      <c r="E942" s="147" t="s">
        <v>1205</v>
      </c>
      <c r="F942" s="98" t="s">
        <v>942</v>
      </c>
      <c r="G942" s="151" t="s">
        <v>88</v>
      </c>
      <c r="H942" s="19" t="s">
        <v>1236</v>
      </c>
      <c r="I942" s="23" t="e">
        <f>VLOOKUP(H942,'合同综合查询数据（3月返）'!$A:$A,1,FALSE)</f>
        <v>#N/A</v>
      </c>
      <c r="J942" s="24" t="s">
        <v>90</v>
      </c>
      <c r="K942" s="151" t="s">
        <v>1237</v>
      </c>
      <c r="L942" s="189"/>
      <c r="M942" s="26" t="s">
        <v>945</v>
      </c>
      <c r="N942" s="190">
        <v>43591</v>
      </c>
      <c r="O942" s="190" t="s">
        <v>461</v>
      </c>
      <c r="P942" s="173">
        <v>5900</v>
      </c>
      <c r="Q942" s="173">
        <v>16</v>
      </c>
      <c r="R942" s="120">
        <f t="shared" si="27"/>
        <v>94400</v>
      </c>
      <c r="S942" s="117">
        <v>202303</v>
      </c>
      <c r="T942" s="184" t="s">
        <v>1271</v>
      </c>
      <c r="U942" s="185"/>
      <c r="V942" s="133"/>
      <c r="W942" s="133"/>
      <c r="X942" s="118">
        <v>43358</v>
      </c>
      <c r="Y942" s="118">
        <v>45549</v>
      </c>
    </row>
    <row r="943" s="79" customFormat="1" customHeight="1" spans="1:25">
      <c r="A943" s="98" t="s">
        <v>403</v>
      </c>
      <c r="B943" s="98" t="s">
        <v>62</v>
      </c>
      <c r="C943" s="98" t="s">
        <v>217</v>
      </c>
      <c r="D943" s="98" t="s">
        <v>566</v>
      </c>
      <c r="E943" s="147" t="s">
        <v>1205</v>
      </c>
      <c r="F943" s="98" t="s">
        <v>942</v>
      </c>
      <c r="G943" s="151" t="s">
        <v>88</v>
      </c>
      <c r="H943" s="19" t="s">
        <v>1236</v>
      </c>
      <c r="I943" s="23" t="e">
        <f>VLOOKUP(H943,'合同综合查询数据（3月返）'!$A:$A,1,FALSE)</f>
        <v>#N/A</v>
      </c>
      <c r="J943" s="24" t="s">
        <v>90</v>
      </c>
      <c r="K943" s="151" t="s">
        <v>1237</v>
      </c>
      <c r="L943" s="189"/>
      <c r="M943" s="26" t="s">
        <v>945</v>
      </c>
      <c r="N943" s="193">
        <v>43593</v>
      </c>
      <c r="O943" s="193" t="s">
        <v>461</v>
      </c>
      <c r="P943" s="173">
        <v>5900</v>
      </c>
      <c r="Q943" s="131">
        <v>5</v>
      </c>
      <c r="R943" s="120">
        <f t="shared" si="27"/>
        <v>29500</v>
      </c>
      <c r="S943" s="117">
        <v>202303</v>
      </c>
      <c r="T943" s="184" t="s">
        <v>1272</v>
      </c>
      <c r="U943" s="185"/>
      <c r="V943" s="133"/>
      <c r="W943" s="133"/>
      <c r="X943" s="118">
        <v>43358</v>
      </c>
      <c r="Y943" s="118">
        <v>45549</v>
      </c>
    </row>
    <row r="944" s="79" customFormat="1" customHeight="1" spans="1:25">
      <c r="A944" s="98" t="s">
        <v>403</v>
      </c>
      <c r="B944" s="98" t="s">
        <v>62</v>
      </c>
      <c r="C944" s="98" t="s">
        <v>217</v>
      </c>
      <c r="D944" s="98" t="s">
        <v>566</v>
      </c>
      <c r="E944" s="147" t="s">
        <v>1205</v>
      </c>
      <c r="F944" s="98" t="s">
        <v>942</v>
      </c>
      <c r="G944" s="151" t="s">
        <v>88</v>
      </c>
      <c r="H944" s="19" t="s">
        <v>1236</v>
      </c>
      <c r="I944" s="23" t="e">
        <f>VLOOKUP(H944,'合同综合查询数据（3月返）'!$A:$A,1,FALSE)</f>
        <v>#N/A</v>
      </c>
      <c r="J944" s="24" t="s">
        <v>90</v>
      </c>
      <c r="K944" s="151" t="s">
        <v>1237</v>
      </c>
      <c r="L944" s="189"/>
      <c r="M944" s="26" t="s">
        <v>945</v>
      </c>
      <c r="N944" s="193">
        <v>43643</v>
      </c>
      <c r="O944" s="193" t="s">
        <v>461</v>
      </c>
      <c r="P944" s="173">
        <v>5900</v>
      </c>
      <c r="Q944" s="131">
        <v>85</v>
      </c>
      <c r="R944" s="120">
        <f t="shared" si="27"/>
        <v>501500</v>
      </c>
      <c r="S944" s="117">
        <v>202303</v>
      </c>
      <c r="T944" s="184" t="s">
        <v>1273</v>
      </c>
      <c r="U944" s="185"/>
      <c r="V944" s="133"/>
      <c r="W944" s="133"/>
      <c r="X944" s="118">
        <v>43358</v>
      </c>
      <c r="Y944" s="118">
        <v>45549</v>
      </c>
    </row>
    <row r="945" s="79" customFormat="1" customHeight="1" spans="1:25">
      <c r="A945" s="98" t="s">
        <v>403</v>
      </c>
      <c r="B945" s="98" t="s">
        <v>62</v>
      </c>
      <c r="C945" s="98" t="s">
        <v>217</v>
      </c>
      <c r="D945" s="98" t="s">
        <v>566</v>
      </c>
      <c r="E945" s="147" t="s">
        <v>1205</v>
      </c>
      <c r="F945" s="98" t="s">
        <v>942</v>
      </c>
      <c r="G945" s="151" t="s">
        <v>88</v>
      </c>
      <c r="H945" s="19" t="s">
        <v>1236</v>
      </c>
      <c r="I945" s="23" t="e">
        <f>VLOOKUP(H945,'合同综合查询数据（3月返）'!$A:$A,1,FALSE)</f>
        <v>#N/A</v>
      </c>
      <c r="J945" s="24" t="s">
        <v>90</v>
      </c>
      <c r="K945" s="151" t="s">
        <v>1237</v>
      </c>
      <c r="L945" s="189"/>
      <c r="M945" s="26" t="s">
        <v>945</v>
      </c>
      <c r="N945" s="193">
        <v>43711</v>
      </c>
      <c r="O945" s="193" t="s">
        <v>461</v>
      </c>
      <c r="P945" s="173">
        <v>5900</v>
      </c>
      <c r="Q945" s="131">
        <v>30</v>
      </c>
      <c r="R945" s="120">
        <f t="shared" si="27"/>
        <v>177000</v>
      </c>
      <c r="S945" s="117">
        <v>202303</v>
      </c>
      <c r="T945" s="184" t="s">
        <v>1274</v>
      </c>
      <c r="U945" s="185"/>
      <c r="V945" s="133"/>
      <c r="W945" s="133"/>
      <c r="X945" s="118">
        <v>43358</v>
      </c>
      <c r="Y945" s="118">
        <v>45549</v>
      </c>
    </row>
    <row r="946" s="79" customFormat="1" customHeight="1" spans="1:25">
      <c r="A946" s="98" t="s">
        <v>403</v>
      </c>
      <c r="B946" s="98" t="s">
        <v>62</v>
      </c>
      <c r="C946" s="98" t="s">
        <v>217</v>
      </c>
      <c r="D946" s="98" t="s">
        <v>566</v>
      </c>
      <c r="E946" s="147" t="s">
        <v>1205</v>
      </c>
      <c r="F946" s="98" t="s">
        <v>942</v>
      </c>
      <c r="G946" s="151" t="s">
        <v>88</v>
      </c>
      <c r="H946" s="19" t="s">
        <v>1236</v>
      </c>
      <c r="I946" s="23" t="e">
        <f>VLOOKUP(H946,'合同综合查询数据（3月返）'!$A:$A,1,FALSE)</f>
        <v>#N/A</v>
      </c>
      <c r="J946" s="24" t="s">
        <v>90</v>
      </c>
      <c r="K946" s="151" t="s">
        <v>1237</v>
      </c>
      <c r="L946" s="189"/>
      <c r="M946" s="26" t="s">
        <v>945</v>
      </c>
      <c r="N946" s="193">
        <v>43747</v>
      </c>
      <c r="O946" s="193" t="s">
        <v>461</v>
      </c>
      <c r="P946" s="173">
        <v>5900</v>
      </c>
      <c r="Q946" s="131">
        <v>5</v>
      </c>
      <c r="R946" s="120">
        <f t="shared" si="27"/>
        <v>29500</v>
      </c>
      <c r="S946" s="117">
        <v>202303</v>
      </c>
      <c r="T946" s="184" t="s">
        <v>1275</v>
      </c>
      <c r="U946" s="185"/>
      <c r="V946" s="133"/>
      <c r="W946" s="133"/>
      <c r="X946" s="118">
        <v>43358</v>
      </c>
      <c r="Y946" s="118">
        <v>45549</v>
      </c>
    </row>
    <row r="947" s="79" customFormat="1" customHeight="1" spans="1:25">
      <c r="A947" s="98" t="s">
        <v>403</v>
      </c>
      <c r="B947" s="98" t="s">
        <v>62</v>
      </c>
      <c r="C947" s="98" t="s">
        <v>217</v>
      </c>
      <c r="D947" s="98" t="s">
        <v>566</v>
      </c>
      <c r="E947" s="147" t="s">
        <v>1205</v>
      </c>
      <c r="F947" s="98" t="s">
        <v>942</v>
      </c>
      <c r="G947" s="151" t="s">
        <v>88</v>
      </c>
      <c r="H947" s="19" t="s">
        <v>1236</v>
      </c>
      <c r="I947" s="23" t="e">
        <f>VLOOKUP(H947,'合同综合查询数据（3月返）'!$A:$A,1,FALSE)</f>
        <v>#N/A</v>
      </c>
      <c r="J947" s="24" t="s">
        <v>90</v>
      </c>
      <c r="K947" s="151" t="s">
        <v>1237</v>
      </c>
      <c r="L947" s="189"/>
      <c r="M947" s="26" t="s">
        <v>945</v>
      </c>
      <c r="N947" s="193" t="s">
        <v>1225</v>
      </c>
      <c r="O947" s="193" t="s">
        <v>461</v>
      </c>
      <c r="P947" s="131">
        <v>5900</v>
      </c>
      <c r="Q947" s="131">
        <v>37</v>
      </c>
      <c r="R947" s="120">
        <f t="shared" si="27"/>
        <v>218300</v>
      </c>
      <c r="S947" s="117">
        <v>202303</v>
      </c>
      <c r="T947" s="184" t="s">
        <v>1276</v>
      </c>
      <c r="U947" s="185"/>
      <c r="V947" s="133"/>
      <c r="W947" s="133"/>
      <c r="X947" s="118">
        <v>43358</v>
      </c>
      <c r="Y947" s="118">
        <v>45549</v>
      </c>
    </row>
    <row r="948" s="79" customFormat="1" customHeight="1" spans="1:25">
      <c r="A948" s="98" t="s">
        <v>403</v>
      </c>
      <c r="B948" s="98" t="s">
        <v>62</v>
      </c>
      <c r="C948" s="98" t="s">
        <v>217</v>
      </c>
      <c r="D948" s="98" t="s">
        <v>566</v>
      </c>
      <c r="E948" s="147" t="s">
        <v>1205</v>
      </c>
      <c r="F948" s="98" t="s">
        <v>942</v>
      </c>
      <c r="G948" s="151" t="s">
        <v>88</v>
      </c>
      <c r="H948" s="19" t="s">
        <v>1236</v>
      </c>
      <c r="I948" s="23" t="e">
        <f>VLOOKUP(H948,'合同综合查询数据（3月返）'!$A:$A,1,FALSE)</f>
        <v>#N/A</v>
      </c>
      <c r="J948" s="24" t="s">
        <v>90</v>
      </c>
      <c r="K948" s="151" t="s">
        <v>1237</v>
      </c>
      <c r="L948" s="189"/>
      <c r="M948" s="26" t="s">
        <v>945</v>
      </c>
      <c r="N948" s="193">
        <v>43849</v>
      </c>
      <c r="O948" s="193" t="s">
        <v>461</v>
      </c>
      <c r="P948" s="131">
        <v>5900</v>
      </c>
      <c r="Q948" s="131">
        <v>1</v>
      </c>
      <c r="R948" s="120">
        <f t="shared" si="27"/>
        <v>5900</v>
      </c>
      <c r="S948" s="117">
        <v>202303</v>
      </c>
      <c r="T948" s="184" t="s">
        <v>1277</v>
      </c>
      <c r="U948" s="185"/>
      <c r="V948" s="133"/>
      <c r="W948" s="133"/>
      <c r="X948" s="118">
        <v>43358</v>
      </c>
      <c r="Y948" s="118">
        <v>45549</v>
      </c>
    </row>
    <row r="949" s="79" customFormat="1" customHeight="1" spans="1:25">
      <c r="A949" s="98" t="s">
        <v>403</v>
      </c>
      <c r="B949" s="98" t="s">
        <v>62</v>
      </c>
      <c r="C949" s="98" t="s">
        <v>217</v>
      </c>
      <c r="D949" s="98" t="s">
        <v>566</v>
      </c>
      <c r="E949" s="147" t="s">
        <v>1205</v>
      </c>
      <c r="F949" s="98" t="s">
        <v>942</v>
      </c>
      <c r="G949" s="151" t="s">
        <v>88</v>
      </c>
      <c r="H949" s="19" t="s">
        <v>1236</v>
      </c>
      <c r="I949" s="23" t="e">
        <f>VLOOKUP(H949,'合同综合查询数据（3月返）'!$A:$A,1,FALSE)</f>
        <v>#N/A</v>
      </c>
      <c r="J949" s="24" t="s">
        <v>90</v>
      </c>
      <c r="K949" s="151" t="s">
        <v>1237</v>
      </c>
      <c r="L949" s="189"/>
      <c r="M949" s="26" t="s">
        <v>945</v>
      </c>
      <c r="N949" s="193">
        <v>43851</v>
      </c>
      <c r="O949" s="193" t="s">
        <v>461</v>
      </c>
      <c r="P949" s="131">
        <v>5900</v>
      </c>
      <c r="Q949" s="131">
        <v>5</v>
      </c>
      <c r="R949" s="120">
        <f t="shared" si="27"/>
        <v>29500</v>
      </c>
      <c r="S949" s="117">
        <v>202303</v>
      </c>
      <c r="T949" s="184" t="s">
        <v>1278</v>
      </c>
      <c r="U949" s="185"/>
      <c r="V949" s="133"/>
      <c r="W949" s="133"/>
      <c r="X949" s="118">
        <v>43358</v>
      </c>
      <c r="Y949" s="118">
        <v>45549</v>
      </c>
    </row>
    <row r="950" s="79" customFormat="1" customHeight="1" spans="1:25">
      <c r="A950" s="98" t="s">
        <v>403</v>
      </c>
      <c r="B950" s="98" t="s">
        <v>62</v>
      </c>
      <c r="C950" s="98" t="s">
        <v>217</v>
      </c>
      <c r="D950" s="98" t="s">
        <v>566</v>
      </c>
      <c r="E950" s="147" t="s">
        <v>1205</v>
      </c>
      <c r="F950" s="98" t="s">
        <v>942</v>
      </c>
      <c r="G950" s="151" t="s">
        <v>88</v>
      </c>
      <c r="H950" s="19" t="s">
        <v>1236</v>
      </c>
      <c r="I950" s="23" t="e">
        <f>VLOOKUP(H950,'合同综合查询数据（3月返）'!$A:$A,1,FALSE)</f>
        <v>#N/A</v>
      </c>
      <c r="J950" s="24" t="s">
        <v>90</v>
      </c>
      <c r="K950" s="151" t="s">
        <v>1237</v>
      </c>
      <c r="L950" s="189"/>
      <c r="M950" s="26" t="s">
        <v>945</v>
      </c>
      <c r="N950" s="193">
        <v>43915</v>
      </c>
      <c r="O950" s="193" t="s">
        <v>461</v>
      </c>
      <c r="P950" s="131">
        <v>5900</v>
      </c>
      <c r="Q950" s="131">
        <v>4</v>
      </c>
      <c r="R950" s="120">
        <f t="shared" si="27"/>
        <v>23600</v>
      </c>
      <c r="S950" s="117">
        <v>202303</v>
      </c>
      <c r="T950" s="184" t="s">
        <v>1279</v>
      </c>
      <c r="U950" s="185"/>
      <c r="V950" s="133"/>
      <c r="W950" s="133"/>
      <c r="X950" s="118">
        <v>43358</v>
      </c>
      <c r="Y950" s="118">
        <v>45549</v>
      </c>
    </row>
    <row r="951" s="79" customFormat="1" customHeight="1" spans="1:25">
      <c r="A951" s="98" t="s">
        <v>403</v>
      </c>
      <c r="B951" s="98" t="s">
        <v>62</v>
      </c>
      <c r="C951" s="98" t="s">
        <v>217</v>
      </c>
      <c r="D951" s="98" t="s">
        <v>566</v>
      </c>
      <c r="E951" s="147" t="s">
        <v>1205</v>
      </c>
      <c r="F951" s="98" t="s">
        <v>942</v>
      </c>
      <c r="G951" s="151" t="s">
        <v>88</v>
      </c>
      <c r="H951" s="19" t="s">
        <v>1236</v>
      </c>
      <c r="I951" s="23" t="e">
        <f>VLOOKUP(H951,'合同综合查询数据（3月返）'!$A:$A,1,FALSE)</f>
        <v>#N/A</v>
      </c>
      <c r="J951" s="24" t="s">
        <v>90</v>
      </c>
      <c r="K951" s="151" t="s">
        <v>1237</v>
      </c>
      <c r="L951" s="189"/>
      <c r="M951" s="26" t="s">
        <v>945</v>
      </c>
      <c r="N951" s="193">
        <v>43918</v>
      </c>
      <c r="O951" s="193" t="s">
        <v>461</v>
      </c>
      <c r="P951" s="131">
        <v>5900</v>
      </c>
      <c r="Q951" s="131">
        <v>1</v>
      </c>
      <c r="R951" s="120">
        <f t="shared" si="27"/>
        <v>5900</v>
      </c>
      <c r="S951" s="117">
        <v>202303</v>
      </c>
      <c r="T951" s="184" t="s">
        <v>1280</v>
      </c>
      <c r="U951" s="185"/>
      <c r="V951" s="133"/>
      <c r="W951" s="133"/>
      <c r="X951" s="118">
        <v>43358</v>
      </c>
      <c r="Y951" s="118">
        <v>45549</v>
      </c>
    </row>
    <row r="952" s="79" customFormat="1" customHeight="1" spans="1:25">
      <c r="A952" s="98" t="s">
        <v>403</v>
      </c>
      <c r="B952" s="98" t="s">
        <v>62</v>
      </c>
      <c r="C952" s="98" t="s">
        <v>217</v>
      </c>
      <c r="D952" s="98" t="s">
        <v>566</v>
      </c>
      <c r="E952" s="147" t="s">
        <v>1205</v>
      </c>
      <c r="F952" s="98" t="s">
        <v>942</v>
      </c>
      <c r="G952" s="151" t="s">
        <v>88</v>
      </c>
      <c r="H952" s="19" t="s">
        <v>1236</v>
      </c>
      <c r="I952" s="23" t="e">
        <f>VLOOKUP(H952,'合同综合查询数据（3月返）'!$A:$A,1,FALSE)</f>
        <v>#N/A</v>
      </c>
      <c r="J952" s="24" t="s">
        <v>90</v>
      </c>
      <c r="K952" s="151" t="s">
        <v>1237</v>
      </c>
      <c r="L952" s="189"/>
      <c r="M952" s="26" t="s">
        <v>945</v>
      </c>
      <c r="N952" s="193">
        <v>43936</v>
      </c>
      <c r="O952" s="193" t="s">
        <v>461</v>
      </c>
      <c r="P952" s="131">
        <v>5900</v>
      </c>
      <c r="Q952" s="131">
        <v>1</v>
      </c>
      <c r="R952" s="120">
        <f t="shared" si="27"/>
        <v>5900</v>
      </c>
      <c r="S952" s="117">
        <v>202303</v>
      </c>
      <c r="T952" s="184" t="s">
        <v>1281</v>
      </c>
      <c r="U952" s="185"/>
      <c r="V952" s="133"/>
      <c r="W952" s="133"/>
      <c r="X952" s="118">
        <v>43358</v>
      </c>
      <c r="Y952" s="118">
        <v>45549</v>
      </c>
    </row>
    <row r="953" s="79" customFormat="1" customHeight="1" spans="1:25">
      <c r="A953" s="98" t="s">
        <v>403</v>
      </c>
      <c r="B953" s="98" t="s">
        <v>62</v>
      </c>
      <c r="C953" s="98" t="s">
        <v>217</v>
      </c>
      <c r="D953" s="98" t="s">
        <v>566</v>
      </c>
      <c r="E953" s="147" t="s">
        <v>1205</v>
      </c>
      <c r="F953" s="98" t="s">
        <v>942</v>
      </c>
      <c r="G953" s="151" t="s">
        <v>88</v>
      </c>
      <c r="H953" s="19" t="s">
        <v>1236</v>
      </c>
      <c r="I953" s="23" t="e">
        <f>VLOOKUP(H953,'合同综合查询数据（3月返）'!$A:$A,1,FALSE)</f>
        <v>#N/A</v>
      </c>
      <c r="J953" s="24" t="s">
        <v>90</v>
      </c>
      <c r="K953" s="151" t="s">
        <v>1237</v>
      </c>
      <c r="L953" s="189"/>
      <c r="M953" s="26" t="s">
        <v>945</v>
      </c>
      <c r="N953" s="193">
        <v>43940</v>
      </c>
      <c r="O953" s="193" t="s">
        <v>461</v>
      </c>
      <c r="P953" s="131">
        <v>5900</v>
      </c>
      <c r="Q953" s="131">
        <v>1</v>
      </c>
      <c r="R953" s="120">
        <f t="shared" si="27"/>
        <v>5900</v>
      </c>
      <c r="S953" s="117">
        <v>202303</v>
      </c>
      <c r="T953" s="184" t="s">
        <v>1282</v>
      </c>
      <c r="U953" s="185"/>
      <c r="V953" s="133"/>
      <c r="W953" s="133"/>
      <c r="X953" s="118">
        <v>43358</v>
      </c>
      <c r="Y953" s="118">
        <v>45549</v>
      </c>
    </row>
    <row r="954" s="79" customFormat="1" customHeight="1" spans="1:25">
      <c r="A954" s="98" t="s">
        <v>403</v>
      </c>
      <c r="B954" s="98" t="s">
        <v>62</v>
      </c>
      <c r="C954" s="98" t="s">
        <v>217</v>
      </c>
      <c r="D954" s="98" t="s">
        <v>566</v>
      </c>
      <c r="E954" s="147" t="s">
        <v>1205</v>
      </c>
      <c r="F954" s="98" t="s">
        <v>942</v>
      </c>
      <c r="G954" s="151" t="s">
        <v>88</v>
      </c>
      <c r="H954" s="19" t="s">
        <v>1236</v>
      </c>
      <c r="I954" s="23" t="e">
        <f>VLOOKUP(H954,'合同综合查询数据（3月返）'!$A:$A,1,FALSE)</f>
        <v>#N/A</v>
      </c>
      <c r="J954" s="24" t="s">
        <v>90</v>
      </c>
      <c r="K954" s="151" t="s">
        <v>1237</v>
      </c>
      <c r="L954" s="189"/>
      <c r="M954" s="26" t="s">
        <v>945</v>
      </c>
      <c r="N954" s="193">
        <v>43984</v>
      </c>
      <c r="O954" s="193" t="s">
        <v>461</v>
      </c>
      <c r="P954" s="131">
        <v>5900</v>
      </c>
      <c r="Q954" s="131">
        <v>12</v>
      </c>
      <c r="R954" s="120">
        <f t="shared" si="27"/>
        <v>70800</v>
      </c>
      <c r="S954" s="117">
        <v>202303</v>
      </c>
      <c r="T954" s="184" t="s">
        <v>1283</v>
      </c>
      <c r="U954" s="185"/>
      <c r="V954" s="133"/>
      <c r="W954" s="133"/>
      <c r="X954" s="118">
        <v>43358</v>
      </c>
      <c r="Y954" s="118">
        <v>45549</v>
      </c>
    </row>
    <row r="955" s="79" customFormat="1" customHeight="1" spans="1:25">
      <c r="A955" s="98" t="s">
        <v>403</v>
      </c>
      <c r="B955" s="98" t="s">
        <v>62</v>
      </c>
      <c r="C955" s="98" t="s">
        <v>217</v>
      </c>
      <c r="D955" s="98" t="s">
        <v>566</v>
      </c>
      <c r="E955" s="147" t="s">
        <v>1205</v>
      </c>
      <c r="F955" s="98" t="s">
        <v>942</v>
      </c>
      <c r="G955" s="151" t="s">
        <v>88</v>
      </c>
      <c r="H955" s="19" t="s">
        <v>1236</v>
      </c>
      <c r="I955" s="23" t="e">
        <f>VLOOKUP(H955,'合同综合查询数据（3月返）'!$A:$A,1,FALSE)</f>
        <v>#N/A</v>
      </c>
      <c r="J955" s="24" t="s">
        <v>90</v>
      </c>
      <c r="K955" s="151" t="s">
        <v>1237</v>
      </c>
      <c r="L955" s="189"/>
      <c r="M955" s="26" t="s">
        <v>945</v>
      </c>
      <c r="N955" s="193">
        <v>43990</v>
      </c>
      <c r="O955" s="193" t="s">
        <v>461</v>
      </c>
      <c r="P955" s="131">
        <v>5900</v>
      </c>
      <c r="Q955" s="131">
        <v>2</v>
      </c>
      <c r="R955" s="120">
        <f t="shared" si="27"/>
        <v>11800</v>
      </c>
      <c r="S955" s="117">
        <v>202303</v>
      </c>
      <c r="T955" s="184" t="s">
        <v>1284</v>
      </c>
      <c r="U955" s="185"/>
      <c r="V955" s="133"/>
      <c r="W955" s="133"/>
      <c r="X955" s="118">
        <v>43358</v>
      </c>
      <c r="Y955" s="118">
        <v>45549</v>
      </c>
    </row>
    <row r="956" s="79" customFormat="1" customHeight="1" spans="1:25">
      <c r="A956" s="98" t="s">
        <v>403</v>
      </c>
      <c r="B956" s="98" t="s">
        <v>62</v>
      </c>
      <c r="C956" s="98" t="s">
        <v>217</v>
      </c>
      <c r="D956" s="98" t="s">
        <v>566</v>
      </c>
      <c r="E956" s="147" t="s">
        <v>1205</v>
      </c>
      <c r="F956" s="98" t="s">
        <v>942</v>
      </c>
      <c r="G956" s="151" t="s">
        <v>88</v>
      </c>
      <c r="H956" s="19" t="s">
        <v>1236</v>
      </c>
      <c r="I956" s="23" t="e">
        <f>VLOOKUP(H956,'合同综合查询数据（3月返）'!$A:$A,1,FALSE)</f>
        <v>#N/A</v>
      </c>
      <c r="J956" s="24" t="s">
        <v>90</v>
      </c>
      <c r="K956" s="151" t="s">
        <v>1237</v>
      </c>
      <c r="L956" s="189"/>
      <c r="M956" s="26" t="s">
        <v>945</v>
      </c>
      <c r="N956" s="193">
        <v>44029</v>
      </c>
      <c r="O956" s="193" t="s">
        <v>461</v>
      </c>
      <c r="P956" s="131">
        <v>5900</v>
      </c>
      <c r="Q956" s="131">
        <v>7</v>
      </c>
      <c r="R956" s="120">
        <f t="shared" si="27"/>
        <v>41300</v>
      </c>
      <c r="S956" s="117">
        <v>202303</v>
      </c>
      <c r="T956" s="184" t="s">
        <v>1285</v>
      </c>
      <c r="U956" s="185"/>
      <c r="V956" s="133"/>
      <c r="W956" s="133"/>
      <c r="X956" s="118">
        <v>43358</v>
      </c>
      <c r="Y956" s="118">
        <v>45549</v>
      </c>
    </row>
    <row r="957" s="79" customFormat="1" customHeight="1" spans="1:25">
      <c r="A957" s="98" t="s">
        <v>403</v>
      </c>
      <c r="B957" s="98" t="s">
        <v>62</v>
      </c>
      <c r="C957" s="98" t="s">
        <v>217</v>
      </c>
      <c r="D957" s="98" t="s">
        <v>566</v>
      </c>
      <c r="E957" s="147" t="s">
        <v>1205</v>
      </c>
      <c r="F957" s="98" t="s">
        <v>942</v>
      </c>
      <c r="G957" s="151" t="s">
        <v>88</v>
      </c>
      <c r="H957" s="19" t="s">
        <v>1236</v>
      </c>
      <c r="I957" s="23" t="e">
        <f>VLOOKUP(H957,'合同综合查询数据（3月返）'!$A:$A,1,FALSE)</f>
        <v>#N/A</v>
      </c>
      <c r="J957" s="24" t="s">
        <v>90</v>
      </c>
      <c r="K957" s="151" t="s">
        <v>1237</v>
      </c>
      <c r="L957" s="189"/>
      <c r="M957" s="26" t="s">
        <v>945</v>
      </c>
      <c r="N957" s="193">
        <v>44035</v>
      </c>
      <c r="O957" s="193" t="s">
        <v>461</v>
      </c>
      <c r="P957" s="131">
        <v>5900</v>
      </c>
      <c r="Q957" s="131">
        <v>5</v>
      </c>
      <c r="R957" s="120">
        <f t="shared" si="27"/>
        <v>29500</v>
      </c>
      <c r="S957" s="117">
        <v>202303</v>
      </c>
      <c r="T957" s="184" t="s">
        <v>1286</v>
      </c>
      <c r="U957" s="185"/>
      <c r="V957" s="133"/>
      <c r="W957" s="133"/>
      <c r="X957" s="118">
        <v>43358</v>
      </c>
      <c r="Y957" s="118">
        <v>45549</v>
      </c>
    </row>
    <row r="958" s="79" customFormat="1" customHeight="1" spans="1:25">
      <c r="A958" s="98" t="s">
        <v>403</v>
      </c>
      <c r="B958" s="98" t="s">
        <v>62</v>
      </c>
      <c r="C958" s="98" t="s">
        <v>217</v>
      </c>
      <c r="D958" s="98" t="s">
        <v>566</v>
      </c>
      <c r="E958" s="147" t="s">
        <v>1205</v>
      </c>
      <c r="F958" s="98" t="s">
        <v>942</v>
      </c>
      <c r="G958" s="151" t="s">
        <v>88</v>
      </c>
      <c r="H958" s="19" t="s">
        <v>1236</v>
      </c>
      <c r="I958" s="23" t="e">
        <f>VLOOKUP(H958,'合同综合查询数据（3月返）'!$A:$A,1,FALSE)</f>
        <v>#N/A</v>
      </c>
      <c r="J958" s="24" t="s">
        <v>90</v>
      </c>
      <c r="K958" s="151" t="s">
        <v>1237</v>
      </c>
      <c r="L958" s="189"/>
      <c r="M958" s="26" t="s">
        <v>945</v>
      </c>
      <c r="N958" s="193">
        <v>44035</v>
      </c>
      <c r="O958" s="193" t="s">
        <v>461</v>
      </c>
      <c r="P958" s="173">
        <v>5950</v>
      </c>
      <c r="Q958" s="131">
        <v>10</v>
      </c>
      <c r="R958" s="120">
        <f t="shared" si="27"/>
        <v>59500</v>
      </c>
      <c r="S958" s="117">
        <v>202303</v>
      </c>
      <c r="T958" s="184" t="s">
        <v>1287</v>
      </c>
      <c r="U958" s="185"/>
      <c r="V958" s="133"/>
      <c r="W958" s="133"/>
      <c r="X958" s="118">
        <v>43358</v>
      </c>
      <c r="Y958" s="118">
        <v>45549</v>
      </c>
    </row>
    <row r="959" s="79" customFormat="1" customHeight="1" spans="1:25">
      <c r="A959" s="98" t="s">
        <v>403</v>
      </c>
      <c r="B959" s="98" t="s">
        <v>62</v>
      </c>
      <c r="C959" s="98" t="s">
        <v>217</v>
      </c>
      <c r="D959" s="98" t="s">
        <v>566</v>
      </c>
      <c r="E959" s="147" t="s">
        <v>1205</v>
      </c>
      <c r="F959" s="98" t="s">
        <v>942</v>
      </c>
      <c r="G959" s="151" t="s">
        <v>88</v>
      </c>
      <c r="H959" s="19" t="s">
        <v>1236</v>
      </c>
      <c r="I959" s="23" t="e">
        <f>VLOOKUP(H959,'合同综合查询数据（3月返）'!$A:$A,1,FALSE)</f>
        <v>#N/A</v>
      </c>
      <c r="J959" s="24" t="s">
        <v>90</v>
      </c>
      <c r="K959" s="151" t="s">
        <v>1237</v>
      </c>
      <c r="L959" s="189"/>
      <c r="M959" s="26" t="s">
        <v>945</v>
      </c>
      <c r="N959" s="193">
        <v>44043</v>
      </c>
      <c r="O959" s="193" t="s">
        <v>461</v>
      </c>
      <c r="P959" s="173">
        <v>5900</v>
      </c>
      <c r="Q959" s="131">
        <v>17</v>
      </c>
      <c r="R959" s="120">
        <f t="shared" si="27"/>
        <v>100300</v>
      </c>
      <c r="S959" s="117">
        <v>202303</v>
      </c>
      <c r="T959" s="184" t="s">
        <v>1288</v>
      </c>
      <c r="U959" s="185"/>
      <c r="V959" s="133"/>
      <c r="W959" s="133"/>
      <c r="X959" s="118">
        <v>43358</v>
      </c>
      <c r="Y959" s="118">
        <v>45549</v>
      </c>
    </row>
    <row r="960" s="79" customFormat="1" customHeight="1" spans="1:25">
      <c r="A960" s="98" t="s">
        <v>403</v>
      </c>
      <c r="B960" s="98" t="s">
        <v>62</v>
      </c>
      <c r="C960" s="98" t="s">
        <v>217</v>
      </c>
      <c r="D960" s="98" t="s">
        <v>566</v>
      </c>
      <c r="E960" s="147" t="s">
        <v>1205</v>
      </c>
      <c r="F960" s="98" t="s">
        <v>942</v>
      </c>
      <c r="G960" s="151" t="s">
        <v>88</v>
      </c>
      <c r="H960" s="19" t="s">
        <v>1236</v>
      </c>
      <c r="I960" s="23" t="e">
        <f>VLOOKUP(H960,'合同综合查询数据（3月返）'!$A:$A,1,FALSE)</f>
        <v>#N/A</v>
      </c>
      <c r="J960" s="24" t="s">
        <v>90</v>
      </c>
      <c r="K960" s="151" t="s">
        <v>1237</v>
      </c>
      <c r="L960" s="189"/>
      <c r="M960" s="26" t="s">
        <v>945</v>
      </c>
      <c r="N960" s="193">
        <v>44052</v>
      </c>
      <c r="O960" s="193" t="s">
        <v>461</v>
      </c>
      <c r="P960" s="173">
        <v>5900</v>
      </c>
      <c r="Q960" s="131">
        <v>13</v>
      </c>
      <c r="R960" s="120">
        <f t="shared" si="27"/>
        <v>76700</v>
      </c>
      <c r="S960" s="117">
        <v>202303</v>
      </c>
      <c r="T960" s="184" t="s">
        <v>1289</v>
      </c>
      <c r="U960" s="185"/>
      <c r="V960" s="133"/>
      <c r="W960" s="133"/>
      <c r="X960" s="118">
        <v>43358</v>
      </c>
      <c r="Y960" s="118">
        <v>45549</v>
      </c>
    </row>
    <row r="961" s="79" customFormat="1" customHeight="1" spans="1:25">
      <c r="A961" s="98" t="s">
        <v>403</v>
      </c>
      <c r="B961" s="98" t="s">
        <v>62</v>
      </c>
      <c r="C961" s="98" t="s">
        <v>217</v>
      </c>
      <c r="D961" s="98" t="s">
        <v>566</v>
      </c>
      <c r="E961" s="147" t="s">
        <v>1205</v>
      </c>
      <c r="F961" s="98" t="s">
        <v>942</v>
      </c>
      <c r="G961" s="151" t="s">
        <v>88</v>
      </c>
      <c r="H961" s="19" t="s">
        <v>1236</v>
      </c>
      <c r="I961" s="23" t="e">
        <f>VLOOKUP(H961,'合同综合查询数据（3月返）'!$A:$A,1,FALSE)</f>
        <v>#N/A</v>
      </c>
      <c r="J961" s="24" t="s">
        <v>90</v>
      </c>
      <c r="K961" s="151" t="s">
        <v>1237</v>
      </c>
      <c r="L961" s="189"/>
      <c r="M961" s="26" t="s">
        <v>945</v>
      </c>
      <c r="N961" s="193">
        <v>44053</v>
      </c>
      <c r="O961" s="193" t="s">
        <v>461</v>
      </c>
      <c r="P961" s="173">
        <v>5900</v>
      </c>
      <c r="Q961" s="131">
        <v>12</v>
      </c>
      <c r="R961" s="120">
        <f t="shared" si="27"/>
        <v>70800</v>
      </c>
      <c r="S961" s="117">
        <v>202303</v>
      </c>
      <c r="T961" s="184" t="s">
        <v>1290</v>
      </c>
      <c r="U961" s="185"/>
      <c r="V961" s="133"/>
      <c r="W961" s="133"/>
      <c r="X961" s="118">
        <v>43358</v>
      </c>
      <c r="Y961" s="118">
        <v>45549</v>
      </c>
    </row>
    <row r="962" s="79" customFormat="1" customHeight="1" spans="1:25">
      <c r="A962" s="98" t="s">
        <v>403</v>
      </c>
      <c r="B962" s="98" t="s">
        <v>62</v>
      </c>
      <c r="C962" s="98" t="s">
        <v>217</v>
      </c>
      <c r="D962" s="98" t="s">
        <v>566</v>
      </c>
      <c r="E962" s="147" t="s">
        <v>1205</v>
      </c>
      <c r="F962" s="98" t="s">
        <v>942</v>
      </c>
      <c r="G962" s="151" t="s">
        <v>88</v>
      </c>
      <c r="H962" s="19" t="s">
        <v>1236</v>
      </c>
      <c r="I962" s="23" t="e">
        <f>VLOOKUP(H962,'合同综合查询数据（3月返）'!$A:$A,1,FALSE)</f>
        <v>#N/A</v>
      </c>
      <c r="J962" s="24" t="s">
        <v>90</v>
      </c>
      <c r="K962" s="151" t="s">
        <v>1237</v>
      </c>
      <c r="L962" s="189"/>
      <c r="M962" s="26" t="s">
        <v>945</v>
      </c>
      <c r="N962" s="193">
        <v>44060</v>
      </c>
      <c r="O962" s="193" t="s">
        <v>461</v>
      </c>
      <c r="P962" s="173">
        <v>5900</v>
      </c>
      <c r="Q962" s="131">
        <v>1</v>
      </c>
      <c r="R962" s="120">
        <f t="shared" si="27"/>
        <v>5900</v>
      </c>
      <c r="S962" s="117">
        <v>202303</v>
      </c>
      <c r="T962" s="184" t="s">
        <v>1291</v>
      </c>
      <c r="U962" s="185"/>
      <c r="V962" s="133"/>
      <c r="W962" s="133"/>
      <c r="X962" s="118">
        <v>43358</v>
      </c>
      <c r="Y962" s="118">
        <v>45549</v>
      </c>
    </row>
    <row r="963" s="79" customFormat="1" customHeight="1" spans="1:25">
      <c r="A963" s="98" t="s">
        <v>403</v>
      </c>
      <c r="B963" s="98" t="s">
        <v>62</v>
      </c>
      <c r="C963" s="98" t="s">
        <v>217</v>
      </c>
      <c r="D963" s="98" t="s">
        <v>566</v>
      </c>
      <c r="E963" s="147" t="s">
        <v>1205</v>
      </c>
      <c r="F963" s="98" t="s">
        <v>942</v>
      </c>
      <c r="G963" s="151" t="s">
        <v>88</v>
      </c>
      <c r="H963" s="19" t="s">
        <v>1236</v>
      </c>
      <c r="I963" s="23" t="e">
        <f>VLOOKUP(H963,'合同综合查询数据（3月返）'!$A:$A,1,FALSE)</f>
        <v>#N/A</v>
      </c>
      <c r="J963" s="24" t="s">
        <v>90</v>
      </c>
      <c r="K963" s="151" t="s">
        <v>1237</v>
      </c>
      <c r="L963" s="189"/>
      <c r="M963" s="26" t="s">
        <v>945</v>
      </c>
      <c r="N963" s="193">
        <v>44279</v>
      </c>
      <c r="O963" s="193" t="s">
        <v>461</v>
      </c>
      <c r="P963" s="173">
        <v>5950</v>
      </c>
      <c r="Q963" s="131">
        <v>2</v>
      </c>
      <c r="R963" s="120">
        <f t="shared" si="27"/>
        <v>11900</v>
      </c>
      <c r="S963" s="117">
        <v>202303</v>
      </c>
      <c r="T963" s="184" t="s">
        <v>1292</v>
      </c>
      <c r="U963" s="185"/>
      <c r="V963" s="133"/>
      <c r="W963" s="133"/>
      <c r="X963" s="118">
        <v>43358</v>
      </c>
      <c r="Y963" s="118">
        <v>45549</v>
      </c>
    </row>
    <row r="964" s="79" customFormat="1" customHeight="1" spans="1:25">
      <c r="A964" s="98" t="s">
        <v>403</v>
      </c>
      <c r="B964" s="98" t="s">
        <v>62</v>
      </c>
      <c r="C964" s="98" t="s">
        <v>217</v>
      </c>
      <c r="D964" s="98" t="s">
        <v>566</v>
      </c>
      <c r="E964" s="147" t="s">
        <v>1205</v>
      </c>
      <c r="F964" s="98" t="s">
        <v>942</v>
      </c>
      <c r="G964" s="151" t="s">
        <v>88</v>
      </c>
      <c r="H964" s="19" t="s">
        <v>1236</v>
      </c>
      <c r="I964" s="23" t="e">
        <f>VLOOKUP(H964,'合同综合查询数据（3月返）'!$A:$A,1,FALSE)</f>
        <v>#N/A</v>
      </c>
      <c r="J964" s="24" t="s">
        <v>90</v>
      </c>
      <c r="K964" s="151" t="s">
        <v>1237</v>
      </c>
      <c r="L964" s="189"/>
      <c r="M964" s="26" t="s">
        <v>945</v>
      </c>
      <c r="N964" s="193">
        <v>44136</v>
      </c>
      <c r="O964" s="193" t="s">
        <v>461</v>
      </c>
      <c r="P964" s="173">
        <v>5900</v>
      </c>
      <c r="Q964" s="131">
        <v>1</v>
      </c>
      <c r="R964" s="120">
        <f t="shared" si="27"/>
        <v>5900</v>
      </c>
      <c r="S964" s="117">
        <v>202303</v>
      </c>
      <c r="T964" s="184" t="s">
        <v>1293</v>
      </c>
      <c r="U964" s="185"/>
      <c r="V964" s="133"/>
      <c r="W964" s="133"/>
      <c r="X964" s="118">
        <v>43358</v>
      </c>
      <c r="Y964" s="118">
        <v>45549</v>
      </c>
    </row>
    <row r="965" s="79" customFormat="1" customHeight="1" spans="1:25">
      <c r="A965" s="98" t="s">
        <v>403</v>
      </c>
      <c r="B965" s="98" t="s">
        <v>62</v>
      </c>
      <c r="C965" s="98" t="s">
        <v>217</v>
      </c>
      <c r="D965" s="98" t="s">
        <v>566</v>
      </c>
      <c r="E965" s="147" t="s">
        <v>1205</v>
      </c>
      <c r="F965" s="98" t="s">
        <v>942</v>
      </c>
      <c r="G965" s="151" t="s">
        <v>88</v>
      </c>
      <c r="H965" s="19" t="s">
        <v>1236</v>
      </c>
      <c r="I965" s="23" t="e">
        <f>VLOOKUP(H965,'合同综合查询数据（3月返）'!$A:$A,1,FALSE)</f>
        <v>#N/A</v>
      </c>
      <c r="J965" s="24" t="s">
        <v>90</v>
      </c>
      <c r="K965" s="151" t="s">
        <v>1237</v>
      </c>
      <c r="L965" s="189"/>
      <c r="M965" s="26" t="s">
        <v>945</v>
      </c>
      <c r="N965" s="193">
        <v>44136</v>
      </c>
      <c r="O965" s="193" t="s">
        <v>470</v>
      </c>
      <c r="P965" s="173">
        <v>5950</v>
      </c>
      <c r="Q965" s="131">
        <v>2</v>
      </c>
      <c r="R965" s="120">
        <f t="shared" si="27"/>
        <v>11900</v>
      </c>
      <c r="S965" s="117">
        <v>202303</v>
      </c>
      <c r="T965" s="184" t="s">
        <v>1294</v>
      </c>
      <c r="U965" s="185"/>
      <c r="V965" s="133"/>
      <c r="W965" s="133"/>
      <c r="X965" s="118">
        <v>43358</v>
      </c>
      <c r="Y965" s="118">
        <v>45549</v>
      </c>
    </row>
    <row r="966" s="79" customFormat="1" customHeight="1" spans="1:25">
      <c r="A966" s="98" t="s">
        <v>403</v>
      </c>
      <c r="B966" s="98" t="s">
        <v>62</v>
      </c>
      <c r="C966" s="98" t="s">
        <v>217</v>
      </c>
      <c r="D966" s="98" t="s">
        <v>566</v>
      </c>
      <c r="E966" s="147" t="s">
        <v>1205</v>
      </c>
      <c r="F966" s="98" t="s">
        <v>942</v>
      </c>
      <c r="G966" s="151" t="s">
        <v>88</v>
      </c>
      <c r="H966" s="19" t="s">
        <v>1236</v>
      </c>
      <c r="I966" s="23" t="e">
        <f>VLOOKUP(H966,'合同综合查询数据（3月返）'!$A:$A,1,FALSE)</f>
        <v>#N/A</v>
      </c>
      <c r="J966" s="24" t="s">
        <v>90</v>
      </c>
      <c r="K966" s="151" t="s">
        <v>1237</v>
      </c>
      <c r="L966" s="189"/>
      <c r="M966" s="26" t="s">
        <v>945</v>
      </c>
      <c r="N966" s="193">
        <v>44136</v>
      </c>
      <c r="O966" s="193" t="s">
        <v>457</v>
      </c>
      <c r="P966" s="173">
        <v>5950</v>
      </c>
      <c r="Q966" s="131">
        <v>1</v>
      </c>
      <c r="R966" s="120">
        <f t="shared" si="27"/>
        <v>5950</v>
      </c>
      <c r="S966" s="117">
        <v>202303</v>
      </c>
      <c r="T966" s="184" t="s">
        <v>1295</v>
      </c>
      <c r="U966" s="185"/>
      <c r="V966" s="133"/>
      <c r="W966" s="133"/>
      <c r="X966" s="118">
        <v>43358</v>
      </c>
      <c r="Y966" s="118">
        <v>45549</v>
      </c>
    </row>
    <row r="967" s="79" customFormat="1" customHeight="1" spans="1:25">
      <c r="A967" s="98" t="s">
        <v>403</v>
      </c>
      <c r="B967" s="98" t="s">
        <v>62</v>
      </c>
      <c r="C967" s="98" t="s">
        <v>217</v>
      </c>
      <c r="D967" s="98" t="s">
        <v>566</v>
      </c>
      <c r="E967" s="147" t="s">
        <v>1205</v>
      </c>
      <c r="F967" s="98" t="s">
        <v>942</v>
      </c>
      <c r="G967" s="151" t="s">
        <v>88</v>
      </c>
      <c r="H967" s="19" t="s">
        <v>1236</v>
      </c>
      <c r="I967" s="23" t="e">
        <f>VLOOKUP(H967,'合同综合查询数据（3月返）'!$A:$A,1,FALSE)</f>
        <v>#N/A</v>
      </c>
      <c r="J967" s="24" t="s">
        <v>90</v>
      </c>
      <c r="K967" s="151" t="s">
        <v>1237</v>
      </c>
      <c r="L967" s="189"/>
      <c r="M967" s="26" t="s">
        <v>945</v>
      </c>
      <c r="N967" s="193">
        <v>44335</v>
      </c>
      <c r="O967" s="193" t="s">
        <v>461</v>
      </c>
      <c r="P967" s="173">
        <v>5950</v>
      </c>
      <c r="Q967" s="131">
        <v>2</v>
      </c>
      <c r="R967" s="120">
        <f t="shared" si="27"/>
        <v>11900</v>
      </c>
      <c r="S967" s="117">
        <v>202303</v>
      </c>
      <c r="T967" s="184" t="s">
        <v>1296</v>
      </c>
      <c r="U967" s="185"/>
      <c r="V967" s="133"/>
      <c r="W967" s="133"/>
      <c r="X967" s="118">
        <v>43358</v>
      </c>
      <c r="Y967" s="118">
        <v>45549</v>
      </c>
    </row>
    <row r="968" s="79" customFormat="1" customHeight="1" spans="1:25">
      <c r="A968" s="98" t="s">
        <v>403</v>
      </c>
      <c r="B968" s="98" t="s">
        <v>62</v>
      </c>
      <c r="C968" s="98" t="s">
        <v>217</v>
      </c>
      <c r="D968" s="98" t="s">
        <v>566</v>
      </c>
      <c r="E968" s="147" t="s">
        <v>1205</v>
      </c>
      <c r="F968" s="98" t="s">
        <v>942</v>
      </c>
      <c r="G968" s="151" t="s">
        <v>88</v>
      </c>
      <c r="H968" s="19" t="s">
        <v>1236</v>
      </c>
      <c r="I968" s="23" t="e">
        <f>VLOOKUP(H968,'合同综合查询数据（3月返）'!$A:$A,1,FALSE)</f>
        <v>#N/A</v>
      </c>
      <c r="J968" s="24" t="s">
        <v>90</v>
      </c>
      <c r="K968" s="151" t="s">
        <v>1237</v>
      </c>
      <c r="L968" s="189"/>
      <c r="M968" s="26" t="s">
        <v>945</v>
      </c>
      <c r="N968" s="193">
        <v>44861</v>
      </c>
      <c r="O968" s="193" t="s">
        <v>461</v>
      </c>
      <c r="P968" s="173">
        <v>5900</v>
      </c>
      <c r="Q968" s="131">
        <v>-2</v>
      </c>
      <c r="R968" s="120">
        <f t="shared" si="27"/>
        <v>-11800</v>
      </c>
      <c r="S968" s="117">
        <v>202303</v>
      </c>
      <c r="T968" s="184" t="s">
        <v>1297</v>
      </c>
      <c r="U968" s="185"/>
      <c r="V968" s="133"/>
      <c r="W968" s="133"/>
      <c r="X968" s="118">
        <v>43358</v>
      </c>
      <c r="Y968" s="118">
        <v>45549</v>
      </c>
    </row>
    <row r="969" s="79" customFormat="1" customHeight="1" spans="1:25">
      <c r="A969" s="98" t="s">
        <v>403</v>
      </c>
      <c r="B969" s="98" t="s">
        <v>62</v>
      </c>
      <c r="C969" s="98" t="s">
        <v>217</v>
      </c>
      <c r="D969" s="98" t="s">
        <v>566</v>
      </c>
      <c r="E969" s="147" t="s">
        <v>1205</v>
      </c>
      <c r="F969" s="98" t="s">
        <v>942</v>
      </c>
      <c r="G969" s="151" t="s">
        <v>88</v>
      </c>
      <c r="H969" s="19" t="s">
        <v>1236</v>
      </c>
      <c r="I969" s="23" t="e">
        <f>VLOOKUP(H969,'合同综合查询数据（3月返）'!$A:$A,1,FALSE)</f>
        <v>#N/A</v>
      </c>
      <c r="J969" s="24" t="s">
        <v>90</v>
      </c>
      <c r="K969" s="151" t="s">
        <v>1237</v>
      </c>
      <c r="L969" s="189"/>
      <c r="M969" s="26" t="s">
        <v>945</v>
      </c>
      <c r="N969" s="193">
        <v>44869</v>
      </c>
      <c r="O969" s="193" t="s">
        <v>457</v>
      </c>
      <c r="P969" s="173">
        <v>5950</v>
      </c>
      <c r="Q969" s="131">
        <v>-2</v>
      </c>
      <c r="R969" s="120">
        <f t="shared" ref="R969:R1032" si="28">ROUND(P969*Q969,2)</f>
        <v>-11900</v>
      </c>
      <c r="S969" s="117">
        <v>202303</v>
      </c>
      <c r="T969" s="184" t="s">
        <v>1298</v>
      </c>
      <c r="U969" s="185"/>
      <c r="V969" s="133"/>
      <c r="W969" s="133"/>
      <c r="X969" s="118">
        <v>43358</v>
      </c>
      <c r="Y969" s="118">
        <v>45549</v>
      </c>
    </row>
    <row r="970" s="79" customFormat="1" customHeight="1" spans="1:25">
      <c r="A970" s="98" t="s">
        <v>403</v>
      </c>
      <c r="B970" s="98" t="s">
        <v>62</v>
      </c>
      <c r="C970" s="98" t="s">
        <v>217</v>
      </c>
      <c r="D970" s="98" t="s">
        <v>566</v>
      </c>
      <c r="E970" s="147" t="s">
        <v>1205</v>
      </c>
      <c r="F970" s="98" t="s">
        <v>942</v>
      </c>
      <c r="G970" s="151" t="s">
        <v>88</v>
      </c>
      <c r="H970" s="19" t="s">
        <v>1236</v>
      </c>
      <c r="I970" s="23" t="e">
        <f>VLOOKUP(H970,'合同综合查询数据（3月返）'!$A:$A,1,FALSE)</f>
        <v>#N/A</v>
      </c>
      <c r="J970" s="98" t="s">
        <v>312</v>
      </c>
      <c r="K970" s="151" t="s">
        <v>1230</v>
      </c>
      <c r="L970" s="189"/>
      <c r="M970" s="26" t="s">
        <v>945</v>
      </c>
      <c r="N970" s="193">
        <v>43094</v>
      </c>
      <c r="O970" s="193" t="s">
        <v>1231</v>
      </c>
      <c r="P970" s="131">
        <v>300</v>
      </c>
      <c r="Q970" s="131">
        <v>6200</v>
      </c>
      <c r="R970" s="120">
        <f t="shared" si="28"/>
        <v>1860000</v>
      </c>
      <c r="S970" s="117">
        <v>202303</v>
      </c>
      <c r="T970" s="184" t="s">
        <v>1299</v>
      </c>
      <c r="U970" s="185"/>
      <c r="V970" s="133"/>
      <c r="W970" s="133"/>
      <c r="X970" s="118">
        <v>43358</v>
      </c>
      <c r="Y970" s="118">
        <v>45549</v>
      </c>
    </row>
    <row r="971" s="81" customFormat="1" customHeight="1" spans="1:25">
      <c r="A971" s="61" t="s">
        <v>403</v>
      </c>
      <c r="B971" s="61" t="s">
        <v>62</v>
      </c>
      <c r="C971" s="61" t="s">
        <v>217</v>
      </c>
      <c r="D971" s="61" t="s">
        <v>566</v>
      </c>
      <c r="E971" s="160" t="s">
        <v>1205</v>
      </c>
      <c r="F971" s="61" t="s">
        <v>942</v>
      </c>
      <c r="G971" s="66" t="s">
        <v>67</v>
      </c>
      <c r="H971" s="194" t="s">
        <v>1300</v>
      </c>
      <c r="I971" s="47" t="e">
        <f>VLOOKUP(H971,'合同综合查询数据（3月返）'!$A:$A,1,FALSE)</f>
        <v>#N/A</v>
      </c>
      <c r="J971" s="66" t="s">
        <v>69</v>
      </c>
      <c r="K971" s="161" t="s">
        <v>1301</v>
      </c>
      <c r="L971" s="162"/>
      <c r="M971" s="50"/>
      <c r="N971" s="187">
        <v>43101</v>
      </c>
      <c r="O971" s="187"/>
      <c r="P971" s="140">
        <v>400</v>
      </c>
      <c r="Q971" s="140">
        <v>72.3</v>
      </c>
      <c r="R971" s="68">
        <f t="shared" si="28"/>
        <v>28920</v>
      </c>
      <c r="S971" s="70">
        <v>202303</v>
      </c>
      <c r="T971" s="168" t="s">
        <v>1302</v>
      </c>
      <c r="U971" s="169"/>
      <c r="V971" s="143"/>
      <c r="W971" s="143"/>
      <c r="X971" s="73"/>
      <c r="Y971" s="73"/>
    </row>
    <row r="972" s="81" customFormat="1" customHeight="1" spans="1:25">
      <c r="A972" s="61" t="s">
        <v>403</v>
      </c>
      <c r="B972" s="61" t="s">
        <v>62</v>
      </c>
      <c r="C972" s="61" t="s">
        <v>217</v>
      </c>
      <c r="D972" s="61" t="s">
        <v>566</v>
      </c>
      <c r="E972" s="160" t="s">
        <v>1205</v>
      </c>
      <c r="F972" s="61" t="s">
        <v>942</v>
      </c>
      <c r="G972" s="66" t="s">
        <v>67</v>
      </c>
      <c r="H972" s="194" t="s">
        <v>1300</v>
      </c>
      <c r="I972" s="47" t="e">
        <f>VLOOKUP(H972,'合同综合查询数据（3月返）'!$A:$A,1,FALSE)</f>
        <v>#N/A</v>
      </c>
      <c r="J972" s="66" t="s">
        <v>69</v>
      </c>
      <c r="K972" s="161" t="s">
        <v>1301</v>
      </c>
      <c r="L972" s="162"/>
      <c r="M972" s="50"/>
      <c r="N972" s="187">
        <v>43101</v>
      </c>
      <c r="O972" s="187"/>
      <c r="P972" s="140">
        <v>400</v>
      </c>
      <c r="Q972" s="140">
        <v>49.1</v>
      </c>
      <c r="R972" s="68">
        <f t="shared" si="28"/>
        <v>19640</v>
      </c>
      <c r="S972" s="70">
        <v>202303</v>
      </c>
      <c r="T972" s="168" t="s">
        <v>1303</v>
      </c>
      <c r="U972" s="169"/>
      <c r="V972" s="143"/>
      <c r="W972" s="143"/>
      <c r="X972" s="73"/>
      <c r="Y972" s="73"/>
    </row>
    <row r="973" s="81" customFormat="1" customHeight="1" spans="1:25">
      <c r="A973" s="61" t="s">
        <v>403</v>
      </c>
      <c r="B973" s="61" t="s">
        <v>62</v>
      </c>
      <c r="C973" s="61" t="s">
        <v>217</v>
      </c>
      <c r="D973" s="61" t="s">
        <v>566</v>
      </c>
      <c r="E973" s="160" t="s">
        <v>1205</v>
      </c>
      <c r="F973" s="61" t="s">
        <v>942</v>
      </c>
      <c r="G973" s="66" t="s">
        <v>67</v>
      </c>
      <c r="H973" s="194" t="s">
        <v>1300</v>
      </c>
      <c r="I973" s="47" t="e">
        <f>VLOOKUP(H973,'合同综合查询数据（3月返）'!$A:$A,1,FALSE)</f>
        <v>#N/A</v>
      </c>
      <c r="J973" s="66" t="s">
        <v>69</v>
      </c>
      <c r="K973" s="161" t="s">
        <v>1301</v>
      </c>
      <c r="L973" s="162"/>
      <c r="M973" s="50"/>
      <c r="N973" s="187">
        <v>43101</v>
      </c>
      <c r="O973" s="187"/>
      <c r="P973" s="140">
        <v>400</v>
      </c>
      <c r="Q973" s="140">
        <v>47.8</v>
      </c>
      <c r="R973" s="68">
        <f t="shared" si="28"/>
        <v>19120</v>
      </c>
      <c r="S973" s="70">
        <v>202303</v>
      </c>
      <c r="T973" s="168" t="s">
        <v>1304</v>
      </c>
      <c r="U973" s="169"/>
      <c r="V973" s="143"/>
      <c r="W973" s="143"/>
      <c r="X973" s="73"/>
      <c r="Y973" s="73"/>
    </row>
    <row r="974" s="79" customFormat="1" customHeight="1" spans="1:25">
      <c r="A974" s="98" t="s">
        <v>403</v>
      </c>
      <c r="B974" s="98" t="s">
        <v>62</v>
      </c>
      <c r="C974" s="98" t="s">
        <v>217</v>
      </c>
      <c r="D974" s="98" t="s">
        <v>566</v>
      </c>
      <c r="E974" s="147" t="s">
        <v>1205</v>
      </c>
      <c r="F974" s="98" t="s">
        <v>942</v>
      </c>
      <c r="G974" s="99" t="s">
        <v>67</v>
      </c>
      <c r="H974" s="186" t="s">
        <v>1305</v>
      </c>
      <c r="I974" s="23" t="e">
        <f>VLOOKUP(H974,'合同综合查询数据（3月返）'!$A:$A,1,FALSE)</f>
        <v>#N/A</v>
      </c>
      <c r="J974" s="99" t="s">
        <v>69</v>
      </c>
      <c r="K974" s="151" t="s">
        <v>1306</v>
      </c>
      <c r="L974" s="189"/>
      <c r="M974" s="26"/>
      <c r="N974" s="193">
        <v>44335</v>
      </c>
      <c r="O974" s="193" t="s">
        <v>71</v>
      </c>
      <c r="P974" s="131">
        <v>10800</v>
      </c>
      <c r="Q974" s="120">
        <v>1</v>
      </c>
      <c r="R974" s="120">
        <f t="shared" si="28"/>
        <v>10800</v>
      </c>
      <c r="S974" s="117">
        <v>202303</v>
      </c>
      <c r="T974" s="184" t="s">
        <v>1307</v>
      </c>
      <c r="U974" s="185"/>
      <c r="V974" s="133"/>
      <c r="W974" s="133"/>
      <c r="X974" s="118">
        <v>44335</v>
      </c>
      <c r="Y974" s="118">
        <v>45077</v>
      </c>
    </row>
    <row r="975" s="79" customFormat="1" customHeight="1" spans="1:25">
      <c r="A975" s="98" t="s">
        <v>403</v>
      </c>
      <c r="B975" s="98" t="s">
        <v>62</v>
      </c>
      <c r="C975" s="98" t="s">
        <v>217</v>
      </c>
      <c r="D975" s="98" t="s">
        <v>566</v>
      </c>
      <c r="E975" s="147" t="s">
        <v>1205</v>
      </c>
      <c r="F975" s="98" t="s">
        <v>942</v>
      </c>
      <c r="G975" s="99" t="s">
        <v>67</v>
      </c>
      <c r="H975" s="186" t="s">
        <v>1305</v>
      </c>
      <c r="I975" s="23" t="e">
        <f>VLOOKUP(H975,'合同综合查询数据（3月返）'!$A:$A,1,FALSE)</f>
        <v>#N/A</v>
      </c>
      <c r="J975" s="99" t="s">
        <v>69</v>
      </c>
      <c r="K975" s="151" t="s">
        <v>1308</v>
      </c>
      <c r="L975" s="189"/>
      <c r="M975" s="26"/>
      <c r="N975" s="193">
        <v>44335</v>
      </c>
      <c r="O975" s="193" t="s">
        <v>71</v>
      </c>
      <c r="P975" s="131">
        <v>6400</v>
      </c>
      <c r="Q975" s="120">
        <v>1</v>
      </c>
      <c r="R975" s="120">
        <f t="shared" si="28"/>
        <v>6400</v>
      </c>
      <c r="S975" s="117">
        <v>202303</v>
      </c>
      <c r="T975" s="184" t="s">
        <v>1309</v>
      </c>
      <c r="U975" s="185"/>
      <c r="V975" s="133"/>
      <c r="W975" s="133"/>
      <c r="X975" s="118">
        <v>44335</v>
      </c>
      <c r="Y975" s="118">
        <v>45077</v>
      </c>
    </row>
    <row r="976" s="79" customFormat="1" customHeight="1" spans="1:25">
      <c r="A976" s="98" t="s">
        <v>403</v>
      </c>
      <c r="B976" s="98" t="s">
        <v>62</v>
      </c>
      <c r="C976" s="98" t="s">
        <v>217</v>
      </c>
      <c r="D976" s="98" t="s">
        <v>566</v>
      </c>
      <c r="E976" s="147" t="s">
        <v>1205</v>
      </c>
      <c r="F976" s="98" t="s">
        <v>942</v>
      </c>
      <c r="G976" s="99" t="s">
        <v>67</v>
      </c>
      <c r="H976" s="186" t="s">
        <v>1305</v>
      </c>
      <c r="I976" s="23" t="e">
        <f>VLOOKUP(H976,'合同综合查询数据（3月返）'!$A:$A,1,FALSE)</f>
        <v>#N/A</v>
      </c>
      <c r="J976" s="99" t="s">
        <v>69</v>
      </c>
      <c r="K976" s="151" t="s">
        <v>1310</v>
      </c>
      <c r="L976" s="189"/>
      <c r="M976" s="26"/>
      <c r="N976" s="193">
        <v>44335</v>
      </c>
      <c r="O976" s="193" t="s">
        <v>71</v>
      </c>
      <c r="P976" s="131">
        <v>20000</v>
      </c>
      <c r="Q976" s="120">
        <v>1</v>
      </c>
      <c r="R976" s="120">
        <f t="shared" si="28"/>
        <v>20000</v>
      </c>
      <c r="S976" s="117">
        <v>202303</v>
      </c>
      <c r="T976" s="184" t="s">
        <v>1311</v>
      </c>
      <c r="U976" s="185"/>
      <c r="V976" s="133"/>
      <c r="W976" s="133"/>
      <c r="X976" s="118">
        <v>44335</v>
      </c>
      <c r="Y976" s="118">
        <v>45077</v>
      </c>
    </row>
    <row r="977" s="9" customFormat="1" customHeight="1" spans="1:25">
      <c r="A977" s="98" t="s">
        <v>403</v>
      </c>
      <c r="B977" s="98" t="s">
        <v>62</v>
      </c>
      <c r="C977" s="98" t="s">
        <v>217</v>
      </c>
      <c r="D977" s="98" t="s">
        <v>566</v>
      </c>
      <c r="E977" s="147" t="s">
        <v>1205</v>
      </c>
      <c r="F977" s="98" t="s">
        <v>942</v>
      </c>
      <c r="G977" s="99" t="s">
        <v>67</v>
      </c>
      <c r="H977" s="186" t="s">
        <v>1305</v>
      </c>
      <c r="I977" s="23" t="e">
        <f>VLOOKUP(H977,'合同综合查询数据（3月返）'!$A:$A,1,FALSE)</f>
        <v>#N/A</v>
      </c>
      <c r="J977" s="99" t="s">
        <v>69</v>
      </c>
      <c r="K977" s="151" t="s">
        <v>1310</v>
      </c>
      <c r="L977" s="189"/>
      <c r="M977" s="26"/>
      <c r="N977" s="193">
        <v>44335</v>
      </c>
      <c r="O977" s="193" t="s">
        <v>71</v>
      </c>
      <c r="P977" s="131">
        <v>18800</v>
      </c>
      <c r="Q977" s="120">
        <v>1</v>
      </c>
      <c r="R977" s="120">
        <f t="shared" si="28"/>
        <v>18800</v>
      </c>
      <c r="S977" s="117">
        <v>202303</v>
      </c>
      <c r="T977" s="184" t="s">
        <v>1312</v>
      </c>
      <c r="U977" s="185"/>
      <c r="V977" s="133"/>
      <c r="W977" s="133"/>
      <c r="X977" s="118">
        <v>44335</v>
      </c>
      <c r="Y977" s="118">
        <v>45077</v>
      </c>
    </row>
    <row r="978" s="9" customFormat="1" customHeight="1" spans="1:25">
      <c r="A978" s="98" t="s">
        <v>403</v>
      </c>
      <c r="B978" s="98" t="s">
        <v>62</v>
      </c>
      <c r="C978" s="98" t="s">
        <v>217</v>
      </c>
      <c r="D978" s="98" t="s">
        <v>566</v>
      </c>
      <c r="E978" s="147" t="s">
        <v>1205</v>
      </c>
      <c r="F978" s="98" t="s">
        <v>942</v>
      </c>
      <c r="G978" s="151" t="s">
        <v>88</v>
      </c>
      <c r="H978" s="19" t="s">
        <v>1313</v>
      </c>
      <c r="I978" s="23" t="e">
        <f>VLOOKUP(H978,'合同综合查询数据（3月返）'!$A:$A,1,FALSE)</f>
        <v>#N/A</v>
      </c>
      <c r="J978" s="24" t="s">
        <v>90</v>
      </c>
      <c r="K978" s="151" t="s">
        <v>1314</v>
      </c>
      <c r="L978" s="189"/>
      <c r="M978" s="26" t="s">
        <v>1315</v>
      </c>
      <c r="N978" s="190" t="s">
        <v>503</v>
      </c>
      <c r="O978" s="190" t="s">
        <v>457</v>
      </c>
      <c r="P978" s="173">
        <v>4450</v>
      </c>
      <c r="Q978" s="173">
        <v>480</v>
      </c>
      <c r="R978" s="120">
        <f t="shared" si="28"/>
        <v>2136000</v>
      </c>
      <c r="S978" s="117">
        <v>202303</v>
      </c>
      <c r="T978" s="184"/>
      <c r="U978" s="185"/>
      <c r="V978" s="133"/>
      <c r="W978" s="133"/>
      <c r="X978" s="118">
        <v>44728</v>
      </c>
      <c r="Y978" s="118">
        <v>45184</v>
      </c>
    </row>
    <row r="979" s="9" customFormat="1" customHeight="1" spans="1:25">
      <c r="A979" s="98" t="s">
        <v>403</v>
      </c>
      <c r="B979" s="98" t="s">
        <v>62</v>
      </c>
      <c r="C979" s="98" t="s">
        <v>217</v>
      </c>
      <c r="D979" s="98" t="s">
        <v>566</v>
      </c>
      <c r="E979" s="147" t="s">
        <v>1205</v>
      </c>
      <c r="F979" s="98" t="s">
        <v>942</v>
      </c>
      <c r="G979" s="151" t="s">
        <v>88</v>
      </c>
      <c r="H979" s="19" t="s">
        <v>1313</v>
      </c>
      <c r="I979" s="23" t="e">
        <f>VLOOKUP(H979,'合同综合查询数据（3月返）'!$A:$A,1,FALSE)</f>
        <v>#N/A</v>
      </c>
      <c r="J979" s="24" t="s">
        <v>90</v>
      </c>
      <c r="K979" s="151" t="s">
        <v>1314</v>
      </c>
      <c r="L979" s="189"/>
      <c r="M979" s="26" t="s">
        <v>1315</v>
      </c>
      <c r="N979" s="190">
        <v>43224</v>
      </c>
      <c r="O979" s="190" t="s">
        <v>457</v>
      </c>
      <c r="P979" s="173">
        <v>4450</v>
      </c>
      <c r="Q979" s="173">
        <v>4</v>
      </c>
      <c r="R979" s="120">
        <f t="shared" si="28"/>
        <v>17800</v>
      </c>
      <c r="S979" s="117">
        <v>202303</v>
      </c>
      <c r="T979" s="184" t="s">
        <v>1316</v>
      </c>
      <c r="U979" s="185"/>
      <c r="V979" s="133"/>
      <c r="W979" s="133"/>
      <c r="X979" s="118">
        <v>44728</v>
      </c>
      <c r="Y979" s="118">
        <v>45184</v>
      </c>
    </row>
    <row r="980" s="9" customFormat="1" customHeight="1" spans="1:25">
      <c r="A980" s="98" t="s">
        <v>403</v>
      </c>
      <c r="B980" s="98" t="s">
        <v>62</v>
      </c>
      <c r="C980" s="98" t="s">
        <v>217</v>
      </c>
      <c r="D980" s="98" t="s">
        <v>566</v>
      </c>
      <c r="E980" s="147" t="s">
        <v>1205</v>
      </c>
      <c r="F980" s="98" t="s">
        <v>942</v>
      </c>
      <c r="G980" s="151" t="s">
        <v>88</v>
      </c>
      <c r="H980" s="19" t="s">
        <v>1313</v>
      </c>
      <c r="I980" s="23" t="e">
        <f>VLOOKUP(H980,'合同综合查询数据（3月返）'!$A:$A,1,FALSE)</f>
        <v>#N/A</v>
      </c>
      <c r="J980" s="24" t="s">
        <v>90</v>
      </c>
      <c r="K980" s="151" t="s">
        <v>1314</v>
      </c>
      <c r="L980" s="189"/>
      <c r="M980" s="26" t="s">
        <v>1315</v>
      </c>
      <c r="N980" s="190">
        <v>43262</v>
      </c>
      <c r="O980" s="190" t="s">
        <v>457</v>
      </c>
      <c r="P980" s="173">
        <v>4450</v>
      </c>
      <c r="Q980" s="173">
        <v>1</v>
      </c>
      <c r="R980" s="120">
        <f t="shared" si="28"/>
        <v>4450</v>
      </c>
      <c r="S980" s="117">
        <v>202303</v>
      </c>
      <c r="T980" s="184" t="s">
        <v>1317</v>
      </c>
      <c r="U980" s="185"/>
      <c r="V980" s="133"/>
      <c r="W980" s="133"/>
      <c r="X980" s="118">
        <v>44728</v>
      </c>
      <c r="Y980" s="118">
        <v>45184</v>
      </c>
    </row>
    <row r="981" s="9" customFormat="1" customHeight="1" spans="1:25">
      <c r="A981" s="98" t="s">
        <v>403</v>
      </c>
      <c r="B981" s="98" t="s">
        <v>62</v>
      </c>
      <c r="C981" s="98" t="s">
        <v>217</v>
      </c>
      <c r="D981" s="98" t="s">
        <v>566</v>
      </c>
      <c r="E981" s="147" t="s">
        <v>1205</v>
      </c>
      <c r="F981" s="98" t="s">
        <v>942</v>
      </c>
      <c r="G981" s="151" t="s">
        <v>88</v>
      </c>
      <c r="H981" s="19" t="s">
        <v>1313</v>
      </c>
      <c r="I981" s="23" t="e">
        <f>VLOOKUP(H981,'合同综合查询数据（3月返）'!$A:$A,1,FALSE)</f>
        <v>#N/A</v>
      </c>
      <c r="J981" s="24" t="s">
        <v>90</v>
      </c>
      <c r="K981" s="151" t="s">
        <v>1314</v>
      </c>
      <c r="L981" s="189"/>
      <c r="M981" s="26" t="s">
        <v>1315</v>
      </c>
      <c r="N981" s="190">
        <v>44136</v>
      </c>
      <c r="O981" s="190" t="s">
        <v>506</v>
      </c>
      <c r="P981" s="173">
        <v>4450</v>
      </c>
      <c r="Q981" s="173">
        <v>1</v>
      </c>
      <c r="R981" s="120">
        <f t="shared" si="28"/>
        <v>4450</v>
      </c>
      <c r="S981" s="117">
        <v>202303</v>
      </c>
      <c r="T981" s="184" t="s">
        <v>1318</v>
      </c>
      <c r="U981" s="185"/>
      <c r="V981" s="133"/>
      <c r="W981" s="133"/>
      <c r="X981" s="118">
        <v>44728</v>
      </c>
      <c r="Y981" s="118">
        <v>45184</v>
      </c>
    </row>
    <row r="982" s="9" customFormat="1" customHeight="1" spans="1:25">
      <c r="A982" s="98" t="s">
        <v>403</v>
      </c>
      <c r="B982" s="98" t="s">
        <v>62</v>
      </c>
      <c r="C982" s="98" t="s">
        <v>217</v>
      </c>
      <c r="D982" s="98" t="s">
        <v>566</v>
      </c>
      <c r="E982" s="147" t="s">
        <v>1205</v>
      </c>
      <c r="F982" s="98" t="s">
        <v>942</v>
      </c>
      <c r="G982" s="151" t="s">
        <v>88</v>
      </c>
      <c r="H982" s="19" t="s">
        <v>1313</v>
      </c>
      <c r="I982" s="23" t="e">
        <f>VLOOKUP(H982,'合同综合查询数据（3月返）'!$A:$A,1,FALSE)</f>
        <v>#N/A</v>
      </c>
      <c r="J982" s="24" t="s">
        <v>90</v>
      </c>
      <c r="K982" s="151" t="s">
        <v>1314</v>
      </c>
      <c r="L982" s="189"/>
      <c r="M982" s="26" t="s">
        <v>1315</v>
      </c>
      <c r="N982" s="190">
        <v>44136</v>
      </c>
      <c r="O982" s="190" t="s">
        <v>519</v>
      </c>
      <c r="P982" s="173">
        <v>4450</v>
      </c>
      <c r="Q982" s="173">
        <v>6</v>
      </c>
      <c r="R982" s="120">
        <f t="shared" si="28"/>
        <v>26700</v>
      </c>
      <c r="S982" s="117">
        <v>202303</v>
      </c>
      <c r="T982" s="184" t="s">
        <v>1319</v>
      </c>
      <c r="U982" s="185"/>
      <c r="V982" s="133"/>
      <c r="W982" s="133"/>
      <c r="X982" s="118">
        <v>44728</v>
      </c>
      <c r="Y982" s="118">
        <v>45184</v>
      </c>
    </row>
    <row r="983" s="9" customFormat="1" customHeight="1" spans="1:25">
      <c r="A983" s="98" t="s">
        <v>403</v>
      </c>
      <c r="B983" s="98" t="s">
        <v>62</v>
      </c>
      <c r="C983" s="98" t="s">
        <v>217</v>
      </c>
      <c r="D983" s="98" t="s">
        <v>566</v>
      </c>
      <c r="E983" s="147" t="s">
        <v>1205</v>
      </c>
      <c r="F983" s="98" t="s">
        <v>942</v>
      </c>
      <c r="G983" s="151" t="s">
        <v>88</v>
      </c>
      <c r="H983" s="19" t="s">
        <v>1313</v>
      </c>
      <c r="I983" s="23" t="e">
        <f>VLOOKUP(H983,'合同综合查询数据（3月返）'!$A:$A,1,FALSE)</f>
        <v>#N/A</v>
      </c>
      <c r="J983" s="24" t="s">
        <v>90</v>
      </c>
      <c r="K983" s="151" t="s">
        <v>1314</v>
      </c>
      <c r="L983" s="189"/>
      <c r="M983" s="26" t="s">
        <v>1315</v>
      </c>
      <c r="N983" s="190">
        <v>44136</v>
      </c>
      <c r="O983" s="190" t="s">
        <v>1320</v>
      </c>
      <c r="P983" s="173">
        <v>4450</v>
      </c>
      <c r="Q983" s="173">
        <v>2</v>
      </c>
      <c r="R983" s="120">
        <f t="shared" si="28"/>
        <v>8900</v>
      </c>
      <c r="S983" s="117">
        <v>202303</v>
      </c>
      <c r="T983" s="184" t="s">
        <v>1321</v>
      </c>
      <c r="U983" s="185"/>
      <c r="V983" s="133"/>
      <c r="W983" s="133"/>
      <c r="X983" s="118">
        <v>44728</v>
      </c>
      <c r="Y983" s="118">
        <v>45184</v>
      </c>
    </row>
    <row r="984" s="9" customFormat="1" customHeight="1" spans="1:25">
      <c r="A984" s="98" t="s">
        <v>403</v>
      </c>
      <c r="B984" s="98" t="s">
        <v>62</v>
      </c>
      <c r="C984" s="98" t="s">
        <v>217</v>
      </c>
      <c r="D984" s="98" t="s">
        <v>566</v>
      </c>
      <c r="E984" s="147" t="s">
        <v>1205</v>
      </c>
      <c r="F984" s="98" t="s">
        <v>942</v>
      </c>
      <c r="G984" s="99" t="s">
        <v>88</v>
      </c>
      <c r="H984" s="19" t="s">
        <v>1313</v>
      </c>
      <c r="I984" s="23" t="e">
        <f>VLOOKUP(H984,'合同综合查询数据（3月返）'!$A:$A,1,FALSE)</f>
        <v>#N/A</v>
      </c>
      <c r="J984" s="24" t="s">
        <v>90</v>
      </c>
      <c r="K984" s="151" t="s">
        <v>1314</v>
      </c>
      <c r="L984" s="189"/>
      <c r="M984" s="26" t="s">
        <v>1315</v>
      </c>
      <c r="N984" s="190">
        <v>43224</v>
      </c>
      <c r="O984" s="190" t="s">
        <v>92</v>
      </c>
      <c r="P984" s="173">
        <v>2950</v>
      </c>
      <c r="Q984" s="173">
        <v>5</v>
      </c>
      <c r="R984" s="120">
        <f t="shared" si="28"/>
        <v>14750</v>
      </c>
      <c r="S984" s="117">
        <v>202303</v>
      </c>
      <c r="T984" s="184" t="s">
        <v>1322</v>
      </c>
      <c r="U984" s="185"/>
      <c r="V984" s="133"/>
      <c r="W984" s="133"/>
      <c r="X984" s="118">
        <v>44728</v>
      </c>
      <c r="Y984" s="118">
        <v>45184</v>
      </c>
    </row>
    <row r="985" s="9" customFormat="1" customHeight="1" spans="1:25">
      <c r="A985" s="98" t="s">
        <v>403</v>
      </c>
      <c r="B985" s="98" t="s">
        <v>62</v>
      </c>
      <c r="C985" s="98" t="s">
        <v>217</v>
      </c>
      <c r="D985" s="98" t="s">
        <v>566</v>
      </c>
      <c r="E985" s="147" t="s">
        <v>1205</v>
      </c>
      <c r="F985" s="98" t="s">
        <v>942</v>
      </c>
      <c r="G985" s="99" t="s">
        <v>88</v>
      </c>
      <c r="H985" s="19" t="s">
        <v>1313</v>
      </c>
      <c r="I985" s="23" t="e">
        <f>VLOOKUP(H985,'合同综合查询数据（3月返）'!$A:$A,1,FALSE)</f>
        <v>#N/A</v>
      </c>
      <c r="J985" s="24" t="s">
        <v>90</v>
      </c>
      <c r="K985" s="151" t="s">
        <v>1314</v>
      </c>
      <c r="L985" s="189"/>
      <c r="M985" s="26" t="s">
        <v>1315</v>
      </c>
      <c r="N985" s="190">
        <v>43928</v>
      </c>
      <c r="O985" s="190" t="s">
        <v>92</v>
      </c>
      <c r="P985" s="173">
        <v>2950</v>
      </c>
      <c r="Q985" s="173">
        <v>-2</v>
      </c>
      <c r="R985" s="120">
        <f t="shared" si="28"/>
        <v>-5900</v>
      </c>
      <c r="S985" s="117">
        <v>202303</v>
      </c>
      <c r="T985" s="184" t="s">
        <v>1323</v>
      </c>
      <c r="U985" s="185"/>
      <c r="V985" s="133"/>
      <c r="W985" s="133"/>
      <c r="X985" s="118">
        <v>44728</v>
      </c>
      <c r="Y985" s="118">
        <v>45184</v>
      </c>
    </row>
    <row r="986" s="9" customFormat="1" customHeight="1" spans="1:25">
      <c r="A986" s="98" t="s">
        <v>403</v>
      </c>
      <c r="B986" s="98" t="s">
        <v>62</v>
      </c>
      <c r="C986" s="98" t="s">
        <v>217</v>
      </c>
      <c r="D986" s="98" t="s">
        <v>566</v>
      </c>
      <c r="E986" s="147" t="s">
        <v>1205</v>
      </c>
      <c r="F986" s="98" t="s">
        <v>942</v>
      </c>
      <c r="G986" s="99" t="s">
        <v>88</v>
      </c>
      <c r="H986" s="19" t="s">
        <v>1313</v>
      </c>
      <c r="I986" s="23" t="e">
        <f>VLOOKUP(H986,'合同综合查询数据（3月返）'!$A:$A,1,FALSE)</f>
        <v>#N/A</v>
      </c>
      <c r="J986" s="24" t="s">
        <v>90</v>
      </c>
      <c r="K986" s="151" t="s">
        <v>1314</v>
      </c>
      <c r="L986" s="189"/>
      <c r="M986" s="26" t="s">
        <v>1315</v>
      </c>
      <c r="N986" s="190">
        <v>44136</v>
      </c>
      <c r="O986" s="190"/>
      <c r="P986" s="173">
        <v>2950</v>
      </c>
      <c r="Q986" s="173">
        <v>6</v>
      </c>
      <c r="R986" s="120">
        <f t="shared" si="28"/>
        <v>17700</v>
      </c>
      <c r="S986" s="117">
        <v>202303</v>
      </c>
      <c r="T986" s="184" t="s">
        <v>1319</v>
      </c>
      <c r="U986" s="185"/>
      <c r="V986" s="133"/>
      <c r="W986" s="133"/>
      <c r="X986" s="118">
        <v>44728</v>
      </c>
      <c r="Y986" s="118">
        <v>45184</v>
      </c>
    </row>
    <row r="987" s="9" customFormat="1" customHeight="1" spans="1:25">
      <c r="A987" s="98" t="s">
        <v>403</v>
      </c>
      <c r="B987" s="98" t="s">
        <v>62</v>
      </c>
      <c r="C987" s="98" t="s">
        <v>217</v>
      </c>
      <c r="D987" s="98" t="s">
        <v>566</v>
      </c>
      <c r="E987" s="147" t="s">
        <v>1205</v>
      </c>
      <c r="F987" s="98" t="s">
        <v>942</v>
      </c>
      <c r="G987" s="99" t="s">
        <v>88</v>
      </c>
      <c r="H987" s="19" t="s">
        <v>1313</v>
      </c>
      <c r="I987" s="23" t="e">
        <f>VLOOKUP(H987,'合同综合查询数据（3月返）'!$A:$A,1,FALSE)</f>
        <v>#N/A</v>
      </c>
      <c r="J987" s="24" t="s">
        <v>90</v>
      </c>
      <c r="K987" s="151" t="s">
        <v>1314</v>
      </c>
      <c r="L987" s="189"/>
      <c r="M987" s="26" t="s">
        <v>1315</v>
      </c>
      <c r="N987" s="190" t="s">
        <v>503</v>
      </c>
      <c r="O987" s="190" t="s">
        <v>92</v>
      </c>
      <c r="P987" s="173">
        <v>2950</v>
      </c>
      <c r="Q987" s="173">
        <v>1180</v>
      </c>
      <c r="R987" s="120">
        <f t="shared" si="28"/>
        <v>3481000</v>
      </c>
      <c r="S987" s="117">
        <v>202303</v>
      </c>
      <c r="T987" s="184" t="s">
        <v>1324</v>
      </c>
      <c r="U987" s="185"/>
      <c r="V987" s="133"/>
      <c r="W987" s="133"/>
      <c r="X987" s="118">
        <v>44728</v>
      </c>
      <c r="Y987" s="118">
        <v>45184</v>
      </c>
    </row>
    <row r="988" s="9" customFormat="1" customHeight="1" spans="1:25">
      <c r="A988" s="98" t="s">
        <v>403</v>
      </c>
      <c r="B988" s="98" t="s">
        <v>62</v>
      </c>
      <c r="C988" s="98" t="s">
        <v>217</v>
      </c>
      <c r="D988" s="98" t="s">
        <v>566</v>
      </c>
      <c r="E988" s="147" t="s">
        <v>1205</v>
      </c>
      <c r="F988" s="98" t="s">
        <v>942</v>
      </c>
      <c r="G988" s="99" t="s">
        <v>88</v>
      </c>
      <c r="H988" s="19" t="s">
        <v>1313</v>
      </c>
      <c r="I988" s="23" t="e">
        <f>VLOOKUP(H988,'合同综合查询数据（3月返）'!$A:$A,1,FALSE)</f>
        <v>#N/A</v>
      </c>
      <c r="J988" s="24" t="s">
        <v>90</v>
      </c>
      <c r="K988" s="151" t="s">
        <v>1314</v>
      </c>
      <c r="L988" s="189"/>
      <c r="M988" s="26" t="s">
        <v>1315</v>
      </c>
      <c r="N988" s="190"/>
      <c r="O988" s="190" t="s">
        <v>545</v>
      </c>
      <c r="P988" s="173">
        <v>0</v>
      </c>
      <c r="Q988" s="173">
        <v>8</v>
      </c>
      <c r="R988" s="120">
        <f t="shared" si="28"/>
        <v>0</v>
      </c>
      <c r="S988" s="117">
        <v>202303</v>
      </c>
      <c r="T988" s="184" t="s">
        <v>1324</v>
      </c>
      <c r="U988" s="185"/>
      <c r="V988" s="133"/>
      <c r="W988" s="133"/>
      <c r="X988" s="118">
        <v>44728</v>
      </c>
      <c r="Y988" s="118">
        <v>45184</v>
      </c>
    </row>
    <row r="989" s="9" customFormat="1" customHeight="1" spans="1:25">
      <c r="A989" s="98" t="s">
        <v>403</v>
      </c>
      <c r="B989" s="98" t="s">
        <v>62</v>
      </c>
      <c r="C989" s="98" t="s">
        <v>217</v>
      </c>
      <c r="D989" s="98" t="s">
        <v>566</v>
      </c>
      <c r="E989" s="147" t="s">
        <v>1205</v>
      </c>
      <c r="F989" s="98" t="s">
        <v>942</v>
      </c>
      <c r="G989" s="99" t="s">
        <v>88</v>
      </c>
      <c r="H989" s="19" t="s">
        <v>1313</v>
      </c>
      <c r="I989" s="23" t="e">
        <f>VLOOKUP(H989,'合同综合查询数据（3月返）'!$A:$A,1,FALSE)</f>
        <v>#N/A</v>
      </c>
      <c r="J989" s="24" t="s">
        <v>90</v>
      </c>
      <c r="K989" s="151" t="s">
        <v>1314</v>
      </c>
      <c r="L989" s="189"/>
      <c r="M989" s="26" t="s">
        <v>1315</v>
      </c>
      <c r="N989" s="190">
        <v>44334</v>
      </c>
      <c r="O989" s="190" t="s">
        <v>457</v>
      </c>
      <c r="P989" s="173">
        <v>4450</v>
      </c>
      <c r="Q989" s="173">
        <v>1</v>
      </c>
      <c r="R989" s="120">
        <f t="shared" si="28"/>
        <v>4450</v>
      </c>
      <c r="S989" s="117">
        <v>202303</v>
      </c>
      <c r="T989" s="184" t="s">
        <v>1325</v>
      </c>
      <c r="U989" s="185"/>
      <c r="V989" s="133"/>
      <c r="W989" s="133"/>
      <c r="X989" s="118">
        <v>44728</v>
      </c>
      <c r="Y989" s="118">
        <v>45184</v>
      </c>
    </row>
    <row r="990" s="9" customFormat="1" customHeight="1" spans="1:25">
      <c r="A990" s="98" t="s">
        <v>403</v>
      </c>
      <c r="B990" s="98" t="s">
        <v>62</v>
      </c>
      <c r="C990" s="98" t="s">
        <v>217</v>
      </c>
      <c r="D990" s="98" t="s">
        <v>566</v>
      </c>
      <c r="E990" s="147" t="s">
        <v>1205</v>
      </c>
      <c r="F990" s="98" t="s">
        <v>942</v>
      </c>
      <c r="G990" s="99" t="s">
        <v>88</v>
      </c>
      <c r="H990" s="19" t="s">
        <v>1313</v>
      </c>
      <c r="I990" s="23" t="e">
        <f>VLOOKUP(H990,'合同综合查询数据（3月返）'!$A:$A,1,FALSE)</f>
        <v>#N/A</v>
      </c>
      <c r="J990" s="24" t="s">
        <v>90</v>
      </c>
      <c r="K990" s="151" t="s">
        <v>1314</v>
      </c>
      <c r="L990" s="189"/>
      <c r="M990" s="26" t="s">
        <v>1315</v>
      </c>
      <c r="N990" s="190">
        <v>44334</v>
      </c>
      <c r="O990" s="190" t="s">
        <v>1320</v>
      </c>
      <c r="P990" s="173">
        <v>4450</v>
      </c>
      <c r="Q990" s="173">
        <v>1</v>
      </c>
      <c r="R990" s="120">
        <f t="shared" si="28"/>
        <v>4450</v>
      </c>
      <c r="S990" s="117">
        <v>202303</v>
      </c>
      <c r="T990" s="184" t="s">
        <v>1326</v>
      </c>
      <c r="U990" s="185"/>
      <c r="V990" s="133"/>
      <c r="W990" s="133"/>
      <c r="X990" s="118">
        <v>44728</v>
      </c>
      <c r="Y990" s="118">
        <v>45184</v>
      </c>
    </row>
    <row r="991" s="9" customFormat="1" customHeight="1" spans="1:25">
      <c r="A991" s="98" t="s">
        <v>403</v>
      </c>
      <c r="B991" s="98" t="s">
        <v>62</v>
      </c>
      <c r="C991" s="98" t="s">
        <v>217</v>
      </c>
      <c r="D991" s="98" t="s">
        <v>566</v>
      </c>
      <c r="E991" s="147" t="s">
        <v>1205</v>
      </c>
      <c r="F991" s="98" t="s">
        <v>942</v>
      </c>
      <c r="G991" s="99" t="s">
        <v>88</v>
      </c>
      <c r="H991" s="19" t="s">
        <v>1313</v>
      </c>
      <c r="I991" s="23" t="e">
        <f>VLOOKUP(H991,'合同综合查询数据（3月返）'!$A:$A,1,FALSE)</f>
        <v>#N/A</v>
      </c>
      <c r="J991" s="24" t="s">
        <v>90</v>
      </c>
      <c r="K991" s="151" t="s">
        <v>1314</v>
      </c>
      <c r="L991" s="189"/>
      <c r="M991" s="26" t="s">
        <v>1315</v>
      </c>
      <c r="N991" s="190">
        <v>44477</v>
      </c>
      <c r="O991" s="190" t="s">
        <v>1327</v>
      </c>
      <c r="P991" s="173">
        <v>4450</v>
      </c>
      <c r="Q991" s="173">
        <v>1</v>
      </c>
      <c r="R991" s="120">
        <f t="shared" si="28"/>
        <v>4450</v>
      </c>
      <c r="S991" s="117">
        <v>202303</v>
      </c>
      <c r="T991" s="184" t="s">
        <v>1328</v>
      </c>
      <c r="U991" s="185"/>
      <c r="V991" s="133"/>
      <c r="W991" s="133"/>
      <c r="X991" s="118">
        <v>44728</v>
      </c>
      <c r="Y991" s="118">
        <v>45184</v>
      </c>
    </row>
    <row r="992" s="9" customFormat="1" customHeight="1" spans="1:25">
      <c r="A992" s="98" t="s">
        <v>403</v>
      </c>
      <c r="B992" s="98" t="s">
        <v>62</v>
      </c>
      <c r="C992" s="98" t="s">
        <v>217</v>
      </c>
      <c r="D992" s="98" t="s">
        <v>566</v>
      </c>
      <c r="E992" s="147" t="s">
        <v>1205</v>
      </c>
      <c r="F992" s="98" t="s">
        <v>942</v>
      </c>
      <c r="G992" s="99" t="s">
        <v>88</v>
      </c>
      <c r="H992" s="19" t="s">
        <v>1313</v>
      </c>
      <c r="I992" s="23" t="e">
        <f>VLOOKUP(H992,'合同综合查询数据（3月返）'!$A:$A,1,FALSE)</f>
        <v>#N/A</v>
      </c>
      <c r="J992" s="24" t="s">
        <v>90</v>
      </c>
      <c r="K992" s="151" t="s">
        <v>1314</v>
      </c>
      <c r="L992" s="189"/>
      <c r="M992" s="26" t="s">
        <v>1315</v>
      </c>
      <c r="N992" s="190">
        <v>44671</v>
      </c>
      <c r="O992" s="190" t="s">
        <v>506</v>
      </c>
      <c r="P992" s="173">
        <v>4450</v>
      </c>
      <c r="Q992" s="173">
        <v>2</v>
      </c>
      <c r="R992" s="120">
        <f t="shared" si="28"/>
        <v>8900</v>
      </c>
      <c r="S992" s="117">
        <v>202303</v>
      </c>
      <c r="T992" s="184" t="s">
        <v>1329</v>
      </c>
      <c r="U992" s="185"/>
      <c r="V992" s="133"/>
      <c r="W992" s="133"/>
      <c r="X992" s="118">
        <v>44728</v>
      </c>
      <c r="Y992" s="118">
        <v>45184</v>
      </c>
    </row>
    <row r="993" s="9" customFormat="1" customHeight="1" spans="1:25">
      <c r="A993" s="98" t="s">
        <v>403</v>
      </c>
      <c r="B993" s="98" t="s">
        <v>62</v>
      </c>
      <c r="C993" s="98" t="s">
        <v>217</v>
      </c>
      <c r="D993" s="98" t="s">
        <v>566</v>
      </c>
      <c r="E993" s="147" t="s">
        <v>1205</v>
      </c>
      <c r="F993" s="98" t="s">
        <v>942</v>
      </c>
      <c r="G993" s="99" t="s">
        <v>88</v>
      </c>
      <c r="H993" s="19" t="s">
        <v>1313</v>
      </c>
      <c r="I993" s="23" t="e">
        <f>VLOOKUP(H993,'合同综合查询数据（3月返）'!$A:$A,1,FALSE)</f>
        <v>#N/A</v>
      </c>
      <c r="J993" s="24" t="s">
        <v>90</v>
      </c>
      <c r="K993" s="151" t="s">
        <v>1314</v>
      </c>
      <c r="L993" s="189"/>
      <c r="M993" s="26" t="s">
        <v>1315</v>
      </c>
      <c r="N993" s="190">
        <v>44673</v>
      </c>
      <c r="O993" s="190" t="s">
        <v>506</v>
      </c>
      <c r="P993" s="173">
        <v>4450</v>
      </c>
      <c r="Q993" s="173">
        <v>-2</v>
      </c>
      <c r="R993" s="120">
        <f t="shared" si="28"/>
        <v>-8900</v>
      </c>
      <c r="S993" s="117">
        <v>202303</v>
      </c>
      <c r="T993" s="184" t="s">
        <v>1329</v>
      </c>
      <c r="U993" s="185"/>
      <c r="V993" s="133"/>
      <c r="W993" s="133"/>
      <c r="X993" s="118">
        <v>44728</v>
      </c>
      <c r="Y993" s="118">
        <v>45184</v>
      </c>
    </row>
    <row r="994" s="9" customFormat="1" customHeight="1" spans="1:25">
      <c r="A994" s="98" t="s">
        <v>403</v>
      </c>
      <c r="B994" s="98" t="s">
        <v>62</v>
      </c>
      <c r="C994" s="98" t="s">
        <v>217</v>
      </c>
      <c r="D994" s="98" t="s">
        <v>566</v>
      </c>
      <c r="E994" s="147" t="s">
        <v>1205</v>
      </c>
      <c r="F994" s="98" t="s">
        <v>942</v>
      </c>
      <c r="G994" s="99" t="s">
        <v>88</v>
      </c>
      <c r="H994" s="19" t="s">
        <v>1313</v>
      </c>
      <c r="I994" s="23" t="e">
        <f>VLOOKUP(H994,'合同综合查询数据（3月返）'!$A:$A,1,FALSE)</f>
        <v>#N/A</v>
      </c>
      <c r="J994" s="24" t="s">
        <v>90</v>
      </c>
      <c r="K994" s="151" t="s">
        <v>1314</v>
      </c>
      <c r="L994" s="189"/>
      <c r="M994" s="26" t="s">
        <v>1315</v>
      </c>
      <c r="N994" s="190">
        <v>44700</v>
      </c>
      <c r="O994" s="190" t="s">
        <v>1327</v>
      </c>
      <c r="P994" s="173">
        <v>4450</v>
      </c>
      <c r="Q994" s="173">
        <v>1</v>
      </c>
      <c r="R994" s="120">
        <f t="shared" si="28"/>
        <v>4450</v>
      </c>
      <c r="S994" s="117">
        <v>202303</v>
      </c>
      <c r="T994" s="184" t="s">
        <v>1330</v>
      </c>
      <c r="U994" s="185"/>
      <c r="V994" s="133"/>
      <c r="W994" s="133"/>
      <c r="X994" s="118">
        <v>44728</v>
      </c>
      <c r="Y994" s="118">
        <v>45184</v>
      </c>
    </row>
    <row r="995" s="9" customFormat="1" customHeight="1" spans="1:25">
      <c r="A995" s="98" t="s">
        <v>403</v>
      </c>
      <c r="B995" s="98" t="s">
        <v>62</v>
      </c>
      <c r="C995" s="98" t="s">
        <v>217</v>
      </c>
      <c r="D995" s="98" t="s">
        <v>566</v>
      </c>
      <c r="E995" s="147" t="s">
        <v>1205</v>
      </c>
      <c r="F995" s="98" t="s">
        <v>942</v>
      </c>
      <c r="G995" s="99" t="s">
        <v>88</v>
      </c>
      <c r="H995" s="19" t="s">
        <v>1313</v>
      </c>
      <c r="I995" s="23" t="e">
        <f>VLOOKUP(H995,'合同综合查询数据（3月返）'!$A:$A,1,FALSE)</f>
        <v>#N/A</v>
      </c>
      <c r="J995" s="24" t="s">
        <v>90</v>
      </c>
      <c r="K995" s="151" t="s">
        <v>1314</v>
      </c>
      <c r="L995" s="189"/>
      <c r="M995" s="26" t="s">
        <v>1315</v>
      </c>
      <c r="N995" s="190">
        <v>44694</v>
      </c>
      <c r="O995" s="190" t="s">
        <v>457</v>
      </c>
      <c r="P995" s="173">
        <v>4450</v>
      </c>
      <c r="Q995" s="173">
        <v>1</v>
      </c>
      <c r="R995" s="120">
        <f t="shared" si="28"/>
        <v>4450</v>
      </c>
      <c r="S995" s="117">
        <v>202303</v>
      </c>
      <c r="T995" s="184" t="s">
        <v>1331</v>
      </c>
      <c r="U995" s="185"/>
      <c r="V995" s="133"/>
      <c r="W995" s="133"/>
      <c r="X995" s="118">
        <v>44728</v>
      </c>
      <c r="Y995" s="118">
        <v>45184</v>
      </c>
    </row>
    <row r="996" s="9" customFormat="1" customHeight="1" spans="1:25">
      <c r="A996" s="98" t="s">
        <v>403</v>
      </c>
      <c r="B996" s="98" t="s">
        <v>62</v>
      </c>
      <c r="C996" s="98" t="s">
        <v>217</v>
      </c>
      <c r="D996" s="98" t="s">
        <v>566</v>
      </c>
      <c r="E996" s="147" t="s">
        <v>1205</v>
      </c>
      <c r="F996" s="98" t="s">
        <v>942</v>
      </c>
      <c r="G996" s="99" t="s">
        <v>88</v>
      </c>
      <c r="H996" s="19" t="s">
        <v>1313</v>
      </c>
      <c r="I996" s="23" t="e">
        <f>VLOOKUP(H996,'合同综合查询数据（3月返）'!$A:$A,1,FALSE)</f>
        <v>#N/A</v>
      </c>
      <c r="J996" s="24" t="s">
        <v>90</v>
      </c>
      <c r="K996" s="151" t="s">
        <v>1314</v>
      </c>
      <c r="L996" s="189"/>
      <c r="M996" s="26" t="s">
        <v>1315</v>
      </c>
      <c r="N996" s="190">
        <v>44701</v>
      </c>
      <c r="O996" s="190" t="s">
        <v>457</v>
      </c>
      <c r="P996" s="173">
        <v>4450</v>
      </c>
      <c r="Q996" s="173">
        <v>1</v>
      </c>
      <c r="R996" s="120">
        <f t="shared" si="28"/>
        <v>4450</v>
      </c>
      <c r="S996" s="117">
        <v>202303</v>
      </c>
      <c r="T996" s="184" t="s">
        <v>1332</v>
      </c>
      <c r="U996" s="185"/>
      <c r="V996" s="133"/>
      <c r="W996" s="133"/>
      <c r="X996" s="118">
        <v>44728</v>
      </c>
      <c r="Y996" s="118">
        <v>45184</v>
      </c>
    </row>
    <row r="997" s="10" customFormat="1" customHeight="1" spans="1:25">
      <c r="A997" s="61" t="s">
        <v>403</v>
      </c>
      <c r="B997" s="61" t="s">
        <v>62</v>
      </c>
      <c r="C997" s="61" t="s">
        <v>217</v>
      </c>
      <c r="D997" s="61" t="s">
        <v>566</v>
      </c>
      <c r="E997" s="160" t="s">
        <v>1205</v>
      </c>
      <c r="F997" s="61" t="s">
        <v>942</v>
      </c>
      <c r="G997" s="161" t="s">
        <v>302</v>
      </c>
      <c r="H997" s="194" t="s">
        <v>1333</v>
      </c>
      <c r="I997" s="47" t="e">
        <f>VLOOKUP(H997,'合同综合查询数据（3月返）'!$A:$A,1,FALSE)</f>
        <v>#N/A</v>
      </c>
      <c r="J997" s="161" t="s">
        <v>302</v>
      </c>
      <c r="K997" s="161" t="s">
        <v>1334</v>
      </c>
      <c r="L997" s="162"/>
      <c r="M997" s="50"/>
      <c r="N997" s="187">
        <v>43654</v>
      </c>
      <c r="O997" s="187" t="s">
        <v>308</v>
      </c>
      <c r="P997" s="140">
        <v>3000</v>
      </c>
      <c r="Q997" s="68">
        <v>1</v>
      </c>
      <c r="R997" s="68">
        <f t="shared" si="28"/>
        <v>3000</v>
      </c>
      <c r="S997" s="70">
        <v>202303</v>
      </c>
      <c r="T997" s="168" t="s">
        <v>1335</v>
      </c>
      <c r="U997" s="169"/>
      <c r="V997" s="143"/>
      <c r="W997" s="143"/>
      <c r="X997" s="73"/>
      <c r="Y997" s="73"/>
    </row>
    <row r="998" s="10" customFormat="1" customHeight="1" spans="1:25">
      <c r="A998" s="61" t="s">
        <v>403</v>
      </c>
      <c r="B998" s="61" t="s">
        <v>62</v>
      </c>
      <c r="C998" s="61" t="s">
        <v>217</v>
      </c>
      <c r="D998" s="61" t="s">
        <v>566</v>
      </c>
      <c r="E998" s="160" t="s">
        <v>1205</v>
      </c>
      <c r="F998" s="61" t="s">
        <v>942</v>
      </c>
      <c r="G998" s="161" t="s">
        <v>302</v>
      </c>
      <c r="H998" s="194" t="s">
        <v>1333</v>
      </c>
      <c r="I998" s="47" t="e">
        <f>VLOOKUP(H998,'合同综合查询数据（3月返）'!$A:$A,1,FALSE)</f>
        <v>#N/A</v>
      </c>
      <c r="J998" s="161" t="s">
        <v>302</v>
      </c>
      <c r="K998" s="161" t="s">
        <v>1334</v>
      </c>
      <c r="L998" s="162"/>
      <c r="M998" s="50"/>
      <c r="N998" s="187">
        <v>43654</v>
      </c>
      <c r="O998" s="187" t="s">
        <v>308</v>
      </c>
      <c r="P998" s="140">
        <v>3000</v>
      </c>
      <c r="Q998" s="68">
        <v>-1</v>
      </c>
      <c r="R998" s="68">
        <f t="shared" si="28"/>
        <v>-3000</v>
      </c>
      <c r="S998" s="70">
        <v>202303</v>
      </c>
      <c r="T998" s="168" t="s">
        <v>1335</v>
      </c>
      <c r="U998" s="169"/>
      <c r="V998" s="143"/>
      <c r="W998" s="143"/>
      <c r="X998" s="73"/>
      <c r="Y998" s="73"/>
    </row>
    <row r="999" s="9" customFormat="1" customHeight="1" spans="1:25">
      <c r="A999" s="98" t="s">
        <v>403</v>
      </c>
      <c r="B999" s="98" t="s">
        <v>62</v>
      </c>
      <c r="C999" s="98" t="s">
        <v>217</v>
      </c>
      <c r="D999" s="98" t="s">
        <v>566</v>
      </c>
      <c r="E999" s="147" t="s">
        <v>1205</v>
      </c>
      <c r="F999" s="98" t="s">
        <v>942</v>
      </c>
      <c r="G999" s="151" t="s">
        <v>302</v>
      </c>
      <c r="H999" s="186" t="s">
        <v>1336</v>
      </c>
      <c r="I999" s="23" t="e">
        <f>VLOOKUP(H999,'合同综合查询数据（3月返）'!$A:$A,1,FALSE)</f>
        <v>#N/A</v>
      </c>
      <c r="J999" s="151" t="s">
        <v>302</v>
      </c>
      <c r="K999" s="151" t="s">
        <v>1337</v>
      </c>
      <c r="L999" s="189"/>
      <c r="M999" s="26"/>
      <c r="N999" s="193"/>
      <c r="O999" s="190" t="s">
        <v>440</v>
      </c>
      <c r="P999" s="131">
        <v>5800</v>
      </c>
      <c r="Q999" s="120">
        <v>1</v>
      </c>
      <c r="R999" s="120">
        <f t="shared" si="28"/>
        <v>5800</v>
      </c>
      <c r="S999" s="117">
        <v>202303</v>
      </c>
      <c r="T999" s="184" t="s">
        <v>1338</v>
      </c>
      <c r="U999" s="185"/>
      <c r="V999" s="133"/>
      <c r="W999" s="133"/>
      <c r="X999" s="118">
        <v>44617</v>
      </c>
      <c r="Y999" s="118">
        <v>45016</v>
      </c>
    </row>
    <row r="1000" s="10" customFormat="1" customHeight="1" spans="1:25">
      <c r="A1000" s="61" t="s">
        <v>403</v>
      </c>
      <c r="B1000" s="61" t="s">
        <v>62</v>
      </c>
      <c r="C1000" s="61" t="s">
        <v>217</v>
      </c>
      <c r="D1000" s="61" t="s">
        <v>566</v>
      </c>
      <c r="E1000" s="160" t="s">
        <v>1205</v>
      </c>
      <c r="F1000" s="61" t="s">
        <v>942</v>
      </c>
      <c r="G1000" s="161" t="s">
        <v>302</v>
      </c>
      <c r="H1000" s="194" t="s">
        <v>1339</v>
      </c>
      <c r="I1000" s="47" t="e">
        <f>VLOOKUP(H1000,'合同综合查询数据（3月返）'!$A:$A,1,FALSE)</f>
        <v>#N/A</v>
      </c>
      <c r="J1000" s="161" t="s">
        <v>302</v>
      </c>
      <c r="K1000" s="161" t="s">
        <v>1340</v>
      </c>
      <c r="L1000" s="162"/>
      <c r="M1000" s="50"/>
      <c r="N1000" s="187"/>
      <c r="O1000" s="163" t="s">
        <v>440</v>
      </c>
      <c r="P1000" s="140">
        <v>6000</v>
      </c>
      <c r="Q1000" s="68">
        <v>1</v>
      </c>
      <c r="R1000" s="68">
        <f t="shared" si="28"/>
        <v>6000</v>
      </c>
      <c r="S1000" s="70">
        <v>202303</v>
      </c>
      <c r="T1000" s="168" t="s">
        <v>1341</v>
      </c>
      <c r="U1000" s="169"/>
      <c r="V1000" s="143"/>
      <c r="W1000" s="143"/>
      <c r="X1000" s="73"/>
      <c r="Y1000" s="73"/>
    </row>
    <row r="1001" s="10" customFormat="1" customHeight="1" spans="1:25">
      <c r="A1001" s="61" t="s">
        <v>403</v>
      </c>
      <c r="B1001" s="61" t="s">
        <v>62</v>
      </c>
      <c r="C1001" s="61" t="s">
        <v>217</v>
      </c>
      <c r="D1001" s="61" t="s">
        <v>566</v>
      </c>
      <c r="E1001" s="160" t="s">
        <v>1205</v>
      </c>
      <c r="F1001" s="61" t="s">
        <v>942</v>
      </c>
      <c r="G1001" s="161" t="s">
        <v>302</v>
      </c>
      <c r="H1001" s="194" t="s">
        <v>1339</v>
      </c>
      <c r="I1001" s="47" t="e">
        <f>VLOOKUP(H1001,'合同综合查询数据（3月返）'!$A:$A,1,FALSE)</f>
        <v>#N/A</v>
      </c>
      <c r="J1001" s="161" t="s">
        <v>302</v>
      </c>
      <c r="K1001" s="161" t="s">
        <v>1340</v>
      </c>
      <c r="L1001" s="162"/>
      <c r="M1001" s="50"/>
      <c r="N1001" s="187">
        <v>43678</v>
      </c>
      <c r="O1001" s="163" t="s">
        <v>440</v>
      </c>
      <c r="P1001" s="140">
        <v>6000</v>
      </c>
      <c r="Q1001" s="68">
        <v>-1</v>
      </c>
      <c r="R1001" s="68">
        <f t="shared" si="28"/>
        <v>-6000</v>
      </c>
      <c r="S1001" s="70">
        <v>202303</v>
      </c>
      <c r="T1001" s="168" t="s">
        <v>1341</v>
      </c>
      <c r="U1001" s="169"/>
      <c r="V1001" s="143"/>
      <c r="W1001" s="143"/>
      <c r="X1001" s="73"/>
      <c r="Y1001" s="73"/>
    </row>
    <row r="1002" s="9" customFormat="1" customHeight="1" spans="1:25">
      <c r="A1002" s="98" t="s">
        <v>403</v>
      </c>
      <c r="B1002" s="98" t="s">
        <v>62</v>
      </c>
      <c r="C1002" s="98" t="s">
        <v>217</v>
      </c>
      <c r="D1002" s="98" t="s">
        <v>566</v>
      </c>
      <c r="E1002" s="147" t="s">
        <v>1205</v>
      </c>
      <c r="F1002" s="98" t="s">
        <v>942</v>
      </c>
      <c r="G1002" s="151" t="s">
        <v>302</v>
      </c>
      <c r="H1002" s="186" t="s">
        <v>1336</v>
      </c>
      <c r="I1002" s="23" t="e">
        <f>VLOOKUP(H1002,'合同综合查询数据（3月返）'!$A:$A,1,FALSE)</f>
        <v>#N/A</v>
      </c>
      <c r="J1002" s="151" t="s">
        <v>302</v>
      </c>
      <c r="K1002" s="151" t="s">
        <v>1342</v>
      </c>
      <c r="L1002" s="189"/>
      <c r="M1002" s="26"/>
      <c r="N1002" s="193"/>
      <c r="O1002" s="190" t="s">
        <v>440</v>
      </c>
      <c r="P1002" s="131">
        <v>5800</v>
      </c>
      <c r="Q1002" s="120">
        <v>1</v>
      </c>
      <c r="R1002" s="120">
        <f t="shared" si="28"/>
        <v>5800</v>
      </c>
      <c r="S1002" s="117">
        <v>202303</v>
      </c>
      <c r="T1002" s="184" t="s">
        <v>1343</v>
      </c>
      <c r="U1002" s="185"/>
      <c r="V1002" s="133"/>
      <c r="W1002" s="133"/>
      <c r="X1002" s="118">
        <v>44617</v>
      </c>
      <c r="Y1002" s="118">
        <v>45016</v>
      </c>
    </row>
    <row r="1003" s="9" customFormat="1" customHeight="1" spans="1:25">
      <c r="A1003" s="98" t="s">
        <v>403</v>
      </c>
      <c r="B1003" s="98" t="s">
        <v>62</v>
      </c>
      <c r="C1003" s="98" t="s">
        <v>217</v>
      </c>
      <c r="D1003" s="98" t="s">
        <v>566</v>
      </c>
      <c r="E1003" s="147" t="s">
        <v>1205</v>
      </c>
      <c r="F1003" s="98" t="s">
        <v>942</v>
      </c>
      <c r="G1003" s="151" t="s">
        <v>302</v>
      </c>
      <c r="H1003" s="186" t="s">
        <v>1336</v>
      </c>
      <c r="I1003" s="23" t="e">
        <f>VLOOKUP(H1003,'合同综合查询数据（3月返）'!$A:$A,1,FALSE)</f>
        <v>#N/A</v>
      </c>
      <c r="J1003" s="99" t="s">
        <v>302</v>
      </c>
      <c r="K1003" s="151" t="s">
        <v>1344</v>
      </c>
      <c r="L1003" s="189"/>
      <c r="M1003" s="26"/>
      <c r="N1003" s="190"/>
      <c r="O1003" s="190" t="s">
        <v>440</v>
      </c>
      <c r="P1003" s="131">
        <v>5800</v>
      </c>
      <c r="Q1003" s="119">
        <v>1</v>
      </c>
      <c r="R1003" s="120">
        <f t="shared" si="28"/>
        <v>5800</v>
      </c>
      <c r="S1003" s="117">
        <v>202303</v>
      </c>
      <c r="T1003" s="184" t="s">
        <v>1345</v>
      </c>
      <c r="U1003" s="185"/>
      <c r="V1003" s="133"/>
      <c r="W1003" s="133"/>
      <c r="X1003" s="118">
        <v>44617</v>
      </c>
      <c r="Y1003" s="118">
        <v>45016</v>
      </c>
    </row>
    <row r="1004" s="9" customFormat="1" customHeight="1" spans="1:25">
      <c r="A1004" s="98" t="s">
        <v>403</v>
      </c>
      <c r="B1004" s="98" t="s">
        <v>62</v>
      </c>
      <c r="C1004" s="98" t="s">
        <v>217</v>
      </c>
      <c r="D1004" s="98" t="s">
        <v>566</v>
      </c>
      <c r="E1004" s="147" t="s">
        <v>1205</v>
      </c>
      <c r="F1004" s="98" t="s">
        <v>942</v>
      </c>
      <c r="G1004" s="151" t="s">
        <v>302</v>
      </c>
      <c r="H1004" s="186" t="s">
        <v>1336</v>
      </c>
      <c r="I1004" s="23" t="e">
        <f>VLOOKUP(H1004,'合同综合查询数据（3月返）'!$A:$A,1,FALSE)</f>
        <v>#N/A</v>
      </c>
      <c r="J1004" s="151" t="s">
        <v>302</v>
      </c>
      <c r="K1004" s="151" t="s">
        <v>1346</v>
      </c>
      <c r="L1004" s="189"/>
      <c r="M1004" s="26"/>
      <c r="N1004" s="193"/>
      <c r="O1004" s="190" t="s">
        <v>440</v>
      </c>
      <c r="P1004" s="131">
        <v>5800</v>
      </c>
      <c r="Q1004" s="120">
        <v>1</v>
      </c>
      <c r="R1004" s="120">
        <f t="shared" si="28"/>
        <v>5800</v>
      </c>
      <c r="S1004" s="117">
        <v>202303</v>
      </c>
      <c r="T1004" s="184" t="s">
        <v>1347</v>
      </c>
      <c r="U1004" s="185"/>
      <c r="V1004" s="133"/>
      <c r="W1004" s="133"/>
      <c r="X1004" s="118">
        <v>44617</v>
      </c>
      <c r="Y1004" s="118">
        <v>45016</v>
      </c>
    </row>
    <row r="1005" s="9" customFormat="1" customHeight="1" spans="1:25">
      <c r="A1005" s="98" t="s">
        <v>403</v>
      </c>
      <c r="B1005" s="98" t="s">
        <v>62</v>
      </c>
      <c r="C1005" s="98" t="s">
        <v>217</v>
      </c>
      <c r="D1005" s="98" t="s">
        <v>566</v>
      </c>
      <c r="E1005" s="147" t="s">
        <v>1205</v>
      </c>
      <c r="F1005" s="98" t="s">
        <v>942</v>
      </c>
      <c r="G1005" s="151" t="s">
        <v>302</v>
      </c>
      <c r="H1005" s="186" t="s">
        <v>1336</v>
      </c>
      <c r="I1005" s="23" t="e">
        <f>VLOOKUP(H1005,'合同综合查询数据（3月返）'!$A:$A,1,FALSE)</f>
        <v>#N/A</v>
      </c>
      <c r="J1005" s="24" t="s">
        <v>302</v>
      </c>
      <c r="K1005" s="151" t="s">
        <v>1348</v>
      </c>
      <c r="L1005" s="189"/>
      <c r="M1005" s="26"/>
      <c r="N1005" s="190">
        <v>43516</v>
      </c>
      <c r="O1005" s="190" t="s">
        <v>440</v>
      </c>
      <c r="P1005" s="131">
        <v>5800</v>
      </c>
      <c r="Q1005" s="119">
        <v>1</v>
      </c>
      <c r="R1005" s="120">
        <f t="shared" si="28"/>
        <v>5800</v>
      </c>
      <c r="S1005" s="117">
        <v>202303</v>
      </c>
      <c r="T1005" s="184" t="s">
        <v>1349</v>
      </c>
      <c r="U1005" s="185"/>
      <c r="V1005" s="133"/>
      <c r="W1005" s="133"/>
      <c r="X1005" s="118">
        <v>44617</v>
      </c>
      <c r="Y1005" s="118">
        <v>45016</v>
      </c>
    </row>
    <row r="1006" s="9" customFormat="1" customHeight="1" spans="1:25">
      <c r="A1006" s="98" t="s">
        <v>403</v>
      </c>
      <c r="B1006" s="98" t="s">
        <v>62</v>
      </c>
      <c r="C1006" s="98" t="s">
        <v>217</v>
      </c>
      <c r="D1006" s="98" t="s">
        <v>566</v>
      </c>
      <c r="E1006" s="147" t="s">
        <v>1205</v>
      </c>
      <c r="F1006" s="98" t="s">
        <v>942</v>
      </c>
      <c r="G1006" s="99" t="s">
        <v>67</v>
      </c>
      <c r="H1006" s="186" t="s">
        <v>1350</v>
      </c>
      <c r="I1006" s="23" t="str">
        <f>VLOOKUP(H1006,'合同综合查询数据（3月返）'!$A:$A,1,FALSE)</f>
        <v>182315IDC00068</v>
      </c>
      <c r="J1006" s="99" t="s">
        <v>69</v>
      </c>
      <c r="K1006" s="151" t="s">
        <v>1351</v>
      </c>
      <c r="L1006" s="189"/>
      <c r="M1006" s="26"/>
      <c r="N1006" s="193">
        <v>44697</v>
      </c>
      <c r="O1006" s="193" t="s">
        <v>71</v>
      </c>
      <c r="P1006" s="131">
        <v>400</v>
      </c>
      <c r="Q1006" s="120">
        <v>49.2</v>
      </c>
      <c r="R1006" s="120">
        <f t="shared" si="28"/>
        <v>19680</v>
      </c>
      <c r="S1006" s="117">
        <v>202303</v>
      </c>
      <c r="T1006" s="184" t="s">
        <v>1352</v>
      </c>
      <c r="U1006" s="185"/>
      <c r="V1006" s="133"/>
      <c r="W1006" s="133"/>
      <c r="X1006" s="118">
        <v>44697</v>
      </c>
      <c r="Y1006" s="118">
        <v>45199</v>
      </c>
    </row>
    <row r="1007" s="9" customFormat="1" customHeight="1" spans="1:25">
      <c r="A1007" s="98" t="s">
        <v>403</v>
      </c>
      <c r="B1007" s="98" t="s">
        <v>62</v>
      </c>
      <c r="C1007" s="98" t="s">
        <v>217</v>
      </c>
      <c r="D1007" s="98" t="s">
        <v>566</v>
      </c>
      <c r="E1007" s="147" t="s">
        <v>1205</v>
      </c>
      <c r="F1007" s="98" t="s">
        <v>942</v>
      </c>
      <c r="G1007" s="99" t="s">
        <v>67</v>
      </c>
      <c r="H1007" s="186" t="s">
        <v>1350</v>
      </c>
      <c r="I1007" s="23" t="str">
        <f>VLOOKUP(H1007,'合同综合查询数据（3月返）'!$A:$A,1,FALSE)</f>
        <v>182315IDC00068</v>
      </c>
      <c r="J1007" s="99" t="s">
        <v>69</v>
      </c>
      <c r="K1007" s="151" t="s">
        <v>1351</v>
      </c>
      <c r="L1007" s="189"/>
      <c r="M1007" s="26"/>
      <c r="N1007" s="193">
        <v>44697</v>
      </c>
      <c r="O1007" s="193" t="s">
        <v>71</v>
      </c>
      <c r="P1007" s="131">
        <v>400</v>
      </c>
      <c r="Q1007" s="120">
        <v>41</v>
      </c>
      <c r="R1007" s="120">
        <f t="shared" si="28"/>
        <v>16400</v>
      </c>
      <c r="S1007" s="117">
        <v>202303</v>
      </c>
      <c r="T1007" s="184" t="s">
        <v>1353</v>
      </c>
      <c r="U1007" s="185"/>
      <c r="V1007" s="133"/>
      <c r="W1007" s="133"/>
      <c r="X1007" s="118">
        <v>44697</v>
      </c>
      <c r="Y1007" s="118">
        <v>45199</v>
      </c>
    </row>
    <row r="1008" s="9" customFormat="1" customHeight="1" spans="1:25">
      <c r="A1008" s="98" t="s">
        <v>403</v>
      </c>
      <c r="B1008" s="98" t="s">
        <v>62</v>
      </c>
      <c r="C1008" s="98" t="s">
        <v>217</v>
      </c>
      <c r="D1008" s="98" t="s">
        <v>566</v>
      </c>
      <c r="E1008" s="147" t="s">
        <v>1205</v>
      </c>
      <c r="F1008" s="98" t="s">
        <v>942</v>
      </c>
      <c r="G1008" s="99" t="s">
        <v>67</v>
      </c>
      <c r="H1008" s="186" t="s">
        <v>1350</v>
      </c>
      <c r="I1008" s="23" t="str">
        <f>VLOOKUP(H1008,'合同综合查询数据（3月返）'!$A:$A,1,FALSE)</f>
        <v>182315IDC00068</v>
      </c>
      <c r="J1008" s="99" t="s">
        <v>69</v>
      </c>
      <c r="K1008" s="151" t="s">
        <v>1354</v>
      </c>
      <c r="L1008" s="189"/>
      <c r="M1008" s="26"/>
      <c r="N1008" s="193">
        <v>44707</v>
      </c>
      <c r="O1008" s="193" t="s">
        <v>71</v>
      </c>
      <c r="P1008" s="131">
        <v>400</v>
      </c>
      <c r="Q1008" s="120">
        <v>74.5</v>
      </c>
      <c r="R1008" s="120">
        <f t="shared" si="28"/>
        <v>29800</v>
      </c>
      <c r="S1008" s="117">
        <v>202303</v>
      </c>
      <c r="T1008" s="184" t="s">
        <v>1354</v>
      </c>
      <c r="U1008" s="185"/>
      <c r="V1008" s="133"/>
      <c r="W1008" s="133"/>
      <c r="X1008" s="118">
        <v>44697</v>
      </c>
      <c r="Y1008" s="118">
        <v>45199</v>
      </c>
    </row>
    <row r="1009" s="9" customFormat="1" customHeight="1" spans="1:25">
      <c r="A1009" s="98" t="s">
        <v>403</v>
      </c>
      <c r="B1009" s="98" t="s">
        <v>62</v>
      </c>
      <c r="C1009" s="98" t="s">
        <v>217</v>
      </c>
      <c r="D1009" s="98" t="s">
        <v>566</v>
      </c>
      <c r="E1009" s="147" t="s">
        <v>1205</v>
      </c>
      <c r="F1009" s="98" t="s">
        <v>942</v>
      </c>
      <c r="G1009" s="99" t="s">
        <v>67</v>
      </c>
      <c r="H1009" s="186" t="s">
        <v>1350</v>
      </c>
      <c r="I1009" s="23" t="str">
        <f>VLOOKUP(H1009,'合同综合查询数据（3月返）'!$A:$A,1,FALSE)</f>
        <v>182315IDC00068</v>
      </c>
      <c r="J1009" s="99" t="s">
        <v>69</v>
      </c>
      <c r="K1009" s="151" t="s">
        <v>1354</v>
      </c>
      <c r="L1009" s="189"/>
      <c r="M1009" s="26"/>
      <c r="N1009" s="193">
        <v>44707</v>
      </c>
      <c r="O1009" s="193" t="s">
        <v>71</v>
      </c>
      <c r="P1009" s="131">
        <v>400</v>
      </c>
      <c r="Q1009" s="120">
        <v>93.8</v>
      </c>
      <c r="R1009" s="120">
        <f t="shared" si="28"/>
        <v>37520</v>
      </c>
      <c r="S1009" s="117">
        <v>202303</v>
      </c>
      <c r="T1009" s="184" t="s">
        <v>1354</v>
      </c>
      <c r="U1009" s="185"/>
      <c r="V1009" s="133"/>
      <c r="W1009" s="133"/>
      <c r="X1009" s="118">
        <v>44697</v>
      </c>
      <c r="Y1009" s="118">
        <v>45199</v>
      </c>
    </row>
    <row r="1010" s="10" customFormat="1" customHeight="1" spans="1:25">
      <c r="A1010" s="61" t="s">
        <v>403</v>
      </c>
      <c r="B1010" s="61" t="s">
        <v>62</v>
      </c>
      <c r="C1010" s="61" t="s">
        <v>217</v>
      </c>
      <c r="D1010" s="61" t="s">
        <v>566</v>
      </c>
      <c r="E1010" s="160" t="s">
        <v>1205</v>
      </c>
      <c r="F1010" s="61" t="s">
        <v>942</v>
      </c>
      <c r="G1010" s="161" t="s">
        <v>88</v>
      </c>
      <c r="H1010" s="45" t="s">
        <v>1355</v>
      </c>
      <c r="I1010" s="47" t="e">
        <f>VLOOKUP(H1010,'合同综合查询数据（3月返）'!$A:$A,1,FALSE)</f>
        <v>#N/A</v>
      </c>
      <c r="J1010" s="48" t="s">
        <v>90</v>
      </c>
      <c r="K1010" s="161" t="s">
        <v>1356</v>
      </c>
      <c r="L1010" s="162"/>
      <c r="M1010" s="50" t="s">
        <v>527</v>
      </c>
      <c r="N1010" s="163" t="s">
        <v>503</v>
      </c>
      <c r="O1010" s="163" t="s">
        <v>457</v>
      </c>
      <c r="P1010" s="144">
        <v>5745</v>
      </c>
      <c r="Q1010" s="144">
        <v>1800</v>
      </c>
      <c r="R1010" s="68">
        <f t="shared" si="28"/>
        <v>10341000</v>
      </c>
      <c r="S1010" s="70">
        <v>202303</v>
      </c>
      <c r="T1010" s="168"/>
      <c r="U1010" s="169"/>
      <c r="V1010" s="143"/>
      <c r="W1010" s="143"/>
      <c r="X1010" s="73"/>
      <c r="Y1010" s="73"/>
    </row>
    <row r="1011" s="10" customFormat="1" customHeight="1" spans="1:25">
      <c r="A1011" s="61" t="s">
        <v>403</v>
      </c>
      <c r="B1011" s="61" t="s">
        <v>62</v>
      </c>
      <c r="C1011" s="61" t="s">
        <v>217</v>
      </c>
      <c r="D1011" s="61" t="s">
        <v>566</v>
      </c>
      <c r="E1011" s="160" t="s">
        <v>1205</v>
      </c>
      <c r="F1011" s="61" t="s">
        <v>942</v>
      </c>
      <c r="G1011" s="161" t="s">
        <v>88</v>
      </c>
      <c r="H1011" s="45" t="s">
        <v>1355</v>
      </c>
      <c r="I1011" s="47" t="e">
        <f>VLOOKUP(H1011,'合同综合查询数据（3月返）'!$A:$A,1,FALSE)</f>
        <v>#N/A</v>
      </c>
      <c r="J1011" s="48" t="s">
        <v>90</v>
      </c>
      <c r="K1011" s="161" t="s">
        <v>1356</v>
      </c>
      <c r="L1011" s="162"/>
      <c r="M1011" s="50" t="s">
        <v>527</v>
      </c>
      <c r="N1011" s="163">
        <v>44658</v>
      </c>
      <c r="O1011" s="163" t="s">
        <v>457</v>
      </c>
      <c r="P1011" s="144">
        <v>5745</v>
      </c>
      <c r="Q1011" s="144">
        <v>-2</v>
      </c>
      <c r="R1011" s="68">
        <f t="shared" si="28"/>
        <v>-11490</v>
      </c>
      <c r="S1011" s="70">
        <v>202303</v>
      </c>
      <c r="T1011" s="168" t="s">
        <v>1357</v>
      </c>
      <c r="U1011" s="169"/>
      <c r="V1011" s="143"/>
      <c r="W1011" s="143"/>
      <c r="X1011" s="73"/>
      <c r="Y1011" s="73"/>
    </row>
    <row r="1012" s="10" customFormat="1" customHeight="1" spans="1:25">
      <c r="A1012" s="61" t="s">
        <v>403</v>
      </c>
      <c r="B1012" s="61" t="s">
        <v>62</v>
      </c>
      <c r="C1012" s="61" t="s">
        <v>217</v>
      </c>
      <c r="D1012" s="61" t="s">
        <v>566</v>
      </c>
      <c r="E1012" s="160" t="s">
        <v>1205</v>
      </c>
      <c r="F1012" s="61" t="s">
        <v>942</v>
      </c>
      <c r="G1012" s="161" t="s">
        <v>88</v>
      </c>
      <c r="H1012" s="45" t="s">
        <v>1355</v>
      </c>
      <c r="I1012" s="47" t="e">
        <f>VLOOKUP(H1012,'合同综合查询数据（3月返）'!$A:$A,1,FALSE)</f>
        <v>#N/A</v>
      </c>
      <c r="J1012" s="48" t="s">
        <v>90</v>
      </c>
      <c r="K1012" s="161" t="s">
        <v>1356</v>
      </c>
      <c r="L1012" s="162"/>
      <c r="M1012" s="50" t="s">
        <v>527</v>
      </c>
      <c r="N1012" s="163">
        <v>44865</v>
      </c>
      <c r="O1012" s="163" t="s">
        <v>457</v>
      </c>
      <c r="P1012" s="144">
        <v>5745</v>
      </c>
      <c r="Q1012" s="144">
        <v>-10</v>
      </c>
      <c r="R1012" s="68">
        <f t="shared" si="28"/>
        <v>-57450</v>
      </c>
      <c r="S1012" s="70">
        <v>202303</v>
      </c>
      <c r="T1012" s="168" t="s">
        <v>1358</v>
      </c>
      <c r="U1012" s="169"/>
      <c r="V1012" s="143"/>
      <c r="W1012" s="143"/>
      <c r="X1012" s="73"/>
      <c r="Y1012" s="73"/>
    </row>
    <row r="1013" s="10" customFormat="1" customHeight="1" spans="1:25">
      <c r="A1013" s="61" t="s">
        <v>403</v>
      </c>
      <c r="B1013" s="61" t="s">
        <v>62</v>
      </c>
      <c r="C1013" s="61" t="s">
        <v>217</v>
      </c>
      <c r="D1013" s="61" t="s">
        <v>566</v>
      </c>
      <c r="E1013" s="160" t="s">
        <v>1205</v>
      </c>
      <c r="F1013" s="61" t="s">
        <v>942</v>
      </c>
      <c r="G1013" s="161" t="s">
        <v>88</v>
      </c>
      <c r="H1013" s="45" t="s">
        <v>1355</v>
      </c>
      <c r="I1013" s="47" t="e">
        <f>VLOOKUP(H1013,'合同综合查询数据（3月返）'!$A:$A,1,FALSE)</f>
        <v>#N/A</v>
      </c>
      <c r="J1013" s="48" t="s">
        <v>90</v>
      </c>
      <c r="K1013" s="161" t="s">
        <v>1356</v>
      </c>
      <c r="L1013" s="162"/>
      <c r="M1013" s="50" t="s">
        <v>527</v>
      </c>
      <c r="N1013" s="163">
        <v>44875</v>
      </c>
      <c r="O1013" s="163" t="s">
        <v>457</v>
      </c>
      <c r="P1013" s="144">
        <v>5745</v>
      </c>
      <c r="Q1013" s="144">
        <v>-59</v>
      </c>
      <c r="R1013" s="68">
        <f t="shared" si="28"/>
        <v>-338955</v>
      </c>
      <c r="S1013" s="70">
        <v>202303</v>
      </c>
      <c r="T1013" s="168" t="s">
        <v>1359</v>
      </c>
      <c r="U1013" s="169"/>
      <c r="V1013" s="143"/>
      <c r="W1013" s="143"/>
      <c r="X1013" s="73"/>
      <c r="Y1013" s="73"/>
    </row>
    <row r="1014" s="10" customFormat="1" customHeight="1" spans="1:25">
      <c r="A1014" s="61" t="s">
        <v>403</v>
      </c>
      <c r="B1014" s="61" t="s">
        <v>62</v>
      </c>
      <c r="C1014" s="61" t="s">
        <v>217</v>
      </c>
      <c r="D1014" s="61" t="s">
        <v>566</v>
      </c>
      <c r="E1014" s="160" t="s">
        <v>1205</v>
      </c>
      <c r="F1014" s="61" t="s">
        <v>942</v>
      </c>
      <c r="G1014" s="161" t="s">
        <v>88</v>
      </c>
      <c r="H1014" s="45" t="s">
        <v>1355</v>
      </c>
      <c r="I1014" s="47" t="e">
        <f>VLOOKUP(H1014,'合同综合查询数据（3月返）'!$A:$A,1,FALSE)</f>
        <v>#N/A</v>
      </c>
      <c r="J1014" s="48" t="s">
        <v>90</v>
      </c>
      <c r="K1014" s="161" t="s">
        <v>1356</v>
      </c>
      <c r="L1014" s="162"/>
      <c r="M1014" s="50" t="s">
        <v>527</v>
      </c>
      <c r="N1014" s="163">
        <v>44880</v>
      </c>
      <c r="O1014" s="163" t="s">
        <v>457</v>
      </c>
      <c r="P1014" s="144">
        <v>5745</v>
      </c>
      <c r="Q1014" s="144">
        <v>-24</v>
      </c>
      <c r="R1014" s="68">
        <f t="shared" si="28"/>
        <v>-137880</v>
      </c>
      <c r="S1014" s="70">
        <v>202303</v>
      </c>
      <c r="T1014" s="168" t="s">
        <v>1360</v>
      </c>
      <c r="U1014" s="169"/>
      <c r="V1014" s="143"/>
      <c r="W1014" s="143"/>
      <c r="X1014" s="73"/>
      <c r="Y1014" s="73"/>
    </row>
    <row r="1015" s="10" customFormat="1" customHeight="1" spans="1:25">
      <c r="A1015" s="61" t="s">
        <v>403</v>
      </c>
      <c r="B1015" s="61" t="s">
        <v>62</v>
      </c>
      <c r="C1015" s="61" t="s">
        <v>217</v>
      </c>
      <c r="D1015" s="61" t="s">
        <v>566</v>
      </c>
      <c r="E1015" s="160" t="s">
        <v>1205</v>
      </c>
      <c r="F1015" s="61" t="s">
        <v>942</v>
      </c>
      <c r="G1015" s="161" t="s">
        <v>88</v>
      </c>
      <c r="H1015" s="45" t="s">
        <v>1355</v>
      </c>
      <c r="I1015" s="47" t="e">
        <f>VLOOKUP(H1015,'合同综合查询数据（3月返）'!$A:$A,1,FALSE)</f>
        <v>#N/A</v>
      </c>
      <c r="J1015" s="61" t="s">
        <v>312</v>
      </c>
      <c r="K1015" s="161" t="s">
        <v>1356</v>
      </c>
      <c r="L1015" s="162"/>
      <c r="M1015" s="50" t="s">
        <v>527</v>
      </c>
      <c r="N1015" s="163"/>
      <c r="O1015" s="163"/>
      <c r="P1015" s="144">
        <v>300</v>
      </c>
      <c r="Q1015" s="144">
        <v>500</v>
      </c>
      <c r="R1015" s="68">
        <f t="shared" si="28"/>
        <v>150000</v>
      </c>
      <c r="S1015" s="70">
        <v>202303</v>
      </c>
      <c r="T1015" s="168" t="s">
        <v>1361</v>
      </c>
      <c r="U1015" s="169"/>
      <c r="V1015" s="143"/>
      <c r="W1015" s="143"/>
      <c r="X1015" s="73"/>
      <c r="Y1015" s="73"/>
    </row>
    <row r="1016" s="9" customFormat="1" customHeight="1" spans="1:25">
      <c r="A1016" s="98" t="s">
        <v>403</v>
      </c>
      <c r="B1016" s="96" t="s">
        <v>62</v>
      </c>
      <c r="C1016" s="98" t="s">
        <v>130</v>
      </c>
      <c r="D1016" s="98" t="s">
        <v>881</v>
      </c>
      <c r="E1016" s="147" t="s">
        <v>1362</v>
      </c>
      <c r="F1016" s="98" t="s">
        <v>1363</v>
      </c>
      <c r="G1016" s="151" t="s">
        <v>302</v>
      </c>
      <c r="H1016" s="19" t="s">
        <v>1364</v>
      </c>
      <c r="I1016" s="23" t="e">
        <f>VLOOKUP(H1016,'合同综合查询数据（3月返）'!$A:$A,1,FALSE)</f>
        <v>#N/A</v>
      </c>
      <c r="J1016" s="129" t="s">
        <v>302</v>
      </c>
      <c r="K1016" s="129" t="s">
        <v>1365</v>
      </c>
      <c r="L1016" s="153"/>
      <c r="M1016" s="26"/>
      <c r="N1016" s="154">
        <v>44085</v>
      </c>
      <c r="O1016" s="155" t="s">
        <v>1366</v>
      </c>
      <c r="P1016" s="174">
        <v>115000</v>
      </c>
      <c r="Q1016" s="174">
        <v>2</v>
      </c>
      <c r="R1016" s="120">
        <f t="shared" si="28"/>
        <v>230000</v>
      </c>
      <c r="S1016" s="117">
        <v>202303</v>
      </c>
      <c r="T1016" s="157" t="s">
        <v>1367</v>
      </c>
      <c r="U1016" s="157"/>
      <c r="V1016" s="122"/>
      <c r="W1016" s="122"/>
      <c r="X1016" s="118">
        <v>44085</v>
      </c>
      <c r="Y1016" s="118">
        <v>45179</v>
      </c>
    </row>
    <row r="1017" s="9" customFormat="1" customHeight="1" spans="1:25">
      <c r="A1017" s="98" t="s">
        <v>403</v>
      </c>
      <c r="B1017" s="96" t="s">
        <v>62</v>
      </c>
      <c r="C1017" s="98" t="s">
        <v>130</v>
      </c>
      <c r="D1017" s="98" t="s">
        <v>881</v>
      </c>
      <c r="E1017" s="147" t="s">
        <v>1362</v>
      </c>
      <c r="F1017" s="98" t="s">
        <v>1363</v>
      </c>
      <c r="G1017" s="151" t="s">
        <v>67</v>
      </c>
      <c r="H1017" s="19" t="s">
        <v>1368</v>
      </c>
      <c r="I1017" s="23" t="e">
        <f>VLOOKUP(H1017,'合同综合查询数据（3月返）'!$A:$A,1,FALSE)</f>
        <v>#N/A</v>
      </c>
      <c r="J1017" s="129" t="s">
        <v>69</v>
      </c>
      <c r="K1017" s="129" t="s">
        <v>1363</v>
      </c>
      <c r="L1017" s="153"/>
      <c r="M1017" s="26"/>
      <c r="N1017" s="154">
        <v>42575</v>
      </c>
      <c r="O1017" s="155" t="s">
        <v>71</v>
      </c>
      <c r="P1017" s="174">
        <v>1000</v>
      </c>
      <c r="Q1017" s="174">
        <v>16</v>
      </c>
      <c r="R1017" s="120">
        <f t="shared" si="28"/>
        <v>16000</v>
      </c>
      <c r="S1017" s="117">
        <v>202303</v>
      </c>
      <c r="T1017" s="157" t="s">
        <v>1369</v>
      </c>
      <c r="U1017" s="157"/>
      <c r="V1017" s="122"/>
      <c r="W1017" s="122"/>
      <c r="X1017" s="118">
        <v>44652</v>
      </c>
      <c r="Y1017" s="118">
        <v>45016</v>
      </c>
    </row>
    <row r="1018" s="9" customFormat="1" customHeight="1" spans="1:25">
      <c r="A1018" s="98" t="s">
        <v>403</v>
      </c>
      <c r="B1018" s="96" t="s">
        <v>62</v>
      </c>
      <c r="C1018" s="98" t="s">
        <v>130</v>
      </c>
      <c r="D1018" s="98" t="s">
        <v>881</v>
      </c>
      <c r="E1018" s="147" t="s">
        <v>1362</v>
      </c>
      <c r="F1018" s="98" t="s">
        <v>1363</v>
      </c>
      <c r="G1018" s="151" t="s">
        <v>67</v>
      </c>
      <c r="H1018" s="19" t="s">
        <v>1368</v>
      </c>
      <c r="I1018" s="23" t="e">
        <f>VLOOKUP(H1018,'合同综合查询数据（3月返）'!$A:$A,1,FALSE)</f>
        <v>#N/A</v>
      </c>
      <c r="J1018" s="129" t="s">
        <v>69</v>
      </c>
      <c r="K1018" s="129" t="s">
        <v>1363</v>
      </c>
      <c r="L1018" s="153"/>
      <c r="M1018" s="26"/>
      <c r="N1018" s="154">
        <v>43671</v>
      </c>
      <c r="O1018" s="155" t="s">
        <v>71</v>
      </c>
      <c r="P1018" s="174">
        <v>1000</v>
      </c>
      <c r="Q1018" s="174">
        <v>12</v>
      </c>
      <c r="R1018" s="120">
        <f t="shared" si="28"/>
        <v>12000</v>
      </c>
      <c r="S1018" s="117">
        <v>202303</v>
      </c>
      <c r="T1018" s="157" t="s">
        <v>1370</v>
      </c>
      <c r="U1018" s="157"/>
      <c r="V1018" s="122"/>
      <c r="W1018" s="122"/>
      <c r="X1018" s="118">
        <v>44652</v>
      </c>
      <c r="Y1018" s="118">
        <v>45016</v>
      </c>
    </row>
    <row r="1019" s="9" customFormat="1" customHeight="1" spans="1:25">
      <c r="A1019" s="98" t="s">
        <v>403</v>
      </c>
      <c r="B1019" s="96" t="s">
        <v>62</v>
      </c>
      <c r="C1019" s="98" t="s">
        <v>130</v>
      </c>
      <c r="D1019" s="98" t="s">
        <v>881</v>
      </c>
      <c r="E1019" s="147" t="s">
        <v>1362</v>
      </c>
      <c r="F1019" s="98" t="s">
        <v>1363</v>
      </c>
      <c r="G1019" s="151" t="s">
        <v>67</v>
      </c>
      <c r="H1019" s="19" t="s">
        <v>1368</v>
      </c>
      <c r="I1019" s="23" t="e">
        <f>VLOOKUP(H1019,'合同综合查询数据（3月返）'!$A:$A,1,FALSE)</f>
        <v>#N/A</v>
      </c>
      <c r="J1019" s="129" t="s">
        <v>69</v>
      </c>
      <c r="K1019" s="129" t="s">
        <v>1363</v>
      </c>
      <c r="L1019" s="153"/>
      <c r="M1019" s="26"/>
      <c r="N1019" s="154">
        <v>43831</v>
      </c>
      <c r="O1019" s="155" t="s">
        <v>71</v>
      </c>
      <c r="P1019" s="174">
        <v>1000</v>
      </c>
      <c r="Q1019" s="174">
        <v>10</v>
      </c>
      <c r="R1019" s="120">
        <f t="shared" si="28"/>
        <v>10000</v>
      </c>
      <c r="S1019" s="117">
        <v>202303</v>
      </c>
      <c r="T1019" s="157" t="s">
        <v>1371</v>
      </c>
      <c r="U1019" s="157"/>
      <c r="V1019" s="122"/>
      <c r="W1019" s="122"/>
      <c r="X1019" s="118">
        <v>44652</v>
      </c>
      <c r="Y1019" s="118">
        <v>45016</v>
      </c>
    </row>
    <row r="1020" s="9" customFormat="1" customHeight="1" spans="1:25">
      <c r="A1020" s="98" t="s">
        <v>403</v>
      </c>
      <c r="B1020" s="96" t="s">
        <v>62</v>
      </c>
      <c r="C1020" s="98" t="s">
        <v>130</v>
      </c>
      <c r="D1020" s="98" t="s">
        <v>881</v>
      </c>
      <c r="E1020" s="147" t="s">
        <v>1362</v>
      </c>
      <c r="F1020" s="98" t="s">
        <v>1363</v>
      </c>
      <c r="G1020" s="151" t="s">
        <v>67</v>
      </c>
      <c r="H1020" s="19" t="s">
        <v>1368</v>
      </c>
      <c r="I1020" s="23" t="e">
        <f>VLOOKUP(H1020,'合同综合查询数据（3月返）'!$A:$A,1,FALSE)</f>
        <v>#N/A</v>
      </c>
      <c r="J1020" s="129" t="s">
        <v>69</v>
      </c>
      <c r="K1020" s="129" t="s">
        <v>1363</v>
      </c>
      <c r="L1020" s="153"/>
      <c r="M1020" s="26"/>
      <c r="N1020" s="154">
        <v>44440</v>
      </c>
      <c r="O1020" s="155" t="s">
        <v>71</v>
      </c>
      <c r="P1020" s="174">
        <v>1000</v>
      </c>
      <c r="Q1020" s="174">
        <v>6</v>
      </c>
      <c r="R1020" s="120">
        <f t="shared" si="28"/>
        <v>6000</v>
      </c>
      <c r="S1020" s="117">
        <v>202303</v>
      </c>
      <c r="T1020" s="157" t="s">
        <v>1372</v>
      </c>
      <c r="U1020" s="157"/>
      <c r="V1020" s="122"/>
      <c r="W1020" s="122"/>
      <c r="X1020" s="118">
        <v>44652</v>
      </c>
      <c r="Y1020" s="118">
        <v>45016</v>
      </c>
    </row>
    <row r="1021" s="9" customFormat="1" customHeight="1" spans="1:25">
      <c r="A1021" s="98" t="s">
        <v>403</v>
      </c>
      <c r="B1021" s="96" t="s">
        <v>62</v>
      </c>
      <c r="C1021" s="98" t="s">
        <v>130</v>
      </c>
      <c r="D1021" s="98" t="s">
        <v>881</v>
      </c>
      <c r="E1021" s="147" t="s">
        <v>1362</v>
      </c>
      <c r="F1021" s="98" t="s">
        <v>1363</v>
      </c>
      <c r="G1021" s="151" t="s">
        <v>88</v>
      </c>
      <c r="H1021" s="19" t="s">
        <v>1368</v>
      </c>
      <c r="I1021" s="23" t="e">
        <f>VLOOKUP(H1021,'合同综合查询数据（3月返）'!$A:$A,1,FALSE)</f>
        <v>#N/A</v>
      </c>
      <c r="J1021" s="129" t="s">
        <v>1033</v>
      </c>
      <c r="K1021" s="129" t="s">
        <v>1363</v>
      </c>
      <c r="L1021" s="153" t="s">
        <v>1373</v>
      </c>
      <c r="M1021" s="26" t="s">
        <v>1374</v>
      </c>
      <c r="N1021" s="154" t="s">
        <v>1375</v>
      </c>
      <c r="O1021" s="155" t="s">
        <v>92</v>
      </c>
      <c r="P1021" s="174">
        <v>4500</v>
      </c>
      <c r="Q1021" s="174">
        <v>2</v>
      </c>
      <c r="R1021" s="120">
        <f t="shared" si="28"/>
        <v>9000</v>
      </c>
      <c r="S1021" s="117">
        <v>202303</v>
      </c>
      <c r="T1021" s="157" t="s">
        <v>1376</v>
      </c>
      <c r="U1021" s="157"/>
      <c r="V1021" s="122"/>
      <c r="W1021" s="122"/>
      <c r="X1021" s="118">
        <v>44652</v>
      </c>
      <c r="Y1021" s="118">
        <v>45016</v>
      </c>
    </row>
    <row r="1022" s="9" customFormat="1" customHeight="1" spans="1:25">
      <c r="A1022" s="98" t="s">
        <v>403</v>
      </c>
      <c r="B1022" s="96" t="s">
        <v>62</v>
      </c>
      <c r="C1022" s="98" t="s">
        <v>130</v>
      </c>
      <c r="D1022" s="98" t="s">
        <v>881</v>
      </c>
      <c r="E1022" s="147" t="s">
        <v>1362</v>
      </c>
      <c r="F1022" s="98" t="s">
        <v>1363</v>
      </c>
      <c r="G1022" s="151" t="s">
        <v>88</v>
      </c>
      <c r="H1022" s="19" t="s">
        <v>1368</v>
      </c>
      <c r="I1022" s="23" t="e">
        <f>VLOOKUP(H1022,'合同综合查询数据（3月返）'!$A:$A,1,FALSE)</f>
        <v>#N/A</v>
      </c>
      <c r="J1022" s="129" t="s">
        <v>1033</v>
      </c>
      <c r="K1022" s="129" t="s">
        <v>1363</v>
      </c>
      <c r="L1022" s="153" t="s">
        <v>1373</v>
      </c>
      <c r="M1022" s="26" t="s">
        <v>1374</v>
      </c>
      <c r="N1022" s="154">
        <v>44197</v>
      </c>
      <c r="O1022" s="155" t="s">
        <v>92</v>
      </c>
      <c r="P1022" s="174">
        <v>4500</v>
      </c>
      <c r="Q1022" s="174">
        <v>1</v>
      </c>
      <c r="R1022" s="120">
        <f t="shared" si="28"/>
        <v>4500</v>
      </c>
      <c r="S1022" s="117">
        <v>202303</v>
      </c>
      <c r="T1022" s="157" t="s">
        <v>1377</v>
      </c>
      <c r="U1022" s="157"/>
      <c r="V1022" s="122"/>
      <c r="W1022" s="122"/>
      <c r="X1022" s="118">
        <v>44652</v>
      </c>
      <c r="Y1022" s="118">
        <v>45016</v>
      </c>
    </row>
    <row r="1023" s="9" customFormat="1" customHeight="1" spans="1:25">
      <c r="A1023" s="98" t="s">
        <v>403</v>
      </c>
      <c r="B1023" s="96" t="s">
        <v>62</v>
      </c>
      <c r="C1023" s="98" t="s">
        <v>130</v>
      </c>
      <c r="D1023" s="98" t="s">
        <v>881</v>
      </c>
      <c r="E1023" s="147" t="s">
        <v>1362</v>
      </c>
      <c r="F1023" s="98" t="s">
        <v>1363</v>
      </c>
      <c r="G1023" s="151" t="s">
        <v>88</v>
      </c>
      <c r="H1023" s="19" t="s">
        <v>1368</v>
      </c>
      <c r="I1023" s="23" t="e">
        <f>VLOOKUP(H1023,'合同综合查询数据（3月返）'!$A:$A,1,FALSE)</f>
        <v>#N/A</v>
      </c>
      <c r="J1023" s="129" t="s">
        <v>1033</v>
      </c>
      <c r="K1023" s="129" t="s">
        <v>1363</v>
      </c>
      <c r="L1023" s="153" t="s">
        <v>1373</v>
      </c>
      <c r="M1023" s="26" t="s">
        <v>1374</v>
      </c>
      <c r="N1023" s="154" t="s">
        <v>1225</v>
      </c>
      <c r="O1023" s="155" t="s">
        <v>92</v>
      </c>
      <c r="P1023" s="174">
        <v>0</v>
      </c>
      <c r="Q1023" s="174">
        <v>1</v>
      </c>
      <c r="R1023" s="120">
        <f t="shared" si="28"/>
        <v>0</v>
      </c>
      <c r="S1023" s="117">
        <v>202303</v>
      </c>
      <c r="T1023" s="157" t="s">
        <v>1378</v>
      </c>
      <c r="U1023" s="157"/>
      <c r="V1023" s="122"/>
      <c r="W1023" s="122"/>
      <c r="X1023" s="118">
        <v>44652</v>
      </c>
      <c r="Y1023" s="118">
        <v>45016</v>
      </c>
    </row>
    <row r="1024" s="9" customFormat="1" customHeight="1" spans="1:25">
      <c r="A1024" s="98" t="s">
        <v>403</v>
      </c>
      <c r="B1024" s="96" t="s">
        <v>62</v>
      </c>
      <c r="C1024" s="98" t="s">
        <v>130</v>
      </c>
      <c r="D1024" s="98" t="s">
        <v>881</v>
      </c>
      <c r="E1024" s="147" t="s">
        <v>1362</v>
      </c>
      <c r="F1024" s="98" t="s">
        <v>1363</v>
      </c>
      <c r="G1024" s="151" t="s">
        <v>31</v>
      </c>
      <c r="H1024" s="19" t="s">
        <v>1368</v>
      </c>
      <c r="I1024" s="23" t="e">
        <f>VLOOKUP(H1024,'合同综合查询数据（3月返）'!$A:$A,1,FALSE)</f>
        <v>#N/A</v>
      </c>
      <c r="J1024" s="129" t="s">
        <v>1019</v>
      </c>
      <c r="K1024" s="129" t="s">
        <v>1363</v>
      </c>
      <c r="L1024" s="153" t="s">
        <v>1373</v>
      </c>
      <c r="M1024" s="26"/>
      <c r="N1024" s="154"/>
      <c r="O1024" s="155"/>
      <c r="P1024" s="174">
        <v>0</v>
      </c>
      <c r="Q1024" s="174">
        <v>32</v>
      </c>
      <c r="R1024" s="120">
        <f t="shared" si="28"/>
        <v>0</v>
      </c>
      <c r="S1024" s="117">
        <v>202303</v>
      </c>
      <c r="T1024" s="157" t="s">
        <v>1379</v>
      </c>
      <c r="U1024" s="157"/>
      <c r="V1024" s="122"/>
      <c r="W1024" s="122"/>
      <c r="X1024" s="118">
        <v>44652</v>
      </c>
      <c r="Y1024" s="118">
        <v>45016</v>
      </c>
    </row>
    <row r="1025" s="9" customFormat="1" customHeight="1" spans="1:25">
      <c r="A1025" s="98" t="s">
        <v>403</v>
      </c>
      <c r="B1025" s="96" t="s">
        <v>62</v>
      </c>
      <c r="C1025" s="98" t="s">
        <v>130</v>
      </c>
      <c r="D1025" s="98" t="s">
        <v>881</v>
      </c>
      <c r="E1025" s="147" t="s">
        <v>1362</v>
      </c>
      <c r="F1025" s="98" t="s">
        <v>1363</v>
      </c>
      <c r="G1025" s="151" t="s">
        <v>31</v>
      </c>
      <c r="H1025" s="19" t="s">
        <v>1368</v>
      </c>
      <c r="I1025" s="23" t="e">
        <f>VLOOKUP(H1025,'合同综合查询数据（3月返）'!$A:$A,1,FALSE)</f>
        <v>#N/A</v>
      </c>
      <c r="J1025" s="129" t="s">
        <v>1019</v>
      </c>
      <c r="K1025" s="129" t="s">
        <v>1363</v>
      </c>
      <c r="L1025" s="153" t="s">
        <v>1373</v>
      </c>
      <c r="M1025" s="26"/>
      <c r="N1025" s="154"/>
      <c r="O1025" s="155"/>
      <c r="P1025" s="174">
        <v>30</v>
      </c>
      <c r="Q1025" s="174">
        <v>736</v>
      </c>
      <c r="R1025" s="120">
        <f t="shared" si="28"/>
        <v>22080</v>
      </c>
      <c r="S1025" s="117">
        <v>202303</v>
      </c>
      <c r="T1025" s="157" t="s">
        <v>1379</v>
      </c>
      <c r="U1025" s="157"/>
      <c r="V1025" s="122"/>
      <c r="W1025" s="122"/>
      <c r="X1025" s="118">
        <v>44652</v>
      </c>
      <c r="Y1025" s="118">
        <v>45016</v>
      </c>
    </row>
    <row r="1026" s="9" customFormat="1" customHeight="1" spans="1:25">
      <c r="A1026" s="98" t="s">
        <v>403</v>
      </c>
      <c r="B1026" s="96" t="s">
        <v>62</v>
      </c>
      <c r="C1026" s="98" t="s">
        <v>130</v>
      </c>
      <c r="D1026" s="98" t="s">
        <v>881</v>
      </c>
      <c r="E1026" s="147" t="s">
        <v>1362</v>
      </c>
      <c r="F1026" s="98" t="s">
        <v>1363</v>
      </c>
      <c r="G1026" s="151" t="s">
        <v>88</v>
      </c>
      <c r="H1026" s="19" t="s">
        <v>1368</v>
      </c>
      <c r="I1026" s="23" t="e">
        <f>VLOOKUP(H1026,'合同综合查询数据（3月返）'!$A:$A,1,FALSE)</f>
        <v>#N/A</v>
      </c>
      <c r="J1026" s="129" t="s">
        <v>126</v>
      </c>
      <c r="K1026" s="129" t="s">
        <v>1380</v>
      </c>
      <c r="L1026" s="99" t="s">
        <v>1380</v>
      </c>
      <c r="M1026" s="26" t="s">
        <v>1381</v>
      </c>
      <c r="N1026" s="154">
        <v>43671</v>
      </c>
      <c r="O1026" s="155" t="s">
        <v>92</v>
      </c>
      <c r="P1026" s="174"/>
      <c r="Q1026" s="174">
        <v>8</v>
      </c>
      <c r="R1026" s="120">
        <f t="shared" si="28"/>
        <v>0</v>
      </c>
      <c r="S1026" s="117">
        <v>202303</v>
      </c>
      <c r="T1026" s="157" t="s">
        <v>1382</v>
      </c>
      <c r="U1026" s="157"/>
      <c r="V1026" s="122"/>
      <c r="W1026" s="122"/>
      <c r="X1026" s="118">
        <v>44652</v>
      </c>
      <c r="Y1026" s="118">
        <v>45016</v>
      </c>
    </row>
    <row r="1027" s="9" customFormat="1" customHeight="1" spans="1:25">
      <c r="A1027" s="98" t="s">
        <v>403</v>
      </c>
      <c r="B1027" s="96" t="s">
        <v>62</v>
      </c>
      <c r="C1027" s="98" t="s">
        <v>130</v>
      </c>
      <c r="D1027" s="98" t="s">
        <v>881</v>
      </c>
      <c r="E1027" s="147" t="s">
        <v>1362</v>
      </c>
      <c r="F1027" s="98" t="s">
        <v>1363</v>
      </c>
      <c r="G1027" s="151" t="s">
        <v>88</v>
      </c>
      <c r="H1027" s="19" t="s">
        <v>1368</v>
      </c>
      <c r="I1027" s="23" t="e">
        <f>VLOOKUP(H1027,'合同综合查询数据（3月返）'!$A:$A,1,FALSE)</f>
        <v>#N/A</v>
      </c>
      <c r="J1027" s="129" t="s">
        <v>126</v>
      </c>
      <c r="K1027" s="129" t="s">
        <v>1383</v>
      </c>
      <c r="L1027" s="99" t="s">
        <v>1384</v>
      </c>
      <c r="M1027" s="26" t="s">
        <v>1385</v>
      </c>
      <c r="N1027" s="154"/>
      <c r="O1027" s="155" t="s">
        <v>92</v>
      </c>
      <c r="P1027" s="174"/>
      <c r="Q1027" s="174">
        <v>10</v>
      </c>
      <c r="R1027" s="120">
        <f t="shared" si="28"/>
        <v>0</v>
      </c>
      <c r="S1027" s="117">
        <v>202303</v>
      </c>
      <c r="T1027" s="157" t="s">
        <v>1386</v>
      </c>
      <c r="U1027" s="157"/>
      <c r="V1027" s="122"/>
      <c r="W1027" s="122"/>
      <c r="X1027" s="118">
        <v>44652</v>
      </c>
      <c r="Y1027" s="118">
        <v>45016</v>
      </c>
    </row>
    <row r="1028" s="9" customFormat="1" customHeight="1" spans="1:25">
      <c r="A1028" s="98" t="s">
        <v>403</v>
      </c>
      <c r="B1028" s="96" t="s">
        <v>62</v>
      </c>
      <c r="C1028" s="98" t="s">
        <v>130</v>
      </c>
      <c r="D1028" s="98" t="s">
        <v>881</v>
      </c>
      <c r="E1028" s="147" t="s">
        <v>1362</v>
      </c>
      <c r="F1028" s="98" t="s">
        <v>1363</v>
      </c>
      <c r="G1028" s="151" t="s">
        <v>88</v>
      </c>
      <c r="H1028" s="19" t="s">
        <v>1368</v>
      </c>
      <c r="I1028" s="23" t="e">
        <f>VLOOKUP(H1028,'合同综合查询数据（3月返）'!$A:$A,1,FALSE)</f>
        <v>#N/A</v>
      </c>
      <c r="J1028" s="129" t="s">
        <v>126</v>
      </c>
      <c r="K1028" s="129" t="s">
        <v>1383</v>
      </c>
      <c r="L1028" s="99" t="s">
        <v>1384</v>
      </c>
      <c r="M1028" s="26" t="s">
        <v>1385</v>
      </c>
      <c r="N1028" s="154">
        <v>44377</v>
      </c>
      <c r="O1028" s="155" t="s">
        <v>92</v>
      </c>
      <c r="P1028" s="174"/>
      <c r="Q1028" s="174">
        <v>-7</v>
      </c>
      <c r="R1028" s="120">
        <f t="shared" si="28"/>
        <v>0</v>
      </c>
      <c r="S1028" s="117">
        <v>202303</v>
      </c>
      <c r="T1028" s="157" t="s">
        <v>1387</v>
      </c>
      <c r="U1028" s="157"/>
      <c r="V1028" s="122"/>
      <c r="W1028" s="122"/>
      <c r="X1028" s="118">
        <v>44652</v>
      </c>
      <c r="Y1028" s="118">
        <v>45016</v>
      </c>
    </row>
    <row r="1029" s="9" customFormat="1" customHeight="1" spans="1:25">
      <c r="A1029" s="98" t="s">
        <v>403</v>
      </c>
      <c r="B1029" s="96" t="s">
        <v>62</v>
      </c>
      <c r="C1029" s="98" t="s">
        <v>130</v>
      </c>
      <c r="D1029" s="98" t="s">
        <v>881</v>
      </c>
      <c r="E1029" s="147" t="s">
        <v>1362</v>
      </c>
      <c r="F1029" s="98" t="s">
        <v>1363</v>
      </c>
      <c r="G1029" s="151" t="s">
        <v>31</v>
      </c>
      <c r="H1029" s="19" t="s">
        <v>1368</v>
      </c>
      <c r="I1029" s="23" t="e">
        <f>VLOOKUP(H1029,'合同综合查询数据（3月返）'!$A:$A,1,FALSE)</f>
        <v>#N/A</v>
      </c>
      <c r="J1029" s="129" t="s">
        <v>33</v>
      </c>
      <c r="K1029" s="129" t="s">
        <v>1388</v>
      </c>
      <c r="L1029" s="153" t="s">
        <v>1389</v>
      </c>
      <c r="M1029" s="26" t="s">
        <v>1385</v>
      </c>
      <c r="N1029" s="154" t="s">
        <v>1225</v>
      </c>
      <c r="O1029" s="155" t="s">
        <v>37</v>
      </c>
      <c r="P1029" s="174"/>
      <c r="Q1029" s="174">
        <v>288</v>
      </c>
      <c r="R1029" s="120">
        <f t="shared" si="28"/>
        <v>0</v>
      </c>
      <c r="S1029" s="117">
        <v>202303</v>
      </c>
      <c r="T1029" s="157" t="s">
        <v>1390</v>
      </c>
      <c r="U1029" s="157"/>
      <c r="V1029" s="122"/>
      <c r="W1029" s="122"/>
      <c r="X1029" s="118">
        <v>44652</v>
      </c>
      <c r="Y1029" s="118">
        <v>45016</v>
      </c>
    </row>
    <row r="1030" s="9" customFormat="1" customHeight="1" spans="1:25">
      <c r="A1030" s="98" t="s">
        <v>403</v>
      </c>
      <c r="B1030" s="96" t="s">
        <v>62</v>
      </c>
      <c r="C1030" s="98" t="s">
        <v>130</v>
      </c>
      <c r="D1030" s="98" t="s">
        <v>881</v>
      </c>
      <c r="E1030" s="147" t="s">
        <v>1362</v>
      </c>
      <c r="F1030" s="98" t="s">
        <v>1363</v>
      </c>
      <c r="G1030" s="151" t="s">
        <v>31</v>
      </c>
      <c r="H1030" s="19" t="s">
        <v>1368</v>
      </c>
      <c r="I1030" s="23" t="e">
        <f>VLOOKUP(H1030,'合同综合查询数据（3月返）'!$A:$A,1,FALSE)</f>
        <v>#N/A</v>
      </c>
      <c r="J1030" s="129" t="s">
        <v>33</v>
      </c>
      <c r="K1030" s="129" t="s">
        <v>1388</v>
      </c>
      <c r="L1030" s="153" t="s">
        <v>1389</v>
      </c>
      <c r="M1030" s="26" t="s">
        <v>1385</v>
      </c>
      <c r="N1030" s="154">
        <v>44377</v>
      </c>
      <c r="O1030" s="155" t="s">
        <v>37</v>
      </c>
      <c r="P1030" s="174"/>
      <c r="Q1030" s="174">
        <v>-288</v>
      </c>
      <c r="R1030" s="120">
        <f t="shared" si="28"/>
        <v>0</v>
      </c>
      <c r="S1030" s="117">
        <v>202303</v>
      </c>
      <c r="T1030" s="157" t="s">
        <v>1391</v>
      </c>
      <c r="U1030" s="157"/>
      <c r="V1030" s="122"/>
      <c r="W1030" s="122"/>
      <c r="X1030" s="118">
        <v>44652</v>
      </c>
      <c r="Y1030" s="118">
        <v>45016</v>
      </c>
    </row>
    <row r="1031" s="9" customFormat="1" customHeight="1" spans="1:25">
      <c r="A1031" s="98" t="s">
        <v>403</v>
      </c>
      <c r="B1031" s="96" t="s">
        <v>62</v>
      </c>
      <c r="C1031" s="98" t="s">
        <v>130</v>
      </c>
      <c r="D1031" s="98" t="s">
        <v>881</v>
      </c>
      <c r="E1031" s="147" t="s">
        <v>1362</v>
      </c>
      <c r="F1031" s="98" t="s">
        <v>1363</v>
      </c>
      <c r="G1031" s="151" t="s">
        <v>88</v>
      </c>
      <c r="H1031" s="19" t="s">
        <v>1368</v>
      </c>
      <c r="I1031" s="23" t="e">
        <f>VLOOKUP(H1031,'合同综合查询数据（3月返）'!$A:$A,1,FALSE)</f>
        <v>#N/A</v>
      </c>
      <c r="J1031" s="129" t="s">
        <v>126</v>
      </c>
      <c r="K1031" s="129" t="s">
        <v>1383</v>
      </c>
      <c r="L1031" s="99" t="s">
        <v>1384</v>
      </c>
      <c r="M1031" s="26" t="s">
        <v>1385</v>
      </c>
      <c r="N1031" s="154"/>
      <c r="O1031" s="155" t="s">
        <v>92</v>
      </c>
      <c r="P1031" s="174"/>
      <c r="Q1031" s="174">
        <v>17</v>
      </c>
      <c r="R1031" s="120">
        <f t="shared" si="28"/>
        <v>0</v>
      </c>
      <c r="S1031" s="117">
        <v>202303</v>
      </c>
      <c r="T1031" s="157" t="s">
        <v>1392</v>
      </c>
      <c r="U1031" s="157"/>
      <c r="V1031" s="122"/>
      <c r="W1031" s="122"/>
      <c r="X1031" s="118">
        <v>44652</v>
      </c>
      <c r="Y1031" s="118">
        <v>45016</v>
      </c>
    </row>
    <row r="1032" s="9" customFormat="1" customHeight="1" spans="1:25">
      <c r="A1032" s="98" t="s">
        <v>403</v>
      </c>
      <c r="B1032" s="96" t="s">
        <v>62</v>
      </c>
      <c r="C1032" s="98" t="s">
        <v>130</v>
      </c>
      <c r="D1032" s="98" t="s">
        <v>881</v>
      </c>
      <c r="E1032" s="147" t="s">
        <v>1362</v>
      </c>
      <c r="F1032" s="98" t="s">
        <v>1363</v>
      </c>
      <c r="G1032" s="151" t="s">
        <v>31</v>
      </c>
      <c r="H1032" s="19" t="s">
        <v>1368</v>
      </c>
      <c r="I1032" s="23" t="e">
        <f>VLOOKUP(H1032,'合同综合查询数据（3月返）'!$A:$A,1,FALSE)</f>
        <v>#N/A</v>
      </c>
      <c r="J1032" s="129" t="s">
        <v>33</v>
      </c>
      <c r="K1032" s="129" t="s">
        <v>1383</v>
      </c>
      <c r="L1032" s="129" t="s">
        <v>1383</v>
      </c>
      <c r="M1032" s="26" t="s">
        <v>1385</v>
      </c>
      <c r="N1032" s="154" t="s">
        <v>1225</v>
      </c>
      <c r="O1032" s="155" t="s">
        <v>37</v>
      </c>
      <c r="P1032" s="174"/>
      <c r="Q1032" s="174">
        <v>512</v>
      </c>
      <c r="R1032" s="120">
        <f t="shared" si="28"/>
        <v>0</v>
      </c>
      <c r="S1032" s="117">
        <v>202303</v>
      </c>
      <c r="T1032" s="157" t="s">
        <v>1393</v>
      </c>
      <c r="U1032" s="157"/>
      <c r="V1032" s="122"/>
      <c r="W1032" s="122"/>
      <c r="X1032" s="118">
        <v>44652</v>
      </c>
      <c r="Y1032" s="118">
        <v>45016</v>
      </c>
    </row>
    <row r="1033" s="9" customFormat="1" customHeight="1" spans="1:25">
      <c r="A1033" s="98" t="s">
        <v>403</v>
      </c>
      <c r="B1033" s="96" t="s">
        <v>62</v>
      </c>
      <c r="C1033" s="98" t="s">
        <v>130</v>
      </c>
      <c r="D1033" s="98" t="s">
        <v>881</v>
      </c>
      <c r="E1033" s="147" t="s">
        <v>1362</v>
      </c>
      <c r="F1033" s="98" t="s">
        <v>1363</v>
      </c>
      <c r="G1033" s="151" t="s">
        <v>31</v>
      </c>
      <c r="H1033" s="19" t="s">
        <v>1368</v>
      </c>
      <c r="I1033" s="23" t="e">
        <f>VLOOKUP(H1033,'合同综合查询数据（3月返）'!$A:$A,1,FALSE)</f>
        <v>#N/A</v>
      </c>
      <c r="J1033" s="129" t="s">
        <v>33</v>
      </c>
      <c r="K1033" s="129" t="s">
        <v>1383</v>
      </c>
      <c r="L1033" s="129" t="s">
        <v>1383</v>
      </c>
      <c r="M1033" s="26" t="s">
        <v>1385</v>
      </c>
      <c r="N1033" s="154">
        <v>44153</v>
      </c>
      <c r="O1033" s="155" t="s">
        <v>37</v>
      </c>
      <c r="P1033" s="174"/>
      <c r="Q1033" s="174">
        <v>256</v>
      </c>
      <c r="R1033" s="120">
        <f t="shared" ref="R1033:R1096" si="29">ROUND(P1033*Q1033,2)</f>
        <v>0</v>
      </c>
      <c r="S1033" s="117">
        <v>202303</v>
      </c>
      <c r="T1033" s="157" t="s">
        <v>1394</v>
      </c>
      <c r="U1033" s="157"/>
      <c r="V1033" s="122"/>
      <c r="W1033" s="122"/>
      <c r="X1033" s="118">
        <v>44652</v>
      </c>
      <c r="Y1033" s="118">
        <v>45016</v>
      </c>
    </row>
    <row r="1034" s="10" customFormat="1" customHeight="1" spans="1:25">
      <c r="A1034" s="61" t="s">
        <v>399</v>
      </c>
      <c r="B1034" s="60" t="s">
        <v>62</v>
      </c>
      <c r="C1034" s="61" t="s">
        <v>130</v>
      </c>
      <c r="D1034" s="61" t="s">
        <v>881</v>
      </c>
      <c r="E1034" s="160" t="s">
        <v>1395</v>
      </c>
      <c r="F1034" s="61" t="s">
        <v>1396</v>
      </c>
      <c r="G1034" s="161" t="s">
        <v>31</v>
      </c>
      <c r="H1034" s="45" t="s">
        <v>1397</v>
      </c>
      <c r="I1034" s="47" t="e">
        <f>VLOOKUP(H1034,'合同综合查询数据（3月返）'!$A:$A,1,FALSE)</f>
        <v>#N/A</v>
      </c>
      <c r="J1034" s="135" t="s">
        <v>33</v>
      </c>
      <c r="K1034" s="135" t="s">
        <v>1398</v>
      </c>
      <c r="L1034" s="135" t="s">
        <v>1398</v>
      </c>
      <c r="M1034" s="50" t="s">
        <v>1385</v>
      </c>
      <c r="N1034" s="165" t="s">
        <v>1225</v>
      </c>
      <c r="O1034" s="172" t="s">
        <v>37</v>
      </c>
      <c r="P1034" s="196"/>
      <c r="Q1034" s="196">
        <v>256</v>
      </c>
      <c r="R1034" s="68">
        <f t="shared" si="29"/>
        <v>0</v>
      </c>
      <c r="S1034" s="70">
        <v>202303</v>
      </c>
      <c r="T1034" s="170" t="s">
        <v>1399</v>
      </c>
      <c r="U1034" s="170"/>
      <c r="V1034" s="146"/>
      <c r="W1034" s="146"/>
      <c r="X1034" s="73"/>
      <c r="Y1034" s="73"/>
    </row>
    <row r="1035" s="9" customFormat="1" customHeight="1" spans="1:25">
      <c r="A1035" s="98" t="s">
        <v>403</v>
      </c>
      <c r="B1035" s="96" t="s">
        <v>62</v>
      </c>
      <c r="C1035" s="98" t="s">
        <v>130</v>
      </c>
      <c r="D1035" s="98" t="s">
        <v>881</v>
      </c>
      <c r="E1035" s="147" t="s">
        <v>1362</v>
      </c>
      <c r="F1035" s="98" t="s">
        <v>1363</v>
      </c>
      <c r="G1035" s="151" t="s">
        <v>88</v>
      </c>
      <c r="H1035" s="19" t="s">
        <v>1368</v>
      </c>
      <c r="I1035" s="23" t="e">
        <f>VLOOKUP(H1035,'合同综合查询数据（3月返）'!$A:$A,1,FALSE)</f>
        <v>#N/A</v>
      </c>
      <c r="J1035" s="129" t="s">
        <v>126</v>
      </c>
      <c r="K1035" s="129" t="s">
        <v>1380</v>
      </c>
      <c r="L1035" s="99" t="s">
        <v>1380</v>
      </c>
      <c r="M1035" s="26" t="s">
        <v>1381</v>
      </c>
      <c r="N1035" s="154">
        <v>44158</v>
      </c>
      <c r="O1035" s="155" t="s">
        <v>92</v>
      </c>
      <c r="P1035" s="174"/>
      <c r="Q1035" s="174">
        <v>-3</v>
      </c>
      <c r="R1035" s="120">
        <f t="shared" si="29"/>
        <v>0</v>
      </c>
      <c r="S1035" s="117">
        <v>202303</v>
      </c>
      <c r="T1035" s="157" t="s">
        <v>1400</v>
      </c>
      <c r="U1035" s="157"/>
      <c r="V1035" s="122"/>
      <c r="W1035" s="122"/>
      <c r="X1035" s="118">
        <v>44652</v>
      </c>
      <c r="Y1035" s="118">
        <v>45016</v>
      </c>
    </row>
    <row r="1036" s="9" customFormat="1" customHeight="1" spans="1:25">
      <c r="A1036" s="98" t="s">
        <v>403</v>
      </c>
      <c r="B1036" s="96" t="s">
        <v>62</v>
      </c>
      <c r="C1036" s="98" t="s">
        <v>130</v>
      </c>
      <c r="D1036" s="98" t="s">
        <v>881</v>
      </c>
      <c r="E1036" s="147" t="s">
        <v>1362</v>
      </c>
      <c r="F1036" s="98" t="s">
        <v>1363</v>
      </c>
      <c r="G1036" s="151" t="s">
        <v>88</v>
      </c>
      <c r="H1036" s="19" t="s">
        <v>1368</v>
      </c>
      <c r="I1036" s="23" t="e">
        <f>VLOOKUP(H1036,'合同综合查询数据（3月返）'!$A:$A,1,FALSE)</f>
        <v>#N/A</v>
      </c>
      <c r="J1036" s="129" t="s">
        <v>126</v>
      </c>
      <c r="K1036" s="129" t="s">
        <v>1380</v>
      </c>
      <c r="L1036" s="99" t="s">
        <v>1380</v>
      </c>
      <c r="M1036" s="26" t="s">
        <v>1381</v>
      </c>
      <c r="N1036" s="154">
        <v>44295</v>
      </c>
      <c r="O1036" s="155" t="s">
        <v>92</v>
      </c>
      <c r="P1036" s="174"/>
      <c r="Q1036" s="174">
        <v>2</v>
      </c>
      <c r="R1036" s="120">
        <f t="shared" si="29"/>
        <v>0</v>
      </c>
      <c r="S1036" s="117">
        <v>202303</v>
      </c>
      <c r="T1036" s="157" t="s">
        <v>1401</v>
      </c>
      <c r="U1036" s="157"/>
      <c r="V1036" s="122"/>
      <c r="W1036" s="122"/>
      <c r="X1036" s="118">
        <v>44652</v>
      </c>
      <c r="Y1036" s="118">
        <v>45016</v>
      </c>
    </row>
    <row r="1037" s="9" customFormat="1" customHeight="1" spans="1:25">
      <c r="A1037" s="98" t="s">
        <v>403</v>
      </c>
      <c r="B1037" s="96" t="s">
        <v>62</v>
      </c>
      <c r="C1037" s="98" t="s">
        <v>130</v>
      </c>
      <c r="D1037" s="98" t="s">
        <v>881</v>
      </c>
      <c r="E1037" s="147" t="s">
        <v>1362</v>
      </c>
      <c r="F1037" s="98" t="s">
        <v>1363</v>
      </c>
      <c r="G1037" s="151" t="s">
        <v>31</v>
      </c>
      <c r="H1037" s="19" t="s">
        <v>1368</v>
      </c>
      <c r="I1037" s="23" t="e">
        <f>VLOOKUP(H1037,'合同综合查询数据（3月返）'!$A:$A,1,FALSE)</f>
        <v>#N/A</v>
      </c>
      <c r="J1037" s="129" t="s">
        <v>33</v>
      </c>
      <c r="K1037" s="129" t="s">
        <v>1380</v>
      </c>
      <c r="L1037" s="129" t="s">
        <v>1380</v>
      </c>
      <c r="M1037" s="26" t="s">
        <v>1385</v>
      </c>
      <c r="N1037" s="154" t="s">
        <v>1225</v>
      </c>
      <c r="O1037" s="155" t="s">
        <v>37</v>
      </c>
      <c r="P1037" s="174"/>
      <c r="Q1037" s="174">
        <v>544</v>
      </c>
      <c r="R1037" s="120">
        <f t="shared" si="29"/>
        <v>0</v>
      </c>
      <c r="S1037" s="117">
        <v>202303</v>
      </c>
      <c r="T1037" s="157" t="s">
        <v>1402</v>
      </c>
      <c r="U1037" s="157"/>
      <c r="V1037" s="122"/>
      <c r="W1037" s="122"/>
      <c r="X1037" s="118">
        <v>44652</v>
      </c>
      <c r="Y1037" s="118">
        <v>45016</v>
      </c>
    </row>
    <row r="1038" s="9" customFormat="1" customHeight="1" spans="1:25">
      <c r="A1038" s="98" t="s">
        <v>403</v>
      </c>
      <c r="B1038" s="96" t="s">
        <v>62</v>
      </c>
      <c r="C1038" s="98" t="s">
        <v>130</v>
      </c>
      <c r="D1038" s="98" t="s">
        <v>881</v>
      </c>
      <c r="E1038" s="147" t="s">
        <v>1362</v>
      </c>
      <c r="F1038" s="98" t="s">
        <v>1363</v>
      </c>
      <c r="G1038" s="151" t="s">
        <v>31</v>
      </c>
      <c r="H1038" s="19" t="s">
        <v>1368</v>
      </c>
      <c r="I1038" s="23" t="e">
        <f>VLOOKUP(H1038,'合同综合查询数据（3月返）'!$A:$A,1,FALSE)</f>
        <v>#N/A</v>
      </c>
      <c r="J1038" s="129" t="s">
        <v>33</v>
      </c>
      <c r="K1038" s="129" t="s">
        <v>1380</v>
      </c>
      <c r="L1038" s="129" t="s">
        <v>1380</v>
      </c>
      <c r="M1038" s="26" t="s">
        <v>1385</v>
      </c>
      <c r="N1038" s="154">
        <v>44295</v>
      </c>
      <c r="O1038" s="155" t="s">
        <v>37</v>
      </c>
      <c r="P1038" s="174"/>
      <c r="Q1038" s="174">
        <v>128</v>
      </c>
      <c r="R1038" s="120">
        <f t="shared" si="29"/>
        <v>0</v>
      </c>
      <c r="S1038" s="117">
        <v>202303</v>
      </c>
      <c r="T1038" s="157" t="s">
        <v>1403</v>
      </c>
      <c r="U1038" s="157"/>
      <c r="V1038" s="122"/>
      <c r="W1038" s="122"/>
      <c r="X1038" s="118">
        <v>44652</v>
      </c>
      <c r="Y1038" s="118">
        <v>45016</v>
      </c>
    </row>
    <row r="1039" s="9" customFormat="1" customHeight="1" spans="1:25">
      <c r="A1039" s="98" t="s">
        <v>403</v>
      </c>
      <c r="B1039" s="96" t="s">
        <v>62</v>
      </c>
      <c r="C1039" s="98" t="s">
        <v>130</v>
      </c>
      <c r="D1039" s="98" t="s">
        <v>881</v>
      </c>
      <c r="E1039" s="147" t="s">
        <v>1362</v>
      </c>
      <c r="F1039" s="98" t="s">
        <v>1363</v>
      </c>
      <c r="G1039" s="151" t="s">
        <v>31</v>
      </c>
      <c r="H1039" s="19" t="s">
        <v>1368</v>
      </c>
      <c r="I1039" s="23" t="e">
        <f>VLOOKUP(H1039,'合同综合查询数据（3月返）'!$A:$A,1,FALSE)</f>
        <v>#N/A</v>
      </c>
      <c r="J1039" s="129" t="s">
        <v>33</v>
      </c>
      <c r="K1039" s="129" t="s">
        <v>1380</v>
      </c>
      <c r="L1039" s="129" t="s">
        <v>1380</v>
      </c>
      <c r="M1039" s="26" t="s">
        <v>1385</v>
      </c>
      <c r="N1039" s="154">
        <v>44421</v>
      </c>
      <c r="O1039" s="155" t="s">
        <v>37</v>
      </c>
      <c r="P1039" s="174"/>
      <c r="Q1039" s="174">
        <v>128</v>
      </c>
      <c r="R1039" s="120">
        <f t="shared" si="29"/>
        <v>0</v>
      </c>
      <c r="S1039" s="117">
        <v>202303</v>
      </c>
      <c r="T1039" s="157" t="s">
        <v>1404</v>
      </c>
      <c r="U1039" s="157"/>
      <c r="V1039" s="122"/>
      <c r="W1039" s="122"/>
      <c r="X1039" s="118">
        <v>44652</v>
      </c>
      <c r="Y1039" s="118">
        <v>45016</v>
      </c>
    </row>
    <row r="1040" s="9" customFormat="1" customHeight="1" spans="1:25">
      <c r="A1040" s="98" t="s">
        <v>403</v>
      </c>
      <c r="B1040" s="96" t="s">
        <v>62</v>
      </c>
      <c r="C1040" s="98" t="s">
        <v>130</v>
      </c>
      <c r="D1040" s="98" t="s">
        <v>881</v>
      </c>
      <c r="E1040" s="147" t="s">
        <v>1362</v>
      </c>
      <c r="F1040" s="98" t="s">
        <v>1363</v>
      </c>
      <c r="G1040" s="151" t="s">
        <v>31</v>
      </c>
      <c r="H1040" s="19" t="s">
        <v>1368</v>
      </c>
      <c r="I1040" s="23" t="e">
        <f>VLOOKUP(H1040,'合同综合查询数据（3月返）'!$A:$A,1,FALSE)</f>
        <v>#N/A</v>
      </c>
      <c r="J1040" s="129" t="s">
        <v>451</v>
      </c>
      <c r="K1040" s="129" t="s">
        <v>1405</v>
      </c>
      <c r="L1040" s="129" t="s">
        <v>1405</v>
      </c>
      <c r="M1040" s="26" t="s">
        <v>1406</v>
      </c>
      <c r="N1040" s="154" t="s">
        <v>1225</v>
      </c>
      <c r="O1040" s="155" t="s">
        <v>37</v>
      </c>
      <c r="P1040" s="174"/>
      <c r="Q1040" s="174">
        <v>768</v>
      </c>
      <c r="R1040" s="120">
        <f t="shared" si="29"/>
        <v>0</v>
      </c>
      <c r="S1040" s="117">
        <v>202303</v>
      </c>
      <c r="T1040" s="157" t="s">
        <v>1407</v>
      </c>
      <c r="U1040" s="157"/>
      <c r="V1040" s="122"/>
      <c r="W1040" s="122"/>
      <c r="X1040" s="118">
        <v>44652</v>
      </c>
      <c r="Y1040" s="118">
        <v>45016</v>
      </c>
    </row>
    <row r="1041" s="79" customFormat="1" customHeight="1" spans="1:25">
      <c r="A1041" s="98" t="s">
        <v>403</v>
      </c>
      <c r="B1041" s="96" t="s">
        <v>62</v>
      </c>
      <c r="C1041" s="98" t="s">
        <v>130</v>
      </c>
      <c r="D1041" s="98" t="s">
        <v>881</v>
      </c>
      <c r="E1041" s="147" t="s">
        <v>1362</v>
      </c>
      <c r="F1041" s="98" t="s">
        <v>1363</v>
      </c>
      <c r="G1041" s="151" t="s">
        <v>302</v>
      </c>
      <c r="H1041" s="19" t="s">
        <v>1408</v>
      </c>
      <c r="I1041" s="23" t="e">
        <f>VLOOKUP(H1041,'合同综合查询数据（3月返）'!$A:$A,1,FALSE)</f>
        <v>#N/A</v>
      </c>
      <c r="J1041" s="129" t="s">
        <v>302</v>
      </c>
      <c r="K1041" s="129" t="s">
        <v>1409</v>
      </c>
      <c r="L1041" s="153"/>
      <c r="M1041" s="26"/>
      <c r="N1041" s="154">
        <v>43544</v>
      </c>
      <c r="O1041" s="155" t="s">
        <v>1366</v>
      </c>
      <c r="P1041" s="174">
        <v>75000</v>
      </c>
      <c r="Q1041" s="174">
        <v>2</v>
      </c>
      <c r="R1041" s="120">
        <f t="shared" si="29"/>
        <v>150000</v>
      </c>
      <c r="S1041" s="117">
        <v>202303</v>
      </c>
      <c r="T1041" s="157" t="s">
        <v>1410</v>
      </c>
      <c r="U1041" s="157"/>
      <c r="V1041" s="122"/>
      <c r="W1041" s="122"/>
      <c r="X1041" s="118"/>
      <c r="Y1041" s="118"/>
    </row>
    <row r="1042" s="79" customFormat="1" customHeight="1" spans="1:25">
      <c r="A1042" s="96" t="s">
        <v>403</v>
      </c>
      <c r="B1042" s="98" t="s">
        <v>62</v>
      </c>
      <c r="C1042" s="96" t="s">
        <v>744</v>
      </c>
      <c r="D1042" s="96" t="s">
        <v>566</v>
      </c>
      <c r="E1042" s="105" t="s">
        <v>1411</v>
      </c>
      <c r="F1042" s="96" t="s">
        <v>1412</v>
      </c>
      <c r="G1042" s="96" t="s">
        <v>88</v>
      </c>
      <c r="H1042" s="195" t="s">
        <v>1413</v>
      </c>
      <c r="I1042" s="23" t="e">
        <f>VLOOKUP(H1042,'合同综合查询数据（3月返）'!$A:$A,1,FALSE)</f>
        <v>#N/A</v>
      </c>
      <c r="J1042" s="152" t="s">
        <v>1033</v>
      </c>
      <c r="K1042" s="94" t="s">
        <v>744</v>
      </c>
      <c r="L1042" s="96" t="s">
        <v>1412</v>
      </c>
      <c r="M1042" s="26" t="s">
        <v>1414</v>
      </c>
      <c r="N1042" s="190">
        <v>43040</v>
      </c>
      <c r="O1042" s="197" t="s">
        <v>624</v>
      </c>
      <c r="P1042" s="198">
        <v>5300</v>
      </c>
      <c r="Q1042" s="119">
        <v>10</v>
      </c>
      <c r="R1042" s="119">
        <f t="shared" si="29"/>
        <v>53000</v>
      </c>
      <c r="S1042" s="117">
        <v>202303</v>
      </c>
      <c r="T1042" s="184" t="s">
        <v>1415</v>
      </c>
      <c r="U1042" s="184"/>
      <c r="V1042" s="122"/>
      <c r="W1042" s="122"/>
      <c r="X1042" s="118">
        <v>44197</v>
      </c>
      <c r="Y1042" s="118">
        <v>44926</v>
      </c>
    </row>
    <row r="1043" s="79" customFormat="1" customHeight="1" spans="1:25">
      <c r="A1043" s="96" t="s">
        <v>403</v>
      </c>
      <c r="B1043" s="98" t="s">
        <v>62</v>
      </c>
      <c r="C1043" s="96" t="s">
        <v>744</v>
      </c>
      <c r="D1043" s="96" t="s">
        <v>566</v>
      </c>
      <c r="E1043" s="105" t="s">
        <v>1411</v>
      </c>
      <c r="F1043" s="96" t="s">
        <v>1412</v>
      </c>
      <c r="G1043" s="96" t="s">
        <v>88</v>
      </c>
      <c r="H1043" s="195" t="s">
        <v>1413</v>
      </c>
      <c r="I1043" s="23" t="e">
        <f>VLOOKUP(H1043,'合同综合查询数据（3月返）'!$A:$A,1,FALSE)</f>
        <v>#N/A</v>
      </c>
      <c r="J1043" s="152" t="s">
        <v>1033</v>
      </c>
      <c r="K1043" s="94" t="s">
        <v>744</v>
      </c>
      <c r="L1043" s="96" t="s">
        <v>1412</v>
      </c>
      <c r="M1043" s="26" t="s">
        <v>1414</v>
      </c>
      <c r="N1043" s="190">
        <v>43040</v>
      </c>
      <c r="O1043" s="197" t="s">
        <v>624</v>
      </c>
      <c r="P1043" s="198">
        <v>5300</v>
      </c>
      <c r="Q1043" s="119">
        <v>6</v>
      </c>
      <c r="R1043" s="119">
        <f t="shared" si="29"/>
        <v>31800</v>
      </c>
      <c r="S1043" s="117">
        <v>202303</v>
      </c>
      <c r="T1043" s="175" t="s">
        <v>1416</v>
      </c>
      <c r="U1043" s="175"/>
      <c r="V1043" s="122"/>
      <c r="W1043" s="122"/>
      <c r="X1043" s="118">
        <v>44197</v>
      </c>
      <c r="Y1043" s="118">
        <v>44926</v>
      </c>
    </row>
    <row r="1044" s="79" customFormat="1" customHeight="1" spans="1:25">
      <c r="A1044" s="96" t="s">
        <v>403</v>
      </c>
      <c r="B1044" s="98" t="s">
        <v>62</v>
      </c>
      <c r="C1044" s="96" t="s">
        <v>744</v>
      </c>
      <c r="D1044" s="96" t="s">
        <v>566</v>
      </c>
      <c r="E1044" s="105" t="s">
        <v>1411</v>
      </c>
      <c r="F1044" s="96" t="s">
        <v>1412</v>
      </c>
      <c r="G1044" s="96" t="s">
        <v>88</v>
      </c>
      <c r="H1044" s="195" t="s">
        <v>1413</v>
      </c>
      <c r="I1044" s="23" t="e">
        <f>VLOOKUP(H1044,'合同综合查询数据（3月返）'!$A:$A,1,FALSE)</f>
        <v>#N/A</v>
      </c>
      <c r="J1044" s="152" t="s">
        <v>1033</v>
      </c>
      <c r="K1044" s="94" t="s">
        <v>744</v>
      </c>
      <c r="L1044" s="96" t="s">
        <v>1412</v>
      </c>
      <c r="M1044" s="26" t="s">
        <v>1414</v>
      </c>
      <c r="N1044" s="190">
        <v>43793</v>
      </c>
      <c r="O1044" s="197" t="s">
        <v>624</v>
      </c>
      <c r="P1044" s="198">
        <v>5300</v>
      </c>
      <c r="Q1044" s="119">
        <v>-3</v>
      </c>
      <c r="R1044" s="119">
        <f t="shared" si="29"/>
        <v>-15900</v>
      </c>
      <c r="S1044" s="117">
        <v>202303</v>
      </c>
      <c r="T1044" s="201" t="s">
        <v>1417</v>
      </c>
      <c r="U1044" s="201"/>
      <c r="V1044" s="122"/>
      <c r="W1044" s="122"/>
      <c r="X1044" s="118">
        <v>44197</v>
      </c>
      <c r="Y1044" s="118">
        <v>44926</v>
      </c>
    </row>
    <row r="1045" s="79" customFormat="1" customHeight="1" spans="1:25">
      <c r="A1045" s="96" t="s">
        <v>403</v>
      </c>
      <c r="B1045" s="98" t="s">
        <v>62</v>
      </c>
      <c r="C1045" s="96" t="s">
        <v>744</v>
      </c>
      <c r="D1045" s="96" t="s">
        <v>566</v>
      </c>
      <c r="E1045" s="105" t="s">
        <v>1411</v>
      </c>
      <c r="F1045" s="96" t="s">
        <v>1412</v>
      </c>
      <c r="G1045" s="96" t="s">
        <v>88</v>
      </c>
      <c r="H1045" s="195" t="s">
        <v>1413</v>
      </c>
      <c r="I1045" s="23" t="e">
        <f>VLOOKUP(H1045,'合同综合查询数据（3月返）'!$A:$A,1,FALSE)</f>
        <v>#N/A</v>
      </c>
      <c r="J1045" s="152" t="s">
        <v>1033</v>
      </c>
      <c r="K1045" s="94" t="s">
        <v>744</v>
      </c>
      <c r="L1045" s="96" t="s">
        <v>1412</v>
      </c>
      <c r="M1045" s="26" t="s">
        <v>1414</v>
      </c>
      <c r="N1045" s="190">
        <v>44773</v>
      </c>
      <c r="O1045" s="197" t="s">
        <v>624</v>
      </c>
      <c r="P1045" s="198">
        <v>5300</v>
      </c>
      <c r="Q1045" s="119">
        <v>-13</v>
      </c>
      <c r="R1045" s="119">
        <f t="shared" si="29"/>
        <v>-68900</v>
      </c>
      <c r="S1045" s="117">
        <v>202303</v>
      </c>
      <c r="T1045" s="201" t="s">
        <v>1418</v>
      </c>
      <c r="U1045" s="201"/>
      <c r="V1045" s="122"/>
      <c r="W1045" s="122"/>
      <c r="X1045" s="118">
        <v>44197</v>
      </c>
      <c r="Y1045" s="118">
        <v>44926</v>
      </c>
    </row>
    <row r="1046" s="79" customFormat="1" customHeight="1" spans="1:25">
      <c r="A1046" s="96" t="s">
        <v>403</v>
      </c>
      <c r="B1046" s="98" t="s">
        <v>62</v>
      </c>
      <c r="C1046" s="96" t="s">
        <v>744</v>
      </c>
      <c r="D1046" s="96" t="s">
        <v>566</v>
      </c>
      <c r="E1046" s="105" t="s">
        <v>1411</v>
      </c>
      <c r="F1046" s="96" t="s">
        <v>1419</v>
      </c>
      <c r="G1046" s="96" t="s">
        <v>88</v>
      </c>
      <c r="H1046" s="195" t="s">
        <v>1420</v>
      </c>
      <c r="I1046" s="23" t="e">
        <f>VLOOKUP(H1046,'合同综合查询数据（3月返）'!$A:$A,1,FALSE)</f>
        <v>#N/A</v>
      </c>
      <c r="J1046" s="152" t="s">
        <v>126</v>
      </c>
      <c r="K1046" s="94" t="s">
        <v>1421</v>
      </c>
      <c r="L1046" s="96" t="s">
        <v>1422</v>
      </c>
      <c r="M1046" s="26" t="s">
        <v>1423</v>
      </c>
      <c r="N1046" s="190">
        <v>42915</v>
      </c>
      <c r="O1046" s="199" t="s">
        <v>1424</v>
      </c>
      <c r="P1046" s="198">
        <v>6000</v>
      </c>
      <c r="Q1046" s="119">
        <v>4</v>
      </c>
      <c r="R1046" s="119">
        <f t="shared" si="29"/>
        <v>24000</v>
      </c>
      <c r="S1046" s="117">
        <v>202303</v>
      </c>
      <c r="T1046" s="184" t="s">
        <v>1425</v>
      </c>
      <c r="U1046" s="184"/>
      <c r="V1046" s="122"/>
      <c r="W1046" s="122"/>
      <c r="X1046" s="118">
        <v>44774</v>
      </c>
      <c r="Y1046" s="118">
        <v>45077</v>
      </c>
    </row>
    <row r="1047" s="79" customFormat="1" customHeight="1" spans="1:25">
      <c r="A1047" s="96" t="s">
        <v>403</v>
      </c>
      <c r="B1047" s="98" t="s">
        <v>62</v>
      </c>
      <c r="C1047" s="96" t="s">
        <v>744</v>
      </c>
      <c r="D1047" s="96" t="s">
        <v>566</v>
      </c>
      <c r="E1047" s="105" t="s">
        <v>1411</v>
      </c>
      <c r="F1047" s="96" t="s">
        <v>1419</v>
      </c>
      <c r="G1047" s="96" t="s">
        <v>88</v>
      </c>
      <c r="H1047" s="195" t="s">
        <v>1420</v>
      </c>
      <c r="I1047" s="23" t="e">
        <f>VLOOKUP(H1047,'合同综合查询数据（3月返）'!$A:$A,1,FALSE)</f>
        <v>#N/A</v>
      </c>
      <c r="J1047" s="152" t="s">
        <v>1033</v>
      </c>
      <c r="K1047" s="94" t="s">
        <v>1421</v>
      </c>
      <c r="L1047" s="96" t="s">
        <v>1422</v>
      </c>
      <c r="M1047" s="26" t="s">
        <v>1423</v>
      </c>
      <c r="N1047" s="190">
        <v>42915</v>
      </c>
      <c r="O1047" s="199" t="s">
        <v>1424</v>
      </c>
      <c r="P1047" s="198">
        <v>6000</v>
      </c>
      <c r="Q1047" s="119">
        <v>5</v>
      </c>
      <c r="R1047" s="119">
        <f t="shared" si="29"/>
        <v>30000</v>
      </c>
      <c r="S1047" s="117">
        <v>202303</v>
      </c>
      <c r="T1047" s="184" t="s">
        <v>1426</v>
      </c>
      <c r="U1047" s="184"/>
      <c r="V1047" s="122"/>
      <c r="W1047" s="122"/>
      <c r="X1047" s="118">
        <v>44774</v>
      </c>
      <c r="Y1047" s="118">
        <v>45077</v>
      </c>
    </row>
    <row r="1048" s="79" customFormat="1" customHeight="1" spans="1:25">
      <c r="A1048" s="96" t="s">
        <v>403</v>
      </c>
      <c r="B1048" s="98" t="s">
        <v>62</v>
      </c>
      <c r="C1048" s="96" t="s">
        <v>744</v>
      </c>
      <c r="D1048" s="96" t="s">
        <v>566</v>
      </c>
      <c r="E1048" s="105" t="s">
        <v>1411</v>
      </c>
      <c r="F1048" s="96" t="s">
        <v>1419</v>
      </c>
      <c r="G1048" s="96" t="s">
        <v>88</v>
      </c>
      <c r="H1048" s="195" t="s">
        <v>1420</v>
      </c>
      <c r="I1048" s="23" t="e">
        <f>VLOOKUP(H1048,'合同综合查询数据（3月返）'!$A:$A,1,FALSE)</f>
        <v>#N/A</v>
      </c>
      <c r="J1048" s="152" t="s">
        <v>126</v>
      </c>
      <c r="K1048" s="94" t="s">
        <v>1421</v>
      </c>
      <c r="L1048" s="96" t="s">
        <v>1422</v>
      </c>
      <c r="M1048" s="26" t="s">
        <v>1423</v>
      </c>
      <c r="N1048" s="190">
        <v>43654</v>
      </c>
      <c r="O1048" s="199" t="s">
        <v>1424</v>
      </c>
      <c r="P1048" s="198">
        <v>6000</v>
      </c>
      <c r="Q1048" s="119">
        <v>4</v>
      </c>
      <c r="R1048" s="119">
        <f t="shared" si="29"/>
        <v>24000</v>
      </c>
      <c r="S1048" s="117">
        <v>202303</v>
      </c>
      <c r="T1048" s="184" t="s">
        <v>1427</v>
      </c>
      <c r="U1048" s="184"/>
      <c r="V1048" s="122"/>
      <c r="W1048" s="122"/>
      <c r="X1048" s="118">
        <v>44774</v>
      </c>
      <c r="Y1048" s="118">
        <v>45077</v>
      </c>
    </row>
    <row r="1049" s="79" customFormat="1" customHeight="1" spans="1:25">
      <c r="A1049" s="96" t="s">
        <v>403</v>
      </c>
      <c r="B1049" s="98" t="s">
        <v>62</v>
      </c>
      <c r="C1049" s="96" t="s">
        <v>744</v>
      </c>
      <c r="D1049" s="96" t="s">
        <v>566</v>
      </c>
      <c r="E1049" s="105" t="s">
        <v>1411</v>
      </c>
      <c r="F1049" s="96" t="s">
        <v>1419</v>
      </c>
      <c r="G1049" s="96" t="s">
        <v>88</v>
      </c>
      <c r="H1049" s="195" t="s">
        <v>1420</v>
      </c>
      <c r="I1049" s="23" t="e">
        <f>VLOOKUP(H1049,'合同综合查询数据（3月返）'!$A:$A,1,FALSE)</f>
        <v>#N/A</v>
      </c>
      <c r="J1049" s="152" t="s">
        <v>126</v>
      </c>
      <c r="K1049" s="94" t="s">
        <v>1421</v>
      </c>
      <c r="L1049" s="99" t="s">
        <v>1428</v>
      </c>
      <c r="M1049" s="26" t="s">
        <v>1423</v>
      </c>
      <c r="N1049" s="190">
        <v>43654</v>
      </c>
      <c r="O1049" s="199" t="s">
        <v>1424</v>
      </c>
      <c r="P1049" s="198">
        <v>6000</v>
      </c>
      <c r="Q1049" s="119">
        <v>6</v>
      </c>
      <c r="R1049" s="119">
        <f t="shared" si="29"/>
        <v>36000</v>
      </c>
      <c r="S1049" s="117">
        <v>202303</v>
      </c>
      <c r="T1049" s="184" t="s">
        <v>1429</v>
      </c>
      <c r="U1049" s="184"/>
      <c r="V1049" s="122"/>
      <c r="W1049" s="122"/>
      <c r="X1049" s="118">
        <v>44774</v>
      </c>
      <c r="Y1049" s="118">
        <v>45077</v>
      </c>
    </row>
    <row r="1050" s="79" customFormat="1" customHeight="1" spans="1:25">
      <c r="A1050" s="96" t="s">
        <v>403</v>
      </c>
      <c r="B1050" s="98" t="s">
        <v>62</v>
      </c>
      <c r="C1050" s="96" t="s">
        <v>744</v>
      </c>
      <c r="D1050" s="96" t="s">
        <v>566</v>
      </c>
      <c r="E1050" s="105" t="s">
        <v>1411</v>
      </c>
      <c r="F1050" s="96" t="s">
        <v>1419</v>
      </c>
      <c r="G1050" s="96" t="s">
        <v>88</v>
      </c>
      <c r="H1050" s="195" t="s">
        <v>1420</v>
      </c>
      <c r="I1050" s="23" t="e">
        <f>VLOOKUP(H1050,'合同综合查询数据（3月返）'!$A:$A,1,FALSE)</f>
        <v>#N/A</v>
      </c>
      <c r="J1050" s="152" t="s">
        <v>126</v>
      </c>
      <c r="K1050" s="94" t="s">
        <v>1421</v>
      </c>
      <c r="L1050" s="99" t="s">
        <v>1428</v>
      </c>
      <c r="M1050" s="26" t="s">
        <v>1423</v>
      </c>
      <c r="N1050" s="190">
        <v>44804</v>
      </c>
      <c r="O1050" s="199" t="s">
        <v>1424</v>
      </c>
      <c r="P1050" s="198">
        <v>6000</v>
      </c>
      <c r="Q1050" s="119">
        <v>-4</v>
      </c>
      <c r="R1050" s="119">
        <f t="shared" si="29"/>
        <v>-24000</v>
      </c>
      <c r="S1050" s="117">
        <v>202303</v>
      </c>
      <c r="T1050" s="184" t="s">
        <v>1430</v>
      </c>
      <c r="U1050" s="184"/>
      <c r="V1050" s="122"/>
      <c r="W1050" s="122"/>
      <c r="X1050" s="118">
        <v>44774</v>
      </c>
      <c r="Y1050" s="118">
        <v>45077</v>
      </c>
    </row>
    <row r="1051" s="79" customFormat="1" customHeight="1" spans="1:25">
      <c r="A1051" s="96" t="s">
        <v>403</v>
      </c>
      <c r="B1051" s="98" t="s">
        <v>62</v>
      </c>
      <c r="C1051" s="96" t="s">
        <v>744</v>
      </c>
      <c r="D1051" s="96" t="s">
        <v>566</v>
      </c>
      <c r="E1051" s="105" t="s">
        <v>1411</v>
      </c>
      <c r="F1051" s="96" t="s">
        <v>1419</v>
      </c>
      <c r="G1051" s="96" t="s">
        <v>88</v>
      </c>
      <c r="H1051" s="195" t="s">
        <v>1420</v>
      </c>
      <c r="I1051" s="23" t="e">
        <f>VLOOKUP(H1051,'合同综合查询数据（3月返）'!$A:$A,1,FALSE)</f>
        <v>#N/A</v>
      </c>
      <c r="J1051" s="152" t="s">
        <v>126</v>
      </c>
      <c r="K1051" s="94" t="s">
        <v>1421</v>
      </c>
      <c r="L1051" s="99" t="s">
        <v>1428</v>
      </c>
      <c r="M1051" s="26" t="s">
        <v>1423</v>
      </c>
      <c r="N1051" s="190">
        <v>43952</v>
      </c>
      <c r="O1051" s="199" t="s">
        <v>1424</v>
      </c>
      <c r="P1051" s="198">
        <v>6000</v>
      </c>
      <c r="Q1051" s="119">
        <v>2</v>
      </c>
      <c r="R1051" s="119">
        <f t="shared" si="29"/>
        <v>12000</v>
      </c>
      <c r="S1051" s="117">
        <v>202303</v>
      </c>
      <c r="T1051" s="184" t="s">
        <v>1431</v>
      </c>
      <c r="U1051" s="184"/>
      <c r="V1051" s="122"/>
      <c r="W1051" s="122"/>
      <c r="X1051" s="118">
        <v>44774</v>
      </c>
      <c r="Y1051" s="118">
        <v>45077</v>
      </c>
    </row>
    <row r="1052" s="79" customFormat="1" customHeight="1" spans="1:25">
      <c r="A1052" s="96" t="s">
        <v>403</v>
      </c>
      <c r="B1052" s="98" t="s">
        <v>62</v>
      </c>
      <c r="C1052" s="96" t="s">
        <v>744</v>
      </c>
      <c r="D1052" s="96" t="s">
        <v>566</v>
      </c>
      <c r="E1052" s="105" t="s">
        <v>1411</v>
      </c>
      <c r="F1052" s="96" t="s">
        <v>1419</v>
      </c>
      <c r="G1052" s="96" t="s">
        <v>88</v>
      </c>
      <c r="H1052" s="195" t="s">
        <v>1420</v>
      </c>
      <c r="I1052" s="23" t="e">
        <f>VLOOKUP(H1052,'合同综合查询数据（3月返）'!$A:$A,1,FALSE)</f>
        <v>#N/A</v>
      </c>
      <c r="J1052" s="152" t="s">
        <v>126</v>
      </c>
      <c r="K1052" s="94" t="s">
        <v>1421</v>
      </c>
      <c r="L1052" s="99" t="s">
        <v>1428</v>
      </c>
      <c r="M1052" s="26" t="s">
        <v>1423</v>
      </c>
      <c r="N1052" s="190">
        <v>44532</v>
      </c>
      <c r="O1052" s="199" t="s">
        <v>1424</v>
      </c>
      <c r="P1052" s="198">
        <v>6000</v>
      </c>
      <c r="Q1052" s="119">
        <v>1</v>
      </c>
      <c r="R1052" s="120">
        <f t="shared" si="29"/>
        <v>6000</v>
      </c>
      <c r="S1052" s="117">
        <v>202303</v>
      </c>
      <c r="T1052" s="184" t="s">
        <v>1432</v>
      </c>
      <c r="U1052" s="184"/>
      <c r="V1052" s="122"/>
      <c r="W1052" s="122"/>
      <c r="X1052" s="118">
        <v>44774</v>
      </c>
      <c r="Y1052" s="118">
        <v>45077</v>
      </c>
    </row>
    <row r="1053" s="79" customFormat="1" customHeight="1" spans="1:25">
      <c r="A1053" s="96" t="s">
        <v>403</v>
      </c>
      <c r="B1053" s="98" t="s">
        <v>62</v>
      </c>
      <c r="C1053" s="96" t="s">
        <v>744</v>
      </c>
      <c r="D1053" s="96" t="s">
        <v>566</v>
      </c>
      <c r="E1053" s="105" t="s">
        <v>1411</v>
      </c>
      <c r="F1053" s="96" t="s">
        <v>1419</v>
      </c>
      <c r="G1053" s="96" t="s">
        <v>88</v>
      </c>
      <c r="H1053" s="195" t="s">
        <v>1420</v>
      </c>
      <c r="I1053" s="23" t="e">
        <f>VLOOKUP(H1053,'合同综合查询数据（3月返）'!$A:$A,1,FALSE)</f>
        <v>#N/A</v>
      </c>
      <c r="J1053" s="152" t="s">
        <v>126</v>
      </c>
      <c r="K1053" s="94" t="s">
        <v>1421</v>
      </c>
      <c r="L1053" s="96" t="s">
        <v>1422</v>
      </c>
      <c r="M1053" s="26" t="s">
        <v>1423</v>
      </c>
      <c r="N1053" s="190">
        <v>44620</v>
      </c>
      <c r="O1053" s="199" t="s">
        <v>1424</v>
      </c>
      <c r="P1053" s="198">
        <v>6000</v>
      </c>
      <c r="Q1053" s="119">
        <v>-4</v>
      </c>
      <c r="R1053" s="120">
        <f t="shared" si="29"/>
        <v>-24000</v>
      </c>
      <c r="S1053" s="117">
        <v>202303</v>
      </c>
      <c r="T1053" s="184" t="s">
        <v>1433</v>
      </c>
      <c r="U1053" s="184"/>
      <c r="V1053" s="122"/>
      <c r="W1053" s="122"/>
      <c r="X1053" s="118">
        <v>44774</v>
      </c>
      <c r="Y1053" s="118">
        <v>45077</v>
      </c>
    </row>
    <row r="1054" s="79" customFormat="1" customHeight="1" spans="1:25">
      <c r="A1054" s="96" t="s">
        <v>403</v>
      </c>
      <c r="B1054" s="98" t="s">
        <v>62</v>
      </c>
      <c r="C1054" s="96" t="s">
        <v>744</v>
      </c>
      <c r="D1054" s="96" t="s">
        <v>566</v>
      </c>
      <c r="E1054" s="105" t="s">
        <v>1411</v>
      </c>
      <c r="F1054" s="96" t="s">
        <v>1419</v>
      </c>
      <c r="G1054" s="96" t="s">
        <v>88</v>
      </c>
      <c r="H1054" s="195" t="s">
        <v>1420</v>
      </c>
      <c r="I1054" s="23" t="e">
        <f>VLOOKUP(H1054,'合同综合查询数据（3月返）'!$A:$A,1,FALSE)</f>
        <v>#N/A</v>
      </c>
      <c r="J1054" s="152" t="s">
        <v>126</v>
      </c>
      <c r="K1054" s="94" t="s">
        <v>1421</v>
      </c>
      <c r="L1054" s="96" t="s">
        <v>1422</v>
      </c>
      <c r="M1054" s="26" t="s">
        <v>1423</v>
      </c>
      <c r="N1054" s="190">
        <v>44681</v>
      </c>
      <c r="O1054" s="199" t="s">
        <v>1424</v>
      </c>
      <c r="P1054" s="198">
        <v>6000</v>
      </c>
      <c r="Q1054" s="119">
        <v>-3</v>
      </c>
      <c r="R1054" s="120">
        <f t="shared" si="29"/>
        <v>-18000</v>
      </c>
      <c r="S1054" s="117">
        <v>202303</v>
      </c>
      <c r="T1054" s="184" t="s">
        <v>1434</v>
      </c>
      <c r="U1054" s="184"/>
      <c r="V1054" s="122"/>
      <c r="W1054" s="122"/>
      <c r="X1054" s="118">
        <v>44774</v>
      </c>
      <c r="Y1054" s="118">
        <v>45077</v>
      </c>
    </row>
    <row r="1055" s="79" customFormat="1" customHeight="1" spans="1:25">
      <c r="A1055" s="96" t="s">
        <v>403</v>
      </c>
      <c r="B1055" s="98" t="s">
        <v>62</v>
      </c>
      <c r="C1055" s="96" t="s">
        <v>744</v>
      </c>
      <c r="D1055" s="96" t="s">
        <v>566</v>
      </c>
      <c r="E1055" s="105" t="s">
        <v>1411</v>
      </c>
      <c r="F1055" s="96" t="s">
        <v>1419</v>
      </c>
      <c r="G1055" s="96" t="s">
        <v>88</v>
      </c>
      <c r="H1055" s="195" t="s">
        <v>1420</v>
      </c>
      <c r="I1055" s="23" t="e">
        <f>VLOOKUP(H1055,'合同综合查询数据（3月返）'!$A:$A,1,FALSE)</f>
        <v>#N/A</v>
      </c>
      <c r="J1055" s="152" t="s">
        <v>126</v>
      </c>
      <c r="K1055" s="94" t="s">
        <v>1421</v>
      </c>
      <c r="L1055" s="96" t="s">
        <v>1422</v>
      </c>
      <c r="M1055" s="26" t="s">
        <v>1423</v>
      </c>
      <c r="N1055" s="190">
        <v>44773</v>
      </c>
      <c r="O1055" s="199" t="s">
        <v>1424</v>
      </c>
      <c r="P1055" s="198">
        <v>6000</v>
      </c>
      <c r="Q1055" s="119">
        <v>-1</v>
      </c>
      <c r="R1055" s="120">
        <f t="shared" si="29"/>
        <v>-6000</v>
      </c>
      <c r="S1055" s="117">
        <v>202303</v>
      </c>
      <c r="T1055" s="184" t="s">
        <v>1435</v>
      </c>
      <c r="U1055" s="184"/>
      <c r="V1055" s="122"/>
      <c r="W1055" s="122"/>
      <c r="X1055" s="118">
        <v>44774</v>
      </c>
      <c r="Y1055" s="118">
        <v>45077</v>
      </c>
    </row>
    <row r="1056" s="79" customFormat="1" customHeight="1" spans="1:25">
      <c r="A1056" s="94" t="s">
        <v>403</v>
      </c>
      <c r="B1056" s="98" t="s">
        <v>62</v>
      </c>
      <c r="C1056" s="96" t="s">
        <v>744</v>
      </c>
      <c r="D1056" s="96" t="s">
        <v>566</v>
      </c>
      <c r="E1056" s="23" t="s">
        <v>1411</v>
      </c>
      <c r="F1056" s="94" t="s">
        <v>1436</v>
      </c>
      <c r="G1056" s="99" t="s">
        <v>302</v>
      </c>
      <c r="H1056" s="100" t="s">
        <v>1437</v>
      </c>
      <c r="I1056" s="23" t="e">
        <f>VLOOKUP(H1056,'合同综合查询数据（3月返）'!$A:$A,1,FALSE)</f>
        <v>#N/A</v>
      </c>
      <c r="J1056" s="99" t="s">
        <v>302</v>
      </c>
      <c r="K1056" s="99" t="s">
        <v>1438</v>
      </c>
      <c r="L1056" s="109"/>
      <c r="M1056" s="26"/>
      <c r="N1056" s="28">
        <v>44333</v>
      </c>
      <c r="O1056" s="109" t="s">
        <v>1439</v>
      </c>
      <c r="P1056" s="110">
        <v>4338.6</v>
      </c>
      <c r="Q1056" s="120">
        <v>1</v>
      </c>
      <c r="R1056" s="120">
        <f t="shared" si="29"/>
        <v>4338.6</v>
      </c>
      <c r="S1056" s="117">
        <v>202303</v>
      </c>
      <c r="T1056" s="121" t="s">
        <v>1440</v>
      </c>
      <c r="U1056" s="121"/>
      <c r="V1056" s="123"/>
      <c r="W1056" s="123"/>
      <c r="X1056" s="118">
        <v>44317</v>
      </c>
      <c r="Y1056" s="118">
        <v>45077</v>
      </c>
    </row>
    <row r="1057" s="79" customFormat="1" customHeight="1" spans="1:25">
      <c r="A1057" s="94" t="s">
        <v>403</v>
      </c>
      <c r="B1057" s="98" t="s">
        <v>62</v>
      </c>
      <c r="C1057" s="96" t="s">
        <v>744</v>
      </c>
      <c r="D1057" s="96" t="s">
        <v>566</v>
      </c>
      <c r="E1057" s="23" t="s">
        <v>1411</v>
      </c>
      <c r="F1057" s="94" t="s">
        <v>1436</v>
      </c>
      <c r="G1057" s="99" t="s">
        <v>302</v>
      </c>
      <c r="H1057" s="100" t="s">
        <v>1437</v>
      </c>
      <c r="I1057" s="23" t="e">
        <f>VLOOKUP(H1057,'合同综合查询数据（3月返）'!$A:$A,1,FALSE)</f>
        <v>#N/A</v>
      </c>
      <c r="J1057" s="99" t="s">
        <v>302</v>
      </c>
      <c r="K1057" s="99" t="s">
        <v>1441</v>
      </c>
      <c r="L1057" s="109"/>
      <c r="M1057" s="26"/>
      <c r="N1057" s="28">
        <v>44436</v>
      </c>
      <c r="O1057" s="109" t="s">
        <v>1442</v>
      </c>
      <c r="P1057" s="110">
        <v>3184.5</v>
      </c>
      <c r="Q1057" s="120">
        <v>1</v>
      </c>
      <c r="R1057" s="119">
        <f t="shared" si="29"/>
        <v>3184.5</v>
      </c>
      <c r="S1057" s="117">
        <v>202303</v>
      </c>
      <c r="T1057" s="121" t="s">
        <v>1443</v>
      </c>
      <c r="U1057" s="121"/>
      <c r="V1057" s="123"/>
      <c r="W1057" s="123"/>
      <c r="X1057" s="118">
        <v>44317</v>
      </c>
      <c r="Y1057" s="118">
        <v>45077</v>
      </c>
    </row>
    <row r="1058" s="79" customFormat="1" customHeight="1" spans="1:25">
      <c r="A1058" s="94" t="s">
        <v>403</v>
      </c>
      <c r="B1058" s="98" t="s">
        <v>62</v>
      </c>
      <c r="C1058" s="96" t="s">
        <v>744</v>
      </c>
      <c r="D1058" s="98" t="s">
        <v>566</v>
      </c>
      <c r="E1058" s="23" t="s">
        <v>1411</v>
      </c>
      <c r="F1058" s="94" t="s">
        <v>1436</v>
      </c>
      <c r="G1058" s="99" t="s">
        <v>302</v>
      </c>
      <c r="H1058" s="100" t="s">
        <v>1444</v>
      </c>
      <c r="I1058" s="23" t="e">
        <f>VLOOKUP(H1058,'合同综合查询数据（3月返）'!$A:$A,1,FALSE)</f>
        <v>#N/A</v>
      </c>
      <c r="J1058" s="99" t="s">
        <v>302</v>
      </c>
      <c r="K1058" s="99" t="s">
        <v>1445</v>
      </c>
      <c r="L1058" s="109"/>
      <c r="M1058" s="26"/>
      <c r="N1058" s="28">
        <v>44743</v>
      </c>
      <c r="O1058" s="109" t="s">
        <v>1446</v>
      </c>
      <c r="P1058" s="110">
        <v>47000</v>
      </c>
      <c r="Q1058" s="120">
        <v>1</v>
      </c>
      <c r="R1058" s="119">
        <f t="shared" si="29"/>
        <v>47000</v>
      </c>
      <c r="S1058" s="117">
        <v>202303</v>
      </c>
      <c r="T1058" s="121" t="s">
        <v>1447</v>
      </c>
      <c r="U1058" s="121"/>
      <c r="V1058" s="123"/>
      <c r="W1058" s="123"/>
      <c r="X1058" s="118">
        <v>44743</v>
      </c>
      <c r="Y1058" s="118">
        <v>45107</v>
      </c>
    </row>
    <row r="1059" s="79" customFormat="1" customHeight="1" spans="1:25">
      <c r="A1059" s="96" t="s">
        <v>403</v>
      </c>
      <c r="B1059" s="98" t="s">
        <v>62</v>
      </c>
      <c r="C1059" s="96" t="s">
        <v>744</v>
      </c>
      <c r="D1059" s="96" t="s">
        <v>566</v>
      </c>
      <c r="E1059" s="105" t="s">
        <v>1411</v>
      </c>
      <c r="F1059" s="96" t="s">
        <v>1412</v>
      </c>
      <c r="G1059" s="96" t="s">
        <v>31</v>
      </c>
      <c r="H1059" s="195" t="s">
        <v>1420</v>
      </c>
      <c r="I1059" s="23" t="e">
        <f>VLOOKUP(H1059,'合同综合查询数据（3月返）'!$A:$A,1,FALSE)</f>
        <v>#N/A</v>
      </c>
      <c r="J1059" s="197" t="s">
        <v>1019</v>
      </c>
      <c r="K1059" s="94" t="s">
        <v>744</v>
      </c>
      <c r="L1059" s="96" t="s">
        <v>1412</v>
      </c>
      <c r="M1059" s="26"/>
      <c r="N1059" s="190">
        <v>43040</v>
      </c>
      <c r="O1059" s="197"/>
      <c r="P1059" s="200">
        <v>50</v>
      </c>
      <c r="Q1059" s="119">
        <v>768</v>
      </c>
      <c r="R1059" s="119">
        <f t="shared" si="29"/>
        <v>38400</v>
      </c>
      <c r="S1059" s="117">
        <v>202303</v>
      </c>
      <c r="T1059" s="184" t="s">
        <v>1448</v>
      </c>
      <c r="U1059" s="184"/>
      <c r="V1059" s="122"/>
      <c r="W1059" s="122"/>
      <c r="X1059" s="118">
        <v>44774</v>
      </c>
      <c r="Y1059" s="118">
        <v>45077</v>
      </c>
    </row>
    <row r="1060" s="79" customFormat="1" customHeight="1" spans="1:25">
      <c r="A1060" s="96" t="s">
        <v>403</v>
      </c>
      <c r="B1060" s="98" t="s">
        <v>62</v>
      </c>
      <c r="C1060" s="96" t="s">
        <v>744</v>
      </c>
      <c r="D1060" s="96" t="s">
        <v>566</v>
      </c>
      <c r="E1060" s="105" t="s">
        <v>1411</v>
      </c>
      <c r="F1060" s="96" t="s">
        <v>1412</v>
      </c>
      <c r="G1060" s="96" t="s">
        <v>31</v>
      </c>
      <c r="H1060" s="195" t="s">
        <v>1420</v>
      </c>
      <c r="I1060" s="23" t="e">
        <f>VLOOKUP(H1060,'合同综合查询数据（3月返）'!$A:$A,1,FALSE)</f>
        <v>#N/A</v>
      </c>
      <c r="J1060" s="197" t="s">
        <v>1019</v>
      </c>
      <c r="K1060" s="94" t="s">
        <v>744</v>
      </c>
      <c r="L1060" s="96" t="s">
        <v>1412</v>
      </c>
      <c r="M1060" s="26"/>
      <c r="N1060" s="190">
        <v>43040</v>
      </c>
      <c r="O1060" s="197"/>
      <c r="P1060" s="200">
        <v>50</v>
      </c>
      <c r="Q1060" s="119">
        <v>512</v>
      </c>
      <c r="R1060" s="119">
        <f t="shared" si="29"/>
        <v>25600</v>
      </c>
      <c r="S1060" s="117">
        <v>202303</v>
      </c>
      <c r="T1060" s="184" t="s">
        <v>1449</v>
      </c>
      <c r="U1060" s="184"/>
      <c r="V1060" s="122"/>
      <c r="W1060" s="122"/>
      <c r="X1060" s="118">
        <v>44774</v>
      </c>
      <c r="Y1060" s="118">
        <v>45077</v>
      </c>
    </row>
    <row r="1061" s="79" customFormat="1" customHeight="1" spans="1:25">
      <c r="A1061" s="96" t="s">
        <v>403</v>
      </c>
      <c r="B1061" s="98" t="s">
        <v>62</v>
      </c>
      <c r="C1061" s="96" t="s">
        <v>744</v>
      </c>
      <c r="D1061" s="96" t="s">
        <v>566</v>
      </c>
      <c r="E1061" s="105" t="s">
        <v>1411</v>
      </c>
      <c r="F1061" s="96" t="s">
        <v>1412</v>
      </c>
      <c r="G1061" s="96" t="s">
        <v>31</v>
      </c>
      <c r="H1061" s="195" t="s">
        <v>1420</v>
      </c>
      <c r="I1061" s="23" t="e">
        <f>VLOOKUP(H1061,'合同综合查询数据（3月返）'!$A:$A,1,FALSE)</f>
        <v>#N/A</v>
      </c>
      <c r="J1061" s="197" t="s">
        <v>1019</v>
      </c>
      <c r="K1061" s="94" t="s">
        <v>744</v>
      </c>
      <c r="L1061" s="96" t="s">
        <v>1412</v>
      </c>
      <c r="M1061" s="26"/>
      <c r="N1061" s="190">
        <v>43040</v>
      </c>
      <c r="O1061" s="199"/>
      <c r="P1061" s="200">
        <v>50</v>
      </c>
      <c r="Q1061" s="119">
        <v>512</v>
      </c>
      <c r="R1061" s="119">
        <f t="shared" si="29"/>
        <v>25600</v>
      </c>
      <c r="S1061" s="117">
        <v>202303</v>
      </c>
      <c r="T1061" s="184" t="s">
        <v>1449</v>
      </c>
      <c r="U1061" s="184"/>
      <c r="V1061" s="122"/>
      <c r="W1061" s="122"/>
      <c r="X1061" s="118">
        <v>44774</v>
      </c>
      <c r="Y1061" s="118">
        <v>45077</v>
      </c>
    </row>
    <row r="1062" s="79" customFormat="1" customHeight="1" spans="1:25">
      <c r="A1062" s="96" t="s">
        <v>403</v>
      </c>
      <c r="B1062" s="98" t="s">
        <v>62</v>
      </c>
      <c r="C1062" s="96" t="s">
        <v>744</v>
      </c>
      <c r="D1062" s="96" t="s">
        <v>566</v>
      </c>
      <c r="E1062" s="105" t="s">
        <v>1411</v>
      </c>
      <c r="F1062" s="96" t="s">
        <v>1412</v>
      </c>
      <c r="G1062" s="96" t="s">
        <v>31</v>
      </c>
      <c r="H1062" s="195" t="s">
        <v>1420</v>
      </c>
      <c r="I1062" s="23" t="e">
        <f>VLOOKUP(H1062,'合同综合查询数据（3月返）'!$A:$A,1,FALSE)</f>
        <v>#N/A</v>
      </c>
      <c r="J1062" s="197" t="s">
        <v>1019</v>
      </c>
      <c r="K1062" s="94" t="s">
        <v>744</v>
      </c>
      <c r="L1062" s="96" t="s">
        <v>1412</v>
      </c>
      <c r="M1062" s="26"/>
      <c r="N1062" s="190">
        <v>44074</v>
      </c>
      <c r="O1062" s="199"/>
      <c r="P1062" s="200">
        <v>50</v>
      </c>
      <c r="Q1062" s="119">
        <f>-3*256</f>
        <v>-768</v>
      </c>
      <c r="R1062" s="119">
        <f t="shared" si="29"/>
        <v>-38400</v>
      </c>
      <c r="S1062" s="117">
        <v>202303</v>
      </c>
      <c r="T1062" s="202" t="s">
        <v>1450</v>
      </c>
      <c r="U1062" s="202"/>
      <c r="V1062" s="122"/>
      <c r="W1062" s="122"/>
      <c r="X1062" s="118">
        <v>44774</v>
      </c>
      <c r="Y1062" s="118">
        <v>45077</v>
      </c>
    </row>
    <row r="1063" s="79" customFormat="1" customHeight="1" spans="1:25">
      <c r="A1063" s="96" t="s">
        <v>403</v>
      </c>
      <c r="B1063" s="98" t="s">
        <v>62</v>
      </c>
      <c r="C1063" s="96" t="s">
        <v>744</v>
      </c>
      <c r="D1063" s="96" t="s">
        <v>566</v>
      </c>
      <c r="E1063" s="105" t="s">
        <v>1411</v>
      </c>
      <c r="F1063" s="96" t="s">
        <v>1419</v>
      </c>
      <c r="G1063" s="96" t="s">
        <v>31</v>
      </c>
      <c r="H1063" s="195" t="s">
        <v>1420</v>
      </c>
      <c r="I1063" s="23" t="e">
        <f>VLOOKUP(H1063,'合同综合查询数据（3月返）'!$A:$A,1,FALSE)</f>
        <v>#N/A</v>
      </c>
      <c r="J1063" s="197" t="s">
        <v>33</v>
      </c>
      <c r="K1063" s="94" t="s">
        <v>1421</v>
      </c>
      <c r="L1063" s="96" t="s">
        <v>1428</v>
      </c>
      <c r="M1063" s="26" t="s">
        <v>1423</v>
      </c>
      <c r="N1063" s="190">
        <v>42915</v>
      </c>
      <c r="O1063" s="199"/>
      <c r="P1063" s="200">
        <v>0</v>
      </c>
      <c r="Q1063" s="119">
        <v>192</v>
      </c>
      <c r="R1063" s="119">
        <f t="shared" si="29"/>
        <v>0</v>
      </c>
      <c r="S1063" s="117">
        <v>202303</v>
      </c>
      <c r="T1063" s="202" t="s">
        <v>1451</v>
      </c>
      <c r="U1063" s="202"/>
      <c r="V1063" s="122"/>
      <c r="W1063" s="122"/>
      <c r="X1063" s="118">
        <v>44774</v>
      </c>
      <c r="Y1063" s="118">
        <v>45077</v>
      </c>
    </row>
    <row r="1064" s="79" customFormat="1" customHeight="1" spans="1:25">
      <c r="A1064" s="96" t="s">
        <v>403</v>
      </c>
      <c r="B1064" s="98" t="s">
        <v>62</v>
      </c>
      <c r="C1064" s="96" t="s">
        <v>744</v>
      </c>
      <c r="D1064" s="96" t="s">
        <v>566</v>
      </c>
      <c r="E1064" s="105" t="s">
        <v>1411</v>
      </c>
      <c r="F1064" s="96" t="s">
        <v>1419</v>
      </c>
      <c r="G1064" s="96" t="s">
        <v>31</v>
      </c>
      <c r="H1064" s="195" t="s">
        <v>1420</v>
      </c>
      <c r="I1064" s="23" t="e">
        <f>VLOOKUP(H1064,'合同综合查询数据（3月返）'!$A:$A,1,FALSE)</f>
        <v>#N/A</v>
      </c>
      <c r="J1064" s="197" t="s">
        <v>33</v>
      </c>
      <c r="K1064" s="94" t="s">
        <v>1421</v>
      </c>
      <c r="L1064" s="96" t="s">
        <v>1428</v>
      </c>
      <c r="M1064" s="26" t="s">
        <v>1423</v>
      </c>
      <c r="N1064" s="190">
        <v>42915</v>
      </c>
      <c r="O1064" s="199"/>
      <c r="P1064" s="200">
        <v>50</v>
      </c>
      <c r="Q1064" s="119">
        <v>96</v>
      </c>
      <c r="R1064" s="119">
        <f t="shared" si="29"/>
        <v>4800</v>
      </c>
      <c r="S1064" s="117">
        <v>202303</v>
      </c>
      <c r="T1064" s="202" t="s">
        <v>1452</v>
      </c>
      <c r="U1064" s="202"/>
      <c r="V1064" s="122"/>
      <c r="W1064" s="122"/>
      <c r="X1064" s="118">
        <v>44774</v>
      </c>
      <c r="Y1064" s="118">
        <v>45077</v>
      </c>
    </row>
    <row r="1065" s="79" customFormat="1" customHeight="1" spans="1:25">
      <c r="A1065" s="96" t="s">
        <v>403</v>
      </c>
      <c r="B1065" s="98" t="s">
        <v>62</v>
      </c>
      <c r="C1065" s="96" t="s">
        <v>744</v>
      </c>
      <c r="D1065" s="96" t="s">
        <v>566</v>
      </c>
      <c r="E1065" s="105" t="s">
        <v>1411</v>
      </c>
      <c r="F1065" s="96" t="s">
        <v>1419</v>
      </c>
      <c r="G1065" s="96" t="s">
        <v>31</v>
      </c>
      <c r="H1065" s="195" t="s">
        <v>1420</v>
      </c>
      <c r="I1065" s="23" t="e">
        <f>VLOOKUP(H1065,'合同综合查询数据（3月返）'!$A:$A,1,FALSE)</f>
        <v>#N/A</v>
      </c>
      <c r="J1065" s="197" t="s">
        <v>33</v>
      </c>
      <c r="K1065" s="94" t="s">
        <v>1421</v>
      </c>
      <c r="L1065" s="96" t="s">
        <v>1422</v>
      </c>
      <c r="M1065" s="26" t="s">
        <v>1423</v>
      </c>
      <c r="N1065" s="190">
        <v>42915</v>
      </c>
      <c r="O1065" s="199"/>
      <c r="P1065" s="200">
        <v>50</v>
      </c>
      <c r="Q1065" s="119">
        <v>544</v>
      </c>
      <c r="R1065" s="119">
        <f t="shared" si="29"/>
        <v>27200</v>
      </c>
      <c r="S1065" s="117">
        <v>202303</v>
      </c>
      <c r="T1065" s="202" t="s">
        <v>1453</v>
      </c>
      <c r="U1065" s="202"/>
      <c r="V1065" s="122"/>
      <c r="W1065" s="122"/>
      <c r="X1065" s="118">
        <v>44774</v>
      </c>
      <c r="Y1065" s="118">
        <v>45077</v>
      </c>
    </row>
    <row r="1066" s="79" customFormat="1" customHeight="1" spans="1:25">
      <c r="A1066" s="96" t="s">
        <v>403</v>
      </c>
      <c r="B1066" s="98" t="s">
        <v>62</v>
      </c>
      <c r="C1066" s="96" t="s">
        <v>744</v>
      </c>
      <c r="D1066" s="96" t="s">
        <v>566</v>
      </c>
      <c r="E1066" s="105" t="s">
        <v>1411</v>
      </c>
      <c r="F1066" s="96" t="s">
        <v>1419</v>
      </c>
      <c r="G1066" s="96" t="s">
        <v>31</v>
      </c>
      <c r="H1066" s="195" t="s">
        <v>1420</v>
      </c>
      <c r="I1066" s="23" t="e">
        <f>VLOOKUP(H1066,'合同综合查询数据（3月返）'!$A:$A,1,FALSE)</f>
        <v>#N/A</v>
      </c>
      <c r="J1066" s="197" t="s">
        <v>33</v>
      </c>
      <c r="K1066" s="94" t="s">
        <v>1421</v>
      </c>
      <c r="L1066" s="96" t="s">
        <v>1422</v>
      </c>
      <c r="M1066" s="26" t="s">
        <v>1423</v>
      </c>
      <c r="N1066" s="190">
        <v>44773</v>
      </c>
      <c r="O1066" s="199"/>
      <c r="P1066" s="200">
        <v>50</v>
      </c>
      <c r="Q1066" s="119">
        <v>-544</v>
      </c>
      <c r="R1066" s="119">
        <f t="shared" si="29"/>
        <v>-27200</v>
      </c>
      <c r="S1066" s="117">
        <v>202303</v>
      </c>
      <c r="T1066" s="202" t="s">
        <v>1454</v>
      </c>
      <c r="U1066" s="202"/>
      <c r="V1066" s="122"/>
      <c r="W1066" s="122"/>
      <c r="X1066" s="118">
        <v>44774</v>
      </c>
      <c r="Y1066" s="118">
        <v>45077</v>
      </c>
    </row>
    <row r="1067" s="79" customFormat="1" customHeight="1" spans="1:25">
      <c r="A1067" s="96" t="s">
        <v>403</v>
      </c>
      <c r="B1067" s="98" t="s">
        <v>62</v>
      </c>
      <c r="C1067" s="96" t="s">
        <v>744</v>
      </c>
      <c r="D1067" s="96" t="s">
        <v>566</v>
      </c>
      <c r="E1067" s="105" t="s">
        <v>1411</v>
      </c>
      <c r="F1067" s="96" t="s">
        <v>1419</v>
      </c>
      <c r="G1067" s="96" t="s">
        <v>31</v>
      </c>
      <c r="H1067" s="195" t="s">
        <v>1420</v>
      </c>
      <c r="I1067" s="23" t="e">
        <f>VLOOKUP(H1067,'合同综合查询数据（3月返）'!$A:$A,1,FALSE)</f>
        <v>#N/A</v>
      </c>
      <c r="J1067" s="197" t="s">
        <v>33</v>
      </c>
      <c r="K1067" s="94" t="s">
        <v>1421</v>
      </c>
      <c r="L1067" s="96" t="s">
        <v>1428</v>
      </c>
      <c r="M1067" s="26" t="s">
        <v>1423</v>
      </c>
      <c r="N1067" s="190">
        <v>43952</v>
      </c>
      <c r="O1067" s="199"/>
      <c r="P1067" s="200">
        <v>50</v>
      </c>
      <c r="Q1067" s="119">
        <v>128</v>
      </c>
      <c r="R1067" s="119">
        <f t="shared" si="29"/>
        <v>6400</v>
      </c>
      <c r="S1067" s="117">
        <v>202303</v>
      </c>
      <c r="T1067" s="202" t="s">
        <v>1455</v>
      </c>
      <c r="U1067" s="202"/>
      <c r="V1067" s="122"/>
      <c r="W1067" s="122"/>
      <c r="X1067" s="118">
        <v>44774</v>
      </c>
      <c r="Y1067" s="118">
        <v>45077</v>
      </c>
    </row>
    <row r="1068" s="79" customFormat="1" customHeight="1" spans="1:25">
      <c r="A1068" s="96" t="s">
        <v>403</v>
      </c>
      <c r="B1068" s="98" t="s">
        <v>62</v>
      </c>
      <c r="C1068" s="96" t="s">
        <v>744</v>
      </c>
      <c r="D1068" s="96" t="s">
        <v>566</v>
      </c>
      <c r="E1068" s="105" t="s">
        <v>1411</v>
      </c>
      <c r="F1068" s="96" t="s">
        <v>1419</v>
      </c>
      <c r="G1068" s="96" t="s">
        <v>31</v>
      </c>
      <c r="H1068" s="195" t="s">
        <v>1420</v>
      </c>
      <c r="I1068" s="23" t="e">
        <f>VLOOKUP(H1068,'合同综合查询数据（3月返）'!$A:$A,1,FALSE)</f>
        <v>#N/A</v>
      </c>
      <c r="J1068" s="152" t="s">
        <v>33</v>
      </c>
      <c r="K1068" s="94" t="s">
        <v>1421</v>
      </c>
      <c r="L1068" s="99" t="s">
        <v>1428</v>
      </c>
      <c r="M1068" s="26" t="s">
        <v>1423</v>
      </c>
      <c r="N1068" s="190">
        <v>44804</v>
      </c>
      <c r="O1068" s="199"/>
      <c r="P1068" s="198">
        <v>50</v>
      </c>
      <c r="Q1068" s="119">
        <v>-128</v>
      </c>
      <c r="R1068" s="119">
        <f t="shared" si="29"/>
        <v>-6400</v>
      </c>
      <c r="S1068" s="117">
        <v>202303</v>
      </c>
      <c r="T1068" s="184" t="s">
        <v>1456</v>
      </c>
      <c r="U1068" s="184"/>
      <c r="V1068" s="122"/>
      <c r="W1068" s="122"/>
      <c r="X1068" s="118">
        <v>44774</v>
      </c>
      <c r="Y1068" s="118">
        <v>45077</v>
      </c>
    </row>
    <row r="1069" s="81" customFormat="1" customHeight="1" spans="1:25">
      <c r="A1069" s="61" t="s">
        <v>403</v>
      </c>
      <c r="B1069" s="61" t="s">
        <v>62</v>
      </c>
      <c r="C1069" s="61" t="s">
        <v>217</v>
      </c>
      <c r="D1069" s="61" t="s">
        <v>566</v>
      </c>
      <c r="E1069" s="160" t="s">
        <v>1043</v>
      </c>
      <c r="F1069" s="61" t="s">
        <v>906</v>
      </c>
      <c r="G1069" s="161" t="s">
        <v>88</v>
      </c>
      <c r="H1069" s="45" t="s">
        <v>1457</v>
      </c>
      <c r="I1069" s="47" t="e">
        <f>VLOOKUP(H1069,'合同综合查询数据（3月返）'!$A:$A,1,FALSE)</f>
        <v>#N/A</v>
      </c>
      <c r="J1069" s="48" t="s">
        <v>90</v>
      </c>
      <c r="K1069" s="135" t="s">
        <v>1458</v>
      </c>
      <c r="L1069" s="164"/>
      <c r="M1069" s="50" t="s">
        <v>909</v>
      </c>
      <c r="N1069" s="178">
        <v>42663</v>
      </c>
      <c r="O1069" s="163" t="s">
        <v>1459</v>
      </c>
      <c r="P1069" s="144">
        <v>9600</v>
      </c>
      <c r="Q1069" s="144">
        <v>135</v>
      </c>
      <c r="R1069" s="68">
        <f t="shared" si="29"/>
        <v>1296000</v>
      </c>
      <c r="S1069" s="70">
        <v>202303</v>
      </c>
      <c r="T1069" s="168" t="s">
        <v>1460</v>
      </c>
      <c r="U1069" s="169"/>
      <c r="V1069" s="143"/>
      <c r="W1069" s="143"/>
      <c r="X1069" s="73"/>
      <c r="Y1069" s="73"/>
    </row>
    <row r="1070" s="81" customFormat="1" customHeight="1" spans="1:25">
      <c r="A1070" s="61" t="s">
        <v>403</v>
      </c>
      <c r="B1070" s="61" t="s">
        <v>62</v>
      </c>
      <c r="C1070" s="61" t="s">
        <v>217</v>
      </c>
      <c r="D1070" s="61" t="s">
        <v>566</v>
      </c>
      <c r="E1070" s="160" t="s">
        <v>1043</v>
      </c>
      <c r="F1070" s="61" t="s">
        <v>906</v>
      </c>
      <c r="G1070" s="161" t="s">
        <v>88</v>
      </c>
      <c r="H1070" s="45" t="s">
        <v>1457</v>
      </c>
      <c r="I1070" s="47" t="e">
        <f>VLOOKUP(H1070,'合同综合查询数据（3月返）'!$A:$A,1,FALSE)</f>
        <v>#N/A</v>
      </c>
      <c r="J1070" s="48" t="s">
        <v>90</v>
      </c>
      <c r="K1070" s="135" t="s">
        <v>1458</v>
      </c>
      <c r="L1070" s="164"/>
      <c r="M1070" s="50" t="s">
        <v>909</v>
      </c>
      <c r="N1070" s="178">
        <v>42856</v>
      </c>
      <c r="O1070" s="163" t="s">
        <v>1461</v>
      </c>
      <c r="P1070" s="144">
        <v>8400</v>
      </c>
      <c r="Q1070" s="144">
        <v>4</v>
      </c>
      <c r="R1070" s="68">
        <f t="shared" si="29"/>
        <v>33600</v>
      </c>
      <c r="S1070" s="70">
        <v>202303</v>
      </c>
      <c r="T1070" s="168"/>
      <c r="U1070" s="169"/>
      <c r="V1070" s="143"/>
      <c r="W1070" s="143"/>
      <c r="X1070" s="73"/>
      <c r="Y1070" s="73"/>
    </row>
    <row r="1071" s="81" customFormat="1" customHeight="1" spans="1:25">
      <c r="A1071" s="61" t="s">
        <v>403</v>
      </c>
      <c r="B1071" s="61" t="s">
        <v>62</v>
      </c>
      <c r="C1071" s="61" t="s">
        <v>217</v>
      </c>
      <c r="D1071" s="61" t="s">
        <v>566</v>
      </c>
      <c r="E1071" s="160" t="s">
        <v>1043</v>
      </c>
      <c r="F1071" s="61" t="s">
        <v>906</v>
      </c>
      <c r="G1071" s="161" t="s">
        <v>88</v>
      </c>
      <c r="H1071" s="45" t="s">
        <v>1457</v>
      </c>
      <c r="I1071" s="47" t="e">
        <f>VLOOKUP(H1071,'合同综合查询数据（3月返）'!$A:$A,1,FALSE)</f>
        <v>#N/A</v>
      </c>
      <c r="J1071" s="48" t="s">
        <v>90</v>
      </c>
      <c r="K1071" s="135" t="s">
        <v>1458</v>
      </c>
      <c r="L1071" s="164"/>
      <c r="M1071" s="50" t="s">
        <v>909</v>
      </c>
      <c r="N1071" s="178">
        <v>42856</v>
      </c>
      <c r="O1071" s="163" t="s">
        <v>1320</v>
      </c>
      <c r="P1071" s="144">
        <v>18900</v>
      </c>
      <c r="Q1071" s="144">
        <v>10</v>
      </c>
      <c r="R1071" s="68">
        <f t="shared" si="29"/>
        <v>189000</v>
      </c>
      <c r="S1071" s="70">
        <v>202303</v>
      </c>
      <c r="T1071" s="168"/>
      <c r="U1071" s="169"/>
      <c r="V1071" s="143"/>
      <c r="W1071" s="143"/>
      <c r="X1071" s="73"/>
      <c r="Y1071" s="73"/>
    </row>
    <row r="1072" s="81" customFormat="1" customHeight="1" spans="1:25">
      <c r="A1072" s="61" t="s">
        <v>403</v>
      </c>
      <c r="B1072" s="61" t="s">
        <v>62</v>
      </c>
      <c r="C1072" s="61" t="s">
        <v>217</v>
      </c>
      <c r="D1072" s="61" t="s">
        <v>566</v>
      </c>
      <c r="E1072" s="160" t="s">
        <v>1043</v>
      </c>
      <c r="F1072" s="61" t="s">
        <v>906</v>
      </c>
      <c r="G1072" s="161" t="s">
        <v>88</v>
      </c>
      <c r="H1072" s="45" t="s">
        <v>1457</v>
      </c>
      <c r="I1072" s="47" t="e">
        <f>VLOOKUP(H1072,'合同综合查询数据（3月返）'!$A:$A,1,FALSE)</f>
        <v>#N/A</v>
      </c>
      <c r="J1072" s="48" t="s">
        <v>90</v>
      </c>
      <c r="K1072" s="135" t="s">
        <v>1458</v>
      </c>
      <c r="L1072" s="164"/>
      <c r="M1072" s="50" t="s">
        <v>909</v>
      </c>
      <c r="N1072" s="178">
        <v>42856</v>
      </c>
      <c r="O1072" s="163" t="s">
        <v>457</v>
      </c>
      <c r="P1072" s="144">
        <v>6000</v>
      </c>
      <c r="Q1072" s="144">
        <v>33</v>
      </c>
      <c r="R1072" s="68">
        <f t="shared" si="29"/>
        <v>198000</v>
      </c>
      <c r="S1072" s="70">
        <v>202303</v>
      </c>
      <c r="T1072" s="168"/>
      <c r="U1072" s="169"/>
      <c r="V1072" s="143"/>
      <c r="W1072" s="143"/>
      <c r="X1072" s="73"/>
      <c r="Y1072" s="73"/>
    </row>
    <row r="1073" s="81" customFormat="1" customHeight="1" spans="1:25">
      <c r="A1073" s="61" t="s">
        <v>403</v>
      </c>
      <c r="B1073" s="61" t="s">
        <v>62</v>
      </c>
      <c r="C1073" s="61" t="s">
        <v>217</v>
      </c>
      <c r="D1073" s="61" t="s">
        <v>566</v>
      </c>
      <c r="E1073" s="160" t="s">
        <v>1043</v>
      </c>
      <c r="F1073" s="61" t="s">
        <v>906</v>
      </c>
      <c r="G1073" s="161" t="s">
        <v>88</v>
      </c>
      <c r="H1073" s="45" t="s">
        <v>1457</v>
      </c>
      <c r="I1073" s="47" t="e">
        <f>VLOOKUP(H1073,'合同综合查询数据（3月返）'!$A:$A,1,FALSE)</f>
        <v>#N/A</v>
      </c>
      <c r="J1073" s="48" t="s">
        <v>90</v>
      </c>
      <c r="K1073" s="135" t="s">
        <v>1458</v>
      </c>
      <c r="L1073" s="164"/>
      <c r="M1073" s="50" t="s">
        <v>909</v>
      </c>
      <c r="N1073" s="178">
        <v>42856</v>
      </c>
      <c r="O1073" s="163" t="s">
        <v>1462</v>
      </c>
      <c r="P1073" s="144">
        <v>11100</v>
      </c>
      <c r="Q1073" s="144">
        <v>2</v>
      </c>
      <c r="R1073" s="68">
        <f t="shared" si="29"/>
        <v>22200</v>
      </c>
      <c r="S1073" s="70">
        <v>202303</v>
      </c>
      <c r="T1073" s="168"/>
      <c r="U1073" s="169"/>
      <c r="V1073" s="143"/>
      <c r="W1073" s="143"/>
      <c r="X1073" s="73"/>
      <c r="Y1073" s="73"/>
    </row>
    <row r="1074" s="81" customFormat="1" customHeight="1" spans="1:25">
      <c r="A1074" s="61" t="s">
        <v>403</v>
      </c>
      <c r="B1074" s="61" t="s">
        <v>62</v>
      </c>
      <c r="C1074" s="61" t="s">
        <v>217</v>
      </c>
      <c r="D1074" s="61" t="s">
        <v>566</v>
      </c>
      <c r="E1074" s="160" t="s">
        <v>1043</v>
      </c>
      <c r="F1074" s="61" t="s">
        <v>906</v>
      </c>
      <c r="G1074" s="161" t="s">
        <v>88</v>
      </c>
      <c r="H1074" s="45" t="s">
        <v>1457</v>
      </c>
      <c r="I1074" s="47" t="e">
        <f>VLOOKUP(H1074,'合同综合查询数据（3月返）'!$A:$A,1,FALSE)</f>
        <v>#N/A</v>
      </c>
      <c r="J1074" s="48" t="s">
        <v>90</v>
      </c>
      <c r="K1074" s="135" t="s">
        <v>1458</v>
      </c>
      <c r="L1074" s="164"/>
      <c r="M1074" s="50" t="s">
        <v>909</v>
      </c>
      <c r="N1074" s="178">
        <v>42942</v>
      </c>
      <c r="O1074" s="163" t="s">
        <v>1459</v>
      </c>
      <c r="P1074" s="144">
        <v>9600</v>
      </c>
      <c r="Q1074" s="144">
        <v>1</v>
      </c>
      <c r="R1074" s="68">
        <f t="shared" si="29"/>
        <v>9600</v>
      </c>
      <c r="S1074" s="70">
        <v>202303</v>
      </c>
      <c r="T1074" s="168" t="s">
        <v>1463</v>
      </c>
      <c r="U1074" s="169"/>
      <c r="V1074" s="143"/>
      <c r="W1074" s="143"/>
      <c r="X1074" s="73"/>
      <c r="Y1074" s="73"/>
    </row>
    <row r="1075" s="81" customFormat="1" customHeight="1" spans="1:25">
      <c r="A1075" s="61" t="s">
        <v>403</v>
      </c>
      <c r="B1075" s="61" t="s">
        <v>62</v>
      </c>
      <c r="C1075" s="61" t="s">
        <v>217</v>
      </c>
      <c r="D1075" s="61" t="s">
        <v>566</v>
      </c>
      <c r="E1075" s="160" t="s">
        <v>1043</v>
      </c>
      <c r="F1075" s="61" t="s">
        <v>906</v>
      </c>
      <c r="G1075" s="161" t="s">
        <v>88</v>
      </c>
      <c r="H1075" s="45" t="s">
        <v>1457</v>
      </c>
      <c r="I1075" s="47" t="e">
        <f>VLOOKUP(H1075,'合同综合查询数据（3月返）'!$A:$A,1,FALSE)</f>
        <v>#N/A</v>
      </c>
      <c r="J1075" s="48" t="s">
        <v>90</v>
      </c>
      <c r="K1075" s="135" t="s">
        <v>1458</v>
      </c>
      <c r="L1075" s="164"/>
      <c r="M1075" s="50" t="s">
        <v>909</v>
      </c>
      <c r="N1075" s="178">
        <v>42947</v>
      </c>
      <c r="O1075" s="163" t="s">
        <v>1459</v>
      </c>
      <c r="P1075" s="144">
        <v>9600</v>
      </c>
      <c r="Q1075" s="144">
        <v>10</v>
      </c>
      <c r="R1075" s="68">
        <f t="shared" si="29"/>
        <v>96000</v>
      </c>
      <c r="S1075" s="70">
        <v>202303</v>
      </c>
      <c r="T1075" s="168" t="s">
        <v>1464</v>
      </c>
      <c r="U1075" s="169"/>
      <c r="V1075" s="143"/>
      <c r="W1075" s="143"/>
      <c r="X1075" s="73"/>
      <c r="Y1075" s="73"/>
    </row>
    <row r="1076" s="81" customFormat="1" customHeight="1" spans="1:25">
      <c r="A1076" s="61" t="s">
        <v>403</v>
      </c>
      <c r="B1076" s="61" t="s">
        <v>62</v>
      </c>
      <c r="C1076" s="61" t="s">
        <v>217</v>
      </c>
      <c r="D1076" s="61" t="s">
        <v>566</v>
      </c>
      <c r="E1076" s="160" t="s">
        <v>1043</v>
      </c>
      <c r="F1076" s="61" t="s">
        <v>906</v>
      </c>
      <c r="G1076" s="161" t="s">
        <v>88</v>
      </c>
      <c r="H1076" s="45" t="s">
        <v>1457</v>
      </c>
      <c r="I1076" s="47" t="e">
        <f>VLOOKUP(H1076,'合同综合查询数据（3月返）'!$A:$A,1,FALSE)</f>
        <v>#N/A</v>
      </c>
      <c r="J1076" s="48" t="s">
        <v>90</v>
      </c>
      <c r="K1076" s="135" t="s">
        <v>1458</v>
      </c>
      <c r="L1076" s="164"/>
      <c r="M1076" s="50" t="s">
        <v>909</v>
      </c>
      <c r="N1076" s="178">
        <v>42947</v>
      </c>
      <c r="O1076" s="163" t="s">
        <v>1459</v>
      </c>
      <c r="P1076" s="144">
        <v>9600</v>
      </c>
      <c r="Q1076" s="144">
        <v>6</v>
      </c>
      <c r="R1076" s="68">
        <f t="shared" si="29"/>
        <v>57600</v>
      </c>
      <c r="S1076" s="70">
        <v>202303</v>
      </c>
      <c r="T1076" s="168" t="s">
        <v>1465</v>
      </c>
      <c r="U1076" s="169"/>
      <c r="V1076" s="143"/>
      <c r="W1076" s="143"/>
      <c r="X1076" s="73"/>
      <c r="Y1076" s="73"/>
    </row>
    <row r="1077" s="81" customFormat="1" customHeight="1" spans="1:25">
      <c r="A1077" s="61" t="s">
        <v>403</v>
      </c>
      <c r="B1077" s="61" t="s">
        <v>62</v>
      </c>
      <c r="C1077" s="61" t="s">
        <v>217</v>
      </c>
      <c r="D1077" s="61" t="s">
        <v>566</v>
      </c>
      <c r="E1077" s="160" t="s">
        <v>1043</v>
      </c>
      <c r="F1077" s="61" t="s">
        <v>906</v>
      </c>
      <c r="G1077" s="161" t="s">
        <v>88</v>
      </c>
      <c r="H1077" s="45" t="s">
        <v>1457</v>
      </c>
      <c r="I1077" s="47" t="e">
        <f>VLOOKUP(H1077,'合同综合查询数据（3月返）'!$A:$A,1,FALSE)</f>
        <v>#N/A</v>
      </c>
      <c r="J1077" s="48" t="s">
        <v>90</v>
      </c>
      <c r="K1077" s="135" t="s">
        <v>1458</v>
      </c>
      <c r="L1077" s="164"/>
      <c r="M1077" s="50" t="s">
        <v>909</v>
      </c>
      <c r="N1077" s="178">
        <v>42947</v>
      </c>
      <c r="O1077" s="163" t="s">
        <v>1459</v>
      </c>
      <c r="P1077" s="144">
        <v>9600</v>
      </c>
      <c r="Q1077" s="144">
        <v>5</v>
      </c>
      <c r="R1077" s="68">
        <f t="shared" si="29"/>
        <v>48000</v>
      </c>
      <c r="S1077" s="70">
        <v>202303</v>
      </c>
      <c r="T1077" s="168" t="s">
        <v>1466</v>
      </c>
      <c r="U1077" s="169"/>
      <c r="V1077" s="143"/>
      <c r="W1077" s="143"/>
      <c r="X1077" s="73"/>
      <c r="Y1077" s="73"/>
    </row>
    <row r="1078" s="81" customFormat="1" customHeight="1" spans="1:25">
      <c r="A1078" s="61" t="s">
        <v>403</v>
      </c>
      <c r="B1078" s="61" t="s">
        <v>62</v>
      </c>
      <c r="C1078" s="61" t="s">
        <v>217</v>
      </c>
      <c r="D1078" s="61" t="s">
        <v>566</v>
      </c>
      <c r="E1078" s="160" t="s">
        <v>1043</v>
      </c>
      <c r="F1078" s="61" t="s">
        <v>906</v>
      </c>
      <c r="G1078" s="161" t="s">
        <v>88</v>
      </c>
      <c r="H1078" s="45" t="s">
        <v>1457</v>
      </c>
      <c r="I1078" s="47" t="e">
        <f>VLOOKUP(H1078,'合同综合查询数据（3月返）'!$A:$A,1,FALSE)</f>
        <v>#N/A</v>
      </c>
      <c r="J1078" s="48" t="s">
        <v>90</v>
      </c>
      <c r="K1078" s="135" t="s">
        <v>1458</v>
      </c>
      <c r="L1078" s="164"/>
      <c r="M1078" s="50" t="s">
        <v>909</v>
      </c>
      <c r="N1078" s="178">
        <v>42948</v>
      </c>
      <c r="O1078" s="163" t="s">
        <v>1459</v>
      </c>
      <c r="P1078" s="144">
        <v>9600</v>
      </c>
      <c r="Q1078" s="144">
        <v>7</v>
      </c>
      <c r="R1078" s="68">
        <f t="shared" si="29"/>
        <v>67200</v>
      </c>
      <c r="S1078" s="70">
        <v>202303</v>
      </c>
      <c r="T1078" s="168" t="s">
        <v>1467</v>
      </c>
      <c r="U1078" s="169"/>
      <c r="V1078" s="143"/>
      <c r="W1078" s="143"/>
      <c r="X1078" s="73"/>
      <c r="Y1078" s="73"/>
    </row>
    <row r="1079" s="81" customFormat="1" customHeight="1" spans="1:25">
      <c r="A1079" s="61" t="s">
        <v>403</v>
      </c>
      <c r="B1079" s="61" t="s">
        <v>62</v>
      </c>
      <c r="C1079" s="61" t="s">
        <v>217</v>
      </c>
      <c r="D1079" s="61" t="s">
        <v>566</v>
      </c>
      <c r="E1079" s="160" t="s">
        <v>1043</v>
      </c>
      <c r="F1079" s="61" t="s">
        <v>906</v>
      </c>
      <c r="G1079" s="161" t="s">
        <v>88</v>
      </c>
      <c r="H1079" s="45" t="s">
        <v>1457</v>
      </c>
      <c r="I1079" s="47" t="e">
        <f>VLOOKUP(H1079,'合同综合查询数据（3月返）'!$A:$A,1,FALSE)</f>
        <v>#N/A</v>
      </c>
      <c r="J1079" s="48" t="s">
        <v>90</v>
      </c>
      <c r="K1079" s="135" t="s">
        <v>1458</v>
      </c>
      <c r="L1079" s="164"/>
      <c r="M1079" s="50" t="s">
        <v>909</v>
      </c>
      <c r="N1079" s="178">
        <v>42948</v>
      </c>
      <c r="O1079" s="163" t="s">
        <v>1459</v>
      </c>
      <c r="P1079" s="144">
        <v>9600</v>
      </c>
      <c r="Q1079" s="144">
        <v>2</v>
      </c>
      <c r="R1079" s="68">
        <f t="shared" si="29"/>
        <v>19200</v>
      </c>
      <c r="S1079" s="70">
        <v>202303</v>
      </c>
      <c r="T1079" s="168" t="s">
        <v>1468</v>
      </c>
      <c r="U1079" s="169"/>
      <c r="V1079" s="143"/>
      <c r="W1079" s="143"/>
      <c r="X1079" s="73"/>
      <c r="Y1079" s="73"/>
    </row>
    <row r="1080" s="81" customFormat="1" customHeight="1" spans="1:25">
      <c r="A1080" s="61" t="s">
        <v>403</v>
      </c>
      <c r="B1080" s="61" t="s">
        <v>62</v>
      </c>
      <c r="C1080" s="61" t="s">
        <v>217</v>
      </c>
      <c r="D1080" s="61" t="s">
        <v>566</v>
      </c>
      <c r="E1080" s="160" t="s">
        <v>1043</v>
      </c>
      <c r="F1080" s="61" t="s">
        <v>906</v>
      </c>
      <c r="G1080" s="161" t="s">
        <v>88</v>
      </c>
      <c r="H1080" s="45" t="s">
        <v>1457</v>
      </c>
      <c r="I1080" s="47" t="e">
        <f>VLOOKUP(H1080,'合同综合查询数据（3月返）'!$A:$A,1,FALSE)</f>
        <v>#N/A</v>
      </c>
      <c r="J1080" s="48" t="s">
        <v>90</v>
      </c>
      <c r="K1080" s="135" t="s">
        <v>1458</v>
      </c>
      <c r="L1080" s="164"/>
      <c r="M1080" s="50" t="s">
        <v>909</v>
      </c>
      <c r="N1080" s="178">
        <v>42949</v>
      </c>
      <c r="O1080" s="163" t="s">
        <v>1459</v>
      </c>
      <c r="P1080" s="144">
        <v>9600</v>
      </c>
      <c r="Q1080" s="144">
        <v>3</v>
      </c>
      <c r="R1080" s="68">
        <f t="shared" si="29"/>
        <v>28800</v>
      </c>
      <c r="S1080" s="70">
        <v>202303</v>
      </c>
      <c r="T1080" s="168" t="s">
        <v>1469</v>
      </c>
      <c r="U1080" s="169"/>
      <c r="V1080" s="143"/>
      <c r="W1080" s="143"/>
      <c r="X1080" s="73"/>
      <c r="Y1080" s="73"/>
    </row>
    <row r="1081" s="81" customFormat="1" customHeight="1" spans="1:25">
      <c r="A1081" s="61" t="s">
        <v>403</v>
      </c>
      <c r="B1081" s="61" t="s">
        <v>62</v>
      </c>
      <c r="C1081" s="61" t="s">
        <v>217</v>
      </c>
      <c r="D1081" s="61" t="s">
        <v>566</v>
      </c>
      <c r="E1081" s="160" t="s">
        <v>1043</v>
      </c>
      <c r="F1081" s="61" t="s">
        <v>906</v>
      </c>
      <c r="G1081" s="161" t="s">
        <v>88</v>
      </c>
      <c r="H1081" s="45" t="s">
        <v>1457</v>
      </c>
      <c r="I1081" s="47" t="e">
        <f>VLOOKUP(H1081,'合同综合查询数据（3月返）'!$A:$A,1,FALSE)</f>
        <v>#N/A</v>
      </c>
      <c r="J1081" s="48" t="s">
        <v>90</v>
      </c>
      <c r="K1081" s="135" t="s">
        <v>1458</v>
      </c>
      <c r="L1081" s="164"/>
      <c r="M1081" s="50" t="s">
        <v>909</v>
      </c>
      <c r="N1081" s="178">
        <v>42949</v>
      </c>
      <c r="O1081" s="163" t="s">
        <v>1459</v>
      </c>
      <c r="P1081" s="144">
        <v>9600</v>
      </c>
      <c r="Q1081" s="144">
        <v>1</v>
      </c>
      <c r="R1081" s="68">
        <f t="shared" si="29"/>
        <v>9600</v>
      </c>
      <c r="S1081" s="70">
        <v>202303</v>
      </c>
      <c r="T1081" s="168" t="s">
        <v>1470</v>
      </c>
      <c r="U1081" s="169"/>
      <c r="V1081" s="143"/>
      <c r="W1081" s="143"/>
      <c r="X1081" s="73"/>
      <c r="Y1081" s="73"/>
    </row>
    <row r="1082" s="81" customFormat="1" customHeight="1" spans="1:25">
      <c r="A1082" s="61" t="s">
        <v>403</v>
      </c>
      <c r="B1082" s="61" t="s">
        <v>62</v>
      </c>
      <c r="C1082" s="61" t="s">
        <v>217</v>
      </c>
      <c r="D1082" s="61" t="s">
        <v>566</v>
      </c>
      <c r="E1082" s="160" t="s">
        <v>1043</v>
      </c>
      <c r="F1082" s="61" t="s">
        <v>906</v>
      </c>
      <c r="G1082" s="161" t="s">
        <v>88</v>
      </c>
      <c r="H1082" s="45" t="s">
        <v>1457</v>
      </c>
      <c r="I1082" s="47" t="e">
        <f>VLOOKUP(H1082,'合同综合查询数据（3月返）'!$A:$A,1,FALSE)</f>
        <v>#N/A</v>
      </c>
      <c r="J1082" s="48" t="s">
        <v>90</v>
      </c>
      <c r="K1082" s="135" t="s">
        <v>1458</v>
      </c>
      <c r="L1082" s="164"/>
      <c r="M1082" s="50" t="s">
        <v>909</v>
      </c>
      <c r="N1082" s="178">
        <v>42949</v>
      </c>
      <c r="O1082" s="163" t="s">
        <v>1459</v>
      </c>
      <c r="P1082" s="144">
        <v>9600</v>
      </c>
      <c r="Q1082" s="144">
        <v>3</v>
      </c>
      <c r="R1082" s="68">
        <f t="shared" si="29"/>
        <v>28800</v>
      </c>
      <c r="S1082" s="70">
        <v>202303</v>
      </c>
      <c r="T1082" s="168" t="s">
        <v>1471</v>
      </c>
      <c r="U1082" s="169"/>
      <c r="V1082" s="143"/>
      <c r="W1082" s="143"/>
      <c r="X1082" s="73"/>
      <c r="Y1082" s="73"/>
    </row>
    <row r="1083" s="81" customFormat="1" customHeight="1" spans="1:25">
      <c r="A1083" s="61" t="s">
        <v>403</v>
      </c>
      <c r="B1083" s="61" t="s">
        <v>62</v>
      </c>
      <c r="C1083" s="61" t="s">
        <v>217</v>
      </c>
      <c r="D1083" s="61" t="s">
        <v>566</v>
      </c>
      <c r="E1083" s="160" t="s">
        <v>1043</v>
      </c>
      <c r="F1083" s="61" t="s">
        <v>906</v>
      </c>
      <c r="G1083" s="161" t="s">
        <v>88</v>
      </c>
      <c r="H1083" s="45" t="s">
        <v>1457</v>
      </c>
      <c r="I1083" s="47" t="e">
        <f>VLOOKUP(H1083,'合同综合查询数据（3月返）'!$A:$A,1,FALSE)</f>
        <v>#N/A</v>
      </c>
      <c r="J1083" s="48" t="s">
        <v>90</v>
      </c>
      <c r="K1083" s="135" t="s">
        <v>1458</v>
      </c>
      <c r="L1083" s="164"/>
      <c r="M1083" s="50" t="s">
        <v>909</v>
      </c>
      <c r="N1083" s="178">
        <v>42954</v>
      </c>
      <c r="O1083" s="163" t="s">
        <v>1459</v>
      </c>
      <c r="P1083" s="144">
        <v>9600</v>
      </c>
      <c r="Q1083" s="144">
        <v>3</v>
      </c>
      <c r="R1083" s="68">
        <f t="shared" si="29"/>
        <v>28800</v>
      </c>
      <c r="S1083" s="70">
        <v>202303</v>
      </c>
      <c r="T1083" s="168" t="s">
        <v>1472</v>
      </c>
      <c r="U1083" s="169"/>
      <c r="V1083" s="143"/>
      <c r="W1083" s="143"/>
      <c r="X1083" s="73"/>
      <c r="Y1083" s="73"/>
    </row>
    <row r="1084" s="81" customFormat="1" customHeight="1" spans="1:25">
      <c r="A1084" s="61" t="s">
        <v>403</v>
      </c>
      <c r="B1084" s="61" t="s">
        <v>62</v>
      </c>
      <c r="C1084" s="61" t="s">
        <v>217</v>
      </c>
      <c r="D1084" s="61" t="s">
        <v>566</v>
      </c>
      <c r="E1084" s="160" t="s">
        <v>1043</v>
      </c>
      <c r="F1084" s="61" t="s">
        <v>906</v>
      </c>
      <c r="G1084" s="161" t="s">
        <v>88</v>
      </c>
      <c r="H1084" s="45" t="s">
        <v>1457</v>
      </c>
      <c r="I1084" s="47" t="e">
        <f>VLOOKUP(H1084,'合同综合查询数据（3月返）'!$A:$A,1,FALSE)</f>
        <v>#N/A</v>
      </c>
      <c r="J1084" s="48" t="s">
        <v>90</v>
      </c>
      <c r="K1084" s="135" t="s">
        <v>1458</v>
      </c>
      <c r="L1084" s="164"/>
      <c r="M1084" s="50" t="s">
        <v>909</v>
      </c>
      <c r="N1084" s="178">
        <v>42958</v>
      </c>
      <c r="O1084" s="163" t="s">
        <v>1459</v>
      </c>
      <c r="P1084" s="144">
        <v>9600</v>
      </c>
      <c r="Q1084" s="144">
        <v>3</v>
      </c>
      <c r="R1084" s="68">
        <f t="shared" si="29"/>
        <v>28800</v>
      </c>
      <c r="S1084" s="70">
        <v>202303</v>
      </c>
      <c r="T1084" s="168" t="s">
        <v>1473</v>
      </c>
      <c r="U1084" s="169"/>
      <c r="V1084" s="143"/>
      <c r="W1084" s="143"/>
      <c r="X1084" s="73"/>
      <c r="Y1084" s="73"/>
    </row>
    <row r="1085" s="81" customFormat="1" customHeight="1" spans="1:25">
      <c r="A1085" s="61" t="s">
        <v>403</v>
      </c>
      <c r="B1085" s="61" t="s">
        <v>62</v>
      </c>
      <c r="C1085" s="61" t="s">
        <v>217</v>
      </c>
      <c r="D1085" s="61" t="s">
        <v>566</v>
      </c>
      <c r="E1085" s="160" t="s">
        <v>1043</v>
      </c>
      <c r="F1085" s="61" t="s">
        <v>906</v>
      </c>
      <c r="G1085" s="161" t="s">
        <v>88</v>
      </c>
      <c r="H1085" s="45" t="s">
        <v>1457</v>
      </c>
      <c r="I1085" s="47" t="e">
        <f>VLOOKUP(H1085,'合同综合查询数据（3月返）'!$A:$A,1,FALSE)</f>
        <v>#N/A</v>
      </c>
      <c r="J1085" s="48" t="s">
        <v>90</v>
      </c>
      <c r="K1085" s="135" t="s">
        <v>1458</v>
      </c>
      <c r="L1085" s="164"/>
      <c r="M1085" s="50" t="s">
        <v>909</v>
      </c>
      <c r="N1085" s="178">
        <v>42964</v>
      </c>
      <c r="O1085" s="163" t="s">
        <v>1459</v>
      </c>
      <c r="P1085" s="144">
        <v>9600</v>
      </c>
      <c r="Q1085" s="144">
        <v>6</v>
      </c>
      <c r="R1085" s="68">
        <f t="shared" si="29"/>
        <v>57600</v>
      </c>
      <c r="S1085" s="70">
        <v>202303</v>
      </c>
      <c r="T1085" s="168" t="s">
        <v>1474</v>
      </c>
      <c r="U1085" s="169"/>
      <c r="V1085" s="143"/>
      <c r="W1085" s="143"/>
      <c r="X1085" s="73"/>
      <c r="Y1085" s="73"/>
    </row>
    <row r="1086" s="81" customFormat="1" customHeight="1" spans="1:25">
      <c r="A1086" s="61" t="s">
        <v>403</v>
      </c>
      <c r="B1086" s="61" t="s">
        <v>62</v>
      </c>
      <c r="C1086" s="61" t="s">
        <v>217</v>
      </c>
      <c r="D1086" s="61" t="s">
        <v>566</v>
      </c>
      <c r="E1086" s="160" t="s">
        <v>1043</v>
      </c>
      <c r="F1086" s="61" t="s">
        <v>906</v>
      </c>
      <c r="G1086" s="161" t="s">
        <v>88</v>
      </c>
      <c r="H1086" s="45" t="s">
        <v>1457</v>
      </c>
      <c r="I1086" s="47" t="e">
        <f>VLOOKUP(H1086,'合同综合查询数据（3月返）'!$A:$A,1,FALSE)</f>
        <v>#N/A</v>
      </c>
      <c r="J1086" s="48" t="s">
        <v>90</v>
      </c>
      <c r="K1086" s="135" t="s">
        <v>1458</v>
      </c>
      <c r="L1086" s="164"/>
      <c r="M1086" s="50" t="s">
        <v>909</v>
      </c>
      <c r="N1086" s="178">
        <v>42975</v>
      </c>
      <c r="O1086" s="163" t="s">
        <v>1459</v>
      </c>
      <c r="P1086" s="144">
        <v>9600</v>
      </c>
      <c r="Q1086" s="144">
        <v>1</v>
      </c>
      <c r="R1086" s="68">
        <f t="shared" si="29"/>
        <v>9600</v>
      </c>
      <c r="S1086" s="70">
        <v>202303</v>
      </c>
      <c r="T1086" s="168" t="s">
        <v>1475</v>
      </c>
      <c r="U1086" s="169"/>
      <c r="V1086" s="143"/>
      <c r="W1086" s="143"/>
      <c r="X1086" s="73"/>
      <c r="Y1086" s="73"/>
    </row>
    <row r="1087" s="81" customFormat="1" customHeight="1" spans="1:25">
      <c r="A1087" s="61" t="s">
        <v>403</v>
      </c>
      <c r="B1087" s="61" t="s">
        <v>62</v>
      </c>
      <c r="C1087" s="61" t="s">
        <v>217</v>
      </c>
      <c r="D1087" s="61" t="s">
        <v>566</v>
      </c>
      <c r="E1087" s="160" t="s">
        <v>1043</v>
      </c>
      <c r="F1087" s="61" t="s">
        <v>906</v>
      </c>
      <c r="G1087" s="161" t="s">
        <v>88</v>
      </c>
      <c r="H1087" s="45" t="s">
        <v>1457</v>
      </c>
      <c r="I1087" s="47" t="e">
        <f>VLOOKUP(H1087,'合同综合查询数据（3月返）'!$A:$A,1,FALSE)</f>
        <v>#N/A</v>
      </c>
      <c r="J1087" s="48" t="s">
        <v>90</v>
      </c>
      <c r="K1087" s="135" t="s">
        <v>1458</v>
      </c>
      <c r="L1087" s="164"/>
      <c r="M1087" s="50" t="s">
        <v>909</v>
      </c>
      <c r="N1087" s="178">
        <v>42979</v>
      </c>
      <c r="O1087" s="163" t="s">
        <v>1459</v>
      </c>
      <c r="P1087" s="144">
        <v>9600</v>
      </c>
      <c r="Q1087" s="144">
        <v>3</v>
      </c>
      <c r="R1087" s="68">
        <f t="shared" si="29"/>
        <v>28800</v>
      </c>
      <c r="S1087" s="70">
        <v>202303</v>
      </c>
      <c r="T1087" s="168" t="s">
        <v>1476</v>
      </c>
      <c r="U1087" s="169"/>
      <c r="V1087" s="143"/>
      <c r="W1087" s="143"/>
      <c r="X1087" s="73"/>
      <c r="Y1087" s="73"/>
    </row>
    <row r="1088" s="81" customFormat="1" customHeight="1" spans="1:25">
      <c r="A1088" s="61" t="s">
        <v>403</v>
      </c>
      <c r="B1088" s="61" t="s">
        <v>62</v>
      </c>
      <c r="C1088" s="61" t="s">
        <v>217</v>
      </c>
      <c r="D1088" s="61" t="s">
        <v>566</v>
      </c>
      <c r="E1088" s="160" t="s">
        <v>1043</v>
      </c>
      <c r="F1088" s="61" t="s">
        <v>906</v>
      </c>
      <c r="G1088" s="161" t="s">
        <v>88</v>
      </c>
      <c r="H1088" s="45" t="s">
        <v>1457</v>
      </c>
      <c r="I1088" s="47" t="e">
        <f>VLOOKUP(H1088,'合同综合查询数据（3月返）'!$A:$A,1,FALSE)</f>
        <v>#N/A</v>
      </c>
      <c r="J1088" s="48" t="s">
        <v>90</v>
      </c>
      <c r="K1088" s="135" t="s">
        <v>1458</v>
      </c>
      <c r="L1088" s="164"/>
      <c r="M1088" s="50" t="s">
        <v>909</v>
      </c>
      <c r="N1088" s="178">
        <v>42979</v>
      </c>
      <c r="O1088" s="163" t="s">
        <v>1459</v>
      </c>
      <c r="P1088" s="144">
        <v>9600</v>
      </c>
      <c r="Q1088" s="144">
        <v>1</v>
      </c>
      <c r="R1088" s="68">
        <f t="shared" si="29"/>
        <v>9600</v>
      </c>
      <c r="S1088" s="70">
        <v>202303</v>
      </c>
      <c r="T1088" s="168" t="s">
        <v>1477</v>
      </c>
      <c r="U1088" s="169"/>
      <c r="V1088" s="143"/>
      <c r="W1088" s="143"/>
      <c r="X1088" s="73"/>
      <c r="Y1088" s="73"/>
    </row>
    <row r="1089" s="81" customFormat="1" customHeight="1" spans="1:25">
      <c r="A1089" s="61" t="s">
        <v>403</v>
      </c>
      <c r="B1089" s="61" t="s">
        <v>62</v>
      </c>
      <c r="C1089" s="61" t="s">
        <v>217</v>
      </c>
      <c r="D1089" s="61" t="s">
        <v>566</v>
      </c>
      <c r="E1089" s="160" t="s">
        <v>1043</v>
      </c>
      <c r="F1089" s="61" t="s">
        <v>906</v>
      </c>
      <c r="G1089" s="161" t="s">
        <v>88</v>
      </c>
      <c r="H1089" s="45" t="s">
        <v>1457</v>
      </c>
      <c r="I1089" s="47" t="e">
        <f>VLOOKUP(H1089,'合同综合查询数据（3月返）'!$A:$A,1,FALSE)</f>
        <v>#N/A</v>
      </c>
      <c r="J1089" s="48" t="s">
        <v>90</v>
      </c>
      <c r="K1089" s="135" t="s">
        <v>1458</v>
      </c>
      <c r="L1089" s="164"/>
      <c r="M1089" s="50" t="s">
        <v>909</v>
      </c>
      <c r="N1089" s="178">
        <v>42979</v>
      </c>
      <c r="O1089" s="163" t="s">
        <v>1459</v>
      </c>
      <c r="P1089" s="144">
        <v>9600</v>
      </c>
      <c r="Q1089" s="144">
        <v>6</v>
      </c>
      <c r="R1089" s="68">
        <f t="shared" si="29"/>
        <v>57600</v>
      </c>
      <c r="S1089" s="70">
        <v>202303</v>
      </c>
      <c r="T1089" s="168" t="s">
        <v>1478</v>
      </c>
      <c r="U1089" s="169"/>
      <c r="V1089" s="143"/>
      <c r="W1089" s="143"/>
      <c r="X1089" s="73"/>
      <c r="Y1089" s="73"/>
    </row>
    <row r="1090" s="81" customFormat="1" customHeight="1" spans="1:25">
      <c r="A1090" s="61" t="s">
        <v>403</v>
      </c>
      <c r="B1090" s="61" t="s">
        <v>62</v>
      </c>
      <c r="C1090" s="61" t="s">
        <v>217</v>
      </c>
      <c r="D1090" s="61" t="s">
        <v>566</v>
      </c>
      <c r="E1090" s="160" t="s">
        <v>1043</v>
      </c>
      <c r="F1090" s="61" t="s">
        <v>906</v>
      </c>
      <c r="G1090" s="161" t="s">
        <v>88</v>
      </c>
      <c r="H1090" s="45" t="s">
        <v>1457</v>
      </c>
      <c r="I1090" s="47" t="e">
        <f>VLOOKUP(H1090,'合同综合查询数据（3月返）'!$A:$A,1,FALSE)</f>
        <v>#N/A</v>
      </c>
      <c r="J1090" s="48" t="s">
        <v>90</v>
      </c>
      <c r="K1090" s="135" t="s">
        <v>1458</v>
      </c>
      <c r="L1090" s="164"/>
      <c r="M1090" s="50" t="s">
        <v>909</v>
      </c>
      <c r="N1090" s="178">
        <v>42979</v>
      </c>
      <c r="O1090" s="163" t="s">
        <v>1459</v>
      </c>
      <c r="P1090" s="144">
        <v>9600</v>
      </c>
      <c r="Q1090" s="144">
        <v>4</v>
      </c>
      <c r="R1090" s="68">
        <f t="shared" si="29"/>
        <v>38400</v>
      </c>
      <c r="S1090" s="70">
        <v>202303</v>
      </c>
      <c r="T1090" s="168" t="s">
        <v>1479</v>
      </c>
      <c r="U1090" s="169"/>
      <c r="V1090" s="143"/>
      <c r="W1090" s="143"/>
      <c r="X1090" s="73"/>
      <c r="Y1090" s="73"/>
    </row>
    <row r="1091" s="81" customFormat="1" customHeight="1" spans="1:25">
      <c r="A1091" s="61" t="s">
        <v>403</v>
      </c>
      <c r="B1091" s="61" t="s">
        <v>62</v>
      </c>
      <c r="C1091" s="61" t="s">
        <v>217</v>
      </c>
      <c r="D1091" s="61" t="s">
        <v>566</v>
      </c>
      <c r="E1091" s="160" t="s">
        <v>1043</v>
      </c>
      <c r="F1091" s="61" t="s">
        <v>906</v>
      </c>
      <c r="G1091" s="161" t="s">
        <v>88</v>
      </c>
      <c r="H1091" s="45" t="s">
        <v>1457</v>
      </c>
      <c r="I1091" s="47" t="e">
        <f>VLOOKUP(H1091,'合同综合查询数据（3月返）'!$A:$A,1,FALSE)</f>
        <v>#N/A</v>
      </c>
      <c r="J1091" s="48" t="s">
        <v>90</v>
      </c>
      <c r="K1091" s="135" t="s">
        <v>1458</v>
      </c>
      <c r="L1091" s="164"/>
      <c r="M1091" s="50" t="s">
        <v>909</v>
      </c>
      <c r="N1091" s="178">
        <v>42979</v>
      </c>
      <c r="O1091" s="163" t="s">
        <v>1459</v>
      </c>
      <c r="P1091" s="144">
        <v>9600</v>
      </c>
      <c r="Q1091" s="144">
        <v>4</v>
      </c>
      <c r="R1091" s="68">
        <f t="shared" si="29"/>
        <v>38400</v>
      </c>
      <c r="S1091" s="70">
        <v>202303</v>
      </c>
      <c r="T1091" s="168" t="s">
        <v>1480</v>
      </c>
      <c r="U1091" s="169"/>
      <c r="V1091" s="143"/>
      <c r="W1091" s="143"/>
      <c r="X1091" s="73"/>
      <c r="Y1091" s="73"/>
    </row>
    <row r="1092" s="81" customFormat="1" customHeight="1" spans="1:25">
      <c r="A1092" s="61" t="s">
        <v>403</v>
      </c>
      <c r="B1092" s="61" t="s">
        <v>62</v>
      </c>
      <c r="C1092" s="61" t="s">
        <v>217</v>
      </c>
      <c r="D1092" s="61" t="s">
        <v>566</v>
      </c>
      <c r="E1092" s="160" t="s">
        <v>1043</v>
      </c>
      <c r="F1092" s="61" t="s">
        <v>906</v>
      </c>
      <c r="G1092" s="161" t="s">
        <v>88</v>
      </c>
      <c r="H1092" s="45" t="s">
        <v>1457</v>
      </c>
      <c r="I1092" s="47" t="e">
        <f>VLOOKUP(H1092,'合同综合查询数据（3月返）'!$A:$A,1,FALSE)</f>
        <v>#N/A</v>
      </c>
      <c r="J1092" s="48" t="s">
        <v>90</v>
      </c>
      <c r="K1092" s="135" t="s">
        <v>1458</v>
      </c>
      <c r="L1092" s="164"/>
      <c r="M1092" s="50" t="s">
        <v>909</v>
      </c>
      <c r="N1092" s="178">
        <v>42979</v>
      </c>
      <c r="O1092" s="163" t="s">
        <v>1459</v>
      </c>
      <c r="P1092" s="144">
        <v>9600</v>
      </c>
      <c r="Q1092" s="144">
        <v>8</v>
      </c>
      <c r="R1092" s="68">
        <f t="shared" si="29"/>
        <v>76800</v>
      </c>
      <c r="S1092" s="70">
        <v>202303</v>
      </c>
      <c r="T1092" s="168" t="s">
        <v>1481</v>
      </c>
      <c r="U1092" s="169"/>
      <c r="V1092" s="143"/>
      <c r="W1092" s="143"/>
      <c r="X1092" s="73"/>
      <c r="Y1092" s="73"/>
    </row>
    <row r="1093" s="81" customFormat="1" customHeight="1" spans="1:25">
      <c r="A1093" s="61" t="s">
        <v>403</v>
      </c>
      <c r="B1093" s="61" t="s">
        <v>62</v>
      </c>
      <c r="C1093" s="61" t="s">
        <v>217</v>
      </c>
      <c r="D1093" s="61" t="s">
        <v>566</v>
      </c>
      <c r="E1093" s="160" t="s">
        <v>1043</v>
      </c>
      <c r="F1093" s="61" t="s">
        <v>906</v>
      </c>
      <c r="G1093" s="161" t="s">
        <v>88</v>
      </c>
      <c r="H1093" s="45" t="s">
        <v>1457</v>
      </c>
      <c r="I1093" s="47" t="e">
        <f>VLOOKUP(H1093,'合同综合查询数据（3月返）'!$A:$A,1,FALSE)</f>
        <v>#N/A</v>
      </c>
      <c r="J1093" s="48" t="s">
        <v>90</v>
      </c>
      <c r="K1093" s="135" t="s">
        <v>1458</v>
      </c>
      <c r="L1093" s="164"/>
      <c r="M1093" s="50" t="s">
        <v>909</v>
      </c>
      <c r="N1093" s="178">
        <v>42984</v>
      </c>
      <c r="O1093" s="163" t="s">
        <v>1459</v>
      </c>
      <c r="P1093" s="144">
        <v>9600</v>
      </c>
      <c r="Q1093" s="144">
        <v>4</v>
      </c>
      <c r="R1093" s="68">
        <f t="shared" si="29"/>
        <v>38400</v>
      </c>
      <c r="S1093" s="70">
        <v>202303</v>
      </c>
      <c r="T1093" s="168" t="s">
        <v>1482</v>
      </c>
      <c r="U1093" s="169"/>
      <c r="V1093" s="143"/>
      <c r="W1093" s="143"/>
      <c r="X1093" s="73"/>
      <c r="Y1093" s="73"/>
    </row>
    <row r="1094" s="81" customFormat="1" customHeight="1" spans="1:25">
      <c r="A1094" s="61" t="s">
        <v>403</v>
      </c>
      <c r="B1094" s="61" t="s">
        <v>62</v>
      </c>
      <c r="C1094" s="61" t="s">
        <v>217</v>
      </c>
      <c r="D1094" s="61" t="s">
        <v>566</v>
      </c>
      <c r="E1094" s="160" t="s">
        <v>1043</v>
      </c>
      <c r="F1094" s="61" t="s">
        <v>906</v>
      </c>
      <c r="G1094" s="161" t="s">
        <v>88</v>
      </c>
      <c r="H1094" s="45" t="s">
        <v>1457</v>
      </c>
      <c r="I1094" s="47" t="e">
        <f>VLOOKUP(H1094,'合同综合查询数据（3月返）'!$A:$A,1,FALSE)</f>
        <v>#N/A</v>
      </c>
      <c r="J1094" s="48" t="s">
        <v>90</v>
      </c>
      <c r="K1094" s="135" t="s">
        <v>1458</v>
      </c>
      <c r="L1094" s="164"/>
      <c r="M1094" s="50" t="s">
        <v>909</v>
      </c>
      <c r="N1094" s="178">
        <v>42990</v>
      </c>
      <c r="O1094" s="163" t="s">
        <v>1459</v>
      </c>
      <c r="P1094" s="144">
        <v>9600</v>
      </c>
      <c r="Q1094" s="144">
        <v>5</v>
      </c>
      <c r="R1094" s="68">
        <f t="shared" si="29"/>
        <v>48000</v>
      </c>
      <c r="S1094" s="70">
        <v>202303</v>
      </c>
      <c r="T1094" s="168" t="s">
        <v>1483</v>
      </c>
      <c r="U1094" s="169"/>
      <c r="V1094" s="143"/>
      <c r="W1094" s="143"/>
      <c r="X1094" s="73"/>
      <c r="Y1094" s="73"/>
    </row>
    <row r="1095" s="81" customFormat="1" customHeight="1" spans="1:25">
      <c r="A1095" s="61" t="s">
        <v>403</v>
      </c>
      <c r="B1095" s="61" t="s">
        <v>62</v>
      </c>
      <c r="C1095" s="61" t="s">
        <v>217</v>
      </c>
      <c r="D1095" s="61" t="s">
        <v>566</v>
      </c>
      <c r="E1095" s="160" t="s">
        <v>1043</v>
      </c>
      <c r="F1095" s="61" t="s">
        <v>906</v>
      </c>
      <c r="G1095" s="161" t="s">
        <v>88</v>
      </c>
      <c r="H1095" s="45" t="s">
        <v>1457</v>
      </c>
      <c r="I1095" s="47" t="e">
        <f>VLOOKUP(H1095,'合同综合查询数据（3月返）'!$A:$A,1,FALSE)</f>
        <v>#N/A</v>
      </c>
      <c r="J1095" s="48" t="s">
        <v>90</v>
      </c>
      <c r="K1095" s="135" t="s">
        <v>1458</v>
      </c>
      <c r="L1095" s="164"/>
      <c r="M1095" s="50" t="s">
        <v>909</v>
      </c>
      <c r="N1095" s="178">
        <v>42992</v>
      </c>
      <c r="O1095" s="163" t="s">
        <v>1459</v>
      </c>
      <c r="P1095" s="144">
        <v>9600</v>
      </c>
      <c r="Q1095" s="144">
        <v>7</v>
      </c>
      <c r="R1095" s="68">
        <f t="shared" si="29"/>
        <v>67200</v>
      </c>
      <c r="S1095" s="70">
        <v>202303</v>
      </c>
      <c r="T1095" s="168" t="s">
        <v>1484</v>
      </c>
      <c r="U1095" s="169"/>
      <c r="V1095" s="143"/>
      <c r="W1095" s="143"/>
      <c r="X1095" s="73"/>
      <c r="Y1095" s="73"/>
    </row>
    <row r="1096" s="81" customFormat="1" customHeight="1" spans="1:25">
      <c r="A1096" s="61" t="s">
        <v>403</v>
      </c>
      <c r="B1096" s="61" t="s">
        <v>62</v>
      </c>
      <c r="C1096" s="61" t="s">
        <v>217</v>
      </c>
      <c r="D1096" s="61" t="s">
        <v>566</v>
      </c>
      <c r="E1096" s="160" t="s">
        <v>1043</v>
      </c>
      <c r="F1096" s="61" t="s">
        <v>906</v>
      </c>
      <c r="G1096" s="161" t="s">
        <v>88</v>
      </c>
      <c r="H1096" s="45" t="s">
        <v>1457</v>
      </c>
      <c r="I1096" s="47" t="e">
        <f>VLOOKUP(H1096,'合同综合查询数据（3月返）'!$A:$A,1,FALSE)</f>
        <v>#N/A</v>
      </c>
      <c r="J1096" s="48" t="s">
        <v>90</v>
      </c>
      <c r="K1096" s="135" t="s">
        <v>1458</v>
      </c>
      <c r="L1096" s="164"/>
      <c r="M1096" s="50" t="s">
        <v>909</v>
      </c>
      <c r="N1096" s="178">
        <v>42996</v>
      </c>
      <c r="O1096" s="163" t="s">
        <v>1459</v>
      </c>
      <c r="P1096" s="144">
        <v>9600</v>
      </c>
      <c r="Q1096" s="144">
        <v>1</v>
      </c>
      <c r="R1096" s="68">
        <f t="shared" si="29"/>
        <v>9600</v>
      </c>
      <c r="S1096" s="70">
        <v>202303</v>
      </c>
      <c r="T1096" s="168" t="s">
        <v>1485</v>
      </c>
      <c r="U1096" s="169"/>
      <c r="V1096" s="143"/>
      <c r="W1096" s="143"/>
      <c r="X1096" s="73"/>
      <c r="Y1096" s="73"/>
    </row>
    <row r="1097" s="81" customFormat="1" customHeight="1" spans="1:25">
      <c r="A1097" s="61" t="s">
        <v>403</v>
      </c>
      <c r="B1097" s="61" t="s">
        <v>62</v>
      </c>
      <c r="C1097" s="61" t="s">
        <v>217</v>
      </c>
      <c r="D1097" s="61" t="s">
        <v>566</v>
      </c>
      <c r="E1097" s="160" t="s">
        <v>1043</v>
      </c>
      <c r="F1097" s="61" t="s">
        <v>906</v>
      </c>
      <c r="G1097" s="161" t="s">
        <v>88</v>
      </c>
      <c r="H1097" s="45" t="s">
        <v>1457</v>
      </c>
      <c r="I1097" s="47" t="e">
        <f>VLOOKUP(H1097,'合同综合查询数据（3月返）'!$A:$A,1,FALSE)</f>
        <v>#N/A</v>
      </c>
      <c r="J1097" s="48" t="s">
        <v>90</v>
      </c>
      <c r="K1097" s="135" t="s">
        <v>1458</v>
      </c>
      <c r="L1097" s="164"/>
      <c r="M1097" s="50" t="s">
        <v>909</v>
      </c>
      <c r="N1097" s="178">
        <v>43000</v>
      </c>
      <c r="O1097" s="163" t="s">
        <v>1459</v>
      </c>
      <c r="P1097" s="144">
        <v>9600</v>
      </c>
      <c r="Q1097" s="144">
        <v>10</v>
      </c>
      <c r="R1097" s="68">
        <f t="shared" ref="R1097:R1160" si="30">ROUND(P1097*Q1097,2)</f>
        <v>96000</v>
      </c>
      <c r="S1097" s="70">
        <v>202303</v>
      </c>
      <c r="T1097" s="168" t="s">
        <v>1486</v>
      </c>
      <c r="U1097" s="169"/>
      <c r="V1097" s="143"/>
      <c r="W1097" s="143"/>
      <c r="X1097" s="73"/>
      <c r="Y1097" s="73"/>
    </row>
    <row r="1098" s="81" customFormat="1" customHeight="1" spans="1:25">
      <c r="A1098" s="61" t="s">
        <v>403</v>
      </c>
      <c r="B1098" s="61" t="s">
        <v>62</v>
      </c>
      <c r="C1098" s="61" t="s">
        <v>217</v>
      </c>
      <c r="D1098" s="61" t="s">
        <v>566</v>
      </c>
      <c r="E1098" s="160" t="s">
        <v>1043</v>
      </c>
      <c r="F1098" s="61" t="s">
        <v>906</v>
      </c>
      <c r="G1098" s="161" t="s">
        <v>88</v>
      </c>
      <c r="H1098" s="45" t="s">
        <v>1457</v>
      </c>
      <c r="I1098" s="47" t="e">
        <f>VLOOKUP(H1098,'合同综合查询数据（3月返）'!$A:$A,1,FALSE)</f>
        <v>#N/A</v>
      </c>
      <c r="J1098" s="48" t="s">
        <v>90</v>
      </c>
      <c r="K1098" s="135" t="s">
        <v>1458</v>
      </c>
      <c r="L1098" s="164"/>
      <c r="M1098" s="50" t="s">
        <v>909</v>
      </c>
      <c r="N1098" s="178">
        <v>43005</v>
      </c>
      <c r="O1098" s="163" t="s">
        <v>1459</v>
      </c>
      <c r="P1098" s="144">
        <v>9600</v>
      </c>
      <c r="Q1098" s="144">
        <v>13</v>
      </c>
      <c r="R1098" s="68">
        <f t="shared" si="30"/>
        <v>124800</v>
      </c>
      <c r="S1098" s="70">
        <v>202303</v>
      </c>
      <c r="T1098" s="168" t="s">
        <v>1487</v>
      </c>
      <c r="U1098" s="169"/>
      <c r="V1098" s="143"/>
      <c r="W1098" s="143"/>
      <c r="X1098" s="73"/>
      <c r="Y1098" s="73"/>
    </row>
    <row r="1099" s="81" customFormat="1" customHeight="1" spans="1:25">
      <c r="A1099" s="61" t="s">
        <v>403</v>
      </c>
      <c r="B1099" s="61" t="s">
        <v>62</v>
      </c>
      <c r="C1099" s="61" t="s">
        <v>217</v>
      </c>
      <c r="D1099" s="61" t="s">
        <v>566</v>
      </c>
      <c r="E1099" s="160" t="s">
        <v>1043</v>
      </c>
      <c r="F1099" s="61" t="s">
        <v>906</v>
      </c>
      <c r="G1099" s="161" t="s">
        <v>88</v>
      </c>
      <c r="H1099" s="45" t="s">
        <v>1457</v>
      </c>
      <c r="I1099" s="47" t="e">
        <f>VLOOKUP(H1099,'合同综合查询数据（3月返）'!$A:$A,1,FALSE)</f>
        <v>#N/A</v>
      </c>
      <c r="J1099" s="48" t="s">
        <v>90</v>
      </c>
      <c r="K1099" s="135" t="s">
        <v>1458</v>
      </c>
      <c r="L1099" s="164"/>
      <c r="M1099" s="50" t="s">
        <v>909</v>
      </c>
      <c r="N1099" s="178">
        <v>43005</v>
      </c>
      <c r="O1099" s="163" t="s">
        <v>1459</v>
      </c>
      <c r="P1099" s="144">
        <v>9600</v>
      </c>
      <c r="Q1099" s="144">
        <v>4</v>
      </c>
      <c r="R1099" s="68">
        <f t="shared" si="30"/>
        <v>38400</v>
      </c>
      <c r="S1099" s="70">
        <v>202303</v>
      </c>
      <c r="T1099" s="168" t="s">
        <v>1488</v>
      </c>
      <c r="U1099" s="169"/>
      <c r="V1099" s="143"/>
      <c r="W1099" s="143"/>
      <c r="X1099" s="73"/>
      <c r="Y1099" s="73"/>
    </row>
    <row r="1100" s="81" customFormat="1" customHeight="1" spans="1:25">
      <c r="A1100" s="61" t="s">
        <v>403</v>
      </c>
      <c r="B1100" s="61" t="s">
        <v>62</v>
      </c>
      <c r="C1100" s="61" t="s">
        <v>217</v>
      </c>
      <c r="D1100" s="61" t="s">
        <v>566</v>
      </c>
      <c r="E1100" s="160" t="s">
        <v>1043</v>
      </c>
      <c r="F1100" s="61" t="s">
        <v>906</v>
      </c>
      <c r="G1100" s="161" t="s">
        <v>88</v>
      </c>
      <c r="H1100" s="45" t="s">
        <v>1457</v>
      </c>
      <c r="I1100" s="47" t="e">
        <f>VLOOKUP(H1100,'合同综合查询数据（3月返）'!$A:$A,1,FALSE)</f>
        <v>#N/A</v>
      </c>
      <c r="J1100" s="48" t="s">
        <v>90</v>
      </c>
      <c r="K1100" s="135" t="s">
        <v>1458</v>
      </c>
      <c r="L1100" s="164"/>
      <c r="M1100" s="50" t="s">
        <v>909</v>
      </c>
      <c r="N1100" s="178">
        <v>43005</v>
      </c>
      <c r="O1100" s="163" t="s">
        <v>1459</v>
      </c>
      <c r="P1100" s="144">
        <v>9600</v>
      </c>
      <c r="Q1100" s="144">
        <v>1</v>
      </c>
      <c r="R1100" s="68">
        <f t="shared" si="30"/>
        <v>9600</v>
      </c>
      <c r="S1100" s="70">
        <v>202303</v>
      </c>
      <c r="T1100" s="168" t="s">
        <v>1489</v>
      </c>
      <c r="U1100" s="169"/>
      <c r="V1100" s="143"/>
      <c r="W1100" s="143"/>
      <c r="X1100" s="73"/>
      <c r="Y1100" s="73"/>
    </row>
    <row r="1101" s="81" customFormat="1" customHeight="1" spans="1:25">
      <c r="A1101" s="61" t="s">
        <v>403</v>
      </c>
      <c r="B1101" s="61" t="s">
        <v>62</v>
      </c>
      <c r="C1101" s="61" t="s">
        <v>217</v>
      </c>
      <c r="D1101" s="61" t="s">
        <v>566</v>
      </c>
      <c r="E1101" s="160" t="s">
        <v>1043</v>
      </c>
      <c r="F1101" s="61" t="s">
        <v>906</v>
      </c>
      <c r="G1101" s="161" t="s">
        <v>88</v>
      </c>
      <c r="H1101" s="45" t="s">
        <v>1457</v>
      </c>
      <c r="I1101" s="47" t="e">
        <f>VLOOKUP(H1101,'合同综合查询数据（3月返）'!$A:$A,1,FALSE)</f>
        <v>#N/A</v>
      </c>
      <c r="J1101" s="48" t="s">
        <v>90</v>
      </c>
      <c r="K1101" s="135" t="s">
        <v>1458</v>
      </c>
      <c r="L1101" s="164"/>
      <c r="M1101" s="50" t="s">
        <v>909</v>
      </c>
      <c r="N1101" s="178">
        <v>43005</v>
      </c>
      <c r="O1101" s="163" t="s">
        <v>1459</v>
      </c>
      <c r="P1101" s="144">
        <v>9600</v>
      </c>
      <c r="Q1101" s="144">
        <v>6</v>
      </c>
      <c r="R1101" s="68">
        <f t="shared" si="30"/>
        <v>57600</v>
      </c>
      <c r="S1101" s="70">
        <v>202303</v>
      </c>
      <c r="T1101" s="168" t="s">
        <v>1490</v>
      </c>
      <c r="U1101" s="169"/>
      <c r="V1101" s="143"/>
      <c r="W1101" s="143"/>
      <c r="X1101" s="73"/>
      <c r="Y1101" s="73"/>
    </row>
    <row r="1102" s="81" customFormat="1" customHeight="1" spans="1:25">
      <c r="A1102" s="61" t="s">
        <v>403</v>
      </c>
      <c r="B1102" s="61" t="s">
        <v>62</v>
      </c>
      <c r="C1102" s="61" t="s">
        <v>217</v>
      </c>
      <c r="D1102" s="61" t="s">
        <v>566</v>
      </c>
      <c r="E1102" s="160" t="s">
        <v>1043</v>
      </c>
      <c r="F1102" s="61" t="s">
        <v>906</v>
      </c>
      <c r="G1102" s="161" t="s">
        <v>88</v>
      </c>
      <c r="H1102" s="45" t="s">
        <v>1457</v>
      </c>
      <c r="I1102" s="47" t="e">
        <f>VLOOKUP(H1102,'合同综合查询数据（3月返）'!$A:$A,1,FALSE)</f>
        <v>#N/A</v>
      </c>
      <c r="J1102" s="48" t="s">
        <v>90</v>
      </c>
      <c r="K1102" s="135" t="s">
        <v>1458</v>
      </c>
      <c r="L1102" s="164"/>
      <c r="M1102" s="50" t="s">
        <v>909</v>
      </c>
      <c r="N1102" s="178">
        <v>43008</v>
      </c>
      <c r="O1102" s="163" t="s">
        <v>1459</v>
      </c>
      <c r="P1102" s="144">
        <v>9600</v>
      </c>
      <c r="Q1102" s="144">
        <v>10</v>
      </c>
      <c r="R1102" s="68">
        <f t="shared" si="30"/>
        <v>96000</v>
      </c>
      <c r="S1102" s="70">
        <v>202303</v>
      </c>
      <c r="T1102" s="168" t="s">
        <v>1491</v>
      </c>
      <c r="U1102" s="169"/>
      <c r="V1102" s="143"/>
      <c r="W1102" s="143"/>
      <c r="X1102" s="73"/>
      <c r="Y1102" s="73"/>
    </row>
    <row r="1103" s="81" customFormat="1" customHeight="1" spans="1:25">
      <c r="A1103" s="61" t="s">
        <v>403</v>
      </c>
      <c r="B1103" s="61" t="s">
        <v>62</v>
      </c>
      <c r="C1103" s="61" t="s">
        <v>217</v>
      </c>
      <c r="D1103" s="61" t="s">
        <v>566</v>
      </c>
      <c r="E1103" s="160" t="s">
        <v>1043</v>
      </c>
      <c r="F1103" s="61" t="s">
        <v>906</v>
      </c>
      <c r="G1103" s="161" t="s">
        <v>88</v>
      </c>
      <c r="H1103" s="45" t="s">
        <v>1457</v>
      </c>
      <c r="I1103" s="47" t="e">
        <f>VLOOKUP(H1103,'合同综合查询数据（3月返）'!$A:$A,1,FALSE)</f>
        <v>#N/A</v>
      </c>
      <c r="J1103" s="48" t="s">
        <v>90</v>
      </c>
      <c r="K1103" s="135" t="s">
        <v>1458</v>
      </c>
      <c r="L1103" s="164"/>
      <c r="M1103" s="50" t="s">
        <v>909</v>
      </c>
      <c r="N1103" s="178">
        <v>43008</v>
      </c>
      <c r="O1103" s="163" t="s">
        <v>1459</v>
      </c>
      <c r="P1103" s="144">
        <v>9600</v>
      </c>
      <c r="Q1103" s="144">
        <v>14</v>
      </c>
      <c r="R1103" s="68">
        <f t="shared" si="30"/>
        <v>134400</v>
      </c>
      <c r="S1103" s="70">
        <v>202303</v>
      </c>
      <c r="T1103" s="168" t="s">
        <v>1492</v>
      </c>
      <c r="U1103" s="169"/>
      <c r="V1103" s="143"/>
      <c r="W1103" s="143"/>
      <c r="X1103" s="73"/>
      <c r="Y1103" s="73"/>
    </row>
    <row r="1104" s="81" customFormat="1" customHeight="1" spans="1:25">
      <c r="A1104" s="61" t="s">
        <v>403</v>
      </c>
      <c r="B1104" s="61" t="s">
        <v>62</v>
      </c>
      <c r="C1104" s="61" t="s">
        <v>217</v>
      </c>
      <c r="D1104" s="61" t="s">
        <v>566</v>
      </c>
      <c r="E1104" s="160" t="s">
        <v>1043</v>
      </c>
      <c r="F1104" s="61" t="s">
        <v>906</v>
      </c>
      <c r="G1104" s="161" t="s">
        <v>88</v>
      </c>
      <c r="H1104" s="45" t="s">
        <v>1457</v>
      </c>
      <c r="I1104" s="47" t="e">
        <f>VLOOKUP(H1104,'合同综合查询数据（3月返）'!$A:$A,1,FALSE)</f>
        <v>#N/A</v>
      </c>
      <c r="J1104" s="48" t="s">
        <v>90</v>
      </c>
      <c r="K1104" s="135" t="s">
        <v>1458</v>
      </c>
      <c r="L1104" s="164"/>
      <c r="M1104" s="50" t="s">
        <v>909</v>
      </c>
      <c r="N1104" s="178">
        <v>43018</v>
      </c>
      <c r="O1104" s="163" t="s">
        <v>1459</v>
      </c>
      <c r="P1104" s="144">
        <v>9600</v>
      </c>
      <c r="Q1104" s="144">
        <v>18</v>
      </c>
      <c r="R1104" s="68">
        <f t="shared" si="30"/>
        <v>172800</v>
      </c>
      <c r="S1104" s="70">
        <v>202303</v>
      </c>
      <c r="T1104" s="168" t="s">
        <v>1493</v>
      </c>
      <c r="U1104" s="169"/>
      <c r="V1104" s="143"/>
      <c r="W1104" s="143"/>
      <c r="X1104" s="73"/>
      <c r="Y1104" s="73"/>
    </row>
    <row r="1105" s="81" customFormat="1" customHeight="1" spans="1:25">
      <c r="A1105" s="61" t="s">
        <v>403</v>
      </c>
      <c r="B1105" s="61" t="s">
        <v>62</v>
      </c>
      <c r="C1105" s="61" t="s">
        <v>217</v>
      </c>
      <c r="D1105" s="61" t="s">
        <v>566</v>
      </c>
      <c r="E1105" s="160" t="s">
        <v>1043</v>
      </c>
      <c r="F1105" s="61" t="s">
        <v>906</v>
      </c>
      <c r="G1105" s="161" t="s">
        <v>88</v>
      </c>
      <c r="H1105" s="45" t="s">
        <v>1457</v>
      </c>
      <c r="I1105" s="47" t="e">
        <f>VLOOKUP(H1105,'合同综合查询数据（3月返）'!$A:$A,1,FALSE)</f>
        <v>#N/A</v>
      </c>
      <c r="J1105" s="48" t="s">
        <v>90</v>
      </c>
      <c r="K1105" s="135" t="s">
        <v>1458</v>
      </c>
      <c r="L1105" s="164"/>
      <c r="M1105" s="50" t="s">
        <v>909</v>
      </c>
      <c r="N1105" s="178">
        <v>43020</v>
      </c>
      <c r="O1105" s="163" t="s">
        <v>1459</v>
      </c>
      <c r="P1105" s="144">
        <v>9600</v>
      </c>
      <c r="Q1105" s="144">
        <v>1</v>
      </c>
      <c r="R1105" s="68">
        <f t="shared" si="30"/>
        <v>9600</v>
      </c>
      <c r="S1105" s="70">
        <v>202303</v>
      </c>
      <c r="T1105" s="168" t="s">
        <v>1494</v>
      </c>
      <c r="U1105" s="169"/>
      <c r="V1105" s="143"/>
      <c r="W1105" s="143"/>
      <c r="X1105" s="73"/>
      <c r="Y1105" s="73"/>
    </row>
    <row r="1106" s="81" customFormat="1" customHeight="1" spans="1:25">
      <c r="A1106" s="61" t="s">
        <v>403</v>
      </c>
      <c r="B1106" s="61" t="s">
        <v>62</v>
      </c>
      <c r="C1106" s="61" t="s">
        <v>217</v>
      </c>
      <c r="D1106" s="61" t="s">
        <v>566</v>
      </c>
      <c r="E1106" s="160" t="s">
        <v>1043</v>
      </c>
      <c r="F1106" s="61" t="s">
        <v>906</v>
      </c>
      <c r="G1106" s="161" t="s">
        <v>88</v>
      </c>
      <c r="H1106" s="45" t="s">
        <v>1457</v>
      </c>
      <c r="I1106" s="47" t="e">
        <f>VLOOKUP(H1106,'合同综合查询数据（3月返）'!$A:$A,1,FALSE)</f>
        <v>#N/A</v>
      </c>
      <c r="J1106" s="48" t="s">
        <v>90</v>
      </c>
      <c r="K1106" s="135" t="s">
        <v>1458</v>
      </c>
      <c r="L1106" s="164"/>
      <c r="M1106" s="50" t="s">
        <v>909</v>
      </c>
      <c r="N1106" s="178">
        <v>43020</v>
      </c>
      <c r="O1106" s="163" t="s">
        <v>1459</v>
      </c>
      <c r="P1106" s="144">
        <v>9600</v>
      </c>
      <c r="Q1106" s="144">
        <v>9</v>
      </c>
      <c r="R1106" s="68">
        <f t="shared" si="30"/>
        <v>86400</v>
      </c>
      <c r="S1106" s="70">
        <v>202303</v>
      </c>
      <c r="T1106" s="168" t="s">
        <v>1495</v>
      </c>
      <c r="U1106" s="169"/>
      <c r="V1106" s="143"/>
      <c r="W1106" s="143"/>
      <c r="X1106" s="73"/>
      <c r="Y1106" s="73"/>
    </row>
    <row r="1107" s="81" customFormat="1" customHeight="1" spans="1:25">
      <c r="A1107" s="61" t="s">
        <v>403</v>
      </c>
      <c r="B1107" s="61" t="s">
        <v>62</v>
      </c>
      <c r="C1107" s="61" t="s">
        <v>217</v>
      </c>
      <c r="D1107" s="61" t="s">
        <v>566</v>
      </c>
      <c r="E1107" s="160" t="s">
        <v>1043</v>
      </c>
      <c r="F1107" s="61" t="s">
        <v>906</v>
      </c>
      <c r="G1107" s="161" t="s">
        <v>88</v>
      </c>
      <c r="H1107" s="45" t="s">
        <v>1457</v>
      </c>
      <c r="I1107" s="47" t="e">
        <f>VLOOKUP(H1107,'合同综合查询数据（3月返）'!$A:$A,1,FALSE)</f>
        <v>#N/A</v>
      </c>
      <c r="J1107" s="48" t="s">
        <v>90</v>
      </c>
      <c r="K1107" s="135" t="s">
        <v>1458</v>
      </c>
      <c r="L1107" s="164"/>
      <c r="M1107" s="50" t="s">
        <v>909</v>
      </c>
      <c r="N1107" s="178">
        <v>43020</v>
      </c>
      <c r="O1107" s="163" t="s">
        <v>1459</v>
      </c>
      <c r="P1107" s="144">
        <v>9600</v>
      </c>
      <c r="Q1107" s="144">
        <v>9</v>
      </c>
      <c r="R1107" s="68">
        <f t="shared" si="30"/>
        <v>86400</v>
      </c>
      <c r="S1107" s="70">
        <v>202303</v>
      </c>
      <c r="T1107" s="168" t="s">
        <v>1496</v>
      </c>
      <c r="U1107" s="169"/>
      <c r="V1107" s="143"/>
      <c r="W1107" s="143"/>
      <c r="X1107" s="73"/>
      <c r="Y1107" s="73"/>
    </row>
    <row r="1108" s="81" customFormat="1" customHeight="1" spans="1:25">
      <c r="A1108" s="61" t="s">
        <v>403</v>
      </c>
      <c r="B1108" s="61" t="s">
        <v>62</v>
      </c>
      <c r="C1108" s="61" t="s">
        <v>217</v>
      </c>
      <c r="D1108" s="61" t="s">
        <v>566</v>
      </c>
      <c r="E1108" s="160" t="s">
        <v>1043</v>
      </c>
      <c r="F1108" s="61" t="s">
        <v>906</v>
      </c>
      <c r="G1108" s="161" t="s">
        <v>88</v>
      </c>
      <c r="H1108" s="45" t="s">
        <v>1457</v>
      </c>
      <c r="I1108" s="47" t="e">
        <f>VLOOKUP(H1108,'合同综合查询数据（3月返）'!$A:$A,1,FALSE)</f>
        <v>#N/A</v>
      </c>
      <c r="J1108" s="48" t="s">
        <v>90</v>
      </c>
      <c r="K1108" s="135" t="s">
        <v>1458</v>
      </c>
      <c r="L1108" s="164"/>
      <c r="M1108" s="50" t="s">
        <v>909</v>
      </c>
      <c r="N1108" s="178">
        <v>43024</v>
      </c>
      <c r="O1108" s="163" t="s">
        <v>1459</v>
      </c>
      <c r="P1108" s="144">
        <v>9600</v>
      </c>
      <c r="Q1108" s="144">
        <v>2</v>
      </c>
      <c r="R1108" s="68">
        <f t="shared" si="30"/>
        <v>19200</v>
      </c>
      <c r="S1108" s="70">
        <v>202303</v>
      </c>
      <c r="T1108" s="168" t="s">
        <v>1497</v>
      </c>
      <c r="U1108" s="169"/>
      <c r="V1108" s="143"/>
      <c r="W1108" s="143"/>
      <c r="X1108" s="73"/>
      <c r="Y1108" s="73"/>
    </row>
    <row r="1109" s="81" customFormat="1" customHeight="1" spans="1:25">
      <c r="A1109" s="61" t="s">
        <v>403</v>
      </c>
      <c r="B1109" s="61" t="s">
        <v>62</v>
      </c>
      <c r="C1109" s="61" t="s">
        <v>217</v>
      </c>
      <c r="D1109" s="61" t="s">
        <v>566</v>
      </c>
      <c r="E1109" s="160" t="s">
        <v>1043</v>
      </c>
      <c r="F1109" s="61" t="s">
        <v>906</v>
      </c>
      <c r="G1109" s="161" t="s">
        <v>88</v>
      </c>
      <c r="H1109" s="45" t="s">
        <v>1457</v>
      </c>
      <c r="I1109" s="47" t="e">
        <f>VLOOKUP(H1109,'合同综合查询数据（3月返）'!$A:$A,1,FALSE)</f>
        <v>#N/A</v>
      </c>
      <c r="J1109" s="48" t="s">
        <v>90</v>
      </c>
      <c r="K1109" s="135" t="s">
        <v>1458</v>
      </c>
      <c r="L1109" s="164"/>
      <c r="M1109" s="50" t="s">
        <v>909</v>
      </c>
      <c r="N1109" s="178">
        <v>43024</v>
      </c>
      <c r="O1109" s="163" t="s">
        <v>1459</v>
      </c>
      <c r="P1109" s="144">
        <v>9600</v>
      </c>
      <c r="Q1109" s="144">
        <v>1</v>
      </c>
      <c r="R1109" s="68">
        <f t="shared" si="30"/>
        <v>9600</v>
      </c>
      <c r="S1109" s="70">
        <v>202303</v>
      </c>
      <c r="T1109" s="168" t="s">
        <v>1498</v>
      </c>
      <c r="U1109" s="169"/>
      <c r="V1109" s="143"/>
      <c r="W1109" s="143"/>
      <c r="X1109" s="73"/>
      <c r="Y1109" s="73"/>
    </row>
    <row r="1110" s="81" customFormat="1" customHeight="1" spans="1:25">
      <c r="A1110" s="61" t="s">
        <v>403</v>
      </c>
      <c r="B1110" s="61" t="s">
        <v>62</v>
      </c>
      <c r="C1110" s="61" t="s">
        <v>217</v>
      </c>
      <c r="D1110" s="61" t="s">
        <v>566</v>
      </c>
      <c r="E1110" s="160" t="s">
        <v>1043</v>
      </c>
      <c r="F1110" s="61" t="s">
        <v>906</v>
      </c>
      <c r="G1110" s="161" t="s">
        <v>88</v>
      </c>
      <c r="H1110" s="45" t="s">
        <v>1457</v>
      </c>
      <c r="I1110" s="47" t="e">
        <f>VLOOKUP(H1110,'合同综合查询数据（3月返）'!$A:$A,1,FALSE)</f>
        <v>#N/A</v>
      </c>
      <c r="J1110" s="48" t="s">
        <v>90</v>
      </c>
      <c r="K1110" s="135" t="s">
        <v>1458</v>
      </c>
      <c r="L1110" s="164"/>
      <c r="M1110" s="50" t="s">
        <v>909</v>
      </c>
      <c r="N1110" s="178">
        <v>43024</v>
      </c>
      <c r="O1110" s="163" t="s">
        <v>1459</v>
      </c>
      <c r="P1110" s="144">
        <v>9600</v>
      </c>
      <c r="Q1110" s="144">
        <v>2</v>
      </c>
      <c r="R1110" s="68">
        <f t="shared" si="30"/>
        <v>19200</v>
      </c>
      <c r="S1110" s="70">
        <v>202303</v>
      </c>
      <c r="T1110" s="168" t="s">
        <v>1499</v>
      </c>
      <c r="U1110" s="169"/>
      <c r="V1110" s="143"/>
      <c r="W1110" s="143"/>
      <c r="X1110" s="73"/>
      <c r="Y1110" s="73"/>
    </row>
    <row r="1111" s="81" customFormat="1" customHeight="1" spans="1:25">
      <c r="A1111" s="61" t="s">
        <v>403</v>
      </c>
      <c r="B1111" s="61" t="s">
        <v>62</v>
      </c>
      <c r="C1111" s="61" t="s">
        <v>217</v>
      </c>
      <c r="D1111" s="61" t="s">
        <v>566</v>
      </c>
      <c r="E1111" s="160" t="s">
        <v>1043</v>
      </c>
      <c r="F1111" s="61" t="s">
        <v>906</v>
      </c>
      <c r="G1111" s="161" t="s">
        <v>88</v>
      </c>
      <c r="H1111" s="45" t="s">
        <v>1457</v>
      </c>
      <c r="I1111" s="47" t="e">
        <f>VLOOKUP(H1111,'合同综合查询数据（3月返）'!$A:$A,1,FALSE)</f>
        <v>#N/A</v>
      </c>
      <c r="J1111" s="48" t="s">
        <v>90</v>
      </c>
      <c r="K1111" s="135" t="s">
        <v>1458</v>
      </c>
      <c r="L1111" s="164"/>
      <c r="M1111" s="50" t="s">
        <v>909</v>
      </c>
      <c r="N1111" s="178">
        <v>43038</v>
      </c>
      <c r="O1111" s="163" t="s">
        <v>1459</v>
      </c>
      <c r="P1111" s="144">
        <v>9600</v>
      </c>
      <c r="Q1111" s="144">
        <v>6</v>
      </c>
      <c r="R1111" s="68">
        <f t="shared" si="30"/>
        <v>57600</v>
      </c>
      <c r="S1111" s="70">
        <v>202303</v>
      </c>
      <c r="T1111" s="168" t="s">
        <v>1500</v>
      </c>
      <c r="U1111" s="169"/>
      <c r="V1111" s="143"/>
      <c r="W1111" s="143"/>
      <c r="X1111" s="73"/>
      <c r="Y1111" s="73"/>
    </row>
    <row r="1112" s="81" customFormat="1" customHeight="1" spans="1:25">
      <c r="A1112" s="61" t="s">
        <v>403</v>
      </c>
      <c r="B1112" s="61" t="s">
        <v>62</v>
      </c>
      <c r="C1112" s="61" t="s">
        <v>217</v>
      </c>
      <c r="D1112" s="61" t="s">
        <v>566</v>
      </c>
      <c r="E1112" s="160" t="s">
        <v>1043</v>
      </c>
      <c r="F1112" s="61" t="s">
        <v>906</v>
      </c>
      <c r="G1112" s="161" t="s">
        <v>88</v>
      </c>
      <c r="H1112" s="45" t="s">
        <v>1457</v>
      </c>
      <c r="I1112" s="47" t="e">
        <f>VLOOKUP(H1112,'合同综合查询数据（3月返）'!$A:$A,1,FALSE)</f>
        <v>#N/A</v>
      </c>
      <c r="J1112" s="48" t="s">
        <v>90</v>
      </c>
      <c r="K1112" s="135" t="s">
        <v>1458</v>
      </c>
      <c r="L1112" s="164"/>
      <c r="M1112" s="50" t="s">
        <v>909</v>
      </c>
      <c r="N1112" s="178">
        <v>43038</v>
      </c>
      <c r="O1112" s="163" t="s">
        <v>1459</v>
      </c>
      <c r="P1112" s="144">
        <v>9600</v>
      </c>
      <c r="Q1112" s="144">
        <v>5</v>
      </c>
      <c r="R1112" s="68">
        <f t="shared" si="30"/>
        <v>48000</v>
      </c>
      <c r="S1112" s="70">
        <v>202303</v>
      </c>
      <c r="T1112" s="168" t="s">
        <v>1501</v>
      </c>
      <c r="U1112" s="169"/>
      <c r="V1112" s="143"/>
      <c r="W1112" s="143"/>
      <c r="X1112" s="73"/>
      <c r="Y1112" s="73"/>
    </row>
    <row r="1113" s="81" customFormat="1" customHeight="1" spans="1:25">
      <c r="A1113" s="61" t="s">
        <v>403</v>
      </c>
      <c r="B1113" s="61" t="s">
        <v>62</v>
      </c>
      <c r="C1113" s="61" t="s">
        <v>217</v>
      </c>
      <c r="D1113" s="61" t="s">
        <v>566</v>
      </c>
      <c r="E1113" s="160" t="s">
        <v>1043</v>
      </c>
      <c r="F1113" s="61" t="s">
        <v>906</v>
      </c>
      <c r="G1113" s="161" t="s">
        <v>88</v>
      </c>
      <c r="H1113" s="45" t="s">
        <v>1457</v>
      </c>
      <c r="I1113" s="47" t="e">
        <f>VLOOKUP(H1113,'合同综合查询数据（3月返）'!$A:$A,1,FALSE)</f>
        <v>#N/A</v>
      </c>
      <c r="J1113" s="48" t="s">
        <v>90</v>
      </c>
      <c r="K1113" s="135" t="s">
        <v>1458</v>
      </c>
      <c r="L1113" s="164"/>
      <c r="M1113" s="50" t="s">
        <v>909</v>
      </c>
      <c r="N1113" s="178">
        <v>43038</v>
      </c>
      <c r="O1113" s="163" t="s">
        <v>1459</v>
      </c>
      <c r="P1113" s="144">
        <v>9600</v>
      </c>
      <c r="Q1113" s="144">
        <v>2</v>
      </c>
      <c r="R1113" s="68">
        <f t="shared" si="30"/>
        <v>19200</v>
      </c>
      <c r="S1113" s="70">
        <v>202303</v>
      </c>
      <c r="T1113" s="168" t="s">
        <v>1502</v>
      </c>
      <c r="U1113" s="169"/>
      <c r="V1113" s="143"/>
      <c r="W1113" s="143"/>
      <c r="X1113" s="73"/>
      <c r="Y1113" s="73"/>
    </row>
    <row r="1114" s="81" customFormat="1" customHeight="1" spans="1:25">
      <c r="A1114" s="61" t="s">
        <v>403</v>
      </c>
      <c r="B1114" s="61" t="s">
        <v>62</v>
      </c>
      <c r="C1114" s="61" t="s">
        <v>217</v>
      </c>
      <c r="D1114" s="61" t="s">
        <v>566</v>
      </c>
      <c r="E1114" s="160" t="s">
        <v>1043</v>
      </c>
      <c r="F1114" s="61" t="s">
        <v>906</v>
      </c>
      <c r="G1114" s="161" t="s">
        <v>88</v>
      </c>
      <c r="H1114" s="45" t="s">
        <v>1457</v>
      </c>
      <c r="I1114" s="47" t="e">
        <f>VLOOKUP(H1114,'合同综合查询数据（3月返）'!$A:$A,1,FALSE)</f>
        <v>#N/A</v>
      </c>
      <c r="J1114" s="48" t="s">
        <v>90</v>
      </c>
      <c r="K1114" s="135" t="s">
        <v>1458</v>
      </c>
      <c r="L1114" s="164"/>
      <c r="M1114" s="50" t="s">
        <v>909</v>
      </c>
      <c r="N1114" s="178">
        <v>43038</v>
      </c>
      <c r="O1114" s="163" t="s">
        <v>1459</v>
      </c>
      <c r="P1114" s="144">
        <v>9600</v>
      </c>
      <c r="Q1114" s="144">
        <v>2</v>
      </c>
      <c r="R1114" s="68">
        <f t="shared" si="30"/>
        <v>19200</v>
      </c>
      <c r="S1114" s="70">
        <v>202303</v>
      </c>
      <c r="T1114" s="168" t="s">
        <v>1503</v>
      </c>
      <c r="U1114" s="169"/>
      <c r="V1114" s="143"/>
      <c r="W1114" s="143"/>
      <c r="X1114" s="73"/>
      <c r="Y1114" s="73"/>
    </row>
    <row r="1115" s="81" customFormat="1" customHeight="1" spans="1:25">
      <c r="A1115" s="61" t="s">
        <v>403</v>
      </c>
      <c r="B1115" s="61" t="s">
        <v>62</v>
      </c>
      <c r="C1115" s="61" t="s">
        <v>217</v>
      </c>
      <c r="D1115" s="61" t="s">
        <v>566</v>
      </c>
      <c r="E1115" s="160" t="s">
        <v>1043</v>
      </c>
      <c r="F1115" s="61" t="s">
        <v>906</v>
      </c>
      <c r="G1115" s="161" t="s">
        <v>88</v>
      </c>
      <c r="H1115" s="45" t="s">
        <v>1457</v>
      </c>
      <c r="I1115" s="47" t="e">
        <f>VLOOKUP(H1115,'合同综合查询数据（3月返）'!$A:$A,1,FALSE)</f>
        <v>#N/A</v>
      </c>
      <c r="J1115" s="48" t="s">
        <v>90</v>
      </c>
      <c r="K1115" s="135" t="s">
        <v>1458</v>
      </c>
      <c r="L1115" s="164"/>
      <c r="M1115" s="50" t="s">
        <v>909</v>
      </c>
      <c r="N1115" s="178">
        <v>43038</v>
      </c>
      <c r="O1115" s="163" t="s">
        <v>1459</v>
      </c>
      <c r="P1115" s="144">
        <v>9600</v>
      </c>
      <c r="Q1115" s="144">
        <v>2</v>
      </c>
      <c r="R1115" s="68">
        <f t="shared" si="30"/>
        <v>19200</v>
      </c>
      <c r="S1115" s="70">
        <v>202303</v>
      </c>
      <c r="T1115" s="168" t="s">
        <v>1504</v>
      </c>
      <c r="U1115" s="169"/>
      <c r="V1115" s="143"/>
      <c r="W1115" s="143"/>
      <c r="X1115" s="73"/>
      <c r="Y1115" s="73"/>
    </row>
    <row r="1116" s="81" customFormat="1" customHeight="1" spans="1:25">
      <c r="A1116" s="61" t="s">
        <v>403</v>
      </c>
      <c r="B1116" s="61" t="s">
        <v>62</v>
      </c>
      <c r="C1116" s="61" t="s">
        <v>217</v>
      </c>
      <c r="D1116" s="61" t="s">
        <v>566</v>
      </c>
      <c r="E1116" s="160" t="s">
        <v>1043</v>
      </c>
      <c r="F1116" s="61" t="s">
        <v>906</v>
      </c>
      <c r="G1116" s="161" t="s">
        <v>88</v>
      </c>
      <c r="H1116" s="45" t="s">
        <v>1457</v>
      </c>
      <c r="I1116" s="47" t="e">
        <f>VLOOKUP(H1116,'合同综合查询数据（3月返）'!$A:$A,1,FALSE)</f>
        <v>#N/A</v>
      </c>
      <c r="J1116" s="48" t="s">
        <v>90</v>
      </c>
      <c r="K1116" s="135" t="s">
        <v>1458</v>
      </c>
      <c r="L1116" s="164"/>
      <c r="M1116" s="50" t="s">
        <v>909</v>
      </c>
      <c r="N1116" s="178">
        <v>43042</v>
      </c>
      <c r="O1116" s="163" t="s">
        <v>1459</v>
      </c>
      <c r="P1116" s="144">
        <v>9600</v>
      </c>
      <c r="Q1116" s="144">
        <v>4</v>
      </c>
      <c r="R1116" s="68">
        <f t="shared" si="30"/>
        <v>38400</v>
      </c>
      <c r="S1116" s="70">
        <v>202303</v>
      </c>
      <c r="T1116" s="168" t="s">
        <v>1505</v>
      </c>
      <c r="U1116" s="169"/>
      <c r="V1116" s="143"/>
      <c r="W1116" s="143"/>
      <c r="X1116" s="73"/>
      <c r="Y1116" s="73"/>
    </row>
    <row r="1117" s="81" customFormat="1" customHeight="1" spans="1:25">
      <c r="A1117" s="61" t="s">
        <v>403</v>
      </c>
      <c r="B1117" s="61" t="s">
        <v>62</v>
      </c>
      <c r="C1117" s="61" t="s">
        <v>217</v>
      </c>
      <c r="D1117" s="61" t="s">
        <v>566</v>
      </c>
      <c r="E1117" s="160" t="s">
        <v>1043</v>
      </c>
      <c r="F1117" s="61" t="s">
        <v>906</v>
      </c>
      <c r="G1117" s="161" t="s">
        <v>88</v>
      </c>
      <c r="H1117" s="45" t="s">
        <v>1457</v>
      </c>
      <c r="I1117" s="47" t="e">
        <f>VLOOKUP(H1117,'合同综合查询数据（3月返）'!$A:$A,1,FALSE)</f>
        <v>#N/A</v>
      </c>
      <c r="J1117" s="48" t="s">
        <v>90</v>
      </c>
      <c r="K1117" s="135" t="s">
        <v>1458</v>
      </c>
      <c r="L1117" s="164"/>
      <c r="M1117" s="50" t="s">
        <v>909</v>
      </c>
      <c r="N1117" s="178">
        <v>43039</v>
      </c>
      <c r="O1117" s="163" t="s">
        <v>1459</v>
      </c>
      <c r="P1117" s="144">
        <v>9600</v>
      </c>
      <c r="Q1117" s="144">
        <v>3</v>
      </c>
      <c r="R1117" s="68">
        <f t="shared" si="30"/>
        <v>28800</v>
      </c>
      <c r="S1117" s="70">
        <v>202303</v>
      </c>
      <c r="T1117" s="168" t="s">
        <v>1506</v>
      </c>
      <c r="U1117" s="169"/>
      <c r="V1117" s="143"/>
      <c r="W1117" s="143"/>
      <c r="X1117" s="73"/>
      <c r="Y1117" s="73"/>
    </row>
    <row r="1118" s="81" customFormat="1" customHeight="1" spans="1:25">
      <c r="A1118" s="61" t="s">
        <v>403</v>
      </c>
      <c r="B1118" s="61" t="s">
        <v>62</v>
      </c>
      <c r="C1118" s="61" t="s">
        <v>217</v>
      </c>
      <c r="D1118" s="61" t="s">
        <v>566</v>
      </c>
      <c r="E1118" s="160" t="s">
        <v>1043</v>
      </c>
      <c r="F1118" s="61" t="s">
        <v>906</v>
      </c>
      <c r="G1118" s="161" t="s">
        <v>88</v>
      </c>
      <c r="H1118" s="45" t="s">
        <v>1457</v>
      </c>
      <c r="I1118" s="47" t="e">
        <f>VLOOKUP(H1118,'合同综合查询数据（3月返）'!$A:$A,1,FALSE)</f>
        <v>#N/A</v>
      </c>
      <c r="J1118" s="48" t="s">
        <v>90</v>
      </c>
      <c r="K1118" s="135" t="s">
        <v>1458</v>
      </c>
      <c r="L1118" s="164"/>
      <c r="M1118" s="50" t="s">
        <v>909</v>
      </c>
      <c r="N1118" s="178">
        <v>43041</v>
      </c>
      <c r="O1118" s="163" t="s">
        <v>1459</v>
      </c>
      <c r="P1118" s="144">
        <v>9600</v>
      </c>
      <c r="Q1118" s="144">
        <v>3</v>
      </c>
      <c r="R1118" s="68">
        <f t="shared" si="30"/>
        <v>28800</v>
      </c>
      <c r="S1118" s="70">
        <v>202303</v>
      </c>
      <c r="T1118" s="168" t="s">
        <v>1507</v>
      </c>
      <c r="U1118" s="169"/>
      <c r="V1118" s="143"/>
      <c r="W1118" s="143"/>
      <c r="X1118" s="73"/>
      <c r="Y1118" s="73"/>
    </row>
    <row r="1119" s="81" customFormat="1" customHeight="1" spans="1:25">
      <c r="A1119" s="61" t="s">
        <v>403</v>
      </c>
      <c r="B1119" s="61" t="s">
        <v>62</v>
      </c>
      <c r="C1119" s="61" t="s">
        <v>217</v>
      </c>
      <c r="D1119" s="61" t="s">
        <v>566</v>
      </c>
      <c r="E1119" s="160" t="s">
        <v>1043</v>
      </c>
      <c r="F1119" s="61" t="s">
        <v>906</v>
      </c>
      <c r="G1119" s="161" t="s">
        <v>88</v>
      </c>
      <c r="H1119" s="45" t="s">
        <v>1457</v>
      </c>
      <c r="I1119" s="47" t="e">
        <f>VLOOKUP(H1119,'合同综合查询数据（3月返）'!$A:$A,1,FALSE)</f>
        <v>#N/A</v>
      </c>
      <c r="J1119" s="48" t="s">
        <v>90</v>
      </c>
      <c r="K1119" s="135" t="s">
        <v>1458</v>
      </c>
      <c r="L1119" s="164"/>
      <c r="M1119" s="50" t="s">
        <v>909</v>
      </c>
      <c r="N1119" s="178">
        <v>43040</v>
      </c>
      <c r="O1119" s="163" t="s">
        <v>1459</v>
      </c>
      <c r="P1119" s="144">
        <v>9600</v>
      </c>
      <c r="Q1119" s="144">
        <v>2</v>
      </c>
      <c r="R1119" s="68">
        <f t="shared" si="30"/>
        <v>19200</v>
      </c>
      <c r="S1119" s="70">
        <v>202303</v>
      </c>
      <c r="T1119" s="168" t="s">
        <v>1508</v>
      </c>
      <c r="U1119" s="169"/>
      <c r="V1119" s="143"/>
      <c r="W1119" s="143"/>
      <c r="X1119" s="73"/>
      <c r="Y1119" s="73"/>
    </row>
    <row r="1120" s="81" customFormat="1" customHeight="1" spans="1:25">
      <c r="A1120" s="61" t="s">
        <v>403</v>
      </c>
      <c r="B1120" s="61" t="s">
        <v>62</v>
      </c>
      <c r="C1120" s="61" t="s">
        <v>217</v>
      </c>
      <c r="D1120" s="61" t="s">
        <v>566</v>
      </c>
      <c r="E1120" s="160" t="s">
        <v>1043</v>
      </c>
      <c r="F1120" s="61" t="s">
        <v>906</v>
      </c>
      <c r="G1120" s="161" t="s">
        <v>88</v>
      </c>
      <c r="H1120" s="45" t="s">
        <v>1457</v>
      </c>
      <c r="I1120" s="47" t="e">
        <f>VLOOKUP(H1120,'合同综合查询数据（3月返）'!$A:$A,1,FALSE)</f>
        <v>#N/A</v>
      </c>
      <c r="J1120" s="48" t="s">
        <v>90</v>
      </c>
      <c r="K1120" s="135" t="s">
        <v>1458</v>
      </c>
      <c r="L1120" s="164"/>
      <c r="M1120" s="50" t="s">
        <v>909</v>
      </c>
      <c r="N1120" s="178">
        <v>43040</v>
      </c>
      <c r="O1120" s="163" t="s">
        <v>1459</v>
      </c>
      <c r="P1120" s="144">
        <v>9600</v>
      </c>
      <c r="Q1120" s="144">
        <v>4</v>
      </c>
      <c r="R1120" s="68">
        <f t="shared" si="30"/>
        <v>38400</v>
      </c>
      <c r="S1120" s="70">
        <v>202303</v>
      </c>
      <c r="T1120" s="168" t="s">
        <v>1509</v>
      </c>
      <c r="U1120" s="169"/>
      <c r="V1120" s="143"/>
      <c r="W1120" s="143"/>
      <c r="X1120" s="73"/>
      <c r="Y1120" s="73"/>
    </row>
    <row r="1121" s="81" customFormat="1" customHeight="1" spans="1:25">
      <c r="A1121" s="61" t="s">
        <v>403</v>
      </c>
      <c r="B1121" s="61" t="s">
        <v>62</v>
      </c>
      <c r="C1121" s="61" t="s">
        <v>217</v>
      </c>
      <c r="D1121" s="61" t="s">
        <v>566</v>
      </c>
      <c r="E1121" s="160" t="s">
        <v>1043</v>
      </c>
      <c r="F1121" s="61" t="s">
        <v>906</v>
      </c>
      <c r="G1121" s="161" t="s">
        <v>88</v>
      </c>
      <c r="H1121" s="45" t="s">
        <v>1457</v>
      </c>
      <c r="I1121" s="47" t="e">
        <f>VLOOKUP(H1121,'合同综合查询数据（3月返）'!$A:$A,1,FALSE)</f>
        <v>#N/A</v>
      </c>
      <c r="J1121" s="48" t="s">
        <v>90</v>
      </c>
      <c r="K1121" s="135" t="s">
        <v>1458</v>
      </c>
      <c r="L1121" s="164"/>
      <c r="M1121" s="50" t="s">
        <v>909</v>
      </c>
      <c r="N1121" s="178">
        <v>43053</v>
      </c>
      <c r="O1121" s="163" t="s">
        <v>1459</v>
      </c>
      <c r="P1121" s="144">
        <v>9600</v>
      </c>
      <c r="Q1121" s="144">
        <v>1</v>
      </c>
      <c r="R1121" s="68">
        <f t="shared" si="30"/>
        <v>9600</v>
      </c>
      <c r="S1121" s="70">
        <v>202303</v>
      </c>
      <c r="T1121" s="168" t="s">
        <v>1510</v>
      </c>
      <c r="U1121" s="169"/>
      <c r="V1121" s="143"/>
      <c r="W1121" s="143"/>
      <c r="X1121" s="73"/>
      <c r="Y1121" s="73"/>
    </row>
    <row r="1122" s="81" customFormat="1" customHeight="1" spans="1:25">
      <c r="A1122" s="61" t="s">
        <v>403</v>
      </c>
      <c r="B1122" s="61" t="s">
        <v>62</v>
      </c>
      <c r="C1122" s="61" t="s">
        <v>217</v>
      </c>
      <c r="D1122" s="61" t="s">
        <v>566</v>
      </c>
      <c r="E1122" s="160" t="s">
        <v>1043</v>
      </c>
      <c r="F1122" s="61" t="s">
        <v>906</v>
      </c>
      <c r="G1122" s="161" t="s">
        <v>88</v>
      </c>
      <c r="H1122" s="45" t="s">
        <v>1457</v>
      </c>
      <c r="I1122" s="47" t="e">
        <f>VLOOKUP(H1122,'合同综合查询数据（3月返）'!$A:$A,1,FALSE)</f>
        <v>#N/A</v>
      </c>
      <c r="J1122" s="48" t="s">
        <v>90</v>
      </c>
      <c r="K1122" s="135" t="s">
        <v>1458</v>
      </c>
      <c r="L1122" s="164"/>
      <c r="M1122" s="50" t="s">
        <v>909</v>
      </c>
      <c r="N1122" s="178">
        <v>43055</v>
      </c>
      <c r="O1122" s="163" t="s">
        <v>1459</v>
      </c>
      <c r="P1122" s="144">
        <v>9600</v>
      </c>
      <c r="Q1122" s="144">
        <v>6</v>
      </c>
      <c r="R1122" s="68">
        <f t="shared" si="30"/>
        <v>57600</v>
      </c>
      <c r="S1122" s="70">
        <v>202303</v>
      </c>
      <c r="T1122" s="168" t="s">
        <v>1511</v>
      </c>
      <c r="U1122" s="169"/>
      <c r="V1122" s="143"/>
      <c r="W1122" s="143"/>
      <c r="X1122" s="73"/>
      <c r="Y1122" s="73"/>
    </row>
    <row r="1123" s="81" customFormat="1" customHeight="1" spans="1:25">
      <c r="A1123" s="61" t="s">
        <v>403</v>
      </c>
      <c r="B1123" s="61" t="s">
        <v>62</v>
      </c>
      <c r="C1123" s="61" t="s">
        <v>217</v>
      </c>
      <c r="D1123" s="61" t="s">
        <v>566</v>
      </c>
      <c r="E1123" s="160" t="s">
        <v>1043</v>
      </c>
      <c r="F1123" s="61" t="s">
        <v>906</v>
      </c>
      <c r="G1123" s="161" t="s">
        <v>88</v>
      </c>
      <c r="H1123" s="45" t="s">
        <v>1457</v>
      </c>
      <c r="I1123" s="47" t="e">
        <f>VLOOKUP(H1123,'合同综合查询数据（3月返）'!$A:$A,1,FALSE)</f>
        <v>#N/A</v>
      </c>
      <c r="J1123" s="48" t="s">
        <v>90</v>
      </c>
      <c r="K1123" s="135" t="s">
        <v>1458</v>
      </c>
      <c r="L1123" s="164"/>
      <c r="M1123" s="50" t="s">
        <v>909</v>
      </c>
      <c r="N1123" s="178">
        <v>43056</v>
      </c>
      <c r="O1123" s="163" t="s">
        <v>1459</v>
      </c>
      <c r="P1123" s="144">
        <v>9600</v>
      </c>
      <c r="Q1123" s="144">
        <v>1</v>
      </c>
      <c r="R1123" s="68">
        <f t="shared" si="30"/>
        <v>9600</v>
      </c>
      <c r="S1123" s="70">
        <v>202303</v>
      </c>
      <c r="T1123" s="168" t="s">
        <v>1512</v>
      </c>
      <c r="U1123" s="169"/>
      <c r="V1123" s="143"/>
      <c r="W1123" s="143"/>
      <c r="X1123" s="73"/>
      <c r="Y1123" s="73"/>
    </row>
    <row r="1124" s="81" customFormat="1" customHeight="1" spans="1:25">
      <c r="A1124" s="61" t="s">
        <v>403</v>
      </c>
      <c r="B1124" s="61" t="s">
        <v>62</v>
      </c>
      <c r="C1124" s="61" t="s">
        <v>217</v>
      </c>
      <c r="D1124" s="61" t="s">
        <v>566</v>
      </c>
      <c r="E1124" s="160" t="s">
        <v>1043</v>
      </c>
      <c r="F1124" s="61" t="s">
        <v>906</v>
      </c>
      <c r="G1124" s="161" t="s">
        <v>88</v>
      </c>
      <c r="H1124" s="45" t="s">
        <v>1457</v>
      </c>
      <c r="I1124" s="47" t="e">
        <f>VLOOKUP(H1124,'合同综合查询数据（3月返）'!$A:$A,1,FALSE)</f>
        <v>#N/A</v>
      </c>
      <c r="J1124" s="48" t="s">
        <v>90</v>
      </c>
      <c r="K1124" s="135" t="s">
        <v>1458</v>
      </c>
      <c r="L1124" s="164"/>
      <c r="M1124" s="50" t="s">
        <v>909</v>
      </c>
      <c r="N1124" s="178">
        <v>43056</v>
      </c>
      <c r="O1124" s="163" t="s">
        <v>1459</v>
      </c>
      <c r="P1124" s="144">
        <v>9600</v>
      </c>
      <c r="Q1124" s="144">
        <v>3</v>
      </c>
      <c r="R1124" s="68">
        <f t="shared" si="30"/>
        <v>28800</v>
      </c>
      <c r="S1124" s="70">
        <v>202303</v>
      </c>
      <c r="T1124" s="203" t="s">
        <v>1513</v>
      </c>
      <c r="U1124" s="204"/>
      <c r="V1124" s="143"/>
      <c r="W1124" s="143"/>
      <c r="X1124" s="73"/>
      <c r="Y1124" s="73"/>
    </row>
    <row r="1125" s="81" customFormat="1" customHeight="1" spans="1:25">
      <c r="A1125" s="61" t="s">
        <v>403</v>
      </c>
      <c r="B1125" s="61" t="s">
        <v>62</v>
      </c>
      <c r="C1125" s="61" t="s">
        <v>217</v>
      </c>
      <c r="D1125" s="61" t="s">
        <v>566</v>
      </c>
      <c r="E1125" s="160" t="s">
        <v>1043</v>
      </c>
      <c r="F1125" s="61" t="s">
        <v>906</v>
      </c>
      <c r="G1125" s="161" t="s">
        <v>88</v>
      </c>
      <c r="H1125" s="45" t="s">
        <v>1457</v>
      </c>
      <c r="I1125" s="47" t="e">
        <f>VLOOKUP(H1125,'合同综合查询数据（3月返）'!$A:$A,1,FALSE)</f>
        <v>#N/A</v>
      </c>
      <c r="J1125" s="48" t="s">
        <v>90</v>
      </c>
      <c r="K1125" s="135" t="s">
        <v>1458</v>
      </c>
      <c r="L1125" s="164"/>
      <c r="M1125" s="50" t="s">
        <v>909</v>
      </c>
      <c r="N1125" s="178">
        <v>43061</v>
      </c>
      <c r="O1125" s="163" t="s">
        <v>1459</v>
      </c>
      <c r="P1125" s="144">
        <v>9600</v>
      </c>
      <c r="Q1125" s="144">
        <v>4</v>
      </c>
      <c r="R1125" s="68">
        <f t="shared" si="30"/>
        <v>38400</v>
      </c>
      <c r="S1125" s="70">
        <v>202303</v>
      </c>
      <c r="T1125" s="203" t="s">
        <v>1514</v>
      </c>
      <c r="U1125" s="204"/>
      <c r="V1125" s="143"/>
      <c r="W1125" s="143"/>
      <c r="X1125" s="73"/>
      <c r="Y1125" s="73"/>
    </row>
    <row r="1126" s="10" customFormat="1" customHeight="1" spans="1:25">
      <c r="A1126" s="61" t="s">
        <v>403</v>
      </c>
      <c r="B1126" s="61" t="s">
        <v>62</v>
      </c>
      <c r="C1126" s="61" t="s">
        <v>217</v>
      </c>
      <c r="D1126" s="61" t="s">
        <v>566</v>
      </c>
      <c r="E1126" s="160" t="s">
        <v>1043</v>
      </c>
      <c r="F1126" s="61" t="s">
        <v>906</v>
      </c>
      <c r="G1126" s="161" t="s">
        <v>88</v>
      </c>
      <c r="H1126" s="45" t="s">
        <v>1457</v>
      </c>
      <c r="I1126" s="47" t="e">
        <f>VLOOKUP(H1126,'合同综合查询数据（3月返）'!$A:$A,1,FALSE)</f>
        <v>#N/A</v>
      </c>
      <c r="J1126" s="48" t="s">
        <v>90</v>
      </c>
      <c r="K1126" s="135" t="s">
        <v>1458</v>
      </c>
      <c r="L1126" s="164"/>
      <c r="M1126" s="50" t="s">
        <v>909</v>
      </c>
      <c r="N1126" s="178">
        <v>43067</v>
      </c>
      <c r="O1126" s="163" t="s">
        <v>1459</v>
      </c>
      <c r="P1126" s="144">
        <v>9600</v>
      </c>
      <c r="Q1126" s="144">
        <v>2</v>
      </c>
      <c r="R1126" s="68">
        <f t="shared" si="30"/>
        <v>19200</v>
      </c>
      <c r="S1126" s="70">
        <v>202303</v>
      </c>
      <c r="T1126" s="203" t="s">
        <v>1515</v>
      </c>
      <c r="U1126" s="204"/>
      <c r="V1126" s="143"/>
      <c r="W1126" s="143"/>
      <c r="X1126" s="73"/>
      <c r="Y1126" s="73"/>
    </row>
    <row r="1127" s="10" customFormat="1" customHeight="1" spans="1:25">
      <c r="A1127" s="61" t="s">
        <v>403</v>
      </c>
      <c r="B1127" s="61" t="s">
        <v>62</v>
      </c>
      <c r="C1127" s="61" t="s">
        <v>217</v>
      </c>
      <c r="D1127" s="61" t="s">
        <v>566</v>
      </c>
      <c r="E1127" s="160" t="s">
        <v>1043</v>
      </c>
      <c r="F1127" s="61" t="s">
        <v>906</v>
      </c>
      <c r="G1127" s="161" t="s">
        <v>88</v>
      </c>
      <c r="H1127" s="45" t="s">
        <v>1457</v>
      </c>
      <c r="I1127" s="47" t="e">
        <f>VLOOKUP(H1127,'合同综合查询数据（3月返）'!$A:$A,1,FALSE)</f>
        <v>#N/A</v>
      </c>
      <c r="J1127" s="48" t="s">
        <v>90</v>
      </c>
      <c r="K1127" s="135" t="s">
        <v>1458</v>
      </c>
      <c r="L1127" s="164"/>
      <c r="M1127" s="50" t="s">
        <v>909</v>
      </c>
      <c r="N1127" s="178">
        <v>43067</v>
      </c>
      <c r="O1127" s="163" t="s">
        <v>1459</v>
      </c>
      <c r="P1127" s="144">
        <v>9600</v>
      </c>
      <c r="Q1127" s="144">
        <v>5</v>
      </c>
      <c r="R1127" s="68">
        <f t="shared" si="30"/>
        <v>48000</v>
      </c>
      <c r="S1127" s="70">
        <v>202303</v>
      </c>
      <c r="T1127" s="203" t="s">
        <v>1516</v>
      </c>
      <c r="U1127" s="204"/>
      <c r="V1127" s="143"/>
      <c r="W1127" s="143"/>
      <c r="X1127" s="73"/>
      <c r="Y1127" s="73"/>
    </row>
    <row r="1128" s="10" customFormat="1" customHeight="1" spans="1:25">
      <c r="A1128" s="61" t="s">
        <v>403</v>
      </c>
      <c r="B1128" s="61" t="s">
        <v>62</v>
      </c>
      <c r="C1128" s="61" t="s">
        <v>217</v>
      </c>
      <c r="D1128" s="61" t="s">
        <v>566</v>
      </c>
      <c r="E1128" s="160" t="s">
        <v>1043</v>
      </c>
      <c r="F1128" s="61" t="s">
        <v>906</v>
      </c>
      <c r="G1128" s="161" t="s">
        <v>88</v>
      </c>
      <c r="H1128" s="45" t="s">
        <v>1457</v>
      </c>
      <c r="I1128" s="47" t="e">
        <f>VLOOKUP(H1128,'合同综合查询数据（3月返）'!$A:$A,1,FALSE)</f>
        <v>#N/A</v>
      </c>
      <c r="J1128" s="48" t="s">
        <v>90</v>
      </c>
      <c r="K1128" s="135" t="s">
        <v>1458</v>
      </c>
      <c r="L1128" s="164"/>
      <c r="M1128" s="50" t="s">
        <v>909</v>
      </c>
      <c r="N1128" s="178">
        <v>43081</v>
      </c>
      <c r="O1128" s="163" t="s">
        <v>1459</v>
      </c>
      <c r="P1128" s="144">
        <v>9600</v>
      </c>
      <c r="Q1128" s="144">
        <v>1</v>
      </c>
      <c r="R1128" s="68">
        <f t="shared" si="30"/>
        <v>9600</v>
      </c>
      <c r="S1128" s="70">
        <v>202303</v>
      </c>
      <c r="T1128" s="203" t="s">
        <v>1517</v>
      </c>
      <c r="U1128" s="204"/>
      <c r="V1128" s="143"/>
      <c r="W1128" s="143"/>
      <c r="X1128" s="73"/>
      <c r="Y1128" s="73"/>
    </row>
    <row r="1129" s="10" customFormat="1" customHeight="1" spans="1:25">
      <c r="A1129" s="61" t="s">
        <v>403</v>
      </c>
      <c r="B1129" s="61" t="s">
        <v>62</v>
      </c>
      <c r="C1129" s="61" t="s">
        <v>217</v>
      </c>
      <c r="D1129" s="61" t="s">
        <v>566</v>
      </c>
      <c r="E1129" s="160" t="s">
        <v>1043</v>
      </c>
      <c r="F1129" s="61" t="s">
        <v>906</v>
      </c>
      <c r="G1129" s="161" t="s">
        <v>88</v>
      </c>
      <c r="H1129" s="45" t="s">
        <v>1457</v>
      </c>
      <c r="I1129" s="47" t="e">
        <f>VLOOKUP(H1129,'合同综合查询数据（3月返）'!$A:$A,1,FALSE)</f>
        <v>#N/A</v>
      </c>
      <c r="J1129" s="48" t="s">
        <v>90</v>
      </c>
      <c r="K1129" s="135" t="s">
        <v>1458</v>
      </c>
      <c r="L1129" s="164"/>
      <c r="M1129" s="50" t="s">
        <v>909</v>
      </c>
      <c r="N1129" s="178">
        <v>43084</v>
      </c>
      <c r="O1129" s="163" t="s">
        <v>1459</v>
      </c>
      <c r="P1129" s="144">
        <v>9600</v>
      </c>
      <c r="Q1129" s="144">
        <v>2</v>
      </c>
      <c r="R1129" s="68">
        <f t="shared" si="30"/>
        <v>19200</v>
      </c>
      <c r="S1129" s="70">
        <v>202303</v>
      </c>
      <c r="T1129" s="203" t="s">
        <v>1518</v>
      </c>
      <c r="U1129" s="204"/>
      <c r="V1129" s="143"/>
      <c r="W1129" s="143"/>
      <c r="X1129" s="73"/>
      <c r="Y1129" s="73"/>
    </row>
    <row r="1130" s="10" customFormat="1" customHeight="1" spans="1:25">
      <c r="A1130" s="61" t="s">
        <v>403</v>
      </c>
      <c r="B1130" s="61" t="s">
        <v>62</v>
      </c>
      <c r="C1130" s="61" t="s">
        <v>217</v>
      </c>
      <c r="D1130" s="61" t="s">
        <v>566</v>
      </c>
      <c r="E1130" s="160" t="s">
        <v>1043</v>
      </c>
      <c r="F1130" s="61" t="s">
        <v>906</v>
      </c>
      <c r="G1130" s="161" t="s">
        <v>88</v>
      </c>
      <c r="H1130" s="45" t="s">
        <v>1457</v>
      </c>
      <c r="I1130" s="47" t="e">
        <f>VLOOKUP(H1130,'合同综合查询数据（3月返）'!$A:$A,1,FALSE)</f>
        <v>#N/A</v>
      </c>
      <c r="J1130" s="48" t="s">
        <v>90</v>
      </c>
      <c r="K1130" s="135" t="s">
        <v>1458</v>
      </c>
      <c r="L1130" s="164"/>
      <c r="M1130" s="50" t="s">
        <v>909</v>
      </c>
      <c r="N1130" s="178">
        <v>43091</v>
      </c>
      <c r="O1130" s="163" t="s">
        <v>1459</v>
      </c>
      <c r="P1130" s="144">
        <v>9600</v>
      </c>
      <c r="Q1130" s="144">
        <v>2</v>
      </c>
      <c r="R1130" s="68">
        <f t="shared" si="30"/>
        <v>19200</v>
      </c>
      <c r="S1130" s="70">
        <v>202303</v>
      </c>
      <c r="T1130" s="203" t="s">
        <v>1519</v>
      </c>
      <c r="U1130" s="204"/>
      <c r="V1130" s="143"/>
      <c r="W1130" s="143"/>
      <c r="X1130" s="73"/>
      <c r="Y1130" s="73"/>
    </row>
    <row r="1131" s="10" customFormat="1" customHeight="1" spans="1:25">
      <c r="A1131" s="61" t="s">
        <v>403</v>
      </c>
      <c r="B1131" s="61" t="s">
        <v>62</v>
      </c>
      <c r="C1131" s="61" t="s">
        <v>217</v>
      </c>
      <c r="D1131" s="61" t="s">
        <v>566</v>
      </c>
      <c r="E1131" s="160" t="s">
        <v>1043</v>
      </c>
      <c r="F1131" s="61" t="s">
        <v>906</v>
      </c>
      <c r="G1131" s="161" t="s">
        <v>88</v>
      </c>
      <c r="H1131" s="45" t="s">
        <v>1457</v>
      </c>
      <c r="I1131" s="47" t="e">
        <f>VLOOKUP(H1131,'合同综合查询数据（3月返）'!$A:$A,1,FALSE)</f>
        <v>#N/A</v>
      </c>
      <c r="J1131" s="48" t="s">
        <v>90</v>
      </c>
      <c r="K1131" s="135" t="s">
        <v>1458</v>
      </c>
      <c r="L1131" s="164"/>
      <c r="M1131" s="50" t="s">
        <v>909</v>
      </c>
      <c r="N1131" s="178">
        <v>43091</v>
      </c>
      <c r="O1131" s="163" t="s">
        <v>1459</v>
      </c>
      <c r="P1131" s="144">
        <v>9600</v>
      </c>
      <c r="Q1131" s="144">
        <v>5</v>
      </c>
      <c r="R1131" s="68">
        <f t="shared" si="30"/>
        <v>48000</v>
      </c>
      <c r="S1131" s="70">
        <v>202303</v>
      </c>
      <c r="T1131" s="203" t="s">
        <v>1520</v>
      </c>
      <c r="U1131" s="204"/>
      <c r="V1131" s="143"/>
      <c r="W1131" s="143"/>
      <c r="X1131" s="73"/>
      <c r="Y1131" s="73"/>
    </row>
    <row r="1132" s="10" customFormat="1" customHeight="1" spans="1:25">
      <c r="A1132" s="61" t="s">
        <v>403</v>
      </c>
      <c r="B1132" s="61" t="s">
        <v>62</v>
      </c>
      <c r="C1132" s="61" t="s">
        <v>217</v>
      </c>
      <c r="D1132" s="61" t="s">
        <v>566</v>
      </c>
      <c r="E1132" s="160" t="s">
        <v>1043</v>
      </c>
      <c r="F1132" s="61" t="s">
        <v>906</v>
      </c>
      <c r="G1132" s="161" t="s">
        <v>88</v>
      </c>
      <c r="H1132" s="45" t="s">
        <v>1457</v>
      </c>
      <c r="I1132" s="47" t="e">
        <f>VLOOKUP(H1132,'合同综合查询数据（3月返）'!$A:$A,1,FALSE)</f>
        <v>#N/A</v>
      </c>
      <c r="J1132" s="48" t="s">
        <v>90</v>
      </c>
      <c r="K1132" s="135" t="s">
        <v>1458</v>
      </c>
      <c r="L1132" s="164"/>
      <c r="M1132" s="50" t="s">
        <v>909</v>
      </c>
      <c r="N1132" s="178">
        <v>43091</v>
      </c>
      <c r="O1132" s="163" t="s">
        <v>1459</v>
      </c>
      <c r="P1132" s="144">
        <v>9600</v>
      </c>
      <c r="Q1132" s="144">
        <v>1</v>
      </c>
      <c r="R1132" s="68">
        <f t="shared" si="30"/>
        <v>9600</v>
      </c>
      <c r="S1132" s="70">
        <v>202303</v>
      </c>
      <c r="T1132" s="203" t="s">
        <v>1521</v>
      </c>
      <c r="U1132" s="204"/>
      <c r="V1132" s="143"/>
      <c r="W1132" s="143"/>
      <c r="X1132" s="73"/>
      <c r="Y1132" s="73"/>
    </row>
    <row r="1133" s="10" customFormat="1" customHeight="1" spans="1:25">
      <c r="A1133" s="61" t="s">
        <v>403</v>
      </c>
      <c r="B1133" s="61" t="s">
        <v>62</v>
      </c>
      <c r="C1133" s="61" t="s">
        <v>217</v>
      </c>
      <c r="D1133" s="61" t="s">
        <v>566</v>
      </c>
      <c r="E1133" s="160" t="s">
        <v>1043</v>
      </c>
      <c r="F1133" s="61" t="s">
        <v>906</v>
      </c>
      <c r="G1133" s="161" t="s">
        <v>88</v>
      </c>
      <c r="H1133" s="45" t="s">
        <v>1457</v>
      </c>
      <c r="I1133" s="47" t="e">
        <f>VLOOKUP(H1133,'合同综合查询数据（3月返）'!$A:$A,1,FALSE)</f>
        <v>#N/A</v>
      </c>
      <c r="J1133" s="48" t="s">
        <v>90</v>
      </c>
      <c r="K1133" s="135" t="s">
        <v>1458</v>
      </c>
      <c r="L1133" s="164"/>
      <c r="M1133" s="50" t="s">
        <v>909</v>
      </c>
      <c r="N1133" s="178">
        <v>43091</v>
      </c>
      <c r="O1133" s="163" t="s">
        <v>1459</v>
      </c>
      <c r="P1133" s="144">
        <v>9600</v>
      </c>
      <c r="Q1133" s="144">
        <v>6</v>
      </c>
      <c r="R1133" s="68">
        <f t="shared" si="30"/>
        <v>57600</v>
      </c>
      <c r="S1133" s="70">
        <v>202303</v>
      </c>
      <c r="T1133" s="203" t="s">
        <v>1522</v>
      </c>
      <c r="U1133" s="204"/>
      <c r="V1133" s="143"/>
      <c r="W1133" s="143"/>
      <c r="X1133" s="73"/>
      <c r="Y1133" s="73"/>
    </row>
    <row r="1134" s="10" customFormat="1" customHeight="1" spans="1:25">
      <c r="A1134" s="61" t="s">
        <v>403</v>
      </c>
      <c r="B1134" s="61" t="s">
        <v>62</v>
      </c>
      <c r="C1134" s="61" t="s">
        <v>217</v>
      </c>
      <c r="D1134" s="61" t="s">
        <v>566</v>
      </c>
      <c r="E1134" s="160" t="s">
        <v>1043</v>
      </c>
      <c r="F1134" s="61" t="s">
        <v>906</v>
      </c>
      <c r="G1134" s="161" t="s">
        <v>88</v>
      </c>
      <c r="H1134" s="45" t="s">
        <v>1457</v>
      </c>
      <c r="I1134" s="47" t="e">
        <f>VLOOKUP(H1134,'合同综合查询数据（3月返）'!$A:$A,1,FALSE)</f>
        <v>#N/A</v>
      </c>
      <c r="J1134" s="48" t="s">
        <v>90</v>
      </c>
      <c r="K1134" s="135" t="s">
        <v>1458</v>
      </c>
      <c r="L1134" s="164"/>
      <c r="M1134" s="50" t="s">
        <v>909</v>
      </c>
      <c r="N1134" s="178">
        <v>43096</v>
      </c>
      <c r="O1134" s="163" t="s">
        <v>1459</v>
      </c>
      <c r="P1134" s="144">
        <v>9600</v>
      </c>
      <c r="Q1134" s="144">
        <v>7</v>
      </c>
      <c r="R1134" s="68">
        <f t="shared" si="30"/>
        <v>67200</v>
      </c>
      <c r="S1134" s="70">
        <v>202303</v>
      </c>
      <c r="T1134" s="203" t="s">
        <v>1523</v>
      </c>
      <c r="U1134" s="204"/>
      <c r="V1134" s="143"/>
      <c r="W1134" s="143"/>
      <c r="X1134" s="73"/>
      <c r="Y1134" s="73"/>
    </row>
    <row r="1135" s="10" customFormat="1" customHeight="1" spans="1:25">
      <c r="A1135" s="61" t="s">
        <v>403</v>
      </c>
      <c r="B1135" s="61" t="s">
        <v>62</v>
      </c>
      <c r="C1135" s="61" t="s">
        <v>217</v>
      </c>
      <c r="D1135" s="61" t="s">
        <v>566</v>
      </c>
      <c r="E1135" s="160" t="s">
        <v>1043</v>
      </c>
      <c r="F1135" s="61" t="s">
        <v>906</v>
      </c>
      <c r="G1135" s="161" t="s">
        <v>88</v>
      </c>
      <c r="H1135" s="45" t="s">
        <v>1457</v>
      </c>
      <c r="I1135" s="47" t="e">
        <f>VLOOKUP(H1135,'合同综合查询数据（3月返）'!$A:$A,1,FALSE)</f>
        <v>#N/A</v>
      </c>
      <c r="J1135" s="48" t="s">
        <v>90</v>
      </c>
      <c r="K1135" s="135" t="s">
        <v>1458</v>
      </c>
      <c r="L1135" s="164"/>
      <c r="M1135" s="50" t="s">
        <v>909</v>
      </c>
      <c r="N1135" s="178">
        <v>43096</v>
      </c>
      <c r="O1135" s="163" t="s">
        <v>1459</v>
      </c>
      <c r="P1135" s="144">
        <v>9600</v>
      </c>
      <c r="Q1135" s="144">
        <v>6</v>
      </c>
      <c r="R1135" s="68">
        <f t="shared" si="30"/>
        <v>57600</v>
      </c>
      <c r="S1135" s="70">
        <v>202303</v>
      </c>
      <c r="T1135" s="203" t="s">
        <v>1524</v>
      </c>
      <c r="U1135" s="204"/>
      <c r="V1135" s="143"/>
      <c r="W1135" s="143"/>
      <c r="X1135" s="73"/>
      <c r="Y1135" s="73"/>
    </row>
    <row r="1136" s="10" customFormat="1" customHeight="1" spans="1:25">
      <c r="A1136" s="61" t="s">
        <v>403</v>
      </c>
      <c r="B1136" s="61" t="s">
        <v>62</v>
      </c>
      <c r="C1136" s="61" t="s">
        <v>217</v>
      </c>
      <c r="D1136" s="61" t="s">
        <v>566</v>
      </c>
      <c r="E1136" s="160" t="s">
        <v>1043</v>
      </c>
      <c r="F1136" s="61" t="s">
        <v>906</v>
      </c>
      <c r="G1136" s="161" t="s">
        <v>88</v>
      </c>
      <c r="H1136" s="45" t="s">
        <v>1457</v>
      </c>
      <c r="I1136" s="47" t="e">
        <f>VLOOKUP(H1136,'合同综合查询数据（3月返）'!$A:$A,1,FALSE)</f>
        <v>#N/A</v>
      </c>
      <c r="J1136" s="48" t="s">
        <v>90</v>
      </c>
      <c r="K1136" s="135" t="s">
        <v>1458</v>
      </c>
      <c r="L1136" s="164"/>
      <c r="M1136" s="50" t="s">
        <v>909</v>
      </c>
      <c r="N1136" s="178">
        <v>43097</v>
      </c>
      <c r="O1136" s="163" t="s">
        <v>1459</v>
      </c>
      <c r="P1136" s="144">
        <v>9600</v>
      </c>
      <c r="Q1136" s="144">
        <v>8</v>
      </c>
      <c r="R1136" s="68">
        <f t="shared" si="30"/>
        <v>76800</v>
      </c>
      <c r="S1136" s="70">
        <v>202303</v>
      </c>
      <c r="T1136" s="203" t="s">
        <v>1525</v>
      </c>
      <c r="U1136" s="204"/>
      <c r="V1136" s="143"/>
      <c r="W1136" s="143"/>
      <c r="X1136" s="73"/>
      <c r="Y1136" s="73"/>
    </row>
    <row r="1137" s="10" customFormat="1" customHeight="1" spans="1:25">
      <c r="A1137" s="61" t="s">
        <v>403</v>
      </c>
      <c r="B1137" s="61" t="s">
        <v>62</v>
      </c>
      <c r="C1137" s="61" t="s">
        <v>217</v>
      </c>
      <c r="D1137" s="61" t="s">
        <v>566</v>
      </c>
      <c r="E1137" s="160" t="s">
        <v>1043</v>
      </c>
      <c r="F1137" s="61" t="s">
        <v>906</v>
      </c>
      <c r="G1137" s="161" t="s">
        <v>88</v>
      </c>
      <c r="H1137" s="45" t="s">
        <v>1457</v>
      </c>
      <c r="I1137" s="47" t="e">
        <f>VLOOKUP(H1137,'合同综合查询数据（3月返）'!$A:$A,1,FALSE)</f>
        <v>#N/A</v>
      </c>
      <c r="J1137" s="48" t="s">
        <v>90</v>
      </c>
      <c r="K1137" s="135" t="s">
        <v>1458</v>
      </c>
      <c r="L1137" s="164"/>
      <c r="M1137" s="50" t="s">
        <v>909</v>
      </c>
      <c r="N1137" s="178">
        <v>43131</v>
      </c>
      <c r="O1137" s="163" t="s">
        <v>1459</v>
      </c>
      <c r="P1137" s="144">
        <v>9600</v>
      </c>
      <c r="Q1137" s="144">
        <v>3</v>
      </c>
      <c r="R1137" s="68">
        <f t="shared" si="30"/>
        <v>28800</v>
      </c>
      <c r="S1137" s="70">
        <v>202303</v>
      </c>
      <c r="T1137" s="203" t="s">
        <v>1526</v>
      </c>
      <c r="U1137" s="204"/>
      <c r="V1137" s="143"/>
      <c r="W1137" s="143"/>
      <c r="X1137" s="73"/>
      <c r="Y1137" s="73"/>
    </row>
    <row r="1138" s="10" customFormat="1" customHeight="1" spans="1:25">
      <c r="A1138" s="61" t="s">
        <v>403</v>
      </c>
      <c r="B1138" s="61" t="s">
        <v>62</v>
      </c>
      <c r="C1138" s="61" t="s">
        <v>217</v>
      </c>
      <c r="D1138" s="61" t="s">
        <v>566</v>
      </c>
      <c r="E1138" s="160" t="s">
        <v>1043</v>
      </c>
      <c r="F1138" s="61" t="s">
        <v>906</v>
      </c>
      <c r="G1138" s="161" t="s">
        <v>88</v>
      </c>
      <c r="H1138" s="45" t="s">
        <v>1457</v>
      </c>
      <c r="I1138" s="47" t="e">
        <f>VLOOKUP(H1138,'合同综合查询数据（3月返）'!$A:$A,1,FALSE)</f>
        <v>#N/A</v>
      </c>
      <c r="J1138" s="48" t="s">
        <v>90</v>
      </c>
      <c r="K1138" s="135" t="s">
        <v>1458</v>
      </c>
      <c r="L1138" s="164"/>
      <c r="M1138" s="50" t="s">
        <v>909</v>
      </c>
      <c r="N1138" s="178">
        <v>43130</v>
      </c>
      <c r="O1138" s="163" t="s">
        <v>1459</v>
      </c>
      <c r="P1138" s="144">
        <v>9600</v>
      </c>
      <c r="Q1138" s="144">
        <v>1</v>
      </c>
      <c r="R1138" s="68">
        <f t="shared" si="30"/>
        <v>9600</v>
      </c>
      <c r="S1138" s="70">
        <v>202303</v>
      </c>
      <c r="T1138" s="203" t="s">
        <v>1527</v>
      </c>
      <c r="U1138" s="204"/>
      <c r="V1138" s="143"/>
      <c r="W1138" s="143"/>
      <c r="X1138" s="73"/>
      <c r="Y1138" s="73"/>
    </row>
    <row r="1139" s="10" customFormat="1" customHeight="1" spans="1:25">
      <c r="A1139" s="61" t="s">
        <v>403</v>
      </c>
      <c r="B1139" s="61" t="s">
        <v>62</v>
      </c>
      <c r="C1139" s="61" t="s">
        <v>217</v>
      </c>
      <c r="D1139" s="61" t="s">
        <v>566</v>
      </c>
      <c r="E1139" s="160" t="s">
        <v>1043</v>
      </c>
      <c r="F1139" s="61" t="s">
        <v>906</v>
      </c>
      <c r="G1139" s="161" t="s">
        <v>88</v>
      </c>
      <c r="H1139" s="45" t="s">
        <v>1457</v>
      </c>
      <c r="I1139" s="47" t="e">
        <f>VLOOKUP(H1139,'合同综合查询数据（3月返）'!$A:$A,1,FALSE)</f>
        <v>#N/A</v>
      </c>
      <c r="J1139" s="48" t="s">
        <v>90</v>
      </c>
      <c r="K1139" s="135" t="s">
        <v>1458</v>
      </c>
      <c r="L1139" s="164"/>
      <c r="M1139" s="50" t="s">
        <v>909</v>
      </c>
      <c r="N1139" s="178">
        <v>43130</v>
      </c>
      <c r="O1139" s="163" t="s">
        <v>1459</v>
      </c>
      <c r="P1139" s="144">
        <v>9600</v>
      </c>
      <c r="Q1139" s="144">
        <v>1</v>
      </c>
      <c r="R1139" s="68">
        <f t="shared" si="30"/>
        <v>9600</v>
      </c>
      <c r="S1139" s="70">
        <v>202303</v>
      </c>
      <c r="T1139" s="203" t="s">
        <v>1528</v>
      </c>
      <c r="U1139" s="204"/>
      <c r="V1139" s="143"/>
      <c r="W1139" s="143"/>
      <c r="X1139" s="73"/>
      <c r="Y1139" s="73"/>
    </row>
    <row r="1140" s="10" customFormat="1" customHeight="1" spans="1:25">
      <c r="A1140" s="61" t="s">
        <v>403</v>
      </c>
      <c r="B1140" s="61" t="s">
        <v>62</v>
      </c>
      <c r="C1140" s="61" t="s">
        <v>217</v>
      </c>
      <c r="D1140" s="61" t="s">
        <v>566</v>
      </c>
      <c r="E1140" s="160" t="s">
        <v>1043</v>
      </c>
      <c r="F1140" s="61" t="s">
        <v>906</v>
      </c>
      <c r="G1140" s="161" t="s">
        <v>88</v>
      </c>
      <c r="H1140" s="45" t="s">
        <v>1457</v>
      </c>
      <c r="I1140" s="47" t="e">
        <f>VLOOKUP(H1140,'合同综合查询数据（3月返）'!$A:$A,1,FALSE)</f>
        <v>#N/A</v>
      </c>
      <c r="J1140" s="48" t="s">
        <v>90</v>
      </c>
      <c r="K1140" s="135" t="s">
        <v>1458</v>
      </c>
      <c r="L1140" s="164"/>
      <c r="M1140" s="50" t="s">
        <v>909</v>
      </c>
      <c r="N1140" s="178">
        <v>43100</v>
      </c>
      <c r="O1140" s="163" t="s">
        <v>1459</v>
      </c>
      <c r="P1140" s="144">
        <v>9600</v>
      </c>
      <c r="Q1140" s="144">
        <v>2</v>
      </c>
      <c r="R1140" s="68">
        <f t="shared" si="30"/>
        <v>19200</v>
      </c>
      <c r="S1140" s="70">
        <v>202303</v>
      </c>
      <c r="T1140" s="203" t="s">
        <v>1529</v>
      </c>
      <c r="U1140" s="204"/>
      <c r="V1140" s="143"/>
      <c r="W1140" s="143"/>
      <c r="X1140" s="73"/>
      <c r="Y1140" s="73"/>
    </row>
    <row r="1141" s="10" customFormat="1" customHeight="1" spans="1:25">
      <c r="A1141" s="61" t="s">
        <v>403</v>
      </c>
      <c r="B1141" s="61" t="s">
        <v>62</v>
      </c>
      <c r="C1141" s="61" t="s">
        <v>217</v>
      </c>
      <c r="D1141" s="61" t="s">
        <v>566</v>
      </c>
      <c r="E1141" s="160" t="s">
        <v>1043</v>
      </c>
      <c r="F1141" s="61" t="s">
        <v>906</v>
      </c>
      <c r="G1141" s="161" t="s">
        <v>88</v>
      </c>
      <c r="H1141" s="45" t="s">
        <v>1457</v>
      </c>
      <c r="I1141" s="47" t="e">
        <f>VLOOKUP(H1141,'合同综合查询数据（3月返）'!$A:$A,1,FALSE)</f>
        <v>#N/A</v>
      </c>
      <c r="J1141" s="48" t="s">
        <v>90</v>
      </c>
      <c r="K1141" s="135" t="s">
        <v>1458</v>
      </c>
      <c r="L1141" s="164"/>
      <c r="M1141" s="50" t="s">
        <v>909</v>
      </c>
      <c r="N1141" s="178">
        <v>43098</v>
      </c>
      <c r="O1141" s="163" t="s">
        <v>1459</v>
      </c>
      <c r="P1141" s="144">
        <v>9600</v>
      </c>
      <c r="Q1141" s="144">
        <v>13</v>
      </c>
      <c r="R1141" s="68">
        <f t="shared" si="30"/>
        <v>124800</v>
      </c>
      <c r="S1141" s="70">
        <v>202303</v>
      </c>
      <c r="T1141" s="203" t="s">
        <v>1530</v>
      </c>
      <c r="U1141" s="204"/>
      <c r="V1141" s="143"/>
      <c r="W1141" s="143"/>
      <c r="X1141" s="73"/>
      <c r="Y1141" s="73"/>
    </row>
    <row r="1142" s="10" customFormat="1" customHeight="1" spans="1:25">
      <c r="A1142" s="61" t="s">
        <v>403</v>
      </c>
      <c r="B1142" s="61" t="s">
        <v>62</v>
      </c>
      <c r="C1142" s="61" t="s">
        <v>217</v>
      </c>
      <c r="D1142" s="61" t="s">
        <v>566</v>
      </c>
      <c r="E1142" s="160" t="s">
        <v>1043</v>
      </c>
      <c r="F1142" s="61" t="s">
        <v>906</v>
      </c>
      <c r="G1142" s="161" t="s">
        <v>88</v>
      </c>
      <c r="H1142" s="45" t="s">
        <v>1457</v>
      </c>
      <c r="I1142" s="47" t="e">
        <f>VLOOKUP(H1142,'合同综合查询数据（3月返）'!$A:$A,1,FALSE)</f>
        <v>#N/A</v>
      </c>
      <c r="J1142" s="48" t="s">
        <v>90</v>
      </c>
      <c r="K1142" s="135" t="s">
        <v>1458</v>
      </c>
      <c r="L1142" s="164"/>
      <c r="M1142" s="50" t="s">
        <v>909</v>
      </c>
      <c r="N1142" s="178">
        <v>43101</v>
      </c>
      <c r="O1142" s="163" t="s">
        <v>1459</v>
      </c>
      <c r="P1142" s="144">
        <v>9600</v>
      </c>
      <c r="Q1142" s="144">
        <v>1</v>
      </c>
      <c r="R1142" s="68">
        <f t="shared" si="30"/>
        <v>9600</v>
      </c>
      <c r="S1142" s="70">
        <v>202303</v>
      </c>
      <c r="T1142" s="203" t="s">
        <v>1531</v>
      </c>
      <c r="U1142" s="204"/>
      <c r="V1142" s="143"/>
      <c r="W1142" s="143"/>
      <c r="X1142" s="73"/>
      <c r="Y1142" s="73"/>
    </row>
    <row r="1143" s="10" customFormat="1" customHeight="1" spans="1:25">
      <c r="A1143" s="61" t="s">
        <v>403</v>
      </c>
      <c r="B1143" s="61" t="s">
        <v>62</v>
      </c>
      <c r="C1143" s="61" t="s">
        <v>217</v>
      </c>
      <c r="D1143" s="61" t="s">
        <v>566</v>
      </c>
      <c r="E1143" s="160" t="s">
        <v>1043</v>
      </c>
      <c r="F1143" s="61" t="s">
        <v>906</v>
      </c>
      <c r="G1143" s="161" t="s">
        <v>88</v>
      </c>
      <c r="H1143" s="45" t="s">
        <v>1457</v>
      </c>
      <c r="I1143" s="47" t="e">
        <f>VLOOKUP(H1143,'合同综合查询数据（3月返）'!$A:$A,1,FALSE)</f>
        <v>#N/A</v>
      </c>
      <c r="J1143" s="48" t="s">
        <v>90</v>
      </c>
      <c r="K1143" s="135" t="s">
        <v>1458</v>
      </c>
      <c r="L1143" s="164"/>
      <c r="M1143" s="50" t="s">
        <v>909</v>
      </c>
      <c r="N1143" s="178">
        <v>43102</v>
      </c>
      <c r="O1143" s="163" t="s">
        <v>1459</v>
      </c>
      <c r="P1143" s="144">
        <v>9600</v>
      </c>
      <c r="Q1143" s="144">
        <v>3</v>
      </c>
      <c r="R1143" s="68">
        <f t="shared" si="30"/>
        <v>28800</v>
      </c>
      <c r="S1143" s="70">
        <v>202303</v>
      </c>
      <c r="T1143" s="203" t="s">
        <v>1532</v>
      </c>
      <c r="U1143" s="204"/>
      <c r="V1143" s="143"/>
      <c r="W1143" s="143"/>
      <c r="X1143" s="73"/>
      <c r="Y1143" s="73"/>
    </row>
    <row r="1144" s="10" customFormat="1" customHeight="1" spans="1:25">
      <c r="A1144" s="61" t="s">
        <v>403</v>
      </c>
      <c r="B1144" s="61" t="s">
        <v>62</v>
      </c>
      <c r="C1144" s="61" t="s">
        <v>217</v>
      </c>
      <c r="D1144" s="61" t="s">
        <v>566</v>
      </c>
      <c r="E1144" s="160" t="s">
        <v>1043</v>
      </c>
      <c r="F1144" s="61" t="s">
        <v>906</v>
      </c>
      <c r="G1144" s="161" t="s">
        <v>88</v>
      </c>
      <c r="H1144" s="45" t="s">
        <v>1457</v>
      </c>
      <c r="I1144" s="47" t="e">
        <f>VLOOKUP(H1144,'合同综合查询数据（3月返）'!$A:$A,1,FALSE)</f>
        <v>#N/A</v>
      </c>
      <c r="J1144" s="48" t="s">
        <v>90</v>
      </c>
      <c r="K1144" s="135" t="s">
        <v>1458</v>
      </c>
      <c r="L1144" s="164"/>
      <c r="M1144" s="50" t="s">
        <v>909</v>
      </c>
      <c r="N1144" s="178">
        <v>43107</v>
      </c>
      <c r="O1144" s="163" t="s">
        <v>1459</v>
      </c>
      <c r="P1144" s="144">
        <v>9600</v>
      </c>
      <c r="Q1144" s="144">
        <v>1</v>
      </c>
      <c r="R1144" s="68">
        <f t="shared" si="30"/>
        <v>9600</v>
      </c>
      <c r="S1144" s="70">
        <v>202303</v>
      </c>
      <c r="T1144" s="203" t="s">
        <v>1533</v>
      </c>
      <c r="U1144" s="204"/>
      <c r="V1144" s="143"/>
      <c r="W1144" s="143"/>
      <c r="X1144" s="73"/>
      <c r="Y1144" s="73"/>
    </row>
    <row r="1145" s="10" customFormat="1" customHeight="1" spans="1:25">
      <c r="A1145" s="61" t="s">
        <v>403</v>
      </c>
      <c r="B1145" s="61" t="s">
        <v>62</v>
      </c>
      <c r="C1145" s="61" t="s">
        <v>217</v>
      </c>
      <c r="D1145" s="61" t="s">
        <v>566</v>
      </c>
      <c r="E1145" s="160" t="s">
        <v>1043</v>
      </c>
      <c r="F1145" s="61" t="s">
        <v>906</v>
      </c>
      <c r="G1145" s="161" t="s">
        <v>88</v>
      </c>
      <c r="H1145" s="45" t="s">
        <v>1457</v>
      </c>
      <c r="I1145" s="47" t="e">
        <f>VLOOKUP(H1145,'合同综合查询数据（3月返）'!$A:$A,1,FALSE)</f>
        <v>#N/A</v>
      </c>
      <c r="J1145" s="48" t="s">
        <v>90</v>
      </c>
      <c r="K1145" s="135" t="s">
        <v>1458</v>
      </c>
      <c r="L1145" s="164"/>
      <c r="M1145" s="50" t="s">
        <v>909</v>
      </c>
      <c r="N1145" s="178">
        <v>43108</v>
      </c>
      <c r="O1145" s="163" t="s">
        <v>1459</v>
      </c>
      <c r="P1145" s="144">
        <v>9600</v>
      </c>
      <c r="Q1145" s="144">
        <v>12</v>
      </c>
      <c r="R1145" s="68">
        <f t="shared" si="30"/>
        <v>115200</v>
      </c>
      <c r="S1145" s="70">
        <v>202303</v>
      </c>
      <c r="T1145" s="203" t="s">
        <v>1534</v>
      </c>
      <c r="U1145" s="204"/>
      <c r="V1145" s="143"/>
      <c r="W1145" s="143"/>
      <c r="X1145" s="73"/>
      <c r="Y1145" s="73"/>
    </row>
    <row r="1146" s="10" customFormat="1" customHeight="1" spans="1:25">
      <c r="A1146" s="61" t="s">
        <v>403</v>
      </c>
      <c r="B1146" s="61" t="s">
        <v>62</v>
      </c>
      <c r="C1146" s="61" t="s">
        <v>217</v>
      </c>
      <c r="D1146" s="61" t="s">
        <v>566</v>
      </c>
      <c r="E1146" s="160" t="s">
        <v>1043</v>
      </c>
      <c r="F1146" s="61" t="s">
        <v>906</v>
      </c>
      <c r="G1146" s="161" t="s">
        <v>88</v>
      </c>
      <c r="H1146" s="45" t="s">
        <v>1457</v>
      </c>
      <c r="I1146" s="47" t="e">
        <f>VLOOKUP(H1146,'合同综合查询数据（3月返）'!$A:$A,1,FALSE)</f>
        <v>#N/A</v>
      </c>
      <c r="J1146" s="48" t="s">
        <v>90</v>
      </c>
      <c r="K1146" s="135" t="s">
        <v>1458</v>
      </c>
      <c r="L1146" s="164"/>
      <c r="M1146" s="50" t="s">
        <v>909</v>
      </c>
      <c r="N1146" s="178">
        <v>43109</v>
      </c>
      <c r="O1146" s="163" t="s">
        <v>1459</v>
      </c>
      <c r="P1146" s="144">
        <v>9600</v>
      </c>
      <c r="Q1146" s="144">
        <v>1</v>
      </c>
      <c r="R1146" s="68">
        <f t="shared" si="30"/>
        <v>9600</v>
      </c>
      <c r="S1146" s="70">
        <v>202303</v>
      </c>
      <c r="T1146" s="203" t="s">
        <v>1535</v>
      </c>
      <c r="U1146" s="204"/>
      <c r="V1146" s="143"/>
      <c r="W1146" s="143"/>
      <c r="X1146" s="73"/>
      <c r="Y1146" s="73"/>
    </row>
    <row r="1147" s="10" customFormat="1" customHeight="1" spans="1:25">
      <c r="A1147" s="61" t="s">
        <v>403</v>
      </c>
      <c r="B1147" s="61" t="s">
        <v>62</v>
      </c>
      <c r="C1147" s="61" t="s">
        <v>217</v>
      </c>
      <c r="D1147" s="61" t="s">
        <v>566</v>
      </c>
      <c r="E1147" s="160" t="s">
        <v>1043</v>
      </c>
      <c r="F1147" s="61" t="s">
        <v>906</v>
      </c>
      <c r="G1147" s="161" t="s">
        <v>88</v>
      </c>
      <c r="H1147" s="45" t="s">
        <v>1457</v>
      </c>
      <c r="I1147" s="47" t="e">
        <f>VLOOKUP(H1147,'合同综合查询数据（3月返）'!$A:$A,1,FALSE)</f>
        <v>#N/A</v>
      </c>
      <c r="J1147" s="48" t="s">
        <v>90</v>
      </c>
      <c r="K1147" s="135" t="s">
        <v>1458</v>
      </c>
      <c r="L1147" s="164"/>
      <c r="M1147" s="50" t="s">
        <v>909</v>
      </c>
      <c r="N1147" s="178">
        <v>43110</v>
      </c>
      <c r="O1147" s="163" t="s">
        <v>1459</v>
      </c>
      <c r="P1147" s="144">
        <v>9600</v>
      </c>
      <c r="Q1147" s="144">
        <v>1</v>
      </c>
      <c r="R1147" s="68">
        <f t="shared" si="30"/>
        <v>9600</v>
      </c>
      <c r="S1147" s="70">
        <v>202303</v>
      </c>
      <c r="T1147" s="203" t="s">
        <v>1536</v>
      </c>
      <c r="U1147" s="204"/>
      <c r="V1147" s="143"/>
      <c r="W1147" s="143"/>
      <c r="X1147" s="73"/>
      <c r="Y1147" s="73"/>
    </row>
    <row r="1148" s="10" customFormat="1" customHeight="1" spans="1:25">
      <c r="A1148" s="61" t="s">
        <v>403</v>
      </c>
      <c r="B1148" s="61" t="s">
        <v>62</v>
      </c>
      <c r="C1148" s="61" t="s">
        <v>217</v>
      </c>
      <c r="D1148" s="61" t="s">
        <v>566</v>
      </c>
      <c r="E1148" s="160" t="s">
        <v>1043</v>
      </c>
      <c r="F1148" s="61" t="s">
        <v>906</v>
      </c>
      <c r="G1148" s="161" t="s">
        <v>88</v>
      </c>
      <c r="H1148" s="45" t="s">
        <v>1457</v>
      </c>
      <c r="I1148" s="47" t="e">
        <f>VLOOKUP(H1148,'合同综合查询数据（3月返）'!$A:$A,1,FALSE)</f>
        <v>#N/A</v>
      </c>
      <c r="J1148" s="48" t="s">
        <v>90</v>
      </c>
      <c r="K1148" s="135" t="s">
        <v>1458</v>
      </c>
      <c r="L1148" s="164"/>
      <c r="M1148" s="50" t="s">
        <v>909</v>
      </c>
      <c r="N1148" s="178">
        <v>43110</v>
      </c>
      <c r="O1148" s="163" t="s">
        <v>1459</v>
      </c>
      <c r="P1148" s="144">
        <v>9600</v>
      </c>
      <c r="Q1148" s="144">
        <v>1</v>
      </c>
      <c r="R1148" s="68">
        <f t="shared" si="30"/>
        <v>9600</v>
      </c>
      <c r="S1148" s="70">
        <v>202303</v>
      </c>
      <c r="T1148" s="203" t="s">
        <v>1537</v>
      </c>
      <c r="U1148" s="204"/>
      <c r="V1148" s="143"/>
      <c r="W1148" s="143"/>
      <c r="X1148" s="73"/>
      <c r="Y1148" s="73"/>
    </row>
    <row r="1149" s="10" customFormat="1" customHeight="1" spans="1:25">
      <c r="A1149" s="61" t="s">
        <v>403</v>
      </c>
      <c r="B1149" s="61" t="s">
        <v>62</v>
      </c>
      <c r="C1149" s="61" t="s">
        <v>217</v>
      </c>
      <c r="D1149" s="61" t="s">
        <v>566</v>
      </c>
      <c r="E1149" s="160" t="s">
        <v>1043</v>
      </c>
      <c r="F1149" s="61" t="s">
        <v>906</v>
      </c>
      <c r="G1149" s="161" t="s">
        <v>88</v>
      </c>
      <c r="H1149" s="45" t="s">
        <v>1457</v>
      </c>
      <c r="I1149" s="47" t="e">
        <f>VLOOKUP(H1149,'合同综合查询数据（3月返）'!$A:$A,1,FALSE)</f>
        <v>#N/A</v>
      </c>
      <c r="J1149" s="48" t="s">
        <v>90</v>
      </c>
      <c r="K1149" s="135" t="s">
        <v>1458</v>
      </c>
      <c r="L1149" s="164"/>
      <c r="M1149" s="50" t="s">
        <v>909</v>
      </c>
      <c r="N1149" s="178">
        <v>43115</v>
      </c>
      <c r="O1149" s="163" t="s">
        <v>1459</v>
      </c>
      <c r="P1149" s="144">
        <v>9600</v>
      </c>
      <c r="Q1149" s="144">
        <v>2</v>
      </c>
      <c r="R1149" s="68">
        <f t="shared" si="30"/>
        <v>19200</v>
      </c>
      <c r="S1149" s="70">
        <v>202303</v>
      </c>
      <c r="T1149" s="203" t="s">
        <v>1538</v>
      </c>
      <c r="U1149" s="204"/>
      <c r="V1149" s="143"/>
      <c r="W1149" s="143"/>
      <c r="X1149" s="73"/>
      <c r="Y1149" s="73"/>
    </row>
    <row r="1150" s="10" customFormat="1" customHeight="1" spans="1:25">
      <c r="A1150" s="61" t="s">
        <v>403</v>
      </c>
      <c r="B1150" s="61" t="s">
        <v>62</v>
      </c>
      <c r="C1150" s="61" t="s">
        <v>217</v>
      </c>
      <c r="D1150" s="61" t="s">
        <v>566</v>
      </c>
      <c r="E1150" s="160" t="s">
        <v>1043</v>
      </c>
      <c r="F1150" s="61" t="s">
        <v>906</v>
      </c>
      <c r="G1150" s="161" t="s">
        <v>88</v>
      </c>
      <c r="H1150" s="45" t="s">
        <v>1457</v>
      </c>
      <c r="I1150" s="47" t="e">
        <f>VLOOKUP(H1150,'合同综合查询数据（3月返）'!$A:$A,1,FALSE)</f>
        <v>#N/A</v>
      </c>
      <c r="J1150" s="48" t="s">
        <v>90</v>
      </c>
      <c r="K1150" s="135" t="s">
        <v>1458</v>
      </c>
      <c r="L1150" s="164"/>
      <c r="M1150" s="50" t="s">
        <v>909</v>
      </c>
      <c r="N1150" s="178">
        <v>43115</v>
      </c>
      <c r="O1150" s="163" t="s">
        <v>1459</v>
      </c>
      <c r="P1150" s="144">
        <v>9600</v>
      </c>
      <c r="Q1150" s="144">
        <v>3</v>
      </c>
      <c r="R1150" s="68">
        <f t="shared" si="30"/>
        <v>28800</v>
      </c>
      <c r="S1150" s="70">
        <v>202303</v>
      </c>
      <c r="T1150" s="203" t="s">
        <v>1539</v>
      </c>
      <c r="U1150" s="204"/>
      <c r="V1150" s="143"/>
      <c r="W1150" s="143"/>
      <c r="X1150" s="73"/>
      <c r="Y1150" s="73"/>
    </row>
    <row r="1151" s="10" customFormat="1" customHeight="1" spans="1:25">
      <c r="A1151" s="61" t="s">
        <v>403</v>
      </c>
      <c r="B1151" s="61" t="s">
        <v>62</v>
      </c>
      <c r="C1151" s="61" t="s">
        <v>217</v>
      </c>
      <c r="D1151" s="61" t="s">
        <v>566</v>
      </c>
      <c r="E1151" s="160" t="s">
        <v>1043</v>
      </c>
      <c r="F1151" s="61" t="s">
        <v>906</v>
      </c>
      <c r="G1151" s="161" t="s">
        <v>88</v>
      </c>
      <c r="H1151" s="45" t="s">
        <v>1457</v>
      </c>
      <c r="I1151" s="47" t="e">
        <f>VLOOKUP(H1151,'合同综合查询数据（3月返）'!$A:$A,1,FALSE)</f>
        <v>#N/A</v>
      </c>
      <c r="J1151" s="48" t="s">
        <v>90</v>
      </c>
      <c r="K1151" s="135" t="s">
        <v>1458</v>
      </c>
      <c r="L1151" s="164"/>
      <c r="M1151" s="50" t="s">
        <v>909</v>
      </c>
      <c r="N1151" s="178">
        <v>43115</v>
      </c>
      <c r="O1151" s="163" t="s">
        <v>1459</v>
      </c>
      <c r="P1151" s="144">
        <v>9600</v>
      </c>
      <c r="Q1151" s="144">
        <v>1</v>
      </c>
      <c r="R1151" s="68">
        <f t="shared" si="30"/>
        <v>9600</v>
      </c>
      <c r="S1151" s="70">
        <v>202303</v>
      </c>
      <c r="T1151" s="203" t="s">
        <v>1540</v>
      </c>
      <c r="U1151" s="204"/>
      <c r="V1151" s="143"/>
      <c r="W1151" s="143"/>
      <c r="X1151" s="73"/>
      <c r="Y1151" s="73"/>
    </row>
    <row r="1152" s="10" customFormat="1" customHeight="1" spans="1:25">
      <c r="A1152" s="61" t="s">
        <v>403</v>
      </c>
      <c r="B1152" s="61" t="s">
        <v>62</v>
      </c>
      <c r="C1152" s="61" t="s">
        <v>217</v>
      </c>
      <c r="D1152" s="61" t="s">
        <v>566</v>
      </c>
      <c r="E1152" s="160" t="s">
        <v>1043</v>
      </c>
      <c r="F1152" s="61" t="s">
        <v>906</v>
      </c>
      <c r="G1152" s="161" t="s">
        <v>88</v>
      </c>
      <c r="H1152" s="45" t="s">
        <v>1457</v>
      </c>
      <c r="I1152" s="47" t="e">
        <f>VLOOKUP(H1152,'合同综合查询数据（3月返）'!$A:$A,1,FALSE)</f>
        <v>#N/A</v>
      </c>
      <c r="J1152" s="48" t="s">
        <v>90</v>
      </c>
      <c r="K1152" s="135" t="s">
        <v>1458</v>
      </c>
      <c r="L1152" s="164"/>
      <c r="M1152" s="50" t="s">
        <v>909</v>
      </c>
      <c r="N1152" s="178">
        <v>43115</v>
      </c>
      <c r="O1152" s="163" t="s">
        <v>1459</v>
      </c>
      <c r="P1152" s="144">
        <v>9600</v>
      </c>
      <c r="Q1152" s="144">
        <v>1</v>
      </c>
      <c r="R1152" s="68">
        <f t="shared" si="30"/>
        <v>9600</v>
      </c>
      <c r="S1152" s="70">
        <v>202303</v>
      </c>
      <c r="T1152" s="203" t="s">
        <v>1541</v>
      </c>
      <c r="U1152" s="204"/>
      <c r="V1152" s="143"/>
      <c r="W1152" s="143"/>
      <c r="X1152" s="73"/>
      <c r="Y1152" s="73"/>
    </row>
    <row r="1153" s="10" customFormat="1" customHeight="1" spans="1:25">
      <c r="A1153" s="61" t="s">
        <v>403</v>
      </c>
      <c r="B1153" s="61" t="s">
        <v>62</v>
      </c>
      <c r="C1153" s="61" t="s">
        <v>217</v>
      </c>
      <c r="D1153" s="61" t="s">
        <v>566</v>
      </c>
      <c r="E1153" s="160" t="s">
        <v>1043</v>
      </c>
      <c r="F1153" s="61" t="s">
        <v>906</v>
      </c>
      <c r="G1153" s="161" t="s">
        <v>88</v>
      </c>
      <c r="H1153" s="45" t="s">
        <v>1457</v>
      </c>
      <c r="I1153" s="47" t="e">
        <f>VLOOKUP(H1153,'合同综合查询数据（3月返）'!$A:$A,1,FALSE)</f>
        <v>#N/A</v>
      </c>
      <c r="J1153" s="48" t="s">
        <v>90</v>
      </c>
      <c r="K1153" s="135" t="s">
        <v>1458</v>
      </c>
      <c r="L1153" s="164"/>
      <c r="M1153" s="50" t="s">
        <v>909</v>
      </c>
      <c r="N1153" s="178">
        <v>43115</v>
      </c>
      <c r="O1153" s="163" t="s">
        <v>1459</v>
      </c>
      <c r="P1153" s="144">
        <v>9600</v>
      </c>
      <c r="Q1153" s="144">
        <v>1</v>
      </c>
      <c r="R1153" s="68">
        <f t="shared" si="30"/>
        <v>9600</v>
      </c>
      <c r="S1153" s="70">
        <v>202303</v>
      </c>
      <c r="T1153" s="203" t="s">
        <v>1542</v>
      </c>
      <c r="U1153" s="204"/>
      <c r="V1153" s="143"/>
      <c r="W1153" s="143"/>
      <c r="X1153" s="73"/>
      <c r="Y1153" s="73"/>
    </row>
    <row r="1154" s="10" customFormat="1" customHeight="1" spans="1:25">
      <c r="A1154" s="61" t="s">
        <v>403</v>
      </c>
      <c r="B1154" s="61" t="s">
        <v>62</v>
      </c>
      <c r="C1154" s="61" t="s">
        <v>217</v>
      </c>
      <c r="D1154" s="61" t="s">
        <v>566</v>
      </c>
      <c r="E1154" s="160" t="s">
        <v>1043</v>
      </c>
      <c r="F1154" s="61" t="s">
        <v>906</v>
      </c>
      <c r="G1154" s="161" t="s">
        <v>88</v>
      </c>
      <c r="H1154" s="45" t="s">
        <v>1457</v>
      </c>
      <c r="I1154" s="47" t="e">
        <f>VLOOKUP(H1154,'合同综合查询数据（3月返）'!$A:$A,1,FALSE)</f>
        <v>#N/A</v>
      </c>
      <c r="J1154" s="48" t="s">
        <v>90</v>
      </c>
      <c r="K1154" s="135" t="s">
        <v>1458</v>
      </c>
      <c r="L1154" s="164"/>
      <c r="M1154" s="50" t="s">
        <v>909</v>
      </c>
      <c r="N1154" s="178">
        <v>43115</v>
      </c>
      <c r="O1154" s="163" t="s">
        <v>1459</v>
      </c>
      <c r="P1154" s="144">
        <v>9600</v>
      </c>
      <c r="Q1154" s="144">
        <v>1</v>
      </c>
      <c r="R1154" s="68">
        <f t="shared" si="30"/>
        <v>9600</v>
      </c>
      <c r="S1154" s="70">
        <v>202303</v>
      </c>
      <c r="T1154" s="203" t="s">
        <v>1543</v>
      </c>
      <c r="U1154" s="204"/>
      <c r="V1154" s="143"/>
      <c r="W1154" s="143"/>
      <c r="X1154" s="73"/>
      <c r="Y1154" s="73"/>
    </row>
    <row r="1155" s="10" customFormat="1" customHeight="1" spans="1:25">
      <c r="A1155" s="61" t="s">
        <v>403</v>
      </c>
      <c r="B1155" s="61" t="s">
        <v>62</v>
      </c>
      <c r="C1155" s="61" t="s">
        <v>217</v>
      </c>
      <c r="D1155" s="61" t="s">
        <v>566</v>
      </c>
      <c r="E1155" s="160" t="s">
        <v>1043</v>
      </c>
      <c r="F1155" s="61" t="s">
        <v>906</v>
      </c>
      <c r="G1155" s="161" t="s">
        <v>88</v>
      </c>
      <c r="H1155" s="45" t="s">
        <v>1457</v>
      </c>
      <c r="I1155" s="47" t="e">
        <f>VLOOKUP(H1155,'合同综合查询数据（3月返）'!$A:$A,1,FALSE)</f>
        <v>#N/A</v>
      </c>
      <c r="J1155" s="48" t="s">
        <v>90</v>
      </c>
      <c r="K1155" s="135" t="s">
        <v>1458</v>
      </c>
      <c r="L1155" s="164"/>
      <c r="M1155" s="50" t="s">
        <v>909</v>
      </c>
      <c r="N1155" s="178">
        <v>43115</v>
      </c>
      <c r="O1155" s="163" t="s">
        <v>1459</v>
      </c>
      <c r="P1155" s="144">
        <v>9600</v>
      </c>
      <c r="Q1155" s="144">
        <v>1</v>
      </c>
      <c r="R1155" s="68">
        <f t="shared" si="30"/>
        <v>9600</v>
      </c>
      <c r="S1155" s="70">
        <v>202303</v>
      </c>
      <c r="T1155" s="203" t="s">
        <v>1544</v>
      </c>
      <c r="U1155" s="204"/>
      <c r="V1155" s="143"/>
      <c r="W1155" s="143"/>
      <c r="X1155" s="73"/>
      <c r="Y1155" s="73"/>
    </row>
    <row r="1156" s="10" customFormat="1" customHeight="1" spans="1:25">
      <c r="A1156" s="61" t="s">
        <v>403</v>
      </c>
      <c r="B1156" s="61" t="s">
        <v>62</v>
      </c>
      <c r="C1156" s="61" t="s">
        <v>217</v>
      </c>
      <c r="D1156" s="61" t="s">
        <v>566</v>
      </c>
      <c r="E1156" s="160" t="s">
        <v>1043</v>
      </c>
      <c r="F1156" s="61" t="s">
        <v>906</v>
      </c>
      <c r="G1156" s="161" t="s">
        <v>88</v>
      </c>
      <c r="H1156" s="45" t="s">
        <v>1457</v>
      </c>
      <c r="I1156" s="47" t="e">
        <f>VLOOKUP(H1156,'合同综合查询数据（3月返）'!$A:$A,1,FALSE)</f>
        <v>#N/A</v>
      </c>
      <c r="J1156" s="48" t="s">
        <v>90</v>
      </c>
      <c r="K1156" s="135" t="s">
        <v>1458</v>
      </c>
      <c r="L1156" s="164"/>
      <c r="M1156" s="50" t="s">
        <v>909</v>
      </c>
      <c r="N1156" s="178">
        <v>43119</v>
      </c>
      <c r="O1156" s="163" t="s">
        <v>1459</v>
      </c>
      <c r="P1156" s="144">
        <v>9600</v>
      </c>
      <c r="Q1156" s="144">
        <v>2</v>
      </c>
      <c r="R1156" s="68">
        <f t="shared" si="30"/>
        <v>19200</v>
      </c>
      <c r="S1156" s="70">
        <v>202303</v>
      </c>
      <c r="T1156" s="203" t="s">
        <v>1545</v>
      </c>
      <c r="U1156" s="204"/>
      <c r="V1156" s="143"/>
      <c r="W1156" s="143"/>
      <c r="X1156" s="73"/>
      <c r="Y1156" s="73"/>
    </row>
    <row r="1157" s="10" customFormat="1" customHeight="1" spans="1:25">
      <c r="A1157" s="61" t="s">
        <v>403</v>
      </c>
      <c r="B1157" s="61" t="s">
        <v>62</v>
      </c>
      <c r="C1157" s="61" t="s">
        <v>217</v>
      </c>
      <c r="D1157" s="61" t="s">
        <v>566</v>
      </c>
      <c r="E1157" s="160" t="s">
        <v>1043</v>
      </c>
      <c r="F1157" s="61" t="s">
        <v>906</v>
      </c>
      <c r="G1157" s="161" t="s">
        <v>88</v>
      </c>
      <c r="H1157" s="45" t="s">
        <v>1457</v>
      </c>
      <c r="I1157" s="47" t="e">
        <f>VLOOKUP(H1157,'合同综合查询数据（3月返）'!$A:$A,1,FALSE)</f>
        <v>#N/A</v>
      </c>
      <c r="J1157" s="48" t="s">
        <v>90</v>
      </c>
      <c r="K1157" s="135" t="s">
        <v>1458</v>
      </c>
      <c r="L1157" s="164"/>
      <c r="M1157" s="50" t="s">
        <v>909</v>
      </c>
      <c r="N1157" s="178">
        <v>43119</v>
      </c>
      <c r="O1157" s="163" t="s">
        <v>1459</v>
      </c>
      <c r="P1157" s="144">
        <v>9600</v>
      </c>
      <c r="Q1157" s="144">
        <v>1</v>
      </c>
      <c r="R1157" s="68">
        <f t="shared" si="30"/>
        <v>9600</v>
      </c>
      <c r="S1157" s="70">
        <v>202303</v>
      </c>
      <c r="T1157" s="203" t="s">
        <v>1546</v>
      </c>
      <c r="U1157" s="204"/>
      <c r="V1157" s="143"/>
      <c r="W1157" s="143"/>
      <c r="X1157" s="73"/>
      <c r="Y1157" s="73"/>
    </row>
    <row r="1158" s="10" customFormat="1" customHeight="1" spans="1:25">
      <c r="A1158" s="61" t="s">
        <v>403</v>
      </c>
      <c r="B1158" s="61" t="s">
        <v>62</v>
      </c>
      <c r="C1158" s="61" t="s">
        <v>217</v>
      </c>
      <c r="D1158" s="61" t="s">
        <v>566</v>
      </c>
      <c r="E1158" s="160" t="s">
        <v>1043</v>
      </c>
      <c r="F1158" s="61" t="s">
        <v>906</v>
      </c>
      <c r="G1158" s="161" t="s">
        <v>88</v>
      </c>
      <c r="H1158" s="45" t="s">
        <v>1457</v>
      </c>
      <c r="I1158" s="47" t="e">
        <f>VLOOKUP(H1158,'合同综合查询数据（3月返）'!$A:$A,1,FALSE)</f>
        <v>#N/A</v>
      </c>
      <c r="J1158" s="48" t="s">
        <v>90</v>
      </c>
      <c r="K1158" s="135" t="s">
        <v>1458</v>
      </c>
      <c r="L1158" s="164"/>
      <c r="M1158" s="50" t="s">
        <v>909</v>
      </c>
      <c r="N1158" s="178">
        <v>43119</v>
      </c>
      <c r="O1158" s="163" t="s">
        <v>1459</v>
      </c>
      <c r="P1158" s="144">
        <v>9600</v>
      </c>
      <c r="Q1158" s="144">
        <v>1</v>
      </c>
      <c r="R1158" s="68">
        <f t="shared" si="30"/>
        <v>9600</v>
      </c>
      <c r="S1158" s="70">
        <v>202303</v>
      </c>
      <c r="T1158" s="203" t="s">
        <v>1547</v>
      </c>
      <c r="U1158" s="204"/>
      <c r="V1158" s="143"/>
      <c r="W1158" s="143"/>
      <c r="X1158" s="73"/>
      <c r="Y1158" s="73"/>
    </row>
    <row r="1159" s="10" customFormat="1" customHeight="1" spans="1:25">
      <c r="A1159" s="61" t="s">
        <v>403</v>
      </c>
      <c r="B1159" s="61" t="s">
        <v>62</v>
      </c>
      <c r="C1159" s="61" t="s">
        <v>217</v>
      </c>
      <c r="D1159" s="61" t="s">
        <v>566</v>
      </c>
      <c r="E1159" s="160" t="s">
        <v>1043</v>
      </c>
      <c r="F1159" s="61" t="s">
        <v>906</v>
      </c>
      <c r="G1159" s="161" t="s">
        <v>88</v>
      </c>
      <c r="H1159" s="45" t="s">
        <v>1457</v>
      </c>
      <c r="I1159" s="47" t="e">
        <f>VLOOKUP(H1159,'合同综合查询数据（3月返）'!$A:$A,1,FALSE)</f>
        <v>#N/A</v>
      </c>
      <c r="J1159" s="48" t="s">
        <v>90</v>
      </c>
      <c r="K1159" s="135" t="s">
        <v>1458</v>
      </c>
      <c r="L1159" s="164"/>
      <c r="M1159" s="50" t="s">
        <v>909</v>
      </c>
      <c r="N1159" s="178">
        <v>43119</v>
      </c>
      <c r="O1159" s="163" t="s">
        <v>1459</v>
      </c>
      <c r="P1159" s="144">
        <v>9600</v>
      </c>
      <c r="Q1159" s="144">
        <v>1</v>
      </c>
      <c r="R1159" s="68">
        <f t="shared" si="30"/>
        <v>9600</v>
      </c>
      <c r="S1159" s="70">
        <v>202303</v>
      </c>
      <c r="T1159" s="203" t="s">
        <v>1548</v>
      </c>
      <c r="U1159" s="204"/>
      <c r="V1159" s="143"/>
      <c r="W1159" s="143"/>
      <c r="X1159" s="73"/>
      <c r="Y1159" s="73"/>
    </row>
    <row r="1160" s="10" customFormat="1" customHeight="1" spans="1:25">
      <c r="A1160" s="61" t="s">
        <v>403</v>
      </c>
      <c r="B1160" s="61" t="s">
        <v>62</v>
      </c>
      <c r="C1160" s="61" t="s">
        <v>217</v>
      </c>
      <c r="D1160" s="61" t="s">
        <v>566</v>
      </c>
      <c r="E1160" s="160" t="s">
        <v>1043</v>
      </c>
      <c r="F1160" s="61" t="s">
        <v>906</v>
      </c>
      <c r="G1160" s="161" t="s">
        <v>88</v>
      </c>
      <c r="H1160" s="45" t="s">
        <v>1457</v>
      </c>
      <c r="I1160" s="47" t="e">
        <f>VLOOKUP(H1160,'合同综合查询数据（3月返）'!$A:$A,1,FALSE)</f>
        <v>#N/A</v>
      </c>
      <c r="J1160" s="48" t="s">
        <v>90</v>
      </c>
      <c r="K1160" s="135" t="s">
        <v>1458</v>
      </c>
      <c r="L1160" s="164"/>
      <c r="M1160" s="50" t="s">
        <v>909</v>
      </c>
      <c r="N1160" s="178">
        <v>43119</v>
      </c>
      <c r="O1160" s="163" t="s">
        <v>1459</v>
      </c>
      <c r="P1160" s="144">
        <v>9600</v>
      </c>
      <c r="Q1160" s="144">
        <v>1</v>
      </c>
      <c r="R1160" s="68">
        <f t="shared" si="30"/>
        <v>9600</v>
      </c>
      <c r="S1160" s="70">
        <v>202303</v>
      </c>
      <c r="T1160" s="203" t="s">
        <v>1549</v>
      </c>
      <c r="U1160" s="204"/>
      <c r="V1160" s="143"/>
      <c r="W1160" s="143"/>
      <c r="X1160" s="73"/>
      <c r="Y1160" s="73"/>
    </row>
    <row r="1161" s="10" customFormat="1" customHeight="1" spans="1:25">
      <c r="A1161" s="61" t="s">
        <v>403</v>
      </c>
      <c r="B1161" s="61" t="s">
        <v>62</v>
      </c>
      <c r="C1161" s="61" t="s">
        <v>217</v>
      </c>
      <c r="D1161" s="61" t="s">
        <v>566</v>
      </c>
      <c r="E1161" s="160" t="s">
        <v>1043</v>
      </c>
      <c r="F1161" s="61" t="s">
        <v>906</v>
      </c>
      <c r="G1161" s="161" t="s">
        <v>88</v>
      </c>
      <c r="H1161" s="45" t="s">
        <v>1457</v>
      </c>
      <c r="I1161" s="47" t="e">
        <f>VLOOKUP(H1161,'合同综合查询数据（3月返）'!$A:$A,1,FALSE)</f>
        <v>#N/A</v>
      </c>
      <c r="J1161" s="48" t="s">
        <v>90</v>
      </c>
      <c r="K1161" s="135" t="s">
        <v>1458</v>
      </c>
      <c r="L1161" s="164"/>
      <c r="M1161" s="50" t="s">
        <v>909</v>
      </c>
      <c r="N1161" s="178">
        <v>43123</v>
      </c>
      <c r="O1161" s="163" t="s">
        <v>1459</v>
      </c>
      <c r="P1161" s="144">
        <v>9600</v>
      </c>
      <c r="Q1161" s="144">
        <v>1</v>
      </c>
      <c r="R1161" s="68">
        <f t="shared" ref="R1161:R1211" si="31">ROUND(P1161*Q1161,2)</f>
        <v>9600</v>
      </c>
      <c r="S1161" s="70">
        <v>202303</v>
      </c>
      <c r="T1161" s="203" t="s">
        <v>1550</v>
      </c>
      <c r="U1161" s="204"/>
      <c r="V1161" s="143"/>
      <c r="W1161" s="143"/>
      <c r="X1161" s="73"/>
      <c r="Y1161" s="73"/>
    </row>
    <row r="1162" s="10" customFormat="1" customHeight="1" spans="1:25">
      <c r="A1162" s="61" t="s">
        <v>403</v>
      </c>
      <c r="B1162" s="61" t="s">
        <v>62</v>
      </c>
      <c r="C1162" s="61" t="s">
        <v>217</v>
      </c>
      <c r="D1162" s="61" t="s">
        <v>566</v>
      </c>
      <c r="E1162" s="160" t="s">
        <v>1043</v>
      </c>
      <c r="F1162" s="61" t="s">
        <v>906</v>
      </c>
      <c r="G1162" s="161" t="s">
        <v>88</v>
      </c>
      <c r="H1162" s="45" t="s">
        <v>1457</v>
      </c>
      <c r="I1162" s="47" t="e">
        <f>VLOOKUP(H1162,'合同综合查询数据（3月返）'!$A:$A,1,FALSE)</f>
        <v>#N/A</v>
      </c>
      <c r="J1162" s="48" t="s">
        <v>90</v>
      </c>
      <c r="K1162" s="135" t="s">
        <v>1458</v>
      </c>
      <c r="L1162" s="164"/>
      <c r="M1162" s="50" t="s">
        <v>909</v>
      </c>
      <c r="N1162" s="178">
        <v>43129</v>
      </c>
      <c r="O1162" s="163" t="s">
        <v>1459</v>
      </c>
      <c r="P1162" s="144">
        <v>9600</v>
      </c>
      <c r="Q1162" s="144">
        <v>1</v>
      </c>
      <c r="R1162" s="68">
        <f t="shared" si="31"/>
        <v>9600</v>
      </c>
      <c r="S1162" s="70">
        <v>202303</v>
      </c>
      <c r="T1162" s="203" t="s">
        <v>1551</v>
      </c>
      <c r="U1162" s="204"/>
      <c r="V1162" s="143"/>
      <c r="W1162" s="143"/>
      <c r="X1162" s="73"/>
      <c r="Y1162" s="73"/>
    </row>
    <row r="1163" s="10" customFormat="1" customHeight="1" spans="1:25">
      <c r="A1163" s="61" t="s">
        <v>403</v>
      </c>
      <c r="B1163" s="61" t="s">
        <v>62</v>
      </c>
      <c r="C1163" s="61" t="s">
        <v>217</v>
      </c>
      <c r="D1163" s="61" t="s">
        <v>566</v>
      </c>
      <c r="E1163" s="160" t="s">
        <v>1043</v>
      </c>
      <c r="F1163" s="61" t="s">
        <v>906</v>
      </c>
      <c r="G1163" s="161" t="s">
        <v>88</v>
      </c>
      <c r="H1163" s="45" t="s">
        <v>1457</v>
      </c>
      <c r="I1163" s="47" t="e">
        <f>VLOOKUP(H1163,'合同综合查询数据（3月返）'!$A:$A,1,FALSE)</f>
        <v>#N/A</v>
      </c>
      <c r="J1163" s="48" t="s">
        <v>90</v>
      </c>
      <c r="K1163" s="135" t="s">
        <v>1458</v>
      </c>
      <c r="L1163" s="164"/>
      <c r="M1163" s="50" t="s">
        <v>909</v>
      </c>
      <c r="N1163" s="178">
        <v>43129</v>
      </c>
      <c r="O1163" s="163" t="s">
        <v>1459</v>
      </c>
      <c r="P1163" s="144">
        <v>9600</v>
      </c>
      <c r="Q1163" s="144">
        <v>8</v>
      </c>
      <c r="R1163" s="68">
        <f t="shared" si="31"/>
        <v>76800</v>
      </c>
      <c r="S1163" s="70">
        <v>202303</v>
      </c>
      <c r="T1163" s="203" t="s">
        <v>1552</v>
      </c>
      <c r="U1163" s="204"/>
      <c r="V1163" s="143"/>
      <c r="W1163" s="143"/>
      <c r="X1163" s="73"/>
      <c r="Y1163" s="73"/>
    </row>
    <row r="1164" s="10" customFormat="1" customHeight="1" spans="1:25">
      <c r="A1164" s="61" t="s">
        <v>403</v>
      </c>
      <c r="B1164" s="61" t="s">
        <v>62</v>
      </c>
      <c r="C1164" s="61" t="s">
        <v>217</v>
      </c>
      <c r="D1164" s="61" t="s">
        <v>566</v>
      </c>
      <c r="E1164" s="160" t="s">
        <v>1043</v>
      </c>
      <c r="F1164" s="61" t="s">
        <v>906</v>
      </c>
      <c r="G1164" s="161" t="s">
        <v>88</v>
      </c>
      <c r="H1164" s="45" t="s">
        <v>1457</v>
      </c>
      <c r="I1164" s="47" t="e">
        <f>VLOOKUP(H1164,'合同综合查询数据（3月返）'!$A:$A,1,FALSE)</f>
        <v>#N/A</v>
      </c>
      <c r="J1164" s="48" t="s">
        <v>90</v>
      </c>
      <c r="K1164" s="135" t="s">
        <v>1458</v>
      </c>
      <c r="L1164" s="164"/>
      <c r="M1164" s="50" t="s">
        <v>909</v>
      </c>
      <c r="N1164" s="178">
        <v>43129</v>
      </c>
      <c r="O1164" s="163" t="s">
        <v>1459</v>
      </c>
      <c r="P1164" s="144">
        <v>9600</v>
      </c>
      <c r="Q1164" s="144">
        <v>1</v>
      </c>
      <c r="R1164" s="68">
        <f t="shared" si="31"/>
        <v>9600</v>
      </c>
      <c r="S1164" s="70">
        <v>202303</v>
      </c>
      <c r="T1164" s="203" t="s">
        <v>1553</v>
      </c>
      <c r="U1164" s="204"/>
      <c r="V1164" s="143"/>
      <c r="W1164" s="143"/>
      <c r="X1164" s="73"/>
      <c r="Y1164" s="73"/>
    </row>
    <row r="1165" s="10" customFormat="1" customHeight="1" spans="1:25">
      <c r="A1165" s="61" t="s">
        <v>403</v>
      </c>
      <c r="B1165" s="61" t="s">
        <v>62</v>
      </c>
      <c r="C1165" s="61" t="s">
        <v>217</v>
      </c>
      <c r="D1165" s="61" t="s">
        <v>566</v>
      </c>
      <c r="E1165" s="160" t="s">
        <v>1043</v>
      </c>
      <c r="F1165" s="61" t="s">
        <v>906</v>
      </c>
      <c r="G1165" s="161" t="s">
        <v>88</v>
      </c>
      <c r="H1165" s="45" t="s">
        <v>1457</v>
      </c>
      <c r="I1165" s="47" t="e">
        <f>VLOOKUP(H1165,'合同综合查询数据（3月返）'!$A:$A,1,FALSE)</f>
        <v>#N/A</v>
      </c>
      <c r="J1165" s="48" t="s">
        <v>90</v>
      </c>
      <c r="K1165" s="135" t="s">
        <v>1458</v>
      </c>
      <c r="L1165" s="164"/>
      <c r="M1165" s="50" t="s">
        <v>909</v>
      </c>
      <c r="N1165" s="178">
        <v>43125</v>
      </c>
      <c r="O1165" s="163" t="s">
        <v>1459</v>
      </c>
      <c r="P1165" s="144">
        <v>9600</v>
      </c>
      <c r="Q1165" s="144">
        <v>2</v>
      </c>
      <c r="R1165" s="68">
        <f t="shared" si="31"/>
        <v>19200</v>
      </c>
      <c r="S1165" s="70">
        <v>202303</v>
      </c>
      <c r="T1165" s="203" t="s">
        <v>1554</v>
      </c>
      <c r="U1165" s="204"/>
      <c r="V1165" s="143"/>
      <c r="W1165" s="143"/>
      <c r="X1165" s="73"/>
      <c r="Y1165" s="73"/>
    </row>
    <row r="1166" s="10" customFormat="1" customHeight="1" spans="1:25">
      <c r="A1166" s="61" t="s">
        <v>403</v>
      </c>
      <c r="B1166" s="61" t="s">
        <v>62</v>
      </c>
      <c r="C1166" s="61" t="s">
        <v>217</v>
      </c>
      <c r="D1166" s="61" t="s">
        <v>566</v>
      </c>
      <c r="E1166" s="160" t="s">
        <v>1043</v>
      </c>
      <c r="F1166" s="61" t="s">
        <v>906</v>
      </c>
      <c r="G1166" s="161" t="s">
        <v>88</v>
      </c>
      <c r="H1166" s="45" t="s">
        <v>1457</v>
      </c>
      <c r="I1166" s="47" t="e">
        <f>VLOOKUP(H1166,'合同综合查询数据（3月返）'!$A:$A,1,FALSE)</f>
        <v>#N/A</v>
      </c>
      <c r="J1166" s="48" t="s">
        <v>90</v>
      </c>
      <c r="K1166" s="135" t="s">
        <v>1458</v>
      </c>
      <c r="L1166" s="164"/>
      <c r="M1166" s="50" t="s">
        <v>909</v>
      </c>
      <c r="N1166" s="178">
        <v>43140</v>
      </c>
      <c r="O1166" s="163" t="s">
        <v>1459</v>
      </c>
      <c r="P1166" s="144">
        <v>9600</v>
      </c>
      <c r="Q1166" s="144">
        <v>1</v>
      </c>
      <c r="R1166" s="68">
        <f t="shared" si="31"/>
        <v>9600</v>
      </c>
      <c r="S1166" s="70">
        <v>202303</v>
      </c>
      <c r="T1166" s="203" t="s">
        <v>1555</v>
      </c>
      <c r="U1166" s="204"/>
      <c r="V1166" s="143"/>
      <c r="W1166" s="143"/>
      <c r="X1166" s="73"/>
      <c r="Y1166" s="73"/>
    </row>
    <row r="1167" s="10" customFormat="1" customHeight="1" spans="1:25">
      <c r="A1167" s="61" t="s">
        <v>403</v>
      </c>
      <c r="B1167" s="61" t="s">
        <v>62</v>
      </c>
      <c r="C1167" s="61" t="s">
        <v>217</v>
      </c>
      <c r="D1167" s="61" t="s">
        <v>566</v>
      </c>
      <c r="E1167" s="160" t="s">
        <v>1043</v>
      </c>
      <c r="F1167" s="61" t="s">
        <v>906</v>
      </c>
      <c r="G1167" s="161" t="s">
        <v>88</v>
      </c>
      <c r="H1167" s="45" t="s">
        <v>1457</v>
      </c>
      <c r="I1167" s="47" t="e">
        <f>VLOOKUP(H1167,'合同综合查询数据（3月返）'!$A:$A,1,FALSE)</f>
        <v>#N/A</v>
      </c>
      <c r="J1167" s="48" t="s">
        <v>90</v>
      </c>
      <c r="K1167" s="135" t="s">
        <v>1458</v>
      </c>
      <c r="L1167" s="164"/>
      <c r="M1167" s="50" t="s">
        <v>909</v>
      </c>
      <c r="N1167" s="178">
        <v>43138</v>
      </c>
      <c r="O1167" s="163" t="s">
        <v>1459</v>
      </c>
      <c r="P1167" s="144">
        <v>9600</v>
      </c>
      <c r="Q1167" s="144">
        <v>1</v>
      </c>
      <c r="R1167" s="68">
        <f t="shared" si="31"/>
        <v>9600</v>
      </c>
      <c r="S1167" s="70">
        <v>202303</v>
      </c>
      <c r="T1167" s="203" t="s">
        <v>1556</v>
      </c>
      <c r="U1167" s="204"/>
      <c r="V1167" s="143"/>
      <c r="W1167" s="143"/>
      <c r="X1167" s="73"/>
      <c r="Y1167" s="73"/>
    </row>
    <row r="1168" s="10" customFormat="1" customHeight="1" spans="1:25">
      <c r="A1168" s="61" t="s">
        <v>403</v>
      </c>
      <c r="B1168" s="61" t="s">
        <v>62</v>
      </c>
      <c r="C1168" s="61" t="s">
        <v>217</v>
      </c>
      <c r="D1168" s="61" t="s">
        <v>566</v>
      </c>
      <c r="E1168" s="160" t="s">
        <v>1043</v>
      </c>
      <c r="F1168" s="61" t="s">
        <v>906</v>
      </c>
      <c r="G1168" s="161" t="s">
        <v>88</v>
      </c>
      <c r="H1168" s="45" t="s">
        <v>1457</v>
      </c>
      <c r="I1168" s="47" t="e">
        <f>VLOOKUP(H1168,'合同综合查询数据（3月返）'!$A:$A,1,FALSE)</f>
        <v>#N/A</v>
      </c>
      <c r="J1168" s="48" t="s">
        <v>90</v>
      </c>
      <c r="K1168" s="135" t="s">
        <v>1458</v>
      </c>
      <c r="L1168" s="164"/>
      <c r="M1168" s="50" t="s">
        <v>909</v>
      </c>
      <c r="N1168" s="178">
        <v>43133</v>
      </c>
      <c r="O1168" s="163" t="s">
        <v>1459</v>
      </c>
      <c r="P1168" s="144">
        <v>9600</v>
      </c>
      <c r="Q1168" s="144">
        <v>3</v>
      </c>
      <c r="R1168" s="68">
        <f t="shared" si="31"/>
        <v>28800</v>
      </c>
      <c r="S1168" s="70">
        <v>202303</v>
      </c>
      <c r="T1168" s="203" t="s">
        <v>1557</v>
      </c>
      <c r="U1168" s="204"/>
      <c r="V1168" s="143"/>
      <c r="W1168" s="143"/>
      <c r="X1168" s="73"/>
      <c r="Y1168" s="73"/>
    </row>
    <row r="1169" s="10" customFormat="1" customHeight="1" spans="1:25">
      <c r="A1169" s="61" t="s">
        <v>403</v>
      </c>
      <c r="B1169" s="61" t="s">
        <v>62</v>
      </c>
      <c r="C1169" s="61" t="s">
        <v>217</v>
      </c>
      <c r="D1169" s="61" t="s">
        <v>566</v>
      </c>
      <c r="E1169" s="160" t="s">
        <v>1043</v>
      </c>
      <c r="F1169" s="61" t="s">
        <v>906</v>
      </c>
      <c r="G1169" s="161" t="s">
        <v>88</v>
      </c>
      <c r="H1169" s="45" t="s">
        <v>1457</v>
      </c>
      <c r="I1169" s="47" t="e">
        <f>VLOOKUP(H1169,'合同综合查询数据（3月返）'!$A:$A,1,FALSE)</f>
        <v>#N/A</v>
      </c>
      <c r="J1169" s="48" t="s">
        <v>90</v>
      </c>
      <c r="K1169" s="135" t="s">
        <v>1458</v>
      </c>
      <c r="L1169" s="164"/>
      <c r="M1169" s="50" t="s">
        <v>909</v>
      </c>
      <c r="N1169" s="178">
        <v>43159</v>
      </c>
      <c r="O1169" s="163" t="s">
        <v>1459</v>
      </c>
      <c r="P1169" s="144">
        <v>9600</v>
      </c>
      <c r="Q1169" s="144">
        <v>2</v>
      </c>
      <c r="R1169" s="68">
        <f t="shared" si="31"/>
        <v>19200</v>
      </c>
      <c r="S1169" s="70">
        <v>202303</v>
      </c>
      <c r="T1169" s="203" t="s">
        <v>1558</v>
      </c>
      <c r="U1169" s="204"/>
      <c r="V1169" s="143"/>
      <c r="W1169" s="143"/>
      <c r="X1169" s="73"/>
      <c r="Y1169" s="73"/>
    </row>
    <row r="1170" s="10" customFormat="1" customHeight="1" spans="1:25">
      <c r="A1170" s="61" t="s">
        <v>403</v>
      </c>
      <c r="B1170" s="61" t="s">
        <v>62</v>
      </c>
      <c r="C1170" s="61" t="s">
        <v>217</v>
      </c>
      <c r="D1170" s="61" t="s">
        <v>566</v>
      </c>
      <c r="E1170" s="160" t="s">
        <v>1043</v>
      </c>
      <c r="F1170" s="61" t="s">
        <v>906</v>
      </c>
      <c r="G1170" s="161" t="s">
        <v>88</v>
      </c>
      <c r="H1170" s="45" t="s">
        <v>1457</v>
      </c>
      <c r="I1170" s="47" t="e">
        <f>VLOOKUP(H1170,'合同综合查询数据（3月返）'!$A:$A,1,FALSE)</f>
        <v>#N/A</v>
      </c>
      <c r="J1170" s="48" t="s">
        <v>90</v>
      </c>
      <c r="K1170" s="135" t="s">
        <v>1458</v>
      </c>
      <c r="L1170" s="164"/>
      <c r="M1170" s="50" t="s">
        <v>909</v>
      </c>
      <c r="N1170" s="178">
        <v>43167</v>
      </c>
      <c r="O1170" s="163" t="s">
        <v>1459</v>
      </c>
      <c r="P1170" s="144">
        <v>9600</v>
      </c>
      <c r="Q1170" s="144">
        <v>1</v>
      </c>
      <c r="R1170" s="68">
        <f t="shared" si="31"/>
        <v>9600</v>
      </c>
      <c r="S1170" s="70">
        <v>202303</v>
      </c>
      <c r="T1170" s="203" t="s">
        <v>1559</v>
      </c>
      <c r="U1170" s="204"/>
      <c r="V1170" s="143"/>
      <c r="W1170" s="143"/>
      <c r="X1170" s="73"/>
      <c r="Y1170" s="73"/>
    </row>
    <row r="1171" s="10" customFormat="1" customHeight="1" spans="1:25">
      <c r="A1171" s="61" t="s">
        <v>403</v>
      </c>
      <c r="B1171" s="61" t="s">
        <v>62</v>
      </c>
      <c r="C1171" s="61" t="s">
        <v>217</v>
      </c>
      <c r="D1171" s="61" t="s">
        <v>566</v>
      </c>
      <c r="E1171" s="160" t="s">
        <v>1043</v>
      </c>
      <c r="F1171" s="61" t="s">
        <v>906</v>
      </c>
      <c r="G1171" s="161" t="s">
        <v>88</v>
      </c>
      <c r="H1171" s="45" t="s">
        <v>1457</v>
      </c>
      <c r="I1171" s="47" t="e">
        <f>VLOOKUP(H1171,'合同综合查询数据（3月返）'!$A:$A,1,FALSE)</f>
        <v>#N/A</v>
      </c>
      <c r="J1171" s="48" t="s">
        <v>90</v>
      </c>
      <c r="K1171" s="135" t="s">
        <v>1458</v>
      </c>
      <c r="L1171" s="164"/>
      <c r="M1171" s="50" t="s">
        <v>909</v>
      </c>
      <c r="N1171" s="178">
        <v>43174</v>
      </c>
      <c r="O1171" s="163" t="s">
        <v>1459</v>
      </c>
      <c r="P1171" s="144">
        <v>9600</v>
      </c>
      <c r="Q1171" s="144">
        <v>2</v>
      </c>
      <c r="R1171" s="68">
        <f t="shared" si="31"/>
        <v>19200</v>
      </c>
      <c r="S1171" s="70">
        <v>202303</v>
      </c>
      <c r="T1171" s="203" t="s">
        <v>1560</v>
      </c>
      <c r="U1171" s="204"/>
      <c r="V1171" s="143"/>
      <c r="W1171" s="143"/>
      <c r="X1171" s="73"/>
      <c r="Y1171" s="73"/>
    </row>
    <row r="1172" s="10" customFormat="1" customHeight="1" spans="1:25">
      <c r="A1172" s="61" t="s">
        <v>403</v>
      </c>
      <c r="B1172" s="61" t="s">
        <v>62</v>
      </c>
      <c r="C1172" s="61" t="s">
        <v>217</v>
      </c>
      <c r="D1172" s="61" t="s">
        <v>566</v>
      </c>
      <c r="E1172" s="160" t="s">
        <v>1043</v>
      </c>
      <c r="F1172" s="61" t="s">
        <v>906</v>
      </c>
      <c r="G1172" s="161" t="s">
        <v>88</v>
      </c>
      <c r="H1172" s="45" t="s">
        <v>1457</v>
      </c>
      <c r="I1172" s="47" t="e">
        <f>VLOOKUP(H1172,'合同综合查询数据（3月返）'!$A:$A,1,FALSE)</f>
        <v>#N/A</v>
      </c>
      <c r="J1172" s="48" t="s">
        <v>90</v>
      </c>
      <c r="K1172" s="135" t="s">
        <v>1458</v>
      </c>
      <c r="L1172" s="164"/>
      <c r="M1172" s="50" t="s">
        <v>909</v>
      </c>
      <c r="N1172" s="178">
        <v>43175</v>
      </c>
      <c r="O1172" s="163" t="s">
        <v>1459</v>
      </c>
      <c r="P1172" s="144">
        <v>9600</v>
      </c>
      <c r="Q1172" s="144">
        <v>1</v>
      </c>
      <c r="R1172" s="68">
        <f t="shared" si="31"/>
        <v>9600</v>
      </c>
      <c r="S1172" s="70">
        <v>202303</v>
      </c>
      <c r="T1172" s="203" t="s">
        <v>1561</v>
      </c>
      <c r="U1172" s="204"/>
      <c r="V1172" s="143"/>
      <c r="W1172" s="143"/>
      <c r="X1172" s="73"/>
      <c r="Y1172" s="73"/>
    </row>
    <row r="1173" s="10" customFormat="1" customHeight="1" spans="1:25">
      <c r="A1173" s="61" t="s">
        <v>403</v>
      </c>
      <c r="B1173" s="61" t="s">
        <v>62</v>
      </c>
      <c r="C1173" s="61" t="s">
        <v>217</v>
      </c>
      <c r="D1173" s="61" t="s">
        <v>566</v>
      </c>
      <c r="E1173" s="160" t="s">
        <v>1043</v>
      </c>
      <c r="F1173" s="61" t="s">
        <v>906</v>
      </c>
      <c r="G1173" s="161" t="s">
        <v>88</v>
      </c>
      <c r="H1173" s="45" t="s">
        <v>1457</v>
      </c>
      <c r="I1173" s="47" t="e">
        <f>VLOOKUP(H1173,'合同综合查询数据（3月返）'!$A:$A,1,FALSE)</f>
        <v>#N/A</v>
      </c>
      <c r="J1173" s="48" t="s">
        <v>90</v>
      </c>
      <c r="K1173" s="135" t="s">
        <v>1458</v>
      </c>
      <c r="L1173" s="164"/>
      <c r="M1173" s="50" t="s">
        <v>909</v>
      </c>
      <c r="N1173" s="178">
        <v>43180</v>
      </c>
      <c r="O1173" s="163" t="s">
        <v>1459</v>
      </c>
      <c r="P1173" s="144">
        <v>9600</v>
      </c>
      <c r="Q1173" s="144">
        <v>1</v>
      </c>
      <c r="R1173" s="68">
        <f t="shared" si="31"/>
        <v>9600</v>
      </c>
      <c r="S1173" s="70">
        <v>202303</v>
      </c>
      <c r="T1173" s="203" t="s">
        <v>1562</v>
      </c>
      <c r="U1173" s="204"/>
      <c r="V1173" s="143"/>
      <c r="W1173" s="143"/>
      <c r="X1173" s="73"/>
      <c r="Y1173" s="73"/>
    </row>
    <row r="1174" s="10" customFormat="1" customHeight="1" spans="1:25">
      <c r="A1174" s="61" t="s">
        <v>403</v>
      </c>
      <c r="B1174" s="61" t="s">
        <v>62</v>
      </c>
      <c r="C1174" s="61" t="s">
        <v>217</v>
      </c>
      <c r="D1174" s="61" t="s">
        <v>566</v>
      </c>
      <c r="E1174" s="160" t="s">
        <v>1043</v>
      </c>
      <c r="F1174" s="61" t="s">
        <v>906</v>
      </c>
      <c r="G1174" s="161" t="s">
        <v>88</v>
      </c>
      <c r="H1174" s="45" t="s">
        <v>1457</v>
      </c>
      <c r="I1174" s="47" t="e">
        <f>VLOOKUP(H1174,'合同综合查询数据（3月返）'!$A:$A,1,FALSE)</f>
        <v>#N/A</v>
      </c>
      <c r="J1174" s="48" t="s">
        <v>90</v>
      </c>
      <c r="K1174" s="135" t="s">
        <v>1458</v>
      </c>
      <c r="L1174" s="164"/>
      <c r="M1174" s="50" t="s">
        <v>909</v>
      </c>
      <c r="N1174" s="178">
        <v>43189</v>
      </c>
      <c r="O1174" s="163" t="s">
        <v>1459</v>
      </c>
      <c r="P1174" s="144">
        <v>9600</v>
      </c>
      <c r="Q1174" s="144">
        <v>3</v>
      </c>
      <c r="R1174" s="68">
        <f t="shared" si="31"/>
        <v>28800</v>
      </c>
      <c r="S1174" s="70">
        <v>202303</v>
      </c>
      <c r="T1174" s="203" t="s">
        <v>1563</v>
      </c>
      <c r="U1174" s="204"/>
      <c r="V1174" s="143"/>
      <c r="W1174" s="143"/>
      <c r="X1174" s="73"/>
      <c r="Y1174" s="73"/>
    </row>
    <row r="1175" s="10" customFormat="1" customHeight="1" spans="1:25">
      <c r="A1175" s="61" t="s">
        <v>403</v>
      </c>
      <c r="B1175" s="61" t="s">
        <v>62</v>
      </c>
      <c r="C1175" s="61" t="s">
        <v>217</v>
      </c>
      <c r="D1175" s="61" t="s">
        <v>566</v>
      </c>
      <c r="E1175" s="160" t="s">
        <v>1043</v>
      </c>
      <c r="F1175" s="61" t="s">
        <v>906</v>
      </c>
      <c r="G1175" s="161" t="s">
        <v>88</v>
      </c>
      <c r="H1175" s="45" t="s">
        <v>1457</v>
      </c>
      <c r="I1175" s="47" t="e">
        <f>VLOOKUP(H1175,'合同综合查询数据（3月返）'!$A:$A,1,FALSE)</f>
        <v>#N/A</v>
      </c>
      <c r="J1175" s="48" t="s">
        <v>90</v>
      </c>
      <c r="K1175" s="135" t="s">
        <v>1458</v>
      </c>
      <c r="L1175" s="164"/>
      <c r="M1175" s="50" t="s">
        <v>909</v>
      </c>
      <c r="N1175" s="178">
        <v>43237</v>
      </c>
      <c r="O1175" s="163" t="s">
        <v>1459</v>
      </c>
      <c r="P1175" s="144">
        <v>9600</v>
      </c>
      <c r="Q1175" s="144">
        <v>3</v>
      </c>
      <c r="R1175" s="68">
        <f t="shared" si="31"/>
        <v>28800</v>
      </c>
      <c r="S1175" s="70">
        <v>202303</v>
      </c>
      <c r="T1175" s="203" t="s">
        <v>1564</v>
      </c>
      <c r="U1175" s="204"/>
      <c r="V1175" s="143"/>
      <c r="W1175" s="143"/>
      <c r="X1175" s="73"/>
      <c r="Y1175" s="73"/>
    </row>
    <row r="1176" s="10" customFormat="1" customHeight="1" spans="1:25">
      <c r="A1176" s="61" t="s">
        <v>403</v>
      </c>
      <c r="B1176" s="61" t="s">
        <v>62</v>
      </c>
      <c r="C1176" s="61" t="s">
        <v>217</v>
      </c>
      <c r="D1176" s="61" t="s">
        <v>566</v>
      </c>
      <c r="E1176" s="160" t="s">
        <v>1043</v>
      </c>
      <c r="F1176" s="61" t="s">
        <v>906</v>
      </c>
      <c r="G1176" s="161" t="s">
        <v>88</v>
      </c>
      <c r="H1176" s="45" t="s">
        <v>1457</v>
      </c>
      <c r="I1176" s="47" t="e">
        <f>VLOOKUP(H1176,'合同综合查询数据（3月返）'!$A:$A,1,FALSE)</f>
        <v>#N/A</v>
      </c>
      <c r="J1176" s="48" t="s">
        <v>90</v>
      </c>
      <c r="K1176" s="135" t="s">
        <v>1458</v>
      </c>
      <c r="L1176" s="164"/>
      <c r="M1176" s="50" t="s">
        <v>909</v>
      </c>
      <c r="N1176" s="178">
        <v>43235</v>
      </c>
      <c r="O1176" s="163" t="s">
        <v>1459</v>
      </c>
      <c r="P1176" s="144">
        <v>9600</v>
      </c>
      <c r="Q1176" s="144">
        <v>3</v>
      </c>
      <c r="R1176" s="68">
        <f t="shared" si="31"/>
        <v>28800</v>
      </c>
      <c r="S1176" s="70">
        <v>202303</v>
      </c>
      <c r="T1176" s="203" t="s">
        <v>1565</v>
      </c>
      <c r="U1176" s="204"/>
      <c r="V1176" s="143"/>
      <c r="W1176" s="143"/>
      <c r="X1176" s="73"/>
      <c r="Y1176" s="73"/>
    </row>
    <row r="1177" s="10" customFormat="1" customHeight="1" spans="1:25">
      <c r="A1177" s="61" t="s">
        <v>403</v>
      </c>
      <c r="B1177" s="61" t="s">
        <v>62</v>
      </c>
      <c r="C1177" s="61" t="s">
        <v>217</v>
      </c>
      <c r="D1177" s="61" t="s">
        <v>566</v>
      </c>
      <c r="E1177" s="160" t="s">
        <v>1043</v>
      </c>
      <c r="F1177" s="61" t="s">
        <v>906</v>
      </c>
      <c r="G1177" s="161" t="s">
        <v>88</v>
      </c>
      <c r="H1177" s="45" t="s">
        <v>1457</v>
      </c>
      <c r="I1177" s="47" t="e">
        <f>VLOOKUP(H1177,'合同综合查询数据（3月返）'!$A:$A,1,FALSE)</f>
        <v>#N/A</v>
      </c>
      <c r="J1177" s="48" t="s">
        <v>90</v>
      </c>
      <c r="K1177" s="135" t="s">
        <v>1458</v>
      </c>
      <c r="L1177" s="164"/>
      <c r="M1177" s="50" t="s">
        <v>909</v>
      </c>
      <c r="N1177" s="178">
        <v>43243</v>
      </c>
      <c r="O1177" s="163" t="s">
        <v>1459</v>
      </c>
      <c r="P1177" s="144">
        <v>9600</v>
      </c>
      <c r="Q1177" s="144">
        <v>2</v>
      </c>
      <c r="R1177" s="68">
        <f t="shared" si="31"/>
        <v>19200</v>
      </c>
      <c r="S1177" s="70">
        <v>202303</v>
      </c>
      <c r="T1177" s="203" t="s">
        <v>1566</v>
      </c>
      <c r="U1177" s="204"/>
      <c r="V1177" s="143"/>
      <c r="W1177" s="143"/>
      <c r="X1177" s="73"/>
      <c r="Y1177" s="73"/>
    </row>
    <row r="1178" s="10" customFormat="1" customHeight="1" spans="1:25">
      <c r="A1178" s="61" t="s">
        <v>403</v>
      </c>
      <c r="B1178" s="61" t="s">
        <v>62</v>
      </c>
      <c r="C1178" s="61" t="s">
        <v>217</v>
      </c>
      <c r="D1178" s="61" t="s">
        <v>566</v>
      </c>
      <c r="E1178" s="160" t="s">
        <v>1043</v>
      </c>
      <c r="F1178" s="61" t="s">
        <v>906</v>
      </c>
      <c r="G1178" s="161" t="s">
        <v>88</v>
      </c>
      <c r="H1178" s="45" t="s">
        <v>1457</v>
      </c>
      <c r="I1178" s="47" t="e">
        <f>VLOOKUP(H1178,'合同综合查询数据（3月返）'!$A:$A,1,FALSE)</f>
        <v>#N/A</v>
      </c>
      <c r="J1178" s="48" t="s">
        <v>90</v>
      </c>
      <c r="K1178" s="135" t="s">
        <v>1458</v>
      </c>
      <c r="L1178" s="164"/>
      <c r="M1178" s="50" t="s">
        <v>909</v>
      </c>
      <c r="N1178" s="178">
        <v>43249</v>
      </c>
      <c r="O1178" s="163" t="s">
        <v>1459</v>
      </c>
      <c r="P1178" s="144">
        <v>9600</v>
      </c>
      <c r="Q1178" s="144">
        <v>2</v>
      </c>
      <c r="R1178" s="68">
        <f t="shared" si="31"/>
        <v>19200</v>
      </c>
      <c r="S1178" s="70">
        <v>202303</v>
      </c>
      <c r="T1178" s="203" t="s">
        <v>1567</v>
      </c>
      <c r="U1178" s="204"/>
      <c r="V1178" s="143"/>
      <c r="W1178" s="143"/>
      <c r="X1178" s="73"/>
      <c r="Y1178" s="73"/>
    </row>
    <row r="1179" s="10" customFormat="1" customHeight="1" spans="1:25">
      <c r="A1179" s="61" t="s">
        <v>403</v>
      </c>
      <c r="B1179" s="61" t="s">
        <v>62</v>
      </c>
      <c r="C1179" s="61" t="s">
        <v>217</v>
      </c>
      <c r="D1179" s="61" t="s">
        <v>566</v>
      </c>
      <c r="E1179" s="160" t="s">
        <v>1043</v>
      </c>
      <c r="F1179" s="61" t="s">
        <v>906</v>
      </c>
      <c r="G1179" s="161" t="s">
        <v>88</v>
      </c>
      <c r="H1179" s="45" t="s">
        <v>1457</v>
      </c>
      <c r="I1179" s="47" t="e">
        <f>VLOOKUP(H1179,'合同综合查询数据（3月返）'!$A:$A,1,FALSE)</f>
        <v>#N/A</v>
      </c>
      <c r="J1179" s="48" t="s">
        <v>90</v>
      </c>
      <c r="K1179" s="135" t="s">
        <v>1458</v>
      </c>
      <c r="L1179" s="164"/>
      <c r="M1179" s="50" t="s">
        <v>909</v>
      </c>
      <c r="N1179" s="178">
        <v>43250</v>
      </c>
      <c r="O1179" s="163" t="s">
        <v>1459</v>
      </c>
      <c r="P1179" s="144">
        <v>9600</v>
      </c>
      <c r="Q1179" s="144">
        <v>3</v>
      </c>
      <c r="R1179" s="68">
        <f t="shared" si="31"/>
        <v>28800</v>
      </c>
      <c r="S1179" s="70">
        <v>202303</v>
      </c>
      <c r="T1179" s="203" t="s">
        <v>1568</v>
      </c>
      <c r="U1179" s="204"/>
      <c r="V1179" s="143"/>
      <c r="W1179" s="143"/>
      <c r="X1179" s="73"/>
      <c r="Y1179" s="73"/>
    </row>
    <row r="1180" s="10" customFormat="1" customHeight="1" spans="1:25">
      <c r="A1180" s="61" t="s">
        <v>403</v>
      </c>
      <c r="B1180" s="61" t="s">
        <v>62</v>
      </c>
      <c r="C1180" s="61" t="s">
        <v>217</v>
      </c>
      <c r="D1180" s="61" t="s">
        <v>566</v>
      </c>
      <c r="E1180" s="160" t="s">
        <v>1043</v>
      </c>
      <c r="F1180" s="61" t="s">
        <v>906</v>
      </c>
      <c r="G1180" s="161" t="s">
        <v>88</v>
      </c>
      <c r="H1180" s="45" t="s">
        <v>1457</v>
      </c>
      <c r="I1180" s="47" t="e">
        <f>VLOOKUP(H1180,'合同综合查询数据（3月返）'!$A:$A,1,FALSE)</f>
        <v>#N/A</v>
      </c>
      <c r="J1180" s="48" t="s">
        <v>90</v>
      </c>
      <c r="K1180" s="135" t="s">
        <v>1458</v>
      </c>
      <c r="L1180" s="164"/>
      <c r="M1180" s="50" t="s">
        <v>909</v>
      </c>
      <c r="N1180" s="178">
        <v>43251</v>
      </c>
      <c r="O1180" s="163" t="s">
        <v>1459</v>
      </c>
      <c r="P1180" s="144">
        <v>9600</v>
      </c>
      <c r="Q1180" s="144">
        <v>1</v>
      </c>
      <c r="R1180" s="68">
        <f t="shared" si="31"/>
        <v>9600</v>
      </c>
      <c r="S1180" s="70">
        <v>202303</v>
      </c>
      <c r="T1180" s="203" t="s">
        <v>1569</v>
      </c>
      <c r="U1180" s="204"/>
      <c r="V1180" s="143"/>
      <c r="W1180" s="143"/>
      <c r="X1180" s="73"/>
      <c r="Y1180" s="73"/>
    </row>
    <row r="1181" s="10" customFormat="1" customHeight="1" spans="1:25">
      <c r="A1181" s="61" t="s">
        <v>403</v>
      </c>
      <c r="B1181" s="61" t="s">
        <v>62</v>
      </c>
      <c r="C1181" s="61" t="s">
        <v>217</v>
      </c>
      <c r="D1181" s="61" t="s">
        <v>566</v>
      </c>
      <c r="E1181" s="160" t="s">
        <v>1043</v>
      </c>
      <c r="F1181" s="61" t="s">
        <v>906</v>
      </c>
      <c r="G1181" s="161" t="s">
        <v>88</v>
      </c>
      <c r="H1181" s="45" t="s">
        <v>1457</v>
      </c>
      <c r="I1181" s="47" t="e">
        <f>VLOOKUP(H1181,'合同综合查询数据（3月返）'!$A:$A,1,FALSE)</f>
        <v>#N/A</v>
      </c>
      <c r="J1181" s="48" t="s">
        <v>90</v>
      </c>
      <c r="K1181" s="135" t="s">
        <v>1458</v>
      </c>
      <c r="L1181" s="164"/>
      <c r="M1181" s="50" t="s">
        <v>909</v>
      </c>
      <c r="N1181" s="178">
        <v>43256</v>
      </c>
      <c r="O1181" s="163" t="s">
        <v>1459</v>
      </c>
      <c r="P1181" s="144">
        <v>9600</v>
      </c>
      <c r="Q1181" s="144">
        <v>2</v>
      </c>
      <c r="R1181" s="68">
        <f t="shared" si="31"/>
        <v>19200</v>
      </c>
      <c r="S1181" s="70">
        <v>202303</v>
      </c>
      <c r="T1181" s="203" t="s">
        <v>1570</v>
      </c>
      <c r="U1181" s="204"/>
      <c r="V1181" s="143"/>
      <c r="W1181" s="143"/>
      <c r="X1181" s="73"/>
      <c r="Y1181" s="73"/>
    </row>
    <row r="1182" s="10" customFormat="1" customHeight="1" spans="1:25">
      <c r="A1182" s="61" t="s">
        <v>403</v>
      </c>
      <c r="B1182" s="61" t="s">
        <v>62</v>
      </c>
      <c r="C1182" s="61" t="s">
        <v>217</v>
      </c>
      <c r="D1182" s="61" t="s">
        <v>566</v>
      </c>
      <c r="E1182" s="160" t="s">
        <v>1043</v>
      </c>
      <c r="F1182" s="61" t="s">
        <v>906</v>
      </c>
      <c r="G1182" s="161" t="s">
        <v>88</v>
      </c>
      <c r="H1182" s="45" t="s">
        <v>1457</v>
      </c>
      <c r="I1182" s="47" t="e">
        <f>VLOOKUP(H1182,'合同综合查询数据（3月返）'!$A:$A,1,FALSE)</f>
        <v>#N/A</v>
      </c>
      <c r="J1182" s="48" t="s">
        <v>90</v>
      </c>
      <c r="K1182" s="135" t="s">
        <v>1458</v>
      </c>
      <c r="L1182" s="164"/>
      <c r="M1182" s="50" t="s">
        <v>909</v>
      </c>
      <c r="N1182" s="178">
        <v>43257</v>
      </c>
      <c r="O1182" s="163" t="s">
        <v>1459</v>
      </c>
      <c r="P1182" s="144">
        <v>9600</v>
      </c>
      <c r="Q1182" s="144">
        <v>1</v>
      </c>
      <c r="R1182" s="68">
        <f t="shared" si="31"/>
        <v>9600</v>
      </c>
      <c r="S1182" s="70">
        <v>202303</v>
      </c>
      <c r="T1182" s="203" t="s">
        <v>1571</v>
      </c>
      <c r="U1182" s="204"/>
      <c r="V1182" s="143"/>
      <c r="W1182" s="143"/>
      <c r="X1182" s="73"/>
      <c r="Y1182" s="73"/>
    </row>
    <row r="1183" s="81" customFormat="1" customHeight="1" spans="1:25">
      <c r="A1183" s="61" t="s">
        <v>403</v>
      </c>
      <c r="B1183" s="61" t="s">
        <v>62</v>
      </c>
      <c r="C1183" s="61" t="s">
        <v>217</v>
      </c>
      <c r="D1183" s="61" t="s">
        <v>566</v>
      </c>
      <c r="E1183" s="160" t="s">
        <v>1043</v>
      </c>
      <c r="F1183" s="61" t="s">
        <v>906</v>
      </c>
      <c r="G1183" s="161" t="s">
        <v>88</v>
      </c>
      <c r="H1183" s="45" t="s">
        <v>1457</v>
      </c>
      <c r="I1183" s="47" t="e">
        <f>VLOOKUP(H1183,'合同综合查询数据（3月返）'!$A:$A,1,FALSE)</f>
        <v>#N/A</v>
      </c>
      <c r="J1183" s="48" t="s">
        <v>90</v>
      </c>
      <c r="K1183" s="135" t="s">
        <v>1458</v>
      </c>
      <c r="L1183" s="164"/>
      <c r="M1183" s="50" t="s">
        <v>909</v>
      </c>
      <c r="N1183" s="178">
        <v>43258</v>
      </c>
      <c r="O1183" s="163" t="s">
        <v>1459</v>
      </c>
      <c r="P1183" s="144">
        <v>9600</v>
      </c>
      <c r="Q1183" s="144">
        <v>7</v>
      </c>
      <c r="R1183" s="68">
        <f t="shared" si="31"/>
        <v>67200</v>
      </c>
      <c r="S1183" s="70">
        <v>202303</v>
      </c>
      <c r="T1183" s="203" t="s">
        <v>1572</v>
      </c>
      <c r="U1183" s="204"/>
      <c r="V1183" s="143"/>
      <c r="W1183" s="143"/>
      <c r="X1183" s="73"/>
      <c r="Y1183" s="73"/>
    </row>
    <row r="1184" s="81" customFormat="1" customHeight="1" spans="1:25">
      <c r="A1184" s="61" t="s">
        <v>403</v>
      </c>
      <c r="B1184" s="61" t="s">
        <v>62</v>
      </c>
      <c r="C1184" s="61" t="s">
        <v>217</v>
      </c>
      <c r="D1184" s="61" t="s">
        <v>566</v>
      </c>
      <c r="E1184" s="160" t="s">
        <v>1043</v>
      </c>
      <c r="F1184" s="61" t="s">
        <v>906</v>
      </c>
      <c r="G1184" s="161" t="s">
        <v>88</v>
      </c>
      <c r="H1184" s="45" t="s">
        <v>1457</v>
      </c>
      <c r="I1184" s="47" t="e">
        <f>VLOOKUP(H1184,'合同综合查询数据（3月返）'!$A:$A,1,FALSE)</f>
        <v>#N/A</v>
      </c>
      <c r="J1184" s="48" t="s">
        <v>90</v>
      </c>
      <c r="K1184" s="135" t="s">
        <v>1458</v>
      </c>
      <c r="L1184" s="164"/>
      <c r="M1184" s="50" t="s">
        <v>909</v>
      </c>
      <c r="N1184" s="178">
        <v>43259</v>
      </c>
      <c r="O1184" s="163" t="s">
        <v>1459</v>
      </c>
      <c r="P1184" s="144">
        <v>9600</v>
      </c>
      <c r="Q1184" s="144">
        <v>13</v>
      </c>
      <c r="R1184" s="68">
        <f t="shared" si="31"/>
        <v>124800</v>
      </c>
      <c r="S1184" s="70">
        <v>202303</v>
      </c>
      <c r="T1184" s="203" t="s">
        <v>1573</v>
      </c>
      <c r="U1184" s="204"/>
      <c r="V1184" s="143"/>
      <c r="W1184" s="143"/>
      <c r="X1184" s="73"/>
      <c r="Y1184" s="73"/>
    </row>
    <row r="1185" s="81" customFormat="1" customHeight="1" spans="1:25">
      <c r="A1185" s="61" t="s">
        <v>403</v>
      </c>
      <c r="B1185" s="61" t="s">
        <v>62</v>
      </c>
      <c r="C1185" s="61" t="s">
        <v>217</v>
      </c>
      <c r="D1185" s="61" t="s">
        <v>566</v>
      </c>
      <c r="E1185" s="160" t="s">
        <v>1043</v>
      </c>
      <c r="F1185" s="61" t="s">
        <v>906</v>
      </c>
      <c r="G1185" s="161" t="s">
        <v>88</v>
      </c>
      <c r="H1185" s="45" t="s">
        <v>1457</v>
      </c>
      <c r="I1185" s="47" t="e">
        <f>VLOOKUP(H1185,'合同综合查询数据（3月返）'!$A:$A,1,FALSE)</f>
        <v>#N/A</v>
      </c>
      <c r="J1185" s="48" t="s">
        <v>90</v>
      </c>
      <c r="K1185" s="135" t="s">
        <v>1458</v>
      </c>
      <c r="L1185" s="164"/>
      <c r="M1185" s="50" t="s">
        <v>909</v>
      </c>
      <c r="N1185" s="178">
        <v>43284</v>
      </c>
      <c r="O1185" s="163" t="s">
        <v>1459</v>
      </c>
      <c r="P1185" s="144">
        <v>9600</v>
      </c>
      <c r="Q1185" s="144">
        <v>2</v>
      </c>
      <c r="R1185" s="68">
        <f t="shared" si="31"/>
        <v>19200</v>
      </c>
      <c r="S1185" s="70">
        <v>202303</v>
      </c>
      <c r="T1185" s="203"/>
      <c r="U1185" s="204"/>
      <c r="V1185" s="143"/>
      <c r="W1185" s="143"/>
      <c r="X1185" s="73"/>
      <c r="Y1185" s="73"/>
    </row>
    <row r="1186" s="81" customFormat="1" customHeight="1" spans="1:25">
      <c r="A1186" s="61" t="s">
        <v>403</v>
      </c>
      <c r="B1186" s="61" t="s">
        <v>62</v>
      </c>
      <c r="C1186" s="61" t="s">
        <v>217</v>
      </c>
      <c r="D1186" s="61" t="s">
        <v>566</v>
      </c>
      <c r="E1186" s="160" t="s">
        <v>1043</v>
      </c>
      <c r="F1186" s="61" t="s">
        <v>906</v>
      </c>
      <c r="G1186" s="161" t="s">
        <v>88</v>
      </c>
      <c r="H1186" s="45" t="s">
        <v>1457</v>
      </c>
      <c r="I1186" s="47" t="e">
        <f>VLOOKUP(H1186,'合同综合查询数据（3月返）'!$A:$A,1,FALSE)</f>
        <v>#N/A</v>
      </c>
      <c r="J1186" s="48" t="s">
        <v>90</v>
      </c>
      <c r="K1186" s="135" t="s">
        <v>1458</v>
      </c>
      <c r="L1186" s="164"/>
      <c r="M1186" s="50" t="s">
        <v>909</v>
      </c>
      <c r="N1186" s="178">
        <v>43286</v>
      </c>
      <c r="O1186" s="163" t="s">
        <v>1459</v>
      </c>
      <c r="P1186" s="144">
        <v>9600</v>
      </c>
      <c r="Q1186" s="144">
        <v>3</v>
      </c>
      <c r="R1186" s="68">
        <f t="shared" si="31"/>
        <v>28800</v>
      </c>
      <c r="S1186" s="70">
        <v>202303</v>
      </c>
      <c r="T1186" s="203"/>
      <c r="U1186" s="204"/>
      <c r="V1186" s="143"/>
      <c r="W1186" s="143"/>
      <c r="X1186" s="73"/>
      <c r="Y1186" s="73"/>
    </row>
    <row r="1187" s="81" customFormat="1" customHeight="1" spans="1:25">
      <c r="A1187" s="61" t="s">
        <v>403</v>
      </c>
      <c r="B1187" s="61" t="s">
        <v>62</v>
      </c>
      <c r="C1187" s="61" t="s">
        <v>217</v>
      </c>
      <c r="D1187" s="61" t="s">
        <v>566</v>
      </c>
      <c r="E1187" s="160" t="s">
        <v>1043</v>
      </c>
      <c r="F1187" s="61" t="s">
        <v>906</v>
      </c>
      <c r="G1187" s="161" t="s">
        <v>88</v>
      </c>
      <c r="H1187" s="45" t="s">
        <v>1457</v>
      </c>
      <c r="I1187" s="47" t="e">
        <f>VLOOKUP(H1187,'合同综合查询数据（3月返）'!$A:$A,1,FALSE)</f>
        <v>#N/A</v>
      </c>
      <c r="J1187" s="48" t="s">
        <v>90</v>
      </c>
      <c r="K1187" s="135" t="s">
        <v>1458</v>
      </c>
      <c r="L1187" s="164"/>
      <c r="M1187" s="50" t="s">
        <v>909</v>
      </c>
      <c r="N1187" s="178">
        <v>43287</v>
      </c>
      <c r="O1187" s="163" t="s">
        <v>1459</v>
      </c>
      <c r="P1187" s="144">
        <v>9600</v>
      </c>
      <c r="Q1187" s="144">
        <v>2</v>
      </c>
      <c r="R1187" s="68">
        <f t="shared" si="31"/>
        <v>19200</v>
      </c>
      <c r="S1187" s="70">
        <v>202303</v>
      </c>
      <c r="T1187" s="203"/>
      <c r="U1187" s="204"/>
      <c r="V1187" s="143"/>
      <c r="W1187" s="143"/>
      <c r="X1187" s="73"/>
      <c r="Y1187" s="73"/>
    </row>
    <row r="1188" s="81" customFormat="1" customHeight="1" spans="1:25">
      <c r="A1188" s="61" t="s">
        <v>403</v>
      </c>
      <c r="B1188" s="61" t="s">
        <v>62</v>
      </c>
      <c r="C1188" s="61" t="s">
        <v>217</v>
      </c>
      <c r="D1188" s="61" t="s">
        <v>566</v>
      </c>
      <c r="E1188" s="160" t="s">
        <v>1043</v>
      </c>
      <c r="F1188" s="61" t="s">
        <v>906</v>
      </c>
      <c r="G1188" s="161" t="s">
        <v>88</v>
      </c>
      <c r="H1188" s="45" t="s">
        <v>1457</v>
      </c>
      <c r="I1188" s="47" t="e">
        <f>VLOOKUP(H1188,'合同综合查询数据（3月返）'!$A:$A,1,FALSE)</f>
        <v>#N/A</v>
      </c>
      <c r="J1188" s="48" t="s">
        <v>90</v>
      </c>
      <c r="K1188" s="135" t="s">
        <v>1458</v>
      </c>
      <c r="L1188" s="164"/>
      <c r="M1188" s="50" t="s">
        <v>909</v>
      </c>
      <c r="N1188" s="178">
        <v>43291</v>
      </c>
      <c r="O1188" s="163" t="s">
        <v>1459</v>
      </c>
      <c r="P1188" s="144">
        <v>9600</v>
      </c>
      <c r="Q1188" s="144">
        <v>1</v>
      </c>
      <c r="R1188" s="68">
        <f t="shared" si="31"/>
        <v>9600</v>
      </c>
      <c r="S1188" s="70">
        <v>202303</v>
      </c>
      <c r="T1188" s="203"/>
      <c r="U1188" s="204"/>
      <c r="V1188" s="143"/>
      <c r="W1188" s="143"/>
      <c r="X1188" s="73"/>
      <c r="Y1188" s="73"/>
    </row>
    <row r="1189" s="81" customFormat="1" customHeight="1" spans="1:25">
      <c r="A1189" s="61" t="s">
        <v>403</v>
      </c>
      <c r="B1189" s="61" t="s">
        <v>62</v>
      </c>
      <c r="C1189" s="61" t="s">
        <v>217</v>
      </c>
      <c r="D1189" s="61" t="s">
        <v>566</v>
      </c>
      <c r="E1189" s="160" t="s">
        <v>1043</v>
      </c>
      <c r="F1189" s="61" t="s">
        <v>906</v>
      </c>
      <c r="G1189" s="161" t="s">
        <v>88</v>
      </c>
      <c r="H1189" s="45" t="s">
        <v>1457</v>
      </c>
      <c r="I1189" s="47" t="e">
        <f>VLOOKUP(H1189,'合同综合查询数据（3月返）'!$A:$A,1,FALSE)</f>
        <v>#N/A</v>
      </c>
      <c r="J1189" s="48" t="s">
        <v>90</v>
      </c>
      <c r="K1189" s="135" t="s">
        <v>1458</v>
      </c>
      <c r="L1189" s="164"/>
      <c r="M1189" s="50" t="s">
        <v>909</v>
      </c>
      <c r="N1189" s="178">
        <v>43293</v>
      </c>
      <c r="O1189" s="163" t="s">
        <v>1459</v>
      </c>
      <c r="P1189" s="144">
        <v>9600</v>
      </c>
      <c r="Q1189" s="144">
        <v>1</v>
      </c>
      <c r="R1189" s="68">
        <f t="shared" si="31"/>
        <v>9600</v>
      </c>
      <c r="S1189" s="70">
        <v>202303</v>
      </c>
      <c r="T1189" s="203"/>
      <c r="U1189" s="204"/>
      <c r="V1189" s="143"/>
      <c r="W1189" s="143"/>
      <c r="X1189" s="73"/>
      <c r="Y1189" s="73"/>
    </row>
    <row r="1190" s="81" customFormat="1" customHeight="1" spans="1:25">
      <c r="A1190" s="61" t="s">
        <v>403</v>
      </c>
      <c r="B1190" s="61" t="s">
        <v>62</v>
      </c>
      <c r="C1190" s="61" t="s">
        <v>217</v>
      </c>
      <c r="D1190" s="61" t="s">
        <v>566</v>
      </c>
      <c r="E1190" s="160" t="s">
        <v>1043</v>
      </c>
      <c r="F1190" s="61" t="s">
        <v>906</v>
      </c>
      <c r="G1190" s="161" t="s">
        <v>88</v>
      </c>
      <c r="H1190" s="45" t="s">
        <v>1457</v>
      </c>
      <c r="I1190" s="47" t="e">
        <f>VLOOKUP(H1190,'合同综合查询数据（3月返）'!$A:$A,1,FALSE)</f>
        <v>#N/A</v>
      </c>
      <c r="J1190" s="48" t="s">
        <v>90</v>
      </c>
      <c r="K1190" s="135" t="s">
        <v>1458</v>
      </c>
      <c r="L1190" s="164"/>
      <c r="M1190" s="50" t="s">
        <v>909</v>
      </c>
      <c r="N1190" s="178">
        <v>43298</v>
      </c>
      <c r="O1190" s="163" t="s">
        <v>1459</v>
      </c>
      <c r="P1190" s="144">
        <v>9600</v>
      </c>
      <c r="Q1190" s="144">
        <v>3</v>
      </c>
      <c r="R1190" s="68">
        <f t="shared" si="31"/>
        <v>28800</v>
      </c>
      <c r="S1190" s="70">
        <v>202303</v>
      </c>
      <c r="T1190" s="203"/>
      <c r="U1190" s="204"/>
      <c r="V1190" s="143"/>
      <c r="W1190" s="143"/>
      <c r="X1190" s="73"/>
      <c r="Y1190" s="73"/>
    </row>
    <row r="1191" s="81" customFormat="1" customHeight="1" spans="1:25">
      <c r="A1191" s="61" t="s">
        <v>403</v>
      </c>
      <c r="B1191" s="61" t="s">
        <v>62</v>
      </c>
      <c r="C1191" s="61" t="s">
        <v>217</v>
      </c>
      <c r="D1191" s="61" t="s">
        <v>566</v>
      </c>
      <c r="E1191" s="160" t="s">
        <v>1043</v>
      </c>
      <c r="F1191" s="61" t="s">
        <v>906</v>
      </c>
      <c r="G1191" s="161" t="s">
        <v>88</v>
      </c>
      <c r="H1191" s="45" t="s">
        <v>1457</v>
      </c>
      <c r="I1191" s="47" t="e">
        <f>VLOOKUP(H1191,'合同综合查询数据（3月返）'!$A:$A,1,FALSE)</f>
        <v>#N/A</v>
      </c>
      <c r="J1191" s="48" t="s">
        <v>90</v>
      </c>
      <c r="K1191" s="135" t="s">
        <v>1458</v>
      </c>
      <c r="L1191" s="164"/>
      <c r="M1191" s="50" t="s">
        <v>909</v>
      </c>
      <c r="N1191" s="178">
        <v>43299</v>
      </c>
      <c r="O1191" s="163" t="s">
        <v>1459</v>
      </c>
      <c r="P1191" s="144">
        <v>9600</v>
      </c>
      <c r="Q1191" s="144">
        <v>1</v>
      </c>
      <c r="R1191" s="68">
        <f t="shared" si="31"/>
        <v>9600</v>
      </c>
      <c r="S1191" s="70">
        <v>202303</v>
      </c>
      <c r="T1191" s="203"/>
      <c r="U1191" s="204"/>
      <c r="V1191" s="143"/>
      <c r="W1191" s="143"/>
      <c r="X1191" s="73"/>
      <c r="Y1191" s="73"/>
    </row>
    <row r="1192" s="81" customFormat="1" customHeight="1" spans="1:25">
      <c r="A1192" s="61" t="s">
        <v>403</v>
      </c>
      <c r="B1192" s="61" t="s">
        <v>62</v>
      </c>
      <c r="C1192" s="61" t="s">
        <v>217</v>
      </c>
      <c r="D1192" s="61" t="s">
        <v>566</v>
      </c>
      <c r="E1192" s="160" t="s">
        <v>1043</v>
      </c>
      <c r="F1192" s="61" t="s">
        <v>906</v>
      </c>
      <c r="G1192" s="161" t="s">
        <v>88</v>
      </c>
      <c r="H1192" s="45" t="s">
        <v>1457</v>
      </c>
      <c r="I1192" s="47" t="e">
        <f>VLOOKUP(H1192,'合同综合查询数据（3月返）'!$A:$A,1,FALSE)</f>
        <v>#N/A</v>
      </c>
      <c r="J1192" s="48" t="s">
        <v>90</v>
      </c>
      <c r="K1192" s="135" t="s">
        <v>1458</v>
      </c>
      <c r="L1192" s="164"/>
      <c r="M1192" s="50" t="s">
        <v>909</v>
      </c>
      <c r="N1192" s="178">
        <v>43301</v>
      </c>
      <c r="O1192" s="163" t="s">
        <v>1459</v>
      </c>
      <c r="P1192" s="144">
        <v>9600</v>
      </c>
      <c r="Q1192" s="144">
        <v>2</v>
      </c>
      <c r="R1192" s="68">
        <f t="shared" si="31"/>
        <v>19200</v>
      </c>
      <c r="S1192" s="70">
        <v>202303</v>
      </c>
      <c r="T1192" s="206" t="s">
        <v>1574</v>
      </c>
      <c r="U1192" s="207"/>
      <c r="V1192" s="143"/>
      <c r="W1192" s="143"/>
      <c r="X1192" s="73"/>
      <c r="Y1192" s="73"/>
    </row>
    <row r="1193" s="81" customFormat="1" customHeight="1" spans="1:25">
      <c r="A1193" s="61" t="s">
        <v>403</v>
      </c>
      <c r="B1193" s="61" t="s">
        <v>62</v>
      </c>
      <c r="C1193" s="61" t="s">
        <v>217</v>
      </c>
      <c r="D1193" s="61" t="s">
        <v>566</v>
      </c>
      <c r="E1193" s="160" t="s">
        <v>1043</v>
      </c>
      <c r="F1193" s="61" t="s">
        <v>906</v>
      </c>
      <c r="G1193" s="161" t="s">
        <v>88</v>
      </c>
      <c r="H1193" s="45" t="s">
        <v>1457</v>
      </c>
      <c r="I1193" s="47" t="e">
        <f>VLOOKUP(H1193,'合同综合查询数据（3月返）'!$A:$A,1,FALSE)</f>
        <v>#N/A</v>
      </c>
      <c r="J1193" s="48" t="s">
        <v>90</v>
      </c>
      <c r="K1193" s="135" t="s">
        <v>1458</v>
      </c>
      <c r="L1193" s="164"/>
      <c r="M1193" s="50" t="s">
        <v>909</v>
      </c>
      <c r="N1193" s="178">
        <v>43308</v>
      </c>
      <c r="O1193" s="163" t="s">
        <v>1320</v>
      </c>
      <c r="P1193" s="144">
        <v>18900</v>
      </c>
      <c r="Q1193" s="144">
        <v>2</v>
      </c>
      <c r="R1193" s="68">
        <f t="shared" si="31"/>
        <v>37800</v>
      </c>
      <c r="S1193" s="70">
        <v>202303</v>
      </c>
      <c r="T1193" s="203" t="s">
        <v>1575</v>
      </c>
      <c r="U1193" s="204"/>
      <c r="V1193" s="143"/>
      <c r="W1193" s="143"/>
      <c r="X1193" s="73"/>
      <c r="Y1193" s="73"/>
    </row>
    <row r="1194" s="81" customFormat="1" customHeight="1" spans="1:25">
      <c r="A1194" s="61" t="s">
        <v>403</v>
      </c>
      <c r="B1194" s="61" t="s">
        <v>62</v>
      </c>
      <c r="C1194" s="61" t="s">
        <v>217</v>
      </c>
      <c r="D1194" s="61" t="s">
        <v>566</v>
      </c>
      <c r="E1194" s="160" t="s">
        <v>1043</v>
      </c>
      <c r="F1194" s="61" t="s">
        <v>906</v>
      </c>
      <c r="G1194" s="161" t="s">
        <v>88</v>
      </c>
      <c r="H1194" s="45" t="s">
        <v>1457</v>
      </c>
      <c r="I1194" s="47" t="e">
        <f>VLOOKUP(H1194,'合同综合查询数据（3月返）'!$A:$A,1,FALSE)</f>
        <v>#N/A</v>
      </c>
      <c r="J1194" s="48" t="s">
        <v>90</v>
      </c>
      <c r="K1194" s="135" t="s">
        <v>1458</v>
      </c>
      <c r="L1194" s="164"/>
      <c r="M1194" s="50" t="s">
        <v>909</v>
      </c>
      <c r="N1194" s="178">
        <v>43334</v>
      </c>
      <c r="O1194" s="163" t="s">
        <v>1459</v>
      </c>
      <c r="P1194" s="144">
        <v>9600</v>
      </c>
      <c r="Q1194" s="144">
        <v>2</v>
      </c>
      <c r="R1194" s="68">
        <f t="shared" si="31"/>
        <v>19200</v>
      </c>
      <c r="S1194" s="70">
        <v>202303</v>
      </c>
      <c r="T1194" s="203" t="s">
        <v>1576</v>
      </c>
      <c r="U1194" s="204"/>
      <c r="V1194" s="143"/>
      <c r="W1194" s="143"/>
      <c r="X1194" s="73"/>
      <c r="Y1194" s="73"/>
    </row>
    <row r="1195" s="81" customFormat="1" customHeight="1" spans="1:25">
      <c r="A1195" s="61" t="s">
        <v>403</v>
      </c>
      <c r="B1195" s="61" t="s">
        <v>62</v>
      </c>
      <c r="C1195" s="61" t="s">
        <v>217</v>
      </c>
      <c r="D1195" s="61" t="s">
        <v>566</v>
      </c>
      <c r="E1195" s="160" t="s">
        <v>1043</v>
      </c>
      <c r="F1195" s="61" t="s">
        <v>906</v>
      </c>
      <c r="G1195" s="161" t="s">
        <v>88</v>
      </c>
      <c r="H1195" s="45" t="s">
        <v>1457</v>
      </c>
      <c r="I1195" s="47" t="e">
        <f>VLOOKUP(H1195,'合同综合查询数据（3月返）'!$A:$A,1,FALSE)</f>
        <v>#N/A</v>
      </c>
      <c r="J1195" s="48" t="s">
        <v>90</v>
      </c>
      <c r="K1195" s="135" t="s">
        <v>1458</v>
      </c>
      <c r="L1195" s="164"/>
      <c r="M1195" s="50" t="s">
        <v>909</v>
      </c>
      <c r="N1195" s="178">
        <v>43336</v>
      </c>
      <c r="O1195" s="163" t="s">
        <v>1459</v>
      </c>
      <c r="P1195" s="144">
        <v>9600</v>
      </c>
      <c r="Q1195" s="144">
        <v>2</v>
      </c>
      <c r="R1195" s="68">
        <f t="shared" si="31"/>
        <v>19200</v>
      </c>
      <c r="S1195" s="70">
        <v>202303</v>
      </c>
      <c r="T1195" s="203" t="s">
        <v>1577</v>
      </c>
      <c r="U1195" s="204"/>
      <c r="V1195" s="143"/>
      <c r="W1195" s="143"/>
      <c r="X1195" s="73"/>
      <c r="Y1195" s="73"/>
    </row>
    <row r="1196" s="81" customFormat="1" customHeight="1" spans="1:25">
      <c r="A1196" s="61" t="s">
        <v>403</v>
      </c>
      <c r="B1196" s="61" t="s">
        <v>62</v>
      </c>
      <c r="C1196" s="61" t="s">
        <v>217</v>
      </c>
      <c r="D1196" s="61" t="s">
        <v>566</v>
      </c>
      <c r="E1196" s="160" t="s">
        <v>1043</v>
      </c>
      <c r="F1196" s="61" t="s">
        <v>906</v>
      </c>
      <c r="G1196" s="161" t="s">
        <v>88</v>
      </c>
      <c r="H1196" s="45" t="s">
        <v>1457</v>
      </c>
      <c r="I1196" s="47" t="e">
        <f>VLOOKUP(H1196,'合同综合查询数据（3月返）'!$A:$A,1,FALSE)</f>
        <v>#N/A</v>
      </c>
      <c r="J1196" s="48" t="s">
        <v>90</v>
      </c>
      <c r="K1196" s="135" t="s">
        <v>1458</v>
      </c>
      <c r="L1196" s="164"/>
      <c r="M1196" s="50" t="s">
        <v>909</v>
      </c>
      <c r="N1196" s="178">
        <v>43315</v>
      </c>
      <c r="O1196" s="163" t="s">
        <v>1459</v>
      </c>
      <c r="P1196" s="144">
        <v>9600</v>
      </c>
      <c r="Q1196" s="144">
        <v>2</v>
      </c>
      <c r="R1196" s="68">
        <f t="shared" si="31"/>
        <v>19200</v>
      </c>
      <c r="S1196" s="70">
        <v>202303</v>
      </c>
      <c r="T1196" s="203" t="s">
        <v>1578</v>
      </c>
      <c r="U1196" s="204"/>
      <c r="V1196" s="143"/>
      <c r="W1196" s="143"/>
      <c r="X1196" s="73"/>
      <c r="Y1196" s="73"/>
    </row>
    <row r="1197" s="81" customFormat="1" customHeight="1" spans="1:25">
      <c r="A1197" s="61" t="s">
        <v>403</v>
      </c>
      <c r="B1197" s="61" t="s">
        <v>62</v>
      </c>
      <c r="C1197" s="61" t="s">
        <v>217</v>
      </c>
      <c r="D1197" s="61" t="s">
        <v>566</v>
      </c>
      <c r="E1197" s="160" t="s">
        <v>1043</v>
      </c>
      <c r="F1197" s="61" t="s">
        <v>906</v>
      </c>
      <c r="G1197" s="161" t="s">
        <v>88</v>
      </c>
      <c r="H1197" s="45" t="s">
        <v>1457</v>
      </c>
      <c r="I1197" s="47" t="e">
        <f>VLOOKUP(H1197,'合同综合查询数据（3月返）'!$A:$A,1,FALSE)</f>
        <v>#N/A</v>
      </c>
      <c r="J1197" s="48" t="s">
        <v>90</v>
      </c>
      <c r="K1197" s="135" t="s">
        <v>1458</v>
      </c>
      <c r="L1197" s="164"/>
      <c r="M1197" s="50" t="s">
        <v>909</v>
      </c>
      <c r="N1197" s="178">
        <v>43224</v>
      </c>
      <c r="O1197" s="163" t="s">
        <v>457</v>
      </c>
      <c r="P1197" s="144">
        <v>6000</v>
      </c>
      <c r="Q1197" s="144">
        <v>-8</v>
      </c>
      <c r="R1197" s="68">
        <f t="shared" si="31"/>
        <v>-48000</v>
      </c>
      <c r="S1197" s="70">
        <v>202303</v>
      </c>
      <c r="T1197" s="203" t="s">
        <v>1579</v>
      </c>
      <c r="U1197" s="204"/>
      <c r="V1197" s="143"/>
      <c r="W1197" s="143"/>
      <c r="X1197" s="73"/>
      <c r="Y1197" s="73"/>
    </row>
    <row r="1198" s="81" customFormat="1" customHeight="1" spans="1:25">
      <c r="A1198" s="61" t="s">
        <v>403</v>
      </c>
      <c r="B1198" s="61" t="s">
        <v>62</v>
      </c>
      <c r="C1198" s="61" t="s">
        <v>217</v>
      </c>
      <c r="D1198" s="61" t="s">
        <v>566</v>
      </c>
      <c r="E1198" s="160" t="s">
        <v>1043</v>
      </c>
      <c r="F1198" s="61" t="s">
        <v>906</v>
      </c>
      <c r="G1198" s="161" t="s">
        <v>88</v>
      </c>
      <c r="H1198" s="45" t="s">
        <v>1457</v>
      </c>
      <c r="I1198" s="47" t="e">
        <f>VLOOKUP(H1198,'合同综合查询数据（3月返）'!$A:$A,1,FALSE)</f>
        <v>#N/A</v>
      </c>
      <c r="J1198" s="48" t="s">
        <v>90</v>
      </c>
      <c r="K1198" s="135" t="s">
        <v>1458</v>
      </c>
      <c r="L1198" s="164"/>
      <c r="M1198" s="50" t="s">
        <v>909</v>
      </c>
      <c r="N1198" s="178">
        <v>43430</v>
      </c>
      <c r="O1198" s="163" t="s">
        <v>1459</v>
      </c>
      <c r="P1198" s="144">
        <v>9600</v>
      </c>
      <c r="Q1198" s="144">
        <v>4</v>
      </c>
      <c r="R1198" s="68">
        <f t="shared" si="31"/>
        <v>38400</v>
      </c>
      <c r="S1198" s="70">
        <v>202303</v>
      </c>
      <c r="T1198" s="203"/>
      <c r="U1198" s="204"/>
      <c r="V1198" s="143"/>
      <c r="W1198" s="143"/>
      <c r="X1198" s="73"/>
      <c r="Y1198" s="73"/>
    </row>
    <row r="1199" s="81" customFormat="1" customHeight="1" spans="1:25">
      <c r="A1199" s="61" t="s">
        <v>403</v>
      </c>
      <c r="B1199" s="61" t="s">
        <v>62</v>
      </c>
      <c r="C1199" s="61" t="s">
        <v>217</v>
      </c>
      <c r="D1199" s="61" t="s">
        <v>566</v>
      </c>
      <c r="E1199" s="160" t="s">
        <v>1043</v>
      </c>
      <c r="F1199" s="61" t="s">
        <v>906</v>
      </c>
      <c r="G1199" s="161" t="s">
        <v>88</v>
      </c>
      <c r="H1199" s="45" t="s">
        <v>1457</v>
      </c>
      <c r="I1199" s="47" t="e">
        <f>VLOOKUP(H1199,'合同综合查询数据（3月返）'!$A:$A,1,FALSE)</f>
        <v>#N/A</v>
      </c>
      <c r="J1199" s="48" t="s">
        <v>90</v>
      </c>
      <c r="K1199" s="135" t="s">
        <v>1458</v>
      </c>
      <c r="L1199" s="164"/>
      <c r="M1199" s="50" t="s">
        <v>909</v>
      </c>
      <c r="N1199" s="178">
        <v>43437</v>
      </c>
      <c r="O1199" s="163" t="s">
        <v>1459</v>
      </c>
      <c r="P1199" s="144">
        <v>9600</v>
      </c>
      <c r="Q1199" s="144">
        <v>2</v>
      </c>
      <c r="R1199" s="68">
        <f t="shared" si="31"/>
        <v>19200</v>
      </c>
      <c r="S1199" s="70">
        <v>202303</v>
      </c>
      <c r="T1199" s="203"/>
      <c r="U1199" s="204"/>
      <c r="V1199" s="143"/>
      <c r="W1199" s="143"/>
      <c r="X1199" s="73"/>
      <c r="Y1199" s="73"/>
    </row>
    <row r="1200" s="81" customFormat="1" customHeight="1" spans="1:25">
      <c r="A1200" s="61" t="s">
        <v>403</v>
      </c>
      <c r="B1200" s="61" t="s">
        <v>62</v>
      </c>
      <c r="C1200" s="61" t="s">
        <v>217</v>
      </c>
      <c r="D1200" s="61" t="s">
        <v>566</v>
      </c>
      <c r="E1200" s="160" t="s">
        <v>1043</v>
      </c>
      <c r="F1200" s="61" t="s">
        <v>906</v>
      </c>
      <c r="G1200" s="161" t="s">
        <v>88</v>
      </c>
      <c r="H1200" s="45" t="s">
        <v>1457</v>
      </c>
      <c r="I1200" s="47" t="e">
        <f>VLOOKUP(H1200,'合同综合查询数据（3月返）'!$A:$A,1,FALSE)</f>
        <v>#N/A</v>
      </c>
      <c r="J1200" s="48" t="s">
        <v>90</v>
      </c>
      <c r="K1200" s="135" t="s">
        <v>1458</v>
      </c>
      <c r="L1200" s="164"/>
      <c r="M1200" s="50" t="s">
        <v>909</v>
      </c>
      <c r="N1200" s="178">
        <v>43452</v>
      </c>
      <c r="O1200" s="163" t="s">
        <v>1459</v>
      </c>
      <c r="P1200" s="144">
        <v>9600</v>
      </c>
      <c r="Q1200" s="144">
        <v>2</v>
      </c>
      <c r="R1200" s="68">
        <f t="shared" si="31"/>
        <v>19200</v>
      </c>
      <c r="S1200" s="70">
        <v>202303</v>
      </c>
      <c r="T1200" s="203"/>
      <c r="U1200" s="204"/>
      <c r="V1200" s="143"/>
      <c r="W1200" s="143"/>
      <c r="X1200" s="73"/>
      <c r="Y1200" s="73"/>
    </row>
    <row r="1201" s="81" customFormat="1" customHeight="1" spans="1:25">
      <c r="A1201" s="61" t="s">
        <v>403</v>
      </c>
      <c r="B1201" s="61" t="s">
        <v>62</v>
      </c>
      <c r="C1201" s="61" t="s">
        <v>217</v>
      </c>
      <c r="D1201" s="61" t="s">
        <v>566</v>
      </c>
      <c r="E1201" s="160" t="s">
        <v>1043</v>
      </c>
      <c r="F1201" s="61" t="s">
        <v>906</v>
      </c>
      <c r="G1201" s="161" t="s">
        <v>88</v>
      </c>
      <c r="H1201" s="45" t="s">
        <v>1457</v>
      </c>
      <c r="I1201" s="47" t="e">
        <f>VLOOKUP(H1201,'合同综合查询数据（3月返）'!$A:$A,1,FALSE)</f>
        <v>#N/A</v>
      </c>
      <c r="J1201" s="48" t="s">
        <v>90</v>
      </c>
      <c r="K1201" s="135" t="s">
        <v>1458</v>
      </c>
      <c r="L1201" s="164"/>
      <c r="M1201" s="50" t="s">
        <v>909</v>
      </c>
      <c r="N1201" s="205">
        <v>43448</v>
      </c>
      <c r="O1201" s="172" t="s">
        <v>1459</v>
      </c>
      <c r="P1201" s="144">
        <v>9600</v>
      </c>
      <c r="Q1201" s="144">
        <v>-2</v>
      </c>
      <c r="R1201" s="68">
        <f t="shared" si="31"/>
        <v>-19200</v>
      </c>
      <c r="S1201" s="70">
        <v>202303</v>
      </c>
      <c r="T1201" s="206" t="s">
        <v>1580</v>
      </c>
      <c r="U1201" s="207"/>
      <c r="V1201" s="143"/>
      <c r="W1201" s="143"/>
      <c r="X1201" s="73"/>
      <c r="Y1201" s="73"/>
    </row>
    <row r="1202" s="81" customFormat="1" customHeight="1" spans="1:25">
      <c r="A1202" s="61" t="s">
        <v>403</v>
      </c>
      <c r="B1202" s="61" t="s">
        <v>62</v>
      </c>
      <c r="C1202" s="61" t="s">
        <v>217</v>
      </c>
      <c r="D1202" s="61" t="s">
        <v>566</v>
      </c>
      <c r="E1202" s="160" t="s">
        <v>1043</v>
      </c>
      <c r="F1202" s="61" t="s">
        <v>906</v>
      </c>
      <c r="G1202" s="161" t="s">
        <v>88</v>
      </c>
      <c r="H1202" s="45" t="s">
        <v>1457</v>
      </c>
      <c r="I1202" s="47" t="e">
        <f>VLOOKUP(H1202,'合同综合查询数据（3月返）'!$A:$A,1,FALSE)</f>
        <v>#N/A</v>
      </c>
      <c r="J1202" s="48" t="s">
        <v>90</v>
      </c>
      <c r="K1202" s="135" t="s">
        <v>1458</v>
      </c>
      <c r="L1202" s="164"/>
      <c r="M1202" s="50" t="s">
        <v>909</v>
      </c>
      <c r="N1202" s="178">
        <v>43535</v>
      </c>
      <c r="O1202" s="163" t="s">
        <v>1459</v>
      </c>
      <c r="P1202" s="144">
        <v>9600</v>
      </c>
      <c r="Q1202" s="144">
        <v>2</v>
      </c>
      <c r="R1202" s="68">
        <f t="shared" si="31"/>
        <v>19200</v>
      </c>
      <c r="S1202" s="70">
        <v>202303</v>
      </c>
      <c r="T1202" s="203" t="s">
        <v>1581</v>
      </c>
      <c r="U1202" s="204"/>
      <c r="V1202" s="143"/>
      <c r="W1202" s="143"/>
      <c r="X1202" s="73"/>
      <c r="Y1202" s="73"/>
    </row>
    <row r="1203" s="81" customFormat="1" customHeight="1" spans="1:25">
      <c r="A1203" s="61" t="s">
        <v>403</v>
      </c>
      <c r="B1203" s="61" t="s">
        <v>62</v>
      </c>
      <c r="C1203" s="61" t="s">
        <v>217</v>
      </c>
      <c r="D1203" s="61" t="s">
        <v>566</v>
      </c>
      <c r="E1203" s="160" t="s">
        <v>1043</v>
      </c>
      <c r="F1203" s="61" t="s">
        <v>906</v>
      </c>
      <c r="G1203" s="161" t="s">
        <v>88</v>
      </c>
      <c r="H1203" s="45" t="s">
        <v>1457</v>
      </c>
      <c r="I1203" s="47" t="e">
        <f>VLOOKUP(H1203,'合同综合查询数据（3月返）'!$A:$A,1,FALSE)</f>
        <v>#N/A</v>
      </c>
      <c r="J1203" s="48" t="s">
        <v>90</v>
      </c>
      <c r="K1203" s="135" t="s">
        <v>1458</v>
      </c>
      <c r="L1203" s="164"/>
      <c r="M1203" s="50" t="s">
        <v>909</v>
      </c>
      <c r="N1203" s="178">
        <v>44315</v>
      </c>
      <c r="O1203" s="163" t="s">
        <v>1459</v>
      </c>
      <c r="P1203" s="144">
        <v>9600</v>
      </c>
      <c r="Q1203" s="144">
        <v>3</v>
      </c>
      <c r="R1203" s="68">
        <f t="shared" si="31"/>
        <v>28800</v>
      </c>
      <c r="S1203" s="70">
        <v>202303</v>
      </c>
      <c r="T1203" s="203" t="s">
        <v>1582</v>
      </c>
      <c r="U1203" s="204"/>
      <c r="V1203" s="143"/>
      <c r="W1203" s="143"/>
      <c r="X1203" s="73"/>
      <c r="Y1203" s="73"/>
    </row>
    <row r="1204" s="81" customFormat="1" customHeight="1" spans="1:25">
      <c r="A1204" s="61" t="s">
        <v>403</v>
      </c>
      <c r="B1204" s="61" t="s">
        <v>62</v>
      </c>
      <c r="C1204" s="61" t="s">
        <v>217</v>
      </c>
      <c r="D1204" s="61" t="s">
        <v>566</v>
      </c>
      <c r="E1204" s="160" t="s">
        <v>1043</v>
      </c>
      <c r="F1204" s="61" t="s">
        <v>906</v>
      </c>
      <c r="G1204" s="161" t="s">
        <v>88</v>
      </c>
      <c r="H1204" s="45" t="s">
        <v>1457</v>
      </c>
      <c r="I1204" s="47" t="e">
        <f>VLOOKUP(H1204,'合同综合查询数据（3月返）'!$A:$A,1,FALSE)</f>
        <v>#N/A</v>
      </c>
      <c r="J1204" s="48" t="s">
        <v>90</v>
      </c>
      <c r="K1204" s="135" t="s">
        <v>1458</v>
      </c>
      <c r="L1204" s="164"/>
      <c r="M1204" s="50" t="s">
        <v>909</v>
      </c>
      <c r="N1204" s="178">
        <v>44316</v>
      </c>
      <c r="O1204" s="163" t="s">
        <v>1459</v>
      </c>
      <c r="P1204" s="144">
        <v>9600</v>
      </c>
      <c r="Q1204" s="144">
        <v>1</v>
      </c>
      <c r="R1204" s="68">
        <f t="shared" si="31"/>
        <v>9600</v>
      </c>
      <c r="S1204" s="70">
        <v>202303</v>
      </c>
      <c r="T1204" s="203" t="s">
        <v>1583</v>
      </c>
      <c r="U1204" s="204"/>
      <c r="V1204" s="143"/>
      <c r="W1204" s="143"/>
      <c r="X1204" s="73"/>
      <c r="Y1204" s="73"/>
    </row>
    <row r="1205" s="81" customFormat="1" customHeight="1" spans="1:25">
      <c r="A1205" s="61" t="s">
        <v>403</v>
      </c>
      <c r="B1205" s="61" t="s">
        <v>62</v>
      </c>
      <c r="C1205" s="61" t="s">
        <v>217</v>
      </c>
      <c r="D1205" s="61" t="s">
        <v>566</v>
      </c>
      <c r="E1205" s="160" t="s">
        <v>1043</v>
      </c>
      <c r="F1205" s="61" t="s">
        <v>906</v>
      </c>
      <c r="G1205" s="161" t="s">
        <v>88</v>
      </c>
      <c r="H1205" s="45" t="s">
        <v>1457</v>
      </c>
      <c r="I1205" s="47" t="e">
        <f>VLOOKUP(H1205,'合同综合查询数据（3月返）'!$A:$A,1,FALSE)</f>
        <v>#N/A</v>
      </c>
      <c r="J1205" s="48" t="s">
        <v>90</v>
      </c>
      <c r="K1205" s="135" t="s">
        <v>1458</v>
      </c>
      <c r="L1205" s="164"/>
      <c r="M1205" s="50" t="s">
        <v>909</v>
      </c>
      <c r="N1205" s="178">
        <v>44347</v>
      </c>
      <c r="O1205" s="163" t="s">
        <v>1459</v>
      </c>
      <c r="P1205" s="144">
        <v>9600</v>
      </c>
      <c r="Q1205" s="144">
        <v>4</v>
      </c>
      <c r="R1205" s="68">
        <f t="shared" si="31"/>
        <v>38400</v>
      </c>
      <c r="S1205" s="70">
        <v>202303</v>
      </c>
      <c r="T1205" s="208" t="s">
        <v>1584</v>
      </c>
      <c r="U1205" s="208"/>
      <c r="V1205" s="143"/>
      <c r="W1205" s="143"/>
      <c r="X1205" s="73"/>
      <c r="Y1205" s="73"/>
    </row>
    <row r="1206" s="81" customFormat="1" customHeight="1" spans="1:25">
      <c r="A1206" s="61" t="s">
        <v>403</v>
      </c>
      <c r="B1206" s="61" t="s">
        <v>62</v>
      </c>
      <c r="C1206" s="61" t="s">
        <v>217</v>
      </c>
      <c r="D1206" s="61" t="s">
        <v>566</v>
      </c>
      <c r="E1206" s="160" t="s">
        <v>1043</v>
      </c>
      <c r="F1206" s="61" t="s">
        <v>906</v>
      </c>
      <c r="G1206" s="161" t="s">
        <v>88</v>
      </c>
      <c r="H1206" s="45" t="s">
        <v>1457</v>
      </c>
      <c r="I1206" s="47" t="e">
        <f>VLOOKUP(H1206,'合同综合查询数据（3月返）'!$A:$A,1,FALSE)</f>
        <v>#N/A</v>
      </c>
      <c r="J1206" s="48" t="s">
        <v>90</v>
      </c>
      <c r="K1206" s="135" t="s">
        <v>1458</v>
      </c>
      <c r="L1206" s="164"/>
      <c r="M1206" s="50" t="s">
        <v>909</v>
      </c>
      <c r="N1206" s="178">
        <v>44862</v>
      </c>
      <c r="O1206" s="163" t="s">
        <v>1459</v>
      </c>
      <c r="P1206" s="144">
        <v>9600</v>
      </c>
      <c r="Q1206" s="144">
        <v>-1</v>
      </c>
      <c r="R1206" s="68">
        <f t="shared" si="31"/>
        <v>-9600</v>
      </c>
      <c r="S1206" s="70">
        <v>202303</v>
      </c>
      <c r="T1206" s="208" t="s">
        <v>1585</v>
      </c>
      <c r="U1206" s="208"/>
      <c r="V1206" s="143"/>
      <c r="W1206" s="143"/>
      <c r="X1206" s="73"/>
      <c r="Y1206" s="73"/>
    </row>
    <row r="1207" s="81" customFormat="1" customHeight="1" spans="1:25">
      <c r="A1207" s="61" t="s">
        <v>403</v>
      </c>
      <c r="B1207" s="61" t="s">
        <v>62</v>
      </c>
      <c r="C1207" s="61" t="s">
        <v>217</v>
      </c>
      <c r="D1207" s="61" t="s">
        <v>566</v>
      </c>
      <c r="E1207" s="160" t="s">
        <v>1043</v>
      </c>
      <c r="F1207" s="61" t="s">
        <v>906</v>
      </c>
      <c r="G1207" s="161" t="s">
        <v>88</v>
      </c>
      <c r="H1207" s="45" t="s">
        <v>1457</v>
      </c>
      <c r="I1207" s="47" t="e">
        <f>VLOOKUP(H1207,'合同综合查询数据（3月返）'!$A:$A,1,FALSE)</f>
        <v>#N/A</v>
      </c>
      <c r="J1207" s="48" t="s">
        <v>90</v>
      </c>
      <c r="K1207" s="135" t="s">
        <v>1458</v>
      </c>
      <c r="L1207" s="164"/>
      <c r="M1207" s="50" t="s">
        <v>909</v>
      </c>
      <c r="N1207" s="178">
        <v>42795</v>
      </c>
      <c r="O1207" s="163" t="s">
        <v>545</v>
      </c>
      <c r="P1207" s="144">
        <v>0</v>
      </c>
      <c r="Q1207" s="144">
        <v>6</v>
      </c>
      <c r="R1207" s="68">
        <f t="shared" si="31"/>
        <v>0</v>
      </c>
      <c r="S1207" s="70">
        <v>202303</v>
      </c>
      <c r="T1207" s="203" t="s">
        <v>1586</v>
      </c>
      <c r="U1207" s="204"/>
      <c r="V1207" s="143"/>
      <c r="W1207" s="143"/>
      <c r="X1207" s="73"/>
      <c r="Y1207" s="73"/>
    </row>
    <row r="1208" s="81" customFormat="1" customHeight="1" spans="1:25">
      <c r="A1208" s="61" t="s">
        <v>403</v>
      </c>
      <c r="B1208" s="61" t="s">
        <v>62</v>
      </c>
      <c r="C1208" s="61" t="s">
        <v>217</v>
      </c>
      <c r="D1208" s="61" t="s">
        <v>566</v>
      </c>
      <c r="E1208" s="160" t="s">
        <v>1043</v>
      </c>
      <c r="F1208" s="61" t="s">
        <v>906</v>
      </c>
      <c r="G1208" s="161" t="s">
        <v>88</v>
      </c>
      <c r="H1208" s="45" t="s">
        <v>1457</v>
      </c>
      <c r="I1208" s="47" t="e">
        <f>VLOOKUP(H1208,'合同综合查询数据（3月返）'!$A:$A,1,FALSE)</f>
        <v>#N/A</v>
      </c>
      <c r="J1208" s="48" t="s">
        <v>90</v>
      </c>
      <c r="K1208" s="135" t="s">
        <v>1458</v>
      </c>
      <c r="L1208" s="164"/>
      <c r="M1208" s="50" t="s">
        <v>909</v>
      </c>
      <c r="N1208" s="178">
        <v>44931</v>
      </c>
      <c r="O1208" s="163" t="s">
        <v>1459</v>
      </c>
      <c r="P1208" s="144">
        <v>9600</v>
      </c>
      <c r="Q1208" s="144">
        <v>-4</v>
      </c>
      <c r="R1208" s="68">
        <f t="shared" si="31"/>
        <v>-38400</v>
      </c>
      <c r="S1208" s="70">
        <v>202303</v>
      </c>
      <c r="T1208" s="203" t="s">
        <v>1587</v>
      </c>
      <c r="U1208" s="204"/>
      <c r="V1208" s="143"/>
      <c r="W1208" s="143"/>
      <c r="X1208" s="73"/>
      <c r="Y1208" s="73"/>
    </row>
    <row r="1209" s="81" customFormat="1" customHeight="1" spans="1:25">
      <c r="A1209" s="61" t="s">
        <v>403</v>
      </c>
      <c r="B1209" s="61" t="s">
        <v>62</v>
      </c>
      <c r="C1209" s="61" t="s">
        <v>217</v>
      </c>
      <c r="D1209" s="61" t="s">
        <v>566</v>
      </c>
      <c r="E1209" s="160" t="s">
        <v>1043</v>
      </c>
      <c r="F1209" s="61" t="s">
        <v>906</v>
      </c>
      <c r="G1209" s="161" t="s">
        <v>88</v>
      </c>
      <c r="H1209" s="45" t="s">
        <v>1457</v>
      </c>
      <c r="I1209" s="47" t="e">
        <f>VLOOKUP(H1209,'合同综合查询数据（3月返）'!$A:$A,1,FALSE)</f>
        <v>#N/A</v>
      </c>
      <c r="J1209" s="48" t="s">
        <v>90</v>
      </c>
      <c r="K1209" s="135" t="s">
        <v>1458</v>
      </c>
      <c r="L1209" s="164"/>
      <c r="M1209" s="50" t="s">
        <v>909</v>
      </c>
      <c r="N1209" s="178">
        <v>44935</v>
      </c>
      <c r="O1209" s="163" t="s">
        <v>1459</v>
      </c>
      <c r="P1209" s="144">
        <v>9600</v>
      </c>
      <c r="Q1209" s="144">
        <v>-96</v>
      </c>
      <c r="R1209" s="68">
        <f t="shared" si="31"/>
        <v>-921600</v>
      </c>
      <c r="S1209" s="70">
        <v>202303</v>
      </c>
      <c r="T1209" s="203" t="s">
        <v>1588</v>
      </c>
      <c r="U1209" s="204"/>
      <c r="V1209" s="143"/>
      <c r="W1209" s="143"/>
      <c r="X1209" s="73"/>
      <c r="Y1209" s="73"/>
    </row>
    <row r="1210" s="81" customFormat="1" ht="15.5" customHeight="1" spans="1:25">
      <c r="A1210" s="61" t="s">
        <v>403</v>
      </c>
      <c r="B1210" s="61" t="s">
        <v>62</v>
      </c>
      <c r="C1210" s="61" t="s">
        <v>217</v>
      </c>
      <c r="D1210" s="61" t="s">
        <v>566</v>
      </c>
      <c r="E1210" s="160" t="s">
        <v>1043</v>
      </c>
      <c r="F1210" s="61" t="s">
        <v>906</v>
      </c>
      <c r="G1210" s="161" t="s">
        <v>88</v>
      </c>
      <c r="H1210" s="45" t="s">
        <v>1457</v>
      </c>
      <c r="I1210" s="47" t="e">
        <f>VLOOKUP(H1210,'合同综合查询数据（3月返）'!$A:$A,1,FALSE)</f>
        <v>#N/A</v>
      </c>
      <c r="J1210" s="48" t="s">
        <v>90</v>
      </c>
      <c r="K1210" s="135" t="s">
        <v>1458</v>
      </c>
      <c r="L1210" s="164"/>
      <c r="M1210" s="50" t="s">
        <v>909</v>
      </c>
      <c r="N1210" s="178">
        <v>44972</v>
      </c>
      <c r="O1210" s="163" t="s">
        <v>1459</v>
      </c>
      <c r="P1210" s="144">
        <v>9600</v>
      </c>
      <c r="Q1210" s="144">
        <v>-58</v>
      </c>
      <c r="R1210" s="68">
        <f t="shared" si="31"/>
        <v>-556800</v>
      </c>
      <c r="S1210" s="70">
        <v>202303</v>
      </c>
      <c r="T1210" s="203" t="s">
        <v>1589</v>
      </c>
      <c r="U1210" s="204"/>
      <c r="V1210" s="143"/>
      <c r="W1210" s="143"/>
      <c r="X1210" s="73"/>
      <c r="Y1210" s="73"/>
    </row>
    <row r="1211" s="81" customFormat="1" customHeight="1" spans="1:25">
      <c r="A1211" s="61" t="s">
        <v>403</v>
      </c>
      <c r="B1211" s="61" t="s">
        <v>62</v>
      </c>
      <c r="C1211" s="61" t="s">
        <v>217</v>
      </c>
      <c r="D1211" s="61" t="s">
        <v>566</v>
      </c>
      <c r="E1211" s="160" t="s">
        <v>1043</v>
      </c>
      <c r="F1211" s="61" t="s">
        <v>906</v>
      </c>
      <c r="G1211" s="161" t="s">
        <v>88</v>
      </c>
      <c r="H1211" s="45" t="s">
        <v>1457</v>
      </c>
      <c r="I1211" s="47" t="e">
        <f>VLOOKUP(H1211,'合同综合查询数据（3月返）'!$A:$A,1,FALSE)</f>
        <v>#N/A</v>
      </c>
      <c r="J1211" s="48" t="s">
        <v>90</v>
      </c>
      <c r="K1211" s="135" t="s">
        <v>1458</v>
      </c>
      <c r="L1211" s="164"/>
      <c r="M1211" s="50" t="s">
        <v>909</v>
      </c>
      <c r="N1211" s="178">
        <v>44985</v>
      </c>
      <c r="O1211" s="163" t="s">
        <v>1459</v>
      </c>
      <c r="P1211" s="144">
        <v>9600</v>
      </c>
      <c r="Q1211" s="144">
        <v>-64</v>
      </c>
      <c r="R1211" s="68">
        <f t="shared" si="31"/>
        <v>-614400</v>
      </c>
      <c r="S1211" s="70">
        <v>202303</v>
      </c>
      <c r="T1211" s="203" t="s">
        <v>1590</v>
      </c>
      <c r="U1211" s="204"/>
      <c r="V1211" s="143"/>
      <c r="W1211" s="143"/>
      <c r="X1211" s="73"/>
      <c r="Y1211" s="73"/>
    </row>
    <row r="1212" s="81" customFormat="1" customHeight="1" spans="1:25">
      <c r="A1212" s="61" t="s">
        <v>403</v>
      </c>
      <c r="B1212" s="61" t="s">
        <v>62</v>
      </c>
      <c r="C1212" s="61" t="s">
        <v>217</v>
      </c>
      <c r="D1212" s="61" t="s">
        <v>566</v>
      </c>
      <c r="E1212" s="160" t="s">
        <v>1043</v>
      </c>
      <c r="F1212" s="61" t="s">
        <v>906</v>
      </c>
      <c r="G1212" s="161" t="s">
        <v>88</v>
      </c>
      <c r="H1212" s="45" t="s">
        <v>1457</v>
      </c>
      <c r="I1212" s="47" t="e">
        <f>VLOOKUP(H1212,'合同综合查询数据（3月返）'!$A:$A,1,FALSE)</f>
        <v>#N/A</v>
      </c>
      <c r="J1212" s="48" t="s">
        <v>90</v>
      </c>
      <c r="K1212" s="135" t="s">
        <v>1458</v>
      </c>
      <c r="L1212" s="164"/>
      <c r="M1212" s="50" t="s">
        <v>909</v>
      </c>
      <c r="N1212" s="178">
        <v>44998</v>
      </c>
      <c r="O1212" s="163" t="s">
        <v>1459</v>
      </c>
      <c r="P1212" s="144">
        <v>9600</v>
      </c>
      <c r="Q1212" s="144">
        <v>-20</v>
      </c>
      <c r="R1212" s="68">
        <f>ROUND(P1212*Q1212*18/31,2)</f>
        <v>-111483.87</v>
      </c>
      <c r="S1212" s="70">
        <v>202303</v>
      </c>
      <c r="T1212" s="209" t="s">
        <v>1591</v>
      </c>
      <c r="U1212" s="204"/>
      <c r="V1212" s="143"/>
      <c r="W1212" s="143"/>
      <c r="X1212" s="73"/>
      <c r="Y1212" s="73"/>
    </row>
    <row r="1213" s="81" customFormat="1" customHeight="1" spans="1:25">
      <c r="A1213" s="61" t="s">
        <v>403</v>
      </c>
      <c r="B1213" s="61" t="s">
        <v>62</v>
      </c>
      <c r="C1213" s="61" t="s">
        <v>217</v>
      </c>
      <c r="D1213" s="61" t="s">
        <v>566</v>
      </c>
      <c r="E1213" s="160" t="s">
        <v>1043</v>
      </c>
      <c r="F1213" s="61" t="s">
        <v>906</v>
      </c>
      <c r="G1213" s="161" t="s">
        <v>88</v>
      </c>
      <c r="H1213" s="45" t="s">
        <v>1457</v>
      </c>
      <c r="I1213" s="47" t="e">
        <f>VLOOKUP(H1213,'合同综合查询数据（3月返）'!$A:$A,1,FALSE)</f>
        <v>#N/A</v>
      </c>
      <c r="J1213" s="48" t="s">
        <v>90</v>
      </c>
      <c r="K1213" s="135" t="s">
        <v>1458</v>
      </c>
      <c r="L1213" s="164"/>
      <c r="M1213" s="50" t="s">
        <v>909</v>
      </c>
      <c r="N1213" s="178">
        <v>45002</v>
      </c>
      <c r="O1213" s="163" t="s">
        <v>1459</v>
      </c>
      <c r="P1213" s="144">
        <v>9600</v>
      </c>
      <c r="Q1213" s="144">
        <v>-18</v>
      </c>
      <c r="R1213" s="68">
        <f>ROUND(P1213*Q1213*14/31,2)</f>
        <v>-78038.71</v>
      </c>
      <c r="S1213" s="70">
        <v>202303</v>
      </c>
      <c r="T1213" s="209" t="s">
        <v>1592</v>
      </c>
      <c r="U1213" s="204"/>
      <c r="V1213" s="143"/>
      <c r="W1213" s="143"/>
      <c r="X1213" s="73"/>
      <c r="Y1213" s="73"/>
    </row>
    <row r="1214" s="81" customFormat="1" customHeight="1" spans="1:25">
      <c r="A1214" s="61" t="s">
        <v>403</v>
      </c>
      <c r="B1214" s="61" t="s">
        <v>62</v>
      </c>
      <c r="C1214" s="61" t="s">
        <v>217</v>
      </c>
      <c r="D1214" s="61" t="s">
        <v>566</v>
      </c>
      <c r="E1214" s="160" t="s">
        <v>1043</v>
      </c>
      <c r="F1214" s="61" t="s">
        <v>906</v>
      </c>
      <c r="G1214" s="161" t="s">
        <v>88</v>
      </c>
      <c r="H1214" s="45" t="s">
        <v>1457</v>
      </c>
      <c r="I1214" s="47" t="e">
        <f>VLOOKUP(H1214,'合同综合查询数据（3月返）'!$A:$A,1,FALSE)</f>
        <v>#N/A</v>
      </c>
      <c r="J1214" s="48" t="s">
        <v>90</v>
      </c>
      <c r="K1214" s="135" t="s">
        <v>1458</v>
      </c>
      <c r="L1214" s="164"/>
      <c r="M1214" s="50" t="s">
        <v>909</v>
      </c>
      <c r="N1214" s="178">
        <v>45008</v>
      </c>
      <c r="O1214" s="163" t="s">
        <v>1459</v>
      </c>
      <c r="P1214" s="144">
        <v>9600</v>
      </c>
      <c r="Q1214" s="144">
        <v>-36</v>
      </c>
      <c r="R1214" s="68">
        <f>ROUND(P1214*Q1214*8/31,2)</f>
        <v>-89187.1</v>
      </c>
      <c r="S1214" s="70">
        <v>202303</v>
      </c>
      <c r="T1214" s="209" t="s">
        <v>1593</v>
      </c>
      <c r="U1214" s="204"/>
      <c r="V1214" s="143"/>
      <c r="W1214" s="143"/>
      <c r="X1214" s="73"/>
      <c r="Y1214" s="73"/>
    </row>
    <row r="1215" s="81" customFormat="1" customHeight="1" spans="1:25">
      <c r="A1215" s="61" t="s">
        <v>403</v>
      </c>
      <c r="B1215" s="61" t="s">
        <v>62</v>
      </c>
      <c r="C1215" s="61" t="s">
        <v>217</v>
      </c>
      <c r="D1215" s="61" t="s">
        <v>566</v>
      </c>
      <c r="E1215" s="160" t="s">
        <v>1043</v>
      </c>
      <c r="F1215" s="61" t="s">
        <v>906</v>
      </c>
      <c r="G1215" s="161" t="s">
        <v>88</v>
      </c>
      <c r="H1215" s="45" t="s">
        <v>1594</v>
      </c>
      <c r="I1215" s="47" t="e">
        <f>VLOOKUP(H1215,'合同综合查询数据（3月返）'!$A:$A,1,FALSE)</f>
        <v>#N/A</v>
      </c>
      <c r="J1215" s="48" t="s">
        <v>90</v>
      </c>
      <c r="K1215" s="135" t="s">
        <v>1595</v>
      </c>
      <c r="L1215" s="164"/>
      <c r="M1215" s="50" t="s">
        <v>909</v>
      </c>
      <c r="N1215" s="178">
        <v>44986</v>
      </c>
      <c r="O1215" s="163" t="s">
        <v>457</v>
      </c>
      <c r="P1215" s="144">
        <v>5900</v>
      </c>
      <c r="Q1215" s="144">
        <v>3</v>
      </c>
      <c r="R1215" s="68">
        <f t="shared" ref="R1215:R1278" si="32">ROUND(P1215*Q1215,2)</f>
        <v>17700</v>
      </c>
      <c r="S1215" s="70">
        <v>202303</v>
      </c>
      <c r="T1215" s="209" t="s">
        <v>1596</v>
      </c>
      <c r="U1215" s="204"/>
      <c r="V1215" s="143"/>
      <c r="W1215" s="143"/>
      <c r="X1215" s="73"/>
      <c r="Y1215" s="73"/>
    </row>
    <row r="1216" s="81" customFormat="1" customHeight="1" spans="1:25">
      <c r="A1216" s="61" t="s">
        <v>403</v>
      </c>
      <c r="B1216" s="61" t="s">
        <v>62</v>
      </c>
      <c r="C1216" s="61" t="s">
        <v>217</v>
      </c>
      <c r="D1216" s="61" t="s">
        <v>566</v>
      </c>
      <c r="E1216" s="160" t="s">
        <v>1043</v>
      </c>
      <c r="F1216" s="61" t="s">
        <v>906</v>
      </c>
      <c r="G1216" s="161" t="s">
        <v>88</v>
      </c>
      <c r="H1216" s="45" t="s">
        <v>1594</v>
      </c>
      <c r="I1216" s="47" t="e">
        <f>VLOOKUP(H1216,'合同综合查询数据（3月返）'!$A:$A,1,FALSE)</f>
        <v>#N/A</v>
      </c>
      <c r="J1216" s="48" t="s">
        <v>90</v>
      </c>
      <c r="K1216" s="135" t="s">
        <v>1595</v>
      </c>
      <c r="L1216" s="164"/>
      <c r="M1216" s="50" t="s">
        <v>909</v>
      </c>
      <c r="N1216" s="178">
        <v>44986</v>
      </c>
      <c r="O1216" s="163" t="s">
        <v>461</v>
      </c>
      <c r="P1216" s="144">
        <v>11200</v>
      </c>
      <c r="Q1216" s="144">
        <v>28</v>
      </c>
      <c r="R1216" s="68">
        <f t="shared" si="32"/>
        <v>313600</v>
      </c>
      <c r="S1216" s="70">
        <v>202303</v>
      </c>
      <c r="T1216" s="209" t="s">
        <v>1597</v>
      </c>
      <c r="U1216" s="204"/>
      <c r="V1216" s="143"/>
      <c r="W1216" s="143"/>
      <c r="X1216" s="73"/>
      <c r="Y1216" s="73"/>
    </row>
    <row r="1217" s="81" customFormat="1" customHeight="1" spans="1:25">
      <c r="A1217" s="61" t="s">
        <v>403</v>
      </c>
      <c r="B1217" s="61" t="s">
        <v>62</v>
      </c>
      <c r="C1217" s="61" t="s">
        <v>217</v>
      </c>
      <c r="D1217" s="61" t="s">
        <v>566</v>
      </c>
      <c r="E1217" s="160" t="s">
        <v>1043</v>
      </c>
      <c r="F1217" s="61" t="s">
        <v>906</v>
      </c>
      <c r="G1217" s="161" t="s">
        <v>88</v>
      </c>
      <c r="H1217" s="45" t="s">
        <v>1594</v>
      </c>
      <c r="I1217" s="47" t="e">
        <f>VLOOKUP(H1217,'合同综合查询数据（3月返）'!$A:$A,1,FALSE)</f>
        <v>#N/A</v>
      </c>
      <c r="J1217" s="48" t="s">
        <v>312</v>
      </c>
      <c r="K1217" s="135" t="s">
        <v>1595</v>
      </c>
      <c r="L1217" s="164"/>
      <c r="M1217" s="50" t="s">
        <v>909</v>
      </c>
      <c r="N1217" s="178">
        <v>44986</v>
      </c>
      <c r="O1217" s="163"/>
      <c r="P1217" s="144">
        <v>300</v>
      </c>
      <c r="Q1217" s="144">
        <v>100</v>
      </c>
      <c r="R1217" s="68">
        <f t="shared" si="32"/>
        <v>30000</v>
      </c>
      <c r="S1217" s="70">
        <v>202303</v>
      </c>
      <c r="T1217" s="136" t="s">
        <v>1598</v>
      </c>
      <c r="U1217" s="204"/>
      <c r="V1217" s="143"/>
      <c r="W1217" s="143"/>
      <c r="X1217" s="73"/>
      <c r="Y1217" s="73"/>
    </row>
    <row r="1218" s="79" customFormat="1" customHeight="1" spans="1:25">
      <c r="A1218" s="98" t="s">
        <v>403</v>
      </c>
      <c r="B1218" s="98" t="s">
        <v>62</v>
      </c>
      <c r="C1218" s="98" t="s">
        <v>217</v>
      </c>
      <c r="D1218" s="98" t="s">
        <v>566</v>
      </c>
      <c r="E1218" s="147" t="s">
        <v>1043</v>
      </c>
      <c r="F1218" s="98" t="s">
        <v>906</v>
      </c>
      <c r="G1218" s="151" t="s">
        <v>88</v>
      </c>
      <c r="H1218" s="19" t="s">
        <v>1599</v>
      </c>
      <c r="I1218" s="23" t="e">
        <f>VLOOKUP(H1218,'合同综合查询数据（3月返）'!$A:$A,1,FALSE)</f>
        <v>#N/A</v>
      </c>
      <c r="J1218" s="24" t="s">
        <v>90</v>
      </c>
      <c r="K1218" s="129" t="s">
        <v>1600</v>
      </c>
      <c r="L1218" s="153"/>
      <c r="M1218" s="26" t="s">
        <v>909</v>
      </c>
      <c r="N1218" s="210">
        <v>43343</v>
      </c>
      <c r="O1218" s="190" t="s">
        <v>461</v>
      </c>
      <c r="P1218" s="173">
        <v>11700</v>
      </c>
      <c r="Q1218" s="173">
        <v>1</v>
      </c>
      <c r="R1218" s="120">
        <f t="shared" si="32"/>
        <v>11700</v>
      </c>
      <c r="S1218" s="117">
        <v>202303</v>
      </c>
      <c r="T1218" s="212" t="s">
        <v>1601</v>
      </c>
      <c r="U1218" s="213"/>
      <c r="V1218" s="133"/>
      <c r="W1218" s="133"/>
      <c r="X1218" s="118">
        <v>43525</v>
      </c>
      <c r="Y1218" s="118">
        <v>45549</v>
      </c>
    </row>
    <row r="1219" s="79" customFormat="1" customHeight="1" spans="1:25">
      <c r="A1219" s="98" t="s">
        <v>403</v>
      </c>
      <c r="B1219" s="98" t="s">
        <v>62</v>
      </c>
      <c r="C1219" s="98" t="s">
        <v>217</v>
      </c>
      <c r="D1219" s="98" t="s">
        <v>566</v>
      </c>
      <c r="E1219" s="147" t="s">
        <v>1043</v>
      </c>
      <c r="F1219" s="98" t="s">
        <v>906</v>
      </c>
      <c r="G1219" s="151" t="s">
        <v>88</v>
      </c>
      <c r="H1219" s="19" t="s">
        <v>1599</v>
      </c>
      <c r="I1219" s="23" t="e">
        <f>VLOOKUP(H1219,'合同综合查询数据（3月返）'!$A:$A,1,FALSE)</f>
        <v>#N/A</v>
      </c>
      <c r="J1219" s="24" t="s">
        <v>90</v>
      </c>
      <c r="K1219" s="129" t="s">
        <v>1600</v>
      </c>
      <c r="L1219" s="153"/>
      <c r="M1219" s="26" t="s">
        <v>909</v>
      </c>
      <c r="N1219" s="210">
        <v>43346</v>
      </c>
      <c r="O1219" s="190" t="s">
        <v>574</v>
      </c>
      <c r="P1219" s="173">
        <v>32650</v>
      </c>
      <c r="Q1219" s="173">
        <v>8</v>
      </c>
      <c r="R1219" s="120">
        <f t="shared" si="32"/>
        <v>261200</v>
      </c>
      <c r="S1219" s="117">
        <v>202303</v>
      </c>
      <c r="T1219" s="212" t="s">
        <v>1602</v>
      </c>
      <c r="U1219" s="213"/>
      <c r="V1219" s="133"/>
      <c r="W1219" s="133"/>
      <c r="X1219" s="118">
        <v>43525</v>
      </c>
      <c r="Y1219" s="118">
        <v>45549</v>
      </c>
    </row>
    <row r="1220" s="79" customFormat="1" customHeight="1" spans="1:25">
      <c r="A1220" s="98" t="s">
        <v>403</v>
      </c>
      <c r="B1220" s="98" t="s">
        <v>62</v>
      </c>
      <c r="C1220" s="98" t="s">
        <v>217</v>
      </c>
      <c r="D1220" s="98" t="s">
        <v>566</v>
      </c>
      <c r="E1220" s="147" t="s">
        <v>1043</v>
      </c>
      <c r="F1220" s="98" t="s">
        <v>906</v>
      </c>
      <c r="G1220" s="151" t="s">
        <v>88</v>
      </c>
      <c r="H1220" s="19" t="s">
        <v>1599</v>
      </c>
      <c r="I1220" s="23" t="e">
        <f>VLOOKUP(H1220,'合同综合查询数据（3月返）'!$A:$A,1,FALSE)</f>
        <v>#N/A</v>
      </c>
      <c r="J1220" s="24" t="s">
        <v>90</v>
      </c>
      <c r="K1220" s="129" t="s">
        <v>1600</v>
      </c>
      <c r="L1220" s="153"/>
      <c r="M1220" s="26" t="s">
        <v>909</v>
      </c>
      <c r="N1220" s="210">
        <v>43346</v>
      </c>
      <c r="O1220" s="190" t="s">
        <v>457</v>
      </c>
      <c r="P1220" s="173">
        <v>5950</v>
      </c>
      <c r="Q1220" s="173">
        <v>8</v>
      </c>
      <c r="R1220" s="120">
        <f t="shared" si="32"/>
        <v>47600</v>
      </c>
      <c r="S1220" s="117">
        <v>202303</v>
      </c>
      <c r="T1220" s="212" t="s">
        <v>1603</v>
      </c>
      <c r="U1220" s="213"/>
      <c r="V1220" s="133"/>
      <c r="W1220" s="133"/>
      <c r="X1220" s="118">
        <v>43525</v>
      </c>
      <c r="Y1220" s="118">
        <v>45549</v>
      </c>
    </row>
    <row r="1221" s="79" customFormat="1" customHeight="1" spans="1:25">
      <c r="A1221" s="98" t="s">
        <v>403</v>
      </c>
      <c r="B1221" s="98" t="s">
        <v>62</v>
      </c>
      <c r="C1221" s="98" t="s">
        <v>217</v>
      </c>
      <c r="D1221" s="98" t="s">
        <v>566</v>
      </c>
      <c r="E1221" s="147" t="s">
        <v>1043</v>
      </c>
      <c r="F1221" s="98" t="s">
        <v>906</v>
      </c>
      <c r="G1221" s="151" t="s">
        <v>88</v>
      </c>
      <c r="H1221" s="19" t="s">
        <v>1599</v>
      </c>
      <c r="I1221" s="23" t="e">
        <f>VLOOKUP(H1221,'合同综合查询数据（3月返）'!$A:$A,1,FALSE)</f>
        <v>#N/A</v>
      </c>
      <c r="J1221" s="24" t="s">
        <v>90</v>
      </c>
      <c r="K1221" s="129" t="s">
        <v>1600</v>
      </c>
      <c r="L1221" s="153"/>
      <c r="M1221" s="26" t="s">
        <v>909</v>
      </c>
      <c r="N1221" s="210">
        <v>43348</v>
      </c>
      <c r="O1221" s="190" t="s">
        <v>461</v>
      </c>
      <c r="P1221" s="173">
        <v>11700</v>
      </c>
      <c r="Q1221" s="173">
        <v>11</v>
      </c>
      <c r="R1221" s="120">
        <f t="shared" si="32"/>
        <v>128700</v>
      </c>
      <c r="S1221" s="117">
        <v>202303</v>
      </c>
      <c r="T1221" s="212" t="s">
        <v>1604</v>
      </c>
      <c r="U1221" s="213"/>
      <c r="V1221" s="133"/>
      <c r="W1221" s="133"/>
      <c r="X1221" s="118">
        <v>43525</v>
      </c>
      <c r="Y1221" s="118">
        <v>45549</v>
      </c>
    </row>
    <row r="1222" s="79" customFormat="1" customHeight="1" spans="1:25">
      <c r="A1222" s="98" t="s">
        <v>403</v>
      </c>
      <c r="B1222" s="98" t="s">
        <v>62</v>
      </c>
      <c r="C1222" s="98" t="s">
        <v>217</v>
      </c>
      <c r="D1222" s="98" t="s">
        <v>566</v>
      </c>
      <c r="E1222" s="147" t="s">
        <v>1043</v>
      </c>
      <c r="F1222" s="98" t="s">
        <v>906</v>
      </c>
      <c r="G1222" s="151" t="s">
        <v>88</v>
      </c>
      <c r="H1222" s="19" t="s">
        <v>1599</v>
      </c>
      <c r="I1222" s="23" t="e">
        <f>VLOOKUP(H1222,'合同综合查询数据（3月返）'!$A:$A,1,FALSE)</f>
        <v>#N/A</v>
      </c>
      <c r="J1222" s="24" t="s">
        <v>90</v>
      </c>
      <c r="K1222" s="129" t="s">
        <v>1600</v>
      </c>
      <c r="L1222" s="153"/>
      <c r="M1222" s="26" t="s">
        <v>909</v>
      </c>
      <c r="N1222" s="210">
        <v>43349</v>
      </c>
      <c r="O1222" s="190" t="s">
        <v>461</v>
      </c>
      <c r="P1222" s="173">
        <v>11700</v>
      </c>
      <c r="Q1222" s="173">
        <v>1</v>
      </c>
      <c r="R1222" s="120">
        <f t="shared" si="32"/>
        <v>11700</v>
      </c>
      <c r="S1222" s="117">
        <v>202303</v>
      </c>
      <c r="T1222" s="212" t="s">
        <v>1605</v>
      </c>
      <c r="U1222" s="213"/>
      <c r="V1222" s="133"/>
      <c r="W1222" s="133"/>
      <c r="X1222" s="118">
        <v>43525</v>
      </c>
      <c r="Y1222" s="118">
        <v>45549</v>
      </c>
    </row>
    <row r="1223" s="79" customFormat="1" customHeight="1" spans="1:25">
      <c r="A1223" s="98" t="s">
        <v>403</v>
      </c>
      <c r="B1223" s="98" t="s">
        <v>62</v>
      </c>
      <c r="C1223" s="98" t="s">
        <v>217</v>
      </c>
      <c r="D1223" s="98" t="s">
        <v>566</v>
      </c>
      <c r="E1223" s="147" t="s">
        <v>1043</v>
      </c>
      <c r="F1223" s="98" t="s">
        <v>906</v>
      </c>
      <c r="G1223" s="151" t="s">
        <v>88</v>
      </c>
      <c r="H1223" s="19" t="s">
        <v>1599</v>
      </c>
      <c r="I1223" s="23" t="e">
        <f>VLOOKUP(H1223,'合同综合查询数据（3月返）'!$A:$A,1,FALSE)</f>
        <v>#N/A</v>
      </c>
      <c r="J1223" s="24" t="s">
        <v>90</v>
      </c>
      <c r="K1223" s="129" t="s">
        <v>1600</v>
      </c>
      <c r="L1223" s="153"/>
      <c r="M1223" s="26" t="s">
        <v>909</v>
      </c>
      <c r="N1223" s="210">
        <v>43349</v>
      </c>
      <c r="O1223" s="190" t="s">
        <v>457</v>
      </c>
      <c r="P1223" s="173">
        <v>5950</v>
      </c>
      <c r="Q1223" s="173">
        <v>12</v>
      </c>
      <c r="R1223" s="120">
        <f t="shared" si="32"/>
        <v>71400</v>
      </c>
      <c r="S1223" s="117">
        <v>202303</v>
      </c>
      <c r="T1223" s="212" t="s">
        <v>1606</v>
      </c>
      <c r="U1223" s="213"/>
      <c r="V1223" s="133"/>
      <c r="W1223" s="133"/>
      <c r="X1223" s="118">
        <v>43525</v>
      </c>
      <c r="Y1223" s="118">
        <v>45549</v>
      </c>
    </row>
    <row r="1224" s="79" customFormat="1" customHeight="1" spans="1:25">
      <c r="A1224" s="98" t="s">
        <v>403</v>
      </c>
      <c r="B1224" s="98" t="s">
        <v>62</v>
      </c>
      <c r="C1224" s="98" t="s">
        <v>217</v>
      </c>
      <c r="D1224" s="98" t="s">
        <v>566</v>
      </c>
      <c r="E1224" s="147" t="s">
        <v>1043</v>
      </c>
      <c r="F1224" s="98" t="s">
        <v>906</v>
      </c>
      <c r="G1224" s="151" t="s">
        <v>88</v>
      </c>
      <c r="H1224" s="19" t="s">
        <v>1599</v>
      </c>
      <c r="I1224" s="23" t="e">
        <f>VLOOKUP(H1224,'合同综合查询数据（3月返）'!$A:$A,1,FALSE)</f>
        <v>#N/A</v>
      </c>
      <c r="J1224" s="24" t="s">
        <v>90</v>
      </c>
      <c r="K1224" s="129" t="s">
        <v>1600</v>
      </c>
      <c r="L1224" s="153"/>
      <c r="M1224" s="26" t="s">
        <v>909</v>
      </c>
      <c r="N1224" s="210">
        <v>43349</v>
      </c>
      <c r="O1224" s="190" t="s">
        <v>461</v>
      </c>
      <c r="P1224" s="173">
        <v>11700</v>
      </c>
      <c r="Q1224" s="173">
        <v>57</v>
      </c>
      <c r="R1224" s="120">
        <f t="shared" si="32"/>
        <v>666900</v>
      </c>
      <c r="S1224" s="117">
        <v>202303</v>
      </c>
      <c r="T1224" s="212" t="s">
        <v>1607</v>
      </c>
      <c r="U1224" s="213"/>
      <c r="V1224" s="133"/>
      <c r="W1224" s="133"/>
      <c r="X1224" s="118">
        <v>43525</v>
      </c>
      <c r="Y1224" s="118">
        <v>45549</v>
      </c>
    </row>
    <row r="1225" s="79" customFormat="1" customHeight="1" spans="1:25">
      <c r="A1225" s="98" t="s">
        <v>403</v>
      </c>
      <c r="B1225" s="98" t="s">
        <v>62</v>
      </c>
      <c r="C1225" s="98" t="s">
        <v>217</v>
      </c>
      <c r="D1225" s="98" t="s">
        <v>566</v>
      </c>
      <c r="E1225" s="147" t="s">
        <v>1043</v>
      </c>
      <c r="F1225" s="98" t="s">
        <v>906</v>
      </c>
      <c r="G1225" s="151" t="s">
        <v>88</v>
      </c>
      <c r="H1225" s="19" t="s">
        <v>1599</v>
      </c>
      <c r="I1225" s="23" t="e">
        <f>VLOOKUP(H1225,'合同综合查询数据（3月返）'!$A:$A,1,FALSE)</f>
        <v>#N/A</v>
      </c>
      <c r="J1225" s="24" t="s">
        <v>90</v>
      </c>
      <c r="K1225" s="129" t="s">
        <v>1600</v>
      </c>
      <c r="L1225" s="153"/>
      <c r="M1225" s="26" t="s">
        <v>909</v>
      </c>
      <c r="N1225" s="210">
        <v>43354</v>
      </c>
      <c r="O1225" s="190" t="s">
        <v>461</v>
      </c>
      <c r="P1225" s="173">
        <v>11700</v>
      </c>
      <c r="Q1225" s="173">
        <v>10</v>
      </c>
      <c r="R1225" s="120">
        <f t="shared" si="32"/>
        <v>117000</v>
      </c>
      <c r="S1225" s="117">
        <v>202303</v>
      </c>
      <c r="T1225" s="212" t="s">
        <v>1608</v>
      </c>
      <c r="U1225" s="213"/>
      <c r="V1225" s="133"/>
      <c r="W1225" s="133"/>
      <c r="X1225" s="118">
        <v>43525</v>
      </c>
      <c r="Y1225" s="118">
        <v>45549</v>
      </c>
    </row>
    <row r="1226" s="79" customFormat="1" customHeight="1" spans="1:25">
      <c r="A1226" s="98" t="s">
        <v>403</v>
      </c>
      <c r="B1226" s="98" t="s">
        <v>62</v>
      </c>
      <c r="C1226" s="98" t="s">
        <v>217</v>
      </c>
      <c r="D1226" s="98" t="s">
        <v>566</v>
      </c>
      <c r="E1226" s="147" t="s">
        <v>1043</v>
      </c>
      <c r="F1226" s="98" t="s">
        <v>906</v>
      </c>
      <c r="G1226" s="151" t="s">
        <v>88</v>
      </c>
      <c r="H1226" s="19" t="s">
        <v>1599</v>
      </c>
      <c r="I1226" s="23" t="e">
        <f>VLOOKUP(H1226,'合同综合查询数据（3月返）'!$A:$A,1,FALSE)</f>
        <v>#N/A</v>
      </c>
      <c r="J1226" s="24" t="s">
        <v>90</v>
      </c>
      <c r="K1226" s="129" t="s">
        <v>1600</v>
      </c>
      <c r="L1226" s="153"/>
      <c r="M1226" s="26" t="s">
        <v>909</v>
      </c>
      <c r="N1226" s="210">
        <v>43355</v>
      </c>
      <c r="O1226" s="190" t="s">
        <v>461</v>
      </c>
      <c r="P1226" s="173">
        <v>11700</v>
      </c>
      <c r="Q1226" s="173">
        <v>12</v>
      </c>
      <c r="R1226" s="120">
        <f t="shared" si="32"/>
        <v>140400</v>
      </c>
      <c r="S1226" s="117">
        <v>202303</v>
      </c>
      <c r="T1226" s="212" t="s">
        <v>1609</v>
      </c>
      <c r="U1226" s="213"/>
      <c r="V1226" s="133"/>
      <c r="W1226" s="133"/>
      <c r="X1226" s="118">
        <v>43525</v>
      </c>
      <c r="Y1226" s="118">
        <v>45549</v>
      </c>
    </row>
    <row r="1227" s="79" customFormat="1" customHeight="1" spans="1:25">
      <c r="A1227" s="98" t="s">
        <v>403</v>
      </c>
      <c r="B1227" s="98" t="s">
        <v>62</v>
      </c>
      <c r="C1227" s="98" t="s">
        <v>217</v>
      </c>
      <c r="D1227" s="98" t="s">
        <v>566</v>
      </c>
      <c r="E1227" s="147" t="s">
        <v>1043</v>
      </c>
      <c r="F1227" s="98" t="s">
        <v>906</v>
      </c>
      <c r="G1227" s="151" t="s">
        <v>88</v>
      </c>
      <c r="H1227" s="19" t="s">
        <v>1599</v>
      </c>
      <c r="I1227" s="23" t="e">
        <f>VLOOKUP(H1227,'合同综合查询数据（3月返）'!$A:$A,1,FALSE)</f>
        <v>#N/A</v>
      </c>
      <c r="J1227" s="24" t="s">
        <v>90</v>
      </c>
      <c r="K1227" s="129" t="s">
        <v>1600</v>
      </c>
      <c r="L1227" s="153"/>
      <c r="M1227" s="26" t="s">
        <v>909</v>
      </c>
      <c r="N1227" s="210">
        <v>43357</v>
      </c>
      <c r="O1227" s="190" t="s">
        <v>461</v>
      </c>
      <c r="P1227" s="173">
        <v>11700</v>
      </c>
      <c r="Q1227" s="173">
        <v>10</v>
      </c>
      <c r="R1227" s="120">
        <f t="shared" si="32"/>
        <v>117000</v>
      </c>
      <c r="S1227" s="117">
        <v>202303</v>
      </c>
      <c r="T1227" s="212" t="s">
        <v>1610</v>
      </c>
      <c r="U1227" s="213"/>
      <c r="V1227" s="133"/>
      <c r="W1227" s="133"/>
      <c r="X1227" s="118">
        <v>43525</v>
      </c>
      <c r="Y1227" s="118">
        <v>45549</v>
      </c>
    </row>
    <row r="1228" s="79" customFormat="1" customHeight="1" spans="1:25">
      <c r="A1228" s="98" t="s">
        <v>403</v>
      </c>
      <c r="B1228" s="98" t="s">
        <v>62</v>
      </c>
      <c r="C1228" s="98" t="s">
        <v>217</v>
      </c>
      <c r="D1228" s="98" t="s">
        <v>566</v>
      </c>
      <c r="E1228" s="147" t="s">
        <v>1043</v>
      </c>
      <c r="F1228" s="98" t="s">
        <v>906</v>
      </c>
      <c r="G1228" s="151" t="s">
        <v>88</v>
      </c>
      <c r="H1228" s="19" t="s">
        <v>1599</v>
      </c>
      <c r="I1228" s="23" t="e">
        <f>VLOOKUP(H1228,'合同综合查询数据（3月返）'!$A:$A,1,FALSE)</f>
        <v>#N/A</v>
      </c>
      <c r="J1228" s="24" t="s">
        <v>90</v>
      </c>
      <c r="K1228" s="129" t="s">
        <v>1600</v>
      </c>
      <c r="L1228" s="153"/>
      <c r="M1228" s="26" t="s">
        <v>909</v>
      </c>
      <c r="N1228" s="210">
        <v>43361</v>
      </c>
      <c r="O1228" s="190" t="s">
        <v>461</v>
      </c>
      <c r="P1228" s="173">
        <v>11700</v>
      </c>
      <c r="Q1228" s="173">
        <v>24</v>
      </c>
      <c r="R1228" s="120">
        <f t="shared" si="32"/>
        <v>280800</v>
      </c>
      <c r="S1228" s="117">
        <v>202303</v>
      </c>
      <c r="T1228" s="212" t="s">
        <v>1611</v>
      </c>
      <c r="U1228" s="213"/>
      <c r="V1228" s="133"/>
      <c r="W1228" s="133"/>
      <c r="X1228" s="118">
        <v>43525</v>
      </c>
      <c r="Y1228" s="118">
        <v>45549</v>
      </c>
    </row>
    <row r="1229" s="79" customFormat="1" customHeight="1" spans="1:25">
      <c r="A1229" s="98" t="s">
        <v>403</v>
      </c>
      <c r="B1229" s="98" t="s">
        <v>62</v>
      </c>
      <c r="C1229" s="98" t="s">
        <v>217</v>
      </c>
      <c r="D1229" s="98" t="s">
        <v>566</v>
      </c>
      <c r="E1229" s="147" t="s">
        <v>1043</v>
      </c>
      <c r="F1229" s="98" t="s">
        <v>906</v>
      </c>
      <c r="G1229" s="151" t="s">
        <v>88</v>
      </c>
      <c r="H1229" s="19" t="s">
        <v>1599</v>
      </c>
      <c r="I1229" s="23" t="e">
        <f>VLOOKUP(H1229,'合同综合查询数据（3月返）'!$A:$A,1,FALSE)</f>
        <v>#N/A</v>
      </c>
      <c r="J1229" s="24" t="s">
        <v>90</v>
      </c>
      <c r="K1229" s="129" t="s">
        <v>1600</v>
      </c>
      <c r="L1229" s="153"/>
      <c r="M1229" s="26" t="s">
        <v>909</v>
      </c>
      <c r="N1229" s="210">
        <v>43362</v>
      </c>
      <c r="O1229" s="190" t="s">
        <v>461</v>
      </c>
      <c r="P1229" s="173">
        <v>11700</v>
      </c>
      <c r="Q1229" s="173">
        <v>12</v>
      </c>
      <c r="R1229" s="120">
        <f t="shared" si="32"/>
        <v>140400</v>
      </c>
      <c r="S1229" s="117">
        <v>202303</v>
      </c>
      <c r="T1229" s="212" t="s">
        <v>1612</v>
      </c>
      <c r="U1229" s="213"/>
      <c r="V1229" s="133"/>
      <c r="W1229" s="133"/>
      <c r="X1229" s="118">
        <v>43525</v>
      </c>
      <c r="Y1229" s="118">
        <v>45549</v>
      </c>
    </row>
    <row r="1230" s="79" customFormat="1" customHeight="1" spans="1:25">
      <c r="A1230" s="98" t="s">
        <v>403</v>
      </c>
      <c r="B1230" s="98" t="s">
        <v>62</v>
      </c>
      <c r="C1230" s="98" t="s">
        <v>217</v>
      </c>
      <c r="D1230" s="98" t="s">
        <v>566</v>
      </c>
      <c r="E1230" s="147" t="s">
        <v>1043</v>
      </c>
      <c r="F1230" s="98" t="s">
        <v>906</v>
      </c>
      <c r="G1230" s="151" t="s">
        <v>88</v>
      </c>
      <c r="H1230" s="19" t="s">
        <v>1599</v>
      </c>
      <c r="I1230" s="23" t="e">
        <f>VLOOKUP(H1230,'合同综合查询数据（3月返）'!$A:$A,1,FALSE)</f>
        <v>#N/A</v>
      </c>
      <c r="J1230" s="24" t="s">
        <v>90</v>
      </c>
      <c r="K1230" s="129" t="s">
        <v>1600</v>
      </c>
      <c r="L1230" s="153"/>
      <c r="M1230" s="26" t="s">
        <v>909</v>
      </c>
      <c r="N1230" s="210">
        <v>43364</v>
      </c>
      <c r="O1230" s="190" t="s">
        <v>461</v>
      </c>
      <c r="P1230" s="173">
        <v>11700</v>
      </c>
      <c r="Q1230" s="173">
        <v>4</v>
      </c>
      <c r="R1230" s="120">
        <f t="shared" si="32"/>
        <v>46800</v>
      </c>
      <c r="S1230" s="117">
        <v>202303</v>
      </c>
      <c r="T1230" s="212" t="s">
        <v>1613</v>
      </c>
      <c r="U1230" s="213"/>
      <c r="V1230" s="133"/>
      <c r="W1230" s="133"/>
      <c r="X1230" s="118">
        <v>43525</v>
      </c>
      <c r="Y1230" s="118">
        <v>45549</v>
      </c>
    </row>
    <row r="1231" s="79" customFormat="1" customHeight="1" spans="1:25">
      <c r="A1231" s="98" t="s">
        <v>403</v>
      </c>
      <c r="B1231" s="98" t="s">
        <v>62</v>
      </c>
      <c r="C1231" s="98" t="s">
        <v>217</v>
      </c>
      <c r="D1231" s="98" t="s">
        <v>566</v>
      </c>
      <c r="E1231" s="147" t="s">
        <v>1043</v>
      </c>
      <c r="F1231" s="98" t="s">
        <v>906</v>
      </c>
      <c r="G1231" s="151" t="s">
        <v>88</v>
      </c>
      <c r="H1231" s="19" t="s">
        <v>1599</v>
      </c>
      <c r="I1231" s="23" t="e">
        <f>VLOOKUP(H1231,'合同综合查询数据（3月返）'!$A:$A,1,FALSE)</f>
        <v>#N/A</v>
      </c>
      <c r="J1231" s="24" t="s">
        <v>90</v>
      </c>
      <c r="K1231" s="129" t="s">
        <v>1600</v>
      </c>
      <c r="L1231" s="153"/>
      <c r="M1231" s="26" t="s">
        <v>909</v>
      </c>
      <c r="N1231" s="210">
        <v>43369</v>
      </c>
      <c r="O1231" s="190" t="s">
        <v>461</v>
      </c>
      <c r="P1231" s="173">
        <v>11700</v>
      </c>
      <c r="Q1231" s="173">
        <v>5</v>
      </c>
      <c r="R1231" s="120">
        <f t="shared" si="32"/>
        <v>58500</v>
      </c>
      <c r="S1231" s="117">
        <v>202303</v>
      </c>
      <c r="T1231" s="212" t="s">
        <v>1614</v>
      </c>
      <c r="U1231" s="213"/>
      <c r="V1231" s="133"/>
      <c r="W1231" s="133"/>
      <c r="X1231" s="118">
        <v>43525</v>
      </c>
      <c r="Y1231" s="118">
        <v>45549</v>
      </c>
    </row>
    <row r="1232" s="79" customFormat="1" customHeight="1" spans="1:25">
      <c r="A1232" s="98" t="s">
        <v>403</v>
      </c>
      <c r="B1232" s="98" t="s">
        <v>62</v>
      </c>
      <c r="C1232" s="98" t="s">
        <v>217</v>
      </c>
      <c r="D1232" s="98" t="s">
        <v>566</v>
      </c>
      <c r="E1232" s="147" t="s">
        <v>1043</v>
      </c>
      <c r="F1232" s="98" t="s">
        <v>906</v>
      </c>
      <c r="G1232" s="151" t="s">
        <v>88</v>
      </c>
      <c r="H1232" s="19" t="s">
        <v>1599</v>
      </c>
      <c r="I1232" s="23" t="e">
        <f>VLOOKUP(H1232,'合同综合查询数据（3月返）'!$A:$A,1,FALSE)</f>
        <v>#N/A</v>
      </c>
      <c r="J1232" s="24" t="s">
        <v>90</v>
      </c>
      <c r="K1232" s="129" t="s">
        <v>1600</v>
      </c>
      <c r="L1232" s="153"/>
      <c r="M1232" s="26" t="s">
        <v>909</v>
      </c>
      <c r="N1232" s="210">
        <v>43371</v>
      </c>
      <c r="O1232" s="190" t="s">
        <v>461</v>
      </c>
      <c r="P1232" s="173">
        <v>11700</v>
      </c>
      <c r="Q1232" s="173">
        <v>3</v>
      </c>
      <c r="R1232" s="120">
        <f t="shared" si="32"/>
        <v>35100</v>
      </c>
      <c r="S1232" s="117">
        <v>202303</v>
      </c>
      <c r="T1232" s="212" t="s">
        <v>1615</v>
      </c>
      <c r="U1232" s="213"/>
      <c r="V1232" s="133"/>
      <c r="W1232" s="133"/>
      <c r="X1232" s="118">
        <v>43525</v>
      </c>
      <c r="Y1232" s="118">
        <v>45549</v>
      </c>
    </row>
    <row r="1233" s="79" customFormat="1" customHeight="1" spans="1:25">
      <c r="A1233" s="98" t="s">
        <v>403</v>
      </c>
      <c r="B1233" s="98" t="s">
        <v>62</v>
      </c>
      <c r="C1233" s="98" t="s">
        <v>217</v>
      </c>
      <c r="D1233" s="98" t="s">
        <v>566</v>
      </c>
      <c r="E1233" s="147" t="s">
        <v>1043</v>
      </c>
      <c r="F1233" s="98" t="s">
        <v>906</v>
      </c>
      <c r="G1233" s="151" t="s">
        <v>88</v>
      </c>
      <c r="H1233" s="19" t="s">
        <v>1599</v>
      </c>
      <c r="I1233" s="23" t="e">
        <f>VLOOKUP(H1233,'合同综合查询数据（3月返）'!$A:$A,1,FALSE)</f>
        <v>#N/A</v>
      </c>
      <c r="J1233" s="24" t="s">
        <v>90</v>
      </c>
      <c r="K1233" s="129" t="s">
        <v>1600</v>
      </c>
      <c r="L1233" s="153"/>
      <c r="M1233" s="26" t="s">
        <v>909</v>
      </c>
      <c r="N1233" s="210">
        <v>43372</v>
      </c>
      <c r="O1233" s="190" t="s">
        <v>461</v>
      </c>
      <c r="P1233" s="173">
        <v>11700</v>
      </c>
      <c r="Q1233" s="173">
        <v>10</v>
      </c>
      <c r="R1233" s="120">
        <f t="shared" si="32"/>
        <v>117000</v>
      </c>
      <c r="S1233" s="117">
        <v>202303</v>
      </c>
      <c r="T1233" s="212" t="s">
        <v>1616</v>
      </c>
      <c r="U1233" s="213"/>
      <c r="V1233" s="133"/>
      <c r="W1233" s="133"/>
      <c r="X1233" s="118">
        <v>43525</v>
      </c>
      <c r="Y1233" s="118">
        <v>45549</v>
      </c>
    </row>
    <row r="1234" s="79" customFormat="1" customHeight="1" spans="1:25">
      <c r="A1234" s="98" t="s">
        <v>403</v>
      </c>
      <c r="B1234" s="98" t="s">
        <v>62</v>
      </c>
      <c r="C1234" s="98" t="s">
        <v>217</v>
      </c>
      <c r="D1234" s="98" t="s">
        <v>566</v>
      </c>
      <c r="E1234" s="147" t="s">
        <v>1043</v>
      </c>
      <c r="F1234" s="98" t="s">
        <v>906</v>
      </c>
      <c r="G1234" s="151" t="s">
        <v>88</v>
      </c>
      <c r="H1234" s="19" t="s">
        <v>1599</v>
      </c>
      <c r="I1234" s="23" t="e">
        <f>VLOOKUP(H1234,'合同综合查询数据（3月返）'!$A:$A,1,FALSE)</f>
        <v>#N/A</v>
      </c>
      <c r="J1234" s="24" t="s">
        <v>90</v>
      </c>
      <c r="K1234" s="129" t="s">
        <v>1600</v>
      </c>
      <c r="L1234" s="153"/>
      <c r="M1234" s="26" t="s">
        <v>909</v>
      </c>
      <c r="N1234" s="210">
        <v>43373</v>
      </c>
      <c r="O1234" s="190" t="s">
        <v>461</v>
      </c>
      <c r="P1234" s="173">
        <v>11700</v>
      </c>
      <c r="Q1234" s="173">
        <v>6</v>
      </c>
      <c r="R1234" s="120">
        <f t="shared" si="32"/>
        <v>70200</v>
      </c>
      <c r="S1234" s="117">
        <v>202303</v>
      </c>
      <c r="T1234" s="212" t="s">
        <v>1617</v>
      </c>
      <c r="U1234" s="213"/>
      <c r="V1234" s="133"/>
      <c r="W1234" s="133"/>
      <c r="X1234" s="118">
        <v>43525</v>
      </c>
      <c r="Y1234" s="118">
        <v>45549</v>
      </c>
    </row>
    <row r="1235" s="79" customFormat="1" customHeight="1" spans="1:25">
      <c r="A1235" s="98" t="s">
        <v>403</v>
      </c>
      <c r="B1235" s="98" t="s">
        <v>62</v>
      </c>
      <c r="C1235" s="98" t="s">
        <v>217</v>
      </c>
      <c r="D1235" s="98" t="s">
        <v>566</v>
      </c>
      <c r="E1235" s="147" t="s">
        <v>1043</v>
      </c>
      <c r="F1235" s="98" t="s">
        <v>906</v>
      </c>
      <c r="G1235" s="151" t="s">
        <v>88</v>
      </c>
      <c r="H1235" s="19" t="s">
        <v>1599</v>
      </c>
      <c r="I1235" s="23" t="e">
        <f>VLOOKUP(H1235,'合同综合查询数据（3月返）'!$A:$A,1,FALSE)</f>
        <v>#N/A</v>
      </c>
      <c r="J1235" s="24" t="s">
        <v>90</v>
      </c>
      <c r="K1235" s="129" t="s">
        <v>1600</v>
      </c>
      <c r="L1235" s="153"/>
      <c r="M1235" s="26" t="s">
        <v>909</v>
      </c>
      <c r="N1235" s="210">
        <v>43381</v>
      </c>
      <c r="O1235" s="190" t="s">
        <v>461</v>
      </c>
      <c r="P1235" s="173">
        <v>11700</v>
      </c>
      <c r="Q1235" s="173">
        <v>2</v>
      </c>
      <c r="R1235" s="120">
        <f t="shared" si="32"/>
        <v>23400</v>
      </c>
      <c r="S1235" s="117">
        <v>202303</v>
      </c>
      <c r="T1235" s="212" t="s">
        <v>1618</v>
      </c>
      <c r="U1235" s="213"/>
      <c r="V1235" s="133"/>
      <c r="W1235" s="133"/>
      <c r="X1235" s="118">
        <v>43525</v>
      </c>
      <c r="Y1235" s="118">
        <v>45549</v>
      </c>
    </row>
    <row r="1236" s="79" customFormat="1" customHeight="1" spans="1:25">
      <c r="A1236" s="98" t="s">
        <v>403</v>
      </c>
      <c r="B1236" s="98" t="s">
        <v>62</v>
      </c>
      <c r="C1236" s="98" t="s">
        <v>217</v>
      </c>
      <c r="D1236" s="98" t="s">
        <v>566</v>
      </c>
      <c r="E1236" s="147" t="s">
        <v>1043</v>
      </c>
      <c r="F1236" s="98" t="s">
        <v>906</v>
      </c>
      <c r="G1236" s="151" t="s">
        <v>88</v>
      </c>
      <c r="H1236" s="19" t="s">
        <v>1599</v>
      </c>
      <c r="I1236" s="23" t="e">
        <f>VLOOKUP(H1236,'合同综合查询数据（3月返）'!$A:$A,1,FALSE)</f>
        <v>#N/A</v>
      </c>
      <c r="J1236" s="24" t="s">
        <v>90</v>
      </c>
      <c r="K1236" s="129" t="s">
        <v>1600</v>
      </c>
      <c r="L1236" s="153"/>
      <c r="M1236" s="26" t="s">
        <v>909</v>
      </c>
      <c r="N1236" s="210">
        <v>43384</v>
      </c>
      <c r="O1236" s="190" t="s">
        <v>461</v>
      </c>
      <c r="P1236" s="173">
        <v>11700</v>
      </c>
      <c r="Q1236" s="173">
        <v>7</v>
      </c>
      <c r="R1236" s="120">
        <f t="shared" si="32"/>
        <v>81900</v>
      </c>
      <c r="S1236" s="117">
        <v>202303</v>
      </c>
      <c r="T1236" s="212" t="s">
        <v>1619</v>
      </c>
      <c r="U1236" s="213"/>
      <c r="V1236" s="133"/>
      <c r="W1236" s="133"/>
      <c r="X1236" s="118">
        <v>43525</v>
      </c>
      <c r="Y1236" s="118">
        <v>45549</v>
      </c>
    </row>
    <row r="1237" s="79" customFormat="1" customHeight="1" spans="1:25">
      <c r="A1237" s="98" t="s">
        <v>403</v>
      </c>
      <c r="B1237" s="98" t="s">
        <v>62</v>
      </c>
      <c r="C1237" s="98" t="s">
        <v>217</v>
      </c>
      <c r="D1237" s="98" t="s">
        <v>566</v>
      </c>
      <c r="E1237" s="147" t="s">
        <v>1043</v>
      </c>
      <c r="F1237" s="98" t="s">
        <v>906</v>
      </c>
      <c r="G1237" s="151" t="s">
        <v>88</v>
      </c>
      <c r="H1237" s="19" t="s">
        <v>1599</v>
      </c>
      <c r="I1237" s="23" t="e">
        <f>VLOOKUP(H1237,'合同综合查询数据（3月返）'!$A:$A,1,FALSE)</f>
        <v>#N/A</v>
      </c>
      <c r="J1237" s="24" t="s">
        <v>90</v>
      </c>
      <c r="K1237" s="129" t="s">
        <v>1600</v>
      </c>
      <c r="L1237" s="153"/>
      <c r="M1237" s="26" t="s">
        <v>909</v>
      </c>
      <c r="N1237" s="210">
        <v>43390</v>
      </c>
      <c r="O1237" s="190" t="s">
        <v>461</v>
      </c>
      <c r="P1237" s="173">
        <v>11700</v>
      </c>
      <c r="Q1237" s="173">
        <v>2</v>
      </c>
      <c r="R1237" s="120">
        <f t="shared" si="32"/>
        <v>23400</v>
      </c>
      <c r="S1237" s="117">
        <v>202303</v>
      </c>
      <c r="T1237" s="212" t="s">
        <v>1620</v>
      </c>
      <c r="U1237" s="213"/>
      <c r="V1237" s="133"/>
      <c r="W1237" s="133"/>
      <c r="X1237" s="118">
        <v>43525</v>
      </c>
      <c r="Y1237" s="118">
        <v>45549</v>
      </c>
    </row>
    <row r="1238" s="79" customFormat="1" customHeight="1" spans="1:25">
      <c r="A1238" s="98" t="s">
        <v>403</v>
      </c>
      <c r="B1238" s="98" t="s">
        <v>62</v>
      </c>
      <c r="C1238" s="98" t="s">
        <v>217</v>
      </c>
      <c r="D1238" s="98" t="s">
        <v>566</v>
      </c>
      <c r="E1238" s="147" t="s">
        <v>1043</v>
      </c>
      <c r="F1238" s="98" t="s">
        <v>906</v>
      </c>
      <c r="G1238" s="151" t="s">
        <v>88</v>
      </c>
      <c r="H1238" s="19" t="s">
        <v>1599</v>
      </c>
      <c r="I1238" s="23" t="e">
        <f>VLOOKUP(H1238,'合同综合查询数据（3月返）'!$A:$A,1,FALSE)</f>
        <v>#N/A</v>
      </c>
      <c r="J1238" s="24" t="s">
        <v>90</v>
      </c>
      <c r="K1238" s="129" t="s">
        <v>1600</v>
      </c>
      <c r="L1238" s="153"/>
      <c r="M1238" s="26" t="s">
        <v>909</v>
      </c>
      <c r="N1238" s="210">
        <v>43395</v>
      </c>
      <c r="O1238" s="190" t="s">
        <v>461</v>
      </c>
      <c r="P1238" s="173">
        <v>11700</v>
      </c>
      <c r="Q1238" s="173">
        <v>13</v>
      </c>
      <c r="R1238" s="120">
        <f t="shared" si="32"/>
        <v>152100</v>
      </c>
      <c r="S1238" s="117">
        <v>202303</v>
      </c>
      <c r="T1238" s="212" t="s">
        <v>1621</v>
      </c>
      <c r="U1238" s="213"/>
      <c r="V1238" s="133"/>
      <c r="W1238" s="133"/>
      <c r="X1238" s="118">
        <v>43525</v>
      </c>
      <c r="Y1238" s="118">
        <v>45549</v>
      </c>
    </row>
    <row r="1239" s="79" customFormat="1" customHeight="1" spans="1:25">
      <c r="A1239" s="98" t="s">
        <v>403</v>
      </c>
      <c r="B1239" s="98" t="s">
        <v>62</v>
      </c>
      <c r="C1239" s="98" t="s">
        <v>217</v>
      </c>
      <c r="D1239" s="98" t="s">
        <v>566</v>
      </c>
      <c r="E1239" s="147" t="s">
        <v>1043</v>
      </c>
      <c r="F1239" s="98" t="s">
        <v>906</v>
      </c>
      <c r="G1239" s="151" t="s">
        <v>88</v>
      </c>
      <c r="H1239" s="19" t="s">
        <v>1599</v>
      </c>
      <c r="I1239" s="23" t="e">
        <f>VLOOKUP(H1239,'合同综合查询数据（3月返）'!$A:$A,1,FALSE)</f>
        <v>#N/A</v>
      </c>
      <c r="J1239" s="24" t="s">
        <v>90</v>
      </c>
      <c r="K1239" s="129" t="s">
        <v>1600</v>
      </c>
      <c r="L1239" s="153"/>
      <c r="M1239" s="26" t="s">
        <v>909</v>
      </c>
      <c r="N1239" s="210">
        <v>43397</v>
      </c>
      <c r="O1239" s="190" t="s">
        <v>461</v>
      </c>
      <c r="P1239" s="173">
        <v>11700</v>
      </c>
      <c r="Q1239" s="173">
        <v>6</v>
      </c>
      <c r="R1239" s="120">
        <f t="shared" si="32"/>
        <v>70200</v>
      </c>
      <c r="S1239" s="117">
        <v>202303</v>
      </c>
      <c r="T1239" s="212" t="s">
        <v>1622</v>
      </c>
      <c r="U1239" s="213"/>
      <c r="V1239" s="133"/>
      <c r="W1239" s="133"/>
      <c r="X1239" s="118">
        <v>43525</v>
      </c>
      <c r="Y1239" s="118">
        <v>45549</v>
      </c>
    </row>
    <row r="1240" s="79" customFormat="1" customHeight="1" spans="1:25">
      <c r="A1240" s="98" t="s">
        <v>403</v>
      </c>
      <c r="B1240" s="98" t="s">
        <v>62</v>
      </c>
      <c r="C1240" s="98" t="s">
        <v>217</v>
      </c>
      <c r="D1240" s="98" t="s">
        <v>566</v>
      </c>
      <c r="E1240" s="147" t="s">
        <v>1043</v>
      </c>
      <c r="F1240" s="98" t="s">
        <v>906</v>
      </c>
      <c r="G1240" s="151" t="s">
        <v>88</v>
      </c>
      <c r="H1240" s="19" t="s">
        <v>1599</v>
      </c>
      <c r="I1240" s="23" t="e">
        <f>VLOOKUP(H1240,'合同综合查询数据（3月返）'!$A:$A,1,FALSE)</f>
        <v>#N/A</v>
      </c>
      <c r="J1240" s="24" t="s">
        <v>90</v>
      </c>
      <c r="K1240" s="129" t="s">
        <v>1600</v>
      </c>
      <c r="L1240" s="153"/>
      <c r="M1240" s="26" t="s">
        <v>909</v>
      </c>
      <c r="N1240" s="210">
        <v>43403</v>
      </c>
      <c r="O1240" s="190" t="s">
        <v>461</v>
      </c>
      <c r="P1240" s="173">
        <v>11700</v>
      </c>
      <c r="Q1240" s="173">
        <v>5</v>
      </c>
      <c r="R1240" s="120">
        <f t="shared" si="32"/>
        <v>58500</v>
      </c>
      <c r="S1240" s="117">
        <v>202303</v>
      </c>
      <c r="T1240" s="177" t="s">
        <v>1623</v>
      </c>
      <c r="U1240" s="133"/>
      <c r="V1240" s="133"/>
      <c r="W1240" s="133"/>
      <c r="X1240" s="118">
        <v>43525</v>
      </c>
      <c r="Y1240" s="118">
        <v>45549</v>
      </c>
    </row>
    <row r="1241" s="79" customFormat="1" customHeight="1" spans="1:25">
      <c r="A1241" s="98" t="s">
        <v>403</v>
      </c>
      <c r="B1241" s="98" t="s">
        <v>62</v>
      </c>
      <c r="C1241" s="98" t="s">
        <v>217</v>
      </c>
      <c r="D1241" s="98" t="s">
        <v>566</v>
      </c>
      <c r="E1241" s="147" t="s">
        <v>1043</v>
      </c>
      <c r="F1241" s="98" t="s">
        <v>906</v>
      </c>
      <c r="G1241" s="151" t="s">
        <v>88</v>
      </c>
      <c r="H1241" s="19" t="s">
        <v>1599</v>
      </c>
      <c r="I1241" s="23" t="e">
        <f>VLOOKUP(H1241,'合同综合查询数据（3月返）'!$A:$A,1,FALSE)</f>
        <v>#N/A</v>
      </c>
      <c r="J1241" s="24" t="s">
        <v>90</v>
      </c>
      <c r="K1241" s="129" t="s">
        <v>1600</v>
      </c>
      <c r="L1241" s="153"/>
      <c r="M1241" s="26" t="s">
        <v>909</v>
      </c>
      <c r="N1241" s="210">
        <v>43404</v>
      </c>
      <c r="O1241" s="190" t="s">
        <v>461</v>
      </c>
      <c r="P1241" s="173">
        <v>11700</v>
      </c>
      <c r="Q1241" s="173">
        <v>4</v>
      </c>
      <c r="R1241" s="120">
        <f t="shared" si="32"/>
        <v>46800</v>
      </c>
      <c r="S1241" s="117">
        <v>202303</v>
      </c>
      <c r="T1241" s="177" t="s">
        <v>1624</v>
      </c>
      <c r="U1241" s="133"/>
      <c r="V1241" s="133"/>
      <c r="W1241" s="133"/>
      <c r="X1241" s="118">
        <v>43525</v>
      </c>
      <c r="Y1241" s="118">
        <v>45549</v>
      </c>
    </row>
    <row r="1242" s="79" customFormat="1" customHeight="1" spans="1:25">
      <c r="A1242" s="98" t="s">
        <v>403</v>
      </c>
      <c r="B1242" s="98" t="s">
        <v>62</v>
      </c>
      <c r="C1242" s="98" t="s">
        <v>217</v>
      </c>
      <c r="D1242" s="98" t="s">
        <v>566</v>
      </c>
      <c r="E1242" s="147" t="s">
        <v>1043</v>
      </c>
      <c r="F1242" s="98" t="s">
        <v>906</v>
      </c>
      <c r="G1242" s="151" t="s">
        <v>88</v>
      </c>
      <c r="H1242" s="19" t="s">
        <v>1599</v>
      </c>
      <c r="I1242" s="23" t="e">
        <f>VLOOKUP(H1242,'合同综合查询数据（3月返）'!$A:$A,1,FALSE)</f>
        <v>#N/A</v>
      </c>
      <c r="J1242" s="24" t="s">
        <v>90</v>
      </c>
      <c r="K1242" s="129" t="s">
        <v>1600</v>
      </c>
      <c r="L1242" s="153"/>
      <c r="M1242" s="26" t="s">
        <v>909</v>
      </c>
      <c r="N1242" s="210">
        <v>43410</v>
      </c>
      <c r="O1242" s="190" t="s">
        <v>461</v>
      </c>
      <c r="P1242" s="173">
        <v>11700</v>
      </c>
      <c r="Q1242" s="173">
        <v>24</v>
      </c>
      <c r="R1242" s="120">
        <f t="shared" si="32"/>
        <v>280800</v>
      </c>
      <c r="S1242" s="117">
        <v>202303</v>
      </c>
      <c r="T1242" s="177" t="s">
        <v>1625</v>
      </c>
      <c r="U1242" s="133"/>
      <c r="V1242" s="133"/>
      <c r="W1242" s="133"/>
      <c r="X1242" s="118">
        <v>43525</v>
      </c>
      <c r="Y1242" s="118">
        <v>45549</v>
      </c>
    </row>
    <row r="1243" s="79" customFormat="1" customHeight="1" spans="1:25">
      <c r="A1243" s="98" t="s">
        <v>403</v>
      </c>
      <c r="B1243" s="98" t="s">
        <v>62</v>
      </c>
      <c r="C1243" s="98" t="s">
        <v>217</v>
      </c>
      <c r="D1243" s="98" t="s">
        <v>566</v>
      </c>
      <c r="E1243" s="147" t="s">
        <v>1043</v>
      </c>
      <c r="F1243" s="98" t="s">
        <v>906</v>
      </c>
      <c r="G1243" s="151" t="s">
        <v>88</v>
      </c>
      <c r="H1243" s="19" t="s">
        <v>1599</v>
      </c>
      <c r="I1243" s="23" t="e">
        <f>VLOOKUP(H1243,'合同综合查询数据（3月返）'!$A:$A,1,FALSE)</f>
        <v>#N/A</v>
      </c>
      <c r="J1243" s="24" t="s">
        <v>90</v>
      </c>
      <c r="K1243" s="129" t="s">
        <v>1600</v>
      </c>
      <c r="L1243" s="153"/>
      <c r="M1243" s="26" t="s">
        <v>909</v>
      </c>
      <c r="N1243" s="210">
        <v>43411</v>
      </c>
      <c r="O1243" s="190" t="s">
        <v>461</v>
      </c>
      <c r="P1243" s="173">
        <v>11700</v>
      </c>
      <c r="Q1243" s="173">
        <v>5</v>
      </c>
      <c r="R1243" s="120">
        <f t="shared" si="32"/>
        <v>58500</v>
      </c>
      <c r="S1243" s="117">
        <v>202303</v>
      </c>
      <c r="T1243" s="177" t="s">
        <v>1626</v>
      </c>
      <c r="U1243" s="133"/>
      <c r="V1243" s="133"/>
      <c r="W1243" s="133"/>
      <c r="X1243" s="118">
        <v>43525</v>
      </c>
      <c r="Y1243" s="118">
        <v>45549</v>
      </c>
    </row>
    <row r="1244" s="79" customFormat="1" customHeight="1" spans="1:25">
      <c r="A1244" s="98" t="s">
        <v>403</v>
      </c>
      <c r="B1244" s="98" t="s">
        <v>62</v>
      </c>
      <c r="C1244" s="98" t="s">
        <v>217</v>
      </c>
      <c r="D1244" s="98" t="s">
        <v>566</v>
      </c>
      <c r="E1244" s="147" t="s">
        <v>1043</v>
      </c>
      <c r="F1244" s="98" t="s">
        <v>906</v>
      </c>
      <c r="G1244" s="151" t="s">
        <v>88</v>
      </c>
      <c r="H1244" s="19" t="s">
        <v>1599</v>
      </c>
      <c r="I1244" s="23" t="e">
        <f>VLOOKUP(H1244,'合同综合查询数据（3月返）'!$A:$A,1,FALSE)</f>
        <v>#N/A</v>
      </c>
      <c r="J1244" s="24" t="s">
        <v>90</v>
      </c>
      <c r="K1244" s="129" t="s">
        <v>1600</v>
      </c>
      <c r="L1244" s="153"/>
      <c r="M1244" s="26" t="s">
        <v>909</v>
      </c>
      <c r="N1244" s="210">
        <v>43416</v>
      </c>
      <c r="O1244" s="190" t="s">
        <v>461</v>
      </c>
      <c r="P1244" s="173">
        <v>11700</v>
      </c>
      <c r="Q1244" s="173">
        <v>2</v>
      </c>
      <c r="R1244" s="120">
        <f t="shared" si="32"/>
        <v>23400</v>
      </c>
      <c r="S1244" s="117">
        <v>202303</v>
      </c>
      <c r="T1244" s="177" t="s">
        <v>1627</v>
      </c>
      <c r="U1244" s="133"/>
      <c r="V1244" s="133"/>
      <c r="W1244" s="133"/>
      <c r="X1244" s="118">
        <v>43525</v>
      </c>
      <c r="Y1244" s="118">
        <v>45549</v>
      </c>
    </row>
    <row r="1245" s="79" customFormat="1" customHeight="1" spans="1:25">
      <c r="A1245" s="98" t="s">
        <v>403</v>
      </c>
      <c r="B1245" s="98" t="s">
        <v>62</v>
      </c>
      <c r="C1245" s="98" t="s">
        <v>217</v>
      </c>
      <c r="D1245" s="98" t="s">
        <v>566</v>
      </c>
      <c r="E1245" s="147" t="s">
        <v>1043</v>
      </c>
      <c r="F1245" s="98" t="s">
        <v>906</v>
      </c>
      <c r="G1245" s="151" t="s">
        <v>88</v>
      </c>
      <c r="H1245" s="19" t="s">
        <v>1599</v>
      </c>
      <c r="I1245" s="23" t="e">
        <f>VLOOKUP(H1245,'合同综合查询数据（3月返）'!$A:$A,1,FALSE)</f>
        <v>#N/A</v>
      </c>
      <c r="J1245" s="24" t="s">
        <v>90</v>
      </c>
      <c r="K1245" s="129" t="s">
        <v>1600</v>
      </c>
      <c r="L1245" s="153"/>
      <c r="M1245" s="26" t="s">
        <v>909</v>
      </c>
      <c r="N1245" s="210">
        <v>43417</v>
      </c>
      <c r="O1245" s="190" t="s">
        <v>461</v>
      </c>
      <c r="P1245" s="173">
        <v>11700</v>
      </c>
      <c r="Q1245" s="173">
        <v>14</v>
      </c>
      <c r="R1245" s="120">
        <f t="shared" si="32"/>
        <v>163800</v>
      </c>
      <c r="S1245" s="117">
        <v>202303</v>
      </c>
      <c r="T1245" s="177" t="s">
        <v>1628</v>
      </c>
      <c r="U1245" s="133"/>
      <c r="V1245" s="133"/>
      <c r="W1245" s="133"/>
      <c r="X1245" s="118">
        <v>43525</v>
      </c>
      <c r="Y1245" s="118">
        <v>45549</v>
      </c>
    </row>
    <row r="1246" s="79" customFormat="1" customHeight="1" spans="1:25">
      <c r="A1246" s="98" t="s">
        <v>403</v>
      </c>
      <c r="B1246" s="98" t="s">
        <v>62</v>
      </c>
      <c r="C1246" s="98" t="s">
        <v>217</v>
      </c>
      <c r="D1246" s="98" t="s">
        <v>566</v>
      </c>
      <c r="E1246" s="147" t="s">
        <v>1043</v>
      </c>
      <c r="F1246" s="98" t="s">
        <v>906</v>
      </c>
      <c r="G1246" s="151" t="s">
        <v>88</v>
      </c>
      <c r="H1246" s="19" t="s">
        <v>1599</v>
      </c>
      <c r="I1246" s="23" t="e">
        <f>VLOOKUP(H1246,'合同综合查询数据（3月返）'!$A:$A,1,FALSE)</f>
        <v>#N/A</v>
      </c>
      <c r="J1246" s="24" t="s">
        <v>90</v>
      </c>
      <c r="K1246" s="129" t="s">
        <v>1600</v>
      </c>
      <c r="L1246" s="153"/>
      <c r="M1246" s="26" t="s">
        <v>909</v>
      </c>
      <c r="N1246" s="210">
        <v>43425</v>
      </c>
      <c r="O1246" s="190" t="s">
        <v>461</v>
      </c>
      <c r="P1246" s="173">
        <v>11700</v>
      </c>
      <c r="Q1246" s="173">
        <v>13</v>
      </c>
      <c r="R1246" s="120">
        <f t="shared" si="32"/>
        <v>152100</v>
      </c>
      <c r="S1246" s="117">
        <v>202303</v>
      </c>
      <c r="T1246" s="177" t="s">
        <v>1629</v>
      </c>
      <c r="U1246" s="133"/>
      <c r="V1246" s="133"/>
      <c r="W1246" s="133"/>
      <c r="X1246" s="118">
        <v>43525</v>
      </c>
      <c r="Y1246" s="118">
        <v>45549</v>
      </c>
    </row>
    <row r="1247" s="79" customFormat="1" customHeight="1" spans="1:25">
      <c r="A1247" s="98" t="s">
        <v>403</v>
      </c>
      <c r="B1247" s="98" t="s">
        <v>62</v>
      </c>
      <c r="C1247" s="98" t="s">
        <v>217</v>
      </c>
      <c r="D1247" s="98" t="s">
        <v>566</v>
      </c>
      <c r="E1247" s="147" t="s">
        <v>1043</v>
      </c>
      <c r="F1247" s="98" t="s">
        <v>906</v>
      </c>
      <c r="G1247" s="151" t="s">
        <v>88</v>
      </c>
      <c r="H1247" s="19" t="s">
        <v>1599</v>
      </c>
      <c r="I1247" s="23" t="e">
        <f>VLOOKUP(H1247,'合同综合查询数据（3月返）'!$A:$A,1,FALSE)</f>
        <v>#N/A</v>
      </c>
      <c r="J1247" s="24" t="s">
        <v>90</v>
      </c>
      <c r="K1247" s="129" t="s">
        <v>1600</v>
      </c>
      <c r="L1247" s="153"/>
      <c r="M1247" s="26" t="s">
        <v>909</v>
      </c>
      <c r="N1247" s="210">
        <v>43430</v>
      </c>
      <c r="O1247" s="190" t="s">
        <v>461</v>
      </c>
      <c r="P1247" s="173">
        <v>11700</v>
      </c>
      <c r="Q1247" s="173">
        <v>12</v>
      </c>
      <c r="R1247" s="120">
        <f t="shared" si="32"/>
        <v>140400</v>
      </c>
      <c r="S1247" s="117">
        <v>202303</v>
      </c>
      <c r="T1247" s="177" t="s">
        <v>1630</v>
      </c>
      <c r="U1247" s="133"/>
      <c r="V1247" s="133"/>
      <c r="W1247" s="133"/>
      <c r="X1247" s="118">
        <v>43525</v>
      </c>
      <c r="Y1247" s="118">
        <v>45549</v>
      </c>
    </row>
    <row r="1248" s="79" customFormat="1" customHeight="1" spans="1:25">
      <c r="A1248" s="98" t="s">
        <v>403</v>
      </c>
      <c r="B1248" s="98" t="s">
        <v>62</v>
      </c>
      <c r="C1248" s="98" t="s">
        <v>217</v>
      </c>
      <c r="D1248" s="98" t="s">
        <v>566</v>
      </c>
      <c r="E1248" s="147" t="s">
        <v>1043</v>
      </c>
      <c r="F1248" s="98" t="s">
        <v>906</v>
      </c>
      <c r="G1248" s="151" t="s">
        <v>88</v>
      </c>
      <c r="H1248" s="19" t="s">
        <v>1599</v>
      </c>
      <c r="I1248" s="23" t="e">
        <f>VLOOKUP(H1248,'合同综合查询数据（3月返）'!$A:$A,1,FALSE)</f>
        <v>#N/A</v>
      </c>
      <c r="J1248" s="24" t="s">
        <v>90</v>
      </c>
      <c r="K1248" s="129" t="s">
        <v>1600</v>
      </c>
      <c r="L1248" s="153"/>
      <c r="M1248" s="26" t="s">
        <v>909</v>
      </c>
      <c r="N1248" s="210">
        <v>43433</v>
      </c>
      <c r="O1248" s="190" t="s">
        <v>461</v>
      </c>
      <c r="P1248" s="173">
        <v>11700</v>
      </c>
      <c r="Q1248" s="173">
        <v>1</v>
      </c>
      <c r="R1248" s="120">
        <f t="shared" si="32"/>
        <v>11700</v>
      </c>
      <c r="S1248" s="117">
        <v>202303</v>
      </c>
      <c r="T1248" s="177" t="s">
        <v>1631</v>
      </c>
      <c r="U1248" s="133"/>
      <c r="V1248" s="133"/>
      <c r="W1248" s="133"/>
      <c r="X1248" s="118">
        <v>43525</v>
      </c>
      <c r="Y1248" s="118">
        <v>45549</v>
      </c>
    </row>
    <row r="1249" s="79" customFormat="1" customHeight="1" spans="1:25">
      <c r="A1249" s="98" t="s">
        <v>403</v>
      </c>
      <c r="B1249" s="98" t="s">
        <v>62</v>
      </c>
      <c r="C1249" s="98" t="s">
        <v>217</v>
      </c>
      <c r="D1249" s="98" t="s">
        <v>566</v>
      </c>
      <c r="E1249" s="147" t="s">
        <v>1043</v>
      </c>
      <c r="F1249" s="98" t="s">
        <v>906</v>
      </c>
      <c r="G1249" s="151" t="s">
        <v>88</v>
      </c>
      <c r="H1249" s="19" t="s">
        <v>1599</v>
      </c>
      <c r="I1249" s="23" t="e">
        <f>VLOOKUP(H1249,'合同综合查询数据（3月返）'!$A:$A,1,FALSE)</f>
        <v>#N/A</v>
      </c>
      <c r="J1249" s="24" t="s">
        <v>90</v>
      </c>
      <c r="K1249" s="129" t="s">
        <v>1600</v>
      </c>
      <c r="L1249" s="153"/>
      <c r="M1249" s="26" t="s">
        <v>909</v>
      </c>
      <c r="N1249" s="210">
        <v>43440</v>
      </c>
      <c r="O1249" s="190" t="s">
        <v>574</v>
      </c>
      <c r="P1249" s="173">
        <v>32650</v>
      </c>
      <c r="Q1249" s="173">
        <v>8</v>
      </c>
      <c r="R1249" s="120">
        <f t="shared" si="32"/>
        <v>261200</v>
      </c>
      <c r="S1249" s="117">
        <v>202303</v>
      </c>
      <c r="T1249" s="177" t="s">
        <v>1632</v>
      </c>
      <c r="U1249" s="133"/>
      <c r="V1249" s="133"/>
      <c r="W1249" s="133"/>
      <c r="X1249" s="118">
        <v>43525</v>
      </c>
      <c r="Y1249" s="118">
        <v>45549</v>
      </c>
    </row>
    <row r="1250" s="79" customFormat="1" customHeight="1" spans="1:25">
      <c r="A1250" s="98" t="s">
        <v>403</v>
      </c>
      <c r="B1250" s="98" t="s">
        <v>62</v>
      </c>
      <c r="C1250" s="98" t="s">
        <v>217</v>
      </c>
      <c r="D1250" s="98" t="s">
        <v>566</v>
      </c>
      <c r="E1250" s="147" t="s">
        <v>1043</v>
      </c>
      <c r="F1250" s="98" t="s">
        <v>906</v>
      </c>
      <c r="G1250" s="151" t="s">
        <v>88</v>
      </c>
      <c r="H1250" s="19" t="s">
        <v>1599</v>
      </c>
      <c r="I1250" s="23" t="e">
        <f>VLOOKUP(H1250,'合同综合查询数据（3月返）'!$A:$A,1,FALSE)</f>
        <v>#N/A</v>
      </c>
      <c r="J1250" s="24" t="s">
        <v>90</v>
      </c>
      <c r="K1250" s="129" t="s">
        <v>1600</v>
      </c>
      <c r="L1250" s="153"/>
      <c r="M1250" s="26" t="s">
        <v>909</v>
      </c>
      <c r="N1250" s="210">
        <v>43443</v>
      </c>
      <c r="O1250" s="190" t="s">
        <v>457</v>
      </c>
      <c r="P1250" s="173">
        <v>5950</v>
      </c>
      <c r="Q1250" s="173">
        <v>4</v>
      </c>
      <c r="R1250" s="120">
        <f t="shared" si="32"/>
        <v>23800</v>
      </c>
      <c r="S1250" s="117">
        <v>202303</v>
      </c>
      <c r="T1250" s="177" t="s">
        <v>1633</v>
      </c>
      <c r="U1250" s="133"/>
      <c r="V1250" s="133"/>
      <c r="W1250" s="133"/>
      <c r="X1250" s="118">
        <v>43525</v>
      </c>
      <c r="Y1250" s="118">
        <v>45549</v>
      </c>
    </row>
    <row r="1251" s="79" customFormat="1" customHeight="1" spans="1:25">
      <c r="A1251" s="98" t="s">
        <v>403</v>
      </c>
      <c r="B1251" s="98" t="s">
        <v>62</v>
      </c>
      <c r="C1251" s="98" t="s">
        <v>217</v>
      </c>
      <c r="D1251" s="98" t="s">
        <v>566</v>
      </c>
      <c r="E1251" s="147" t="s">
        <v>1043</v>
      </c>
      <c r="F1251" s="98" t="s">
        <v>906</v>
      </c>
      <c r="G1251" s="151" t="s">
        <v>88</v>
      </c>
      <c r="H1251" s="19" t="s">
        <v>1599</v>
      </c>
      <c r="I1251" s="23" t="e">
        <f>VLOOKUP(H1251,'合同综合查询数据（3月返）'!$A:$A,1,FALSE)</f>
        <v>#N/A</v>
      </c>
      <c r="J1251" s="24" t="s">
        <v>90</v>
      </c>
      <c r="K1251" s="129" t="s">
        <v>1600</v>
      </c>
      <c r="L1251" s="153"/>
      <c r="M1251" s="26" t="s">
        <v>909</v>
      </c>
      <c r="N1251" s="210">
        <v>43437</v>
      </c>
      <c r="O1251" s="190" t="s">
        <v>461</v>
      </c>
      <c r="P1251" s="173">
        <v>11700</v>
      </c>
      <c r="Q1251" s="173">
        <v>16</v>
      </c>
      <c r="R1251" s="120">
        <f t="shared" si="32"/>
        <v>187200</v>
      </c>
      <c r="S1251" s="117">
        <v>202303</v>
      </c>
      <c r="T1251" s="177" t="s">
        <v>1634</v>
      </c>
      <c r="U1251" s="133"/>
      <c r="V1251" s="133"/>
      <c r="W1251" s="133"/>
      <c r="X1251" s="118">
        <v>43525</v>
      </c>
      <c r="Y1251" s="118">
        <v>45549</v>
      </c>
    </row>
    <row r="1252" s="79" customFormat="1" customHeight="1" spans="1:25">
      <c r="A1252" s="98" t="s">
        <v>403</v>
      </c>
      <c r="B1252" s="98" t="s">
        <v>62</v>
      </c>
      <c r="C1252" s="98" t="s">
        <v>217</v>
      </c>
      <c r="D1252" s="98" t="s">
        <v>566</v>
      </c>
      <c r="E1252" s="147" t="s">
        <v>1043</v>
      </c>
      <c r="F1252" s="98" t="s">
        <v>906</v>
      </c>
      <c r="G1252" s="151" t="s">
        <v>88</v>
      </c>
      <c r="H1252" s="19" t="s">
        <v>1599</v>
      </c>
      <c r="I1252" s="23" t="e">
        <f>VLOOKUP(H1252,'合同综合查询数据（3月返）'!$A:$A,1,FALSE)</f>
        <v>#N/A</v>
      </c>
      <c r="J1252" s="24" t="s">
        <v>90</v>
      </c>
      <c r="K1252" s="129" t="s">
        <v>1600</v>
      </c>
      <c r="L1252" s="153"/>
      <c r="M1252" s="26" t="s">
        <v>909</v>
      </c>
      <c r="N1252" s="210">
        <v>43448</v>
      </c>
      <c r="O1252" s="190" t="s">
        <v>461</v>
      </c>
      <c r="P1252" s="173">
        <v>11700</v>
      </c>
      <c r="Q1252" s="173">
        <v>2</v>
      </c>
      <c r="R1252" s="120">
        <f t="shared" si="32"/>
        <v>23400</v>
      </c>
      <c r="S1252" s="117">
        <v>202303</v>
      </c>
      <c r="T1252" s="177" t="s">
        <v>1635</v>
      </c>
      <c r="U1252" s="133"/>
      <c r="V1252" s="133"/>
      <c r="W1252" s="133"/>
      <c r="X1252" s="118">
        <v>43525</v>
      </c>
      <c r="Y1252" s="118">
        <v>45549</v>
      </c>
    </row>
    <row r="1253" s="79" customFormat="1" customHeight="1" spans="1:25">
      <c r="A1253" s="98" t="s">
        <v>403</v>
      </c>
      <c r="B1253" s="98" t="s">
        <v>62</v>
      </c>
      <c r="C1253" s="98" t="s">
        <v>217</v>
      </c>
      <c r="D1253" s="98" t="s">
        <v>566</v>
      </c>
      <c r="E1253" s="147" t="s">
        <v>1043</v>
      </c>
      <c r="F1253" s="98" t="s">
        <v>906</v>
      </c>
      <c r="G1253" s="151" t="s">
        <v>88</v>
      </c>
      <c r="H1253" s="19" t="s">
        <v>1599</v>
      </c>
      <c r="I1253" s="23" t="e">
        <f>VLOOKUP(H1253,'合同综合查询数据（3月返）'!$A:$A,1,FALSE)</f>
        <v>#N/A</v>
      </c>
      <c r="J1253" s="24" t="s">
        <v>90</v>
      </c>
      <c r="K1253" s="129" t="s">
        <v>1600</v>
      </c>
      <c r="L1253" s="153"/>
      <c r="M1253" s="26" t="s">
        <v>909</v>
      </c>
      <c r="N1253" s="210">
        <v>43454</v>
      </c>
      <c r="O1253" s="190" t="s">
        <v>461</v>
      </c>
      <c r="P1253" s="173">
        <v>11700</v>
      </c>
      <c r="Q1253" s="173">
        <v>9</v>
      </c>
      <c r="R1253" s="120">
        <f t="shared" si="32"/>
        <v>105300</v>
      </c>
      <c r="S1253" s="117">
        <v>202303</v>
      </c>
      <c r="T1253" s="177" t="s">
        <v>1636</v>
      </c>
      <c r="U1253" s="133"/>
      <c r="V1253" s="133"/>
      <c r="W1253" s="133"/>
      <c r="X1253" s="118">
        <v>43525</v>
      </c>
      <c r="Y1253" s="118">
        <v>45549</v>
      </c>
    </row>
    <row r="1254" s="79" customFormat="1" customHeight="1" spans="1:25">
      <c r="A1254" s="98" t="s">
        <v>403</v>
      </c>
      <c r="B1254" s="98" t="s">
        <v>62</v>
      </c>
      <c r="C1254" s="98" t="s">
        <v>217</v>
      </c>
      <c r="D1254" s="98" t="s">
        <v>566</v>
      </c>
      <c r="E1254" s="147" t="s">
        <v>1043</v>
      </c>
      <c r="F1254" s="98" t="s">
        <v>906</v>
      </c>
      <c r="G1254" s="151" t="s">
        <v>88</v>
      </c>
      <c r="H1254" s="19" t="s">
        <v>1599</v>
      </c>
      <c r="I1254" s="23" t="e">
        <f>VLOOKUP(H1254,'合同综合查询数据（3月返）'!$A:$A,1,FALSE)</f>
        <v>#N/A</v>
      </c>
      <c r="J1254" s="24" t="s">
        <v>90</v>
      </c>
      <c r="K1254" s="129" t="s">
        <v>1600</v>
      </c>
      <c r="L1254" s="153"/>
      <c r="M1254" s="26" t="s">
        <v>909</v>
      </c>
      <c r="N1254" s="210">
        <v>43463</v>
      </c>
      <c r="O1254" s="190" t="s">
        <v>461</v>
      </c>
      <c r="P1254" s="173">
        <v>11700</v>
      </c>
      <c r="Q1254" s="173">
        <v>7</v>
      </c>
      <c r="R1254" s="120">
        <f t="shared" si="32"/>
        <v>81900</v>
      </c>
      <c r="S1254" s="117">
        <v>202303</v>
      </c>
      <c r="T1254" s="177" t="s">
        <v>1637</v>
      </c>
      <c r="U1254" s="133"/>
      <c r="V1254" s="133"/>
      <c r="W1254" s="133"/>
      <c r="X1254" s="118">
        <v>43525</v>
      </c>
      <c r="Y1254" s="118">
        <v>45549</v>
      </c>
    </row>
    <row r="1255" s="79" customFormat="1" customHeight="1" spans="1:25">
      <c r="A1255" s="98" t="s">
        <v>403</v>
      </c>
      <c r="B1255" s="98" t="s">
        <v>62</v>
      </c>
      <c r="C1255" s="98" t="s">
        <v>217</v>
      </c>
      <c r="D1255" s="98" t="s">
        <v>566</v>
      </c>
      <c r="E1255" s="147" t="s">
        <v>1043</v>
      </c>
      <c r="F1255" s="98" t="s">
        <v>906</v>
      </c>
      <c r="G1255" s="151" t="s">
        <v>88</v>
      </c>
      <c r="H1255" s="19" t="s">
        <v>1599</v>
      </c>
      <c r="I1255" s="23" t="e">
        <f>VLOOKUP(H1255,'合同综合查询数据（3月返）'!$A:$A,1,FALSE)</f>
        <v>#N/A</v>
      </c>
      <c r="J1255" s="24" t="s">
        <v>90</v>
      </c>
      <c r="K1255" s="129" t="s">
        <v>1600</v>
      </c>
      <c r="L1255" s="153"/>
      <c r="M1255" s="26" t="s">
        <v>909</v>
      </c>
      <c r="N1255" s="210">
        <v>43480</v>
      </c>
      <c r="O1255" s="190" t="s">
        <v>461</v>
      </c>
      <c r="P1255" s="173">
        <v>11700</v>
      </c>
      <c r="Q1255" s="173">
        <v>9</v>
      </c>
      <c r="R1255" s="120">
        <f t="shared" si="32"/>
        <v>105300</v>
      </c>
      <c r="S1255" s="117">
        <v>202303</v>
      </c>
      <c r="T1255" s="177"/>
      <c r="U1255" s="133"/>
      <c r="V1255" s="133"/>
      <c r="W1255" s="133"/>
      <c r="X1255" s="118">
        <v>43525</v>
      </c>
      <c r="Y1255" s="118">
        <v>45549</v>
      </c>
    </row>
    <row r="1256" s="79" customFormat="1" customHeight="1" spans="1:25">
      <c r="A1256" s="98" t="s">
        <v>403</v>
      </c>
      <c r="B1256" s="98" t="s">
        <v>62</v>
      </c>
      <c r="C1256" s="98" t="s">
        <v>217</v>
      </c>
      <c r="D1256" s="98" t="s">
        <v>566</v>
      </c>
      <c r="E1256" s="147" t="s">
        <v>1043</v>
      </c>
      <c r="F1256" s="98" t="s">
        <v>906</v>
      </c>
      <c r="G1256" s="151" t="s">
        <v>88</v>
      </c>
      <c r="H1256" s="19" t="s">
        <v>1599</v>
      </c>
      <c r="I1256" s="23" t="e">
        <f>VLOOKUP(H1256,'合同综合查询数据（3月返）'!$A:$A,1,FALSE)</f>
        <v>#N/A</v>
      </c>
      <c r="J1256" s="24" t="s">
        <v>90</v>
      </c>
      <c r="K1256" s="129" t="s">
        <v>1600</v>
      </c>
      <c r="L1256" s="153"/>
      <c r="M1256" s="26" t="s">
        <v>909</v>
      </c>
      <c r="N1256" s="210">
        <v>43481</v>
      </c>
      <c r="O1256" s="190" t="s">
        <v>461</v>
      </c>
      <c r="P1256" s="173">
        <v>11700</v>
      </c>
      <c r="Q1256" s="173">
        <v>2</v>
      </c>
      <c r="R1256" s="120">
        <f t="shared" si="32"/>
        <v>23400</v>
      </c>
      <c r="S1256" s="117">
        <v>202303</v>
      </c>
      <c r="T1256" s="177" t="s">
        <v>1638</v>
      </c>
      <c r="U1256" s="133"/>
      <c r="V1256" s="133"/>
      <c r="W1256" s="133"/>
      <c r="X1256" s="118">
        <v>43525</v>
      </c>
      <c r="Y1256" s="118">
        <v>45549</v>
      </c>
    </row>
    <row r="1257" s="79" customFormat="1" customHeight="1" spans="1:25">
      <c r="A1257" s="98" t="s">
        <v>403</v>
      </c>
      <c r="B1257" s="98" t="s">
        <v>62</v>
      </c>
      <c r="C1257" s="98" t="s">
        <v>217</v>
      </c>
      <c r="D1257" s="98" t="s">
        <v>566</v>
      </c>
      <c r="E1257" s="147" t="s">
        <v>1043</v>
      </c>
      <c r="F1257" s="98" t="s">
        <v>906</v>
      </c>
      <c r="G1257" s="151" t="s">
        <v>88</v>
      </c>
      <c r="H1257" s="19" t="s">
        <v>1599</v>
      </c>
      <c r="I1257" s="23" t="e">
        <f>VLOOKUP(H1257,'合同综合查询数据（3月返）'!$A:$A,1,FALSE)</f>
        <v>#N/A</v>
      </c>
      <c r="J1257" s="24" t="s">
        <v>90</v>
      </c>
      <c r="K1257" s="129" t="s">
        <v>1600</v>
      </c>
      <c r="L1257" s="153"/>
      <c r="M1257" s="26" t="s">
        <v>909</v>
      </c>
      <c r="N1257" s="210">
        <v>43484</v>
      </c>
      <c r="O1257" s="190" t="s">
        <v>461</v>
      </c>
      <c r="P1257" s="173">
        <v>11700</v>
      </c>
      <c r="Q1257" s="173">
        <v>1</v>
      </c>
      <c r="R1257" s="120">
        <f t="shared" si="32"/>
        <v>11700</v>
      </c>
      <c r="S1257" s="117">
        <v>202303</v>
      </c>
      <c r="T1257" s="177" t="s">
        <v>1639</v>
      </c>
      <c r="U1257" s="133"/>
      <c r="V1257" s="133"/>
      <c r="W1257" s="133"/>
      <c r="X1257" s="118">
        <v>43525</v>
      </c>
      <c r="Y1257" s="118">
        <v>45549</v>
      </c>
    </row>
    <row r="1258" s="79" customFormat="1" customHeight="1" spans="1:25">
      <c r="A1258" s="98" t="s">
        <v>403</v>
      </c>
      <c r="B1258" s="98" t="s">
        <v>62</v>
      </c>
      <c r="C1258" s="98" t="s">
        <v>217</v>
      </c>
      <c r="D1258" s="98" t="s">
        <v>566</v>
      </c>
      <c r="E1258" s="147" t="s">
        <v>1043</v>
      </c>
      <c r="F1258" s="98" t="s">
        <v>906</v>
      </c>
      <c r="G1258" s="151" t="s">
        <v>88</v>
      </c>
      <c r="H1258" s="19" t="s">
        <v>1599</v>
      </c>
      <c r="I1258" s="23" t="e">
        <f>VLOOKUP(H1258,'合同综合查询数据（3月返）'!$A:$A,1,FALSE)</f>
        <v>#N/A</v>
      </c>
      <c r="J1258" s="24" t="s">
        <v>90</v>
      </c>
      <c r="K1258" s="129" t="s">
        <v>1600</v>
      </c>
      <c r="L1258" s="153"/>
      <c r="M1258" s="26" t="s">
        <v>909</v>
      </c>
      <c r="N1258" s="211">
        <v>43485</v>
      </c>
      <c r="O1258" s="155" t="s">
        <v>461</v>
      </c>
      <c r="P1258" s="173">
        <v>11700</v>
      </c>
      <c r="Q1258" s="173">
        <v>3</v>
      </c>
      <c r="R1258" s="120">
        <f t="shared" si="32"/>
        <v>35100</v>
      </c>
      <c r="S1258" s="117">
        <v>202303</v>
      </c>
      <c r="T1258" s="147" t="s">
        <v>1640</v>
      </c>
      <c r="U1258" s="214"/>
      <c r="V1258" s="133"/>
      <c r="W1258" s="133"/>
      <c r="X1258" s="118">
        <v>43525</v>
      </c>
      <c r="Y1258" s="118">
        <v>45549</v>
      </c>
    </row>
    <row r="1259" s="79" customFormat="1" customHeight="1" spans="1:25">
      <c r="A1259" s="98" t="s">
        <v>403</v>
      </c>
      <c r="B1259" s="98" t="s">
        <v>62</v>
      </c>
      <c r="C1259" s="98" t="s">
        <v>217</v>
      </c>
      <c r="D1259" s="98" t="s">
        <v>566</v>
      </c>
      <c r="E1259" s="147" t="s">
        <v>1043</v>
      </c>
      <c r="F1259" s="98" t="s">
        <v>906</v>
      </c>
      <c r="G1259" s="151" t="s">
        <v>88</v>
      </c>
      <c r="H1259" s="19" t="s">
        <v>1599</v>
      </c>
      <c r="I1259" s="23" t="e">
        <f>VLOOKUP(H1259,'合同综合查询数据（3月返）'!$A:$A,1,FALSE)</f>
        <v>#N/A</v>
      </c>
      <c r="J1259" s="24" t="s">
        <v>90</v>
      </c>
      <c r="K1259" s="129" t="s">
        <v>1600</v>
      </c>
      <c r="L1259" s="153"/>
      <c r="M1259" s="26" t="s">
        <v>909</v>
      </c>
      <c r="N1259" s="211">
        <v>43487</v>
      </c>
      <c r="O1259" s="155" t="s">
        <v>461</v>
      </c>
      <c r="P1259" s="173">
        <v>11700</v>
      </c>
      <c r="Q1259" s="173">
        <v>4</v>
      </c>
      <c r="R1259" s="120">
        <f t="shared" si="32"/>
        <v>46800</v>
      </c>
      <c r="S1259" s="117">
        <v>202303</v>
      </c>
      <c r="T1259" s="158" t="s">
        <v>1641</v>
      </c>
      <c r="U1259" s="215"/>
      <c r="V1259" s="133"/>
      <c r="W1259" s="133"/>
      <c r="X1259" s="118">
        <v>43525</v>
      </c>
      <c r="Y1259" s="118">
        <v>45549</v>
      </c>
    </row>
    <row r="1260" s="79" customFormat="1" customHeight="1" spans="1:25">
      <c r="A1260" s="98" t="s">
        <v>403</v>
      </c>
      <c r="B1260" s="98" t="s">
        <v>62</v>
      </c>
      <c r="C1260" s="98" t="s">
        <v>217</v>
      </c>
      <c r="D1260" s="98" t="s">
        <v>566</v>
      </c>
      <c r="E1260" s="147" t="s">
        <v>1043</v>
      </c>
      <c r="F1260" s="98" t="s">
        <v>906</v>
      </c>
      <c r="G1260" s="151" t="s">
        <v>88</v>
      </c>
      <c r="H1260" s="19" t="s">
        <v>1599</v>
      </c>
      <c r="I1260" s="23" t="e">
        <f>VLOOKUP(H1260,'合同综合查询数据（3月返）'!$A:$A,1,FALSE)</f>
        <v>#N/A</v>
      </c>
      <c r="J1260" s="24" t="s">
        <v>90</v>
      </c>
      <c r="K1260" s="129" t="s">
        <v>1600</v>
      </c>
      <c r="L1260" s="153"/>
      <c r="M1260" s="26" t="s">
        <v>909</v>
      </c>
      <c r="N1260" s="211">
        <v>43494</v>
      </c>
      <c r="O1260" s="155" t="s">
        <v>461</v>
      </c>
      <c r="P1260" s="173">
        <v>11700</v>
      </c>
      <c r="Q1260" s="173">
        <v>1</v>
      </c>
      <c r="R1260" s="120">
        <f t="shared" si="32"/>
        <v>11700</v>
      </c>
      <c r="S1260" s="117">
        <v>202303</v>
      </c>
      <c r="T1260" s="158" t="s">
        <v>1642</v>
      </c>
      <c r="U1260" s="215"/>
      <c r="V1260" s="133"/>
      <c r="W1260" s="133"/>
      <c r="X1260" s="118">
        <v>43525</v>
      </c>
      <c r="Y1260" s="118">
        <v>45549</v>
      </c>
    </row>
    <row r="1261" s="79" customFormat="1" customHeight="1" spans="1:25">
      <c r="A1261" s="98" t="s">
        <v>403</v>
      </c>
      <c r="B1261" s="98" t="s">
        <v>62</v>
      </c>
      <c r="C1261" s="98" t="s">
        <v>217</v>
      </c>
      <c r="D1261" s="98" t="s">
        <v>566</v>
      </c>
      <c r="E1261" s="147" t="s">
        <v>1043</v>
      </c>
      <c r="F1261" s="98" t="s">
        <v>906</v>
      </c>
      <c r="G1261" s="151" t="s">
        <v>88</v>
      </c>
      <c r="H1261" s="19" t="s">
        <v>1599</v>
      </c>
      <c r="I1261" s="23" t="e">
        <f>VLOOKUP(H1261,'合同综合查询数据（3月返）'!$A:$A,1,FALSE)</f>
        <v>#N/A</v>
      </c>
      <c r="J1261" s="24" t="s">
        <v>90</v>
      </c>
      <c r="K1261" s="129" t="s">
        <v>1600</v>
      </c>
      <c r="L1261" s="153"/>
      <c r="M1261" s="26" t="s">
        <v>909</v>
      </c>
      <c r="N1261" s="211">
        <v>43518</v>
      </c>
      <c r="O1261" s="155" t="s">
        <v>461</v>
      </c>
      <c r="P1261" s="173">
        <v>11700</v>
      </c>
      <c r="Q1261" s="173">
        <v>1</v>
      </c>
      <c r="R1261" s="120">
        <f t="shared" si="32"/>
        <v>11700</v>
      </c>
      <c r="S1261" s="117">
        <v>202303</v>
      </c>
      <c r="T1261" s="216" t="s">
        <v>1643</v>
      </c>
      <c r="U1261" s="217"/>
      <c r="V1261" s="133"/>
      <c r="W1261" s="133"/>
      <c r="X1261" s="118">
        <v>43525</v>
      </c>
      <c r="Y1261" s="118">
        <v>45549</v>
      </c>
    </row>
    <row r="1262" s="79" customFormat="1" customHeight="1" spans="1:25">
      <c r="A1262" s="98" t="s">
        <v>403</v>
      </c>
      <c r="B1262" s="98" t="s">
        <v>62</v>
      </c>
      <c r="C1262" s="98" t="s">
        <v>217</v>
      </c>
      <c r="D1262" s="98" t="s">
        <v>566</v>
      </c>
      <c r="E1262" s="147" t="s">
        <v>1043</v>
      </c>
      <c r="F1262" s="98" t="s">
        <v>906</v>
      </c>
      <c r="G1262" s="151" t="s">
        <v>88</v>
      </c>
      <c r="H1262" s="19" t="s">
        <v>1599</v>
      </c>
      <c r="I1262" s="23" t="e">
        <f>VLOOKUP(H1262,'合同综合查询数据（3月返）'!$A:$A,1,FALSE)</f>
        <v>#N/A</v>
      </c>
      <c r="J1262" s="24" t="s">
        <v>90</v>
      </c>
      <c r="K1262" s="129" t="s">
        <v>1600</v>
      </c>
      <c r="L1262" s="153"/>
      <c r="M1262" s="26" t="s">
        <v>909</v>
      </c>
      <c r="N1262" s="211">
        <v>43521</v>
      </c>
      <c r="O1262" s="155" t="s">
        <v>461</v>
      </c>
      <c r="P1262" s="173">
        <v>11700</v>
      </c>
      <c r="Q1262" s="173">
        <v>4</v>
      </c>
      <c r="R1262" s="120">
        <f t="shared" si="32"/>
        <v>46800</v>
      </c>
      <c r="S1262" s="117">
        <v>202303</v>
      </c>
      <c r="T1262" s="158" t="s">
        <v>1644</v>
      </c>
      <c r="U1262" s="215"/>
      <c r="V1262" s="133"/>
      <c r="W1262" s="133"/>
      <c r="X1262" s="118">
        <v>43525</v>
      </c>
      <c r="Y1262" s="118">
        <v>45549</v>
      </c>
    </row>
    <row r="1263" s="79" customFormat="1" customHeight="1" spans="1:25">
      <c r="A1263" s="98" t="s">
        <v>403</v>
      </c>
      <c r="B1263" s="98" t="s">
        <v>62</v>
      </c>
      <c r="C1263" s="98" t="s">
        <v>217</v>
      </c>
      <c r="D1263" s="98" t="s">
        <v>566</v>
      </c>
      <c r="E1263" s="147" t="s">
        <v>1043</v>
      </c>
      <c r="F1263" s="98" t="s">
        <v>906</v>
      </c>
      <c r="G1263" s="151" t="s">
        <v>88</v>
      </c>
      <c r="H1263" s="19" t="s">
        <v>1599</v>
      </c>
      <c r="I1263" s="23" t="e">
        <f>VLOOKUP(H1263,'合同综合查询数据（3月返）'!$A:$A,1,FALSE)</f>
        <v>#N/A</v>
      </c>
      <c r="J1263" s="24" t="s">
        <v>90</v>
      </c>
      <c r="K1263" s="129" t="s">
        <v>1600</v>
      </c>
      <c r="L1263" s="153"/>
      <c r="M1263" s="26" t="s">
        <v>909</v>
      </c>
      <c r="N1263" s="211">
        <v>43423</v>
      </c>
      <c r="O1263" s="155" t="s">
        <v>457</v>
      </c>
      <c r="P1263" s="156">
        <v>5950</v>
      </c>
      <c r="Q1263" s="156">
        <v>13</v>
      </c>
      <c r="R1263" s="120">
        <f t="shared" si="32"/>
        <v>77350</v>
      </c>
      <c r="S1263" s="117">
        <v>202303</v>
      </c>
      <c r="T1263" s="158" t="s">
        <v>1645</v>
      </c>
      <c r="U1263" s="215"/>
      <c r="V1263" s="133"/>
      <c r="W1263" s="133"/>
      <c r="X1263" s="118">
        <v>43525</v>
      </c>
      <c r="Y1263" s="118">
        <v>45549</v>
      </c>
    </row>
    <row r="1264" s="79" customFormat="1" customHeight="1" spans="1:25">
      <c r="A1264" s="98" t="s">
        <v>403</v>
      </c>
      <c r="B1264" s="98" t="s">
        <v>62</v>
      </c>
      <c r="C1264" s="98" t="s">
        <v>217</v>
      </c>
      <c r="D1264" s="98" t="s">
        <v>566</v>
      </c>
      <c r="E1264" s="147" t="s">
        <v>1043</v>
      </c>
      <c r="F1264" s="98" t="s">
        <v>906</v>
      </c>
      <c r="G1264" s="151" t="s">
        <v>88</v>
      </c>
      <c r="H1264" s="19" t="s">
        <v>1599</v>
      </c>
      <c r="I1264" s="23" t="e">
        <f>VLOOKUP(H1264,'合同综合查询数据（3月返）'!$A:$A,1,FALSE)</f>
        <v>#N/A</v>
      </c>
      <c r="J1264" s="24" t="s">
        <v>90</v>
      </c>
      <c r="K1264" s="129" t="s">
        <v>1600</v>
      </c>
      <c r="L1264" s="153"/>
      <c r="M1264" s="26" t="s">
        <v>909</v>
      </c>
      <c r="N1264" s="211">
        <v>43459</v>
      </c>
      <c r="O1264" s="155" t="s">
        <v>461</v>
      </c>
      <c r="P1264" s="173">
        <v>11700</v>
      </c>
      <c r="Q1264" s="173">
        <v>5</v>
      </c>
      <c r="R1264" s="120">
        <f t="shared" si="32"/>
        <v>58500</v>
      </c>
      <c r="S1264" s="117">
        <v>202303</v>
      </c>
      <c r="T1264" s="216" t="s">
        <v>1646</v>
      </c>
      <c r="U1264" s="217"/>
      <c r="V1264" s="133"/>
      <c r="W1264" s="133"/>
      <c r="X1264" s="118">
        <v>43525</v>
      </c>
      <c r="Y1264" s="118">
        <v>45549</v>
      </c>
    </row>
    <row r="1265" s="79" customFormat="1" customHeight="1" spans="1:25">
      <c r="A1265" s="98" t="s">
        <v>403</v>
      </c>
      <c r="B1265" s="98" t="s">
        <v>62</v>
      </c>
      <c r="C1265" s="98" t="s">
        <v>217</v>
      </c>
      <c r="D1265" s="98" t="s">
        <v>566</v>
      </c>
      <c r="E1265" s="147" t="s">
        <v>1043</v>
      </c>
      <c r="F1265" s="98" t="s">
        <v>906</v>
      </c>
      <c r="G1265" s="151" t="s">
        <v>88</v>
      </c>
      <c r="H1265" s="19" t="s">
        <v>1599</v>
      </c>
      <c r="I1265" s="23" t="e">
        <f>VLOOKUP(H1265,'合同综合查询数据（3月返）'!$A:$A,1,FALSE)</f>
        <v>#N/A</v>
      </c>
      <c r="J1265" s="24" t="s">
        <v>90</v>
      </c>
      <c r="K1265" s="129" t="s">
        <v>1600</v>
      </c>
      <c r="L1265" s="153"/>
      <c r="M1265" s="26" t="s">
        <v>909</v>
      </c>
      <c r="N1265" s="211">
        <v>43460</v>
      </c>
      <c r="O1265" s="155" t="s">
        <v>461</v>
      </c>
      <c r="P1265" s="173">
        <v>11700</v>
      </c>
      <c r="Q1265" s="173">
        <v>3</v>
      </c>
      <c r="R1265" s="120">
        <f t="shared" si="32"/>
        <v>35100</v>
      </c>
      <c r="S1265" s="117">
        <v>202303</v>
      </c>
      <c r="T1265" s="158" t="s">
        <v>1647</v>
      </c>
      <c r="U1265" s="215"/>
      <c r="V1265" s="133"/>
      <c r="W1265" s="133"/>
      <c r="X1265" s="118">
        <v>43525</v>
      </c>
      <c r="Y1265" s="118">
        <v>45549</v>
      </c>
    </row>
    <row r="1266" s="79" customFormat="1" customHeight="1" spans="1:25">
      <c r="A1266" s="98" t="s">
        <v>403</v>
      </c>
      <c r="B1266" s="98" t="s">
        <v>62</v>
      </c>
      <c r="C1266" s="98" t="s">
        <v>217</v>
      </c>
      <c r="D1266" s="98" t="s">
        <v>566</v>
      </c>
      <c r="E1266" s="147" t="s">
        <v>1043</v>
      </c>
      <c r="F1266" s="98" t="s">
        <v>906</v>
      </c>
      <c r="G1266" s="151" t="s">
        <v>88</v>
      </c>
      <c r="H1266" s="19" t="s">
        <v>1599</v>
      </c>
      <c r="I1266" s="23" t="e">
        <f>VLOOKUP(H1266,'合同综合查询数据（3月返）'!$A:$A,1,FALSE)</f>
        <v>#N/A</v>
      </c>
      <c r="J1266" s="24" t="s">
        <v>90</v>
      </c>
      <c r="K1266" s="129" t="s">
        <v>1600</v>
      </c>
      <c r="L1266" s="153"/>
      <c r="M1266" s="26" t="s">
        <v>909</v>
      </c>
      <c r="N1266" s="211">
        <v>43438</v>
      </c>
      <c r="O1266" s="155" t="s">
        <v>457</v>
      </c>
      <c r="P1266" s="173">
        <v>5950</v>
      </c>
      <c r="Q1266" s="173">
        <v>4</v>
      </c>
      <c r="R1266" s="120">
        <f t="shared" si="32"/>
        <v>23800</v>
      </c>
      <c r="S1266" s="117">
        <v>202303</v>
      </c>
      <c r="T1266" s="158" t="s">
        <v>1648</v>
      </c>
      <c r="U1266" s="215"/>
      <c r="V1266" s="133"/>
      <c r="W1266" s="133"/>
      <c r="X1266" s="118">
        <v>43525</v>
      </c>
      <c r="Y1266" s="118">
        <v>45549</v>
      </c>
    </row>
    <row r="1267" s="79" customFormat="1" customHeight="1" spans="1:25">
      <c r="A1267" s="98" t="s">
        <v>403</v>
      </c>
      <c r="B1267" s="98" t="s">
        <v>62</v>
      </c>
      <c r="C1267" s="98" t="s">
        <v>217</v>
      </c>
      <c r="D1267" s="98" t="s">
        <v>566</v>
      </c>
      <c r="E1267" s="147" t="s">
        <v>1043</v>
      </c>
      <c r="F1267" s="98" t="s">
        <v>906</v>
      </c>
      <c r="G1267" s="151" t="s">
        <v>88</v>
      </c>
      <c r="H1267" s="19" t="s">
        <v>1599</v>
      </c>
      <c r="I1267" s="23" t="e">
        <f>VLOOKUP(H1267,'合同综合查询数据（3月返）'!$A:$A,1,FALSE)</f>
        <v>#N/A</v>
      </c>
      <c r="J1267" s="24" t="s">
        <v>90</v>
      </c>
      <c r="K1267" s="129" t="s">
        <v>1600</v>
      </c>
      <c r="L1267" s="153"/>
      <c r="M1267" s="26" t="s">
        <v>909</v>
      </c>
      <c r="N1267" s="211">
        <v>43438</v>
      </c>
      <c r="O1267" s="155" t="s">
        <v>457</v>
      </c>
      <c r="P1267" s="173">
        <v>5950</v>
      </c>
      <c r="Q1267" s="173">
        <v>-9</v>
      </c>
      <c r="R1267" s="120">
        <f t="shared" si="32"/>
        <v>-53550</v>
      </c>
      <c r="S1267" s="117">
        <v>202303</v>
      </c>
      <c r="T1267" s="158" t="s">
        <v>1649</v>
      </c>
      <c r="U1267" s="215"/>
      <c r="V1267" s="133"/>
      <c r="W1267" s="133"/>
      <c r="X1267" s="118">
        <v>43525</v>
      </c>
      <c r="Y1267" s="118">
        <v>45549</v>
      </c>
    </row>
    <row r="1268" s="79" customFormat="1" customHeight="1" spans="1:25">
      <c r="A1268" s="98" t="s">
        <v>403</v>
      </c>
      <c r="B1268" s="98" t="s">
        <v>62</v>
      </c>
      <c r="C1268" s="98" t="s">
        <v>217</v>
      </c>
      <c r="D1268" s="98" t="s">
        <v>566</v>
      </c>
      <c r="E1268" s="147" t="s">
        <v>1043</v>
      </c>
      <c r="F1268" s="98" t="s">
        <v>906</v>
      </c>
      <c r="G1268" s="98" t="s">
        <v>88</v>
      </c>
      <c r="H1268" s="19" t="s">
        <v>1599</v>
      </c>
      <c r="I1268" s="23" t="e">
        <f>VLOOKUP(H1268,'合同综合查询数据（3月返）'!$A:$A,1,FALSE)</f>
        <v>#N/A</v>
      </c>
      <c r="J1268" s="24" t="s">
        <v>90</v>
      </c>
      <c r="K1268" s="129" t="s">
        <v>1600</v>
      </c>
      <c r="L1268" s="98"/>
      <c r="M1268" s="26" t="s">
        <v>909</v>
      </c>
      <c r="N1268" s="154">
        <v>43605</v>
      </c>
      <c r="O1268" s="155" t="s">
        <v>461</v>
      </c>
      <c r="P1268" s="173">
        <v>11700</v>
      </c>
      <c r="Q1268" s="173">
        <v>3</v>
      </c>
      <c r="R1268" s="120">
        <f t="shared" si="32"/>
        <v>35100</v>
      </c>
      <c r="S1268" s="117">
        <v>202303</v>
      </c>
      <c r="T1268" s="147" t="s">
        <v>1650</v>
      </c>
      <c r="U1268" s="214"/>
      <c r="V1268" s="133"/>
      <c r="W1268" s="133"/>
      <c r="X1268" s="118">
        <v>43525</v>
      </c>
      <c r="Y1268" s="118">
        <v>45549</v>
      </c>
    </row>
    <row r="1269" s="79" customFormat="1" customHeight="1" spans="1:25">
      <c r="A1269" s="98" t="s">
        <v>403</v>
      </c>
      <c r="B1269" s="98" t="s">
        <v>62</v>
      </c>
      <c r="C1269" s="98" t="s">
        <v>217</v>
      </c>
      <c r="D1269" s="98" t="s">
        <v>566</v>
      </c>
      <c r="E1269" s="147" t="s">
        <v>1043</v>
      </c>
      <c r="F1269" s="98" t="s">
        <v>906</v>
      </c>
      <c r="G1269" s="98" t="s">
        <v>88</v>
      </c>
      <c r="H1269" s="19" t="s">
        <v>1599</v>
      </c>
      <c r="I1269" s="23" t="e">
        <f>VLOOKUP(H1269,'合同综合查询数据（3月返）'!$A:$A,1,FALSE)</f>
        <v>#N/A</v>
      </c>
      <c r="J1269" s="24" t="s">
        <v>90</v>
      </c>
      <c r="K1269" s="129" t="s">
        <v>1600</v>
      </c>
      <c r="L1269" s="98"/>
      <c r="M1269" s="26" t="s">
        <v>909</v>
      </c>
      <c r="N1269" s="154">
        <v>43606</v>
      </c>
      <c r="O1269" s="155" t="s">
        <v>461</v>
      </c>
      <c r="P1269" s="173">
        <v>11700</v>
      </c>
      <c r="Q1269" s="173">
        <v>7</v>
      </c>
      <c r="R1269" s="120">
        <f t="shared" si="32"/>
        <v>81900</v>
      </c>
      <c r="S1269" s="117">
        <v>202303</v>
      </c>
      <c r="T1269" s="158" t="s">
        <v>1651</v>
      </c>
      <c r="U1269" s="215"/>
      <c r="V1269" s="133"/>
      <c r="W1269" s="133"/>
      <c r="X1269" s="118">
        <v>43525</v>
      </c>
      <c r="Y1269" s="118">
        <v>45549</v>
      </c>
    </row>
    <row r="1270" s="79" customFormat="1" customHeight="1" spans="1:25">
      <c r="A1270" s="98" t="s">
        <v>403</v>
      </c>
      <c r="B1270" s="98" t="s">
        <v>62</v>
      </c>
      <c r="C1270" s="98" t="s">
        <v>217</v>
      </c>
      <c r="D1270" s="98" t="s">
        <v>566</v>
      </c>
      <c r="E1270" s="147" t="s">
        <v>1043</v>
      </c>
      <c r="F1270" s="98" t="s">
        <v>906</v>
      </c>
      <c r="G1270" s="98" t="s">
        <v>88</v>
      </c>
      <c r="H1270" s="19" t="s">
        <v>1599</v>
      </c>
      <c r="I1270" s="23" t="e">
        <f>VLOOKUP(H1270,'合同综合查询数据（3月返）'!$A:$A,1,FALSE)</f>
        <v>#N/A</v>
      </c>
      <c r="J1270" s="24" t="s">
        <v>90</v>
      </c>
      <c r="K1270" s="129" t="s">
        <v>1600</v>
      </c>
      <c r="L1270" s="98"/>
      <c r="M1270" s="26" t="s">
        <v>909</v>
      </c>
      <c r="N1270" s="154">
        <v>43545</v>
      </c>
      <c r="O1270" s="155" t="s">
        <v>461</v>
      </c>
      <c r="P1270" s="173">
        <v>11700</v>
      </c>
      <c r="Q1270" s="173">
        <v>6</v>
      </c>
      <c r="R1270" s="120">
        <f t="shared" si="32"/>
        <v>70200</v>
      </c>
      <c r="S1270" s="117">
        <v>202303</v>
      </c>
      <c r="T1270" s="158" t="s">
        <v>1652</v>
      </c>
      <c r="U1270" s="215"/>
      <c r="V1270" s="133"/>
      <c r="W1270" s="133"/>
      <c r="X1270" s="118">
        <v>43525</v>
      </c>
      <c r="Y1270" s="118">
        <v>45549</v>
      </c>
    </row>
    <row r="1271" s="79" customFormat="1" customHeight="1" spans="1:25">
      <c r="A1271" s="98" t="s">
        <v>403</v>
      </c>
      <c r="B1271" s="98" t="s">
        <v>62</v>
      </c>
      <c r="C1271" s="98" t="s">
        <v>217</v>
      </c>
      <c r="D1271" s="98" t="s">
        <v>566</v>
      </c>
      <c r="E1271" s="147" t="s">
        <v>1043</v>
      </c>
      <c r="F1271" s="98" t="s">
        <v>906</v>
      </c>
      <c r="G1271" s="98" t="s">
        <v>88</v>
      </c>
      <c r="H1271" s="19" t="s">
        <v>1599</v>
      </c>
      <c r="I1271" s="23" t="e">
        <f>VLOOKUP(H1271,'合同综合查询数据（3月返）'!$A:$A,1,FALSE)</f>
        <v>#N/A</v>
      </c>
      <c r="J1271" s="24" t="s">
        <v>90</v>
      </c>
      <c r="K1271" s="129" t="s">
        <v>1600</v>
      </c>
      <c r="L1271" s="98"/>
      <c r="M1271" s="26" t="s">
        <v>909</v>
      </c>
      <c r="N1271" s="154">
        <v>43525</v>
      </c>
      <c r="O1271" s="155" t="s">
        <v>461</v>
      </c>
      <c r="P1271" s="173">
        <v>11700</v>
      </c>
      <c r="Q1271" s="173">
        <v>1</v>
      </c>
      <c r="R1271" s="120">
        <f t="shared" si="32"/>
        <v>11700</v>
      </c>
      <c r="S1271" s="117">
        <v>202303</v>
      </c>
      <c r="T1271" s="158"/>
      <c r="U1271" s="215"/>
      <c r="V1271" s="133"/>
      <c r="W1271" s="133"/>
      <c r="X1271" s="118">
        <v>43525</v>
      </c>
      <c r="Y1271" s="118">
        <v>45549</v>
      </c>
    </row>
    <row r="1272" s="79" customFormat="1" customHeight="1" spans="1:25">
      <c r="A1272" s="98" t="s">
        <v>403</v>
      </c>
      <c r="B1272" s="98" t="s">
        <v>62</v>
      </c>
      <c r="C1272" s="98" t="s">
        <v>217</v>
      </c>
      <c r="D1272" s="98" t="s">
        <v>566</v>
      </c>
      <c r="E1272" s="147" t="s">
        <v>1043</v>
      </c>
      <c r="F1272" s="98" t="s">
        <v>906</v>
      </c>
      <c r="G1272" s="98" t="s">
        <v>88</v>
      </c>
      <c r="H1272" s="19" t="s">
        <v>1599</v>
      </c>
      <c r="I1272" s="23" t="e">
        <f>VLOOKUP(H1272,'合同综合查询数据（3月返）'!$A:$A,1,FALSE)</f>
        <v>#N/A</v>
      </c>
      <c r="J1272" s="24" t="s">
        <v>90</v>
      </c>
      <c r="K1272" s="129" t="s">
        <v>1600</v>
      </c>
      <c r="L1272" s="129"/>
      <c r="M1272" s="26" t="s">
        <v>909</v>
      </c>
      <c r="N1272" s="154"/>
      <c r="O1272" s="155" t="s">
        <v>461</v>
      </c>
      <c r="P1272" s="173">
        <v>11700</v>
      </c>
      <c r="Q1272" s="173">
        <v>8</v>
      </c>
      <c r="R1272" s="120">
        <f t="shared" si="32"/>
        <v>93600</v>
      </c>
      <c r="S1272" s="117">
        <v>202303</v>
      </c>
      <c r="T1272" s="158" t="s">
        <v>1653</v>
      </c>
      <c r="U1272" s="215"/>
      <c r="V1272" s="133"/>
      <c r="W1272" s="133"/>
      <c r="X1272" s="118">
        <v>43525</v>
      </c>
      <c r="Y1272" s="118">
        <v>45549</v>
      </c>
    </row>
    <row r="1273" s="79" customFormat="1" customHeight="1" spans="1:25">
      <c r="A1273" s="98" t="s">
        <v>403</v>
      </c>
      <c r="B1273" s="98" t="s">
        <v>62</v>
      </c>
      <c r="C1273" s="98" t="s">
        <v>217</v>
      </c>
      <c r="D1273" s="98" t="s">
        <v>566</v>
      </c>
      <c r="E1273" s="147" t="s">
        <v>1043</v>
      </c>
      <c r="F1273" s="98" t="s">
        <v>906</v>
      </c>
      <c r="G1273" s="98" t="s">
        <v>88</v>
      </c>
      <c r="H1273" s="19" t="s">
        <v>1599</v>
      </c>
      <c r="I1273" s="23" t="e">
        <f>VLOOKUP(H1273,'合同综合查询数据（3月返）'!$A:$A,1,FALSE)</f>
        <v>#N/A</v>
      </c>
      <c r="J1273" s="24" t="s">
        <v>90</v>
      </c>
      <c r="K1273" s="129" t="s">
        <v>1600</v>
      </c>
      <c r="L1273" s="98"/>
      <c r="M1273" s="26" t="s">
        <v>909</v>
      </c>
      <c r="N1273" s="154">
        <v>43629</v>
      </c>
      <c r="O1273" s="155" t="s">
        <v>461</v>
      </c>
      <c r="P1273" s="173">
        <v>11700</v>
      </c>
      <c r="Q1273" s="173">
        <v>2</v>
      </c>
      <c r="R1273" s="120">
        <f t="shared" si="32"/>
        <v>23400</v>
      </c>
      <c r="S1273" s="117">
        <v>202303</v>
      </c>
      <c r="T1273" s="158" t="s">
        <v>1654</v>
      </c>
      <c r="U1273" s="215"/>
      <c r="V1273" s="133"/>
      <c r="W1273" s="133"/>
      <c r="X1273" s="118">
        <v>43525</v>
      </c>
      <c r="Y1273" s="118">
        <v>45549</v>
      </c>
    </row>
    <row r="1274" s="79" customFormat="1" customHeight="1" spans="1:25">
      <c r="A1274" s="98" t="s">
        <v>403</v>
      </c>
      <c r="B1274" s="98" t="s">
        <v>62</v>
      </c>
      <c r="C1274" s="98" t="s">
        <v>217</v>
      </c>
      <c r="D1274" s="98" t="s">
        <v>566</v>
      </c>
      <c r="E1274" s="147" t="s">
        <v>1043</v>
      </c>
      <c r="F1274" s="98" t="s">
        <v>906</v>
      </c>
      <c r="G1274" s="98" t="s">
        <v>88</v>
      </c>
      <c r="H1274" s="19" t="s">
        <v>1599</v>
      </c>
      <c r="I1274" s="23" t="e">
        <f>VLOOKUP(H1274,'合同综合查询数据（3月返）'!$A:$A,1,FALSE)</f>
        <v>#N/A</v>
      </c>
      <c r="J1274" s="24" t="s">
        <v>90</v>
      </c>
      <c r="K1274" s="129" t="s">
        <v>1600</v>
      </c>
      <c r="L1274" s="98"/>
      <c r="M1274" s="26" t="s">
        <v>909</v>
      </c>
      <c r="N1274" s="154">
        <v>43633</v>
      </c>
      <c r="O1274" s="155" t="s">
        <v>461</v>
      </c>
      <c r="P1274" s="173">
        <v>11700</v>
      </c>
      <c r="Q1274" s="173">
        <v>2</v>
      </c>
      <c r="R1274" s="120">
        <f t="shared" si="32"/>
        <v>23400</v>
      </c>
      <c r="S1274" s="117">
        <v>202303</v>
      </c>
      <c r="T1274" s="158" t="s">
        <v>1655</v>
      </c>
      <c r="U1274" s="215"/>
      <c r="V1274" s="133"/>
      <c r="W1274" s="133"/>
      <c r="X1274" s="118">
        <v>43525</v>
      </c>
      <c r="Y1274" s="118">
        <v>45549</v>
      </c>
    </row>
    <row r="1275" s="79" customFormat="1" customHeight="1" spans="1:25">
      <c r="A1275" s="98" t="s">
        <v>403</v>
      </c>
      <c r="B1275" s="98" t="s">
        <v>62</v>
      </c>
      <c r="C1275" s="98" t="s">
        <v>217</v>
      </c>
      <c r="D1275" s="98" t="s">
        <v>566</v>
      </c>
      <c r="E1275" s="147" t="s">
        <v>1043</v>
      </c>
      <c r="F1275" s="98" t="s">
        <v>906</v>
      </c>
      <c r="G1275" s="98" t="s">
        <v>88</v>
      </c>
      <c r="H1275" s="19" t="s">
        <v>1599</v>
      </c>
      <c r="I1275" s="23" t="e">
        <f>VLOOKUP(H1275,'合同综合查询数据（3月返）'!$A:$A,1,FALSE)</f>
        <v>#N/A</v>
      </c>
      <c r="J1275" s="24" t="s">
        <v>90</v>
      </c>
      <c r="K1275" s="129" t="s">
        <v>1600</v>
      </c>
      <c r="L1275" s="98"/>
      <c r="M1275" s="26" t="s">
        <v>909</v>
      </c>
      <c r="N1275" s="154">
        <v>43648</v>
      </c>
      <c r="O1275" s="155" t="s">
        <v>461</v>
      </c>
      <c r="P1275" s="173">
        <v>11700</v>
      </c>
      <c r="Q1275" s="173">
        <v>200</v>
      </c>
      <c r="R1275" s="120">
        <f t="shared" si="32"/>
        <v>2340000</v>
      </c>
      <c r="S1275" s="117">
        <v>202303</v>
      </c>
      <c r="T1275" s="158" t="s">
        <v>1655</v>
      </c>
      <c r="U1275" s="215"/>
      <c r="V1275" s="133"/>
      <c r="W1275" s="133"/>
      <c r="X1275" s="118">
        <v>43525</v>
      </c>
      <c r="Y1275" s="118">
        <v>45549</v>
      </c>
    </row>
    <row r="1276" s="79" customFormat="1" customHeight="1" spans="1:25">
      <c r="A1276" s="98" t="s">
        <v>403</v>
      </c>
      <c r="B1276" s="98" t="s">
        <v>62</v>
      </c>
      <c r="C1276" s="98" t="s">
        <v>217</v>
      </c>
      <c r="D1276" s="98" t="s">
        <v>566</v>
      </c>
      <c r="E1276" s="147" t="s">
        <v>1043</v>
      </c>
      <c r="F1276" s="98" t="s">
        <v>906</v>
      </c>
      <c r="G1276" s="98" t="s">
        <v>88</v>
      </c>
      <c r="H1276" s="19" t="s">
        <v>1599</v>
      </c>
      <c r="I1276" s="23" t="e">
        <f>VLOOKUP(H1276,'合同综合查询数据（3月返）'!$A:$A,1,FALSE)</f>
        <v>#N/A</v>
      </c>
      <c r="J1276" s="24" t="s">
        <v>90</v>
      </c>
      <c r="K1276" s="129" t="s">
        <v>1600</v>
      </c>
      <c r="L1276" s="98"/>
      <c r="M1276" s="26" t="s">
        <v>909</v>
      </c>
      <c r="N1276" s="154">
        <v>43651</v>
      </c>
      <c r="O1276" s="155" t="s">
        <v>461</v>
      </c>
      <c r="P1276" s="173">
        <v>11700</v>
      </c>
      <c r="Q1276" s="173">
        <v>4</v>
      </c>
      <c r="R1276" s="120">
        <f t="shared" si="32"/>
        <v>46800</v>
      </c>
      <c r="S1276" s="117">
        <v>202303</v>
      </c>
      <c r="T1276" s="158" t="s">
        <v>1656</v>
      </c>
      <c r="U1276" s="215"/>
      <c r="V1276" s="133"/>
      <c r="W1276" s="133"/>
      <c r="X1276" s="118">
        <v>43525</v>
      </c>
      <c r="Y1276" s="118">
        <v>45549</v>
      </c>
    </row>
    <row r="1277" s="79" customFormat="1" customHeight="1" spans="1:25">
      <c r="A1277" s="98" t="s">
        <v>403</v>
      </c>
      <c r="B1277" s="98" t="s">
        <v>62</v>
      </c>
      <c r="C1277" s="98" t="s">
        <v>217</v>
      </c>
      <c r="D1277" s="98" t="s">
        <v>566</v>
      </c>
      <c r="E1277" s="147" t="s">
        <v>1043</v>
      </c>
      <c r="F1277" s="98" t="s">
        <v>906</v>
      </c>
      <c r="G1277" s="98" t="s">
        <v>88</v>
      </c>
      <c r="H1277" s="19" t="s">
        <v>1599</v>
      </c>
      <c r="I1277" s="23" t="e">
        <f>VLOOKUP(H1277,'合同综合查询数据（3月返）'!$A:$A,1,FALSE)</f>
        <v>#N/A</v>
      </c>
      <c r="J1277" s="24" t="s">
        <v>90</v>
      </c>
      <c r="K1277" s="129" t="s">
        <v>1600</v>
      </c>
      <c r="L1277" s="98"/>
      <c r="M1277" s="26" t="s">
        <v>909</v>
      </c>
      <c r="N1277" s="154">
        <v>43656</v>
      </c>
      <c r="O1277" s="155" t="s">
        <v>461</v>
      </c>
      <c r="P1277" s="173">
        <v>11700</v>
      </c>
      <c r="Q1277" s="173">
        <v>1</v>
      </c>
      <c r="R1277" s="120">
        <f t="shared" si="32"/>
        <v>11700</v>
      </c>
      <c r="S1277" s="117">
        <v>202303</v>
      </c>
      <c r="T1277" s="158" t="s">
        <v>1657</v>
      </c>
      <c r="U1277" s="215"/>
      <c r="V1277" s="133"/>
      <c r="W1277" s="133"/>
      <c r="X1277" s="118">
        <v>43525</v>
      </c>
      <c r="Y1277" s="118">
        <v>45549</v>
      </c>
    </row>
    <row r="1278" s="79" customFormat="1" customHeight="1" spans="1:25">
      <c r="A1278" s="98" t="s">
        <v>403</v>
      </c>
      <c r="B1278" s="98" t="s">
        <v>62</v>
      </c>
      <c r="C1278" s="98" t="s">
        <v>217</v>
      </c>
      <c r="D1278" s="98" t="s">
        <v>566</v>
      </c>
      <c r="E1278" s="147" t="s">
        <v>1043</v>
      </c>
      <c r="F1278" s="98" t="s">
        <v>906</v>
      </c>
      <c r="G1278" s="98" t="s">
        <v>88</v>
      </c>
      <c r="H1278" s="19" t="s">
        <v>1599</v>
      </c>
      <c r="I1278" s="23" t="e">
        <f>VLOOKUP(H1278,'合同综合查询数据（3月返）'!$A:$A,1,FALSE)</f>
        <v>#N/A</v>
      </c>
      <c r="J1278" s="24" t="s">
        <v>90</v>
      </c>
      <c r="K1278" s="129" t="s">
        <v>1600</v>
      </c>
      <c r="L1278" s="98"/>
      <c r="M1278" s="26" t="s">
        <v>909</v>
      </c>
      <c r="N1278" s="154">
        <v>43672</v>
      </c>
      <c r="O1278" s="155" t="s">
        <v>461</v>
      </c>
      <c r="P1278" s="173">
        <v>11700</v>
      </c>
      <c r="Q1278" s="173">
        <v>1</v>
      </c>
      <c r="R1278" s="120">
        <f t="shared" si="32"/>
        <v>11700</v>
      </c>
      <c r="S1278" s="117">
        <v>202303</v>
      </c>
      <c r="T1278" s="158" t="s">
        <v>1658</v>
      </c>
      <c r="U1278" s="215"/>
      <c r="V1278" s="133"/>
      <c r="W1278" s="133"/>
      <c r="X1278" s="118">
        <v>43525</v>
      </c>
      <c r="Y1278" s="118">
        <v>45549</v>
      </c>
    </row>
    <row r="1279" s="79" customFormat="1" customHeight="1" spans="1:25">
      <c r="A1279" s="98" t="s">
        <v>403</v>
      </c>
      <c r="B1279" s="98" t="s">
        <v>62</v>
      </c>
      <c r="C1279" s="98" t="s">
        <v>217</v>
      </c>
      <c r="D1279" s="98" t="s">
        <v>566</v>
      </c>
      <c r="E1279" s="147" t="s">
        <v>1043</v>
      </c>
      <c r="F1279" s="98" t="s">
        <v>906</v>
      </c>
      <c r="G1279" s="98" t="s">
        <v>88</v>
      </c>
      <c r="H1279" s="19" t="s">
        <v>1599</v>
      </c>
      <c r="I1279" s="23" t="e">
        <f>VLOOKUP(H1279,'合同综合查询数据（3月返）'!$A:$A,1,FALSE)</f>
        <v>#N/A</v>
      </c>
      <c r="J1279" s="24" t="s">
        <v>90</v>
      </c>
      <c r="K1279" s="129" t="s">
        <v>1600</v>
      </c>
      <c r="L1279" s="98"/>
      <c r="M1279" s="26" t="s">
        <v>909</v>
      </c>
      <c r="N1279" s="154">
        <v>43678</v>
      </c>
      <c r="O1279" s="155" t="s">
        <v>461</v>
      </c>
      <c r="P1279" s="173">
        <v>11700</v>
      </c>
      <c r="Q1279" s="173">
        <v>1</v>
      </c>
      <c r="R1279" s="120">
        <f t="shared" ref="R1279:R1342" si="33">ROUND(P1279*Q1279,2)</f>
        <v>11700</v>
      </c>
      <c r="S1279" s="117">
        <v>202303</v>
      </c>
      <c r="T1279" s="158" t="s">
        <v>1659</v>
      </c>
      <c r="U1279" s="215"/>
      <c r="V1279" s="133"/>
      <c r="W1279" s="133"/>
      <c r="X1279" s="118">
        <v>43525</v>
      </c>
      <c r="Y1279" s="118">
        <v>45549</v>
      </c>
    </row>
    <row r="1280" s="79" customFormat="1" customHeight="1" spans="1:25">
      <c r="A1280" s="98" t="s">
        <v>403</v>
      </c>
      <c r="B1280" s="98" t="s">
        <v>62</v>
      </c>
      <c r="C1280" s="98" t="s">
        <v>217</v>
      </c>
      <c r="D1280" s="98" t="s">
        <v>566</v>
      </c>
      <c r="E1280" s="147" t="s">
        <v>1043</v>
      </c>
      <c r="F1280" s="98" t="s">
        <v>906</v>
      </c>
      <c r="G1280" s="98" t="s">
        <v>88</v>
      </c>
      <c r="H1280" s="19" t="s">
        <v>1599</v>
      </c>
      <c r="I1280" s="23" t="e">
        <f>VLOOKUP(H1280,'合同综合查询数据（3月返）'!$A:$A,1,FALSE)</f>
        <v>#N/A</v>
      </c>
      <c r="J1280" s="24" t="s">
        <v>90</v>
      </c>
      <c r="K1280" s="129" t="s">
        <v>1600</v>
      </c>
      <c r="L1280" s="98"/>
      <c r="M1280" s="26" t="s">
        <v>909</v>
      </c>
      <c r="N1280" s="154">
        <v>43686</v>
      </c>
      <c r="O1280" s="155" t="s">
        <v>461</v>
      </c>
      <c r="P1280" s="173">
        <v>11700</v>
      </c>
      <c r="Q1280" s="173">
        <v>2</v>
      </c>
      <c r="R1280" s="120">
        <f t="shared" si="33"/>
        <v>23400</v>
      </c>
      <c r="S1280" s="117">
        <v>202303</v>
      </c>
      <c r="T1280" s="158" t="s">
        <v>1660</v>
      </c>
      <c r="U1280" s="215"/>
      <c r="V1280" s="133"/>
      <c r="W1280" s="133"/>
      <c r="X1280" s="118">
        <v>43525</v>
      </c>
      <c r="Y1280" s="118">
        <v>45549</v>
      </c>
    </row>
    <row r="1281" s="79" customFormat="1" customHeight="1" spans="1:25">
      <c r="A1281" s="98" t="s">
        <v>403</v>
      </c>
      <c r="B1281" s="98" t="s">
        <v>62</v>
      </c>
      <c r="C1281" s="98" t="s">
        <v>217</v>
      </c>
      <c r="D1281" s="98" t="s">
        <v>566</v>
      </c>
      <c r="E1281" s="147" t="s">
        <v>1043</v>
      </c>
      <c r="F1281" s="98" t="s">
        <v>906</v>
      </c>
      <c r="G1281" s="98" t="s">
        <v>88</v>
      </c>
      <c r="H1281" s="19" t="s">
        <v>1599</v>
      </c>
      <c r="I1281" s="23" t="e">
        <f>VLOOKUP(H1281,'合同综合查询数据（3月返）'!$A:$A,1,FALSE)</f>
        <v>#N/A</v>
      </c>
      <c r="J1281" s="24" t="s">
        <v>90</v>
      </c>
      <c r="K1281" s="129" t="s">
        <v>1600</v>
      </c>
      <c r="L1281" s="98"/>
      <c r="M1281" s="26" t="s">
        <v>909</v>
      </c>
      <c r="N1281" s="154">
        <v>43696</v>
      </c>
      <c r="O1281" s="155" t="s">
        <v>461</v>
      </c>
      <c r="P1281" s="173">
        <v>11700</v>
      </c>
      <c r="Q1281" s="173">
        <v>15</v>
      </c>
      <c r="R1281" s="120">
        <f t="shared" si="33"/>
        <v>175500</v>
      </c>
      <c r="S1281" s="117">
        <v>202303</v>
      </c>
      <c r="T1281" s="158" t="s">
        <v>1661</v>
      </c>
      <c r="U1281" s="215"/>
      <c r="V1281" s="133"/>
      <c r="W1281" s="133"/>
      <c r="X1281" s="118">
        <v>43525</v>
      </c>
      <c r="Y1281" s="118">
        <v>45549</v>
      </c>
    </row>
    <row r="1282" s="79" customFormat="1" customHeight="1" spans="1:25">
      <c r="A1282" s="98" t="s">
        <v>403</v>
      </c>
      <c r="B1282" s="98" t="s">
        <v>62</v>
      </c>
      <c r="C1282" s="98" t="s">
        <v>217</v>
      </c>
      <c r="D1282" s="98" t="s">
        <v>566</v>
      </c>
      <c r="E1282" s="147" t="s">
        <v>1043</v>
      </c>
      <c r="F1282" s="98" t="s">
        <v>906</v>
      </c>
      <c r="G1282" s="98" t="s">
        <v>88</v>
      </c>
      <c r="H1282" s="19" t="s">
        <v>1599</v>
      </c>
      <c r="I1282" s="23" t="e">
        <f>VLOOKUP(H1282,'合同综合查询数据（3月返）'!$A:$A,1,FALSE)</f>
        <v>#N/A</v>
      </c>
      <c r="J1282" s="24" t="s">
        <v>90</v>
      </c>
      <c r="K1282" s="129" t="s">
        <v>1600</v>
      </c>
      <c r="L1282" s="98"/>
      <c r="M1282" s="26" t="s">
        <v>909</v>
      </c>
      <c r="N1282" s="154">
        <v>43705</v>
      </c>
      <c r="O1282" s="155" t="s">
        <v>461</v>
      </c>
      <c r="P1282" s="173">
        <v>11700</v>
      </c>
      <c r="Q1282" s="173">
        <v>1</v>
      </c>
      <c r="R1282" s="120">
        <f t="shared" si="33"/>
        <v>11700</v>
      </c>
      <c r="S1282" s="117">
        <v>202303</v>
      </c>
      <c r="T1282" s="158" t="s">
        <v>1662</v>
      </c>
      <c r="U1282" s="215"/>
      <c r="V1282" s="133"/>
      <c r="W1282" s="133"/>
      <c r="X1282" s="118">
        <v>43525</v>
      </c>
      <c r="Y1282" s="118">
        <v>45549</v>
      </c>
    </row>
    <row r="1283" s="79" customFormat="1" customHeight="1" spans="1:25">
      <c r="A1283" s="98" t="s">
        <v>403</v>
      </c>
      <c r="B1283" s="98" t="s">
        <v>62</v>
      </c>
      <c r="C1283" s="98" t="s">
        <v>217</v>
      </c>
      <c r="D1283" s="98" t="s">
        <v>566</v>
      </c>
      <c r="E1283" s="147" t="s">
        <v>1043</v>
      </c>
      <c r="F1283" s="98" t="s">
        <v>906</v>
      </c>
      <c r="G1283" s="98" t="s">
        <v>88</v>
      </c>
      <c r="H1283" s="19" t="s">
        <v>1599</v>
      </c>
      <c r="I1283" s="23" t="e">
        <f>VLOOKUP(H1283,'合同综合查询数据（3月返）'!$A:$A,1,FALSE)</f>
        <v>#N/A</v>
      </c>
      <c r="J1283" s="24" t="s">
        <v>90</v>
      </c>
      <c r="K1283" s="129" t="s">
        <v>1600</v>
      </c>
      <c r="L1283" s="98"/>
      <c r="M1283" s="26" t="s">
        <v>909</v>
      </c>
      <c r="N1283" s="154">
        <v>43718</v>
      </c>
      <c r="O1283" s="155" t="s">
        <v>461</v>
      </c>
      <c r="P1283" s="173">
        <v>11700</v>
      </c>
      <c r="Q1283" s="173">
        <v>1</v>
      </c>
      <c r="R1283" s="120">
        <f t="shared" si="33"/>
        <v>11700</v>
      </c>
      <c r="S1283" s="117">
        <v>202303</v>
      </c>
      <c r="T1283" s="158" t="s">
        <v>1663</v>
      </c>
      <c r="U1283" s="215"/>
      <c r="V1283" s="133"/>
      <c r="W1283" s="133"/>
      <c r="X1283" s="118">
        <v>43525</v>
      </c>
      <c r="Y1283" s="118">
        <v>45549</v>
      </c>
    </row>
    <row r="1284" s="79" customFormat="1" customHeight="1" spans="1:25">
      <c r="A1284" s="98" t="s">
        <v>403</v>
      </c>
      <c r="B1284" s="98" t="s">
        <v>62</v>
      </c>
      <c r="C1284" s="98" t="s">
        <v>217</v>
      </c>
      <c r="D1284" s="98" t="s">
        <v>566</v>
      </c>
      <c r="E1284" s="147" t="s">
        <v>1043</v>
      </c>
      <c r="F1284" s="98" t="s">
        <v>906</v>
      </c>
      <c r="G1284" s="151" t="s">
        <v>88</v>
      </c>
      <c r="H1284" s="19" t="s">
        <v>1599</v>
      </c>
      <c r="I1284" s="23" t="e">
        <f>VLOOKUP(H1284,'合同综合查询数据（3月返）'!$A:$A,1,FALSE)</f>
        <v>#N/A</v>
      </c>
      <c r="J1284" s="24" t="s">
        <v>90</v>
      </c>
      <c r="K1284" s="129" t="s">
        <v>1600</v>
      </c>
      <c r="L1284" s="153"/>
      <c r="M1284" s="26" t="s">
        <v>909</v>
      </c>
      <c r="N1284" s="154">
        <v>43712</v>
      </c>
      <c r="O1284" s="155" t="s">
        <v>457</v>
      </c>
      <c r="P1284" s="156">
        <v>5950</v>
      </c>
      <c r="Q1284" s="156">
        <v>-2</v>
      </c>
      <c r="R1284" s="120">
        <f t="shared" si="33"/>
        <v>-11900</v>
      </c>
      <c r="S1284" s="117">
        <v>202303</v>
      </c>
      <c r="T1284" s="158" t="s">
        <v>1664</v>
      </c>
      <c r="U1284" s="215"/>
      <c r="V1284" s="133"/>
      <c r="W1284" s="133"/>
      <c r="X1284" s="118">
        <v>43525</v>
      </c>
      <c r="Y1284" s="118">
        <v>45549</v>
      </c>
    </row>
    <row r="1285" s="79" customFormat="1" customHeight="1" spans="1:25">
      <c r="A1285" s="98" t="s">
        <v>403</v>
      </c>
      <c r="B1285" s="98" t="s">
        <v>62</v>
      </c>
      <c r="C1285" s="98" t="s">
        <v>217</v>
      </c>
      <c r="D1285" s="98" t="s">
        <v>566</v>
      </c>
      <c r="E1285" s="147" t="s">
        <v>1043</v>
      </c>
      <c r="F1285" s="98" t="s">
        <v>906</v>
      </c>
      <c r="G1285" s="151" t="s">
        <v>88</v>
      </c>
      <c r="H1285" s="19" t="s">
        <v>1599</v>
      </c>
      <c r="I1285" s="23" t="e">
        <f>VLOOKUP(H1285,'合同综合查询数据（3月返）'!$A:$A,1,FALSE)</f>
        <v>#N/A</v>
      </c>
      <c r="J1285" s="24" t="s">
        <v>90</v>
      </c>
      <c r="K1285" s="129" t="s">
        <v>1600</v>
      </c>
      <c r="L1285" s="153"/>
      <c r="M1285" s="26" t="s">
        <v>909</v>
      </c>
      <c r="N1285" s="154">
        <v>43712</v>
      </c>
      <c r="O1285" s="155" t="s">
        <v>457</v>
      </c>
      <c r="P1285" s="156">
        <v>5950</v>
      </c>
      <c r="Q1285" s="156">
        <v>-7</v>
      </c>
      <c r="R1285" s="120">
        <f t="shared" si="33"/>
        <v>-41650</v>
      </c>
      <c r="S1285" s="117">
        <v>202303</v>
      </c>
      <c r="T1285" s="158" t="s">
        <v>1665</v>
      </c>
      <c r="U1285" s="215"/>
      <c r="V1285" s="133"/>
      <c r="W1285" s="133"/>
      <c r="X1285" s="118">
        <v>43525</v>
      </c>
      <c r="Y1285" s="118">
        <v>45549</v>
      </c>
    </row>
    <row r="1286" s="79" customFormat="1" customHeight="1" spans="1:25">
      <c r="A1286" s="98" t="s">
        <v>403</v>
      </c>
      <c r="B1286" s="98" t="s">
        <v>62</v>
      </c>
      <c r="C1286" s="98" t="s">
        <v>217</v>
      </c>
      <c r="D1286" s="98" t="s">
        <v>566</v>
      </c>
      <c r="E1286" s="147" t="s">
        <v>1043</v>
      </c>
      <c r="F1286" s="98" t="s">
        <v>906</v>
      </c>
      <c r="G1286" s="151" t="s">
        <v>88</v>
      </c>
      <c r="H1286" s="19" t="s">
        <v>1599</v>
      </c>
      <c r="I1286" s="23" t="e">
        <f>VLOOKUP(H1286,'合同综合查询数据（3月返）'!$A:$A,1,FALSE)</f>
        <v>#N/A</v>
      </c>
      <c r="J1286" s="24" t="s">
        <v>90</v>
      </c>
      <c r="K1286" s="129" t="s">
        <v>1600</v>
      </c>
      <c r="L1286" s="153"/>
      <c r="M1286" s="26" t="s">
        <v>909</v>
      </c>
      <c r="N1286" s="154">
        <v>43719</v>
      </c>
      <c r="O1286" s="155" t="s">
        <v>457</v>
      </c>
      <c r="P1286" s="156">
        <v>5950</v>
      </c>
      <c r="Q1286" s="156">
        <v>2</v>
      </c>
      <c r="R1286" s="120">
        <f t="shared" si="33"/>
        <v>11900</v>
      </c>
      <c r="S1286" s="117">
        <v>202303</v>
      </c>
      <c r="T1286" s="158" t="s">
        <v>1664</v>
      </c>
      <c r="U1286" s="215"/>
      <c r="V1286" s="133"/>
      <c r="W1286" s="133"/>
      <c r="X1286" s="118">
        <v>43525</v>
      </c>
      <c r="Y1286" s="118">
        <v>45549</v>
      </c>
    </row>
    <row r="1287" s="79" customFormat="1" customHeight="1" spans="1:25">
      <c r="A1287" s="98" t="s">
        <v>403</v>
      </c>
      <c r="B1287" s="98" t="s">
        <v>62</v>
      </c>
      <c r="C1287" s="98" t="s">
        <v>217</v>
      </c>
      <c r="D1287" s="98" t="s">
        <v>566</v>
      </c>
      <c r="E1287" s="147" t="s">
        <v>1043</v>
      </c>
      <c r="F1287" s="98" t="s">
        <v>906</v>
      </c>
      <c r="G1287" s="151" t="s">
        <v>88</v>
      </c>
      <c r="H1287" s="19" t="s">
        <v>1599</v>
      </c>
      <c r="I1287" s="23" t="e">
        <f>VLOOKUP(H1287,'合同综合查询数据（3月返）'!$A:$A,1,FALSE)</f>
        <v>#N/A</v>
      </c>
      <c r="J1287" s="24" t="s">
        <v>90</v>
      </c>
      <c r="K1287" s="129" t="s">
        <v>1600</v>
      </c>
      <c r="L1287" s="153"/>
      <c r="M1287" s="26" t="s">
        <v>909</v>
      </c>
      <c r="N1287" s="154">
        <v>43706</v>
      </c>
      <c r="O1287" s="155" t="s">
        <v>461</v>
      </c>
      <c r="P1287" s="173">
        <v>11700</v>
      </c>
      <c r="Q1287" s="156">
        <v>-5</v>
      </c>
      <c r="R1287" s="120">
        <f t="shared" si="33"/>
        <v>-58500</v>
      </c>
      <c r="S1287" s="117">
        <v>202303</v>
      </c>
      <c r="T1287" s="158" t="s">
        <v>1666</v>
      </c>
      <c r="U1287" s="215"/>
      <c r="V1287" s="133"/>
      <c r="W1287" s="133"/>
      <c r="X1287" s="118">
        <v>43525</v>
      </c>
      <c r="Y1287" s="118">
        <v>45549</v>
      </c>
    </row>
    <row r="1288" s="79" customFormat="1" customHeight="1" spans="1:25">
      <c r="A1288" s="98" t="s">
        <v>403</v>
      </c>
      <c r="B1288" s="98" t="s">
        <v>62</v>
      </c>
      <c r="C1288" s="98" t="s">
        <v>217</v>
      </c>
      <c r="D1288" s="98" t="s">
        <v>566</v>
      </c>
      <c r="E1288" s="147" t="s">
        <v>1043</v>
      </c>
      <c r="F1288" s="98" t="s">
        <v>906</v>
      </c>
      <c r="G1288" s="151" t="s">
        <v>88</v>
      </c>
      <c r="H1288" s="19" t="s">
        <v>1599</v>
      </c>
      <c r="I1288" s="23" t="e">
        <f>VLOOKUP(H1288,'合同综合查询数据（3月返）'!$A:$A,1,FALSE)</f>
        <v>#N/A</v>
      </c>
      <c r="J1288" s="24" t="s">
        <v>90</v>
      </c>
      <c r="K1288" s="129" t="s">
        <v>1600</v>
      </c>
      <c r="L1288" s="153"/>
      <c r="M1288" s="26" t="s">
        <v>909</v>
      </c>
      <c r="N1288" s="154">
        <v>43759</v>
      </c>
      <c r="O1288" s="155" t="s">
        <v>457</v>
      </c>
      <c r="P1288" s="156">
        <v>5950</v>
      </c>
      <c r="Q1288" s="156">
        <v>4</v>
      </c>
      <c r="R1288" s="120">
        <f t="shared" si="33"/>
        <v>23800</v>
      </c>
      <c r="S1288" s="117">
        <v>202303</v>
      </c>
      <c r="T1288" s="158" t="s">
        <v>1667</v>
      </c>
      <c r="U1288" s="215"/>
      <c r="V1288" s="133"/>
      <c r="W1288" s="133"/>
      <c r="X1288" s="118">
        <v>43525</v>
      </c>
      <c r="Y1288" s="118">
        <v>45549</v>
      </c>
    </row>
    <row r="1289" s="9" customFormat="1" customHeight="1" spans="1:25">
      <c r="A1289" s="98" t="s">
        <v>403</v>
      </c>
      <c r="B1289" s="98" t="s">
        <v>62</v>
      </c>
      <c r="C1289" s="98" t="s">
        <v>217</v>
      </c>
      <c r="D1289" s="98" t="s">
        <v>566</v>
      </c>
      <c r="E1289" s="147" t="s">
        <v>1043</v>
      </c>
      <c r="F1289" s="98" t="s">
        <v>906</v>
      </c>
      <c r="G1289" s="151" t="s">
        <v>88</v>
      </c>
      <c r="H1289" s="19" t="s">
        <v>1599</v>
      </c>
      <c r="I1289" s="23" t="e">
        <f>VLOOKUP(H1289,'合同综合查询数据（3月返）'!$A:$A,1,FALSE)</f>
        <v>#N/A</v>
      </c>
      <c r="J1289" s="24" t="s">
        <v>90</v>
      </c>
      <c r="K1289" s="129" t="s">
        <v>1600</v>
      </c>
      <c r="L1289" s="153"/>
      <c r="M1289" s="26" t="s">
        <v>909</v>
      </c>
      <c r="N1289" s="154">
        <v>43759</v>
      </c>
      <c r="O1289" s="155" t="s">
        <v>461</v>
      </c>
      <c r="P1289" s="173">
        <v>11700</v>
      </c>
      <c r="Q1289" s="156">
        <v>2</v>
      </c>
      <c r="R1289" s="120">
        <f t="shared" si="33"/>
        <v>23400</v>
      </c>
      <c r="S1289" s="117">
        <v>202303</v>
      </c>
      <c r="T1289" s="158" t="s">
        <v>1668</v>
      </c>
      <c r="U1289" s="215"/>
      <c r="V1289" s="133"/>
      <c r="W1289" s="133"/>
      <c r="X1289" s="118">
        <v>43525</v>
      </c>
      <c r="Y1289" s="118">
        <v>45549</v>
      </c>
    </row>
    <row r="1290" s="9" customFormat="1" customHeight="1" spans="1:25">
      <c r="A1290" s="98" t="s">
        <v>403</v>
      </c>
      <c r="B1290" s="98" t="s">
        <v>62</v>
      </c>
      <c r="C1290" s="98" t="s">
        <v>217</v>
      </c>
      <c r="D1290" s="98" t="s">
        <v>566</v>
      </c>
      <c r="E1290" s="147" t="s">
        <v>1043</v>
      </c>
      <c r="F1290" s="98" t="s">
        <v>906</v>
      </c>
      <c r="G1290" s="151" t="s">
        <v>88</v>
      </c>
      <c r="H1290" s="19" t="s">
        <v>1599</v>
      </c>
      <c r="I1290" s="23" t="e">
        <f>VLOOKUP(H1290,'合同综合查询数据（3月返）'!$A:$A,1,FALSE)</f>
        <v>#N/A</v>
      </c>
      <c r="J1290" s="24" t="s">
        <v>90</v>
      </c>
      <c r="K1290" s="129" t="s">
        <v>1600</v>
      </c>
      <c r="L1290" s="153"/>
      <c r="M1290" s="26" t="s">
        <v>909</v>
      </c>
      <c r="N1290" s="154">
        <v>43762</v>
      </c>
      <c r="O1290" s="155" t="s">
        <v>461</v>
      </c>
      <c r="P1290" s="173">
        <v>11700</v>
      </c>
      <c r="Q1290" s="156">
        <v>2</v>
      </c>
      <c r="R1290" s="120">
        <f t="shared" si="33"/>
        <v>23400</v>
      </c>
      <c r="S1290" s="117">
        <v>202303</v>
      </c>
      <c r="T1290" s="158" t="s">
        <v>1669</v>
      </c>
      <c r="U1290" s="215"/>
      <c r="V1290" s="133"/>
      <c r="W1290" s="133"/>
      <c r="X1290" s="118">
        <v>43525</v>
      </c>
      <c r="Y1290" s="118">
        <v>45549</v>
      </c>
    </row>
    <row r="1291" s="9" customFormat="1" customHeight="1" spans="1:25">
      <c r="A1291" s="98" t="s">
        <v>403</v>
      </c>
      <c r="B1291" s="98" t="s">
        <v>62</v>
      </c>
      <c r="C1291" s="98" t="s">
        <v>217</v>
      </c>
      <c r="D1291" s="98" t="s">
        <v>566</v>
      </c>
      <c r="E1291" s="147" t="s">
        <v>1043</v>
      </c>
      <c r="F1291" s="98" t="s">
        <v>906</v>
      </c>
      <c r="G1291" s="151" t="s">
        <v>88</v>
      </c>
      <c r="H1291" s="19" t="s">
        <v>1599</v>
      </c>
      <c r="I1291" s="23" t="e">
        <f>VLOOKUP(H1291,'合同综合查询数据（3月返）'!$A:$A,1,FALSE)</f>
        <v>#N/A</v>
      </c>
      <c r="J1291" s="24" t="s">
        <v>90</v>
      </c>
      <c r="K1291" s="129" t="s">
        <v>1600</v>
      </c>
      <c r="L1291" s="153"/>
      <c r="M1291" s="26" t="s">
        <v>909</v>
      </c>
      <c r="N1291" s="154">
        <v>43437</v>
      </c>
      <c r="O1291" s="155" t="s">
        <v>461</v>
      </c>
      <c r="P1291" s="173">
        <v>11700</v>
      </c>
      <c r="Q1291" s="156">
        <v>1</v>
      </c>
      <c r="R1291" s="120">
        <f t="shared" si="33"/>
        <v>11700</v>
      </c>
      <c r="S1291" s="117">
        <v>202303</v>
      </c>
      <c r="T1291" s="158" t="s">
        <v>1670</v>
      </c>
      <c r="U1291" s="215"/>
      <c r="V1291" s="133"/>
      <c r="W1291" s="133"/>
      <c r="X1291" s="118">
        <v>43525</v>
      </c>
      <c r="Y1291" s="118">
        <v>45549</v>
      </c>
    </row>
    <row r="1292" s="9" customFormat="1" customHeight="1" spans="1:25">
      <c r="A1292" s="98" t="s">
        <v>403</v>
      </c>
      <c r="B1292" s="98" t="s">
        <v>62</v>
      </c>
      <c r="C1292" s="98" t="s">
        <v>217</v>
      </c>
      <c r="D1292" s="98" t="s">
        <v>566</v>
      </c>
      <c r="E1292" s="147" t="s">
        <v>1043</v>
      </c>
      <c r="F1292" s="98" t="s">
        <v>906</v>
      </c>
      <c r="G1292" s="151" t="s">
        <v>88</v>
      </c>
      <c r="H1292" s="19" t="s">
        <v>1599</v>
      </c>
      <c r="I1292" s="23" t="e">
        <f>VLOOKUP(H1292,'合同综合查询数据（3月返）'!$A:$A,1,FALSE)</f>
        <v>#N/A</v>
      </c>
      <c r="J1292" s="24" t="s">
        <v>90</v>
      </c>
      <c r="K1292" s="129" t="s">
        <v>1600</v>
      </c>
      <c r="L1292" s="153"/>
      <c r="M1292" s="26" t="s">
        <v>909</v>
      </c>
      <c r="N1292" s="154">
        <v>43775</v>
      </c>
      <c r="O1292" s="155" t="s">
        <v>461</v>
      </c>
      <c r="P1292" s="173">
        <v>11700</v>
      </c>
      <c r="Q1292" s="156">
        <v>1</v>
      </c>
      <c r="R1292" s="120">
        <f t="shared" si="33"/>
        <v>11700</v>
      </c>
      <c r="S1292" s="117">
        <v>202303</v>
      </c>
      <c r="T1292" s="158" t="s">
        <v>1671</v>
      </c>
      <c r="U1292" s="215"/>
      <c r="V1292" s="133"/>
      <c r="W1292" s="133"/>
      <c r="X1292" s="118">
        <v>43525</v>
      </c>
      <c r="Y1292" s="118">
        <v>45549</v>
      </c>
    </row>
    <row r="1293" s="9" customFormat="1" customHeight="1" spans="1:25">
      <c r="A1293" s="98" t="s">
        <v>403</v>
      </c>
      <c r="B1293" s="98" t="s">
        <v>62</v>
      </c>
      <c r="C1293" s="98" t="s">
        <v>217</v>
      </c>
      <c r="D1293" s="98" t="s">
        <v>566</v>
      </c>
      <c r="E1293" s="147" t="s">
        <v>1043</v>
      </c>
      <c r="F1293" s="98" t="s">
        <v>906</v>
      </c>
      <c r="G1293" s="151" t="s">
        <v>88</v>
      </c>
      <c r="H1293" s="19" t="s">
        <v>1599</v>
      </c>
      <c r="I1293" s="23" t="e">
        <f>VLOOKUP(H1293,'合同综合查询数据（3月返）'!$A:$A,1,FALSE)</f>
        <v>#N/A</v>
      </c>
      <c r="J1293" s="24" t="s">
        <v>90</v>
      </c>
      <c r="K1293" s="129" t="s">
        <v>1600</v>
      </c>
      <c r="L1293" s="153"/>
      <c r="M1293" s="26" t="s">
        <v>909</v>
      </c>
      <c r="N1293" s="154">
        <v>43784</v>
      </c>
      <c r="O1293" s="155" t="s">
        <v>461</v>
      </c>
      <c r="P1293" s="173">
        <v>11700</v>
      </c>
      <c r="Q1293" s="156">
        <v>3</v>
      </c>
      <c r="R1293" s="120">
        <f t="shared" si="33"/>
        <v>35100</v>
      </c>
      <c r="S1293" s="117">
        <v>202303</v>
      </c>
      <c r="T1293" s="158" t="s">
        <v>1672</v>
      </c>
      <c r="U1293" s="215"/>
      <c r="V1293" s="133"/>
      <c r="W1293" s="133"/>
      <c r="X1293" s="118">
        <v>43525</v>
      </c>
      <c r="Y1293" s="118">
        <v>45549</v>
      </c>
    </row>
    <row r="1294" s="9" customFormat="1" customHeight="1" spans="1:25">
      <c r="A1294" s="98" t="s">
        <v>403</v>
      </c>
      <c r="B1294" s="98" t="s">
        <v>62</v>
      </c>
      <c r="C1294" s="98" t="s">
        <v>217</v>
      </c>
      <c r="D1294" s="98" t="s">
        <v>566</v>
      </c>
      <c r="E1294" s="147" t="s">
        <v>1043</v>
      </c>
      <c r="F1294" s="98" t="s">
        <v>906</v>
      </c>
      <c r="G1294" s="151" t="s">
        <v>88</v>
      </c>
      <c r="H1294" s="19" t="s">
        <v>1599</v>
      </c>
      <c r="I1294" s="23" t="e">
        <f>VLOOKUP(H1294,'合同综合查询数据（3月返）'!$A:$A,1,FALSE)</f>
        <v>#N/A</v>
      </c>
      <c r="J1294" s="24" t="s">
        <v>90</v>
      </c>
      <c r="K1294" s="129" t="s">
        <v>1600</v>
      </c>
      <c r="L1294" s="153"/>
      <c r="M1294" s="26" t="s">
        <v>909</v>
      </c>
      <c r="N1294" s="154">
        <v>43819</v>
      </c>
      <c r="O1294" s="155" t="s">
        <v>461</v>
      </c>
      <c r="P1294" s="173">
        <v>11700</v>
      </c>
      <c r="Q1294" s="156">
        <v>1</v>
      </c>
      <c r="R1294" s="120">
        <f t="shared" si="33"/>
        <v>11700</v>
      </c>
      <c r="S1294" s="117">
        <v>202303</v>
      </c>
      <c r="T1294" s="158" t="s">
        <v>1673</v>
      </c>
      <c r="U1294" s="215"/>
      <c r="V1294" s="133"/>
      <c r="W1294" s="133"/>
      <c r="X1294" s="118">
        <v>43525</v>
      </c>
      <c r="Y1294" s="118">
        <v>45549</v>
      </c>
    </row>
    <row r="1295" s="9" customFormat="1" customHeight="1" spans="1:25">
      <c r="A1295" s="98" t="s">
        <v>403</v>
      </c>
      <c r="B1295" s="98" t="s">
        <v>62</v>
      </c>
      <c r="C1295" s="98" t="s">
        <v>217</v>
      </c>
      <c r="D1295" s="98" t="s">
        <v>566</v>
      </c>
      <c r="E1295" s="147" t="s">
        <v>1043</v>
      </c>
      <c r="F1295" s="98" t="s">
        <v>906</v>
      </c>
      <c r="G1295" s="151" t="s">
        <v>88</v>
      </c>
      <c r="H1295" s="19" t="s">
        <v>1599</v>
      </c>
      <c r="I1295" s="23" t="e">
        <f>VLOOKUP(H1295,'合同综合查询数据（3月返）'!$A:$A,1,FALSE)</f>
        <v>#N/A</v>
      </c>
      <c r="J1295" s="24" t="s">
        <v>90</v>
      </c>
      <c r="K1295" s="129" t="s">
        <v>1600</v>
      </c>
      <c r="L1295" s="153"/>
      <c r="M1295" s="26" t="s">
        <v>909</v>
      </c>
      <c r="N1295" s="154">
        <v>43823</v>
      </c>
      <c r="O1295" s="155" t="s">
        <v>461</v>
      </c>
      <c r="P1295" s="173">
        <v>11700</v>
      </c>
      <c r="Q1295" s="156">
        <v>3</v>
      </c>
      <c r="R1295" s="120">
        <f t="shared" si="33"/>
        <v>35100</v>
      </c>
      <c r="S1295" s="117">
        <v>202303</v>
      </c>
      <c r="T1295" s="158" t="s">
        <v>1674</v>
      </c>
      <c r="U1295" s="215"/>
      <c r="V1295" s="133"/>
      <c r="W1295" s="133"/>
      <c r="X1295" s="118">
        <v>43525</v>
      </c>
      <c r="Y1295" s="118">
        <v>45549</v>
      </c>
    </row>
    <row r="1296" s="9" customFormat="1" customHeight="1" spans="1:25">
      <c r="A1296" s="98" t="s">
        <v>403</v>
      </c>
      <c r="B1296" s="98" t="s">
        <v>62</v>
      </c>
      <c r="C1296" s="98" t="s">
        <v>217</v>
      </c>
      <c r="D1296" s="98" t="s">
        <v>566</v>
      </c>
      <c r="E1296" s="147" t="s">
        <v>1043</v>
      </c>
      <c r="F1296" s="98" t="s">
        <v>906</v>
      </c>
      <c r="G1296" s="151" t="s">
        <v>88</v>
      </c>
      <c r="H1296" s="19" t="s">
        <v>1599</v>
      </c>
      <c r="I1296" s="23" t="e">
        <f>VLOOKUP(H1296,'合同综合查询数据（3月返）'!$A:$A,1,FALSE)</f>
        <v>#N/A</v>
      </c>
      <c r="J1296" s="24" t="s">
        <v>90</v>
      </c>
      <c r="K1296" s="129" t="s">
        <v>1600</v>
      </c>
      <c r="L1296" s="153"/>
      <c r="M1296" s="26" t="s">
        <v>909</v>
      </c>
      <c r="N1296" s="154">
        <v>43845</v>
      </c>
      <c r="O1296" s="155" t="s">
        <v>461</v>
      </c>
      <c r="P1296" s="173">
        <v>11700</v>
      </c>
      <c r="Q1296" s="156">
        <v>1</v>
      </c>
      <c r="R1296" s="120">
        <f t="shared" si="33"/>
        <v>11700</v>
      </c>
      <c r="S1296" s="117">
        <v>202303</v>
      </c>
      <c r="T1296" s="158" t="s">
        <v>1675</v>
      </c>
      <c r="U1296" s="215"/>
      <c r="V1296" s="133"/>
      <c r="W1296" s="133"/>
      <c r="X1296" s="118">
        <v>43525</v>
      </c>
      <c r="Y1296" s="118">
        <v>45549</v>
      </c>
    </row>
    <row r="1297" s="9" customFormat="1" customHeight="1" spans="1:25">
      <c r="A1297" s="98" t="s">
        <v>403</v>
      </c>
      <c r="B1297" s="98" t="s">
        <v>62</v>
      </c>
      <c r="C1297" s="98" t="s">
        <v>217</v>
      </c>
      <c r="D1297" s="98" t="s">
        <v>566</v>
      </c>
      <c r="E1297" s="147" t="s">
        <v>1043</v>
      </c>
      <c r="F1297" s="98" t="s">
        <v>906</v>
      </c>
      <c r="G1297" s="151" t="s">
        <v>88</v>
      </c>
      <c r="H1297" s="19" t="s">
        <v>1599</v>
      </c>
      <c r="I1297" s="23" t="e">
        <f>VLOOKUP(H1297,'合同综合查询数据（3月返）'!$A:$A,1,FALSE)</f>
        <v>#N/A</v>
      </c>
      <c r="J1297" s="24" t="s">
        <v>90</v>
      </c>
      <c r="K1297" s="129" t="s">
        <v>1600</v>
      </c>
      <c r="L1297" s="153"/>
      <c r="M1297" s="26" t="s">
        <v>909</v>
      </c>
      <c r="N1297" s="154">
        <v>43846</v>
      </c>
      <c r="O1297" s="155" t="s">
        <v>461</v>
      </c>
      <c r="P1297" s="173">
        <v>11700</v>
      </c>
      <c r="Q1297" s="156">
        <v>5</v>
      </c>
      <c r="R1297" s="120">
        <f t="shared" si="33"/>
        <v>58500</v>
      </c>
      <c r="S1297" s="117">
        <v>202303</v>
      </c>
      <c r="T1297" s="158" t="s">
        <v>1676</v>
      </c>
      <c r="U1297" s="215"/>
      <c r="V1297" s="133"/>
      <c r="W1297" s="133"/>
      <c r="X1297" s="118">
        <v>43525</v>
      </c>
      <c r="Y1297" s="118">
        <v>45549</v>
      </c>
    </row>
    <row r="1298" s="9" customFormat="1" customHeight="1" spans="1:25">
      <c r="A1298" s="98" t="s">
        <v>403</v>
      </c>
      <c r="B1298" s="98" t="s">
        <v>62</v>
      </c>
      <c r="C1298" s="98" t="s">
        <v>217</v>
      </c>
      <c r="D1298" s="98" t="s">
        <v>566</v>
      </c>
      <c r="E1298" s="147" t="s">
        <v>1043</v>
      </c>
      <c r="F1298" s="98" t="s">
        <v>906</v>
      </c>
      <c r="G1298" s="151" t="s">
        <v>88</v>
      </c>
      <c r="H1298" s="19" t="s">
        <v>1599</v>
      </c>
      <c r="I1298" s="23" t="e">
        <f>VLOOKUP(H1298,'合同综合查询数据（3月返）'!$A:$A,1,FALSE)</f>
        <v>#N/A</v>
      </c>
      <c r="J1298" s="24" t="s">
        <v>90</v>
      </c>
      <c r="K1298" s="129" t="s">
        <v>1600</v>
      </c>
      <c r="L1298" s="153"/>
      <c r="M1298" s="26" t="s">
        <v>909</v>
      </c>
      <c r="N1298" s="154">
        <v>43849</v>
      </c>
      <c r="O1298" s="155" t="s">
        <v>461</v>
      </c>
      <c r="P1298" s="173">
        <v>11700</v>
      </c>
      <c r="Q1298" s="156">
        <v>2</v>
      </c>
      <c r="R1298" s="120">
        <f t="shared" si="33"/>
        <v>23400</v>
      </c>
      <c r="S1298" s="117">
        <v>202303</v>
      </c>
      <c r="T1298" s="158" t="s">
        <v>1677</v>
      </c>
      <c r="U1298" s="215"/>
      <c r="V1298" s="133"/>
      <c r="W1298" s="133"/>
      <c r="X1298" s="118">
        <v>43525</v>
      </c>
      <c r="Y1298" s="118">
        <v>45549</v>
      </c>
    </row>
    <row r="1299" s="9" customFormat="1" customHeight="1" spans="1:25">
      <c r="A1299" s="98" t="s">
        <v>403</v>
      </c>
      <c r="B1299" s="98" t="s">
        <v>62</v>
      </c>
      <c r="C1299" s="98" t="s">
        <v>217</v>
      </c>
      <c r="D1299" s="98" t="s">
        <v>566</v>
      </c>
      <c r="E1299" s="147" t="s">
        <v>1043</v>
      </c>
      <c r="F1299" s="98" t="s">
        <v>906</v>
      </c>
      <c r="G1299" s="151" t="s">
        <v>88</v>
      </c>
      <c r="H1299" s="19" t="s">
        <v>1599</v>
      </c>
      <c r="I1299" s="23" t="e">
        <f>VLOOKUP(H1299,'合同综合查询数据（3月返）'!$A:$A,1,FALSE)</f>
        <v>#N/A</v>
      </c>
      <c r="J1299" s="24" t="s">
        <v>90</v>
      </c>
      <c r="K1299" s="129" t="s">
        <v>1600</v>
      </c>
      <c r="L1299" s="153"/>
      <c r="M1299" s="26" t="s">
        <v>909</v>
      </c>
      <c r="N1299" s="154">
        <v>43875</v>
      </c>
      <c r="O1299" s="155" t="s">
        <v>461</v>
      </c>
      <c r="P1299" s="173">
        <v>11700</v>
      </c>
      <c r="Q1299" s="156">
        <v>3</v>
      </c>
      <c r="R1299" s="120">
        <f t="shared" si="33"/>
        <v>35100</v>
      </c>
      <c r="S1299" s="117">
        <v>202303</v>
      </c>
      <c r="T1299" s="158" t="s">
        <v>1678</v>
      </c>
      <c r="U1299" s="215"/>
      <c r="V1299" s="133"/>
      <c r="W1299" s="133"/>
      <c r="X1299" s="118">
        <v>43525</v>
      </c>
      <c r="Y1299" s="118">
        <v>45549</v>
      </c>
    </row>
    <row r="1300" s="9" customFormat="1" customHeight="1" spans="1:25">
      <c r="A1300" s="98" t="s">
        <v>403</v>
      </c>
      <c r="B1300" s="98" t="s">
        <v>62</v>
      </c>
      <c r="C1300" s="98" t="s">
        <v>217</v>
      </c>
      <c r="D1300" s="98" t="s">
        <v>566</v>
      </c>
      <c r="E1300" s="147" t="s">
        <v>1043</v>
      </c>
      <c r="F1300" s="98" t="s">
        <v>906</v>
      </c>
      <c r="G1300" s="151" t="s">
        <v>88</v>
      </c>
      <c r="H1300" s="19" t="s">
        <v>1599</v>
      </c>
      <c r="I1300" s="23" t="e">
        <f>VLOOKUP(H1300,'合同综合查询数据（3月返）'!$A:$A,1,FALSE)</f>
        <v>#N/A</v>
      </c>
      <c r="J1300" s="24" t="s">
        <v>90</v>
      </c>
      <c r="K1300" s="129" t="s">
        <v>1600</v>
      </c>
      <c r="L1300" s="153"/>
      <c r="M1300" s="26" t="s">
        <v>909</v>
      </c>
      <c r="N1300" s="154">
        <v>43886</v>
      </c>
      <c r="O1300" s="155" t="s">
        <v>461</v>
      </c>
      <c r="P1300" s="173">
        <v>11700</v>
      </c>
      <c r="Q1300" s="156">
        <v>1</v>
      </c>
      <c r="R1300" s="120">
        <f t="shared" si="33"/>
        <v>11700</v>
      </c>
      <c r="S1300" s="117">
        <v>202303</v>
      </c>
      <c r="T1300" s="158" t="s">
        <v>1679</v>
      </c>
      <c r="U1300" s="215"/>
      <c r="V1300" s="133"/>
      <c r="W1300" s="133"/>
      <c r="X1300" s="118">
        <v>43525</v>
      </c>
      <c r="Y1300" s="118">
        <v>45549</v>
      </c>
    </row>
    <row r="1301" s="9" customFormat="1" customHeight="1" spans="1:25">
      <c r="A1301" s="98" t="s">
        <v>403</v>
      </c>
      <c r="B1301" s="98" t="s">
        <v>62</v>
      </c>
      <c r="C1301" s="98" t="s">
        <v>217</v>
      </c>
      <c r="D1301" s="98" t="s">
        <v>566</v>
      </c>
      <c r="E1301" s="147" t="s">
        <v>1043</v>
      </c>
      <c r="F1301" s="98" t="s">
        <v>906</v>
      </c>
      <c r="G1301" s="151" t="s">
        <v>88</v>
      </c>
      <c r="H1301" s="19" t="s">
        <v>1599</v>
      </c>
      <c r="I1301" s="23" t="e">
        <f>VLOOKUP(H1301,'合同综合查询数据（3月返）'!$A:$A,1,FALSE)</f>
        <v>#N/A</v>
      </c>
      <c r="J1301" s="24" t="s">
        <v>90</v>
      </c>
      <c r="K1301" s="129" t="s">
        <v>1600</v>
      </c>
      <c r="L1301" s="153"/>
      <c r="M1301" s="26" t="s">
        <v>909</v>
      </c>
      <c r="N1301" s="154">
        <v>43893</v>
      </c>
      <c r="O1301" s="155" t="s">
        <v>461</v>
      </c>
      <c r="P1301" s="173">
        <v>11700</v>
      </c>
      <c r="Q1301" s="156">
        <v>3</v>
      </c>
      <c r="R1301" s="120">
        <f t="shared" si="33"/>
        <v>35100</v>
      </c>
      <c r="S1301" s="117">
        <v>202303</v>
      </c>
      <c r="T1301" s="158" t="s">
        <v>1680</v>
      </c>
      <c r="U1301" s="215"/>
      <c r="V1301" s="133"/>
      <c r="W1301" s="133"/>
      <c r="X1301" s="118">
        <v>43525</v>
      </c>
      <c r="Y1301" s="118">
        <v>45549</v>
      </c>
    </row>
    <row r="1302" s="9" customFormat="1" customHeight="1" spans="1:25">
      <c r="A1302" s="98" t="s">
        <v>403</v>
      </c>
      <c r="B1302" s="98" t="s">
        <v>62</v>
      </c>
      <c r="C1302" s="98" t="s">
        <v>217</v>
      </c>
      <c r="D1302" s="98" t="s">
        <v>566</v>
      </c>
      <c r="E1302" s="147" t="s">
        <v>1043</v>
      </c>
      <c r="F1302" s="98" t="s">
        <v>906</v>
      </c>
      <c r="G1302" s="151" t="s">
        <v>88</v>
      </c>
      <c r="H1302" s="19" t="s">
        <v>1599</v>
      </c>
      <c r="I1302" s="23" t="e">
        <f>VLOOKUP(H1302,'合同综合查询数据（3月返）'!$A:$A,1,FALSE)</f>
        <v>#N/A</v>
      </c>
      <c r="J1302" s="24" t="s">
        <v>90</v>
      </c>
      <c r="K1302" s="129" t="s">
        <v>1600</v>
      </c>
      <c r="L1302" s="153"/>
      <c r="M1302" s="26" t="s">
        <v>909</v>
      </c>
      <c r="N1302" s="154">
        <v>43895</v>
      </c>
      <c r="O1302" s="155" t="s">
        <v>461</v>
      </c>
      <c r="P1302" s="173">
        <v>11700</v>
      </c>
      <c r="Q1302" s="156">
        <v>1</v>
      </c>
      <c r="R1302" s="120">
        <f t="shared" si="33"/>
        <v>11700</v>
      </c>
      <c r="S1302" s="117">
        <v>202303</v>
      </c>
      <c r="T1302" s="158" t="s">
        <v>1681</v>
      </c>
      <c r="U1302" s="215"/>
      <c r="V1302" s="133"/>
      <c r="W1302" s="133"/>
      <c r="X1302" s="118">
        <v>43525</v>
      </c>
      <c r="Y1302" s="118">
        <v>45549</v>
      </c>
    </row>
    <row r="1303" s="9" customFormat="1" customHeight="1" spans="1:25">
      <c r="A1303" s="98" t="s">
        <v>403</v>
      </c>
      <c r="B1303" s="98" t="s">
        <v>62</v>
      </c>
      <c r="C1303" s="98" t="s">
        <v>217</v>
      </c>
      <c r="D1303" s="98" t="s">
        <v>566</v>
      </c>
      <c r="E1303" s="147" t="s">
        <v>1043</v>
      </c>
      <c r="F1303" s="98" t="s">
        <v>906</v>
      </c>
      <c r="G1303" s="151" t="s">
        <v>88</v>
      </c>
      <c r="H1303" s="19" t="s">
        <v>1599</v>
      </c>
      <c r="I1303" s="23" t="e">
        <f>VLOOKUP(H1303,'合同综合查询数据（3月返）'!$A:$A,1,FALSE)</f>
        <v>#N/A</v>
      </c>
      <c r="J1303" s="24" t="s">
        <v>90</v>
      </c>
      <c r="K1303" s="129" t="s">
        <v>1600</v>
      </c>
      <c r="L1303" s="153"/>
      <c r="M1303" s="26" t="s">
        <v>909</v>
      </c>
      <c r="N1303" s="154">
        <v>43909</v>
      </c>
      <c r="O1303" s="155" t="s">
        <v>461</v>
      </c>
      <c r="P1303" s="173">
        <v>11700</v>
      </c>
      <c r="Q1303" s="156">
        <v>1</v>
      </c>
      <c r="R1303" s="120">
        <f t="shared" si="33"/>
        <v>11700</v>
      </c>
      <c r="S1303" s="117">
        <v>202303</v>
      </c>
      <c r="T1303" s="158" t="s">
        <v>1682</v>
      </c>
      <c r="U1303" s="215"/>
      <c r="V1303" s="133"/>
      <c r="W1303" s="133"/>
      <c r="X1303" s="118">
        <v>43525</v>
      </c>
      <c r="Y1303" s="118">
        <v>45549</v>
      </c>
    </row>
    <row r="1304" s="9" customFormat="1" customHeight="1" spans="1:25">
      <c r="A1304" s="98" t="s">
        <v>403</v>
      </c>
      <c r="B1304" s="98" t="s">
        <v>62</v>
      </c>
      <c r="C1304" s="98" t="s">
        <v>217</v>
      </c>
      <c r="D1304" s="98" t="s">
        <v>566</v>
      </c>
      <c r="E1304" s="147" t="s">
        <v>1043</v>
      </c>
      <c r="F1304" s="98" t="s">
        <v>906</v>
      </c>
      <c r="G1304" s="151" t="s">
        <v>88</v>
      </c>
      <c r="H1304" s="19" t="s">
        <v>1599</v>
      </c>
      <c r="I1304" s="23" t="e">
        <f>VLOOKUP(H1304,'合同综合查询数据（3月返）'!$A:$A,1,FALSE)</f>
        <v>#N/A</v>
      </c>
      <c r="J1304" s="24" t="s">
        <v>90</v>
      </c>
      <c r="K1304" s="129" t="s">
        <v>1600</v>
      </c>
      <c r="L1304" s="153"/>
      <c r="M1304" s="26" t="s">
        <v>909</v>
      </c>
      <c r="N1304" s="154">
        <v>43886</v>
      </c>
      <c r="O1304" s="155" t="s">
        <v>461</v>
      </c>
      <c r="P1304" s="173">
        <v>11700</v>
      </c>
      <c r="Q1304" s="156">
        <v>3</v>
      </c>
      <c r="R1304" s="120">
        <f t="shared" si="33"/>
        <v>35100</v>
      </c>
      <c r="S1304" s="117">
        <v>202303</v>
      </c>
      <c r="T1304" s="158" t="s">
        <v>1683</v>
      </c>
      <c r="U1304" s="215"/>
      <c r="V1304" s="133"/>
      <c r="W1304" s="133"/>
      <c r="X1304" s="118">
        <v>43525</v>
      </c>
      <c r="Y1304" s="118">
        <v>45549</v>
      </c>
    </row>
    <row r="1305" s="9" customFormat="1" customHeight="1" spans="1:25">
      <c r="A1305" s="98" t="s">
        <v>403</v>
      </c>
      <c r="B1305" s="98" t="s">
        <v>62</v>
      </c>
      <c r="C1305" s="98" t="s">
        <v>217</v>
      </c>
      <c r="D1305" s="98" t="s">
        <v>566</v>
      </c>
      <c r="E1305" s="147" t="s">
        <v>1043</v>
      </c>
      <c r="F1305" s="98" t="s">
        <v>906</v>
      </c>
      <c r="G1305" s="151" t="s">
        <v>88</v>
      </c>
      <c r="H1305" s="19" t="s">
        <v>1599</v>
      </c>
      <c r="I1305" s="23" t="e">
        <f>VLOOKUP(H1305,'合同综合查询数据（3月返）'!$A:$A,1,FALSE)</f>
        <v>#N/A</v>
      </c>
      <c r="J1305" s="24" t="s">
        <v>90</v>
      </c>
      <c r="K1305" s="129" t="s">
        <v>1600</v>
      </c>
      <c r="L1305" s="153"/>
      <c r="M1305" s="26" t="s">
        <v>909</v>
      </c>
      <c r="N1305" s="154">
        <v>43928</v>
      </c>
      <c r="O1305" s="155" t="s">
        <v>461</v>
      </c>
      <c r="P1305" s="173">
        <v>11700</v>
      </c>
      <c r="Q1305" s="156">
        <v>6</v>
      </c>
      <c r="R1305" s="120">
        <f t="shared" si="33"/>
        <v>70200</v>
      </c>
      <c r="S1305" s="117">
        <v>202303</v>
      </c>
      <c r="T1305" s="157" t="s">
        <v>1684</v>
      </c>
      <c r="U1305" s="180"/>
      <c r="V1305" s="133"/>
      <c r="W1305" s="133"/>
      <c r="X1305" s="118">
        <v>43525</v>
      </c>
      <c r="Y1305" s="118">
        <v>45549</v>
      </c>
    </row>
    <row r="1306" s="9" customFormat="1" customHeight="1" spans="1:25">
      <c r="A1306" s="98" t="s">
        <v>403</v>
      </c>
      <c r="B1306" s="98" t="s">
        <v>62</v>
      </c>
      <c r="C1306" s="98" t="s">
        <v>217</v>
      </c>
      <c r="D1306" s="98" t="s">
        <v>566</v>
      </c>
      <c r="E1306" s="147" t="s">
        <v>1043</v>
      </c>
      <c r="F1306" s="98" t="s">
        <v>906</v>
      </c>
      <c r="G1306" s="151" t="s">
        <v>88</v>
      </c>
      <c r="H1306" s="19" t="s">
        <v>1599</v>
      </c>
      <c r="I1306" s="23" t="e">
        <f>VLOOKUP(H1306,'合同综合查询数据（3月返）'!$A:$A,1,FALSE)</f>
        <v>#N/A</v>
      </c>
      <c r="J1306" s="24" t="s">
        <v>90</v>
      </c>
      <c r="K1306" s="129" t="s">
        <v>1600</v>
      </c>
      <c r="L1306" s="153"/>
      <c r="M1306" s="26" t="s">
        <v>909</v>
      </c>
      <c r="N1306" s="154">
        <v>43938</v>
      </c>
      <c r="O1306" s="155" t="s">
        <v>461</v>
      </c>
      <c r="P1306" s="173">
        <v>11700</v>
      </c>
      <c r="Q1306" s="156">
        <v>1</v>
      </c>
      <c r="R1306" s="120">
        <f t="shared" si="33"/>
        <v>11700</v>
      </c>
      <c r="S1306" s="117">
        <v>202303</v>
      </c>
      <c r="T1306" s="157" t="s">
        <v>1685</v>
      </c>
      <c r="U1306" s="180"/>
      <c r="V1306" s="133"/>
      <c r="W1306" s="133"/>
      <c r="X1306" s="118">
        <v>43525</v>
      </c>
      <c r="Y1306" s="118">
        <v>45549</v>
      </c>
    </row>
    <row r="1307" s="9" customFormat="1" customHeight="1" spans="1:25">
      <c r="A1307" s="98" t="s">
        <v>403</v>
      </c>
      <c r="B1307" s="98" t="s">
        <v>62</v>
      </c>
      <c r="C1307" s="98" t="s">
        <v>217</v>
      </c>
      <c r="D1307" s="98" t="s">
        <v>566</v>
      </c>
      <c r="E1307" s="147" t="s">
        <v>1043</v>
      </c>
      <c r="F1307" s="98" t="s">
        <v>906</v>
      </c>
      <c r="G1307" s="151" t="s">
        <v>88</v>
      </c>
      <c r="H1307" s="19" t="s">
        <v>1599</v>
      </c>
      <c r="I1307" s="23" t="e">
        <f>VLOOKUP(H1307,'合同综合查询数据（3月返）'!$A:$A,1,FALSE)</f>
        <v>#N/A</v>
      </c>
      <c r="J1307" s="24" t="s">
        <v>90</v>
      </c>
      <c r="K1307" s="129" t="s">
        <v>1600</v>
      </c>
      <c r="L1307" s="153"/>
      <c r="M1307" s="26" t="s">
        <v>1686</v>
      </c>
      <c r="N1307" s="154">
        <v>43941</v>
      </c>
      <c r="O1307" s="155" t="s">
        <v>461</v>
      </c>
      <c r="P1307" s="173">
        <v>11700</v>
      </c>
      <c r="Q1307" s="156">
        <v>1</v>
      </c>
      <c r="R1307" s="120">
        <f t="shared" si="33"/>
        <v>11700</v>
      </c>
      <c r="S1307" s="117">
        <v>202303</v>
      </c>
      <c r="T1307" s="157" t="s">
        <v>1687</v>
      </c>
      <c r="U1307" s="180"/>
      <c r="V1307" s="133"/>
      <c r="W1307" s="133"/>
      <c r="X1307" s="118">
        <v>43525</v>
      </c>
      <c r="Y1307" s="118">
        <v>45549</v>
      </c>
    </row>
    <row r="1308" s="9" customFormat="1" customHeight="1" spans="1:25">
      <c r="A1308" s="98" t="s">
        <v>403</v>
      </c>
      <c r="B1308" s="98" t="s">
        <v>62</v>
      </c>
      <c r="C1308" s="98" t="s">
        <v>217</v>
      </c>
      <c r="D1308" s="98" t="s">
        <v>566</v>
      </c>
      <c r="E1308" s="147" t="s">
        <v>1043</v>
      </c>
      <c r="F1308" s="98" t="s">
        <v>906</v>
      </c>
      <c r="G1308" s="151" t="s">
        <v>88</v>
      </c>
      <c r="H1308" s="19" t="s">
        <v>1599</v>
      </c>
      <c r="I1308" s="23" t="e">
        <f>VLOOKUP(H1308,'合同综合查询数据（3月返）'!$A:$A,1,FALSE)</f>
        <v>#N/A</v>
      </c>
      <c r="J1308" s="24" t="s">
        <v>90</v>
      </c>
      <c r="K1308" s="129" t="s">
        <v>1600</v>
      </c>
      <c r="L1308" s="153"/>
      <c r="M1308" s="26" t="s">
        <v>909</v>
      </c>
      <c r="N1308" s="154">
        <v>43941</v>
      </c>
      <c r="O1308" s="155" t="s">
        <v>457</v>
      </c>
      <c r="P1308" s="156">
        <v>5950</v>
      </c>
      <c r="Q1308" s="156">
        <v>1</v>
      </c>
      <c r="R1308" s="120">
        <f t="shared" si="33"/>
        <v>5950</v>
      </c>
      <c r="S1308" s="117">
        <v>202303</v>
      </c>
      <c r="T1308" s="157" t="s">
        <v>1688</v>
      </c>
      <c r="U1308" s="180"/>
      <c r="V1308" s="133"/>
      <c r="W1308" s="133"/>
      <c r="X1308" s="118">
        <v>43525</v>
      </c>
      <c r="Y1308" s="118">
        <v>45549</v>
      </c>
    </row>
    <row r="1309" s="9" customFormat="1" customHeight="1" spans="1:25">
      <c r="A1309" s="98" t="s">
        <v>403</v>
      </c>
      <c r="B1309" s="98" t="s">
        <v>62</v>
      </c>
      <c r="C1309" s="98" t="s">
        <v>217</v>
      </c>
      <c r="D1309" s="98" t="s">
        <v>566</v>
      </c>
      <c r="E1309" s="147" t="s">
        <v>1043</v>
      </c>
      <c r="F1309" s="98" t="s">
        <v>906</v>
      </c>
      <c r="G1309" s="151" t="s">
        <v>88</v>
      </c>
      <c r="H1309" s="19" t="s">
        <v>1599</v>
      </c>
      <c r="I1309" s="23" t="e">
        <f>VLOOKUP(H1309,'合同综合查询数据（3月返）'!$A:$A,1,FALSE)</f>
        <v>#N/A</v>
      </c>
      <c r="J1309" s="24" t="s">
        <v>90</v>
      </c>
      <c r="K1309" s="129" t="s">
        <v>1600</v>
      </c>
      <c r="L1309" s="153"/>
      <c r="M1309" s="26" t="s">
        <v>909</v>
      </c>
      <c r="N1309" s="154">
        <v>43958</v>
      </c>
      <c r="O1309" s="155" t="s">
        <v>457</v>
      </c>
      <c r="P1309" s="156">
        <v>5950</v>
      </c>
      <c r="Q1309" s="156">
        <v>3</v>
      </c>
      <c r="R1309" s="120">
        <f t="shared" si="33"/>
        <v>17850</v>
      </c>
      <c r="S1309" s="117">
        <v>202303</v>
      </c>
      <c r="T1309" s="157" t="s">
        <v>1689</v>
      </c>
      <c r="U1309" s="180"/>
      <c r="V1309" s="133"/>
      <c r="W1309" s="133"/>
      <c r="X1309" s="118">
        <v>43525</v>
      </c>
      <c r="Y1309" s="118">
        <v>45549</v>
      </c>
    </row>
    <row r="1310" s="9" customFormat="1" customHeight="1" spans="1:25">
      <c r="A1310" s="98" t="s">
        <v>403</v>
      </c>
      <c r="B1310" s="98" t="s">
        <v>62</v>
      </c>
      <c r="C1310" s="98" t="s">
        <v>217</v>
      </c>
      <c r="D1310" s="98" t="s">
        <v>566</v>
      </c>
      <c r="E1310" s="147" t="s">
        <v>1043</v>
      </c>
      <c r="F1310" s="98" t="s">
        <v>906</v>
      </c>
      <c r="G1310" s="151" t="s">
        <v>88</v>
      </c>
      <c r="H1310" s="19" t="s">
        <v>1599</v>
      </c>
      <c r="I1310" s="23" t="e">
        <f>VLOOKUP(H1310,'合同综合查询数据（3月返）'!$A:$A,1,FALSE)</f>
        <v>#N/A</v>
      </c>
      <c r="J1310" s="24" t="s">
        <v>90</v>
      </c>
      <c r="K1310" s="129" t="s">
        <v>1600</v>
      </c>
      <c r="L1310" s="153"/>
      <c r="M1310" s="26" t="s">
        <v>909</v>
      </c>
      <c r="N1310" s="154">
        <v>43959</v>
      </c>
      <c r="O1310" s="155" t="s">
        <v>461</v>
      </c>
      <c r="P1310" s="156">
        <v>11700</v>
      </c>
      <c r="Q1310" s="156">
        <v>1</v>
      </c>
      <c r="R1310" s="120">
        <f t="shared" si="33"/>
        <v>11700</v>
      </c>
      <c r="S1310" s="117">
        <v>202303</v>
      </c>
      <c r="T1310" s="157" t="s">
        <v>1690</v>
      </c>
      <c r="U1310" s="180"/>
      <c r="V1310" s="133"/>
      <c r="W1310" s="133"/>
      <c r="X1310" s="118">
        <v>43525</v>
      </c>
      <c r="Y1310" s="118">
        <v>45549</v>
      </c>
    </row>
    <row r="1311" s="9" customFormat="1" customHeight="1" spans="1:25">
      <c r="A1311" s="98" t="s">
        <v>403</v>
      </c>
      <c r="B1311" s="98" t="s">
        <v>62</v>
      </c>
      <c r="C1311" s="98" t="s">
        <v>217</v>
      </c>
      <c r="D1311" s="98" t="s">
        <v>566</v>
      </c>
      <c r="E1311" s="147" t="s">
        <v>1043</v>
      </c>
      <c r="F1311" s="98" t="s">
        <v>906</v>
      </c>
      <c r="G1311" s="151" t="s">
        <v>88</v>
      </c>
      <c r="H1311" s="19" t="s">
        <v>1599</v>
      </c>
      <c r="I1311" s="23" t="e">
        <f>VLOOKUP(H1311,'合同综合查询数据（3月返）'!$A:$A,1,FALSE)</f>
        <v>#N/A</v>
      </c>
      <c r="J1311" s="24" t="s">
        <v>90</v>
      </c>
      <c r="K1311" s="129" t="s">
        <v>1600</v>
      </c>
      <c r="L1311" s="153"/>
      <c r="M1311" s="26" t="s">
        <v>909</v>
      </c>
      <c r="N1311" s="154">
        <v>43965</v>
      </c>
      <c r="O1311" s="155" t="s">
        <v>461</v>
      </c>
      <c r="P1311" s="156">
        <v>11700</v>
      </c>
      <c r="Q1311" s="156">
        <v>2</v>
      </c>
      <c r="R1311" s="120">
        <f t="shared" si="33"/>
        <v>23400</v>
      </c>
      <c r="S1311" s="117">
        <v>202303</v>
      </c>
      <c r="T1311" s="157" t="s">
        <v>1691</v>
      </c>
      <c r="U1311" s="180"/>
      <c r="V1311" s="133"/>
      <c r="W1311" s="133"/>
      <c r="X1311" s="118">
        <v>43525</v>
      </c>
      <c r="Y1311" s="118">
        <v>45549</v>
      </c>
    </row>
    <row r="1312" s="9" customFormat="1" customHeight="1" spans="1:25">
      <c r="A1312" s="98" t="s">
        <v>403</v>
      </c>
      <c r="B1312" s="98" t="s">
        <v>62</v>
      </c>
      <c r="C1312" s="98" t="s">
        <v>217</v>
      </c>
      <c r="D1312" s="98" t="s">
        <v>566</v>
      </c>
      <c r="E1312" s="147" t="s">
        <v>1043</v>
      </c>
      <c r="F1312" s="98" t="s">
        <v>906</v>
      </c>
      <c r="G1312" s="151" t="s">
        <v>88</v>
      </c>
      <c r="H1312" s="19" t="s">
        <v>1599</v>
      </c>
      <c r="I1312" s="23" t="e">
        <f>VLOOKUP(H1312,'合同综合查询数据（3月返）'!$A:$A,1,FALSE)</f>
        <v>#N/A</v>
      </c>
      <c r="J1312" s="24" t="s">
        <v>90</v>
      </c>
      <c r="K1312" s="129" t="s">
        <v>1600</v>
      </c>
      <c r="L1312" s="153"/>
      <c r="M1312" s="26" t="s">
        <v>909</v>
      </c>
      <c r="N1312" s="154">
        <v>43971</v>
      </c>
      <c r="O1312" s="155" t="s">
        <v>461</v>
      </c>
      <c r="P1312" s="156">
        <v>11700</v>
      </c>
      <c r="Q1312" s="156">
        <v>1</v>
      </c>
      <c r="R1312" s="120">
        <f t="shared" si="33"/>
        <v>11700</v>
      </c>
      <c r="S1312" s="117">
        <v>202303</v>
      </c>
      <c r="T1312" s="157" t="s">
        <v>1692</v>
      </c>
      <c r="U1312" s="180"/>
      <c r="V1312" s="133"/>
      <c r="W1312" s="133"/>
      <c r="X1312" s="118">
        <v>43525</v>
      </c>
      <c r="Y1312" s="118">
        <v>45549</v>
      </c>
    </row>
    <row r="1313" s="9" customFormat="1" customHeight="1" spans="1:25">
      <c r="A1313" s="98" t="s">
        <v>403</v>
      </c>
      <c r="B1313" s="98" t="s">
        <v>62</v>
      </c>
      <c r="C1313" s="98" t="s">
        <v>217</v>
      </c>
      <c r="D1313" s="98" t="s">
        <v>566</v>
      </c>
      <c r="E1313" s="147" t="s">
        <v>1043</v>
      </c>
      <c r="F1313" s="98" t="s">
        <v>906</v>
      </c>
      <c r="G1313" s="151" t="s">
        <v>88</v>
      </c>
      <c r="H1313" s="19" t="s">
        <v>1599</v>
      </c>
      <c r="I1313" s="23" t="e">
        <f>VLOOKUP(H1313,'合同综合查询数据（3月返）'!$A:$A,1,FALSE)</f>
        <v>#N/A</v>
      </c>
      <c r="J1313" s="24" t="s">
        <v>90</v>
      </c>
      <c r="K1313" s="129" t="s">
        <v>1600</v>
      </c>
      <c r="L1313" s="153"/>
      <c r="M1313" s="26" t="s">
        <v>909</v>
      </c>
      <c r="N1313" s="154">
        <v>43970</v>
      </c>
      <c r="O1313" s="155" t="s">
        <v>461</v>
      </c>
      <c r="P1313" s="156">
        <v>11700</v>
      </c>
      <c r="Q1313" s="156">
        <v>-1</v>
      </c>
      <c r="R1313" s="120">
        <f t="shared" si="33"/>
        <v>-11700</v>
      </c>
      <c r="S1313" s="117">
        <v>202303</v>
      </c>
      <c r="T1313" s="157" t="s">
        <v>1693</v>
      </c>
      <c r="U1313" s="180"/>
      <c r="V1313" s="133"/>
      <c r="W1313" s="133"/>
      <c r="X1313" s="118">
        <v>43525</v>
      </c>
      <c r="Y1313" s="118">
        <v>45549</v>
      </c>
    </row>
    <row r="1314" s="9" customFormat="1" customHeight="1" spans="1:25">
      <c r="A1314" s="98" t="s">
        <v>403</v>
      </c>
      <c r="B1314" s="98" t="s">
        <v>62</v>
      </c>
      <c r="C1314" s="98" t="s">
        <v>217</v>
      </c>
      <c r="D1314" s="98" t="s">
        <v>566</v>
      </c>
      <c r="E1314" s="147" t="s">
        <v>1043</v>
      </c>
      <c r="F1314" s="98" t="s">
        <v>906</v>
      </c>
      <c r="G1314" s="151" t="s">
        <v>88</v>
      </c>
      <c r="H1314" s="19" t="s">
        <v>1599</v>
      </c>
      <c r="I1314" s="23" t="e">
        <f>VLOOKUP(H1314,'合同综合查询数据（3月返）'!$A:$A,1,FALSE)</f>
        <v>#N/A</v>
      </c>
      <c r="J1314" s="24" t="s">
        <v>90</v>
      </c>
      <c r="K1314" s="129" t="s">
        <v>1600</v>
      </c>
      <c r="L1314" s="153"/>
      <c r="M1314" s="26" t="s">
        <v>909</v>
      </c>
      <c r="N1314" s="154">
        <v>43958</v>
      </c>
      <c r="O1314" s="155" t="s">
        <v>457</v>
      </c>
      <c r="P1314" s="156">
        <v>5950</v>
      </c>
      <c r="Q1314" s="156">
        <v>2</v>
      </c>
      <c r="R1314" s="120">
        <f t="shared" si="33"/>
        <v>11900</v>
      </c>
      <c r="S1314" s="117">
        <v>202303</v>
      </c>
      <c r="T1314" s="157" t="s">
        <v>1694</v>
      </c>
      <c r="U1314" s="180"/>
      <c r="V1314" s="133"/>
      <c r="W1314" s="133"/>
      <c r="X1314" s="118">
        <v>43525</v>
      </c>
      <c r="Y1314" s="118">
        <v>45549</v>
      </c>
    </row>
    <row r="1315" s="9" customFormat="1" customHeight="1" spans="1:25">
      <c r="A1315" s="98" t="s">
        <v>403</v>
      </c>
      <c r="B1315" s="98" t="s">
        <v>62</v>
      </c>
      <c r="C1315" s="98" t="s">
        <v>217</v>
      </c>
      <c r="D1315" s="98" t="s">
        <v>566</v>
      </c>
      <c r="E1315" s="147" t="s">
        <v>1043</v>
      </c>
      <c r="F1315" s="98" t="s">
        <v>906</v>
      </c>
      <c r="G1315" s="151" t="s">
        <v>88</v>
      </c>
      <c r="H1315" s="19" t="s">
        <v>1599</v>
      </c>
      <c r="I1315" s="23" t="e">
        <f>VLOOKUP(H1315,'合同综合查询数据（3月返）'!$A:$A,1,FALSE)</f>
        <v>#N/A</v>
      </c>
      <c r="J1315" s="24" t="s">
        <v>90</v>
      </c>
      <c r="K1315" s="129" t="s">
        <v>1600</v>
      </c>
      <c r="L1315" s="153"/>
      <c r="M1315" s="26" t="s">
        <v>909</v>
      </c>
      <c r="N1315" s="154">
        <v>43983</v>
      </c>
      <c r="O1315" s="155" t="s">
        <v>461</v>
      </c>
      <c r="P1315" s="156">
        <v>11700</v>
      </c>
      <c r="Q1315" s="156">
        <v>1</v>
      </c>
      <c r="R1315" s="120">
        <f t="shared" si="33"/>
        <v>11700</v>
      </c>
      <c r="S1315" s="117">
        <v>202303</v>
      </c>
      <c r="T1315" s="157" t="s">
        <v>1695</v>
      </c>
      <c r="U1315" s="180"/>
      <c r="V1315" s="133"/>
      <c r="W1315" s="133"/>
      <c r="X1315" s="118">
        <v>43525</v>
      </c>
      <c r="Y1315" s="118">
        <v>45549</v>
      </c>
    </row>
    <row r="1316" s="9" customFormat="1" customHeight="1" spans="1:25">
      <c r="A1316" s="98" t="s">
        <v>403</v>
      </c>
      <c r="B1316" s="98" t="s">
        <v>62</v>
      </c>
      <c r="C1316" s="98" t="s">
        <v>217</v>
      </c>
      <c r="D1316" s="98" t="s">
        <v>566</v>
      </c>
      <c r="E1316" s="147" t="s">
        <v>1043</v>
      </c>
      <c r="F1316" s="98" t="s">
        <v>906</v>
      </c>
      <c r="G1316" s="151" t="s">
        <v>88</v>
      </c>
      <c r="H1316" s="19" t="s">
        <v>1599</v>
      </c>
      <c r="I1316" s="23" t="e">
        <f>VLOOKUP(H1316,'合同综合查询数据（3月返）'!$A:$A,1,FALSE)</f>
        <v>#N/A</v>
      </c>
      <c r="J1316" s="24" t="s">
        <v>90</v>
      </c>
      <c r="K1316" s="129" t="s">
        <v>1600</v>
      </c>
      <c r="L1316" s="153"/>
      <c r="M1316" s="26" t="s">
        <v>909</v>
      </c>
      <c r="N1316" s="154">
        <v>43987</v>
      </c>
      <c r="O1316" s="155" t="s">
        <v>461</v>
      </c>
      <c r="P1316" s="156">
        <v>11700</v>
      </c>
      <c r="Q1316" s="156">
        <v>5</v>
      </c>
      <c r="R1316" s="120">
        <f t="shared" si="33"/>
        <v>58500</v>
      </c>
      <c r="S1316" s="117">
        <v>202303</v>
      </c>
      <c r="T1316" s="157" t="s">
        <v>1696</v>
      </c>
      <c r="U1316" s="180"/>
      <c r="V1316" s="133"/>
      <c r="W1316" s="133"/>
      <c r="X1316" s="118">
        <v>43525</v>
      </c>
      <c r="Y1316" s="118">
        <v>45549</v>
      </c>
    </row>
    <row r="1317" s="9" customFormat="1" customHeight="1" spans="1:25">
      <c r="A1317" s="98" t="s">
        <v>403</v>
      </c>
      <c r="B1317" s="98" t="s">
        <v>62</v>
      </c>
      <c r="C1317" s="98" t="s">
        <v>217</v>
      </c>
      <c r="D1317" s="98" t="s">
        <v>566</v>
      </c>
      <c r="E1317" s="147" t="s">
        <v>1043</v>
      </c>
      <c r="F1317" s="98" t="s">
        <v>906</v>
      </c>
      <c r="G1317" s="151" t="s">
        <v>88</v>
      </c>
      <c r="H1317" s="19" t="s">
        <v>1599</v>
      </c>
      <c r="I1317" s="23" t="e">
        <f>VLOOKUP(H1317,'合同综合查询数据（3月返）'!$A:$A,1,FALSE)</f>
        <v>#N/A</v>
      </c>
      <c r="J1317" s="24" t="s">
        <v>90</v>
      </c>
      <c r="K1317" s="129" t="s">
        <v>1600</v>
      </c>
      <c r="L1317" s="153"/>
      <c r="M1317" s="26" t="s">
        <v>909</v>
      </c>
      <c r="N1317" s="154">
        <v>43993</v>
      </c>
      <c r="O1317" s="155" t="s">
        <v>461</v>
      </c>
      <c r="P1317" s="156">
        <v>11700</v>
      </c>
      <c r="Q1317" s="156">
        <v>4</v>
      </c>
      <c r="R1317" s="120">
        <f t="shared" si="33"/>
        <v>46800</v>
      </c>
      <c r="S1317" s="117">
        <v>202303</v>
      </c>
      <c r="T1317" s="157" t="s">
        <v>1697</v>
      </c>
      <c r="U1317" s="180"/>
      <c r="V1317" s="133"/>
      <c r="W1317" s="133"/>
      <c r="X1317" s="118">
        <v>43525</v>
      </c>
      <c r="Y1317" s="118">
        <v>45549</v>
      </c>
    </row>
    <row r="1318" s="9" customFormat="1" customHeight="1" spans="1:25">
      <c r="A1318" s="98" t="s">
        <v>403</v>
      </c>
      <c r="B1318" s="98" t="s">
        <v>62</v>
      </c>
      <c r="C1318" s="98" t="s">
        <v>217</v>
      </c>
      <c r="D1318" s="98" t="s">
        <v>566</v>
      </c>
      <c r="E1318" s="147" t="s">
        <v>1043</v>
      </c>
      <c r="F1318" s="98" t="s">
        <v>906</v>
      </c>
      <c r="G1318" s="151" t="s">
        <v>88</v>
      </c>
      <c r="H1318" s="19" t="s">
        <v>1599</v>
      </c>
      <c r="I1318" s="23" t="e">
        <f>VLOOKUP(H1318,'合同综合查询数据（3月返）'!$A:$A,1,FALSE)</f>
        <v>#N/A</v>
      </c>
      <c r="J1318" s="24" t="s">
        <v>90</v>
      </c>
      <c r="K1318" s="129" t="s">
        <v>1600</v>
      </c>
      <c r="L1318" s="153"/>
      <c r="M1318" s="26" t="s">
        <v>909</v>
      </c>
      <c r="N1318" s="154">
        <v>44004</v>
      </c>
      <c r="O1318" s="155" t="s">
        <v>461</v>
      </c>
      <c r="P1318" s="156">
        <v>11700</v>
      </c>
      <c r="Q1318" s="156">
        <v>1</v>
      </c>
      <c r="R1318" s="120">
        <f t="shared" si="33"/>
        <v>11700</v>
      </c>
      <c r="S1318" s="117">
        <v>202303</v>
      </c>
      <c r="T1318" s="157" t="s">
        <v>1698</v>
      </c>
      <c r="U1318" s="180"/>
      <c r="V1318" s="133"/>
      <c r="W1318" s="133"/>
      <c r="X1318" s="118">
        <v>43525</v>
      </c>
      <c r="Y1318" s="118">
        <v>45549</v>
      </c>
    </row>
    <row r="1319" s="9" customFormat="1" customHeight="1" spans="1:25">
      <c r="A1319" s="98" t="s">
        <v>403</v>
      </c>
      <c r="B1319" s="98" t="s">
        <v>62</v>
      </c>
      <c r="C1319" s="98" t="s">
        <v>217</v>
      </c>
      <c r="D1319" s="98" t="s">
        <v>566</v>
      </c>
      <c r="E1319" s="147" t="s">
        <v>1043</v>
      </c>
      <c r="F1319" s="98" t="s">
        <v>906</v>
      </c>
      <c r="G1319" s="151" t="s">
        <v>88</v>
      </c>
      <c r="H1319" s="19" t="s">
        <v>1599</v>
      </c>
      <c r="I1319" s="23" t="e">
        <f>VLOOKUP(H1319,'合同综合查询数据（3月返）'!$A:$A,1,FALSE)</f>
        <v>#N/A</v>
      </c>
      <c r="J1319" s="24" t="s">
        <v>90</v>
      </c>
      <c r="K1319" s="129" t="s">
        <v>1600</v>
      </c>
      <c r="L1319" s="153"/>
      <c r="M1319" s="26" t="s">
        <v>909</v>
      </c>
      <c r="N1319" s="154">
        <v>44005</v>
      </c>
      <c r="O1319" s="155" t="s">
        <v>461</v>
      </c>
      <c r="P1319" s="156">
        <v>11700</v>
      </c>
      <c r="Q1319" s="156">
        <v>2</v>
      </c>
      <c r="R1319" s="120">
        <f t="shared" si="33"/>
        <v>23400</v>
      </c>
      <c r="S1319" s="117">
        <v>202303</v>
      </c>
      <c r="T1319" s="157" t="s">
        <v>1699</v>
      </c>
      <c r="U1319" s="180"/>
      <c r="V1319" s="133"/>
      <c r="W1319" s="133"/>
      <c r="X1319" s="118">
        <v>43525</v>
      </c>
      <c r="Y1319" s="118">
        <v>45549</v>
      </c>
    </row>
    <row r="1320" s="9" customFormat="1" customHeight="1" spans="1:25">
      <c r="A1320" s="98" t="s">
        <v>403</v>
      </c>
      <c r="B1320" s="98" t="s">
        <v>62</v>
      </c>
      <c r="C1320" s="98" t="s">
        <v>217</v>
      </c>
      <c r="D1320" s="98" t="s">
        <v>566</v>
      </c>
      <c r="E1320" s="147" t="s">
        <v>1043</v>
      </c>
      <c r="F1320" s="98" t="s">
        <v>906</v>
      </c>
      <c r="G1320" s="151" t="s">
        <v>88</v>
      </c>
      <c r="H1320" s="19" t="s">
        <v>1599</v>
      </c>
      <c r="I1320" s="23" t="e">
        <f>VLOOKUP(H1320,'合同综合查询数据（3月返）'!$A:$A,1,FALSE)</f>
        <v>#N/A</v>
      </c>
      <c r="J1320" s="24" t="s">
        <v>90</v>
      </c>
      <c r="K1320" s="129" t="s">
        <v>1600</v>
      </c>
      <c r="L1320" s="153"/>
      <c r="M1320" s="26" t="s">
        <v>909</v>
      </c>
      <c r="N1320" s="154">
        <v>44007</v>
      </c>
      <c r="O1320" s="155" t="s">
        <v>461</v>
      </c>
      <c r="P1320" s="156">
        <v>11700</v>
      </c>
      <c r="Q1320" s="156">
        <v>1</v>
      </c>
      <c r="R1320" s="120">
        <f t="shared" si="33"/>
        <v>11700</v>
      </c>
      <c r="S1320" s="117">
        <v>202303</v>
      </c>
      <c r="T1320" s="157" t="s">
        <v>1700</v>
      </c>
      <c r="U1320" s="180"/>
      <c r="V1320" s="133"/>
      <c r="W1320" s="133"/>
      <c r="X1320" s="118">
        <v>43525</v>
      </c>
      <c r="Y1320" s="118">
        <v>45549</v>
      </c>
    </row>
    <row r="1321" s="9" customFormat="1" customHeight="1" spans="1:25">
      <c r="A1321" s="98" t="s">
        <v>403</v>
      </c>
      <c r="B1321" s="98" t="s">
        <v>62</v>
      </c>
      <c r="C1321" s="98" t="s">
        <v>217</v>
      </c>
      <c r="D1321" s="98" t="s">
        <v>566</v>
      </c>
      <c r="E1321" s="147" t="s">
        <v>1043</v>
      </c>
      <c r="F1321" s="98" t="s">
        <v>906</v>
      </c>
      <c r="G1321" s="151" t="s">
        <v>88</v>
      </c>
      <c r="H1321" s="19" t="s">
        <v>1599</v>
      </c>
      <c r="I1321" s="23" t="e">
        <f>VLOOKUP(H1321,'合同综合查询数据（3月返）'!$A:$A,1,FALSE)</f>
        <v>#N/A</v>
      </c>
      <c r="J1321" s="24" t="s">
        <v>90</v>
      </c>
      <c r="K1321" s="129" t="s">
        <v>1600</v>
      </c>
      <c r="L1321" s="153"/>
      <c r="M1321" s="26" t="s">
        <v>909</v>
      </c>
      <c r="N1321" s="154">
        <v>44007</v>
      </c>
      <c r="O1321" s="155" t="s">
        <v>461</v>
      </c>
      <c r="P1321" s="156">
        <v>11700</v>
      </c>
      <c r="Q1321" s="156">
        <v>2</v>
      </c>
      <c r="R1321" s="120">
        <f t="shared" si="33"/>
        <v>23400</v>
      </c>
      <c r="S1321" s="117">
        <v>202303</v>
      </c>
      <c r="T1321" s="157" t="s">
        <v>1701</v>
      </c>
      <c r="U1321" s="180"/>
      <c r="V1321" s="133"/>
      <c r="W1321" s="133"/>
      <c r="X1321" s="118">
        <v>43525</v>
      </c>
      <c r="Y1321" s="118">
        <v>45549</v>
      </c>
    </row>
    <row r="1322" s="9" customFormat="1" customHeight="1" spans="1:25">
      <c r="A1322" s="98" t="s">
        <v>403</v>
      </c>
      <c r="B1322" s="98" t="s">
        <v>62</v>
      </c>
      <c r="C1322" s="98" t="s">
        <v>217</v>
      </c>
      <c r="D1322" s="98" t="s">
        <v>566</v>
      </c>
      <c r="E1322" s="147" t="s">
        <v>1043</v>
      </c>
      <c r="F1322" s="98" t="s">
        <v>906</v>
      </c>
      <c r="G1322" s="151" t="s">
        <v>88</v>
      </c>
      <c r="H1322" s="19" t="s">
        <v>1599</v>
      </c>
      <c r="I1322" s="23" t="e">
        <f>VLOOKUP(H1322,'合同综合查询数据（3月返）'!$A:$A,1,FALSE)</f>
        <v>#N/A</v>
      </c>
      <c r="J1322" s="24" t="s">
        <v>90</v>
      </c>
      <c r="K1322" s="129" t="s">
        <v>1600</v>
      </c>
      <c r="L1322" s="153"/>
      <c r="M1322" s="26" t="s">
        <v>909</v>
      </c>
      <c r="N1322" s="154">
        <v>44015</v>
      </c>
      <c r="O1322" s="155" t="s">
        <v>461</v>
      </c>
      <c r="P1322" s="156">
        <v>11700</v>
      </c>
      <c r="Q1322" s="156">
        <v>1</v>
      </c>
      <c r="R1322" s="120">
        <f t="shared" si="33"/>
        <v>11700</v>
      </c>
      <c r="S1322" s="117">
        <v>202303</v>
      </c>
      <c r="T1322" s="157" t="s">
        <v>1702</v>
      </c>
      <c r="U1322" s="180"/>
      <c r="V1322" s="133"/>
      <c r="W1322" s="133"/>
      <c r="X1322" s="118">
        <v>43525</v>
      </c>
      <c r="Y1322" s="118">
        <v>45549</v>
      </c>
    </row>
    <row r="1323" s="9" customFormat="1" customHeight="1" spans="1:25">
      <c r="A1323" s="98" t="s">
        <v>403</v>
      </c>
      <c r="B1323" s="98" t="s">
        <v>62</v>
      </c>
      <c r="C1323" s="98" t="s">
        <v>217</v>
      </c>
      <c r="D1323" s="98" t="s">
        <v>566</v>
      </c>
      <c r="E1323" s="147" t="s">
        <v>1043</v>
      </c>
      <c r="F1323" s="98" t="s">
        <v>906</v>
      </c>
      <c r="G1323" s="151" t="s">
        <v>88</v>
      </c>
      <c r="H1323" s="19" t="s">
        <v>1599</v>
      </c>
      <c r="I1323" s="23" t="e">
        <f>VLOOKUP(H1323,'合同综合查询数据（3月返）'!$A:$A,1,FALSE)</f>
        <v>#N/A</v>
      </c>
      <c r="J1323" s="24" t="s">
        <v>90</v>
      </c>
      <c r="K1323" s="129" t="s">
        <v>1600</v>
      </c>
      <c r="L1323" s="153"/>
      <c r="M1323" s="26" t="s">
        <v>909</v>
      </c>
      <c r="N1323" s="154">
        <v>44027</v>
      </c>
      <c r="O1323" s="155" t="s">
        <v>461</v>
      </c>
      <c r="P1323" s="156">
        <v>11700</v>
      </c>
      <c r="Q1323" s="156">
        <v>1</v>
      </c>
      <c r="R1323" s="120">
        <f t="shared" si="33"/>
        <v>11700</v>
      </c>
      <c r="S1323" s="117">
        <v>202303</v>
      </c>
      <c r="T1323" s="157" t="s">
        <v>1703</v>
      </c>
      <c r="U1323" s="180"/>
      <c r="V1323" s="133"/>
      <c r="W1323" s="133"/>
      <c r="X1323" s="118">
        <v>43525</v>
      </c>
      <c r="Y1323" s="118">
        <v>45549</v>
      </c>
    </row>
    <row r="1324" s="9" customFormat="1" customHeight="1" spans="1:25">
      <c r="A1324" s="98" t="s">
        <v>403</v>
      </c>
      <c r="B1324" s="98" t="s">
        <v>62</v>
      </c>
      <c r="C1324" s="98" t="s">
        <v>217</v>
      </c>
      <c r="D1324" s="98" t="s">
        <v>566</v>
      </c>
      <c r="E1324" s="147" t="s">
        <v>1043</v>
      </c>
      <c r="F1324" s="98" t="s">
        <v>906</v>
      </c>
      <c r="G1324" s="151" t="s">
        <v>88</v>
      </c>
      <c r="H1324" s="19" t="s">
        <v>1599</v>
      </c>
      <c r="I1324" s="23" t="e">
        <f>VLOOKUP(H1324,'合同综合查询数据（3月返）'!$A:$A,1,FALSE)</f>
        <v>#N/A</v>
      </c>
      <c r="J1324" s="24" t="s">
        <v>90</v>
      </c>
      <c r="K1324" s="129" t="s">
        <v>1600</v>
      </c>
      <c r="L1324" s="153"/>
      <c r="M1324" s="26" t="s">
        <v>909</v>
      </c>
      <c r="N1324" s="154">
        <v>44034</v>
      </c>
      <c r="O1324" s="155" t="s">
        <v>457</v>
      </c>
      <c r="P1324" s="156">
        <v>5950</v>
      </c>
      <c r="Q1324" s="156">
        <v>2</v>
      </c>
      <c r="R1324" s="120">
        <f t="shared" si="33"/>
        <v>11900</v>
      </c>
      <c r="S1324" s="117">
        <v>202303</v>
      </c>
      <c r="T1324" s="157" t="s">
        <v>1704</v>
      </c>
      <c r="U1324" s="180"/>
      <c r="V1324" s="133"/>
      <c r="W1324" s="133"/>
      <c r="X1324" s="118">
        <v>43525</v>
      </c>
      <c r="Y1324" s="118">
        <v>45549</v>
      </c>
    </row>
    <row r="1325" s="9" customFormat="1" customHeight="1" spans="1:25">
      <c r="A1325" s="98" t="s">
        <v>403</v>
      </c>
      <c r="B1325" s="98" t="s">
        <v>62</v>
      </c>
      <c r="C1325" s="98" t="s">
        <v>217</v>
      </c>
      <c r="D1325" s="98" t="s">
        <v>566</v>
      </c>
      <c r="E1325" s="147" t="s">
        <v>1043</v>
      </c>
      <c r="F1325" s="98" t="s">
        <v>906</v>
      </c>
      <c r="G1325" s="151" t="s">
        <v>88</v>
      </c>
      <c r="H1325" s="19" t="s">
        <v>1599</v>
      </c>
      <c r="I1325" s="23" t="e">
        <f>VLOOKUP(H1325,'合同综合查询数据（3月返）'!$A:$A,1,FALSE)</f>
        <v>#N/A</v>
      </c>
      <c r="J1325" s="24" t="s">
        <v>90</v>
      </c>
      <c r="K1325" s="129" t="s">
        <v>1600</v>
      </c>
      <c r="L1325" s="153"/>
      <c r="M1325" s="26" t="s">
        <v>909</v>
      </c>
      <c r="N1325" s="154">
        <v>44014</v>
      </c>
      <c r="O1325" s="155" t="s">
        <v>461</v>
      </c>
      <c r="P1325" s="156">
        <v>11700</v>
      </c>
      <c r="Q1325" s="156">
        <v>2</v>
      </c>
      <c r="R1325" s="120">
        <f t="shared" si="33"/>
        <v>23400</v>
      </c>
      <c r="S1325" s="117">
        <v>202303</v>
      </c>
      <c r="T1325" s="157" t="s">
        <v>1705</v>
      </c>
      <c r="U1325" s="180"/>
      <c r="V1325" s="133"/>
      <c r="W1325" s="133"/>
      <c r="X1325" s="118">
        <v>43525</v>
      </c>
      <c r="Y1325" s="118">
        <v>45549</v>
      </c>
    </row>
    <row r="1326" s="9" customFormat="1" customHeight="1" spans="1:25">
      <c r="A1326" s="98" t="s">
        <v>403</v>
      </c>
      <c r="B1326" s="98" t="s">
        <v>62</v>
      </c>
      <c r="C1326" s="98" t="s">
        <v>217</v>
      </c>
      <c r="D1326" s="98" t="s">
        <v>566</v>
      </c>
      <c r="E1326" s="147" t="s">
        <v>1043</v>
      </c>
      <c r="F1326" s="98" t="s">
        <v>906</v>
      </c>
      <c r="G1326" s="151" t="s">
        <v>88</v>
      </c>
      <c r="H1326" s="19" t="s">
        <v>1599</v>
      </c>
      <c r="I1326" s="23" t="e">
        <f>VLOOKUP(H1326,'合同综合查询数据（3月返）'!$A:$A,1,FALSE)</f>
        <v>#N/A</v>
      </c>
      <c r="J1326" s="24" t="s">
        <v>90</v>
      </c>
      <c r="K1326" s="129" t="s">
        <v>1600</v>
      </c>
      <c r="L1326" s="153"/>
      <c r="M1326" s="26" t="s">
        <v>909</v>
      </c>
      <c r="N1326" s="154">
        <v>44021</v>
      </c>
      <c r="O1326" s="155" t="s">
        <v>461</v>
      </c>
      <c r="P1326" s="156">
        <v>11700</v>
      </c>
      <c r="Q1326" s="156">
        <v>4</v>
      </c>
      <c r="R1326" s="120">
        <f t="shared" si="33"/>
        <v>46800</v>
      </c>
      <c r="S1326" s="117">
        <v>202303</v>
      </c>
      <c r="T1326" s="157" t="s">
        <v>1706</v>
      </c>
      <c r="U1326" s="180"/>
      <c r="V1326" s="133"/>
      <c r="W1326" s="133"/>
      <c r="X1326" s="118">
        <v>43525</v>
      </c>
      <c r="Y1326" s="118">
        <v>45549</v>
      </c>
    </row>
    <row r="1327" s="9" customFormat="1" customHeight="1" spans="1:25">
      <c r="A1327" s="98" t="s">
        <v>403</v>
      </c>
      <c r="B1327" s="98" t="s">
        <v>62</v>
      </c>
      <c r="C1327" s="98" t="s">
        <v>217</v>
      </c>
      <c r="D1327" s="98" t="s">
        <v>566</v>
      </c>
      <c r="E1327" s="147" t="s">
        <v>1043</v>
      </c>
      <c r="F1327" s="98" t="s">
        <v>906</v>
      </c>
      <c r="G1327" s="151" t="s">
        <v>88</v>
      </c>
      <c r="H1327" s="19" t="s">
        <v>1599</v>
      </c>
      <c r="I1327" s="23" t="e">
        <f>VLOOKUP(H1327,'合同综合查询数据（3月返）'!$A:$A,1,FALSE)</f>
        <v>#N/A</v>
      </c>
      <c r="J1327" s="24" t="s">
        <v>90</v>
      </c>
      <c r="K1327" s="129" t="s">
        <v>1600</v>
      </c>
      <c r="L1327" s="153"/>
      <c r="M1327" s="26" t="s">
        <v>909</v>
      </c>
      <c r="N1327" s="154">
        <v>44078</v>
      </c>
      <c r="O1327" s="155" t="s">
        <v>461</v>
      </c>
      <c r="P1327" s="156">
        <v>11700</v>
      </c>
      <c r="Q1327" s="156">
        <v>17</v>
      </c>
      <c r="R1327" s="120">
        <f t="shared" si="33"/>
        <v>198900</v>
      </c>
      <c r="S1327" s="117">
        <v>202303</v>
      </c>
      <c r="T1327" s="157" t="s">
        <v>1707</v>
      </c>
      <c r="U1327" s="157"/>
      <c r="V1327" s="133"/>
      <c r="W1327" s="133"/>
      <c r="X1327" s="118">
        <v>43525</v>
      </c>
      <c r="Y1327" s="118">
        <v>45549</v>
      </c>
    </row>
    <row r="1328" s="9" customFormat="1" customHeight="1" spans="1:25">
      <c r="A1328" s="98" t="s">
        <v>403</v>
      </c>
      <c r="B1328" s="98" t="s">
        <v>62</v>
      </c>
      <c r="C1328" s="98" t="s">
        <v>217</v>
      </c>
      <c r="D1328" s="98" t="s">
        <v>566</v>
      </c>
      <c r="E1328" s="147" t="s">
        <v>1043</v>
      </c>
      <c r="F1328" s="98" t="s">
        <v>906</v>
      </c>
      <c r="G1328" s="151" t="s">
        <v>88</v>
      </c>
      <c r="H1328" s="19" t="s">
        <v>1599</v>
      </c>
      <c r="I1328" s="23" t="e">
        <f>VLOOKUP(H1328,'合同综合查询数据（3月返）'!$A:$A,1,FALSE)</f>
        <v>#N/A</v>
      </c>
      <c r="J1328" s="24" t="s">
        <v>90</v>
      </c>
      <c r="K1328" s="129" t="s">
        <v>1600</v>
      </c>
      <c r="L1328" s="153"/>
      <c r="M1328" s="26" t="s">
        <v>909</v>
      </c>
      <c r="N1328" s="154">
        <v>44088</v>
      </c>
      <c r="O1328" s="155" t="s">
        <v>461</v>
      </c>
      <c r="P1328" s="156">
        <v>11700</v>
      </c>
      <c r="Q1328" s="156">
        <v>10</v>
      </c>
      <c r="R1328" s="120">
        <f t="shared" si="33"/>
        <v>117000</v>
      </c>
      <c r="S1328" s="117">
        <v>202303</v>
      </c>
      <c r="T1328" s="157" t="s">
        <v>1708</v>
      </c>
      <c r="U1328" s="157"/>
      <c r="V1328" s="133"/>
      <c r="W1328" s="133"/>
      <c r="X1328" s="118">
        <v>43525</v>
      </c>
      <c r="Y1328" s="118">
        <v>45549</v>
      </c>
    </row>
    <row r="1329" s="9" customFormat="1" customHeight="1" spans="1:25">
      <c r="A1329" s="98" t="s">
        <v>403</v>
      </c>
      <c r="B1329" s="98" t="s">
        <v>62</v>
      </c>
      <c r="C1329" s="98" t="s">
        <v>217</v>
      </c>
      <c r="D1329" s="98" t="s">
        <v>566</v>
      </c>
      <c r="E1329" s="147" t="s">
        <v>1043</v>
      </c>
      <c r="F1329" s="98" t="s">
        <v>906</v>
      </c>
      <c r="G1329" s="151" t="s">
        <v>88</v>
      </c>
      <c r="H1329" s="19" t="s">
        <v>1599</v>
      </c>
      <c r="I1329" s="23" t="e">
        <f>VLOOKUP(H1329,'合同综合查询数据（3月返）'!$A:$A,1,FALSE)</f>
        <v>#N/A</v>
      </c>
      <c r="J1329" s="24" t="s">
        <v>90</v>
      </c>
      <c r="K1329" s="129" t="s">
        <v>1600</v>
      </c>
      <c r="L1329" s="153"/>
      <c r="M1329" s="26" t="s">
        <v>909</v>
      </c>
      <c r="N1329" s="154">
        <v>44093</v>
      </c>
      <c r="O1329" s="155" t="s">
        <v>461</v>
      </c>
      <c r="P1329" s="156">
        <v>11700</v>
      </c>
      <c r="Q1329" s="156">
        <v>10</v>
      </c>
      <c r="R1329" s="120">
        <f t="shared" si="33"/>
        <v>117000</v>
      </c>
      <c r="S1329" s="117">
        <v>202303</v>
      </c>
      <c r="T1329" s="157" t="s">
        <v>1709</v>
      </c>
      <c r="U1329" s="154"/>
      <c r="V1329" s="133"/>
      <c r="W1329" s="133"/>
      <c r="X1329" s="118">
        <v>43525</v>
      </c>
      <c r="Y1329" s="118">
        <v>45549</v>
      </c>
    </row>
    <row r="1330" s="9" customFormat="1" customHeight="1" spans="1:25">
      <c r="A1330" s="98" t="s">
        <v>403</v>
      </c>
      <c r="B1330" s="98" t="s">
        <v>62</v>
      </c>
      <c r="C1330" s="98" t="s">
        <v>217</v>
      </c>
      <c r="D1330" s="98" t="s">
        <v>566</v>
      </c>
      <c r="E1330" s="147" t="s">
        <v>1043</v>
      </c>
      <c r="F1330" s="98" t="s">
        <v>906</v>
      </c>
      <c r="G1330" s="151" t="s">
        <v>88</v>
      </c>
      <c r="H1330" s="19" t="s">
        <v>1599</v>
      </c>
      <c r="I1330" s="23" t="e">
        <f>VLOOKUP(H1330,'合同综合查询数据（3月返）'!$A:$A,1,FALSE)</f>
        <v>#N/A</v>
      </c>
      <c r="J1330" s="24" t="s">
        <v>90</v>
      </c>
      <c r="K1330" s="129" t="s">
        <v>1600</v>
      </c>
      <c r="L1330" s="153"/>
      <c r="M1330" s="26" t="s">
        <v>909</v>
      </c>
      <c r="N1330" s="154">
        <v>44094</v>
      </c>
      <c r="O1330" s="155" t="s">
        <v>461</v>
      </c>
      <c r="P1330" s="156">
        <v>11700</v>
      </c>
      <c r="Q1330" s="156">
        <v>33</v>
      </c>
      <c r="R1330" s="120">
        <f t="shared" si="33"/>
        <v>386100</v>
      </c>
      <c r="S1330" s="117">
        <v>202303</v>
      </c>
      <c r="T1330" s="157" t="s">
        <v>1710</v>
      </c>
      <c r="U1330" s="180"/>
      <c r="V1330" s="133"/>
      <c r="W1330" s="133"/>
      <c r="X1330" s="118">
        <v>43525</v>
      </c>
      <c r="Y1330" s="118">
        <v>45549</v>
      </c>
    </row>
    <row r="1331" s="79" customFormat="1" customHeight="1" spans="1:25">
      <c r="A1331" s="98" t="s">
        <v>403</v>
      </c>
      <c r="B1331" s="98" t="s">
        <v>62</v>
      </c>
      <c r="C1331" s="98" t="s">
        <v>217</v>
      </c>
      <c r="D1331" s="98" t="s">
        <v>566</v>
      </c>
      <c r="E1331" s="147" t="s">
        <v>1043</v>
      </c>
      <c r="F1331" s="98" t="s">
        <v>906</v>
      </c>
      <c r="G1331" s="151" t="s">
        <v>88</v>
      </c>
      <c r="H1331" s="19" t="s">
        <v>1599</v>
      </c>
      <c r="I1331" s="23" t="e">
        <f>VLOOKUP(H1331,'合同综合查询数据（3月返）'!$A:$A,1,FALSE)</f>
        <v>#N/A</v>
      </c>
      <c r="J1331" s="24" t="s">
        <v>90</v>
      </c>
      <c r="K1331" s="129" t="s">
        <v>1600</v>
      </c>
      <c r="L1331" s="153"/>
      <c r="M1331" s="26" t="s">
        <v>909</v>
      </c>
      <c r="N1331" s="154">
        <v>44089</v>
      </c>
      <c r="O1331" s="155" t="s">
        <v>461</v>
      </c>
      <c r="P1331" s="156">
        <v>11700</v>
      </c>
      <c r="Q1331" s="156">
        <v>3</v>
      </c>
      <c r="R1331" s="120">
        <f t="shared" si="33"/>
        <v>35100</v>
      </c>
      <c r="S1331" s="117">
        <v>202303</v>
      </c>
      <c r="T1331" s="157" t="s">
        <v>1711</v>
      </c>
      <c r="U1331" s="157"/>
      <c r="V1331" s="133"/>
      <c r="W1331" s="133"/>
      <c r="X1331" s="118">
        <v>43525</v>
      </c>
      <c r="Y1331" s="118">
        <v>45549</v>
      </c>
    </row>
    <row r="1332" s="79" customFormat="1" customHeight="1" spans="1:25">
      <c r="A1332" s="98" t="s">
        <v>403</v>
      </c>
      <c r="B1332" s="98" t="s">
        <v>62</v>
      </c>
      <c r="C1332" s="98" t="s">
        <v>217</v>
      </c>
      <c r="D1332" s="98" t="s">
        <v>566</v>
      </c>
      <c r="E1332" s="147" t="s">
        <v>1043</v>
      </c>
      <c r="F1332" s="98" t="s">
        <v>906</v>
      </c>
      <c r="G1332" s="151" t="s">
        <v>88</v>
      </c>
      <c r="H1332" s="19" t="s">
        <v>1599</v>
      </c>
      <c r="I1332" s="23" t="e">
        <f>VLOOKUP(H1332,'合同综合查询数据（3月返）'!$A:$A,1,FALSE)</f>
        <v>#N/A</v>
      </c>
      <c r="J1332" s="24" t="s">
        <v>90</v>
      </c>
      <c r="K1332" s="129" t="s">
        <v>1600</v>
      </c>
      <c r="L1332" s="153"/>
      <c r="M1332" s="26" t="s">
        <v>909</v>
      </c>
      <c r="N1332" s="154">
        <v>44092</v>
      </c>
      <c r="O1332" s="155" t="s">
        <v>461</v>
      </c>
      <c r="P1332" s="156">
        <v>11700</v>
      </c>
      <c r="Q1332" s="156">
        <v>10</v>
      </c>
      <c r="R1332" s="120">
        <f t="shared" si="33"/>
        <v>117000</v>
      </c>
      <c r="S1332" s="117">
        <v>202303</v>
      </c>
      <c r="T1332" s="157" t="s">
        <v>1712</v>
      </c>
      <c r="U1332" s="157"/>
      <c r="V1332" s="133"/>
      <c r="W1332" s="133"/>
      <c r="X1332" s="118">
        <v>43525</v>
      </c>
      <c r="Y1332" s="118">
        <v>45549</v>
      </c>
    </row>
    <row r="1333" s="9" customFormat="1" customHeight="1" spans="1:25">
      <c r="A1333" s="98" t="s">
        <v>403</v>
      </c>
      <c r="B1333" s="98" t="s">
        <v>62</v>
      </c>
      <c r="C1333" s="98" t="s">
        <v>217</v>
      </c>
      <c r="D1333" s="98" t="s">
        <v>566</v>
      </c>
      <c r="E1333" s="147" t="s">
        <v>1043</v>
      </c>
      <c r="F1333" s="98" t="s">
        <v>906</v>
      </c>
      <c r="G1333" s="151" t="s">
        <v>88</v>
      </c>
      <c r="H1333" s="19" t="s">
        <v>1599</v>
      </c>
      <c r="I1333" s="23" t="e">
        <f>VLOOKUP(H1333,'合同综合查询数据（3月返）'!$A:$A,1,FALSE)</f>
        <v>#N/A</v>
      </c>
      <c r="J1333" s="24" t="s">
        <v>90</v>
      </c>
      <c r="K1333" s="129" t="s">
        <v>1600</v>
      </c>
      <c r="L1333" s="153"/>
      <c r="M1333" s="26" t="s">
        <v>909</v>
      </c>
      <c r="N1333" s="154">
        <v>44104</v>
      </c>
      <c r="O1333" s="155" t="s">
        <v>461</v>
      </c>
      <c r="P1333" s="156">
        <v>11700</v>
      </c>
      <c r="Q1333" s="156">
        <v>1</v>
      </c>
      <c r="R1333" s="120">
        <f t="shared" si="33"/>
        <v>11700</v>
      </c>
      <c r="S1333" s="117">
        <v>202303</v>
      </c>
      <c r="T1333" s="157" t="s">
        <v>1713</v>
      </c>
      <c r="U1333" s="157"/>
      <c r="V1333" s="133"/>
      <c r="W1333" s="133"/>
      <c r="X1333" s="118">
        <v>43525</v>
      </c>
      <c r="Y1333" s="118">
        <v>45549</v>
      </c>
    </row>
    <row r="1334" s="83" customFormat="1" customHeight="1" spans="1:31">
      <c r="A1334" s="98" t="s">
        <v>403</v>
      </c>
      <c r="B1334" s="98" t="s">
        <v>62</v>
      </c>
      <c r="C1334" s="98" t="s">
        <v>217</v>
      </c>
      <c r="D1334" s="98" t="s">
        <v>566</v>
      </c>
      <c r="E1334" s="147" t="s">
        <v>1043</v>
      </c>
      <c r="F1334" s="98" t="s">
        <v>906</v>
      </c>
      <c r="G1334" s="151" t="s">
        <v>88</v>
      </c>
      <c r="H1334" s="19" t="s">
        <v>1599</v>
      </c>
      <c r="I1334" s="23" t="e">
        <f>VLOOKUP(H1334,'合同综合查询数据（3月返）'!$A:$A,1,FALSE)</f>
        <v>#N/A</v>
      </c>
      <c r="J1334" s="24" t="s">
        <v>90</v>
      </c>
      <c r="K1334" s="129" t="s">
        <v>1600</v>
      </c>
      <c r="L1334" s="153"/>
      <c r="M1334" s="26" t="s">
        <v>909</v>
      </c>
      <c r="N1334" s="154">
        <v>44118</v>
      </c>
      <c r="O1334" s="155" t="s">
        <v>461</v>
      </c>
      <c r="P1334" s="156">
        <v>11700</v>
      </c>
      <c r="Q1334" s="156">
        <v>5</v>
      </c>
      <c r="R1334" s="120">
        <f t="shared" si="33"/>
        <v>58500</v>
      </c>
      <c r="S1334" s="117">
        <v>202303</v>
      </c>
      <c r="T1334" s="157" t="s">
        <v>1714</v>
      </c>
      <c r="U1334" s="157"/>
      <c r="V1334" s="133"/>
      <c r="W1334" s="133"/>
      <c r="X1334" s="118">
        <v>43525</v>
      </c>
      <c r="Y1334" s="118">
        <v>45549</v>
      </c>
      <c r="Z1334" s="9"/>
      <c r="AA1334" s="9"/>
      <c r="AB1334" s="9"/>
      <c r="AC1334" s="9"/>
      <c r="AD1334" s="9"/>
      <c r="AE1334" s="9"/>
    </row>
    <row r="1335" s="83" customFormat="1" customHeight="1" spans="1:31">
      <c r="A1335" s="98" t="s">
        <v>403</v>
      </c>
      <c r="B1335" s="98" t="s">
        <v>62</v>
      </c>
      <c r="C1335" s="98" t="s">
        <v>217</v>
      </c>
      <c r="D1335" s="98" t="s">
        <v>566</v>
      </c>
      <c r="E1335" s="147" t="s">
        <v>1043</v>
      </c>
      <c r="F1335" s="98" t="s">
        <v>906</v>
      </c>
      <c r="G1335" s="151" t="s">
        <v>88</v>
      </c>
      <c r="H1335" s="19" t="s">
        <v>1599</v>
      </c>
      <c r="I1335" s="23" t="e">
        <f>VLOOKUP(H1335,'合同综合查询数据（3月返）'!$A:$A,1,FALSE)</f>
        <v>#N/A</v>
      </c>
      <c r="J1335" s="24" t="s">
        <v>90</v>
      </c>
      <c r="K1335" s="129" t="s">
        <v>1600</v>
      </c>
      <c r="L1335" s="153"/>
      <c r="M1335" s="26" t="s">
        <v>909</v>
      </c>
      <c r="N1335" s="154">
        <v>44119</v>
      </c>
      <c r="O1335" s="155" t="s">
        <v>461</v>
      </c>
      <c r="P1335" s="156">
        <v>11700</v>
      </c>
      <c r="Q1335" s="156">
        <v>7</v>
      </c>
      <c r="R1335" s="120">
        <f t="shared" si="33"/>
        <v>81900</v>
      </c>
      <c r="S1335" s="117">
        <v>202303</v>
      </c>
      <c r="T1335" s="157" t="s">
        <v>1715</v>
      </c>
      <c r="U1335" s="157"/>
      <c r="V1335" s="133"/>
      <c r="W1335" s="133"/>
      <c r="X1335" s="118">
        <v>43525</v>
      </c>
      <c r="Y1335" s="118">
        <v>45549</v>
      </c>
      <c r="Z1335" s="9"/>
      <c r="AA1335" s="9"/>
      <c r="AB1335" s="9"/>
      <c r="AC1335" s="9"/>
      <c r="AD1335" s="9"/>
      <c r="AE1335" s="9"/>
    </row>
    <row r="1336" s="83" customFormat="1" customHeight="1" spans="1:31">
      <c r="A1336" s="98" t="s">
        <v>403</v>
      </c>
      <c r="B1336" s="98" t="s">
        <v>62</v>
      </c>
      <c r="C1336" s="98" t="s">
        <v>217</v>
      </c>
      <c r="D1336" s="98" t="s">
        <v>566</v>
      </c>
      <c r="E1336" s="147" t="s">
        <v>1043</v>
      </c>
      <c r="F1336" s="98" t="s">
        <v>906</v>
      </c>
      <c r="G1336" s="151" t="s">
        <v>88</v>
      </c>
      <c r="H1336" s="19" t="s">
        <v>1599</v>
      </c>
      <c r="I1336" s="23" t="e">
        <f>VLOOKUP(H1336,'合同综合查询数据（3月返）'!$A:$A,1,FALSE)</f>
        <v>#N/A</v>
      </c>
      <c r="J1336" s="24" t="s">
        <v>90</v>
      </c>
      <c r="K1336" s="129" t="s">
        <v>1600</v>
      </c>
      <c r="L1336" s="153"/>
      <c r="M1336" s="26" t="s">
        <v>909</v>
      </c>
      <c r="N1336" s="154">
        <v>44145</v>
      </c>
      <c r="O1336" s="155" t="s">
        <v>461</v>
      </c>
      <c r="P1336" s="156">
        <v>11700</v>
      </c>
      <c r="Q1336" s="156">
        <v>1</v>
      </c>
      <c r="R1336" s="120">
        <f t="shared" si="33"/>
        <v>11700</v>
      </c>
      <c r="S1336" s="117">
        <v>202303</v>
      </c>
      <c r="T1336" s="157" t="s">
        <v>1716</v>
      </c>
      <c r="U1336" s="157"/>
      <c r="V1336" s="133"/>
      <c r="W1336" s="133"/>
      <c r="X1336" s="118">
        <v>43525</v>
      </c>
      <c r="Y1336" s="118">
        <v>45549</v>
      </c>
      <c r="Z1336" s="9"/>
      <c r="AA1336" s="9"/>
      <c r="AB1336" s="9"/>
      <c r="AC1336" s="9"/>
      <c r="AD1336" s="9"/>
      <c r="AE1336" s="9"/>
    </row>
    <row r="1337" s="9" customFormat="1" customHeight="1" spans="1:25">
      <c r="A1337" s="98" t="s">
        <v>403</v>
      </c>
      <c r="B1337" s="98" t="s">
        <v>62</v>
      </c>
      <c r="C1337" s="98" t="s">
        <v>217</v>
      </c>
      <c r="D1337" s="98" t="s">
        <v>566</v>
      </c>
      <c r="E1337" s="147" t="s">
        <v>1043</v>
      </c>
      <c r="F1337" s="98" t="s">
        <v>906</v>
      </c>
      <c r="G1337" s="151" t="s">
        <v>88</v>
      </c>
      <c r="H1337" s="19" t="s">
        <v>1599</v>
      </c>
      <c r="I1337" s="23" t="e">
        <f>VLOOKUP(H1337,'合同综合查询数据（3月返）'!$A:$A,1,FALSE)</f>
        <v>#N/A</v>
      </c>
      <c r="J1337" s="24" t="s">
        <v>90</v>
      </c>
      <c r="K1337" s="129" t="s">
        <v>1600</v>
      </c>
      <c r="L1337" s="153"/>
      <c r="M1337" s="26" t="s">
        <v>909</v>
      </c>
      <c r="N1337" s="154">
        <v>44147</v>
      </c>
      <c r="O1337" s="155" t="s">
        <v>461</v>
      </c>
      <c r="P1337" s="156">
        <v>11700</v>
      </c>
      <c r="Q1337" s="156">
        <v>27</v>
      </c>
      <c r="R1337" s="120">
        <f t="shared" si="33"/>
        <v>315900</v>
      </c>
      <c r="S1337" s="117">
        <v>202303</v>
      </c>
      <c r="T1337" s="157" t="s">
        <v>1717</v>
      </c>
      <c r="U1337" s="157"/>
      <c r="V1337" s="133"/>
      <c r="W1337" s="133"/>
      <c r="X1337" s="118">
        <v>43525</v>
      </c>
      <c r="Y1337" s="118">
        <v>45549</v>
      </c>
    </row>
    <row r="1338" s="9" customFormat="1" customHeight="1" spans="1:25">
      <c r="A1338" s="98" t="s">
        <v>403</v>
      </c>
      <c r="B1338" s="98" t="s">
        <v>62</v>
      </c>
      <c r="C1338" s="98" t="s">
        <v>217</v>
      </c>
      <c r="D1338" s="98" t="s">
        <v>566</v>
      </c>
      <c r="E1338" s="147" t="s">
        <v>1043</v>
      </c>
      <c r="F1338" s="98" t="s">
        <v>906</v>
      </c>
      <c r="G1338" s="151" t="s">
        <v>88</v>
      </c>
      <c r="H1338" s="19" t="s">
        <v>1599</v>
      </c>
      <c r="I1338" s="23" t="e">
        <f>VLOOKUP(H1338,'合同综合查询数据（3月返）'!$A:$A,1,FALSE)</f>
        <v>#N/A</v>
      </c>
      <c r="J1338" s="24" t="s">
        <v>90</v>
      </c>
      <c r="K1338" s="129" t="s">
        <v>1600</v>
      </c>
      <c r="L1338" s="153"/>
      <c r="M1338" s="26" t="s">
        <v>909</v>
      </c>
      <c r="N1338" s="154">
        <v>44147</v>
      </c>
      <c r="O1338" s="155" t="s">
        <v>461</v>
      </c>
      <c r="P1338" s="156">
        <v>11700</v>
      </c>
      <c r="Q1338" s="156">
        <v>7</v>
      </c>
      <c r="R1338" s="120">
        <f t="shared" si="33"/>
        <v>81900</v>
      </c>
      <c r="S1338" s="117">
        <v>202303</v>
      </c>
      <c r="T1338" s="157" t="s">
        <v>1718</v>
      </c>
      <c r="U1338" s="157"/>
      <c r="V1338" s="133"/>
      <c r="W1338" s="133"/>
      <c r="X1338" s="118">
        <v>43525</v>
      </c>
      <c r="Y1338" s="118">
        <v>45549</v>
      </c>
    </row>
    <row r="1339" s="9" customFormat="1" customHeight="1" spans="1:25">
      <c r="A1339" s="98" t="s">
        <v>403</v>
      </c>
      <c r="B1339" s="98" t="s">
        <v>62</v>
      </c>
      <c r="C1339" s="98" t="s">
        <v>217</v>
      </c>
      <c r="D1339" s="98" t="s">
        <v>566</v>
      </c>
      <c r="E1339" s="147" t="s">
        <v>1043</v>
      </c>
      <c r="F1339" s="98" t="s">
        <v>906</v>
      </c>
      <c r="G1339" s="151" t="s">
        <v>88</v>
      </c>
      <c r="H1339" s="19" t="s">
        <v>1599</v>
      </c>
      <c r="I1339" s="23" t="e">
        <f>VLOOKUP(H1339,'合同综合查询数据（3月返）'!$A:$A,1,FALSE)</f>
        <v>#N/A</v>
      </c>
      <c r="J1339" s="24" t="s">
        <v>90</v>
      </c>
      <c r="K1339" s="129" t="s">
        <v>1600</v>
      </c>
      <c r="L1339" s="153"/>
      <c r="M1339" s="26" t="s">
        <v>909</v>
      </c>
      <c r="N1339" s="154">
        <v>44173</v>
      </c>
      <c r="O1339" s="155" t="s">
        <v>461</v>
      </c>
      <c r="P1339" s="156">
        <v>11700</v>
      </c>
      <c r="Q1339" s="156">
        <v>9</v>
      </c>
      <c r="R1339" s="120">
        <f t="shared" si="33"/>
        <v>105300</v>
      </c>
      <c r="S1339" s="117">
        <v>202303</v>
      </c>
      <c r="T1339" s="157" t="s">
        <v>1719</v>
      </c>
      <c r="U1339" s="157"/>
      <c r="V1339" s="133"/>
      <c r="W1339" s="133"/>
      <c r="X1339" s="118">
        <v>43525</v>
      </c>
      <c r="Y1339" s="118">
        <v>45549</v>
      </c>
    </row>
    <row r="1340" s="9" customFormat="1" customHeight="1" spans="1:25">
      <c r="A1340" s="98" t="s">
        <v>403</v>
      </c>
      <c r="B1340" s="98" t="s">
        <v>62</v>
      </c>
      <c r="C1340" s="98" t="s">
        <v>217</v>
      </c>
      <c r="D1340" s="98" t="s">
        <v>566</v>
      </c>
      <c r="E1340" s="147" t="s">
        <v>1043</v>
      </c>
      <c r="F1340" s="98" t="s">
        <v>906</v>
      </c>
      <c r="G1340" s="151" t="s">
        <v>88</v>
      </c>
      <c r="H1340" s="19" t="s">
        <v>1599</v>
      </c>
      <c r="I1340" s="23" t="e">
        <f>VLOOKUP(H1340,'合同综合查询数据（3月返）'!$A:$A,1,FALSE)</f>
        <v>#N/A</v>
      </c>
      <c r="J1340" s="24" t="s">
        <v>90</v>
      </c>
      <c r="K1340" s="129" t="s">
        <v>1600</v>
      </c>
      <c r="L1340" s="153"/>
      <c r="M1340" s="26" t="s">
        <v>909</v>
      </c>
      <c r="N1340" s="154">
        <v>44180</v>
      </c>
      <c r="O1340" s="155" t="s">
        <v>461</v>
      </c>
      <c r="P1340" s="156">
        <v>11700</v>
      </c>
      <c r="Q1340" s="156">
        <v>1</v>
      </c>
      <c r="R1340" s="120">
        <f t="shared" si="33"/>
        <v>11700</v>
      </c>
      <c r="S1340" s="117">
        <v>202303</v>
      </c>
      <c r="T1340" s="157" t="s">
        <v>1720</v>
      </c>
      <c r="U1340" s="157"/>
      <c r="V1340" s="133"/>
      <c r="W1340" s="133"/>
      <c r="X1340" s="118">
        <v>43525</v>
      </c>
      <c r="Y1340" s="118">
        <v>45549</v>
      </c>
    </row>
    <row r="1341" s="9" customFormat="1" customHeight="1" spans="1:25">
      <c r="A1341" s="98" t="s">
        <v>403</v>
      </c>
      <c r="B1341" s="98" t="s">
        <v>62</v>
      </c>
      <c r="C1341" s="98" t="s">
        <v>217</v>
      </c>
      <c r="D1341" s="98" t="s">
        <v>566</v>
      </c>
      <c r="E1341" s="147" t="s">
        <v>1043</v>
      </c>
      <c r="F1341" s="98" t="s">
        <v>906</v>
      </c>
      <c r="G1341" s="151" t="s">
        <v>88</v>
      </c>
      <c r="H1341" s="19" t="s">
        <v>1599</v>
      </c>
      <c r="I1341" s="23" t="e">
        <f>VLOOKUP(H1341,'合同综合查询数据（3月返）'!$A:$A,1,FALSE)</f>
        <v>#N/A</v>
      </c>
      <c r="J1341" s="24" t="s">
        <v>90</v>
      </c>
      <c r="K1341" s="129" t="s">
        <v>1600</v>
      </c>
      <c r="L1341" s="153"/>
      <c r="M1341" s="26" t="s">
        <v>909</v>
      </c>
      <c r="N1341" s="154">
        <v>44179</v>
      </c>
      <c r="O1341" s="155" t="s">
        <v>461</v>
      </c>
      <c r="P1341" s="156">
        <v>11700</v>
      </c>
      <c r="Q1341" s="156">
        <v>4</v>
      </c>
      <c r="R1341" s="120">
        <f t="shared" si="33"/>
        <v>46800</v>
      </c>
      <c r="S1341" s="117">
        <v>202303</v>
      </c>
      <c r="T1341" s="157" t="s">
        <v>1721</v>
      </c>
      <c r="U1341" s="157"/>
      <c r="V1341" s="133"/>
      <c r="W1341" s="133"/>
      <c r="X1341" s="118">
        <v>43525</v>
      </c>
      <c r="Y1341" s="118">
        <v>45549</v>
      </c>
    </row>
    <row r="1342" s="9" customFormat="1" customHeight="1" spans="1:25">
      <c r="A1342" s="98" t="s">
        <v>403</v>
      </c>
      <c r="B1342" s="98" t="s">
        <v>62</v>
      </c>
      <c r="C1342" s="98" t="s">
        <v>217</v>
      </c>
      <c r="D1342" s="98" t="s">
        <v>566</v>
      </c>
      <c r="E1342" s="147" t="s">
        <v>1043</v>
      </c>
      <c r="F1342" s="98" t="s">
        <v>906</v>
      </c>
      <c r="G1342" s="151" t="s">
        <v>88</v>
      </c>
      <c r="H1342" s="19" t="s">
        <v>1599</v>
      </c>
      <c r="I1342" s="23" t="e">
        <f>VLOOKUP(H1342,'合同综合查询数据（3月返）'!$A:$A,1,FALSE)</f>
        <v>#N/A</v>
      </c>
      <c r="J1342" s="24" t="s">
        <v>90</v>
      </c>
      <c r="K1342" s="129" t="s">
        <v>1600</v>
      </c>
      <c r="L1342" s="153"/>
      <c r="M1342" s="26" t="s">
        <v>909</v>
      </c>
      <c r="N1342" s="154">
        <v>44195</v>
      </c>
      <c r="O1342" s="155" t="s">
        <v>461</v>
      </c>
      <c r="P1342" s="156">
        <v>11700</v>
      </c>
      <c r="Q1342" s="156">
        <v>18</v>
      </c>
      <c r="R1342" s="120">
        <f t="shared" si="33"/>
        <v>210600</v>
      </c>
      <c r="S1342" s="117">
        <v>202303</v>
      </c>
      <c r="T1342" s="157" t="s">
        <v>1722</v>
      </c>
      <c r="U1342" s="157"/>
      <c r="V1342" s="133"/>
      <c r="W1342" s="133"/>
      <c r="X1342" s="118">
        <v>43525</v>
      </c>
      <c r="Y1342" s="118">
        <v>45549</v>
      </c>
    </row>
    <row r="1343" s="9" customFormat="1" customHeight="1" spans="1:25">
      <c r="A1343" s="98" t="s">
        <v>403</v>
      </c>
      <c r="B1343" s="98" t="s">
        <v>62</v>
      </c>
      <c r="C1343" s="98" t="s">
        <v>217</v>
      </c>
      <c r="D1343" s="98" t="s">
        <v>566</v>
      </c>
      <c r="E1343" s="147" t="s">
        <v>1043</v>
      </c>
      <c r="F1343" s="98" t="s">
        <v>906</v>
      </c>
      <c r="G1343" s="151" t="s">
        <v>88</v>
      </c>
      <c r="H1343" s="19" t="s">
        <v>1599</v>
      </c>
      <c r="I1343" s="23" t="e">
        <f>VLOOKUP(H1343,'合同综合查询数据（3月返）'!$A:$A,1,FALSE)</f>
        <v>#N/A</v>
      </c>
      <c r="J1343" s="24" t="s">
        <v>90</v>
      </c>
      <c r="K1343" s="129" t="s">
        <v>1600</v>
      </c>
      <c r="L1343" s="153"/>
      <c r="M1343" s="26" t="s">
        <v>909</v>
      </c>
      <c r="N1343" s="154">
        <v>44230</v>
      </c>
      <c r="O1343" s="155" t="s">
        <v>461</v>
      </c>
      <c r="P1343" s="156">
        <v>11700</v>
      </c>
      <c r="Q1343" s="156">
        <v>1</v>
      </c>
      <c r="R1343" s="120">
        <f t="shared" ref="R1343:R1406" si="34">ROUND(P1343*Q1343,2)</f>
        <v>11700</v>
      </c>
      <c r="S1343" s="117">
        <v>202303</v>
      </c>
      <c r="T1343" s="157" t="s">
        <v>1723</v>
      </c>
      <c r="U1343" s="157"/>
      <c r="V1343" s="133"/>
      <c r="W1343" s="133"/>
      <c r="X1343" s="118">
        <v>43525</v>
      </c>
      <c r="Y1343" s="118">
        <v>45549</v>
      </c>
    </row>
    <row r="1344" s="9" customFormat="1" customHeight="1" spans="1:25">
      <c r="A1344" s="98" t="s">
        <v>403</v>
      </c>
      <c r="B1344" s="98" t="s">
        <v>62</v>
      </c>
      <c r="C1344" s="98" t="s">
        <v>217</v>
      </c>
      <c r="D1344" s="98" t="s">
        <v>566</v>
      </c>
      <c r="E1344" s="147" t="s">
        <v>1043</v>
      </c>
      <c r="F1344" s="98" t="s">
        <v>906</v>
      </c>
      <c r="G1344" s="151" t="s">
        <v>88</v>
      </c>
      <c r="H1344" s="19" t="s">
        <v>1599</v>
      </c>
      <c r="I1344" s="23" t="e">
        <f>VLOOKUP(H1344,'合同综合查询数据（3月返）'!$A:$A,1,FALSE)</f>
        <v>#N/A</v>
      </c>
      <c r="J1344" s="24" t="s">
        <v>90</v>
      </c>
      <c r="K1344" s="129" t="s">
        <v>1600</v>
      </c>
      <c r="L1344" s="153"/>
      <c r="M1344" s="26" t="s">
        <v>909</v>
      </c>
      <c r="N1344" s="154">
        <v>44251</v>
      </c>
      <c r="O1344" s="155" t="s">
        <v>461</v>
      </c>
      <c r="P1344" s="156">
        <v>11700</v>
      </c>
      <c r="Q1344" s="156">
        <v>1</v>
      </c>
      <c r="R1344" s="120">
        <f t="shared" si="34"/>
        <v>11700</v>
      </c>
      <c r="S1344" s="117">
        <v>202303</v>
      </c>
      <c r="T1344" s="157" t="s">
        <v>1724</v>
      </c>
      <c r="U1344" s="157"/>
      <c r="V1344" s="133"/>
      <c r="W1344" s="133"/>
      <c r="X1344" s="118">
        <v>43525</v>
      </c>
      <c r="Y1344" s="118">
        <v>45549</v>
      </c>
    </row>
    <row r="1345" s="9" customFormat="1" customHeight="1" spans="1:25">
      <c r="A1345" s="98" t="s">
        <v>403</v>
      </c>
      <c r="B1345" s="98" t="s">
        <v>62</v>
      </c>
      <c r="C1345" s="98" t="s">
        <v>217</v>
      </c>
      <c r="D1345" s="98" t="s">
        <v>566</v>
      </c>
      <c r="E1345" s="147" t="s">
        <v>1043</v>
      </c>
      <c r="F1345" s="98" t="s">
        <v>906</v>
      </c>
      <c r="G1345" s="151" t="s">
        <v>88</v>
      </c>
      <c r="H1345" s="19" t="s">
        <v>1599</v>
      </c>
      <c r="I1345" s="23" t="e">
        <f>VLOOKUP(H1345,'合同综合查询数据（3月返）'!$A:$A,1,FALSE)</f>
        <v>#N/A</v>
      </c>
      <c r="J1345" s="24" t="s">
        <v>90</v>
      </c>
      <c r="K1345" s="129" t="s">
        <v>1600</v>
      </c>
      <c r="L1345" s="153"/>
      <c r="M1345" s="26" t="s">
        <v>909</v>
      </c>
      <c r="N1345" s="154">
        <v>44270</v>
      </c>
      <c r="O1345" s="155" t="s">
        <v>461</v>
      </c>
      <c r="P1345" s="156">
        <v>11700</v>
      </c>
      <c r="Q1345" s="156">
        <v>2</v>
      </c>
      <c r="R1345" s="120">
        <f t="shared" si="34"/>
        <v>23400</v>
      </c>
      <c r="S1345" s="117">
        <v>202303</v>
      </c>
      <c r="T1345" s="157" t="s">
        <v>1725</v>
      </c>
      <c r="U1345" s="157"/>
      <c r="V1345" s="133"/>
      <c r="W1345" s="133"/>
      <c r="X1345" s="118">
        <v>43525</v>
      </c>
      <c r="Y1345" s="118">
        <v>45549</v>
      </c>
    </row>
    <row r="1346" s="9" customFormat="1" customHeight="1" spans="1:25">
      <c r="A1346" s="98" t="s">
        <v>403</v>
      </c>
      <c r="B1346" s="98" t="s">
        <v>62</v>
      </c>
      <c r="C1346" s="98" t="s">
        <v>217</v>
      </c>
      <c r="D1346" s="98" t="s">
        <v>566</v>
      </c>
      <c r="E1346" s="147" t="s">
        <v>1043</v>
      </c>
      <c r="F1346" s="98" t="s">
        <v>906</v>
      </c>
      <c r="G1346" s="151" t="s">
        <v>88</v>
      </c>
      <c r="H1346" s="19" t="s">
        <v>1599</v>
      </c>
      <c r="I1346" s="23" t="e">
        <f>VLOOKUP(H1346,'合同综合查询数据（3月返）'!$A:$A,1,FALSE)</f>
        <v>#N/A</v>
      </c>
      <c r="J1346" s="24" t="s">
        <v>90</v>
      </c>
      <c r="K1346" s="129" t="s">
        <v>1600</v>
      </c>
      <c r="L1346" s="153"/>
      <c r="M1346" s="26" t="s">
        <v>909</v>
      </c>
      <c r="N1346" s="154">
        <v>44281</v>
      </c>
      <c r="O1346" s="155" t="s">
        <v>461</v>
      </c>
      <c r="P1346" s="156">
        <v>11700</v>
      </c>
      <c r="Q1346" s="156">
        <v>7</v>
      </c>
      <c r="R1346" s="120">
        <f t="shared" si="34"/>
        <v>81900</v>
      </c>
      <c r="S1346" s="117">
        <v>202303</v>
      </c>
      <c r="T1346" s="157" t="s">
        <v>1726</v>
      </c>
      <c r="U1346" s="157"/>
      <c r="V1346" s="133"/>
      <c r="W1346" s="133"/>
      <c r="X1346" s="118">
        <v>43525</v>
      </c>
      <c r="Y1346" s="118">
        <v>45549</v>
      </c>
    </row>
    <row r="1347" s="9" customFormat="1" customHeight="1" spans="1:25">
      <c r="A1347" s="98" t="s">
        <v>403</v>
      </c>
      <c r="B1347" s="98" t="s">
        <v>62</v>
      </c>
      <c r="C1347" s="98" t="s">
        <v>217</v>
      </c>
      <c r="D1347" s="98" t="s">
        <v>566</v>
      </c>
      <c r="E1347" s="147" t="s">
        <v>1043</v>
      </c>
      <c r="F1347" s="98" t="s">
        <v>906</v>
      </c>
      <c r="G1347" s="151" t="s">
        <v>88</v>
      </c>
      <c r="H1347" s="19" t="s">
        <v>1599</v>
      </c>
      <c r="I1347" s="23" t="e">
        <f>VLOOKUP(H1347,'合同综合查询数据（3月返）'!$A:$A,1,FALSE)</f>
        <v>#N/A</v>
      </c>
      <c r="J1347" s="24" t="s">
        <v>90</v>
      </c>
      <c r="K1347" s="129" t="s">
        <v>1600</v>
      </c>
      <c r="L1347" s="153"/>
      <c r="M1347" s="26" t="s">
        <v>909</v>
      </c>
      <c r="N1347" s="154">
        <v>44301</v>
      </c>
      <c r="O1347" s="155" t="s">
        <v>461</v>
      </c>
      <c r="P1347" s="156">
        <v>11700</v>
      </c>
      <c r="Q1347" s="156">
        <v>5</v>
      </c>
      <c r="R1347" s="120">
        <f t="shared" si="34"/>
        <v>58500</v>
      </c>
      <c r="S1347" s="117">
        <v>202303</v>
      </c>
      <c r="T1347" s="157" t="s">
        <v>1727</v>
      </c>
      <c r="U1347" s="157"/>
      <c r="V1347" s="133"/>
      <c r="W1347" s="133"/>
      <c r="X1347" s="118">
        <v>43525</v>
      </c>
      <c r="Y1347" s="118">
        <v>45549</v>
      </c>
    </row>
    <row r="1348" s="9" customFormat="1" customHeight="1" spans="1:25">
      <c r="A1348" s="98" t="s">
        <v>403</v>
      </c>
      <c r="B1348" s="98" t="s">
        <v>62</v>
      </c>
      <c r="C1348" s="98" t="s">
        <v>217</v>
      </c>
      <c r="D1348" s="98" t="s">
        <v>566</v>
      </c>
      <c r="E1348" s="147" t="s">
        <v>1043</v>
      </c>
      <c r="F1348" s="98" t="s">
        <v>906</v>
      </c>
      <c r="G1348" s="151" t="s">
        <v>88</v>
      </c>
      <c r="H1348" s="19" t="s">
        <v>1599</v>
      </c>
      <c r="I1348" s="23" t="e">
        <f>VLOOKUP(H1348,'合同综合查询数据（3月返）'!$A:$A,1,FALSE)</f>
        <v>#N/A</v>
      </c>
      <c r="J1348" s="24" t="s">
        <v>90</v>
      </c>
      <c r="K1348" s="129" t="s">
        <v>1600</v>
      </c>
      <c r="L1348" s="153"/>
      <c r="M1348" s="26" t="s">
        <v>909</v>
      </c>
      <c r="N1348" s="154">
        <v>44288</v>
      </c>
      <c r="O1348" s="155" t="s">
        <v>457</v>
      </c>
      <c r="P1348" s="156">
        <v>5950</v>
      </c>
      <c r="Q1348" s="156">
        <v>2</v>
      </c>
      <c r="R1348" s="120">
        <f t="shared" si="34"/>
        <v>11900</v>
      </c>
      <c r="S1348" s="117">
        <v>202303</v>
      </c>
      <c r="T1348" s="157" t="s">
        <v>1728</v>
      </c>
      <c r="U1348" s="157"/>
      <c r="V1348" s="133"/>
      <c r="W1348" s="133"/>
      <c r="X1348" s="118">
        <v>43525</v>
      </c>
      <c r="Y1348" s="118">
        <v>45549</v>
      </c>
    </row>
    <row r="1349" s="9" customFormat="1" customHeight="1" spans="1:25">
      <c r="A1349" s="98" t="s">
        <v>403</v>
      </c>
      <c r="B1349" s="98" t="s">
        <v>62</v>
      </c>
      <c r="C1349" s="98" t="s">
        <v>217</v>
      </c>
      <c r="D1349" s="98" t="s">
        <v>566</v>
      </c>
      <c r="E1349" s="147" t="s">
        <v>1043</v>
      </c>
      <c r="F1349" s="98" t="s">
        <v>906</v>
      </c>
      <c r="G1349" s="151" t="s">
        <v>88</v>
      </c>
      <c r="H1349" s="19" t="s">
        <v>1599</v>
      </c>
      <c r="I1349" s="23" t="e">
        <f>VLOOKUP(H1349,'合同综合查询数据（3月返）'!$A:$A,1,FALSE)</f>
        <v>#N/A</v>
      </c>
      <c r="J1349" s="24" t="s">
        <v>90</v>
      </c>
      <c r="K1349" s="129" t="s">
        <v>1600</v>
      </c>
      <c r="L1349" s="153"/>
      <c r="M1349" s="26" t="s">
        <v>909</v>
      </c>
      <c r="N1349" s="154">
        <v>44327</v>
      </c>
      <c r="O1349" s="155" t="s">
        <v>461</v>
      </c>
      <c r="P1349" s="156">
        <v>11700</v>
      </c>
      <c r="Q1349" s="156">
        <v>-1</v>
      </c>
      <c r="R1349" s="120">
        <f t="shared" si="34"/>
        <v>-11700</v>
      </c>
      <c r="S1349" s="117">
        <v>202303</v>
      </c>
      <c r="T1349" s="157" t="s">
        <v>1729</v>
      </c>
      <c r="U1349" s="157"/>
      <c r="V1349" s="133"/>
      <c r="W1349" s="133"/>
      <c r="X1349" s="118">
        <v>43525</v>
      </c>
      <c r="Y1349" s="118">
        <v>45549</v>
      </c>
    </row>
    <row r="1350" s="9" customFormat="1" customHeight="1" spans="1:25">
      <c r="A1350" s="98" t="s">
        <v>403</v>
      </c>
      <c r="B1350" s="98" t="s">
        <v>62</v>
      </c>
      <c r="C1350" s="98" t="s">
        <v>217</v>
      </c>
      <c r="D1350" s="98" t="s">
        <v>566</v>
      </c>
      <c r="E1350" s="147" t="s">
        <v>1043</v>
      </c>
      <c r="F1350" s="98" t="s">
        <v>906</v>
      </c>
      <c r="G1350" s="151" t="s">
        <v>88</v>
      </c>
      <c r="H1350" s="19" t="s">
        <v>1599</v>
      </c>
      <c r="I1350" s="23" t="e">
        <f>VLOOKUP(H1350,'合同综合查询数据（3月返）'!$A:$A,1,FALSE)</f>
        <v>#N/A</v>
      </c>
      <c r="J1350" s="24" t="s">
        <v>90</v>
      </c>
      <c r="K1350" s="129" t="s">
        <v>1600</v>
      </c>
      <c r="L1350" s="153"/>
      <c r="M1350" s="26" t="s">
        <v>909</v>
      </c>
      <c r="N1350" s="154">
        <v>44333</v>
      </c>
      <c r="O1350" s="155" t="s">
        <v>461</v>
      </c>
      <c r="P1350" s="156">
        <v>11700</v>
      </c>
      <c r="Q1350" s="156">
        <v>-3</v>
      </c>
      <c r="R1350" s="120">
        <f t="shared" si="34"/>
        <v>-35100</v>
      </c>
      <c r="S1350" s="117">
        <v>202303</v>
      </c>
      <c r="T1350" s="157" t="s">
        <v>1730</v>
      </c>
      <c r="U1350" s="157"/>
      <c r="V1350" s="133"/>
      <c r="W1350" s="133"/>
      <c r="X1350" s="118">
        <v>43525</v>
      </c>
      <c r="Y1350" s="118">
        <v>45549</v>
      </c>
    </row>
    <row r="1351" s="9" customFormat="1" customHeight="1" spans="1:25">
      <c r="A1351" s="98" t="s">
        <v>403</v>
      </c>
      <c r="B1351" s="98" t="s">
        <v>62</v>
      </c>
      <c r="C1351" s="98" t="s">
        <v>217</v>
      </c>
      <c r="D1351" s="98" t="s">
        <v>566</v>
      </c>
      <c r="E1351" s="147" t="s">
        <v>1043</v>
      </c>
      <c r="F1351" s="98" t="s">
        <v>906</v>
      </c>
      <c r="G1351" s="151" t="s">
        <v>88</v>
      </c>
      <c r="H1351" s="19" t="s">
        <v>1599</v>
      </c>
      <c r="I1351" s="23" t="e">
        <f>VLOOKUP(H1351,'合同综合查询数据（3月返）'!$A:$A,1,FALSE)</f>
        <v>#N/A</v>
      </c>
      <c r="J1351" s="24" t="s">
        <v>90</v>
      </c>
      <c r="K1351" s="129" t="s">
        <v>1600</v>
      </c>
      <c r="L1351" s="153"/>
      <c r="M1351" s="26" t="s">
        <v>909</v>
      </c>
      <c r="N1351" s="154">
        <v>44343</v>
      </c>
      <c r="O1351" s="155" t="s">
        <v>461</v>
      </c>
      <c r="P1351" s="156">
        <v>11700</v>
      </c>
      <c r="Q1351" s="156">
        <v>-1</v>
      </c>
      <c r="R1351" s="120">
        <f t="shared" si="34"/>
        <v>-11700</v>
      </c>
      <c r="S1351" s="117">
        <v>202303</v>
      </c>
      <c r="T1351" s="157" t="s">
        <v>1731</v>
      </c>
      <c r="U1351" s="157"/>
      <c r="V1351" s="133"/>
      <c r="W1351" s="133"/>
      <c r="X1351" s="118">
        <v>43525</v>
      </c>
      <c r="Y1351" s="118">
        <v>45549</v>
      </c>
    </row>
    <row r="1352" s="9" customFormat="1" customHeight="1" spans="1:25">
      <c r="A1352" s="98" t="s">
        <v>403</v>
      </c>
      <c r="B1352" s="98" t="s">
        <v>62</v>
      </c>
      <c r="C1352" s="98" t="s">
        <v>217</v>
      </c>
      <c r="D1352" s="98" t="s">
        <v>566</v>
      </c>
      <c r="E1352" s="147" t="s">
        <v>1043</v>
      </c>
      <c r="F1352" s="98" t="s">
        <v>906</v>
      </c>
      <c r="G1352" s="151" t="s">
        <v>88</v>
      </c>
      <c r="H1352" s="19" t="s">
        <v>1599</v>
      </c>
      <c r="I1352" s="23" t="e">
        <f>VLOOKUP(H1352,'合同综合查询数据（3月返）'!$A:$A,1,FALSE)</f>
        <v>#N/A</v>
      </c>
      <c r="J1352" s="24" t="s">
        <v>90</v>
      </c>
      <c r="K1352" s="129" t="s">
        <v>1600</v>
      </c>
      <c r="L1352" s="153"/>
      <c r="M1352" s="26" t="s">
        <v>909</v>
      </c>
      <c r="N1352" s="154">
        <v>44342</v>
      </c>
      <c r="O1352" s="155" t="s">
        <v>461</v>
      </c>
      <c r="P1352" s="156">
        <v>11700</v>
      </c>
      <c r="Q1352" s="156">
        <v>4</v>
      </c>
      <c r="R1352" s="120">
        <f t="shared" si="34"/>
        <v>46800</v>
      </c>
      <c r="S1352" s="117">
        <v>202303</v>
      </c>
      <c r="T1352" s="157" t="s">
        <v>1732</v>
      </c>
      <c r="U1352" s="157"/>
      <c r="V1352" s="133"/>
      <c r="W1352" s="133"/>
      <c r="X1352" s="118">
        <v>43525</v>
      </c>
      <c r="Y1352" s="118">
        <v>45549</v>
      </c>
    </row>
    <row r="1353" s="9" customFormat="1" customHeight="1" spans="1:25">
      <c r="A1353" s="98" t="s">
        <v>403</v>
      </c>
      <c r="B1353" s="98" t="s">
        <v>62</v>
      </c>
      <c r="C1353" s="98" t="s">
        <v>217</v>
      </c>
      <c r="D1353" s="98" t="s">
        <v>566</v>
      </c>
      <c r="E1353" s="147" t="s">
        <v>1043</v>
      </c>
      <c r="F1353" s="98" t="s">
        <v>906</v>
      </c>
      <c r="G1353" s="151" t="s">
        <v>88</v>
      </c>
      <c r="H1353" s="19" t="s">
        <v>1599</v>
      </c>
      <c r="I1353" s="23" t="e">
        <f>VLOOKUP(H1353,'合同综合查询数据（3月返）'!$A:$A,1,FALSE)</f>
        <v>#N/A</v>
      </c>
      <c r="J1353" s="24" t="s">
        <v>90</v>
      </c>
      <c r="K1353" s="129" t="s">
        <v>1733</v>
      </c>
      <c r="L1353" s="153"/>
      <c r="M1353" s="26" t="s">
        <v>909</v>
      </c>
      <c r="N1353" s="154">
        <v>44390</v>
      </c>
      <c r="O1353" s="155" t="s">
        <v>457</v>
      </c>
      <c r="P1353" s="156">
        <v>5950</v>
      </c>
      <c r="Q1353" s="156">
        <v>2</v>
      </c>
      <c r="R1353" s="120">
        <f t="shared" si="34"/>
        <v>11900</v>
      </c>
      <c r="S1353" s="117">
        <v>202303</v>
      </c>
      <c r="T1353" s="157" t="s">
        <v>1734</v>
      </c>
      <c r="U1353" s="157"/>
      <c r="V1353" s="133"/>
      <c r="W1353" s="133"/>
      <c r="X1353" s="118">
        <v>43525</v>
      </c>
      <c r="Y1353" s="118">
        <v>45549</v>
      </c>
    </row>
    <row r="1354" s="9" customFormat="1" customHeight="1" spans="1:25">
      <c r="A1354" s="98" t="s">
        <v>403</v>
      </c>
      <c r="B1354" s="98" t="s">
        <v>62</v>
      </c>
      <c r="C1354" s="98" t="s">
        <v>217</v>
      </c>
      <c r="D1354" s="98" t="s">
        <v>566</v>
      </c>
      <c r="E1354" s="147" t="s">
        <v>1043</v>
      </c>
      <c r="F1354" s="98" t="s">
        <v>906</v>
      </c>
      <c r="G1354" s="151" t="s">
        <v>88</v>
      </c>
      <c r="H1354" s="19" t="s">
        <v>1599</v>
      </c>
      <c r="I1354" s="23" t="e">
        <f>VLOOKUP(H1354,'合同综合查询数据（3月返）'!$A:$A,1,FALSE)</f>
        <v>#N/A</v>
      </c>
      <c r="J1354" s="24" t="s">
        <v>90</v>
      </c>
      <c r="K1354" s="129" t="s">
        <v>1735</v>
      </c>
      <c r="L1354" s="153"/>
      <c r="M1354" s="26" t="s">
        <v>909</v>
      </c>
      <c r="N1354" s="154">
        <v>44405</v>
      </c>
      <c r="O1354" s="155" t="s">
        <v>461</v>
      </c>
      <c r="P1354" s="156">
        <v>11700</v>
      </c>
      <c r="Q1354" s="156">
        <v>-1</v>
      </c>
      <c r="R1354" s="120">
        <f t="shared" si="34"/>
        <v>-11700</v>
      </c>
      <c r="S1354" s="117">
        <v>202303</v>
      </c>
      <c r="T1354" s="157" t="s">
        <v>1736</v>
      </c>
      <c r="U1354" s="157"/>
      <c r="V1354" s="133"/>
      <c r="W1354" s="133"/>
      <c r="X1354" s="118">
        <v>43525</v>
      </c>
      <c r="Y1354" s="118">
        <v>45549</v>
      </c>
    </row>
    <row r="1355" s="9" customFormat="1" customHeight="1" spans="1:25">
      <c r="A1355" s="98" t="s">
        <v>403</v>
      </c>
      <c r="B1355" s="98" t="s">
        <v>62</v>
      </c>
      <c r="C1355" s="98" t="s">
        <v>217</v>
      </c>
      <c r="D1355" s="98" t="s">
        <v>566</v>
      </c>
      <c r="E1355" s="147" t="s">
        <v>1043</v>
      </c>
      <c r="F1355" s="98" t="s">
        <v>906</v>
      </c>
      <c r="G1355" s="151" t="s">
        <v>88</v>
      </c>
      <c r="H1355" s="19" t="s">
        <v>1599</v>
      </c>
      <c r="I1355" s="23" t="e">
        <f>VLOOKUP(H1355,'合同综合查询数据（3月返）'!$A:$A,1,FALSE)</f>
        <v>#N/A</v>
      </c>
      <c r="J1355" s="24" t="s">
        <v>90</v>
      </c>
      <c r="K1355" s="129" t="s">
        <v>1735</v>
      </c>
      <c r="L1355" s="153"/>
      <c r="M1355" s="26" t="s">
        <v>909</v>
      </c>
      <c r="N1355" s="154">
        <v>44482</v>
      </c>
      <c r="O1355" s="155" t="s">
        <v>457</v>
      </c>
      <c r="P1355" s="156">
        <v>5950</v>
      </c>
      <c r="Q1355" s="156">
        <v>1</v>
      </c>
      <c r="R1355" s="120">
        <f t="shared" si="34"/>
        <v>5950</v>
      </c>
      <c r="S1355" s="117">
        <v>202303</v>
      </c>
      <c r="T1355" s="157" t="s">
        <v>1737</v>
      </c>
      <c r="U1355" s="157"/>
      <c r="V1355" s="133"/>
      <c r="W1355" s="133"/>
      <c r="X1355" s="118">
        <v>43525</v>
      </c>
      <c r="Y1355" s="118">
        <v>45549</v>
      </c>
    </row>
    <row r="1356" s="9" customFormat="1" customHeight="1" spans="1:25">
      <c r="A1356" s="98" t="s">
        <v>403</v>
      </c>
      <c r="B1356" s="98" t="s">
        <v>62</v>
      </c>
      <c r="C1356" s="98" t="s">
        <v>217</v>
      </c>
      <c r="D1356" s="98" t="s">
        <v>566</v>
      </c>
      <c r="E1356" s="147" t="s">
        <v>1043</v>
      </c>
      <c r="F1356" s="98" t="s">
        <v>906</v>
      </c>
      <c r="G1356" s="151" t="s">
        <v>88</v>
      </c>
      <c r="H1356" s="19" t="s">
        <v>1599</v>
      </c>
      <c r="I1356" s="23" t="e">
        <f>VLOOKUP(H1356,'合同综合查询数据（3月返）'!$A:$A,1,FALSE)</f>
        <v>#N/A</v>
      </c>
      <c r="J1356" s="24" t="s">
        <v>90</v>
      </c>
      <c r="K1356" s="129" t="s">
        <v>1735</v>
      </c>
      <c r="L1356" s="153"/>
      <c r="M1356" s="26" t="s">
        <v>909</v>
      </c>
      <c r="N1356" s="154">
        <v>43710</v>
      </c>
      <c r="O1356" s="155" t="s">
        <v>461</v>
      </c>
      <c r="P1356" s="156">
        <v>11700</v>
      </c>
      <c r="Q1356" s="156">
        <v>3</v>
      </c>
      <c r="R1356" s="120">
        <f t="shared" si="34"/>
        <v>35100</v>
      </c>
      <c r="S1356" s="117">
        <v>202303</v>
      </c>
      <c r="T1356" s="157" t="s">
        <v>1738</v>
      </c>
      <c r="U1356" s="157"/>
      <c r="V1356" s="133"/>
      <c r="W1356" s="133"/>
      <c r="X1356" s="118">
        <v>43525</v>
      </c>
      <c r="Y1356" s="118">
        <v>45549</v>
      </c>
    </row>
    <row r="1357" s="9" customFormat="1" customHeight="1" spans="1:25">
      <c r="A1357" s="98" t="s">
        <v>403</v>
      </c>
      <c r="B1357" s="98" t="s">
        <v>62</v>
      </c>
      <c r="C1357" s="98" t="s">
        <v>217</v>
      </c>
      <c r="D1357" s="98" t="s">
        <v>566</v>
      </c>
      <c r="E1357" s="147" t="s">
        <v>1043</v>
      </c>
      <c r="F1357" s="98" t="s">
        <v>906</v>
      </c>
      <c r="G1357" s="151" t="s">
        <v>88</v>
      </c>
      <c r="H1357" s="19" t="s">
        <v>1599</v>
      </c>
      <c r="I1357" s="23" t="e">
        <f>VLOOKUP(H1357,'合同综合查询数据（3月返）'!$A:$A,1,FALSE)</f>
        <v>#N/A</v>
      </c>
      <c r="J1357" s="24" t="s">
        <v>90</v>
      </c>
      <c r="K1357" s="129" t="s">
        <v>1733</v>
      </c>
      <c r="L1357" s="153"/>
      <c r="M1357" s="26" t="s">
        <v>909</v>
      </c>
      <c r="N1357" s="154">
        <v>44818</v>
      </c>
      <c r="O1357" s="155" t="s">
        <v>457</v>
      </c>
      <c r="P1357" s="156">
        <v>5950</v>
      </c>
      <c r="Q1357" s="156">
        <v>1</v>
      </c>
      <c r="R1357" s="120">
        <f t="shared" si="34"/>
        <v>5950</v>
      </c>
      <c r="S1357" s="117">
        <v>202303</v>
      </c>
      <c r="T1357" s="157" t="s">
        <v>1739</v>
      </c>
      <c r="U1357" s="157"/>
      <c r="V1357" s="133"/>
      <c r="W1357" s="133"/>
      <c r="X1357" s="118">
        <v>43525</v>
      </c>
      <c r="Y1357" s="118">
        <v>45549</v>
      </c>
    </row>
    <row r="1358" s="9" customFormat="1" customHeight="1" spans="1:25">
      <c r="A1358" s="98" t="s">
        <v>403</v>
      </c>
      <c r="B1358" s="98" t="s">
        <v>62</v>
      </c>
      <c r="C1358" s="98" t="s">
        <v>217</v>
      </c>
      <c r="D1358" s="98" t="s">
        <v>566</v>
      </c>
      <c r="E1358" s="147" t="s">
        <v>1043</v>
      </c>
      <c r="F1358" s="98" t="s">
        <v>906</v>
      </c>
      <c r="G1358" s="151" t="s">
        <v>88</v>
      </c>
      <c r="H1358" s="19" t="s">
        <v>1599</v>
      </c>
      <c r="I1358" s="23" t="e">
        <f>VLOOKUP(H1358,'合同综合查询数据（3月返）'!$A:$A,1,FALSE)</f>
        <v>#N/A</v>
      </c>
      <c r="J1358" s="24" t="s">
        <v>90</v>
      </c>
      <c r="K1358" s="129" t="s">
        <v>1735</v>
      </c>
      <c r="L1358" s="153"/>
      <c r="M1358" s="26" t="s">
        <v>909</v>
      </c>
      <c r="N1358" s="154">
        <v>44862</v>
      </c>
      <c r="O1358" s="155" t="s">
        <v>461</v>
      </c>
      <c r="P1358" s="156">
        <v>11700</v>
      </c>
      <c r="Q1358" s="156">
        <v>-4</v>
      </c>
      <c r="R1358" s="120">
        <f t="shared" si="34"/>
        <v>-46800</v>
      </c>
      <c r="S1358" s="117">
        <v>202303</v>
      </c>
      <c r="T1358" s="157" t="s">
        <v>1740</v>
      </c>
      <c r="U1358" s="157"/>
      <c r="V1358" s="133"/>
      <c r="W1358" s="133"/>
      <c r="X1358" s="118">
        <v>43525</v>
      </c>
      <c r="Y1358" s="118">
        <v>45549</v>
      </c>
    </row>
    <row r="1359" s="9" customFormat="1" customHeight="1" spans="1:25">
      <c r="A1359" s="98" t="s">
        <v>403</v>
      </c>
      <c r="B1359" s="98" t="s">
        <v>62</v>
      </c>
      <c r="C1359" s="98" t="s">
        <v>217</v>
      </c>
      <c r="D1359" s="98" t="s">
        <v>566</v>
      </c>
      <c r="E1359" s="147" t="s">
        <v>1043</v>
      </c>
      <c r="F1359" s="98" t="s">
        <v>906</v>
      </c>
      <c r="G1359" s="151" t="s">
        <v>88</v>
      </c>
      <c r="H1359" s="19" t="s">
        <v>1599</v>
      </c>
      <c r="I1359" s="23" t="e">
        <f>VLOOKUP(H1359,'合同综合查询数据（3月返）'!$A:$A,1,FALSE)</f>
        <v>#N/A</v>
      </c>
      <c r="J1359" s="24" t="s">
        <v>90</v>
      </c>
      <c r="K1359" s="129" t="s">
        <v>1733</v>
      </c>
      <c r="L1359" s="153"/>
      <c r="M1359" s="26" t="s">
        <v>909</v>
      </c>
      <c r="N1359" s="154">
        <v>44862</v>
      </c>
      <c r="O1359" s="155" t="s">
        <v>461</v>
      </c>
      <c r="P1359" s="156">
        <v>11700</v>
      </c>
      <c r="Q1359" s="156">
        <v>-8</v>
      </c>
      <c r="R1359" s="120">
        <f t="shared" si="34"/>
        <v>-93600</v>
      </c>
      <c r="S1359" s="117">
        <v>202303</v>
      </c>
      <c r="T1359" s="157" t="s">
        <v>1741</v>
      </c>
      <c r="U1359" s="157"/>
      <c r="V1359" s="133"/>
      <c r="W1359" s="133"/>
      <c r="X1359" s="118">
        <v>43525</v>
      </c>
      <c r="Y1359" s="118">
        <v>45549</v>
      </c>
    </row>
    <row r="1360" s="9" customFormat="1" customHeight="1" spans="1:25">
      <c r="A1360" s="98" t="s">
        <v>403</v>
      </c>
      <c r="B1360" s="98" t="s">
        <v>62</v>
      </c>
      <c r="C1360" s="98" t="s">
        <v>217</v>
      </c>
      <c r="D1360" s="98" t="s">
        <v>566</v>
      </c>
      <c r="E1360" s="147" t="s">
        <v>1043</v>
      </c>
      <c r="F1360" s="98" t="s">
        <v>906</v>
      </c>
      <c r="G1360" s="151" t="s">
        <v>88</v>
      </c>
      <c r="H1360" s="19" t="s">
        <v>1599</v>
      </c>
      <c r="I1360" s="23" t="e">
        <f>VLOOKUP(H1360,'合同综合查询数据（3月返）'!$A:$A,1,FALSE)</f>
        <v>#N/A</v>
      </c>
      <c r="J1360" s="24" t="s">
        <v>90</v>
      </c>
      <c r="K1360" s="129" t="s">
        <v>1733</v>
      </c>
      <c r="L1360" s="153"/>
      <c r="M1360" s="26" t="s">
        <v>909</v>
      </c>
      <c r="N1360" s="154">
        <v>44862</v>
      </c>
      <c r="O1360" s="155" t="s">
        <v>457</v>
      </c>
      <c r="P1360" s="156">
        <v>5950</v>
      </c>
      <c r="Q1360" s="156">
        <v>-1</v>
      </c>
      <c r="R1360" s="120">
        <f t="shared" si="34"/>
        <v>-5950</v>
      </c>
      <c r="S1360" s="117">
        <v>202303</v>
      </c>
      <c r="T1360" s="157" t="s">
        <v>1742</v>
      </c>
      <c r="U1360" s="157"/>
      <c r="V1360" s="133"/>
      <c r="W1360" s="133"/>
      <c r="X1360" s="118">
        <v>43525</v>
      </c>
      <c r="Y1360" s="118">
        <v>45549</v>
      </c>
    </row>
    <row r="1361" s="9" customFormat="1" customHeight="1" spans="1:25">
      <c r="A1361" s="98" t="s">
        <v>403</v>
      </c>
      <c r="B1361" s="98" t="s">
        <v>62</v>
      </c>
      <c r="C1361" s="98" t="s">
        <v>217</v>
      </c>
      <c r="D1361" s="98" t="s">
        <v>566</v>
      </c>
      <c r="E1361" s="147" t="s">
        <v>1043</v>
      </c>
      <c r="F1361" s="98" t="s">
        <v>906</v>
      </c>
      <c r="G1361" s="151" t="s">
        <v>88</v>
      </c>
      <c r="H1361" s="19" t="s">
        <v>1599</v>
      </c>
      <c r="I1361" s="23" t="e">
        <f>VLOOKUP(H1361,'合同综合查询数据（3月返）'!$A:$A,1,FALSE)</f>
        <v>#N/A</v>
      </c>
      <c r="J1361" s="24" t="s">
        <v>90</v>
      </c>
      <c r="K1361" s="129" t="s">
        <v>1735</v>
      </c>
      <c r="L1361" s="153"/>
      <c r="M1361" s="26" t="s">
        <v>1686</v>
      </c>
      <c r="N1361" s="154">
        <v>44874</v>
      </c>
      <c r="O1361" s="155" t="s">
        <v>461</v>
      </c>
      <c r="P1361" s="156">
        <v>11700</v>
      </c>
      <c r="Q1361" s="156">
        <v>-1</v>
      </c>
      <c r="R1361" s="120">
        <f t="shared" si="34"/>
        <v>-11700</v>
      </c>
      <c r="S1361" s="117">
        <v>202303</v>
      </c>
      <c r="T1361" s="157" t="s">
        <v>1687</v>
      </c>
      <c r="U1361" s="157"/>
      <c r="V1361" s="133"/>
      <c r="W1361" s="133"/>
      <c r="X1361" s="118">
        <v>43525</v>
      </c>
      <c r="Y1361" s="118">
        <v>45549</v>
      </c>
    </row>
    <row r="1362" s="9" customFormat="1" customHeight="1" spans="1:25">
      <c r="A1362" s="98" t="s">
        <v>403</v>
      </c>
      <c r="B1362" s="98" t="s">
        <v>62</v>
      </c>
      <c r="C1362" s="98" t="s">
        <v>217</v>
      </c>
      <c r="D1362" s="98" t="s">
        <v>566</v>
      </c>
      <c r="E1362" s="147" t="s">
        <v>1043</v>
      </c>
      <c r="F1362" s="98" t="s">
        <v>906</v>
      </c>
      <c r="G1362" s="151" t="s">
        <v>88</v>
      </c>
      <c r="H1362" s="19" t="s">
        <v>1599</v>
      </c>
      <c r="I1362" s="23" t="e">
        <f>VLOOKUP(H1362,'合同综合查询数据（3月返）'!$A:$A,1,FALSE)</f>
        <v>#N/A</v>
      </c>
      <c r="J1362" s="24" t="s">
        <v>90</v>
      </c>
      <c r="K1362" s="129" t="s">
        <v>1735</v>
      </c>
      <c r="L1362" s="153"/>
      <c r="M1362" s="26" t="s">
        <v>909</v>
      </c>
      <c r="N1362" s="154">
        <v>44874</v>
      </c>
      <c r="O1362" s="155" t="s">
        <v>457</v>
      </c>
      <c r="P1362" s="156">
        <v>5950</v>
      </c>
      <c r="Q1362" s="156">
        <v>-1</v>
      </c>
      <c r="R1362" s="120">
        <f t="shared" si="34"/>
        <v>-5950</v>
      </c>
      <c r="S1362" s="117">
        <v>202303</v>
      </c>
      <c r="T1362" s="157" t="s">
        <v>1688</v>
      </c>
      <c r="U1362" s="157"/>
      <c r="V1362" s="133"/>
      <c r="W1362" s="133"/>
      <c r="X1362" s="118">
        <v>43525</v>
      </c>
      <c r="Y1362" s="118">
        <v>45549</v>
      </c>
    </row>
    <row r="1363" s="9" customFormat="1" customHeight="1" spans="1:25">
      <c r="A1363" s="98" t="s">
        <v>403</v>
      </c>
      <c r="B1363" s="98" t="s">
        <v>62</v>
      </c>
      <c r="C1363" s="98" t="s">
        <v>217</v>
      </c>
      <c r="D1363" s="98" t="s">
        <v>566</v>
      </c>
      <c r="E1363" s="147" t="s">
        <v>1043</v>
      </c>
      <c r="F1363" s="98" t="s">
        <v>906</v>
      </c>
      <c r="G1363" s="151" t="s">
        <v>88</v>
      </c>
      <c r="H1363" s="19" t="s">
        <v>1599</v>
      </c>
      <c r="I1363" s="23" t="e">
        <f>VLOOKUP(H1363,'合同综合查询数据（3月返）'!$A:$A,1,FALSE)</f>
        <v>#N/A</v>
      </c>
      <c r="J1363" s="24" t="s">
        <v>90</v>
      </c>
      <c r="K1363" s="129" t="s">
        <v>1735</v>
      </c>
      <c r="L1363" s="153"/>
      <c r="M1363" s="26" t="s">
        <v>909</v>
      </c>
      <c r="N1363" s="154">
        <v>44874</v>
      </c>
      <c r="O1363" s="155" t="s">
        <v>461</v>
      </c>
      <c r="P1363" s="156">
        <v>11700</v>
      </c>
      <c r="Q1363" s="156">
        <v>-1</v>
      </c>
      <c r="R1363" s="120">
        <f t="shared" si="34"/>
        <v>-11700</v>
      </c>
      <c r="S1363" s="117">
        <v>202303</v>
      </c>
      <c r="T1363" s="157" t="s">
        <v>1743</v>
      </c>
      <c r="U1363" s="157"/>
      <c r="V1363" s="133"/>
      <c r="W1363" s="133"/>
      <c r="X1363" s="118">
        <v>43525</v>
      </c>
      <c r="Y1363" s="118">
        <v>45549</v>
      </c>
    </row>
    <row r="1364" s="9" customFormat="1" customHeight="1" spans="1:25">
      <c r="A1364" s="98" t="s">
        <v>403</v>
      </c>
      <c r="B1364" s="98" t="s">
        <v>62</v>
      </c>
      <c r="C1364" s="98" t="s">
        <v>217</v>
      </c>
      <c r="D1364" s="98" t="s">
        <v>566</v>
      </c>
      <c r="E1364" s="147" t="s">
        <v>1043</v>
      </c>
      <c r="F1364" s="98" t="s">
        <v>906</v>
      </c>
      <c r="G1364" s="151" t="s">
        <v>88</v>
      </c>
      <c r="H1364" s="19" t="s">
        <v>1599</v>
      </c>
      <c r="I1364" s="23" t="e">
        <f>VLOOKUP(H1364,'合同综合查询数据（3月返）'!$A:$A,1,FALSE)</f>
        <v>#N/A</v>
      </c>
      <c r="J1364" s="24" t="s">
        <v>90</v>
      </c>
      <c r="K1364" s="129" t="s">
        <v>1735</v>
      </c>
      <c r="L1364" s="153"/>
      <c r="M1364" s="26" t="s">
        <v>909</v>
      </c>
      <c r="N1364" s="154">
        <v>44912</v>
      </c>
      <c r="O1364" s="155" t="s">
        <v>461</v>
      </c>
      <c r="P1364" s="156">
        <v>11700</v>
      </c>
      <c r="Q1364" s="156">
        <v>-55</v>
      </c>
      <c r="R1364" s="120">
        <f t="shared" si="34"/>
        <v>-643500</v>
      </c>
      <c r="S1364" s="117">
        <v>202303</v>
      </c>
      <c r="T1364" s="157" t="s">
        <v>1744</v>
      </c>
      <c r="U1364" s="157"/>
      <c r="V1364" s="133"/>
      <c r="W1364" s="133"/>
      <c r="X1364" s="118">
        <v>43525</v>
      </c>
      <c r="Y1364" s="118">
        <v>45549</v>
      </c>
    </row>
    <row r="1365" s="9" customFormat="1" customHeight="1" spans="1:25">
      <c r="A1365" s="98" t="s">
        <v>403</v>
      </c>
      <c r="B1365" s="98" t="s">
        <v>62</v>
      </c>
      <c r="C1365" s="98" t="s">
        <v>217</v>
      </c>
      <c r="D1365" s="98" t="s">
        <v>566</v>
      </c>
      <c r="E1365" s="147" t="s">
        <v>1043</v>
      </c>
      <c r="F1365" s="98" t="s">
        <v>906</v>
      </c>
      <c r="G1365" s="151" t="s">
        <v>88</v>
      </c>
      <c r="H1365" s="19" t="s">
        <v>1599</v>
      </c>
      <c r="I1365" s="23" t="e">
        <f>VLOOKUP(H1365,'合同综合查询数据（3月返）'!$A:$A,1,FALSE)</f>
        <v>#N/A</v>
      </c>
      <c r="J1365" s="24" t="s">
        <v>90</v>
      </c>
      <c r="K1365" s="129" t="s">
        <v>1735</v>
      </c>
      <c r="L1365" s="153"/>
      <c r="M1365" s="26" t="s">
        <v>909</v>
      </c>
      <c r="N1365" s="154">
        <v>44916</v>
      </c>
      <c r="O1365" s="155" t="s">
        <v>461</v>
      </c>
      <c r="P1365" s="156">
        <v>11700</v>
      </c>
      <c r="Q1365" s="156">
        <v>-25</v>
      </c>
      <c r="R1365" s="120">
        <f t="shared" si="34"/>
        <v>-292500</v>
      </c>
      <c r="S1365" s="117">
        <v>202303</v>
      </c>
      <c r="T1365" s="157" t="s">
        <v>1745</v>
      </c>
      <c r="U1365" s="157"/>
      <c r="V1365" s="133"/>
      <c r="W1365" s="133"/>
      <c r="X1365" s="118">
        <v>43525</v>
      </c>
      <c r="Y1365" s="118">
        <v>45549</v>
      </c>
    </row>
    <row r="1366" s="9" customFormat="1" customHeight="1" spans="1:25">
      <c r="A1366" s="98" t="s">
        <v>403</v>
      </c>
      <c r="B1366" s="98" t="s">
        <v>62</v>
      </c>
      <c r="C1366" s="98" t="s">
        <v>217</v>
      </c>
      <c r="D1366" s="98" t="s">
        <v>566</v>
      </c>
      <c r="E1366" s="147" t="s">
        <v>1043</v>
      </c>
      <c r="F1366" s="98" t="s">
        <v>906</v>
      </c>
      <c r="G1366" s="151" t="s">
        <v>88</v>
      </c>
      <c r="H1366" s="19" t="s">
        <v>1599</v>
      </c>
      <c r="I1366" s="23" t="e">
        <f>VLOOKUP(H1366,'合同综合查询数据（3月返）'!$A:$A,1,FALSE)</f>
        <v>#N/A</v>
      </c>
      <c r="J1366" s="24" t="s">
        <v>90</v>
      </c>
      <c r="K1366" s="129" t="s">
        <v>1735</v>
      </c>
      <c r="L1366" s="153"/>
      <c r="M1366" s="26" t="s">
        <v>909</v>
      </c>
      <c r="N1366" s="154">
        <v>44924</v>
      </c>
      <c r="O1366" s="155" t="s">
        <v>461</v>
      </c>
      <c r="P1366" s="156">
        <v>11700</v>
      </c>
      <c r="Q1366" s="156">
        <v>1</v>
      </c>
      <c r="R1366" s="120">
        <f t="shared" si="34"/>
        <v>11700</v>
      </c>
      <c r="S1366" s="117">
        <v>202303</v>
      </c>
      <c r="T1366" s="157" t="s">
        <v>1693</v>
      </c>
      <c r="U1366" s="157"/>
      <c r="V1366" s="133"/>
      <c r="W1366" s="133"/>
      <c r="X1366" s="118">
        <v>43525</v>
      </c>
      <c r="Y1366" s="118">
        <v>45549</v>
      </c>
    </row>
    <row r="1367" s="9" customFormat="1" customHeight="1" spans="1:25">
      <c r="A1367" s="98" t="s">
        <v>403</v>
      </c>
      <c r="B1367" s="98" t="s">
        <v>62</v>
      </c>
      <c r="C1367" s="98" t="s">
        <v>217</v>
      </c>
      <c r="D1367" s="98" t="s">
        <v>566</v>
      </c>
      <c r="E1367" s="147" t="s">
        <v>1043</v>
      </c>
      <c r="F1367" s="98" t="s">
        <v>906</v>
      </c>
      <c r="G1367" s="151" t="s">
        <v>88</v>
      </c>
      <c r="H1367" s="19" t="s">
        <v>1599</v>
      </c>
      <c r="I1367" s="23" t="e">
        <f>VLOOKUP(H1367,'合同综合查询数据（3月返）'!$A:$A,1,FALSE)</f>
        <v>#N/A</v>
      </c>
      <c r="J1367" s="24" t="s">
        <v>90</v>
      </c>
      <c r="K1367" s="129" t="s">
        <v>1735</v>
      </c>
      <c r="L1367" s="153"/>
      <c r="M1367" s="26" t="s">
        <v>909</v>
      </c>
      <c r="N1367" s="154">
        <v>44922</v>
      </c>
      <c r="O1367" s="155" t="s">
        <v>461</v>
      </c>
      <c r="P1367" s="156">
        <v>11700</v>
      </c>
      <c r="Q1367" s="156">
        <v>-169</v>
      </c>
      <c r="R1367" s="120">
        <f t="shared" si="34"/>
        <v>-1977300</v>
      </c>
      <c r="S1367" s="117">
        <v>202303</v>
      </c>
      <c r="T1367" s="157" t="s">
        <v>1746</v>
      </c>
      <c r="U1367" s="157"/>
      <c r="V1367" s="133"/>
      <c r="W1367" s="133"/>
      <c r="X1367" s="118">
        <v>43525</v>
      </c>
      <c r="Y1367" s="118">
        <v>45549</v>
      </c>
    </row>
    <row r="1368" s="9" customFormat="1" customHeight="1" spans="1:25">
      <c r="A1368" s="98" t="s">
        <v>403</v>
      </c>
      <c r="B1368" s="98" t="s">
        <v>62</v>
      </c>
      <c r="C1368" s="98" t="s">
        <v>217</v>
      </c>
      <c r="D1368" s="98" t="s">
        <v>566</v>
      </c>
      <c r="E1368" s="147" t="s">
        <v>1043</v>
      </c>
      <c r="F1368" s="98" t="s">
        <v>906</v>
      </c>
      <c r="G1368" s="151" t="s">
        <v>88</v>
      </c>
      <c r="H1368" s="19" t="s">
        <v>1599</v>
      </c>
      <c r="I1368" s="23" t="e">
        <f>VLOOKUP(H1368,'合同综合查询数据（3月返）'!$A:$A,1,FALSE)</f>
        <v>#N/A</v>
      </c>
      <c r="J1368" s="24" t="s">
        <v>90</v>
      </c>
      <c r="K1368" s="129" t="s">
        <v>1735</v>
      </c>
      <c r="L1368" s="153"/>
      <c r="M1368" s="26" t="s">
        <v>909</v>
      </c>
      <c r="N1368" s="154">
        <v>44967</v>
      </c>
      <c r="O1368" s="155" t="s">
        <v>457</v>
      </c>
      <c r="P1368" s="156">
        <v>5950</v>
      </c>
      <c r="Q1368" s="156">
        <v>-8</v>
      </c>
      <c r="R1368" s="120">
        <f t="shared" si="34"/>
        <v>-47600</v>
      </c>
      <c r="S1368" s="117">
        <v>202303</v>
      </c>
      <c r="T1368" s="157" t="s">
        <v>1747</v>
      </c>
      <c r="U1368" s="157"/>
      <c r="V1368" s="133"/>
      <c r="W1368" s="133"/>
      <c r="X1368" s="118">
        <v>43525</v>
      </c>
      <c r="Y1368" s="118">
        <v>45549</v>
      </c>
    </row>
    <row r="1369" s="9" customFormat="1" customHeight="1" spans="1:25">
      <c r="A1369" s="98" t="s">
        <v>403</v>
      </c>
      <c r="B1369" s="98" t="s">
        <v>62</v>
      </c>
      <c r="C1369" s="98" t="s">
        <v>217</v>
      </c>
      <c r="D1369" s="98" t="s">
        <v>566</v>
      </c>
      <c r="E1369" s="147" t="s">
        <v>1043</v>
      </c>
      <c r="F1369" s="98" t="s">
        <v>906</v>
      </c>
      <c r="G1369" s="151" t="s">
        <v>88</v>
      </c>
      <c r="H1369" s="19" t="s">
        <v>1599</v>
      </c>
      <c r="I1369" s="23" t="e">
        <f>VLOOKUP(H1369,'合同综合查询数据（3月返）'!$A:$A,1,FALSE)</f>
        <v>#N/A</v>
      </c>
      <c r="J1369" s="24" t="s">
        <v>90</v>
      </c>
      <c r="K1369" s="129" t="s">
        <v>1733</v>
      </c>
      <c r="L1369" s="153"/>
      <c r="M1369" s="26" t="s">
        <v>909</v>
      </c>
      <c r="N1369" s="154">
        <v>44967</v>
      </c>
      <c r="O1369" s="155" t="s">
        <v>461</v>
      </c>
      <c r="P1369" s="156">
        <v>11700</v>
      </c>
      <c r="Q1369" s="156">
        <v>-71</v>
      </c>
      <c r="R1369" s="120">
        <f t="shared" si="34"/>
        <v>-830700</v>
      </c>
      <c r="S1369" s="117">
        <v>202303</v>
      </c>
      <c r="T1369" s="157" t="s">
        <v>1748</v>
      </c>
      <c r="U1369" s="157"/>
      <c r="V1369" s="133"/>
      <c r="W1369" s="133"/>
      <c r="X1369" s="118">
        <v>43525</v>
      </c>
      <c r="Y1369" s="118">
        <v>45549</v>
      </c>
    </row>
    <row r="1370" s="9" customFormat="1" customHeight="1" spans="1:25">
      <c r="A1370" s="98" t="s">
        <v>403</v>
      </c>
      <c r="B1370" s="98" t="s">
        <v>62</v>
      </c>
      <c r="C1370" s="98" t="s">
        <v>217</v>
      </c>
      <c r="D1370" s="98" t="s">
        <v>566</v>
      </c>
      <c r="E1370" s="147" t="s">
        <v>1043</v>
      </c>
      <c r="F1370" s="98" t="s">
        <v>906</v>
      </c>
      <c r="G1370" s="151" t="s">
        <v>88</v>
      </c>
      <c r="H1370" s="19" t="s">
        <v>1599</v>
      </c>
      <c r="I1370" s="23" t="e">
        <f>VLOOKUP(H1370,'合同综合查询数据（3月返）'!$A:$A,1,FALSE)</f>
        <v>#N/A</v>
      </c>
      <c r="J1370" s="24" t="s">
        <v>90</v>
      </c>
      <c r="K1370" s="129" t="s">
        <v>1733</v>
      </c>
      <c r="L1370" s="153"/>
      <c r="M1370" s="26" t="s">
        <v>909</v>
      </c>
      <c r="N1370" s="154">
        <v>44972</v>
      </c>
      <c r="O1370" s="155" t="s">
        <v>461</v>
      </c>
      <c r="P1370" s="156">
        <v>11700</v>
      </c>
      <c r="Q1370" s="156">
        <v>-14</v>
      </c>
      <c r="R1370" s="120">
        <f t="shared" si="34"/>
        <v>-163800</v>
      </c>
      <c r="S1370" s="117">
        <v>202303</v>
      </c>
      <c r="T1370" s="157" t="s">
        <v>1749</v>
      </c>
      <c r="U1370" s="157"/>
      <c r="V1370" s="133"/>
      <c r="W1370" s="133"/>
      <c r="X1370" s="118">
        <v>43525</v>
      </c>
      <c r="Y1370" s="118">
        <v>45549</v>
      </c>
    </row>
    <row r="1371" s="9" customFormat="1" customHeight="1" spans="1:25">
      <c r="A1371" s="98" t="s">
        <v>403</v>
      </c>
      <c r="B1371" s="98" t="s">
        <v>62</v>
      </c>
      <c r="C1371" s="98" t="s">
        <v>217</v>
      </c>
      <c r="D1371" s="98" t="s">
        <v>566</v>
      </c>
      <c r="E1371" s="147" t="s">
        <v>1043</v>
      </c>
      <c r="F1371" s="98" t="s">
        <v>906</v>
      </c>
      <c r="G1371" s="151" t="s">
        <v>88</v>
      </c>
      <c r="H1371" s="19" t="s">
        <v>1599</v>
      </c>
      <c r="I1371" s="23" t="e">
        <f>VLOOKUP(H1371,'合同综合查询数据（3月返）'!$A:$A,1,FALSE)</f>
        <v>#N/A</v>
      </c>
      <c r="J1371" s="24" t="s">
        <v>90</v>
      </c>
      <c r="K1371" s="129" t="s">
        <v>1733</v>
      </c>
      <c r="L1371" s="153"/>
      <c r="M1371" s="26" t="s">
        <v>909</v>
      </c>
      <c r="N1371" s="154">
        <v>44973</v>
      </c>
      <c r="O1371" s="155" t="s">
        <v>461</v>
      </c>
      <c r="P1371" s="156">
        <v>11700</v>
      </c>
      <c r="Q1371" s="156">
        <v>-228</v>
      </c>
      <c r="R1371" s="120">
        <f t="shared" si="34"/>
        <v>-2667600</v>
      </c>
      <c r="S1371" s="117">
        <v>202303</v>
      </c>
      <c r="T1371" s="157" t="s">
        <v>1750</v>
      </c>
      <c r="U1371" s="157"/>
      <c r="V1371" s="133"/>
      <c r="W1371" s="133"/>
      <c r="X1371" s="118">
        <v>43525</v>
      </c>
      <c r="Y1371" s="118">
        <v>45549</v>
      </c>
    </row>
    <row r="1372" s="9" customFormat="1" customHeight="1" spans="1:25">
      <c r="A1372" s="98" t="s">
        <v>403</v>
      </c>
      <c r="B1372" s="98" t="s">
        <v>62</v>
      </c>
      <c r="C1372" s="98" t="s">
        <v>217</v>
      </c>
      <c r="D1372" s="98" t="s">
        <v>566</v>
      </c>
      <c r="E1372" s="147" t="s">
        <v>1043</v>
      </c>
      <c r="F1372" s="98" t="s">
        <v>906</v>
      </c>
      <c r="G1372" s="151" t="s">
        <v>88</v>
      </c>
      <c r="H1372" s="19" t="s">
        <v>1751</v>
      </c>
      <c r="I1372" s="23" t="e">
        <f>VLOOKUP(H1372,'合同综合查询数据（3月返）'!$A:$A,1,FALSE)</f>
        <v>#N/A</v>
      </c>
      <c r="J1372" s="24" t="s">
        <v>90</v>
      </c>
      <c r="K1372" s="129" t="s">
        <v>1733</v>
      </c>
      <c r="L1372" s="153"/>
      <c r="M1372" s="26" t="s">
        <v>909</v>
      </c>
      <c r="N1372" s="154">
        <v>44973</v>
      </c>
      <c r="O1372" s="155" t="s">
        <v>461</v>
      </c>
      <c r="P1372" s="156">
        <v>11700</v>
      </c>
      <c r="Q1372" s="156">
        <v>-9</v>
      </c>
      <c r="R1372" s="120">
        <f t="shared" si="34"/>
        <v>-105300</v>
      </c>
      <c r="S1372" s="117">
        <v>202303</v>
      </c>
      <c r="T1372" s="157" t="s">
        <v>1752</v>
      </c>
      <c r="U1372" s="157"/>
      <c r="V1372" s="133"/>
      <c r="W1372" s="133"/>
      <c r="X1372" s="118">
        <v>44287</v>
      </c>
      <c r="Y1372" s="118">
        <v>45549</v>
      </c>
    </row>
    <row r="1373" s="9" customFormat="1" customHeight="1" spans="1:25">
      <c r="A1373" s="98" t="s">
        <v>403</v>
      </c>
      <c r="B1373" s="98" t="s">
        <v>62</v>
      </c>
      <c r="C1373" s="98" t="s">
        <v>217</v>
      </c>
      <c r="D1373" s="98" t="s">
        <v>566</v>
      </c>
      <c r="E1373" s="147" t="s">
        <v>1043</v>
      </c>
      <c r="F1373" s="98" t="s">
        <v>906</v>
      </c>
      <c r="G1373" s="151" t="s">
        <v>88</v>
      </c>
      <c r="H1373" s="19" t="s">
        <v>1599</v>
      </c>
      <c r="I1373" s="23" t="e">
        <f>VLOOKUP(H1373,'合同综合查询数据（3月返）'!$A:$A,1,FALSE)</f>
        <v>#N/A</v>
      </c>
      <c r="J1373" s="24" t="s">
        <v>90</v>
      </c>
      <c r="K1373" s="129" t="s">
        <v>1733</v>
      </c>
      <c r="L1373" s="153"/>
      <c r="M1373" s="26" t="s">
        <v>909</v>
      </c>
      <c r="N1373" s="154">
        <v>44981</v>
      </c>
      <c r="O1373" s="155" t="s">
        <v>461</v>
      </c>
      <c r="P1373" s="156">
        <v>11700</v>
      </c>
      <c r="Q1373" s="156">
        <v>-12</v>
      </c>
      <c r="R1373" s="120">
        <f t="shared" si="34"/>
        <v>-140400</v>
      </c>
      <c r="S1373" s="117">
        <v>202303</v>
      </c>
      <c r="T1373" s="157" t="s">
        <v>1753</v>
      </c>
      <c r="U1373" s="157"/>
      <c r="V1373" s="133"/>
      <c r="W1373" s="133"/>
      <c r="X1373" s="118">
        <v>43525</v>
      </c>
      <c r="Y1373" s="118">
        <v>45549</v>
      </c>
    </row>
    <row r="1374" s="84" customFormat="1" customHeight="1" spans="1:25">
      <c r="A1374" s="98" t="s">
        <v>403</v>
      </c>
      <c r="B1374" s="98" t="s">
        <v>62</v>
      </c>
      <c r="C1374" s="98" t="s">
        <v>217</v>
      </c>
      <c r="D1374" s="98" t="s">
        <v>566</v>
      </c>
      <c r="E1374" s="147" t="s">
        <v>1043</v>
      </c>
      <c r="F1374" s="98" t="s">
        <v>906</v>
      </c>
      <c r="G1374" s="151" t="s">
        <v>88</v>
      </c>
      <c r="H1374" s="19" t="s">
        <v>1599</v>
      </c>
      <c r="I1374" s="23" t="e">
        <f>VLOOKUP(H1374,'合同综合查询数据（3月返）'!$A:$A,1,FALSE)</f>
        <v>#N/A</v>
      </c>
      <c r="J1374" s="24" t="s">
        <v>90</v>
      </c>
      <c r="K1374" s="129" t="s">
        <v>1733</v>
      </c>
      <c r="L1374" s="153"/>
      <c r="M1374" s="26" t="s">
        <v>909</v>
      </c>
      <c r="N1374" s="154">
        <v>44967</v>
      </c>
      <c r="O1374" s="155" t="s">
        <v>461</v>
      </c>
      <c r="P1374" s="156">
        <v>11700</v>
      </c>
      <c r="Q1374" s="156">
        <v>-1</v>
      </c>
      <c r="R1374" s="120">
        <f t="shared" si="34"/>
        <v>-11700</v>
      </c>
      <c r="S1374" s="117">
        <v>202303</v>
      </c>
      <c r="T1374" s="157" t="s">
        <v>1754</v>
      </c>
      <c r="U1374" s="157"/>
      <c r="V1374" s="133"/>
      <c r="W1374" s="133"/>
      <c r="X1374" s="118">
        <v>43525</v>
      </c>
      <c r="Y1374" s="118">
        <v>45549</v>
      </c>
    </row>
    <row r="1375" s="9" customFormat="1" customHeight="1" spans="1:25">
      <c r="A1375" s="94" t="s">
        <v>403</v>
      </c>
      <c r="B1375" s="98" t="s">
        <v>62</v>
      </c>
      <c r="C1375" s="96" t="s">
        <v>217</v>
      </c>
      <c r="D1375" s="96" t="s">
        <v>566</v>
      </c>
      <c r="E1375" s="23" t="s">
        <v>1043</v>
      </c>
      <c r="F1375" s="94" t="s">
        <v>906</v>
      </c>
      <c r="G1375" s="109" t="s">
        <v>31</v>
      </c>
      <c r="H1375" s="100" t="s">
        <v>1755</v>
      </c>
      <c r="I1375" s="23" t="e">
        <f>VLOOKUP(H1375,'合同综合查询数据（3月返）'!$A:$A,1,FALSE)</f>
        <v>#N/A</v>
      </c>
      <c r="J1375" s="152" t="s">
        <v>33</v>
      </c>
      <c r="K1375" s="94" t="s">
        <v>219</v>
      </c>
      <c r="L1375" s="99" t="s">
        <v>1044</v>
      </c>
      <c r="M1375" s="26"/>
      <c r="N1375" s="28">
        <v>43889</v>
      </c>
      <c r="O1375" s="109"/>
      <c r="P1375" s="110">
        <v>0</v>
      </c>
      <c r="Q1375" s="120">
        <v>288</v>
      </c>
      <c r="R1375" s="119">
        <f t="shared" si="34"/>
        <v>0</v>
      </c>
      <c r="S1375" s="117">
        <v>202303</v>
      </c>
      <c r="T1375" s="121" t="s">
        <v>1756</v>
      </c>
      <c r="U1375" s="121"/>
      <c r="V1375" s="122"/>
      <c r="W1375" s="122"/>
      <c r="X1375" s="118">
        <v>43825</v>
      </c>
      <c r="Y1375" s="118">
        <v>45549</v>
      </c>
    </row>
    <row r="1376" s="79" customFormat="1" customHeight="1" spans="1:31">
      <c r="A1376" s="98" t="s">
        <v>403</v>
      </c>
      <c r="B1376" s="98" t="s">
        <v>62</v>
      </c>
      <c r="C1376" s="98" t="s">
        <v>217</v>
      </c>
      <c r="D1376" s="98" t="s">
        <v>566</v>
      </c>
      <c r="E1376" s="147" t="s">
        <v>1043</v>
      </c>
      <c r="F1376" s="98" t="s">
        <v>906</v>
      </c>
      <c r="G1376" s="99" t="s">
        <v>67</v>
      </c>
      <c r="H1376" s="19" t="s">
        <v>1757</v>
      </c>
      <c r="I1376" s="23" t="e">
        <f>VLOOKUP(H1376,'合同综合查询数据（3月返）'!$A:$A,1,FALSE)</f>
        <v>#N/A</v>
      </c>
      <c r="J1376" s="99" t="s">
        <v>69</v>
      </c>
      <c r="K1376" s="129" t="s">
        <v>1758</v>
      </c>
      <c r="L1376" s="153"/>
      <c r="M1376" s="26"/>
      <c r="N1376" s="210">
        <v>44418</v>
      </c>
      <c r="O1376" s="190" t="s">
        <v>1759</v>
      </c>
      <c r="P1376" s="173">
        <v>160000</v>
      </c>
      <c r="Q1376" s="119">
        <v>1</v>
      </c>
      <c r="R1376" s="120">
        <f t="shared" si="34"/>
        <v>160000</v>
      </c>
      <c r="S1376" s="117">
        <v>202303</v>
      </c>
      <c r="T1376" s="184" t="s">
        <v>1760</v>
      </c>
      <c r="U1376" s="185"/>
      <c r="V1376" s="133"/>
      <c r="W1376" s="133"/>
      <c r="X1376" s="118">
        <v>44418</v>
      </c>
      <c r="Y1376" s="118">
        <v>45147</v>
      </c>
      <c r="Z1376" s="9"/>
      <c r="AA1376" s="9"/>
      <c r="AB1376" s="9"/>
      <c r="AC1376" s="9"/>
      <c r="AD1376" s="9"/>
      <c r="AE1376" s="9"/>
    </row>
    <row r="1377" s="79" customFormat="1" customHeight="1" spans="1:31">
      <c r="A1377" s="98" t="s">
        <v>403</v>
      </c>
      <c r="B1377" s="98" t="s">
        <v>62</v>
      </c>
      <c r="C1377" s="98" t="s">
        <v>217</v>
      </c>
      <c r="D1377" s="98" t="s">
        <v>566</v>
      </c>
      <c r="E1377" s="147" t="s">
        <v>1043</v>
      </c>
      <c r="F1377" s="98" t="s">
        <v>906</v>
      </c>
      <c r="G1377" s="98" t="s">
        <v>88</v>
      </c>
      <c r="H1377" s="19" t="s">
        <v>1751</v>
      </c>
      <c r="I1377" s="23" t="e">
        <f>VLOOKUP(H1377,'合同综合查询数据（3月返）'!$A:$A,1,FALSE)</f>
        <v>#N/A</v>
      </c>
      <c r="J1377" s="24" t="s">
        <v>90</v>
      </c>
      <c r="K1377" s="129" t="s">
        <v>1600</v>
      </c>
      <c r="L1377" s="98"/>
      <c r="M1377" s="26" t="s">
        <v>909</v>
      </c>
      <c r="N1377" s="154" t="s">
        <v>1225</v>
      </c>
      <c r="O1377" s="155" t="s">
        <v>545</v>
      </c>
      <c r="P1377" s="173">
        <v>0</v>
      </c>
      <c r="Q1377" s="173">
        <v>20</v>
      </c>
      <c r="R1377" s="120">
        <f t="shared" si="34"/>
        <v>0</v>
      </c>
      <c r="S1377" s="117">
        <v>202303</v>
      </c>
      <c r="T1377" s="158" t="s">
        <v>1761</v>
      </c>
      <c r="U1377" s="215"/>
      <c r="V1377" s="133"/>
      <c r="W1377" s="133"/>
      <c r="X1377" s="118">
        <v>44287</v>
      </c>
      <c r="Y1377" s="118">
        <v>45549</v>
      </c>
      <c r="Z1377" s="9"/>
      <c r="AA1377" s="9"/>
      <c r="AB1377" s="9"/>
      <c r="AC1377" s="9"/>
      <c r="AD1377" s="9"/>
      <c r="AE1377" s="9"/>
    </row>
    <row r="1378" s="79" customFormat="1" customHeight="1" spans="1:31">
      <c r="A1378" s="98" t="s">
        <v>403</v>
      </c>
      <c r="B1378" s="98" t="s">
        <v>62</v>
      </c>
      <c r="C1378" s="98" t="s">
        <v>217</v>
      </c>
      <c r="D1378" s="98" t="s">
        <v>566</v>
      </c>
      <c r="E1378" s="147" t="s">
        <v>1043</v>
      </c>
      <c r="F1378" s="98" t="s">
        <v>906</v>
      </c>
      <c r="G1378" s="151" t="s">
        <v>88</v>
      </c>
      <c r="H1378" s="19" t="s">
        <v>1751</v>
      </c>
      <c r="I1378" s="23" t="e">
        <f>VLOOKUP(H1378,'合同综合查询数据（3月返）'!$A:$A,1,FALSE)</f>
        <v>#N/A</v>
      </c>
      <c r="J1378" s="24" t="s">
        <v>90</v>
      </c>
      <c r="K1378" s="129" t="s">
        <v>1733</v>
      </c>
      <c r="L1378" s="153"/>
      <c r="M1378" s="26" t="s">
        <v>909</v>
      </c>
      <c r="N1378" s="154">
        <v>44301</v>
      </c>
      <c r="O1378" s="155" t="s">
        <v>461</v>
      </c>
      <c r="P1378" s="156">
        <v>11700</v>
      </c>
      <c r="Q1378" s="156">
        <v>13</v>
      </c>
      <c r="R1378" s="120">
        <f t="shared" si="34"/>
        <v>152100</v>
      </c>
      <c r="S1378" s="117">
        <v>202303</v>
      </c>
      <c r="T1378" s="157" t="s">
        <v>1762</v>
      </c>
      <c r="U1378" s="157"/>
      <c r="V1378" s="133"/>
      <c r="W1378" s="133"/>
      <c r="X1378" s="118">
        <v>44287</v>
      </c>
      <c r="Y1378" s="118">
        <v>45549</v>
      </c>
      <c r="Z1378" s="9"/>
      <c r="AA1378" s="9"/>
      <c r="AB1378" s="9"/>
      <c r="AC1378" s="9"/>
      <c r="AD1378" s="9"/>
      <c r="AE1378" s="9"/>
    </row>
    <row r="1379" s="79" customFormat="1" customHeight="1" spans="1:31">
      <c r="A1379" s="98" t="s">
        <v>403</v>
      </c>
      <c r="B1379" s="98" t="s">
        <v>62</v>
      </c>
      <c r="C1379" s="98" t="s">
        <v>217</v>
      </c>
      <c r="D1379" s="98" t="s">
        <v>566</v>
      </c>
      <c r="E1379" s="147" t="s">
        <v>1043</v>
      </c>
      <c r="F1379" s="98" t="s">
        <v>906</v>
      </c>
      <c r="G1379" s="151" t="s">
        <v>88</v>
      </c>
      <c r="H1379" s="19" t="s">
        <v>1751</v>
      </c>
      <c r="I1379" s="23" t="e">
        <f>VLOOKUP(H1379,'合同综合查询数据（3月返）'!$A:$A,1,FALSE)</f>
        <v>#N/A</v>
      </c>
      <c r="J1379" s="24" t="s">
        <v>90</v>
      </c>
      <c r="K1379" s="129" t="s">
        <v>1733</v>
      </c>
      <c r="L1379" s="153"/>
      <c r="M1379" s="26" t="s">
        <v>909</v>
      </c>
      <c r="N1379" s="154">
        <v>44302</v>
      </c>
      <c r="O1379" s="155" t="s">
        <v>461</v>
      </c>
      <c r="P1379" s="156">
        <v>11700</v>
      </c>
      <c r="Q1379" s="156">
        <v>15</v>
      </c>
      <c r="R1379" s="120">
        <f t="shared" si="34"/>
        <v>175500</v>
      </c>
      <c r="S1379" s="117">
        <v>202303</v>
      </c>
      <c r="T1379" s="157" t="s">
        <v>1763</v>
      </c>
      <c r="U1379" s="157"/>
      <c r="V1379" s="133"/>
      <c r="W1379" s="133"/>
      <c r="X1379" s="118">
        <v>44287</v>
      </c>
      <c r="Y1379" s="118">
        <v>45549</v>
      </c>
      <c r="Z1379" s="9"/>
      <c r="AA1379" s="9"/>
      <c r="AB1379" s="9"/>
      <c r="AC1379" s="9"/>
      <c r="AD1379" s="9"/>
      <c r="AE1379" s="9"/>
    </row>
    <row r="1380" s="79" customFormat="1" customHeight="1" spans="1:31">
      <c r="A1380" s="98" t="s">
        <v>403</v>
      </c>
      <c r="B1380" s="98" t="s">
        <v>62</v>
      </c>
      <c r="C1380" s="98" t="s">
        <v>217</v>
      </c>
      <c r="D1380" s="98" t="s">
        <v>566</v>
      </c>
      <c r="E1380" s="147" t="s">
        <v>1043</v>
      </c>
      <c r="F1380" s="98" t="s">
        <v>906</v>
      </c>
      <c r="G1380" s="151" t="s">
        <v>88</v>
      </c>
      <c r="H1380" s="19" t="s">
        <v>1751</v>
      </c>
      <c r="I1380" s="23" t="e">
        <f>VLOOKUP(H1380,'合同综合查询数据（3月返）'!$A:$A,1,FALSE)</f>
        <v>#N/A</v>
      </c>
      <c r="J1380" s="24" t="s">
        <v>90</v>
      </c>
      <c r="K1380" s="129" t="s">
        <v>1733</v>
      </c>
      <c r="L1380" s="153"/>
      <c r="M1380" s="26" t="s">
        <v>909</v>
      </c>
      <c r="N1380" s="154">
        <v>44311</v>
      </c>
      <c r="O1380" s="155" t="s">
        <v>461</v>
      </c>
      <c r="P1380" s="156">
        <v>11700</v>
      </c>
      <c r="Q1380" s="156">
        <v>2</v>
      </c>
      <c r="R1380" s="120">
        <f t="shared" si="34"/>
        <v>23400</v>
      </c>
      <c r="S1380" s="117">
        <v>202303</v>
      </c>
      <c r="T1380" s="157" t="s">
        <v>1764</v>
      </c>
      <c r="U1380" s="157"/>
      <c r="V1380" s="133"/>
      <c r="W1380" s="133"/>
      <c r="X1380" s="118">
        <v>44287</v>
      </c>
      <c r="Y1380" s="118">
        <v>45549</v>
      </c>
      <c r="Z1380" s="9"/>
      <c r="AA1380" s="9"/>
      <c r="AB1380" s="9"/>
      <c r="AC1380" s="9"/>
      <c r="AD1380" s="9"/>
      <c r="AE1380" s="9"/>
    </row>
    <row r="1381" s="79" customFormat="1" customHeight="1" spans="1:31">
      <c r="A1381" s="98" t="s">
        <v>403</v>
      </c>
      <c r="B1381" s="98" t="s">
        <v>62</v>
      </c>
      <c r="C1381" s="98" t="s">
        <v>217</v>
      </c>
      <c r="D1381" s="98" t="s">
        <v>566</v>
      </c>
      <c r="E1381" s="147" t="s">
        <v>1043</v>
      </c>
      <c r="F1381" s="98" t="s">
        <v>906</v>
      </c>
      <c r="G1381" s="151" t="s">
        <v>88</v>
      </c>
      <c r="H1381" s="19" t="s">
        <v>1751</v>
      </c>
      <c r="I1381" s="23" t="e">
        <f>VLOOKUP(H1381,'合同综合查询数据（3月返）'!$A:$A,1,FALSE)</f>
        <v>#N/A</v>
      </c>
      <c r="J1381" s="24" t="s">
        <v>90</v>
      </c>
      <c r="K1381" s="129" t="s">
        <v>1733</v>
      </c>
      <c r="L1381" s="153"/>
      <c r="M1381" s="26" t="s">
        <v>909</v>
      </c>
      <c r="N1381" s="154">
        <v>44312</v>
      </c>
      <c r="O1381" s="155" t="s">
        <v>461</v>
      </c>
      <c r="P1381" s="156">
        <v>11700</v>
      </c>
      <c r="Q1381" s="156">
        <v>2</v>
      </c>
      <c r="R1381" s="120">
        <f t="shared" si="34"/>
        <v>23400</v>
      </c>
      <c r="S1381" s="117">
        <v>202303</v>
      </c>
      <c r="T1381" s="157" t="s">
        <v>1765</v>
      </c>
      <c r="U1381" s="157"/>
      <c r="V1381" s="133"/>
      <c r="W1381" s="133"/>
      <c r="X1381" s="118">
        <v>44287</v>
      </c>
      <c r="Y1381" s="118">
        <v>45549</v>
      </c>
      <c r="Z1381" s="9"/>
      <c r="AA1381" s="9"/>
      <c r="AB1381" s="9"/>
      <c r="AC1381" s="9"/>
      <c r="AD1381" s="9"/>
      <c r="AE1381" s="9"/>
    </row>
    <row r="1382" s="79" customFormat="1" customHeight="1" spans="1:31">
      <c r="A1382" s="98" t="s">
        <v>403</v>
      </c>
      <c r="B1382" s="98" t="s">
        <v>62</v>
      </c>
      <c r="C1382" s="98" t="s">
        <v>217</v>
      </c>
      <c r="D1382" s="98" t="s">
        <v>566</v>
      </c>
      <c r="E1382" s="147" t="s">
        <v>1043</v>
      </c>
      <c r="F1382" s="98" t="s">
        <v>906</v>
      </c>
      <c r="G1382" s="151" t="s">
        <v>88</v>
      </c>
      <c r="H1382" s="19" t="s">
        <v>1751</v>
      </c>
      <c r="I1382" s="23" t="e">
        <f>VLOOKUP(H1382,'合同综合查询数据（3月返）'!$A:$A,1,FALSE)</f>
        <v>#N/A</v>
      </c>
      <c r="J1382" s="24" t="s">
        <v>90</v>
      </c>
      <c r="K1382" s="129" t="s">
        <v>1735</v>
      </c>
      <c r="L1382" s="153"/>
      <c r="M1382" s="26" t="s">
        <v>909</v>
      </c>
      <c r="N1382" s="154">
        <v>44334</v>
      </c>
      <c r="O1382" s="155" t="s">
        <v>461</v>
      </c>
      <c r="P1382" s="156">
        <v>11700</v>
      </c>
      <c r="Q1382" s="156">
        <v>1</v>
      </c>
      <c r="R1382" s="120">
        <f t="shared" si="34"/>
        <v>11700</v>
      </c>
      <c r="S1382" s="117">
        <v>202303</v>
      </c>
      <c r="T1382" s="157" t="s">
        <v>1766</v>
      </c>
      <c r="U1382" s="157"/>
      <c r="V1382" s="133"/>
      <c r="W1382" s="133"/>
      <c r="X1382" s="118">
        <v>44287</v>
      </c>
      <c r="Y1382" s="118">
        <v>45549</v>
      </c>
      <c r="Z1382" s="9"/>
      <c r="AA1382" s="9"/>
      <c r="AB1382" s="9"/>
      <c r="AC1382" s="9"/>
      <c r="AD1382" s="9"/>
      <c r="AE1382" s="9"/>
    </row>
    <row r="1383" s="79" customFormat="1" customHeight="1" spans="1:31">
      <c r="A1383" s="98" t="s">
        <v>403</v>
      </c>
      <c r="B1383" s="98" t="s">
        <v>62</v>
      </c>
      <c r="C1383" s="98" t="s">
        <v>217</v>
      </c>
      <c r="D1383" s="98" t="s">
        <v>566</v>
      </c>
      <c r="E1383" s="147" t="s">
        <v>1043</v>
      </c>
      <c r="F1383" s="98" t="s">
        <v>906</v>
      </c>
      <c r="G1383" s="151" t="s">
        <v>88</v>
      </c>
      <c r="H1383" s="19" t="s">
        <v>1751</v>
      </c>
      <c r="I1383" s="23" t="e">
        <f>VLOOKUP(H1383,'合同综合查询数据（3月返）'!$A:$A,1,FALSE)</f>
        <v>#N/A</v>
      </c>
      <c r="J1383" s="24" t="s">
        <v>90</v>
      </c>
      <c r="K1383" s="129" t="s">
        <v>1733</v>
      </c>
      <c r="L1383" s="153"/>
      <c r="M1383" s="26" t="s">
        <v>909</v>
      </c>
      <c r="N1383" s="154">
        <v>44340</v>
      </c>
      <c r="O1383" s="155" t="s">
        <v>461</v>
      </c>
      <c r="P1383" s="156">
        <v>11700</v>
      </c>
      <c r="Q1383" s="156">
        <v>1</v>
      </c>
      <c r="R1383" s="120">
        <f t="shared" si="34"/>
        <v>11700</v>
      </c>
      <c r="S1383" s="117">
        <v>202303</v>
      </c>
      <c r="T1383" s="157" t="s">
        <v>1767</v>
      </c>
      <c r="U1383" s="157"/>
      <c r="V1383" s="133"/>
      <c r="W1383" s="133"/>
      <c r="X1383" s="118">
        <v>44287</v>
      </c>
      <c r="Y1383" s="118">
        <v>45549</v>
      </c>
      <c r="Z1383" s="9"/>
      <c r="AA1383" s="9"/>
      <c r="AB1383" s="9"/>
      <c r="AC1383" s="9"/>
      <c r="AD1383" s="9"/>
      <c r="AE1383" s="9"/>
    </row>
    <row r="1384" s="79" customFormat="1" customHeight="1" spans="1:31">
      <c r="A1384" s="98" t="s">
        <v>403</v>
      </c>
      <c r="B1384" s="98" t="s">
        <v>62</v>
      </c>
      <c r="C1384" s="98" t="s">
        <v>217</v>
      </c>
      <c r="D1384" s="98" t="s">
        <v>566</v>
      </c>
      <c r="E1384" s="147" t="s">
        <v>1043</v>
      </c>
      <c r="F1384" s="98" t="s">
        <v>906</v>
      </c>
      <c r="G1384" s="151" t="s">
        <v>88</v>
      </c>
      <c r="H1384" s="19" t="s">
        <v>1751</v>
      </c>
      <c r="I1384" s="23" t="e">
        <f>VLOOKUP(H1384,'合同综合查询数据（3月返）'!$A:$A,1,FALSE)</f>
        <v>#N/A</v>
      </c>
      <c r="J1384" s="24" t="s">
        <v>90</v>
      </c>
      <c r="K1384" s="129" t="s">
        <v>1735</v>
      </c>
      <c r="L1384" s="153"/>
      <c r="M1384" s="26" t="s">
        <v>909</v>
      </c>
      <c r="N1384" s="154">
        <v>44342</v>
      </c>
      <c r="O1384" s="155" t="s">
        <v>461</v>
      </c>
      <c r="P1384" s="156">
        <v>11700</v>
      </c>
      <c r="Q1384" s="156">
        <v>15</v>
      </c>
      <c r="R1384" s="120">
        <f t="shared" si="34"/>
        <v>175500</v>
      </c>
      <c r="S1384" s="117">
        <v>202303</v>
      </c>
      <c r="T1384" s="157" t="s">
        <v>1768</v>
      </c>
      <c r="U1384" s="157"/>
      <c r="V1384" s="133"/>
      <c r="W1384" s="133"/>
      <c r="X1384" s="118">
        <v>44287</v>
      </c>
      <c r="Y1384" s="118">
        <v>45549</v>
      </c>
      <c r="Z1384" s="9"/>
      <c r="AA1384" s="9"/>
      <c r="AB1384" s="9"/>
      <c r="AC1384" s="9"/>
      <c r="AD1384" s="9"/>
      <c r="AE1384" s="9"/>
    </row>
    <row r="1385" s="79" customFormat="1" customHeight="1" spans="1:31">
      <c r="A1385" s="98" t="s">
        <v>403</v>
      </c>
      <c r="B1385" s="98" t="s">
        <v>62</v>
      </c>
      <c r="C1385" s="98" t="s">
        <v>217</v>
      </c>
      <c r="D1385" s="98" t="s">
        <v>566</v>
      </c>
      <c r="E1385" s="147" t="s">
        <v>1043</v>
      </c>
      <c r="F1385" s="98" t="s">
        <v>906</v>
      </c>
      <c r="G1385" s="99" t="s">
        <v>67</v>
      </c>
      <c r="H1385" s="19" t="s">
        <v>1769</v>
      </c>
      <c r="I1385" s="23" t="e">
        <f>VLOOKUP(H1385,'合同综合查询数据（3月返）'!$A:$A,1,FALSE)</f>
        <v>#N/A</v>
      </c>
      <c r="J1385" s="99" t="s">
        <v>69</v>
      </c>
      <c r="K1385" s="129" t="s">
        <v>1770</v>
      </c>
      <c r="L1385" s="153"/>
      <c r="M1385" s="26"/>
      <c r="N1385" s="210">
        <v>40624</v>
      </c>
      <c r="O1385" s="190"/>
      <c r="P1385" s="173">
        <f>201*400</f>
        <v>80400</v>
      </c>
      <c r="Q1385" s="119">
        <v>1</v>
      </c>
      <c r="R1385" s="120">
        <f t="shared" si="34"/>
        <v>80400</v>
      </c>
      <c r="S1385" s="117">
        <v>202303</v>
      </c>
      <c r="T1385" s="184" t="s">
        <v>1771</v>
      </c>
      <c r="U1385" s="185"/>
      <c r="V1385" s="133"/>
      <c r="W1385" s="133"/>
      <c r="X1385" s="118">
        <v>44682</v>
      </c>
      <c r="Y1385" s="118">
        <v>45046</v>
      </c>
      <c r="Z1385" s="9"/>
      <c r="AA1385" s="9"/>
      <c r="AB1385" s="9"/>
      <c r="AC1385" s="9"/>
      <c r="AD1385" s="9"/>
      <c r="AE1385" s="9"/>
    </row>
    <row r="1386" s="79" customFormat="1" customHeight="1" spans="1:31">
      <c r="A1386" s="98" t="s">
        <v>403</v>
      </c>
      <c r="B1386" s="98" t="s">
        <v>62</v>
      </c>
      <c r="C1386" s="98" t="s">
        <v>217</v>
      </c>
      <c r="D1386" s="98" t="s">
        <v>566</v>
      </c>
      <c r="E1386" s="147" t="s">
        <v>1043</v>
      </c>
      <c r="F1386" s="98" t="s">
        <v>906</v>
      </c>
      <c r="G1386" s="99" t="s">
        <v>67</v>
      </c>
      <c r="H1386" s="19" t="s">
        <v>1769</v>
      </c>
      <c r="I1386" s="23" t="e">
        <f>VLOOKUP(H1386,'合同综合查询数据（3月返）'!$A:$A,1,FALSE)</f>
        <v>#N/A</v>
      </c>
      <c r="J1386" s="99" t="s">
        <v>69</v>
      </c>
      <c r="K1386" s="129" t="s">
        <v>1770</v>
      </c>
      <c r="L1386" s="153"/>
      <c r="M1386" s="26"/>
      <c r="N1386" s="210">
        <v>43344</v>
      </c>
      <c r="O1386" s="190"/>
      <c r="P1386" s="173">
        <v>400</v>
      </c>
      <c r="Q1386" s="119">
        <v>100</v>
      </c>
      <c r="R1386" s="120">
        <f t="shared" si="34"/>
        <v>40000</v>
      </c>
      <c r="S1386" s="117">
        <v>202303</v>
      </c>
      <c r="T1386" s="184" t="s">
        <v>1772</v>
      </c>
      <c r="U1386" s="185"/>
      <c r="V1386" s="133"/>
      <c r="W1386" s="133"/>
      <c r="X1386" s="118">
        <v>44682</v>
      </c>
      <c r="Y1386" s="118">
        <v>45046</v>
      </c>
      <c r="Z1386" s="9"/>
      <c r="AA1386" s="9"/>
      <c r="AB1386" s="9"/>
      <c r="AC1386" s="9"/>
      <c r="AD1386" s="9"/>
      <c r="AE1386" s="9"/>
    </row>
    <row r="1387" s="79" customFormat="1" customHeight="1" spans="1:31">
      <c r="A1387" s="98" t="s">
        <v>403</v>
      </c>
      <c r="B1387" s="98" t="s">
        <v>62</v>
      </c>
      <c r="C1387" s="98" t="s">
        <v>217</v>
      </c>
      <c r="D1387" s="98" t="s">
        <v>566</v>
      </c>
      <c r="E1387" s="147" t="s">
        <v>1043</v>
      </c>
      <c r="F1387" s="98" t="s">
        <v>906</v>
      </c>
      <c r="G1387" s="99" t="s">
        <v>67</v>
      </c>
      <c r="H1387" s="19" t="s">
        <v>1769</v>
      </c>
      <c r="I1387" s="23" t="e">
        <f>VLOOKUP(H1387,'合同综合查询数据（3月返）'!$A:$A,1,FALSE)</f>
        <v>#N/A</v>
      </c>
      <c r="J1387" s="99" t="s">
        <v>69</v>
      </c>
      <c r="K1387" s="129" t="s">
        <v>1770</v>
      </c>
      <c r="L1387" s="153"/>
      <c r="M1387" s="26"/>
      <c r="N1387" s="210">
        <v>43344</v>
      </c>
      <c r="O1387" s="190"/>
      <c r="P1387" s="173">
        <v>400</v>
      </c>
      <c r="Q1387" s="119">
        <v>140</v>
      </c>
      <c r="R1387" s="120">
        <f t="shared" si="34"/>
        <v>56000</v>
      </c>
      <c r="S1387" s="117">
        <v>202303</v>
      </c>
      <c r="T1387" s="184" t="s">
        <v>1773</v>
      </c>
      <c r="U1387" s="185"/>
      <c r="V1387" s="133"/>
      <c r="W1387" s="133"/>
      <c r="X1387" s="118">
        <v>44682</v>
      </c>
      <c r="Y1387" s="118">
        <v>45046</v>
      </c>
      <c r="Z1387" s="9"/>
      <c r="AA1387" s="9"/>
      <c r="AB1387" s="9"/>
      <c r="AC1387" s="9"/>
      <c r="AD1387" s="9"/>
      <c r="AE1387" s="9"/>
    </row>
    <row r="1388" s="81" customFormat="1" customHeight="1" spans="1:31">
      <c r="A1388" s="61" t="s">
        <v>403</v>
      </c>
      <c r="B1388" s="61" t="s">
        <v>62</v>
      </c>
      <c r="C1388" s="61" t="s">
        <v>217</v>
      </c>
      <c r="D1388" s="61" t="s">
        <v>566</v>
      </c>
      <c r="E1388" s="160" t="s">
        <v>1043</v>
      </c>
      <c r="F1388" s="61" t="s">
        <v>906</v>
      </c>
      <c r="G1388" s="66" t="s">
        <v>67</v>
      </c>
      <c r="H1388" s="45" t="s">
        <v>1774</v>
      </c>
      <c r="I1388" s="47" t="e">
        <f>VLOOKUP(H1388,'合同综合查询数据（3月返）'!$A:$A,1,FALSE)</f>
        <v>#N/A</v>
      </c>
      <c r="J1388" s="66" t="s">
        <v>69</v>
      </c>
      <c r="K1388" s="135" t="s">
        <v>1775</v>
      </c>
      <c r="L1388" s="164"/>
      <c r="M1388" s="50"/>
      <c r="N1388" s="178">
        <v>43328</v>
      </c>
      <c r="O1388" s="163"/>
      <c r="P1388" s="144">
        <v>16000</v>
      </c>
      <c r="Q1388" s="69">
        <v>1</v>
      </c>
      <c r="R1388" s="68">
        <f t="shared" si="34"/>
        <v>16000</v>
      </c>
      <c r="S1388" s="70">
        <v>202303</v>
      </c>
      <c r="T1388" s="168" t="s">
        <v>1776</v>
      </c>
      <c r="U1388" s="169"/>
      <c r="V1388" s="143"/>
      <c r="W1388" s="143"/>
      <c r="X1388" s="73"/>
      <c r="Y1388" s="73"/>
      <c r="Z1388" s="10"/>
      <c r="AA1388" s="10"/>
      <c r="AB1388" s="10"/>
      <c r="AC1388" s="10"/>
      <c r="AD1388" s="10"/>
      <c r="AE1388" s="10"/>
    </row>
    <row r="1389" s="81" customFormat="1" customHeight="1" spans="1:31">
      <c r="A1389" s="61" t="s">
        <v>403</v>
      </c>
      <c r="B1389" s="61" t="s">
        <v>62</v>
      </c>
      <c r="C1389" s="61" t="s">
        <v>217</v>
      </c>
      <c r="D1389" s="61" t="s">
        <v>566</v>
      </c>
      <c r="E1389" s="160" t="s">
        <v>1043</v>
      </c>
      <c r="F1389" s="61" t="s">
        <v>906</v>
      </c>
      <c r="G1389" s="66" t="s">
        <v>67</v>
      </c>
      <c r="H1389" s="45" t="s">
        <v>1774</v>
      </c>
      <c r="I1389" s="47" t="e">
        <f>VLOOKUP(H1389,'合同综合查询数据（3月返）'!$A:$A,1,FALSE)</f>
        <v>#N/A</v>
      </c>
      <c r="J1389" s="66" t="s">
        <v>69</v>
      </c>
      <c r="K1389" s="135" t="s">
        <v>1775</v>
      </c>
      <c r="L1389" s="164"/>
      <c r="M1389" s="50"/>
      <c r="N1389" s="178"/>
      <c r="O1389" s="163"/>
      <c r="P1389" s="144">
        <v>16000</v>
      </c>
      <c r="Q1389" s="69">
        <v>-1</v>
      </c>
      <c r="R1389" s="68">
        <f t="shared" si="34"/>
        <v>-16000</v>
      </c>
      <c r="S1389" s="70">
        <v>202303</v>
      </c>
      <c r="T1389" s="168" t="s">
        <v>1776</v>
      </c>
      <c r="U1389" s="169"/>
      <c r="V1389" s="143"/>
      <c r="W1389" s="143"/>
      <c r="X1389" s="73"/>
      <c r="Y1389" s="73"/>
      <c r="Z1389" s="10"/>
      <c r="AA1389" s="10"/>
      <c r="AB1389" s="10"/>
      <c r="AC1389" s="10"/>
      <c r="AD1389" s="10"/>
      <c r="AE1389" s="10"/>
    </row>
    <row r="1390" s="81" customFormat="1" customHeight="1" spans="1:31">
      <c r="A1390" s="61" t="s">
        <v>403</v>
      </c>
      <c r="B1390" s="61" t="s">
        <v>62</v>
      </c>
      <c r="C1390" s="61" t="s">
        <v>217</v>
      </c>
      <c r="D1390" s="61" t="s">
        <v>566</v>
      </c>
      <c r="E1390" s="160" t="s">
        <v>1043</v>
      </c>
      <c r="F1390" s="61" t="s">
        <v>906</v>
      </c>
      <c r="G1390" s="66" t="s">
        <v>67</v>
      </c>
      <c r="H1390" s="45" t="s">
        <v>1777</v>
      </c>
      <c r="I1390" s="47" t="e">
        <f>VLOOKUP(H1390,'合同综合查询数据（3月返）'!$A:$A,1,FALSE)</f>
        <v>#N/A</v>
      </c>
      <c r="J1390" s="66" t="s">
        <v>69</v>
      </c>
      <c r="K1390" s="135" t="s">
        <v>1778</v>
      </c>
      <c r="L1390" s="164"/>
      <c r="M1390" s="50"/>
      <c r="N1390" s="178">
        <v>43490</v>
      </c>
      <c r="O1390" s="163"/>
      <c r="P1390" s="144">
        <v>500</v>
      </c>
      <c r="Q1390" s="69">
        <v>36</v>
      </c>
      <c r="R1390" s="68">
        <f t="shared" si="34"/>
        <v>18000</v>
      </c>
      <c r="S1390" s="70">
        <v>202303</v>
      </c>
      <c r="T1390" s="168" t="s">
        <v>1779</v>
      </c>
      <c r="U1390" s="169"/>
      <c r="V1390" s="143"/>
      <c r="W1390" s="143"/>
      <c r="X1390" s="73"/>
      <c r="Y1390" s="73"/>
      <c r="Z1390" s="10"/>
      <c r="AA1390" s="10"/>
      <c r="AB1390" s="10"/>
      <c r="AC1390" s="10"/>
      <c r="AD1390" s="10"/>
      <c r="AE1390" s="10"/>
    </row>
    <row r="1391" s="81" customFormat="1" customHeight="1" spans="1:31">
      <c r="A1391" s="61" t="s">
        <v>403</v>
      </c>
      <c r="B1391" s="61" t="s">
        <v>62</v>
      </c>
      <c r="C1391" s="61" t="s">
        <v>217</v>
      </c>
      <c r="D1391" s="61" t="s">
        <v>566</v>
      </c>
      <c r="E1391" s="160" t="s">
        <v>1043</v>
      </c>
      <c r="F1391" s="61" t="s">
        <v>906</v>
      </c>
      <c r="G1391" s="66" t="s">
        <v>67</v>
      </c>
      <c r="H1391" s="45" t="s">
        <v>1777</v>
      </c>
      <c r="I1391" s="47" t="e">
        <f>VLOOKUP(H1391,'合同综合查询数据（3月返）'!$A:$A,1,FALSE)</f>
        <v>#N/A</v>
      </c>
      <c r="J1391" s="66" t="s">
        <v>69</v>
      </c>
      <c r="K1391" s="135" t="s">
        <v>1778</v>
      </c>
      <c r="L1391" s="164"/>
      <c r="M1391" s="50"/>
      <c r="N1391" s="178">
        <v>43490</v>
      </c>
      <c r="O1391" s="163"/>
      <c r="P1391" s="144">
        <v>500</v>
      </c>
      <c r="Q1391" s="69">
        <v>29</v>
      </c>
      <c r="R1391" s="68">
        <f t="shared" si="34"/>
        <v>14500</v>
      </c>
      <c r="S1391" s="70">
        <v>202303</v>
      </c>
      <c r="T1391" s="168" t="s">
        <v>1780</v>
      </c>
      <c r="U1391" s="169"/>
      <c r="V1391" s="143"/>
      <c r="W1391" s="143"/>
      <c r="X1391" s="73"/>
      <c r="Y1391" s="73"/>
      <c r="Z1391" s="10"/>
      <c r="AA1391" s="10"/>
      <c r="AB1391" s="10"/>
      <c r="AC1391" s="10"/>
      <c r="AD1391" s="10"/>
      <c r="AE1391" s="10"/>
    </row>
    <row r="1392" s="81" customFormat="1" customHeight="1" spans="1:31">
      <c r="A1392" s="61" t="s">
        <v>403</v>
      </c>
      <c r="B1392" s="61" t="s">
        <v>62</v>
      </c>
      <c r="C1392" s="61" t="s">
        <v>217</v>
      </c>
      <c r="D1392" s="61" t="s">
        <v>566</v>
      </c>
      <c r="E1392" s="160" t="s">
        <v>1043</v>
      </c>
      <c r="F1392" s="61" t="s">
        <v>906</v>
      </c>
      <c r="G1392" s="66" t="s">
        <v>67</v>
      </c>
      <c r="H1392" s="45" t="s">
        <v>1777</v>
      </c>
      <c r="I1392" s="47" t="e">
        <f>VLOOKUP(H1392,'合同综合查询数据（3月返）'!$A:$A,1,FALSE)</f>
        <v>#N/A</v>
      </c>
      <c r="J1392" s="66" t="s">
        <v>69</v>
      </c>
      <c r="K1392" s="135" t="s">
        <v>1778</v>
      </c>
      <c r="L1392" s="164"/>
      <c r="M1392" s="50"/>
      <c r="N1392" s="178">
        <v>44347</v>
      </c>
      <c r="O1392" s="163"/>
      <c r="P1392" s="144">
        <v>500</v>
      </c>
      <c r="Q1392" s="69">
        <v>-36</v>
      </c>
      <c r="R1392" s="68">
        <f t="shared" si="34"/>
        <v>-18000</v>
      </c>
      <c r="S1392" s="70">
        <v>202303</v>
      </c>
      <c r="T1392" s="168" t="s">
        <v>1781</v>
      </c>
      <c r="U1392" s="169"/>
      <c r="V1392" s="143"/>
      <c r="W1392" s="143"/>
      <c r="X1392" s="73"/>
      <c r="Y1392" s="73"/>
      <c r="Z1392" s="10"/>
      <c r="AA1392" s="10"/>
      <c r="AB1392" s="10"/>
      <c r="AC1392" s="10"/>
      <c r="AD1392" s="10"/>
      <c r="AE1392" s="10"/>
    </row>
    <row r="1393" s="81" customFormat="1" customHeight="1" spans="1:31">
      <c r="A1393" s="61" t="s">
        <v>403</v>
      </c>
      <c r="B1393" s="61" t="s">
        <v>62</v>
      </c>
      <c r="C1393" s="61" t="s">
        <v>217</v>
      </c>
      <c r="D1393" s="61" t="s">
        <v>566</v>
      </c>
      <c r="E1393" s="160" t="s">
        <v>1043</v>
      </c>
      <c r="F1393" s="61" t="s">
        <v>906</v>
      </c>
      <c r="G1393" s="66" t="s">
        <v>67</v>
      </c>
      <c r="H1393" s="45" t="s">
        <v>1777</v>
      </c>
      <c r="I1393" s="47" t="e">
        <f>VLOOKUP(H1393,'合同综合查询数据（3月返）'!$A:$A,1,FALSE)</f>
        <v>#N/A</v>
      </c>
      <c r="J1393" s="66" t="s">
        <v>69</v>
      </c>
      <c r="K1393" s="135" t="s">
        <v>1778</v>
      </c>
      <c r="L1393" s="164"/>
      <c r="M1393" s="50"/>
      <c r="N1393" s="178">
        <v>44347</v>
      </c>
      <c r="O1393" s="163"/>
      <c r="P1393" s="144">
        <v>500</v>
      </c>
      <c r="Q1393" s="69">
        <v>-29</v>
      </c>
      <c r="R1393" s="68">
        <f t="shared" si="34"/>
        <v>-14500</v>
      </c>
      <c r="S1393" s="70">
        <v>202303</v>
      </c>
      <c r="T1393" s="168" t="s">
        <v>1782</v>
      </c>
      <c r="U1393" s="169"/>
      <c r="V1393" s="143"/>
      <c r="W1393" s="143"/>
      <c r="X1393" s="73"/>
      <c r="Y1393" s="73"/>
      <c r="Z1393" s="10"/>
      <c r="AA1393" s="10"/>
      <c r="AB1393" s="10"/>
      <c r="AC1393" s="10"/>
      <c r="AD1393" s="10"/>
      <c r="AE1393" s="10"/>
    </row>
    <row r="1394" s="79" customFormat="1" customHeight="1" spans="1:31">
      <c r="A1394" s="98" t="s">
        <v>401</v>
      </c>
      <c r="B1394" s="96" t="s">
        <v>62</v>
      </c>
      <c r="C1394" s="98" t="s">
        <v>130</v>
      </c>
      <c r="D1394" s="98" t="s">
        <v>881</v>
      </c>
      <c r="E1394" s="147" t="s">
        <v>1783</v>
      </c>
      <c r="F1394" s="98" t="s">
        <v>1784</v>
      </c>
      <c r="G1394" s="151" t="s">
        <v>67</v>
      </c>
      <c r="H1394" s="19" t="s">
        <v>1785</v>
      </c>
      <c r="I1394" s="23" t="e">
        <f>VLOOKUP(H1394,'合同综合查询数据（3月返）'!$A:$A,1,FALSE)</f>
        <v>#N/A</v>
      </c>
      <c r="J1394" s="129" t="s">
        <v>69</v>
      </c>
      <c r="K1394" s="129" t="s">
        <v>1786</v>
      </c>
      <c r="L1394" s="153"/>
      <c r="M1394" s="26"/>
      <c r="N1394" s="154">
        <v>43067</v>
      </c>
      <c r="O1394" s="155" t="s">
        <v>71</v>
      </c>
      <c r="P1394" s="156">
        <v>500</v>
      </c>
      <c r="Q1394" s="107">
        <v>2</v>
      </c>
      <c r="R1394" s="120">
        <f t="shared" si="34"/>
        <v>1000</v>
      </c>
      <c r="S1394" s="117">
        <v>202303</v>
      </c>
      <c r="T1394" s="157" t="s">
        <v>1786</v>
      </c>
      <c r="U1394" s="157"/>
      <c r="V1394" s="122"/>
      <c r="W1394" s="122"/>
      <c r="X1394" s="118">
        <v>44562</v>
      </c>
      <c r="Y1394" s="118">
        <v>45291</v>
      </c>
      <c r="Z1394" s="9"/>
      <c r="AA1394" s="9"/>
      <c r="AB1394" s="9"/>
      <c r="AC1394" s="9"/>
      <c r="AD1394" s="9"/>
      <c r="AE1394" s="9"/>
    </row>
    <row r="1395" s="79" customFormat="1" customHeight="1" spans="1:31">
      <c r="A1395" s="98" t="s">
        <v>401</v>
      </c>
      <c r="B1395" s="96" t="s">
        <v>62</v>
      </c>
      <c r="C1395" s="98" t="s">
        <v>130</v>
      </c>
      <c r="D1395" s="98" t="s">
        <v>881</v>
      </c>
      <c r="E1395" s="147" t="s">
        <v>1783</v>
      </c>
      <c r="F1395" s="98" t="s">
        <v>1787</v>
      </c>
      <c r="G1395" s="151" t="s">
        <v>88</v>
      </c>
      <c r="H1395" s="19" t="s">
        <v>1785</v>
      </c>
      <c r="I1395" s="23" t="e">
        <f>VLOOKUP(H1395,'合同综合查询数据（3月返）'!$A:$A,1,FALSE)</f>
        <v>#N/A</v>
      </c>
      <c r="J1395" s="129" t="s">
        <v>126</v>
      </c>
      <c r="K1395" s="129" t="s">
        <v>132</v>
      </c>
      <c r="L1395" s="99" t="s">
        <v>1788</v>
      </c>
      <c r="M1395" s="26" t="s">
        <v>1789</v>
      </c>
      <c r="N1395" s="154" t="s">
        <v>1790</v>
      </c>
      <c r="O1395" s="155" t="s">
        <v>127</v>
      </c>
      <c r="P1395" s="156">
        <v>0</v>
      </c>
      <c r="Q1395" s="156">
        <v>13</v>
      </c>
      <c r="R1395" s="120">
        <f t="shared" si="34"/>
        <v>0</v>
      </c>
      <c r="S1395" s="117">
        <v>202303</v>
      </c>
      <c r="T1395" s="157" t="s">
        <v>1791</v>
      </c>
      <c r="U1395" s="157"/>
      <c r="V1395" s="122"/>
      <c r="W1395" s="122"/>
      <c r="X1395" s="118">
        <v>44562</v>
      </c>
      <c r="Y1395" s="118">
        <v>45291</v>
      </c>
      <c r="Z1395" s="9"/>
      <c r="AA1395" s="9"/>
      <c r="AB1395" s="9"/>
      <c r="AC1395" s="9"/>
      <c r="AD1395" s="9"/>
      <c r="AE1395" s="9"/>
    </row>
    <row r="1396" s="79" customFormat="1" customHeight="1" spans="1:31">
      <c r="A1396" s="98" t="s">
        <v>401</v>
      </c>
      <c r="B1396" s="96" t="s">
        <v>62</v>
      </c>
      <c r="C1396" s="98" t="s">
        <v>130</v>
      </c>
      <c r="D1396" s="98" t="s">
        <v>881</v>
      </c>
      <c r="E1396" s="147" t="s">
        <v>1783</v>
      </c>
      <c r="F1396" s="98" t="s">
        <v>1787</v>
      </c>
      <c r="G1396" s="151" t="s">
        <v>88</v>
      </c>
      <c r="H1396" s="19" t="s">
        <v>1785</v>
      </c>
      <c r="I1396" s="23" t="e">
        <f>VLOOKUP(H1396,'合同综合查询数据（3月返）'!$A:$A,1,FALSE)</f>
        <v>#N/A</v>
      </c>
      <c r="J1396" s="129" t="s">
        <v>126</v>
      </c>
      <c r="K1396" s="129" t="s">
        <v>132</v>
      </c>
      <c r="L1396" s="99" t="s">
        <v>1788</v>
      </c>
      <c r="M1396" s="26" t="s">
        <v>1789</v>
      </c>
      <c r="N1396" s="154" t="s">
        <v>1790</v>
      </c>
      <c r="O1396" s="155" t="s">
        <v>127</v>
      </c>
      <c r="P1396" s="156">
        <v>0</v>
      </c>
      <c r="Q1396" s="156">
        <v>4</v>
      </c>
      <c r="R1396" s="120">
        <f t="shared" si="34"/>
        <v>0</v>
      </c>
      <c r="S1396" s="117">
        <v>202303</v>
      </c>
      <c r="T1396" s="157" t="s">
        <v>1792</v>
      </c>
      <c r="U1396" s="157"/>
      <c r="V1396" s="122"/>
      <c r="W1396" s="122"/>
      <c r="X1396" s="118">
        <v>44562</v>
      </c>
      <c r="Y1396" s="118">
        <v>45291</v>
      </c>
      <c r="Z1396" s="9"/>
      <c r="AA1396" s="9"/>
      <c r="AB1396" s="9"/>
      <c r="AC1396" s="9"/>
      <c r="AD1396" s="9"/>
      <c r="AE1396" s="9"/>
    </row>
    <row r="1397" s="79" customFormat="1" customHeight="1" spans="1:31">
      <c r="A1397" s="98" t="s">
        <v>401</v>
      </c>
      <c r="B1397" s="96" t="s">
        <v>62</v>
      </c>
      <c r="C1397" s="98" t="s">
        <v>130</v>
      </c>
      <c r="D1397" s="98" t="s">
        <v>881</v>
      </c>
      <c r="E1397" s="147" t="s">
        <v>1783</v>
      </c>
      <c r="F1397" s="98" t="s">
        <v>1787</v>
      </c>
      <c r="G1397" s="151" t="s">
        <v>88</v>
      </c>
      <c r="H1397" s="19" t="s">
        <v>1785</v>
      </c>
      <c r="I1397" s="23" t="e">
        <f>VLOOKUP(H1397,'合同综合查询数据（3月返）'!$A:$A,1,FALSE)</f>
        <v>#N/A</v>
      </c>
      <c r="J1397" s="129" t="s">
        <v>126</v>
      </c>
      <c r="K1397" s="129" t="s">
        <v>132</v>
      </c>
      <c r="L1397" s="99" t="s">
        <v>1788</v>
      </c>
      <c r="M1397" s="26" t="s">
        <v>1789</v>
      </c>
      <c r="N1397" s="154">
        <v>44985</v>
      </c>
      <c r="O1397" s="155" t="s">
        <v>127</v>
      </c>
      <c r="P1397" s="156">
        <v>0</v>
      </c>
      <c r="Q1397" s="156">
        <v>-9</v>
      </c>
      <c r="R1397" s="120">
        <f t="shared" si="34"/>
        <v>0</v>
      </c>
      <c r="S1397" s="117">
        <v>202303</v>
      </c>
      <c r="T1397" s="157" t="s">
        <v>1793</v>
      </c>
      <c r="U1397" s="157"/>
      <c r="V1397" s="122"/>
      <c r="W1397" s="122"/>
      <c r="X1397" s="118">
        <v>44562</v>
      </c>
      <c r="Y1397" s="118">
        <v>45291</v>
      </c>
      <c r="Z1397" s="9"/>
      <c r="AA1397" s="9"/>
      <c r="AB1397" s="9"/>
      <c r="AC1397" s="9"/>
      <c r="AD1397" s="9"/>
      <c r="AE1397" s="9"/>
    </row>
    <row r="1398" s="79" customFormat="1" customHeight="1" spans="1:31">
      <c r="A1398" s="98" t="s">
        <v>401</v>
      </c>
      <c r="B1398" s="96" t="s">
        <v>62</v>
      </c>
      <c r="C1398" s="98" t="s">
        <v>130</v>
      </c>
      <c r="D1398" s="98" t="s">
        <v>881</v>
      </c>
      <c r="E1398" s="147" t="s">
        <v>1783</v>
      </c>
      <c r="F1398" s="98" t="s">
        <v>1787</v>
      </c>
      <c r="G1398" s="151" t="s">
        <v>88</v>
      </c>
      <c r="H1398" s="19" t="s">
        <v>1785</v>
      </c>
      <c r="I1398" s="23" t="e">
        <f>VLOOKUP(H1398,'合同综合查询数据（3月返）'!$A:$A,1,FALSE)</f>
        <v>#N/A</v>
      </c>
      <c r="J1398" s="129" t="s">
        <v>126</v>
      </c>
      <c r="K1398" s="129" t="s">
        <v>132</v>
      </c>
      <c r="L1398" s="99" t="s">
        <v>1794</v>
      </c>
      <c r="M1398" s="26" t="s">
        <v>1795</v>
      </c>
      <c r="N1398" s="154" t="s">
        <v>1790</v>
      </c>
      <c r="O1398" s="155" t="s">
        <v>127</v>
      </c>
      <c r="P1398" s="156">
        <v>0</v>
      </c>
      <c r="Q1398" s="156">
        <v>4</v>
      </c>
      <c r="R1398" s="120">
        <f t="shared" si="34"/>
        <v>0</v>
      </c>
      <c r="S1398" s="117">
        <v>202303</v>
      </c>
      <c r="T1398" s="157" t="s">
        <v>1796</v>
      </c>
      <c r="U1398" s="157"/>
      <c r="V1398" s="122"/>
      <c r="W1398" s="122"/>
      <c r="X1398" s="118">
        <v>44562</v>
      </c>
      <c r="Y1398" s="118">
        <v>45291</v>
      </c>
      <c r="Z1398" s="9"/>
      <c r="AA1398" s="9"/>
      <c r="AB1398" s="9"/>
      <c r="AC1398" s="9"/>
      <c r="AD1398" s="9"/>
      <c r="AE1398" s="9"/>
    </row>
    <row r="1399" s="79" customFormat="1" customHeight="1" spans="1:31">
      <c r="A1399" s="98" t="s">
        <v>401</v>
      </c>
      <c r="B1399" s="96" t="s">
        <v>62</v>
      </c>
      <c r="C1399" s="98" t="s">
        <v>130</v>
      </c>
      <c r="D1399" s="98" t="s">
        <v>881</v>
      </c>
      <c r="E1399" s="147" t="s">
        <v>1783</v>
      </c>
      <c r="F1399" s="98" t="s">
        <v>1787</v>
      </c>
      <c r="G1399" s="151" t="s">
        <v>88</v>
      </c>
      <c r="H1399" s="19" t="s">
        <v>1785</v>
      </c>
      <c r="I1399" s="23" t="e">
        <f>VLOOKUP(H1399,'合同综合查询数据（3月返）'!$A:$A,1,FALSE)</f>
        <v>#N/A</v>
      </c>
      <c r="J1399" s="129" t="s">
        <v>126</v>
      </c>
      <c r="K1399" s="129" t="s">
        <v>132</v>
      </c>
      <c r="L1399" s="99" t="s">
        <v>1797</v>
      </c>
      <c r="M1399" s="26" t="s">
        <v>1789</v>
      </c>
      <c r="N1399" s="154" t="s">
        <v>1790</v>
      </c>
      <c r="O1399" s="155" t="s">
        <v>127</v>
      </c>
      <c r="P1399" s="156">
        <v>0</v>
      </c>
      <c r="Q1399" s="156">
        <v>8</v>
      </c>
      <c r="R1399" s="120">
        <f t="shared" si="34"/>
        <v>0</v>
      </c>
      <c r="S1399" s="117">
        <v>202303</v>
      </c>
      <c r="T1399" s="157" t="s">
        <v>1798</v>
      </c>
      <c r="U1399" s="157"/>
      <c r="V1399" s="122"/>
      <c r="W1399" s="122"/>
      <c r="X1399" s="118">
        <v>44562</v>
      </c>
      <c r="Y1399" s="118">
        <v>45291</v>
      </c>
      <c r="Z1399" s="9"/>
      <c r="AA1399" s="9"/>
      <c r="AB1399" s="9"/>
      <c r="AC1399" s="9"/>
      <c r="AD1399" s="9"/>
      <c r="AE1399" s="9"/>
    </row>
    <row r="1400" s="79" customFormat="1" customHeight="1" spans="1:31">
      <c r="A1400" s="98" t="s">
        <v>401</v>
      </c>
      <c r="B1400" s="96" t="s">
        <v>62</v>
      </c>
      <c r="C1400" s="98" t="s">
        <v>130</v>
      </c>
      <c r="D1400" s="98" t="s">
        <v>881</v>
      </c>
      <c r="E1400" s="147" t="s">
        <v>1783</v>
      </c>
      <c r="F1400" s="98" t="s">
        <v>1787</v>
      </c>
      <c r="G1400" s="151" t="s">
        <v>88</v>
      </c>
      <c r="H1400" s="19" t="s">
        <v>1785</v>
      </c>
      <c r="I1400" s="23" t="e">
        <f>VLOOKUP(H1400,'合同综合查询数据（3月返）'!$A:$A,1,FALSE)</f>
        <v>#N/A</v>
      </c>
      <c r="J1400" s="129" t="s">
        <v>126</v>
      </c>
      <c r="K1400" s="129" t="s">
        <v>132</v>
      </c>
      <c r="L1400" s="153" t="s">
        <v>1788</v>
      </c>
      <c r="M1400" s="26" t="s">
        <v>1789</v>
      </c>
      <c r="N1400" s="154">
        <v>44562</v>
      </c>
      <c r="O1400" s="155" t="s">
        <v>127</v>
      </c>
      <c r="P1400" s="156">
        <v>4000</v>
      </c>
      <c r="Q1400" s="156">
        <v>3</v>
      </c>
      <c r="R1400" s="120">
        <f t="shared" si="34"/>
        <v>12000</v>
      </c>
      <c r="S1400" s="117">
        <v>202303</v>
      </c>
      <c r="T1400" s="157" t="s">
        <v>1799</v>
      </c>
      <c r="U1400" s="157"/>
      <c r="V1400" s="122"/>
      <c r="W1400" s="122"/>
      <c r="X1400" s="118">
        <v>44562</v>
      </c>
      <c r="Y1400" s="118">
        <v>45291</v>
      </c>
      <c r="Z1400" s="9"/>
      <c r="AA1400" s="9"/>
      <c r="AB1400" s="9"/>
      <c r="AC1400" s="9"/>
      <c r="AD1400" s="9"/>
      <c r="AE1400" s="9"/>
    </row>
    <row r="1401" s="79" customFormat="1" customHeight="1" spans="1:31">
      <c r="A1401" s="98" t="s">
        <v>401</v>
      </c>
      <c r="B1401" s="96" t="s">
        <v>62</v>
      </c>
      <c r="C1401" s="98" t="s">
        <v>130</v>
      </c>
      <c r="D1401" s="98" t="s">
        <v>881</v>
      </c>
      <c r="E1401" s="147" t="s">
        <v>1783</v>
      </c>
      <c r="F1401" s="98" t="s">
        <v>1787</v>
      </c>
      <c r="G1401" s="151" t="s">
        <v>88</v>
      </c>
      <c r="H1401" s="19" t="s">
        <v>1785</v>
      </c>
      <c r="I1401" s="23" t="e">
        <f>VLOOKUP(H1401,'合同综合查询数据（3月返）'!$A:$A,1,FALSE)</f>
        <v>#N/A</v>
      </c>
      <c r="J1401" s="129" t="s">
        <v>126</v>
      </c>
      <c r="K1401" s="129" t="s">
        <v>132</v>
      </c>
      <c r="L1401" s="153" t="s">
        <v>1788</v>
      </c>
      <c r="M1401" s="26" t="s">
        <v>1789</v>
      </c>
      <c r="N1401" s="154">
        <v>44651</v>
      </c>
      <c r="O1401" s="155" t="s">
        <v>127</v>
      </c>
      <c r="P1401" s="156">
        <v>4000</v>
      </c>
      <c r="Q1401" s="156">
        <v>-3</v>
      </c>
      <c r="R1401" s="120">
        <f t="shared" si="34"/>
        <v>-12000</v>
      </c>
      <c r="S1401" s="117">
        <v>202303</v>
      </c>
      <c r="T1401" s="157" t="s">
        <v>1800</v>
      </c>
      <c r="U1401" s="157"/>
      <c r="V1401" s="122"/>
      <c r="W1401" s="122"/>
      <c r="X1401" s="118">
        <v>44562</v>
      </c>
      <c r="Y1401" s="118">
        <v>45291</v>
      </c>
      <c r="Z1401" s="9"/>
      <c r="AA1401" s="9"/>
      <c r="AB1401" s="9"/>
      <c r="AC1401" s="9"/>
      <c r="AD1401" s="9"/>
      <c r="AE1401" s="9"/>
    </row>
    <row r="1402" s="79" customFormat="1" customHeight="1" spans="1:31">
      <c r="A1402" s="98" t="s">
        <v>401</v>
      </c>
      <c r="B1402" s="96" t="s">
        <v>62</v>
      </c>
      <c r="C1402" s="98" t="s">
        <v>130</v>
      </c>
      <c r="D1402" s="98" t="s">
        <v>881</v>
      </c>
      <c r="E1402" s="147" t="s">
        <v>1783</v>
      </c>
      <c r="F1402" s="98" t="s">
        <v>1787</v>
      </c>
      <c r="G1402" s="151" t="s">
        <v>88</v>
      </c>
      <c r="H1402" s="19" t="s">
        <v>1785</v>
      </c>
      <c r="I1402" s="23" t="e">
        <f>VLOOKUP(H1402,'合同综合查询数据（3月返）'!$A:$A,1,FALSE)</f>
        <v>#N/A</v>
      </c>
      <c r="J1402" s="129" t="s">
        <v>1033</v>
      </c>
      <c r="K1402" s="129" t="s">
        <v>132</v>
      </c>
      <c r="L1402" s="153" t="s">
        <v>1801</v>
      </c>
      <c r="M1402" s="26" t="s">
        <v>1802</v>
      </c>
      <c r="N1402" s="154">
        <v>42755</v>
      </c>
      <c r="O1402" s="155" t="s">
        <v>127</v>
      </c>
      <c r="P1402" s="156">
        <v>0</v>
      </c>
      <c r="Q1402" s="156">
        <v>3</v>
      </c>
      <c r="R1402" s="120">
        <f t="shared" si="34"/>
        <v>0</v>
      </c>
      <c r="S1402" s="117">
        <v>202303</v>
      </c>
      <c r="T1402" s="157" t="s">
        <v>1803</v>
      </c>
      <c r="U1402" s="157"/>
      <c r="V1402" s="122"/>
      <c r="W1402" s="122"/>
      <c r="X1402" s="118">
        <v>44562</v>
      </c>
      <c r="Y1402" s="118">
        <v>45291</v>
      </c>
      <c r="Z1402" s="9"/>
      <c r="AA1402" s="9"/>
      <c r="AB1402" s="9"/>
      <c r="AC1402" s="9"/>
      <c r="AD1402" s="9"/>
      <c r="AE1402" s="9"/>
    </row>
    <row r="1403" s="79" customFormat="1" customHeight="1" spans="1:31">
      <c r="A1403" s="98" t="s">
        <v>401</v>
      </c>
      <c r="B1403" s="96" t="s">
        <v>62</v>
      </c>
      <c r="C1403" s="98" t="s">
        <v>130</v>
      </c>
      <c r="D1403" s="98" t="s">
        <v>881</v>
      </c>
      <c r="E1403" s="147" t="s">
        <v>1783</v>
      </c>
      <c r="F1403" s="98" t="s">
        <v>1787</v>
      </c>
      <c r="G1403" s="151" t="s">
        <v>88</v>
      </c>
      <c r="H1403" s="19" t="s">
        <v>1785</v>
      </c>
      <c r="I1403" s="23" t="e">
        <f>VLOOKUP(H1403,'合同综合查询数据（3月返）'!$A:$A,1,FALSE)</f>
        <v>#N/A</v>
      </c>
      <c r="J1403" s="129" t="s">
        <v>1033</v>
      </c>
      <c r="K1403" s="129" t="s">
        <v>132</v>
      </c>
      <c r="L1403" s="153" t="s">
        <v>1801</v>
      </c>
      <c r="M1403" s="26" t="s">
        <v>1802</v>
      </c>
      <c r="N1403" s="154">
        <v>44470</v>
      </c>
      <c r="O1403" s="155" t="s">
        <v>127</v>
      </c>
      <c r="P1403" s="156">
        <v>0</v>
      </c>
      <c r="Q1403" s="156">
        <v>3</v>
      </c>
      <c r="R1403" s="120">
        <f t="shared" si="34"/>
        <v>0</v>
      </c>
      <c r="S1403" s="117">
        <v>202303</v>
      </c>
      <c r="T1403" s="157" t="s">
        <v>1804</v>
      </c>
      <c r="U1403" s="157"/>
      <c r="V1403" s="122"/>
      <c r="W1403" s="122"/>
      <c r="X1403" s="118">
        <v>44562</v>
      </c>
      <c r="Y1403" s="118">
        <v>45291</v>
      </c>
      <c r="Z1403" s="9"/>
      <c r="AA1403" s="9"/>
      <c r="AB1403" s="9"/>
      <c r="AC1403" s="9"/>
      <c r="AD1403" s="9"/>
      <c r="AE1403" s="9"/>
    </row>
    <row r="1404" s="79" customFormat="1" customHeight="1" spans="1:31">
      <c r="A1404" s="98" t="s">
        <v>401</v>
      </c>
      <c r="B1404" s="96" t="s">
        <v>62</v>
      </c>
      <c r="C1404" s="98" t="s">
        <v>130</v>
      </c>
      <c r="D1404" s="98" t="s">
        <v>881</v>
      </c>
      <c r="E1404" s="147" t="s">
        <v>1783</v>
      </c>
      <c r="F1404" s="98" t="s">
        <v>1787</v>
      </c>
      <c r="G1404" s="151" t="s">
        <v>88</v>
      </c>
      <c r="H1404" s="19" t="s">
        <v>1785</v>
      </c>
      <c r="I1404" s="23" t="e">
        <f>VLOOKUP(H1404,'合同综合查询数据（3月返）'!$A:$A,1,FALSE)</f>
        <v>#N/A</v>
      </c>
      <c r="J1404" s="129" t="s">
        <v>1033</v>
      </c>
      <c r="K1404" s="129" t="s">
        <v>132</v>
      </c>
      <c r="L1404" s="153" t="s">
        <v>1801</v>
      </c>
      <c r="M1404" s="26" t="s">
        <v>1805</v>
      </c>
      <c r="N1404" s="154">
        <v>42755</v>
      </c>
      <c r="O1404" s="155" t="s">
        <v>127</v>
      </c>
      <c r="P1404" s="156">
        <v>4000</v>
      </c>
      <c r="Q1404" s="156">
        <v>11</v>
      </c>
      <c r="R1404" s="120">
        <f t="shared" si="34"/>
        <v>44000</v>
      </c>
      <c r="S1404" s="117">
        <v>202303</v>
      </c>
      <c r="T1404" s="157" t="s">
        <v>1806</v>
      </c>
      <c r="U1404" s="157"/>
      <c r="V1404" s="122"/>
      <c r="W1404" s="122"/>
      <c r="X1404" s="118">
        <v>44562</v>
      </c>
      <c r="Y1404" s="118">
        <v>45291</v>
      </c>
      <c r="Z1404" s="9"/>
      <c r="AA1404" s="9"/>
      <c r="AB1404" s="9"/>
      <c r="AC1404" s="9"/>
      <c r="AD1404" s="9"/>
      <c r="AE1404" s="9"/>
    </row>
    <row r="1405" s="79" customFormat="1" customHeight="1" spans="1:31">
      <c r="A1405" s="98" t="s">
        <v>401</v>
      </c>
      <c r="B1405" s="96" t="s">
        <v>62</v>
      </c>
      <c r="C1405" s="98" t="s">
        <v>130</v>
      </c>
      <c r="D1405" s="98" t="s">
        <v>881</v>
      </c>
      <c r="E1405" s="147" t="s">
        <v>1783</v>
      </c>
      <c r="F1405" s="98" t="s">
        <v>1787</v>
      </c>
      <c r="G1405" s="151" t="s">
        <v>88</v>
      </c>
      <c r="H1405" s="19" t="s">
        <v>1785</v>
      </c>
      <c r="I1405" s="23" t="e">
        <f>VLOOKUP(H1405,'合同综合查询数据（3月返）'!$A:$A,1,FALSE)</f>
        <v>#N/A</v>
      </c>
      <c r="J1405" s="129" t="s">
        <v>1033</v>
      </c>
      <c r="K1405" s="129" t="s">
        <v>132</v>
      </c>
      <c r="L1405" s="153" t="s">
        <v>1801</v>
      </c>
      <c r="M1405" s="26" t="s">
        <v>1805</v>
      </c>
      <c r="N1405" s="154">
        <v>44372</v>
      </c>
      <c r="O1405" s="155" t="s">
        <v>127</v>
      </c>
      <c r="P1405" s="156">
        <v>4000</v>
      </c>
      <c r="Q1405" s="156">
        <v>-1</v>
      </c>
      <c r="R1405" s="120">
        <f t="shared" si="34"/>
        <v>-4000</v>
      </c>
      <c r="S1405" s="117">
        <v>202303</v>
      </c>
      <c r="T1405" s="157" t="s">
        <v>1807</v>
      </c>
      <c r="U1405" s="157"/>
      <c r="V1405" s="122"/>
      <c r="W1405" s="122"/>
      <c r="X1405" s="118">
        <v>44562</v>
      </c>
      <c r="Y1405" s="118">
        <v>45291</v>
      </c>
      <c r="Z1405" s="9"/>
      <c r="AA1405" s="9"/>
      <c r="AB1405" s="9"/>
      <c r="AC1405" s="9"/>
      <c r="AD1405" s="9"/>
      <c r="AE1405" s="9"/>
    </row>
    <row r="1406" s="79" customFormat="1" customHeight="1" spans="1:31">
      <c r="A1406" s="98" t="s">
        <v>401</v>
      </c>
      <c r="B1406" s="96" t="s">
        <v>62</v>
      </c>
      <c r="C1406" s="98" t="s">
        <v>130</v>
      </c>
      <c r="D1406" s="98" t="s">
        <v>881</v>
      </c>
      <c r="E1406" s="147" t="s">
        <v>1783</v>
      </c>
      <c r="F1406" s="98" t="s">
        <v>1787</v>
      </c>
      <c r="G1406" s="151" t="s">
        <v>88</v>
      </c>
      <c r="H1406" s="19" t="s">
        <v>1785</v>
      </c>
      <c r="I1406" s="23" t="e">
        <f>VLOOKUP(H1406,'合同综合查询数据（3月返）'!$A:$A,1,FALSE)</f>
        <v>#N/A</v>
      </c>
      <c r="J1406" s="129" t="s">
        <v>1033</v>
      </c>
      <c r="K1406" s="129" t="s">
        <v>132</v>
      </c>
      <c r="L1406" s="153" t="s">
        <v>1801</v>
      </c>
      <c r="M1406" s="26" t="s">
        <v>1805</v>
      </c>
      <c r="N1406" s="154">
        <v>44712</v>
      </c>
      <c r="O1406" s="155" t="s">
        <v>127</v>
      </c>
      <c r="P1406" s="156">
        <v>4000</v>
      </c>
      <c r="Q1406" s="156">
        <v>-16</v>
      </c>
      <c r="R1406" s="120">
        <f t="shared" si="34"/>
        <v>-64000</v>
      </c>
      <c r="S1406" s="117">
        <v>202303</v>
      </c>
      <c r="T1406" s="157" t="s">
        <v>1808</v>
      </c>
      <c r="U1406" s="157"/>
      <c r="V1406" s="122"/>
      <c r="W1406" s="122"/>
      <c r="X1406" s="118">
        <v>44562</v>
      </c>
      <c r="Y1406" s="118">
        <v>45291</v>
      </c>
      <c r="Z1406" s="9"/>
      <c r="AA1406" s="9"/>
      <c r="AB1406" s="9"/>
      <c r="AC1406" s="9"/>
      <c r="AD1406" s="9"/>
      <c r="AE1406" s="9"/>
    </row>
    <row r="1407" s="79" customFormat="1" customHeight="1" spans="1:31">
      <c r="A1407" s="98" t="s">
        <v>401</v>
      </c>
      <c r="B1407" s="96" t="s">
        <v>62</v>
      </c>
      <c r="C1407" s="98" t="s">
        <v>130</v>
      </c>
      <c r="D1407" s="98" t="s">
        <v>881</v>
      </c>
      <c r="E1407" s="147" t="s">
        <v>1783</v>
      </c>
      <c r="F1407" s="98" t="s">
        <v>1787</v>
      </c>
      <c r="G1407" s="151" t="s">
        <v>88</v>
      </c>
      <c r="H1407" s="19" t="s">
        <v>1785</v>
      </c>
      <c r="I1407" s="23" t="e">
        <f>VLOOKUP(H1407,'合同综合查询数据（3月返）'!$A:$A,1,FALSE)</f>
        <v>#N/A</v>
      </c>
      <c r="J1407" s="129" t="s">
        <v>1033</v>
      </c>
      <c r="K1407" s="129" t="s">
        <v>132</v>
      </c>
      <c r="L1407" s="153" t="s">
        <v>1801</v>
      </c>
      <c r="M1407" s="26" t="s">
        <v>1805</v>
      </c>
      <c r="N1407" s="154">
        <v>44713</v>
      </c>
      <c r="O1407" s="155" t="s">
        <v>127</v>
      </c>
      <c r="P1407" s="156">
        <v>4000</v>
      </c>
      <c r="Q1407" s="156">
        <v>8</v>
      </c>
      <c r="R1407" s="120">
        <f>ROUND(P1407*Q1407,2)</f>
        <v>32000</v>
      </c>
      <c r="S1407" s="117">
        <v>202303</v>
      </c>
      <c r="T1407" s="157" t="s">
        <v>1809</v>
      </c>
      <c r="U1407" s="157"/>
      <c r="V1407" s="122"/>
      <c r="W1407" s="122"/>
      <c r="X1407" s="118">
        <v>44562</v>
      </c>
      <c r="Y1407" s="118">
        <v>45291</v>
      </c>
      <c r="Z1407" s="9"/>
      <c r="AA1407" s="9"/>
      <c r="AB1407" s="9"/>
      <c r="AC1407" s="9"/>
      <c r="AD1407" s="9"/>
      <c r="AE1407" s="9"/>
    </row>
    <row r="1408" s="79" customFormat="1" customHeight="1" spans="1:31">
      <c r="A1408" s="98" t="s">
        <v>401</v>
      </c>
      <c r="B1408" s="96" t="s">
        <v>62</v>
      </c>
      <c r="C1408" s="98" t="s">
        <v>130</v>
      </c>
      <c r="D1408" s="98" t="s">
        <v>881</v>
      </c>
      <c r="E1408" s="147" t="s">
        <v>1783</v>
      </c>
      <c r="F1408" s="98" t="s">
        <v>1787</v>
      </c>
      <c r="G1408" s="151" t="s">
        <v>31</v>
      </c>
      <c r="H1408" s="19" t="s">
        <v>1785</v>
      </c>
      <c r="I1408" s="23" t="e">
        <f>VLOOKUP(H1408,'合同综合查询数据（3月返）'!$A:$A,1,FALSE)</f>
        <v>#N/A</v>
      </c>
      <c r="J1408" s="129" t="s">
        <v>33</v>
      </c>
      <c r="K1408" s="129"/>
      <c r="L1408" s="99" t="s">
        <v>1797</v>
      </c>
      <c r="M1408" s="26"/>
      <c r="N1408" s="154" t="s">
        <v>1810</v>
      </c>
      <c r="O1408" s="155"/>
      <c r="P1408" s="156">
        <v>0</v>
      </c>
      <c r="Q1408" s="156">
        <v>288</v>
      </c>
      <c r="R1408" s="120">
        <v>0</v>
      </c>
      <c r="S1408" s="117">
        <v>202303</v>
      </c>
      <c r="T1408" s="157" t="s">
        <v>1811</v>
      </c>
      <c r="U1408" s="157"/>
      <c r="V1408" s="122"/>
      <c r="W1408" s="122"/>
      <c r="X1408" s="118">
        <v>44562</v>
      </c>
      <c r="Y1408" s="118">
        <v>45291</v>
      </c>
      <c r="Z1408" s="9"/>
      <c r="AA1408" s="9"/>
      <c r="AB1408" s="9"/>
      <c r="AC1408" s="9"/>
      <c r="AD1408" s="9"/>
      <c r="AE1408" s="9"/>
    </row>
    <row r="1409" s="79" customFormat="1" customHeight="1" spans="1:31">
      <c r="A1409" s="98" t="s">
        <v>401</v>
      </c>
      <c r="B1409" s="96" t="s">
        <v>62</v>
      </c>
      <c r="C1409" s="98" t="s">
        <v>130</v>
      </c>
      <c r="D1409" s="98" t="s">
        <v>881</v>
      </c>
      <c r="E1409" s="147" t="s">
        <v>1783</v>
      </c>
      <c r="F1409" s="98" t="s">
        <v>1787</v>
      </c>
      <c r="G1409" s="151" t="s">
        <v>31</v>
      </c>
      <c r="H1409" s="19" t="s">
        <v>1785</v>
      </c>
      <c r="I1409" s="23" t="e">
        <f>VLOOKUP(H1409,'合同综合查询数据（3月返）'!$A:$A,1,FALSE)</f>
        <v>#N/A</v>
      </c>
      <c r="J1409" s="129" t="s">
        <v>33</v>
      </c>
      <c r="K1409" s="129"/>
      <c r="L1409" s="99" t="s">
        <v>1794</v>
      </c>
      <c r="M1409" s="26"/>
      <c r="N1409" s="154" t="s">
        <v>1810</v>
      </c>
      <c r="O1409" s="155"/>
      <c r="P1409" s="156">
        <v>0</v>
      </c>
      <c r="Q1409" s="156">
        <v>256</v>
      </c>
      <c r="R1409" s="120">
        <f t="shared" ref="R1409:R1445" si="35">ROUND(P1409*Q1409,2)</f>
        <v>0</v>
      </c>
      <c r="S1409" s="117">
        <v>202303</v>
      </c>
      <c r="T1409" s="157" t="s">
        <v>1812</v>
      </c>
      <c r="U1409" s="157"/>
      <c r="V1409" s="122"/>
      <c r="W1409" s="122"/>
      <c r="X1409" s="118">
        <v>44562</v>
      </c>
      <c r="Y1409" s="118">
        <v>45291</v>
      </c>
      <c r="Z1409" s="9"/>
      <c r="AA1409" s="9"/>
      <c r="AB1409" s="9"/>
      <c r="AC1409" s="9"/>
      <c r="AD1409" s="9"/>
      <c r="AE1409" s="9"/>
    </row>
    <row r="1410" s="79" customFormat="1" customHeight="1" spans="1:31">
      <c r="A1410" s="98" t="s">
        <v>401</v>
      </c>
      <c r="B1410" s="96" t="s">
        <v>62</v>
      </c>
      <c r="C1410" s="98" t="s">
        <v>130</v>
      </c>
      <c r="D1410" s="98" t="s">
        <v>881</v>
      </c>
      <c r="E1410" s="147" t="s">
        <v>1783</v>
      </c>
      <c r="F1410" s="98" t="s">
        <v>1787</v>
      </c>
      <c r="G1410" s="151" t="s">
        <v>31</v>
      </c>
      <c r="H1410" s="19" t="s">
        <v>1785</v>
      </c>
      <c r="I1410" s="23" t="e">
        <f>VLOOKUP(H1410,'合同综合查询数据（3月返）'!$A:$A,1,FALSE)</f>
        <v>#N/A</v>
      </c>
      <c r="J1410" s="129" t="s">
        <v>33</v>
      </c>
      <c r="K1410" s="129"/>
      <c r="L1410" s="99" t="s">
        <v>1788</v>
      </c>
      <c r="M1410" s="26"/>
      <c r="N1410" s="154" t="s">
        <v>1810</v>
      </c>
      <c r="O1410" s="155"/>
      <c r="P1410" s="156">
        <v>0</v>
      </c>
      <c r="Q1410" s="156">
        <v>544</v>
      </c>
      <c r="R1410" s="120">
        <f t="shared" si="35"/>
        <v>0</v>
      </c>
      <c r="S1410" s="117">
        <v>202303</v>
      </c>
      <c r="T1410" s="157" t="s">
        <v>1813</v>
      </c>
      <c r="U1410" s="157"/>
      <c r="V1410" s="122"/>
      <c r="W1410" s="122"/>
      <c r="X1410" s="118">
        <v>44562</v>
      </c>
      <c r="Y1410" s="118">
        <v>45291</v>
      </c>
      <c r="Z1410" s="9"/>
      <c r="AA1410" s="9"/>
      <c r="AB1410" s="9"/>
      <c r="AC1410" s="9"/>
      <c r="AD1410" s="9"/>
      <c r="AE1410" s="9"/>
    </row>
    <row r="1411" s="79" customFormat="1" customHeight="1" spans="1:31">
      <c r="A1411" s="98" t="s">
        <v>401</v>
      </c>
      <c r="B1411" s="96" t="s">
        <v>62</v>
      </c>
      <c r="C1411" s="98" t="s">
        <v>130</v>
      </c>
      <c r="D1411" s="98" t="s">
        <v>881</v>
      </c>
      <c r="E1411" s="147" t="s">
        <v>1783</v>
      </c>
      <c r="F1411" s="98" t="s">
        <v>1787</v>
      </c>
      <c r="G1411" s="151" t="s">
        <v>31</v>
      </c>
      <c r="H1411" s="19" t="s">
        <v>1785</v>
      </c>
      <c r="I1411" s="23" t="e">
        <f>VLOOKUP(H1411,'合同综合查询数据（3月返）'!$A:$A,1,FALSE)</f>
        <v>#N/A</v>
      </c>
      <c r="J1411" s="129" t="s">
        <v>33</v>
      </c>
      <c r="K1411" s="129"/>
      <c r="L1411" s="99" t="s">
        <v>1788</v>
      </c>
      <c r="M1411" s="26"/>
      <c r="N1411" s="154" t="s">
        <v>1810</v>
      </c>
      <c r="O1411" s="155"/>
      <c r="P1411" s="156">
        <v>0</v>
      </c>
      <c r="Q1411" s="156">
        <v>384</v>
      </c>
      <c r="R1411" s="120">
        <f t="shared" si="35"/>
        <v>0</v>
      </c>
      <c r="S1411" s="117">
        <v>202303</v>
      </c>
      <c r="T1411" s="157" t="s">
        <v>1814</v>
      </c>
      <c r="U1411" s="157"/>
      <c r="V1411" s="122"/>
      <c r="W1411" s="122"/>
      <c r="X1411" s="118">
        <v>44562</v>
      </c>
      <c r="Y1411" s="118">
        <v>45291</v>
      </c>
      <c r="Z1411" s="9"/>
      <c r="AA1411" s="9"/>
      <c r="AB1411" s="9"/>
      <c r="AC1411" s="9"/>
      <c r="AD1411" s="9"/>
      <c r="AE1411" s="9"/>
    </row>
    <row r="1412" s="79" customFormat="1" customHeight="1" spans="1:31">
      <c r="A1412" s="98" t="s">
        <v>401</v>
      </c>
      <c r="B1412" s="96" t="s">
        <v>62</v>
      </c>
      <c r="C1412" s="98" t="s">
        <v>130</v>
      </c>
      <c r="D1412" s="98" t="s">
        <v>881</v>
      </c>
      <c r="E1412" s="147" t="s">
        <v>1783</v>
      </c>
      <c r="F1412" s="98" t="s">
        <v>1787</v>
      </c>
      <c r="G1412" s="151" t="s">
        <v>31</v>
      </c>
      <c r="H1412" s="19" t="s">
        <v>1785</v>
      </c>
      <c r="I1412" s="23" t="e">
        <f>VLOOKUP(H1412,'合同综合查询数据（3月返）'!$A:$A,1,FALSE)</f>
        <v>#N/A</v>
      </c>
      <c r="J1412" s="129" t="s">
        <v>1019</v>
      </c>
      <c r="K1412" s="129" t="s">
        <v>132</v>
      </c>
      <c r="L1412" s="153" t="s">
        <v>1801</v>
      </c>
      <c r="M1412" s="26"/>
      <c r="N1412" s="154" t="s">
        <v>1810</v>
      </c>
      <c r="O1412" s="155"/>
      <c r="P1412" s="156">
        <v>0</v>
      </c>
      <c r="Q1412" s="156">
        <f>1088+192</f>
        <v>1280</v>
      </c>
      <c r="R1412" s="120">
        <f t="shared" si="35"/>
        <v>0</v>
      </c>
      <c r="S1412" s="117">
        <v>202303</v>
      </c>
      <c r="T1412" s="157" t="s">
        <v>1815</v>
      </c>
      <c r="U1412" s="157"/>
      <c r="V1412" s="122"/>
      <c r="W1412" s="122"/>
      <c r="X1412" s="118">
        <v>44562</v>
      </c>
      <c r="Y1412" s="118">
        <v>45291</v>
      </c>
      <c r="Z1412" s="9"/>
      <c r="AA1412" s="9"/>
      <c r="AB1412" s="9"/>
      <c r="AC1412" s="9"/>
      <c r="AD1412" s="9"/>
      <c r="AE1412" s="9"/>
    </row>
    <row r="1413" s="79" customFormat="1" customHeight="1" spans="1:31">
      <c r="A1413" s="98" t="s">
        <v>401</v>
      </c>
      <c r="B1413" s="96" t="s">
        <v>62</v>
      </c>
      <c r="C1413" s="98" t="s">
        <v>130</v>
      </c>
      <c r="D1413" s="98" t="s">
        <v>881</v>
      </c>
      <c r="E1413" s="147" t="s">
        <v>1783</v>
      </c>
      <c r="F1413" s="98" t="s">
        <v>1787</v>
      </c>
      <c r="G1413" s="151" t="s">
        <v>31</v>
      </c>
      <c r="H1413" s="19" t="s">
        <v>1785</v>
      </c>
      <c r="I1413" s="23" t="e">
        <f>VLOOKUP(H1413,'合同综合查询数据（3月返）'!$A:$A,1,FALSE)</f>
        <v>#N/A</v>
      </c>
      <c r="J1413" s="129" t="s">
        <v>1019</v>
      </c>
      <c r="K1413" s="129" t="s">
        <v>132</v>
      </c>
      <c r="L1413" s="153" t="s">
        <v>1801</v>
      </c>
      <c r="M1413" s="26"/>
      <c r="N1413" s="154">
        <v>44712</v>
      </c>
      <c r="O1413" s="218"/>
      <c r="P1413" s="156">
        <v>0</v>
      </c>
      <c r="Q1413" s="156">
        <v>-1280</v>
      </c>
      <c r="R1413" s="120">
        <f t="shared" si="35"/>
        <v>0</v>
      </c>
      <c r="S1413" s="117">
        <v>202303</v>
      </c>
      <c r="T1413" s="157" t="s">
        <v>1816</v>
      </c>
      <c r="U1413" s="157"/>
      <c r="V1413" s="122"/>
      <c r="W1413" s="122"/>
      <c r="X1413" s="118">
        <v>44562</v>
      </c>
      <c r="Y1413" s="118">
        <v>45291</v>
      </c>
      <c r="Z1413" s="9"/>
      <c r="AA1413" s="9"/>
      <c r="AB1413" s="9"/>
      <c r="AC1413" s="9"/>
      <c r="AD1413" s="9"/>
      <c r="AE1413" s="9"/>
    </row>
    <row r="1414" s="79" customFormat="1" customHeight="1" spans="1:31">
      <c r="A1414" s="98" t="s">
        <v>401</v>
      </c>
      <c r="B1414" s="96" t="s">
        <v>62</v>
      </c>
      <c r="C1414" s="98" t="s">
        <v>130</v>
      </c>
      <c r="D1414" s="98" t="s">
        <v>881</v>
      </c>
      <c r="E1414" s="147" t="s">
        <v>1783</v>
      </c>
      <c r="F1414" s="98" t="s">
        <v>1787</v>
      </c>
      <c r="G1414" s="151" t="s">
        <v>31</v>
      </c>
      <c r="H1414" s="19" t="s">
        <v>1785</v>
      </c>
      <c r="I1414" s="23" t="e">
        <f>VLOOKUP(H1414,'合同综合查询数据（3月返）'!$A:$A,1,FALSE)</f>
        <v>#N/A</v>
      </c>
      <c r="J1414" s="129" t="s">
        <v>1019</v>
      </c>
      <c r="K1414" s="129" t="s">
        <v>132</v>
      </c>
      <c r="L1414" s="153" t="s">
        <v>1801</v>
      </c>
      <c r="M1414" s="26"/>
      <c r="N1414" s="154">
        <v>44718</v>
      </c>
      <c r="O1414" s="155"/>
      <c r="P1414" s="156">
        <v>0</v>
      </c>
      <c r="Q1414" s="156">
        <f>256*5</f>
        <v>1280</v>
      </c>
      <c r="R1414" s="120">
        <f t="shared" si="35"/>
        <v>0</v>
      </c>
      <c r="S1414" s="117">
        <v>202303</v>
      </c>
      <c r="T1414" s="157" t="s">
        <v>1817</v>
      </c>
      <c r="U1414" s="157"/>
      <c r="V1414" s="122"/>
      <c r="W1414" s="122"/>
      <c r="X1414" s="118">
        <v>44562</v>
      </c>
      <c r="Y1414" s="118">
        <v>45291</v>
      </c>
      <c r="Z1414" s="9"/>
      <c r="AA1414" s="9"/>
      <c r="AB1414" s="9"/>
      <c r="AC1414" s="9"/>
      <c r="AD1414" s="9"/>
      <c r="AE1414" s="9"/>
    </row>
    <row r="1415" s="79" customFormat="1" customHeight="1" spans="1:31">
      <c r="A1415" s="98" t="s">
        <v>401</v>
      </c>
      <c r="B1415" s="96" t="s">
        <v>62</v>
      </c>
      <c r="C1415" s="98" t="s">
        <v>130</v>
      </c>
      <c r="D1415" s="98" t="s">
        <v>881</v>
      </c>
      <c r="E1415" s="147" t="s">
        <v>1783</v>
      </c>
      <c r="F1415" s="98" t="s">
        <v>1787</v>
      </c>
      <c r="G1415" s="151" t="s">
        <v>31</v>
      </c>
      <c r="H1415" s="19" t="s">
        <v>1785</v>
      </c>
      <c r="I1415" s="23" t="e">
        <f>VLOOKUP(H1415,'合同综合查询数据（3月返）'!$A:$A,1,FALSE)</f>
        <v>#N/A</v>
      </c>
      <c r="J1415" s="129" t="s">
        <v>889</v>
      </c>
      <c r="K1415" s="129" t="s">
        <v>132</v>
      </c>
      <c r="L1415" s="153"/>
      <c r="M1415" s="26"/>
      <c r="N1415" s="154" t="s">
        <v>1810</v>
      </c>
      <c r="O1415" s="155"/>
      <c r="P1415" s="156">
        <v>0</v>
      </c>
      <c r="Q1415" s="156">
        <v>768</v>
      </c>
      <c r="R1415" s="120">
        <f t="shared" si="35"/>
        <v>0</v>
      </c>
      <c r="S1415" s="117">
        <v>202303</v>
      </c>
      <c r="T1415" s="157" t="s">
        <v>1818</v>
      </c>
      <c r="U1415" s="157"/>
      <c r="V1415" s="122"/>
      <c r="W1415" s="122"/>
      <c r="X1415" s="118">
        <v>44562</v>
      </c>
      <c r="Y1415" s="118">
        <v>45291</v>
      </c>
      <c r="Z1415" s="9"/>
      <c r="AA1415" s="9"/>
      <c r="AB1415" s="9"/>
      <c r="AC1415" s="9"/>
      <c r="AD1415" s="9"/>
      <c r="AE1415" s="9"/>
    </row>
    <row r="1416" s="79" customFormat="1" customHeight="1" spans="1:31">
      <c r="A1416" s="98" t="s">
        <v>401</v>
      </c>
      <c r="B1416" s="96" t="s">
        <v>62</v>
      </c>
      <c r="C1416" s="98" t="s">
        <v>130</v>
      </c>
      <c r="D1416" s="98" t="s">
        <v>881</v>
      </c>
      <c r="E1416" s="147" t="s">
        <v>1783</v>
      </c>
      <c r="F1416" s="98" t="s">
        <v>1787</v>
      </c>
      <c r="G1416" s="151" t="s">
        <v>88</v>
      </c>
      <c r="H1416" s="19" t="s">
        <v>1785</v>
      </c>
      <c r="I1416" s="23" t="e">
        <f>VLOOKUP(H1416,'合同综合查询数据（3月返）'!$A:$A,1,FALSE)</f>
        <v>#N/A</v>
      </c>
      <c r="J1416" s="129" t="s">
        <v>885</v>
      </c>
      <c r="K1416" s="129" t="s">
        <v>132</v>
      </c>
      <c r="L1416" s="153"/>
      <c r="M1416" s="26" t="s">
        <v>1795</v>
      </c>
      <c r="N1416" s="154">
        <v>43056</v>
      </c>
      <c r="O1416" s="155" t="s">
        <v>127</v>
      </c>
      <c r="P1416" s="156">
        <v>5000</v>
      </c>
      <c r="Q1416" s="156">
        <v>7</v>
      </c>
      <c r="R1416" s="120">
        <f t="shared" si="35"/>
        <v>35000</v>
      </c>
      <c r="S1416" s="117">
        <v>202303</v>
      </c>
      <c r="T1416" s="157" t="s">
        <v>1819</v>
      </c>
      <c r="U1416" s="157"/>
      <c r="V1416" s="122"/>
      <c r="W1416" s="122"/>
      <c r="X1416" s="118">
        <v>44562</v>
      </c>
      <c r="Y1416" s="118">
        <v>45291</v>
      </c>
      <c r="Z1416" s="9"/>
      <c r="AA1416" s="9"/>
      <c r="AB1416" s="9"/>
      <c r="AC1416" s="9"/>
      <c r="AD1416" s="9"/>
      <c r="AE1416" s="9"/>
    </row>
    <row r="1417" s="79" customFormat="1" customHeight="1" spans="1:31">
      <c r="A1417" s="98" t="s">
        <v>401</v>
      </c>
      <c r="B1417" s="96" t="s">
        <v>62</v>
      </c>
      <c r="C1417" s="98" t="s">
        <v>130</v>
      </c>
      <c r="D1417" s="98" t="s">
        <v>881</v>
      </c>
      <c r="E1417" s="147" t="s">
        <v>1783</v>
      </c>
      <c r="F1417" s="98" t="s">
        <v>1787</v>
      </c>
      <c r="G1417" s="151" t="s">
        <v>88</v>
      </c>
      <c r="H1417" s="19" t="s">
        <v>1785</v>
      </c>
      <c r="I1417" s="23" t="e">
        <f>VLOOKUP(H1417,'合同综合查询数据（3月返）'!$A:$A,1,FALSE)</f>
        <v>#N/A</v>
      </c>
      <c r="J1417" s="129" t="s">
        <v>885</v>
      </c>
      <c r="K1417" s="129" t="s">
        <v>132</v>
      </c>
      <c r="L1417" s="153"/>
      <c r="M1417" s="26" t="s">
        <v>1795</v>
      </c>
      <c r="N1417" s="154">
        <v>43640</v>
      </c>
      <c r="O1417" s="155" t="s">
        <v>127</v>
      </c>
      <c r="P1417" s="156">
        <v>5000</v>
      </c>
      <c r="Q1417" s="156">
        <v>2</v>
      </c>
      <c r="R1417" s="120">
        <f t="shared" si="35"/>
        <v>10000</v>
      </c>
      <c r="S1417" s="117">
        <v>202303</v>
      </c>
      <c r="T1417" s="157" t="s">
        <v>1820</v>
      </c>
      <c r="U1417" s="157"/>
      <c r="V1417" s="122"/>
      <c r="W1417" s="122"/>
      <c r="X1417" s="118">
        <v>44562</v>
      </c>
      <c r="Y1417" s="118">
        <v>45291</v>
      </c>
      <c r="Z1417" s="9"/>
      <c r="AA1417" s="9"/>
      <c r="AB1417" s="9"/>
      <c r="AC1417" s="9"/>
      <c r="AD1417" s="9"/>
      <c r="AE1417" s="9"/>
    </row>
    <row r="1418" s="79" customFormat="1" customHeight="1" spans="1:31">
      <c r="A1418" s="98" t="s">
        <v>401</v>
      </c>
      <c r="B1418" s="96" t="s">
        <v>62</v>
      </c>
      <c r="C1418" s="98" t="s">
        <v>130</v>
      </c>
      <c r="D1418" s="98" t="s">
        <v>881</v>
      </c>
      <c r="E1418" s="147" t="s">
        <v>1783</v>
      </c>
      <c r="F1418" s="98" t="s">
        <v>1787</v>
      </c>
      <c r="G1418" s="151" t="s">
        <v>31</v>
      </c>
      <c r="H1418" s="19" t="s">
        <v>1785</v>
      </c>
      <c r="I1418" s="23" t="e">
        <f>VLOOKUP(H1418,'合同综合查询数据（3月返）'!$A:$A,1,FALSE)</f>
        <v>#N/A</v>
      </c>
      <c r="J1418" s="129" t="s">
        <v>1821</v>
      </c>
      <c r="K1418" s="129" t="s">
        <v>132</v>
      </c>
      <c r="L1418" s="153"/>
      <c r="M1418" s="26"/>
      <c r="N1418" s="154">
        <v>42805</v>
      </c>
      <c r="O1418" s="155"/>
      <c r="P1418" s="156">
        <v>10</v>
      </c>
      <c r="Q1418" s="156">
        <v>1024</v>
      </c>
      <c r="R1418" s="120">
        <f t="shared" si="35"/>
        <v>10240</v>
      </c>
      <c r="S1418" s="117">
        <v>202303</v>
      </c>
      <c r="T1418" s="157"/>
      <c r="U1418" s="157"/>
      <c r="V1418" s="122"/>
      <c r="W1418" s="122"/>
      <c r="X1418" s="118">
        <v>44562</v>
      </c>
      <c r="Y1418" s="118">
        <v>45291</v>
      </c>
      <c r="Z1418" s="9"/>
      <c r="AA1418" s="9"/>
      <c r="AB1418" s="9"/>
      <c r="AC1418" s="9"/>
      <c r="AD1418" s="9"/>
      <c r="AE1418" s="9"/>
    </row>
    <row r="1419" s="79" customFormat="1" customHeight="1" spans="1:31">
      <c r="A1419" s="98" t="s">
        <v>401</v>
      </c>
      <c r="B1419" s="96" t="s">
        <v>62</v>
      </c>
      <c r="C1419" s="98" t="s">
        <v>130</v>
      </c>
      <c r="D1419" s="98" t="s">
        <v>881</v>
      </c>
      <c r="E1419" s="147" t="s">
        <v>1783</v>
      </c>
      <c r="F1419" s="98" t="s">
        <v>1787</v>
      </c>
      <c r="G1419" s="151" t="s">
        <v>31</v>
      </c>
      <c r="H1419" s="19" t="s">
        <v>1785</v>
      </c>
      <c r="I1419" s="23" t="e">
        <f>VLOOKUP(H1419,'合同综合查询数据（3月返）'!$A:$A,1,FALSE)</f>
        <v>#N/A</v>
      </c>
      <c r="J1419" s="129" t="s">
        <v>1821</v>
      </c>
      <c r="K1419" s="129" t="s">
        <v>132</v>
      </c>
      <c r="L1419" s="153"/>
      <c r="M1419" s="26"/>
      <c r="N1419" s="154">
        <v>43770</v>
      </c>
      <c r="O1419" s="155"/>
      <c r="P1419" s="156">
        <v>10</v>
      </c>
      <c r="Q1419" s="156">
        <v>1024</v>
      </c>
      <c r="R1419" s="120">
        <f t="shared" si="35"/>
        <v>10240</v>
      </c>
      <c r="S1419" s="117">
        <v>202303</v>
      </c>
      <c r="T1419" s="157"/>
      <c r="U1419" s="157"/>
      <c r="V1419" s="122"/>
      <c r="W1419" s="122"/>
      <c r="X1419" s="118">
        <v>44562</v>
      </c>
      <c r="Y1419" s="118">
        <v>45291</v>
      </c>
      <c r="Z1419" s="9"/>
      <c r="AA1419" s="9"/>
      <c r="AB1419" s="9"/>
      <c r="AC1419" s="9"/>
      <c r="AD1419" s="9"/>
      <c r="AE1419" s="9"/>
    </row>
    <row r="1420" s="79" customFormat="1" customHeight="1" spans="1:31">
      <c r="A1420" s="98" t="s">
        <v>401</v>
      </c>
      <c r="B1420" s="96" t="s">
        <v>62</v>
      </c>
      <c r="C1420" s="98" t="s">
        <v>130</v>
      </c>
      <c r="D1420" s="98" t="s">
        <v>881</v>
      </c>
      <c r="E1420" s="147" t="s">
        <v>1783</v>
      </c>
      <c r="F1420" s="98" t="s">
        <v>1787</v>
      </c>
      <c r="G1420" s="151" t="s">
        <v>67</v>
      </c>
      <c r="H1420" s="19" t="s">
        <v>1785</v>
      </c>
      <c r="I1420" s="23" t="e">
        <f>VLOOKUP(H1420,'合同综合查询数据（3月返）'!$A:$A,1,FALSE)</f>
        <v>#N/A</v>
      </c>
      <c r="J1420" s="129" t="s">
        <v>69</v>
      </c>
      <c r="K1420" s="129" t="s">
        <v>1822</v>
      </c>
      <c r="L1420" s="153"/>
      <c r="M1420" s="26"/>
      <c r="N1420" s="154">
        <v>44062</v>
      </c>
      <c r="O1420" s="155" t="s">
        <v>71</v>
      </c>
      <c r="P1420" s="156">
        <v>500</v>
      </c>
      <c r="Q1420" s="107">
        <v>26.1</v>
      </c>
      <c r="R1420" s="120">
        <f t="shared" si="35"/>
        <v>13050</v>
      </c>
      <c r="S1420" s="117">
        <v>202303</v>
      </c>
      <c r="T1420" s="157" t="s">
        <v>1823</v>
      </c>
      <c r="U1420" s="157"/>
      <c r="V1420" s="122"/>
      <c r="W1420" s="122"/>
      <c r="X1420" s="118">
        <v>44562</v>
      </c>
      <c r="Y1420" s="118">
        <v>45291</v>
      </c>
      <c r="Z1420" s="9"/>
      <c r="AA1420" s="9"/>
      <c r="AB1420" s="9"/>
      <c r="AC1420" s="9"/>
      <c r="AD1420" s="9"/>
      <c r="AE1420" s="9"/>
    </row>
    <row r="1421" s="79" customFormat="1" customHeight="1" spans="1:31">
      <c r="A1421" s="98" t="s">
        <v>401</v>
      </c>
      <c r="B1421" s="96" t="s">
        <v>62</v>
      </c>
      <c r="C1421" s="98" t="s">
        <v>130</v>
      </c>
      <c r="D1421" s="98" t="s">
        <v>881</v>
      </c>
      <c r="E1421" s="147" t="s">
        <v>1783</v>
      </c>
      <c r="F1421" s="98" t="s">
        <v>1787</v>
      </c>
      <c r="G1421" s="151" t="s">
        <v>31</v>
      </c>
      <c r="H1421" s="19" t="s">
        <v>1785</v>
      </c>
      <c r="I1421" s="23" t="e">
        <f>VLOOKUP(H1421,'合同综合查询数据（3月返）'!$A:$A,1,FALSE)</f>
        <v>#N/A</v>
      </c>
      <c r="J1421" s="129" t="s">
        <v>33</v>
      </c>
      <c r="K1421" s="129" t="s">
        <v>1822</v>
      </c>
      <c r="L1421" s="99" t="s">
        <v>1788</v>
      </c>
      <c r="M1421" s="26" t="s">
        <v>1824</v>
      </c>
      <c r="N1421" s="154">
        <v>44176</v>
      </c>
      <c r="O1421" s="155"/>
      <c r="P1421" s="156">
        <v>0</v>
      </c>
      <c r="Q1421" s="156">
        <v>128</v>
      </c>
      <c r="R1421" s="120">
        <f t="shared" si="35"/>
        <v>0</v>
      </c>
      <c r="S1421" s="117">
        <v>202303</v>
      </c>
      <c r="T1421" s="157" t="s">
        <v>1825</v>
      </c>
      <c r="U1421" s="157"/>
      <c r="V1421" s="122"/>
      <c r="W1421" s="122"/>
      <c r="X1421" s="118">
        <v>44562</v>
      </c>
      <c r="Y1421" s="118">
        <v>45291</v>
      </c>
      <c r="Z1421" s="9"/>
      <c r="AA1421" s="9"/>
      <c r="AB1421" s="9"/>
      <c r="AC1421" s="9"/>
      <c r="AD1421" s="9"/>
      <c r="AE1421" s="9"/>
    </row>
    <row r="1422" s="79" customFormat="1" customHeight="1" spans="1:31">
      <c r="A1422" s="98" t="s">
        <v>401</v>
      </c>
      <c r="B1422" s="96" t="s">
        <v>62</v>
      </c>
      <c r="C1422" s="98" t="s">
        <v>130</v>
      </c>
      <c r="D1422" s="98" t="s">
        <v>881</v>
      </c>
      <c r="E1422" s="147" t="s">
        <v>1783</v>
      </c>
      <c r="F1422" s="98" t="s">
        <v>1787</v>
      </c>
      <c r="G1422" s="151" t="s">
        <v>31</v>
      </c>
      <c r="H1422" s="19" t="s">
        <v>1785</v>
      </c>
      <c r="I1422" s="23" t="e">
        <f>VLOOKUP(H1422,'合同综合查询数据（3月返）'!$A:$A,1,FALSE)</f>
        <v>#N/A</v>
      </c>
      <c r="J1422" s="129" t="s">
        <v>33</v>
      </c>
      <c r="K1422" s="129" t="s">
        <v>132</v>
      </c>
      <c r="L1422" s="99" t="s">
        <v>1788</v>
      </c>
      <c r="M1422" s="26"/>
      <c r="N1422" s="154">
        <v>44562</v>
      </c>
      <c r="O1422" s="155" t="s">
        <v>37</v>
      </c>
      <c r="P1422" s="156">
        <v>0</v>
      </c>
      <c r="Q1422" s="156">
        <v>128</v>
      </c>
      <c r="R1422" s="120">
        <f t="shared" si="35"/>
        <v>0</v>
      </c>
      <c r="S1422" s="117">
        <v>202303</v>
      </c>
      <c r="T1422" s="157" t="s">
        <v>1826</v>
      </c>
      <c r="U1422" s="157"/>
      <c r="V1422" s="122"/>
      <c r="W1422" s="122"/>
      <c r="X1422" s="118">
        <v>44562</v>
      </c>
      <c r="Y1422" s="118">
        <v>45291</v>
      </c>
      <c r="Z1422" s="9"/>
      <c r="AA1422" s="9"/>
      <c r="AB1422" s="9"/>
      <c r="AC1422" s="9"/>
      <c r="AD1422" s="9"/>
      <c r="AE1422" s="9"/>
    </row>
    <row r="1423" s="79" customFormat="1" customHeight="1" spans="1:31">
      <c r="A1423" s="98" t="s">
        <v>401</v>
      </c>
      <c r="B1423" s="96" t="s">
        <v>62</v>
      </c>
      <c r="C1423" s="98" t="s">
        <v>130</v>
      </c>
      <c r="D1423" s="98" t="s">
        <v>881</v>
      </c>
      <c r="E1423" s="147" t="s">
        <v>1783</v>
      </c>
      <c r="F1423" s="98" t="s">
        <v>1787</v>
      </c>
      <c r="G1423" s="151" t="s">
        <v>31</v>
      </c>
      <c r="H1423" s="19" t="s">
        <v>1785</v>
      </c>
      <c r="I1423" s="23" t="e">
        <f>VLOOKUP(H1423,'合同综合查询数据（3月返）'!$A:$A,1,FALSE)</f>
        <v>#N/A</v>
      </c>
      <c r="J1423" s="129" t="s">
        <v>33</v>
      </c>
      <c r="K1423" s="129" t="s">
        <v>132</v>
      </c>
      <c r="L1423" s="99" t="s">
        <v>1788</v>
      </c>
      <c r="M1423" s="26" t="s">
        <v>1827</v>
      </c>
      <c r="N1423" s="154">
        <v>44651</v>
      </c>
      <c r="O1423" s="155" t="s">
        <v>37</v>
      </c>
      <c r="P1423" s="156">
        <v>0</v>
      </c>
      <c r="Q1423" s="156">
        <v>-128</v>
      </c>
      <c r="R1423" s="120">
        <f t="shared" si="35"/>
        <v>0</v>
      </c>
      <c r="S1423" s="117">
        <v>202303</v>
      </c>
      <c r="T1423" s="157" t="s">
        <v>1828</v>
      </c>
      <c r="U1423" s="157"/>
      <c r="V1423" s="122"/>
      <c r="W1423" s="122"/>
      <c r="X1423" s="118">
        <v>44562</v>
      </c>
      <c r="Y1423" s="118">
        <v>45291</v>
      </c>
      <c r="Z1423" s="9"/>
      <c r="AA1423" s="9"/>
      <c r="AB1423" s="9"/>
      <c r="AC1423" s="9"/>
      <c r="AD1423" s="9"/>
      <c r="AE1423" s="9"/>
    </row>
    <row r="1424" s="79" customFormat="1" customHeight="1" spans="1:31">
      <c r="A1424" s="98" t="s">
        <v>401</v>
      </c>
      <c r="B1424" s="96" t="s">
        <v>62</v>
      </c>
      <c r="C1424" s="98" t="s">
        <v>130</v>
      </c>
      <c r="D1424" s="98" t="s">
        <v>881</v>
      </c>
      <c r="E1424" s="147" t="s">
        <v>1783</v>
      </c>
      <c r="F1424" s="98" t="s">
        <v>1787</v>
      </c>
      <c r="G1424" s="151" t="s">
        <v>88</v>
      </c>
      <c r="H1424" s="19" t="s">
        <v>1785</v>
      </c>
      <c r="I1424" s="23" t="e">
        <f>VLOOKUP(H1424,'合同综合查询数据（3月返）'!$A:$A,1,FALSE)</f>
        <v>#N/A</v>
      </c>
      <c r="J1424" s="129" t="s">
        <v>885</v>
      </c>
      <c r="K1424" s="129" t="s">
        <v>1829</v>
      </c>
      <c r="L1424" s="153"/>
      <c r="M1424" s="26" t="s">
        <v>1795</v>
      </c>
      <c r="N1424" s="154">
        <v>44317</v>
      </c>
      <c r="O1424" s="155" t="s">
        <v>511</v>
      </c>
      <c r="P1424" s="156">
        <v>10000</v>
      </c>
      <c r="Q1424" s="156">
        <v>1</v>
      </c>
      <c r="R1424" s="120">
        <f t="shared" si="35"/>
        <v>10000</v>
      </c>
      <c r="S1424" s="117">
        <v>202303</v>
      </c>
      <c r="T1424" s="157" t="s">
        <v>1830</v>
      </c>
      <c r="U1424" s="157"/>
      <c r="V1424" s="122"/>
      <c r="W1424" s="122"/>
      <c r="X1424" s="118">
        <v>44562</v>
      </c>
      <c r="Y1424" s="118">
        <v>45291</v>
      </c>
      <c r="Z1424" s="9"/>
      <c r="AA1424" s="9"/>
      <c r="AB1424" s="9"/>
      <c r="AC1424" s="9"/>
      <c r="AD1424" s="9"/>
      <c r="AE1424" s="9"/>
    </row>
    <row r="1425" s="79" customFormat="1" customHeight="1" spans="1:31">
      <c r="A1425" s="98" t="s">
        <v>401</v>
      </c>
      <c r="B1425" s="96" t="s">
        <v>62</v>
      </c>
      <c r="C1425" s="98" t="s">
        <v>130</v>
      </c>
      <c r="D1425" s="98" t="s">
        <v>881</v>
      </c>
      <c r="E1425" s="147" t="s">
        <v>1783</v>
      </c>
      <c r="F1425" s="98" t="s">
        <v>1787</v>
      </c>
      <c r="G1425" s="151" t="s">
        <v>88</v>
      </c>
      <c r="H1425" s="19" t="s">
        <v>1785</v>
      </c>
      <c r="I1425" s="23" t="e">
        <f>VLOOKUP(H1425,'合同综合查询数据（3月返）'!$A:$A,1,FALSE)</f>
        <v>#N/A</v>
      </c>
      <c r="J1425" s="129" t="s">
        <v>126</v>
      </c>
      <c r="K1425" s="129" t="s">
        <v>1829</v>
      </c>
      <c r="L1425" s="153" t="s">
        <v>1831</v>
      </c>
      <c r="M1425" s="26" t="s">
        <v>1789</v>
      </c>
      <c r="N1425" s="154">
        <v>44470</v>
      </c>
      <c r="O1425" s="155" t="s">
        <v>127</v>
      </c>
      <c r="P1425" s="156">
        <v>0</v>
      </c>
      <c r="Q1425" s="156">
        <v>22</v>
      </c>
      <c r="R1425" s="120">
        <f t="shared" si="35"/>
        <v>0</v>
      </c>
      <c r="S1425" s="117">
        <v>202303</v>
      </c>
      <c r="T1425" s="157" t="s">
        <v>1832</v>
      </c>
      <c r="U1425" s="157"/>
      <c r="V1425" s="122"/>
      <c r="W1425" s="122"/>
      <c r="X1425" s="118">
        <v>44562</v>
      </c>
      <c r="Y1425" s="118">
        <v>45291</v>
      </c>
      <c r="Z1425" s="9"/>
      <c r="AA1425" s="9"/>
      <c r="AB1425" s="9"/>
      <c r="AC1425" s="9"/>
      <c r="AD1425" s="9"/>
      <c r="AE1425" s="9"/>
    </row>
    <row r="1426" s="79" customFormat="1" customHeight="1" spans="1:31">
      <c r="A1426" s="98" t="s">
        <v>401</v>
      </c>
      <c r="B1426" s="96" t="s">
        <v>62</v>
      </c>
      <c r="C1426" s="98" t="s">
        <v>130</v>
      </c>
      <c r="D1426" s="98" t="s">
        <v>881</v>
      </c>
      <c r="E1426" s="147" t="s">
        <v>1783</v>
      </c>
      <c r="F1426" s="98" t="s">
        <v>1787</v>
      </c>
      <c r="G1426" s="151" t="s">
        <v>88</v>
      </c>
      <c r="H1426" s="19" t="s">
        <v>1785</v>
      </c>
      <c r="I1426" s="23" t="e">
        <f>VLOOKUP(H1426,'合同综合查询数据（3月返）'!$A:$A,1,FALSE)</f>
        <v>#N/A</v>
      </c>
      <c r="J1426" s="129" t="s">
        <v>126</v>
      </c>
      <c r="K1426" s="129" t="s">
        <v>1829</v>
      </c>
      <c r="L1426" s="153" t="s">
        <v>1831</v>
      </c>
      <c r="M1426" s="26" t="s">
        <v>1789</v>
      </c>
      <c r="N1426" s="154">
        <v>44530</v>
      </c>
      <c r="O1426" s="155" t="s">
        <v>127</v>
      </c>
      <c r="P1426" s="156">
        <v>0</v>
      </c>
      <c r="Q1426" s="156">
        <v>-22</v>
      </c>
      <c r="R1426" s="120">
        <f t="shared" si="35"/>
        <v>0</v>
      </c>
      <c r="S1426" s="117">
        <v>202303</v>
      </c>
      <c r="T1426" s="157" t="s">
        <v>1833</v>
      </c>
      <c r="U1426" s="157"/>
      <c r="V1426" s="122"/>
      <c r="W1426" s="122"/>
      <c r="X1426" s="118">
        <v>44562</v>
      </c>
      <c r="Y1426" s="118">
        <v>45291</v>
      </c>
      <c r="Z1426" s="9"/>
      <c r="AA1426" s="9"/>
      <c r="AB1426" s="9"/>
      <c r="AC1426" s="9"/>
      <c r="AD1426" s="9"/>
      <c r="AE1426" s="9"/>
    </row>
    <row r="1427" s="79" customFormat="1" customHeight="1" spans="1:31">
      <c r="A1427" s="98" t="s">
        <v>401</v>
      </c>
      <c r="B1427" s="96" t="s">
        <v>62</v>
      </c>
      <c r="C1427" s="98" t="s">
        <v>130</v>
      </c>
      <c r="D1427" s="98" t="s">
        <v>881</v>
      </c>
      <c r="E1427" s="147" t="s">
        <v>1783</v>
      </c>
      <c r="F1427" s="98" t="s">
        <v>1787</v>
      </c>
      <c r="G1427" s="151" t="s">
        <v>67</v>
      </c>
      <c r="H1427" s="19" t="s">
        <v>1785</v>
      </c>
      <c r="I1427" s="23" t="e">
        <f>VLOOKUP(H1427,'合同综合查询数据（3月返）'!$A:$A,1,FALSE)</f>
        <v>#N/A</v>
      </c>
      <c r="J1427" s="129" t="s">
        <v>69</v>
      </c>
      <c r="K1427" s="129" t="s">
        <v>1834</v>
      </c>
      <c r="L1427" s="153"/>
      <c r="M1427" s="26"/>
      <c r="N1427" s="154">
        <v>44621</v>
      </c>
      <c r="O1427" s="155" t="s">
        <v>71</v>
      </c>
      <c r="P1427" s="156">
        <v>2000</v>
      </c>
      <c r="Q1427" s="107">
        <v>1</v>
      </c>
      <c r="R1427" s="120">
        <f t="shared" si="35"/>
        <v>2000</v>
      </c>
      <c r="S1427" s="117">
        <v>202303</v>
      </c>
      <c r="T1427" s="157" t="s">
        <v>1835</v>
      </c>
      <c r="U1427" s="157"/>
      <c r="V1427" s="122"/>
      <c r="W1427" s="122"/>
      <c r="X1427" s="118">
        <v>44562</v>
      </c>
      <c r="Y1427" s="118">
        <v>45291</v>
      </c>
      <c r="Z1427" s="9"/>
      <c r="AA1427" s="9"/>
      <c r="AB1427" s="9"/>
      <c r="AC1427" s="9"/>
      <c r="AD1427" s="9"/>
      <c r="AE1427" s="9"/>
    </row>
    <row r="1428" s="79" customFormat="1" customHeight="1" spans="1:31">
      <c r="A1428" s="98" t="s">
        <v>401</v>
      </c>
      <c r="B1428" s="96" t="s">
        <v>62</v>
      </c>
      <c r="C1428" s="98" t="s">
        <v>130</v>
      </c>
      <c r="D1428" s="98" t="s">
        <v>881</v>
      </c>
      <c r="E1428" s="147" t="s">
        <v>1783</v>
      </c>
      <c r="F1428" s="98" t="s">
        <v>1787</v>
      </c>
      <c r="G1428" s="151" t="s">
        <v>67</v>
      </c>
      <c r="H1428" s="19" t="s">
        <v>1785</v>
      </c>
      <c r="I1428" s="23" t="e">
        <f>VLOOKUP(H1428,'合同综合查询数据（3月返）'!$A:$A,1,FALSE)</f>
        <v>#N/A</v>
      </c>
      <c r="J1428" s="129" t="s">
        <v>69</v>
      </c>
      <c r="K1428" s="129" t="s">
        <v>1834</v>
      </c>
      <c r="L1428" s="153"/>
      <c r="M1428" s="26"/>
      <c r="N1428" s="154">
        <v>44621</v>
      </c>
      <c r="O1428" s="155" t="s">
        <v>71</v>
      </c>
      <c r="P1428" s="156">
        <v>2000</v>
      </c>
      <c r="Q1428" s="107">
        <v>1</v>
      </c>
      <c r="R1428" s="120">
        <f t="shared" si="35"/>
        <v>2000</v>
      </c>
      <c r="S1428" s="117">
        <v>202303</v>
      </c>
      <c r="T1428" s="157" t="s">
        <v>1835</v>
      </c>
      <c r="U1428" s="157"/>
      <c r="V1428" s="122"/>
      <c r="W1428" s="122"/>
      <c r="X1428" s="118">
        <v>44562</v>
      </c>
      <c r="Y1428" s="118">
        <v>45291</v>
      </c>
      <c r="Z1428" s="9"/>
      <c r="AA1428" s="9"/>
      <c r="AB1428" s="9"/>
      <c r="AC1428" s="9"/>
      <c r="AD1428" s="9"/>
      <c r="AE1428" s="9"/>
    </row>
    <row r="1429" s="81" customFormat="1" customHeight="1" spans="1:31">
      <c r="A1429" s="61" t="s">
        <v>401</v>
      </c>
      <c r="B1429" s="60" t="s">
        <v>62</v>
      </c>
      <c r="C1429" s="61" t="s">
        <v>130</v>
      </c>
      <c r="D1429" s="61" t="s">
        <v>881</v>
      </c>
      <c r="E1429" s="160" t="s">
        <v>1783</v>
      </c>
      <c r="F1429" s="61" t="s">
        <v>1787</v>
      </c>
      <c r="G1429" s="161" t="s">
        <v>31</v>
      </c>
      <c r="H1429" s="45" t="s">
        <v>1836</v>
      </c>
      <c r="I1429" s="47" t="e">
        <f>VLOOKUP(H1429,'合同综合查询数据（3月返）'!$A:$A,1,FALSE)</f>
        <v>#N/A</v>
      </c>
      <c r="J1429" s="135" t="s">
        <v>33</v>
      </c>
      <c r="K1429" s="135" t="s">
        <v>1822</v>
      </c>
      <c r="L1429" s="164" t="s">
        <v>1831</v>
      </c>
      <c r="M1429" s="50" t="s">
        <v>1789</v>
      </c>
      <c r="N1429" s="165">
        <v>44470</v>
      </c>
      <c r="O1429" s="172"/>
      <c r="P1429" s="171">
        <v>0</v>
      </c>
      <c r="Q1429" s="171">
        <v>544</v>
      </c>
      <c r="R1429" s="68">
        <f t="shared" si="35"/>
        <v>0</v>
      </c>
      <c r="S1429" s="70">
        <v>202303</v>
      </c>
      <c r="T1429" s="170" t="s">
        <v>1837</v>
      </c>
      <c r="U1429" s="170"/>
      <c r="V1429" s="146"/>
      <c r="W1429" s="146"/>
      <c r="X1429" s="73"/>
      <c r="Y1429" s="73"/>
      <c r="Z1429" s="10"/>
      <c r="AA1429" s="10"/>
      <c r="AB1429" s="10"/>
      <c r="AC1429" s="10"/>
      <c r="AD1429" s="10"/>
      <c r="AE1429" s="10"/>
    </row>
    <row r="1430" s="81" customFormat="1" customHeight="1" spans="1:31">
      <c r="A1430" s="61" t="s">
        <v>401</v>
      </c>
      <c r="B1430" s="60" t="s">
        <v>62</v>
      </c>
      <c r="C1430" s="61" t="s">
        <v>130</v>
      </c>
      <c r="D1430" s="61" t="s">
        <v>881</v>
      </c>
      <c r="E1430" s="160" t="s">
        <v>1783</v>
      </c>
      <c r="F1430" s="61" t="s">
        <v>1787</v>
      </c>
      <c r="G1430" s="161" t="s">
        <v>31</v>
      </c>
      <c r="H1430" s="45" t="s">
        <v>1836</v>
      </c>
      <c r="I1430" s="47" t="e">
        <f>VLOOKUP(H1430,'合同综合查询数据（3月返）'!$A:$A,1,FALSE)</f>
        <v>#N/A</v>
      </c>
      <c r="J1430" s="135" t="s">
        <v>33</v>
      </c>
      <c r="K1430" s="135" t="s">
        <v>1822</v>
      </c>
      <c r="L1430" s="164" t="s">
        <v>1831</v>
      </c>
      <c r="M1430" s="50" t="s">
        <v>1789</v>
      </c>
      <c r="N1430" s="165">
        <v>44530</v>
      </c>
      <c r="O1430" s="172"/>
      <c r="P1430" s="171">
        <v>0</v>
      </c>
      <c r="Q1430" s="171">
        <v>-544</v>
      </c>
      <c r="R1430" s="68">
        <f t="shared" si="35"/>
        <v>0</v>
      </c>
      <c r="S1430" s="70">
        <v>202303</v>
      </c>
      <c r="T1430" s="170" t="s">
        <v>1838</v>
      </c>
      <c r="U1430" s="170"/>
      <c r="V1430" s="146"/>
      <c r="W1430" s="146"/>
      <c r="X1430" s="73"/>
      <c r="Y1430" s="73"/>
      <c r="Z1430" s="10"/>
      <c r="AA1430" s="10"/>
      <c r="AB1430" s="10"/>
      <c r="AC1430" s="10"/>
      <c r="AD1430" s="10"/>
      <c r="AE1430" s="10"/>
    </row>
    <row r="1431" s="81" customFormat="1" customHeight="1" spans="1:31">
      <c r="A1431" s="61" t="s">
        <v>401</v>
      </c>
      <c r="B1431" s="60" t="s">
        <v>62</v>
      </c>
      <c r="C1431" s="61" t="s">
        <v>130</v>
      </c>
      <c r="D1431" s="61" t="s">
        <v>881</v>
      </c>
      <c r="E1431" s="160" t="s">
        <v>1783</v>
      </c>
      <c r="F1431" s="61" t="s">
        <v>1787</v>
      </c>
      <c r="G1431" s="161" t="s">
        <v>88</v>
      </c>
      <c r="H1431" s="45" t="s">
        <v>1839</v>
      </c>
      <c r="I1431" s="47" t="e">
        <f>VLOOKUP(H1431,'合同综合查询数据（3月返）'!$A:$A,1,FALSE)</f>
        <v>#N/A</v>
      </c>
      <c r="J1431" s="135" t="s">
        <v>126</v>
      </c>
      <c r="K1431" s="135" t="s">
        <v>132</v>
      </c>
      <c r="L1431" s="66" t="s">
        <v>1840</v>
      </c>
      <c r="M1431" s="50" t="s">
        <v>1824</v>
      </c>
      <c r="N1431" s="219">
        <v>44743</v>
      </c>
      <c r="O1431" s="172" t="s">
        <v>127</v>
      </c>
      <c r="P1431" s="171">
        <v>0</v>
      </c>
      <c r="Q1431" s="112">
        <v>3</v>
      </c>
      <c r="R1431" s="68">
        <f t="shared" si="35"/>
        <v>0</v>
      </c>
      <c r="S1431" s="70">
        <v>202303</v>
      </c>
      <c r="T1431" s="170" t="s">
        <v>1841</v>
      </c>
      <c r="U1431" s="170"/>
      <c r="V1431" s="146"/>
      <c r="W1431" s="146"/>
      <c r="X1431" s="73"/>
      <c r="Y1431" s="73"/>
      <c r="Z1431" s="10"/>
      <c r="AA1431" s="10"/>
      <c r="AB1431" s="10"/>
      <c r="AC1431" s="10"/>
      <c r="AD1431" s="10"/>
      <c r="AE1431" s="10"/>
    </row>
    <row r="1432" s="81" customFormat="1" customHeight="1" spans="1:31">
      <c r="A1432" s="61" t="s">
        <v>401</v>
      </c>
      <c r="B1432" s="60" t="s">
        <v>62</v>
      </c>
      <c r="C1432" s="61" t="s">
        <v>130</v>
      </c>
      <c r="D1432" s="61" t="s">
        <v>881</v>
      </c>
      <c r="E1432" s="160" t="s">
        <v>1783</v>
      </c>
      <c r="F1432" s="61" t="s">
        <v>1787</v>
      </c>
      <c r="G1432" s="161" t="s">
        <v>31</v>
      </c>
      <c r="H1432" s="45" t="s">
        <v>1839</v>
      </c>
      <c r="I1432" s="47" t="e">
        <f>VLOOKUP(H1432,'合同综合查询数据（3月返）'!$A:$A,1,FALSE)</f>
        <v>#N/A</v>
      </c>
      <c r="J1432" s="135" t="s">
        <v>33</v>
      </c>
      <c r="K1432" s="135" t="s">
        <v>132</v>
      </c>
      <c r="L1432" s="66" t="s">
        <v>1840</v>
      </c>
      <c r="M1432" s="50"/>
      <c r="N1432" s="219">
        <v>44743</v>
      </c>
      <c r="O1432" s="172" t="s">
        <v>37</v>
      </c>
      <c r="P1432" s="171">
        <v>0</v>
      </c>
      <c r="Q1432" s="112">
        <v>288</v>
      </c>
      <c r="R1432" s="68">
        <f t="shared" si="35"/>
        <v>0</v>
      </c>
      <c r="S1432" s="70">
        <v>202303</v>
      </c>
      <c r="T1432" s="170" t="s">
        <v>1842</v>
      </c>
      <c r="U1432" s="170"/>
      <c r="V1432" s="146"/>
      <c r="W1432" s="146"/>
      <c r="X1432" s="73"/>
      <c r="Y1432" s="73"/>
      <c r="Z1432" s="10"/>
      <c r="AA1432" s="10"/>
      <c r="AB1432" s="10"/>
      <c r="AC1432" s="10"/>
      <c r="AD1432" s="10"/>
      <c r="AE1432" s="10"/>
    </row>
    <row r="1433" s="79" customFormat="1" customHeight="1" spans="1:31">
      <c r="A1433" s="98" t="s">
        <v>401</v>
      </c>
      <c r="B1433" s="96" t="s">
        <v>62</v>
      </c>
      <c r="C1433" s="98" t="s">
        <v>130</v>
      </c>
      <c r="D1433" s="98" t="s">
        <v>881</v>
      </c>
      <c r="E1433" s="147" t="s">
        <v>1783</v>
      </c>
      <c r="F1433" s="98" t="s">
        <v>1787</v>
      </c>
      <c r="G1433" s="151" t="s">
        <v>88</v>
      </c>
      <c r="H1433" s="19" t="s">
        <v>1785</v>
      </c>
      <c r="I1433" s="23" t="e">
        <f>VLOOKUP(H1433,'合同综合查询数据（3月返）'!$A:$A,1,FALSE)</f>
        <v>#N/A</v>
      </c>
      <c r="J1433" s="129" t="s">
        <v>126</v>
      </c>
      <c r="K1433" s="129" t="s">
        <v>132</v>
      </c>
      <c r="L1433" s="99" t="s">
        <v>1843</v>
      </c>
      <c r="M1433" s="26" t="s">
        <v>1844</v>
      </c>
      <c r="N1433" s="220">
        <v>44866</v>
      </c>
      <c r="O1433" s="155" t="s">
        <v>1424</v>
      </c>
      <c r="P1433" s="156">
        <v>4000</v>
      </c>
      <c r="Q1433" s="107">
        <v>2</v>
      </c>
      <c r="R1433" s="120">
        <f t="shared" si="35"/>
        <v>8000</v>
      </c>
      <c r="S1433" s="117">
        <v>202303</v>
      </c>
      <c r="T1433" s="157" t="s">
        <v>1845</v>
      </c>
      <c r="U1433" s="157"/>
      <c r="V1433" s="122"/>
      <c r="W1433" s="122"/>
      <c r="X1433" s="118">
        <v>44562</v>
      </c>
      <c r="Y1433" s="118">
        <v>45291</v>
      </c>
      <c r="Z1433" s="9"/>
      <c r="AA1433" s="9"/>
      <c r="AB1433" s="9"/>
      <c r="AC1433" s="9"/>
      <c r="AD1433" s="9"/>
      <c r="AE1433" s="9"/>
    </row>
    <row r="1434" s="81" customFormat="1" customHeight="1" spans="1:31">
      <c r="A1434" s="61" t="s">
        <v>401</v>
      </c>
      <c r="B1434" s="60" t="s">
        <v>62</v>
      </c>
      <c r="C1434" s="61" t="s">
        <v>130</v>
      </c>
      <c r="D1434" s="61" t="s">
        <v>881</v>
      </c>
      <c r="E1434" s="160" t="s">
        <v>1783</v>
      </c>
      <c r="F1434" s="61" t="s">
        <v>1787</v>
      </c>
      <c r="G1434" s="161" t="s">
        <v>31</v>
      </c>
      <c r="H1434" s="45" t="s">
        <v>1846</v>
      </c>
      <c r="I1434" s="47" t="e">
        <f>VLOOKUP(H1434,'合同综合查询数据（3月返）'!$A:$A,1,FALSE)</f>
        <v>#N/A</v>
      </c>
      <c r="J1434" s="135" t="s">
        <v>33</v>
      </c>
      <c r="K1434" s="135" t="s">
        <v>132</v>
      </c>
      <c r="L1434" s="66" t="s">
        <v>1843</v>
      </c>
      <c r="M1434" s="50"/>
      <c r="N1434" s="219">
        <v>44866</v>
      </c>
      <c r="O1434" s="172" t="s">
        <v>37</v>
      </c>
      <c r="P1434" s="171">
        <v>0</v>
      </c>
      <c r="Q1434" s="112">
        <v>2560</v>
      </c>
      <c r="R1434" s="68">
        <f t="shared" si="35"/>
        <v>0</v>
      </c>
      <c r="S1434" s="70">
        <v>202303</v>
      </c>
      <c r="T1434" s="170" t="s">
        <v>1847</v>
      </c>
      <c r="U1434" s="170"/>
      <c r="V1434" s="146"/>
      <c r="W1434" s="146"/>
      <c r="X1434" s="73"/>
      <c r="Y1434" s="73"/>
      <c r="Z1434" s="10"/>
      <c r="AA1434" s="10"/>
      <c r="AB1434" s="10"/>
      <c r="AC1434" s="10"/>
      <c r="AD1434" s="10"/>
      <c r="AE1434" s="10"/>
    </row>
    <row r="1435" s="79" customFormat="1" customHeight="1" spans="1:31">
      <c r="A1435" s="129" t="s">
        <v>401</v>
      </c>
      <c r="B1435" s="98" t="s">
        <v>62</v>
      </c>
      <c r="C1435" s="129" t="s">
        <v>217</v>
      </c>
      <c r="D1435" s="98" t="s">
        <v>566</v>
      </c>
      <c r="E1435" s="130" t="s">
        <v>1848</v>
      </c>
      <c r="F1435" s="129" t="s">
        <v>1849</v>
      </c>
      <c r="G1435" s="109" t="s">
        <v>302</v>
      </c>
      <c r="H1435" s="100" t="s">
        <v>1850</v>
      </c>
      <c r="I1435" s="23" t="e">
        <f>VLOOKUP(H1435,'合同综合查询数据（3月返）'!$A:$A,1,FALSE)</f>
        <v>#N/A</v>
      </c>
      <c r="J1435" s="152" t="s">
        <v>302</v>
      </c>
      <c r="K1435" s="109" t="s">
        <v>1851</v>
      </c>
      <c r="L1435" s="109"/>
      <c r="M1435" s="26"/>
      <c r="N1435" s="28">
        <v>44166</v>
      </c>
      <c r="O1435" s="28" t="s">
        <v>1852</v>
      </c>
      <c r="P1435" s="131">
        <v>400000</v>
      </c>
      <c r="Q1435" s="120">
        <v>1</v>
      </c>
      <c r="R1435" s="120">
        <f t="shared" si="35"/>
        <v>400000</v>
      </c>
      <c r="S1435" s="117">
        <v>202303</v>
      </c>
      <c r="T1435" s="158" t="s">
        <v>1853</v>
      </c>
      <c r="U1435" s="215"/>
      <c r="V1435" s="133"/>
      <c r="W1435" s="133"/>
      <c r="X1435" s="118">
        <v>43647</v>
      </c>
      <c r="Y1435" s="118">
        <v>45107</v>
      </c>
      <c r="Z1435" s="9"/>
      <c r="AA1435" s="9"/>
      <c r="AB1435" s="9"/>
      <c r="AC1435" s="9"/>
      <c r="AD1435" s="9"/>
      <c r="AE1435" s="9"/>
    </row>
    <row r="1436" s="79" customFormat="1" customHeight="1" spans="1:31">
      <c r="A1436" s="98" t="s">
        <v>401</v>
      </c>
      <c r="B1436" s="98" t="s">
        <v>62</v>
      </c>
      <c r="C1436" s="129" t="s">
        <v>1854</v>
      </c>
      <c r="D1436" s="98" t="s">
        <v>566</v>
      </c>
      <c r="E1436" s="147" t="s">
        <v>1855</v>
      </c>
      <c r="F1436" s="98" t="s">
        <v>1856</v>
      </c>
      <c r="G1436" s="99" t="s">
        <v>302</v>
      </c>
      <c r="H1436" s="19" t="s">
        <v>1857</v>
      </c>
      <c r="I1436" s="23" t="e">
        <f>VLOOKUP(H1436,'合同综合查询数据（3月返）'!$A:$A,1,FALSE)</f>
        <v>#N/A</v>
      </c>
      <c r="J1436" s="99" t="s">
        <v>302</v>
      </c>
      <c r="K1436" s="98" t="s">
        <v>1858</v>
      </c>
      <c r="L1436" s="148"/>
      <c r="M1436" s="26"/>
      <c r="N1436" s="28">
        <v>43831</v>
      </c>
      <c r="O1436" s="28" t="s">
        <v>1852</v>
      </c>
      <c r="P1436" s="173">
        <v>642045.5</v>
      </c>
      <c r="Q1436" s="120">
        <v>1</v>
      </c>
      <c r="R1436" s="120">
        <f t="shared" si="35"/>
        <v>642045.5</v>
      </c>
      <c r="S1436" s="117">
        <v>202303</v>
      </c>
      <c r="T1436" s="38" t="s">
        <v>1859</v>
      </c>
      <c r="U1436" s="134"/>
      <c r="V1436" s="133"/>
      <c r="W1436" s="133"/>
      <c r="X1436" s="118">
        <v>44197</v>
      </c>
      <c r="Y1436" s="118">
        <v>44561</v>
      </c>
      <c r="Z1436" s="9"/>
      <c r="AA1436" s="9"/>
      <c r="AB1436" s="9"/>
      <c r="AC1436" s="9"/>
      <c r="AD1436" s="9"/>
      <c r="AE1436" s="9"/>
    </row>
    <row r="1437" s="79" customFormat="1" customHeight="1" spans="1:31">
      <c r="A1437" s="98" t="s">
        <v>401</v>
      </c>
      <c r="B1437" s="98" t="s">
        <v>62</v>
      </c>
      <c r="C1437" s="129" t="s">
        <v>1854</v>
      </c>
      <c r="D1437" s="98" t="s">
        <v>566</v>
      </c>
      <c r="E1437" s="147" t="s">
        <v>1855</v>
      </c>
      <c r="F1437" s="98" t="s">
        <v>1856</v>
      </c>
      <c r="G1437" s="99" t="s">
        <v>302</v>
      </c>
      <c r="H1437" s="19" t="s">
        <v>1857</v>
      </c>
      <c r="I1437" s="23" t="e">
        <f>VLOOKUP(H1437,'合同综合查询数据（3月返）'!$A:$A,1,FALSE)</f>
        <v>#N/A</v>
      </c>
      <c r="J1437" s="99" t="s">
        <v>302</v>
      </c>
      <c r="K1437" s="98" t="s">
        <v>1858</v>
      </c>
      <c r="L1437" s="148"/>
      <c r="M1437" s="26"/>
      <c r="N1437" s="28">
        <v>44561</v>
      </c>
      <c r="O1437" s="28" t="s">
        <v>1852</v>
      </c>
      <c r="P1437" s="173">
        <v>642045.5</v>
      </c>
      <c r="Q1437" s="120">
        <v>-1</v>
      </c>
      <c r="R1437" s="120">
        <f t="shared" si="35"/>
        <v>-642045.5</v>
      </c>
      <c r="S1437" s="117">
        <v>202303</v>
      </c>
      <c r="T1437" s="38" t="s">
        <v>1860</v>
      </c>
      <c r="U1437" s="134"/>
      <c r="V1437" s="133"/>
      <c r="W1437" s="133"/>
      <c r="X1437" s="118">
        <v>44197</v>
      </c>
      <c r="Y1437" s="118">
        <v>44561</v>
      </c>
      <c r="Z1437" s="9"/>
      <c r="AA1437" s="9"/>
      <c r="AB1437" s="9"/>
      <c r="AC1437" s="9"/>
      <c r="AD1437" s="9"/>
      <c r="AE1437" s="9"/>
    </row>
    <row r="1438" s="79" customFormat="1" customHeight="1" spans="1:31">
      <c r="A1438" s="129" t="s">
        <v>401</v>
      </c>
      <c r="B1438" s="98" t="s">
        <v>62</v>
      </c>
      <c r="C1438" s="98" t="s">
        <v>217</v>
      </c>
      <c r="D1438" s="98" t="s">
        <v>566</v>
      </c>
      <c r="E1438" s="130" t="s">
        <v>1855</v>
      </c>
      <c r="F1438" s="129" t="s">
        <v>1856</v>
      </c>
      <c r="G1438" s="99" t="s">
        <v>67</v>
      </c>
      <c r="H1438" s="100" t="s">
        <v>1861</v>
      </c>
      <c r="I1438" s="23" t="e">
        <f>VLOOKUP(H1438,'合同综合查询数据（3月返）'!$A:$A,1,FALSE)</f>
        <v>#N/A</v>
      </c>
      <c r="J1438" s="152" t="s">
        <v>69</v>
      </c>
      <c r="K1438" s="109" t="s">
        <v>1862</v>
      </c>
      <c r="L1438" s="109"/>
      <c r="M1438" s="26"/>
      <c r="N1438" s="28">
        <v>44102</v>
      </c>
      <c r="O1438" s="28" t="s">
        <v>71</v>
      </c>
      <c r="P1438" s="131">
        <v>400</v>
      </c>
      <c r="Q1438" s="120">
        <v>30</v>
      </c>
      <c r="R1438" s="120">
        <f t="shared" si="35"/>
        <v>12000</v>
      </c>
      <c r="S1438" s="117">
        <v>202303</v>
      </c>
      <c r="T1438" s="38" t="s">
        <v>1863</v>
      </c>
      <c r="U1438" s="134"/>
      <c r="V1438" s="133"/>
      <c r="W1438" s="133"/>
      <c r="X1438" s="118">
        <v>44102</v>
      </c>
      <c r="Y1438" s="118">
        <v>45196</v>
      </c>
      <c r="Z1438" s="9"/>
      <c r="AA1438" s="9"/>
      <c r="AB1438" s="9"/>
      <c r="AC1438" s="9"/>
      <c r="AD1438" s="9"/>
      <c r="AE1438" s="9"/>
    </row>
    <row r="1439" s="79" customFormat="1" customHeight="1" spans="1:31">
      <c r="A1439" s="129" t="s">
        <v>401</v>
      </c>
      <c r="B1439" s="98" t="s">
        <v>62</v>
      </c>
      <c r="C1439" s="98" t="s">
        <v>217</v>
      </c>
      <c r="D1439" s="98" t="s">
        <v>566</v>
      </c>
      <c r="E1439" s="130" t="s">
        <v>1855</v>
      </c>
      <c r="F1439" s="129" t="s">
        <v>1856</v>
      </c>
      <c r="G1439" s="99" t="s">
        <v>67</v>
      </c>
      <c r="H1439" s="100" t="s">
        <v>1861</v>
      </c>
      <c r="I1439" s="23" t="e">
        <f>VLOOKUP(H1439,'合同综合查询数据（3月返）'!$A:$A,1,FALSE)</f>
        <v>#N/A</v>
      </c>
      <c r="J1439" s="152" t="s">
        <v>69</v>
      </c>
      <c r="K1439" s="109" t="s">
        <v>1864</v>
      </c>
      <c r="L1439" s="109"/>
      <c r="M1439" s="26"/>
      <c r="N1439" s="28">
        <v>44102</v>
      </c>
      <c r="O1439" s="28" t="s">
        <v>71</v>
      </c>
      <c r="P1439" s="131">
        <v>400</v>
      </c>
      <c r="Q1439" s="120">
        <v>30</v>
      </c>
      <c r="R1439" s="120">
        <f t="shared" si="35"/>
        <v>12000</v>
      </c>
      <c r="S1439" s="117">
        <v>202303</v>
      </c>
      <c r="T1439" s="38" t="s">
        <v>1863</v>
      </c>
      <c r="U1439" s="134"/>
      <c r="V1439" s="133"/>
      <c r="W1439" s="133"/>
      <c r="X1439" s="118">
        <v>44102</v>
      </c>
      <c r="Y1439" s="118">
        <v>45196</v>
      </c>
      <c r="Z1439" s="9"/>
      <c r="AA1439" s="9"/>
      <c r="AB1439" s="9"/>
      <c r="AC1439" s="9"/>
      <c r="AD1439" s="9"/>
      <c r="AE1439" s="9"/>
    </row>
    <row r="1440" s="79" customFormat="1" customHeight="1" spans="1:31">
      <c r="A1440" s="129" t="s">
        <v>401</v>
      </c>
      <c r="B1440" s="98" t="s">
        <v>62</v>
      </c>
      <c r="C1440" s="98" t="s">
        <v>217</v>
      </c>
      <c r="D1440" s="98" t="s">
        <v>566</v>
      </c>
      <c r="E1440" s="130" t="s">
        <v>1855</v>
      </c>
      <c r="F1440" s="129" t="s">
        <v>1856</v>
      </c>
      <c r="G1440" s="99" t="s">
        <v>67</v>
      </c>
      <c r="H1440" s="100" t="s">
        <v>1861</v>
      </c>
      <c r="I1440" s="23" t="e">
        <f>VLOOKUP(H1440,'合同综合查询数据（3月返）'!$A:$A,1,FALSE)</f>
        <v>#N/A</v>
      </c>
      <c r="J1440" s="152" t="s">
        <v>69</v>
      </c>
      <c r="K1440" s="109" t="s">
        <v>1865</v>
      </c>
      <c r="L1440" s="109"/>
      <c r="M1440" s="26"/>
      <c r="N1440" s="28">
        <v>44102</v>
      </c>
      <c r="O1440" s="28" t="s">
        <v>71</v>
      </c>
      <c r="P1440" s="131">
        <v>400</v>
      </c>
      <c r="Q1440" s="120">
        <v>30</v>
      </c>
      <c r="R1440" s="120">
        <f t="shared" si="35"/>
        <v>12000</v>
      </c>
      <c r="S1440" s="117">
        <v>202303</v>
      </c>
      <c r="T1440" s="38" t="s">
        <v>1863</v>
      </c>
      <c r="U1440" s="134"/>
      <c r="V1440" s="133"/>
      <c r="W1440" s="133"/>
      <c r="X1440" s="118">
        <v>44102</v>
      </c>
      <c r="Y1440" s="118">
        <v>45196</v>
      </c>
      <c r="Z1440" s="9"/>
      <c r="AA1440" s="9"/>
      <c r="AB1440" s="9"/>
      <c r="AC1440" s="9"/>
      <c r="AD1440" s="9"/>
      <c r="AE1440" s="9"/>
    </row>
    <row r="1441" s="79" customFormat="1" customHeight="1" spans="1:31">
      <c r="A1441" s="129" t="s">
        <v>401</v>
      </c>
      <c r="B1441" s="98" t="s">
        <v>62</v>
      </c>
      <c r="C1441" s="98" t="s">
        <v>217</v>
      </c>
      <c r="D1441" s="98" t="s">
        <v>566</v>
      </c>
      <c r="E1441" s="130" t="s">
        <v>1855</v>
      </c>
      <c r="F1441" s="129" t="s">
        <v>1856</v>
      </c>
      <c r="G1441" s="99" t="s">
        <v>67</v>
      </c>
      <c r="H1441" s="100" t="s">
        <v>1861</v>
      </c>
      <c r="I1441" s="23" t="e">
        <f>VLOOKUP(H1441,'合同综合查询数据（3月返）'!$A:$A,1,FALSE)</f>
        <v>#N/A</v>
      </c>
      <c r="J1441" s="152" t="s">
        <v>69</v>
      </c>
      <c r="K1441" s="109" t="s">
        <v>1866</v>
      </c>
      <c r="L1441" s="109"/>
      <c r="M1441" s="26"/>
      <c r="N1441" s="28">
        <v>44102</v>
      </c>
      <c r="O1441" s="28" t="s">
        <v>71</v>
      </c>
      <c r="P1441" s="131">
        <v>400</v>
      </c>
      <c r="Q1441" s="120">
        <v>40</v>
      </c>
      <c r="R1441" s="120">
        <f t="shared" si="35"/>
        <v>16000</v>
      </c>
      <c r="S1441" s="117">
        <v>202303</v>
      </c>
      <c r="T1441" s="38" t="s">
        <v>1863</v>
      </c>
      <c r="U1441" s="134"/>
      <c r="V1441" s="133"/>
      <c r="W1441" s="133"/>
      <c r="X1441" s="118">
        <v>44102</v>
      </c>
      <c r="Y1441" s="118">
        <v>45196</v>
      </c>
      <c r="Z1441" s="9"/>
      <c r="AA1441" s="9"/>
      <c r="AB1441" s="9"/>
      <c r="AC1441" s="9"/>
      <c r="AD1441" s="9"/>
      <c r="AE1441" s="9"/>
    </row>
    <row r="1442" s="79" customFormat="1" customHeight="1" spans="1:31">
      <c r="A1442" s="129" t="s">
        <v>401</v>
      </c>
      <c r="B1442" s="98" t="s">
        <v>62</v>
      </c>
      <c r="C1442" s="98" t="s">
        <v>217</v>
      </c>
      <c r="D1442" s="98" t="s">
        <v>566</v>
      </c>
      <c r="E1442" s="130" t="s">
        <v>1855</v>
      </c>
      <c r="F1442" s="129" t="s">
        <v>1856</v>
      </c>
      <c r="G1442" s="99" t="s">
        <v>67</v>
      </c>
      <c r="H1442" s="100" t="s">
        <v>1861</v>
      </c>
      <c r="I1442" s="23" t="e">
        <f>VLOOKUP(H1442,'合同综合查询数据（3月返）'!$A:$A,1,FALSE)</f>
        <v>#N/A</v>
      </c>
      <c r="J1442" s="152" t="s">
        <v>69</v>
      </c>
      <c r="K1442" s="109" t="s">
        <v>1867</v>
      </c>
      <c r="L1442" s="109"/>
      <c r="M1442" s="26"/>
      <c r="N1442" s="28">
        <v>44260</v>
      </c>
      <c r="O1442" s="28" t="s">
        <v>71</v>
      </c>
      <c r="P1442" s="131">
        <v>400</v>
      </c>
      <c r="Q1442" s="120">
        <v>55</v>
      </c>
      <c r="R1442" s="120">
        <f t="shared" si="35"/>
        <v>22000</v>
      </c>
      <c r="S1442" s="117">
        <v>202303</v>
      </c>
      <c r="T1442" s="149" t="s">
        <v>1867</v>
      </c>
      <c r="U1442" s="149"/>
      <c r="V1442" s="133"/>
      <c r="W1442" s="133"/>
      <c r="X1442" s="118">
        <v>44102</v>
      </c>
      <c r="Y1442" s="118">
        <v>45196</v>
      </c>
      <c r="Z1442" s="9"/>
      <c r="AA1442" s="9"/>
      <c r="AB1442" s="9"/>
      <c r="AC1442" s="9"/>
      <c r="AD1442" s="9"/>
      <c r="AE1442" s="9"/>
    </row>
    <row r="1443" s="79" customFormat="1" customHeight="1" spans="1:31">
      <c r="A1443" s="129" t="s">
        <v>401</v>
      </c>
      <c r="B1443" s="98" t="s">
        <v>62</v>
      </c>
      <c r="C1443" s="98" t="s">
        <v>217</v>
      </c>
      <c r="D1443" s="98" t="s">
        <v>566</v>
      </c>
      <c r="E1443" s="130" t="s">
        <v>1855</v>
      </c>
      <c r="F1443" s="129" t="s">
        <v>1856</v>
      </c>
      <c r="G1443" s="99" t="s">
        <v>67</v>
      </c>
      <c r="H1443" s="100" t="s">
        <v>1861</v>
      </c>
      <c r="I1443" s="23" t="e">
        <f>VLOOKUP(H1443,'合同综合查询数据（3月返）'!$A:$A,1,FALSE)</f>
        <v>#N/A</v>
      </c>
      <c r="J1443" s="152" t="s">
        <v>69</v>
      </c>
      <c r="K1443" s="109" t="s">
        <v>1868</v>
      </c>
      <c r="L1443" s="109"/>
      <c r="M1443" s="26"/>
      <c r="N1443" s="28">
        <v>44260</v>
      </c>
      <c r="O1443" s="28" t="s">
        <v>71</v>
      </c>
      <c r="P1443" s="131">
        <v>400</v>
      </c>
      <c r="Q1443" s="120">
        <v>42.5</v>
      </c>
      <c r="R1443" s="120">
        <f t="shared" si="35"/>
        <v>17000</v>
      </c>
      <c r="S1443" s="117">
        <v>202303</v>
      </c>
      <c r="T1443" s="149" t="s">
        <v>1868</v>
      </c>
      <c r="U1443" s="149"/>
      <c r="V1443" s="133"/>
      <c r="W1443" s="133"/>
      <c r="X1443" s="118">
        <v>44102</v>
      </c>
      <c r="Y1443" s="118">
        <v>45196</v>
      </c>
      <c r="Z1443" s="9"/>
      <c r="AA1443" s="9"/>
      <c r="AB1443" s="9"/>
      <c r="AC1443" s="9"/>
      <c r="AD1443" s="9"/>
      <c r="AE1443" s="9"/>
    </row>
    <row r="1444" s="79" customFormat="1" customHeight="1" spans="1:31">
      <c r="A1444" s="129" t="s">
        <v>401</v>
      </c>
      <c r="B1444" s="98" t="s">
        <v>62</v>
      </c>
      <c r="C1444" s="98" t="s">
        <v>217</v>
      </c>
      <c r="D1444" s="98" t="s">
        <v>566</v>
      </c>
      <c r="E1444" s="130" t="s">
        <v>1855</v>
      </c>
      <c r="F1444" s="129" t="s">
        <v>1856</v>
      </c>
      <c r="G1444" s="99" t="s">
        <v>67</v>
      </c>
      <c r="H1444" s="100" t="s">
        <v>1861</v>
      </c>
      <c r="I1444" s="23" t="e">
        <f>VLOOKUP(H1444,'合同综合查询数据（3月返）'!$A:$A,1,FALSE)</f>
        <v>#N/A</v>
      </c>
      <c r="J1444" s="152" t="s">
        <v>69</v>
      </c>
      <c r="K1444" s="109" t="s">
        <v>1869</v>
      </c>
      <c r="L1444" s="109"/>
      <c r="M1444" s="26"/>
      <c r="N1444" s="28">
        <v>44282</v>
      </c>
      <c r="O1444" s="28" t="s">
        <v>71</v>
      </c>
      <c r="P1444" s="131">
        <v>400</v>
      </c>
      <c r="Q1444" s="120">
        <v>93</v>
      </c>
      <c r="R1444" s="120">
        <f t="shared" si="35"/>
        <v>37200</v>
      </c>
      <c r="S1444" s="117">
        <v>202303</v>
      </c>
      <c r="T1444" s="149" t="s">
        <v>1869</v>
      </c>
      <c r="U1444" s="149"/>
      <c r="V1444" s="133"/>
      <c r="W1444" s="133"/>
      <c r="X1444" s="118">
        <v>44102</v>
      </c>
      <c r="Y1444" s="118">
        <v>45196</v>
      </c>
      <c r="Z1444" s="9"/>
      <c r="AA1444" s="9"/>
      <c r="AB1444" s="9"/>
      <c r="AC1444" s="9"/>
      <c r="AD1444" s="9"/>
      <c r="AE1444" s="9"/>
    </row>
    <row r="1445" s="79" customFormat="1" customHeight="1" spans="1:31">
      <c r="A1445" s="129" t="s">
        <v>401</v>
      </c>
      <c r="B1445" s="98" t="s">
        <v>62</v>
      </c>
      <c r="C1445" s="98" t="s">
        <v>217</v>
      </c>
      <c r="D1445" s="98" t="s">
        <v>566</v>
      </c>
      <c r="E1445" s="130" t="s">
        <v>1855</v>
      </c>
      <c r="F1445" s="129" t="s">
        <v>1856</v>
      </c>
      <c r="G1445" s="99" t="s">
        <v>67</v>
      </c>
      <c r="H1445" s="100" t="s">
        <v>1861</v>
      </c>
      <c r="I1445" s="23" t="e">
        <f>VLOOKUP(H1445,'合同综合查询数据（3月返）'!$A:$A,1,FALSE)</f>
        <v>#N/A</v>
      </c>
      <c r="J1445" s="152" t="s">
        <v>69</v>
      </c>
      <c r="K1445" s="109" t="s">
        <v>1870</v>
      </c>
      <c r="L1445" s="109"/>
      <c r="M1445" s="26"/>
      <c r="N1445" s="28">
        <v>44282</v>
      </c>
      <c r="O1445" s="28" t="s">
        <v>71</v>
      </c>
      <c r="P1445" s="131">
        <v>400</v>
      </c>
      <c r="Q1445" s="120">
        <v>68</v>
      </c>
      <c r="R1445" s="120">
        <f t="shared" si="35"/>
        <v>27200</v>
      </c>
      <c r="S1445" s="117">
        <v>202303</v>
      </c>
      <c r="T1445" s="149" t="s">
        <v>1870</v>
      </c>
      <c r="U1445" s="149"/>
      <c r="V1445" s="133"/>
      <c r="W1445" s="133"/>
      <c r="X1445" s="118">
        <v>44102</v>
      </c>
      <c r="Y1445" s="118">
        <v>45196</v>
      </c>
      <c r="Z1445" s="9"/>
      <c r="AA1445" s="9"/>
      <c r="AB1445" s="9"/>
      <c r="AC1445" s="9"/>
      <c r="AD1445" s="9"/>
      <c r="AE1445" s="9"/>
    </row>
    <row r="1446" s="81" customFormat="1" customHeight="1" spans="1:31">
      <c r="A1446" s="61" t="s">
        <v>401</v>
      </c>
      <c r="B1446" s="60" t="s">
        <v>62</v>
      </c>
      <c r="C1446" s="61" t="s">
        <v>130</v>
      </c>
      <c r="D1446" s="61" t="s">
        <v>881</v>
      </c>
      <c r="E1446" s="160" t="s">
        <v>1871</v>
      </c>
      <c r="F1446" s="61" t="s">
        <v>1872</v>
      </c>
      <c r="G1446" s="161" t="s">
        <v>88</v>
      </c>
      <c r="H1446" s="45" t="s">
        <v>1873</v>
      </c>
      <c r="I1446" s="47" t="e">
        <f>VLOOKUP(H1446,'合同综合查询数据（3月返）'!$A:$A,1,FALSE)</f>
        <v>#N/A</v>
      </c>
      <c r="J1446" s="135" t="s">
        <v>90</v>
      </c>
      <c r="K1446" s="135" t="s">
        <v>1874</v>
      </c>
      <c r="L1446" s="164"/>
      <c r="M1446" s="50" t="s">
        <v>1406</v>
      </c>
      <c r="N1446" s="165">
        <v>43123</v>
      </c>
      <c r="O1446" s="172" t="s">
        <v>457</v>
      </c>
      <c r="P1446" s="196">
        <v>4866.67</v>
      </c>
      <c r="Q1446" s="196">
        <v>87</v>
      </c>
      <c r="R1446" s="68">
        <f>P1446*Q1446</f>
        <v>423400.29</v>
      </c>
      <c r="S1446" s="70">
        <v>202303</v>
      </c>
      <c r="T1446" s="170" t="s">
        <v>1875</v>
      </c>
      <c r="U1446" s="170"/>
      <c r="V1446" s="146"/>
      <c r="W1446" s="146"/>
      <c r="X1446" s="73"/>
      <c r="Y1446" s="73"/>
      <c r="Z1446" s="10"/>
      <c r="AA1446" s="10"/>
      <c r="AB1446" s="10"/>
      <c r="AC1446" s="10"/>
      <c r="AD1446" s="10"/>
      <c r="AE1446" s="10"/>
    </row>
    <row r="1447" s="81" customFormat="1" customHeight="1" spans="1:31">
      <c r="A1447" s="61" t="s">
        <v>401</v>
      </c>
      <c r="B1447" s="60" t="s">
        <v>62</v>
      </c>
      <c r="C1447" s="61" t="s">
        <v>130</v>
      </c>
      <c r="D1447" s="61" t="s">
        <v>881</v>
      </c>
      <c r="E1447" s="160" t="s">
        <v>1871</v>
      </c>
      <c r="F1447" s="61" t="s">
        <v>1872</v>
      </c>
      <c r="G1447" s="161" t="s">
        <v>88</v>
      </c>
      <c r="H1447" s="45" t="s">
        <v>1873</v>
      </c>
      <c r="I1447" s="47" t="e">
        <f>VLOOKUP(H1447,'合同综合查询数据（3月返）'!$A:$A,1,FALSE)</f>
        <v>#N/A</v>
      </c>
      <c r="J1447" s="135" t="s">
        <v>90</v>
      </c>
      <c r="K1447" s="135" t="s">
        <v>1874</v>
      </c>
      <c r="L1447" s="164"/>
      <c r="M1447" s="50" t="s">
        <v>1406</v>
      </c>
      <c r="N1447" s="165">
        <v>43131</v>
      </c>
      <c r="O1447" s="172" t="s">
        <v>1320</v>
      </c>
      <c r="P1447" s="196">
        <v>14870.52</v>
      </c>
      <c r="Q1447" s="196">
        <v>6</v>
      </c>
      <c r="R1447" s="68">
        <f t="shared" ref="R1447:R1510" si="36">ROUND(P1447*Q1447,2)</f>
        <v>89223.12</v>
      </c>
      <c r="S1447" s="70">
        <v>202303</v>
      </c>
      <c r="T1447" s="170" t="s">
        <v>1876</v>
      </c>
      <c r="U1447" s="170"/>
      <c r="V1447" s="146"/>
      <c r="W1447" s="146"/>
      <c r="X1447" s="73"/>
      <c r="Y1447" s="73"/>
      <c r="Z1447" s="10"/>
      <c r="AA1447" s="10"/>
      <c r="AB1447" s="10"/>
      <c r="AC1447" s="10"/>
      <c r="AD1447" s="10"/>
      <c r="AE1447" s="10"/>
    </row>
    <row r="1448" s="81" customFormat="1" customHeight="1" spans="1:31">
      <c r="A1448" s="61" t="s">
        <v>401</v>
      </c>
      <c r="B1448" s="60" t="s">
        <v>62</v>
      </c>
      <c r="C1448" s="61" t="s">
        <v>130</v>
      </c>
      <c r="D1448" s="61" t="s">
        <v>881</v>
      </c>
      <c r="E1448" s="160" t="s">
        <v>1871</v>
      </c>
      <c r="F1448" s="61" t="s">
        <v>1872</v>
      </c>
      <c r="G1448" s="161" t="s">
        <v>88</v>
      </c>
      <c r="H1448" s="45" t="s">
        <v>1873</v>
      </c>
      <c r="I1448" s="47" t="e">
        <f>VLOOKUP(H1448,'合同综合查询数据（3月返）'!$A:$A,1,FALSE)</f>
        <v>#N/A</v>
      </c>
      <c r="J1448" s="135" t="s">
        <v>90</v>
      </c>
      <c r="K1448" s="135" t="s">
        <v>1874</v>
      </c>
      <c r="L1448" s="164"/>
      <c r="M1448" s="50" t="s">
        <v>1406</v>
      </c>
      <c r="N1448" s="165">
        <v>43132</v>
      </c>
      <c r="O1448" s="172" t="s">
        <v>506</v>
      </c>
      <c r="P1448" s="196">
        <v>6488.59</v>
      </c>
      <c r="Q1448" s="196">
        <v>2</v>
      </c>
      <c r="R1448" s="68">
        <f t="shared" si="36"/>
        <v>12977.18</v>
      </c>
      <c r="S1448" s="70">
        <v>202303</v>
      </c>
      <c r="T1448" s="170" t="s">
        <v>1877</v>
      </c>
      <c r="U1448" s="170"/>
      <c r="V1448" s="146"/>
      <c r="W1448" s="146"/>
      <c r="X1448" s="73"/>
      <c r="Y1448" s="73"/>
      <c r="Z1448" s="10"/>
      <c r="AA1448" s="10"/>
      <c r="AB1448" s="10"/>
      <c r="AC1448" s="10"/>
      <c r="AD1448" s="10"/>
      <c r="AE1448" s="10"/>
    </row>
    <row r="1449" s="81" customFormat="1" customHeight="1" spans="1:31">
      <c r="A1449" s="61" t="s">
        <v>401</v>
      </c>
      <c r="B1449" s="60" t="s">
        <v>62</v>
      </c>
      <c r="C1449" s="61" t="s">
        <v>130</v>
      </c>
      <c r="D1449" s="61" t="s">
        <v>881</v>
      </c>
      <c r="E1449" s="160" t="s">
        <v>1871</v>
      </c>
      <c r="F1449" s="61" t="s">
        <v>1872</v>
      </c>
      <c r="G1449" s="161" t="s">
        <v>88</v>
      </c>
      <c r="H1449" s="45" t="s">
        <v>1873</v>
      </c>
      <c r="I1449" s="47" t="e">
        <f>VLOOKUP(H1449,'合同综合查询数据（3月返）'!$A:$A,1,FALSE)</f>
        <v>#N/A</v>
      </c>
      <c r="J1449" s="135" t="s">
        <v>90</v>
      </c>
      <c r="K1449" s="135" t="s">
        <v>1874</v>
      </c>
      <c r="L1449" s="164"/>
      <c r="M1449" s="50" t="s">
        <v>1406</v>
      </c>
      <c r="N1449" s="165">
        <v>43131</v>
      </c>
      <c r="O1449" s="172" t="s">
        <v>509</v>
      </c>
      <c r="P1449" s="196">
        <v>8651.46</v>
      </c>
      <c r="Q1449" s="196">
        <v>1</v>
      </c>
      <c r="R1449" s="68">
        <f t="shared" si="36"/>
        <v>8651.46</v>
      </c>
      <c r="S1449" s="70">
        <v>202303</v>
      </c>
      <c r="T1449" s="170" t="s">
        <v>1878</v>
      </c>
      <c r="U1449" s="170"/>
      <c r="V1449" s="146"/>
      <c r="W1449" s="146"/>
      <c r="X1449" s="73"/>
      <c r="Y1449" s="73"/>
      <c r="Z1449" s="10"/>
      <c r="AA1449" s="10"/>
      <c r="AB1449" s="10"/>
      <c r="AC1449" s="10"/>
      <c r="AD1449" s="10"/>
      <c r="AE1449" s="10"/>
    </row>
    <row r="1450" s="81" customFormat="1" customHeight="1" spans="1:31">
      <c r="A1450" s="61" t="s">
        <v>401</v>
      </c>
      <c r="B1450" s="60" t="s">
        <v>62</v>
      </c>
      <c r="C1450" s="61" t="s">
        <v>130</v>
      </c>
      <c r="D1450" s="61" t="s">
        <v>881</v>
      </c>
      <c r="E1450" s="160" t="s">
        <v>1871</v>
      </c>
      <c r="F1450" s="61" t="s">
        <v>1872</v>
      </c>
      <c r="G1450" s="161" t="s">
        <v>88</v>
      </c>
      <c r="H1450" s="45" t="s">
        <v>1873</v>
      </c>
      <c r="I1450" s="47" t="e">
        <f>VLOOKUP(H1450,'合同综合查询数据（3月返）'!$A:$A,1,FALSE)</f>
        <v>#N/A</v>
      </c>
      <c r="J1450" s="135" t="s">
        <v>90</v>
      </c>
      <c r="K1450" s="135" t="s">
        <v>1874</v>
      </c>
      <c r="L1450" s="164"/>
      <c r="M1450" s="50" t="s">
        <v>1406</v>
      </c>
      <c r="N1450" s="165">
        <v>43160</v>
      </c>
      <c r="O1450" s="172" t="s">
        <v>457</v>
      </c>
      <c r="P1450" s="196">
        <v>4866.67</v>
      </c>
      <c r="Q1450" s="196">
        <v>2</v>
      </c>
      <c r="R1450" s="68">
        <f t="shared" si="36"/>
        <v>9733.34</v>
      </c>
      <c r="S1450" s="70">
        <v>202303</v>
      </c>
      <c r="T1450" s="170" t="s">
        <v>1879</v>
      </c>
      <c r="U1450" s="170"/>
      <c r="V1450" s="146"/>
      <c r="W1450" s="146"/>
      <c r="X1450" s="73"/>
      <c r="Y1450" s="73"/>
      <c r="Z1450" s="10"/>
      <c r="AA1450" s="10"/>
      <c r="AB1450" s="10"/>
      <c r="AC1450" s="10"/>
      <c r="AD1450" s="10"/>
      <c r="AE1450" s="10"/>
    </row>
    <row r="1451" s="81" customFormat="1" customHeight="1" spans="1:31">
      <c r="A1451" s="61" t="s">
        <v>401</v>
      </c>
      <c r="B1451" s="60" t="s">
        <v>62</v>
      </c>
      <c r="C1451" s="61" t="s">
        <v>130</v>
      </c>
      <c r="D1451" s="61" t="s">
        <v>881</v>
      </c>
      <c r="E1451" s="160" t="s">
        <v>1871</v>
      </c>
      <c r="F1451" s="61" t="s">
        <v>1872</v>
      </c>
      <c r="G1451" s="161" t="s">
        <v>88</v>
      </c>
      <c r="H1451" s="45" t="s">
        <v>1873</v>
      </c>
      <c r="I1451" s="47" t="e">
        <f>VLOOKUP(H1451,'合同综合查询数据（3月返）'!$A:$A,1,FALSE)</f>
        <v>#N/A</v>
      </c>
      <c r="J1451" s="135" t="s">
        <v>90</v>
      </c>
      <c r="K1451" s="135" t="s">
        <v>1874</v>
      </c>
      <c r="L1451" s="164"/>
      <c r="M1451" s="50" t="s">
        <v>1406</v>
      </c>
      <c r="N1451" s="165">
        <v>43231</v>
      </c>
      <c r="O1451" s="172" t="s">
        <v>457</v>
      </c>
      <c r="P1451" s="196">
        <v>4866.67</v>
      </c>
      <c r="Q1451" s="196">
        <v>2</v>
      </c>
      <c r="R1451" s="68">
        <f t="shared" si="36"/>
        <v>9733.34</v>
      </c>
      <c r="S1451" s="70">
        <v>202303</v>
      </c>
      <c r="T1451" s="170" t="s">
        <v>1880</v>
      </c>
      <c r="U1451" s="170"/>
      <c r="V1451" s="146"/>
      <c r="W1451" s="146"/>
      <c r="X1451" s="73"/>
      <c r="Y1451" s="73"/>
      <c r="Z1451" s="10"/>
      <c r="AA1451" s="10"/>
      <c r="AB1451" s="10"/>
      <c r="AC1451" s="10"/>
      <c r="AD1451" s="10"/>
      <c r="AE1451" s="10"/>
    </row>
    <row r="1452" s="81" customFormat="1" customHeight="1" spans="1:31">
      <c r="A1452" s="61" t="s">
        <v>401</v>
      </c>
      <c r="B1452" s="60" t="s">
        <v>62</v>
      </c>
      <c r="C1452" s="61" t="s">
        <v>130</v>
      </c>
      <c r="D1452" s="61" t="s">
        <v>881</v>
      </c>
      <c r="E1452" s="160" t="s">
        <v>1871</v>
      </c>
      <c r="F1452" s="61" t="s">
        <v>1872</v>
      </c>
      <c r="G1452" s="161" t="s">
        <v>88</v>
      </c>
      <c r="H1452" s="45" t="s">
        <v>1873</v>
      </c>
      <c r="I1452" s="47" t="e">
        <f>VLOOKUP(H1452,'合同综合查询数据（3月返）'!$A:$A,1,FALSE)</f>
        <v>#N/A</v>
      </c>
      <c r="J1452" s="135" t="s">
        <v>90</v>
      </c>
      <c r="K1452" s="135" t="s">
        <v>1874</v>
      </c>
      <c r="L1452" s="164"/>
      <c r="M1452" s="50" t="s">
        <v>1406</v>
      </c>
      <c r="N1452" s="165">
        <v>43251</v>
      </c>
      <c r="O1452" s="172" t="s">
        <v>457</v>
      </c>
      <c r="P1452" s="196">
        <v>4866.67</v>
      </c>
      <c r="Q1452" s="196">
        <v>2</v>
      </c>
      <c r="R1452" s="68">
        <f t="shared" si="36"/>
        <v>9733.34</v>
      </c>
      <c r="S1452" s="70">
        <v>202303</v>
      </c>
      <c r="T1452" s="170" t="s">
        <v>1881</v>
      </c>
      <c r="U1452" s="170"/>
      <c r="V1452" s="146"/>
      <c r="W1452" s="146"/>
      <c r="X1452" s="73"/>
      <c r="Y1452" s="73"/>
      <c r="Z1452" s="10"/>
      <c r="AA1452" s="10"/>
      <c r="AB1452" s="10"/>
      <c r="AC1452" s="10"/>
      <c r="AD1452" s="10"/>
      <c r="AE1452" s="10"/>
    </row>
    <row r="1453" s="81" customFormat="1" customHeight="1" spans="1:31">
      <c r="A1453" s="61" t="s">
        <v>401</v>
      </c>
      <c r="B1453" s="60" t="s">
        <v>62</v>
      </c>
      <c r="C1453" s="61" t="s">
        <v>130</v>
      </c>
      <c r="D1453" s="61" t="s">
        <v>881</v>
      </c>
      <c r="E1453" s="160" t="s">
        <v>1871</v>
      </c>
      <c r="F1453" s="61" t="s">
        <v>1872</v>
      </c>
      <c r="G1453" s="161" t="s">
        <v>88</v>
      </c>
      <c r="H1453" s="45" t="s">
        <v>1873</v>
      </c>
      <c r="I1453" s="47" t="e">
        <f>VLOOKUP(H1453,'合同综合查询数据（3月返）'!$A:$A,1,FALSE)</f>
        <v>#N/A</v>
      </c>
      <c r="J1453" s="135" t="s">
        <v>90</v>
      </c>
      <c r="K1453" s="135" t="s">
        <v>1874</v>
      </c>
      <c r="L1453" s="164"/>
      <c r="M1453" s="50" t="s">
        <v>1406</v>
      </c>
      <c r="N1453" s="165">
        <v>43252</v>
      </c>
      <c r="O1453" s="172" t="s">
        <v>457</v>
      </c>
      <c r="P1453" s="196">
        <v>4866.67</v>
      </c>
      <c r="Q1453" s="196">
        <v>1</v>
      </c>
      <c r="R1453" s="68">
        <f t="shared" si="36"/>
        <v>4866.67</v>
      </c>
      <c r="S1453" s="70">
        <v>202303</v>
      </c>
      <c r="T1453" s="170" t="s">
        <v>1882</v>
      </c>
      <c r="U1453" s="170"/>
      <c r="V1453" s="146"/>
      <c r="W1453" s="146"/>
      <c r="X1453" s="73"/>
      <c r="Y1453" s="73"/>
      <c r="Z1453" s="10"/>
      <c r="AA1453" s="10"/>
      <c r="AB1453" s="10"/>
      <c r="AC1453" s="10"/>
      <c r="AD1453" s="10"/>
      <c r="AE1453" s="10"/>
    </row>
    <row r="1454" s="81" customFormat="1" customHeight="1" spans="1:31">
      <c r="A1454" s="61" t="s">
        <v>401</v>
      </c>
      <c r="B1454" s="60" t="s">
        <v>62</v>
      </c>
      <c r="C1454" s="61" t="s">
        <v>130</v>
      </c>
      <c r="D1454" s="61" t="s">
        <v>881</v>
      </c>
      <c r="E1454" s="160" t="s">
        <v>1871</v>
      </c>
      <c r="F1454" s="61" t="s">
        <v>1872</v>
      </c>
      <c r="G1454" s="161" t="s">
        <v>88</v>
      </c>
      <c r="H1454" s="45" t="s">
        <v>1873</v>
      </c>
      <c r="I1454" s="47" t="e">
        <f>VLOOKUP(H1454,'合同综合查询数据（3月返）'!$A:$A,1,FALSE)</f>
        <v>#N/A</v>
      </c>
      <c r="J1454" s="135" t="s">
        <v>90</v>
      </c>
      <c r="K1454" s="135" t="s">
        <v>1874</v>
      </c>
      <c r="L1454" s="164"/>
      <c r="M1454" s="50" t="s">
        <v>1406</v>
      </c>
      <c r="N1454" s="165">
        <v>43273</v>
      </c>
      <c r="O1454" s="172" t="s">
        <v>457</v>
      </c>
      <c r="P1454" s="196">
        <v>4866.67</v>
      </c>
      <c r="Q1454" s="196">
        <v>19</v>
      </c>
      <c r="R1454" s="68">
        <f t="shared" si="36"/>
        <v>92466.73</v>
      </c>
      <c r="S1454" s="70">
        <v>202303</v>
      </c>
      <c r="T1454" s="170" t="s">
        <v>1883</v>
      </c>
      <c r="U1454" s="170"/>
      <c r="V1454" s="146"/>
      <c r="W1454" s="146"/>
      <c r="X1454" s="73"/>
      <c r="Y1454" s="73"/>
      <c r="Z1454" s="10"/>
      <c r="AA1454" s="10"/>
      <c r="AB1454" s="10"/>
      <c r="AC1454" s="10"/>
      <c r="AD1454" s="10"/>
      <c r="AE1454" s="10"/>
    </row>
    <row r="1455" s="81" customFormat="1" customHeight="1" spans="1:31">
      <c r="A1455" s="61" t="s">
        <v>401</v>
      </c>
      <c r="B1455" s="60" t="s">
        <v>62</v>
      </c>
      <c r="C1455" s="61" t="s">
        <v>130</v>
      </c>
      <c r="D1455" s="61" t="s">
        <v>881</v>
      </c>
      <c r="E1455" s="160" t="s">
        <v>1871</v>
      </c>
      <c r="F1455" s="61" t="s">
        <v>1872</v>
      </c>
      <c r="G1455" s="161" t="s">
        <v>88</v>
      </c>
      <c r="H1455" s="45" t="s">
        <v>1873</v>
      </c>
      <c r="I1455" s="47" t="e">
        <f>VLOOKUP(H1455,'合同综合查询数据（3月返）'!$A:$A,1,FALSE)</f>
        <v>#N/A</v>
      </c>
      <c r="J1455" s="135" t="s">
        <v>90</v>
      </c>
      <c r="K1455" s="135" t="s">
        <v>1874</v>
      </c>
      <c r="L1455" s="164"/>
      <c r="M1455" s="50" t="s">
        <v>1406</v>
      </c>
      <c r="N1455" s="165">
        <v>43276</v>
      </c>
      <c r="O1455" s="172" t="s">
        <v>457</v>
      </c>
      <c r="P1455" s="196">
        <v>4866.67</v>
      </c>
      <c r="Q1455" s="196">
        <v>1</v>
      </c>
      <c r="R1455" s="68">
        <f t="shared" si="36"/>
        <v>4866.67</v>
      </c>
      <c r="S1455" s="70">
        <v>202303</v>
      </c>
      <c r="T1455" s="170" t="s">
        <v>1884</v>
      </c>
      <c r="U1455" s="170"/>
      <c r="V1455" s="146"/>
      <c r="W1455" s="146"/>
      <c r="X1455" s="73"/>
      <c r="Y1455" s="73"/>
      <c r="Z1455" s="10"/>
      <c r="AA1455" s="10"/>
      <c r="AB1455" s="10"/>
      <c r="AC1455" s="10"/>
      <c r="AD1455" s="10"/>
      <c r="AE1455" s="10"/>
    </row>
    <row r="1456" s="81" customFormat="1" customHeight="1" spans="1:31">
      <c r="A1456" s="61" t="s">
        <v>401</v>
      </c>
      <c r="B1456" s="60" t="s">
        <v>62</v>
      </c>
      <c r="C1456" s="61" t="s">
        <v>130</v>
      </c>
      <c r="D1456" s="61" t="s">
        <v>881</v>
      </c>
      <c r="E1456" s="160" t="s">
        <v>1871</v>
      </c>
      <c r="F1456" s="61" t="s">
        <v>1872</v>
      </c>
      <c r="G1456" s="161" t="s">
        <v>88</v>
      </c>
      <c r="H1456" s="45" t="s">
        <v>1873</v>
      </c>
      <c r="I1456" s="47" t="e">
        <f>VLOOKUP(H1456,'合同综合查询数据（3月返）'!$A:$A,1,FALSE)</f>
        <v>#N/A</v>
      </c>
      <c r="J1456" s="135" t="s">
        <v>90</v>
      </c>
      <c r="K1456" s="135" t="s">
        <v>1874</v>
      </c>
      <c r="L1456" s="164"/>
      <c r="M1456" s="50" t="s">
        <v>1406</v>
      </c>
      <c r="N1456" s="165">
        <v>43278</v>
      </c>
      <c r="O1456" s="172" t="s">
        <v>457</v>
      </c>
      <c r="P1456" s="196">
        <v>4866.67</v>
      </c>
      <c r="Q1456" s="196">
        <v>1</v>
      </c>
      <c r="R1456" s="68">
        <f t="shared" si="36"/>
        <v>4866.67</v>
      </c>
      <c r="S1456" s="70">
        <v>202303</v>
      </c>
      <c r="T1456" s="170" t="s">
        <v>1885</v>
      </c>
      <c r="U1456" s="170"/>
      <c r="V1456" s="146"/>
      <c r="W1456" s="146"/>
      <c r="X1456" s="73"/>
      <c r="Y1456" s="73"/>
      <c r="Z1456" s="10"/>
      <c r="AA1456" s="10"/>
      <c r="AB1456" s="10"/>
      <c r="AC1456" s="10"/>
      <c r="AD1456" s="10"/>
      <c r="AE1456" s="10"/>
    </row>
    <row r="1457" s="81" customFormat="1" customHeight="1" spans="1:31">
      <c r="A1457" s="61" t="s">
        <v>401</v>
      </c>
      <c r="B1457" s="60" t="s">
        <v>62</v>
      </c>
      <c r="C1457" s="61" t="s">
        <v>130</v>
      </c>
      <c r="D1457" s="61" t="s">
        <v>881</v>
      </c>
      <c r="E1457" s="160" t="s">
        <v>1871</v>
      </c>
      <c r="F1457" s="61" t="s">
        <v>1872</v>
      </c>
      <c r="G1457" s="161" t="s">
        <v>88</v>
      </c>
      <c r="H1457" s="45" t="s">
        <v>1873</v>
      </c>
      <c r="I1457" s="47" t="e">
        <f>VLOOKUP(H1457,'合同综合查询数据（3月返）'!$A:$A,1,FALSE)</f>
        <v>#N/A</v>
      </c>
      <c r="J1457" s="135" t="s">
        <v>90</v>
      </c>
      <c r="K1457" s="135" t="s">
        <v>1874</v>
      </c>
      <c r="L1457" s="164"/>
      <c r="M1457" s="50" t="s">
        <v>1406</v>
      </c>
      <c r="N1457" s="165">
        <v>43301</v>
      </c>
      <c r="O1457" s="172" t="s">
        <v>457</v>
      </c>
      <c r="P1457" s="196">
        <v>4866.67</v>
      </c>
      <c r="Q1457" s="196">
        <v>9</v>
      </c>
      <c r="R1457" s="68">
        <f t="shared" si="36"/>
        <v>43800.03</v>
      </c>
      <c r="S1457" s="70">
        <v>202303</v>
      </c>
      <c r="T1457" s="170" t="s">
        <v>1886</v>
      </c>
      <c r="U1457" s="170"/>
      <c r="V1457" s="146"/>
      <c r="W1457" s="146"/>
      <c r="X1457" s="73"/>
      <c r="Y1457" s="73"/>
      <c r="Z1457" s="10"/>
      <c r="AA1457" s="10"/>
      <c r="AB1457" s="10"/>
      <c r="AC1457" s="10"/>
      <c r="AD1457" s="10"/>
      <c r="AE1457" s="10"/>
    </row>
    <row r="1458" s="81" customFormat="1" customHeight="1" spans="1:31">
      <c r="A1458" s="61" t="s">
        <v>401</v>
      </c>
      <c r="B1458" s="60" t="s">
        <v>62</v>
      </c>
      <c r="C1458" s="61" t="s">
        <v>130</v>
      </c>
      <c r="D1458" s="61" t="s">
        <v>881</v>
      </c>
      <c r="E1458" s="160" t="s">
        <v>1871</v>
      </c>
      <c r="F1458" s="61" t="s">
        <v>1872</v>
      </c>
      <c r="G1458" s="161" t="s">
        <v>88</v>
      </c>
      <c r="H1458" s="45" t="s">
        <v>1873</v>
      </c>
      <c r="I1458" s="47" t="e">
        <f>VLOOKUP(H1458,'合同综合查询数据（3月返）'!$A:$A,1,FALSE)</f>
        <v>#N/A</v>
      </c>
      <c r="J1458" s="135" t="s">
        <v>90</v>
      </c>
      <c r="K1458" s="135" t="s">
        <v>1874</v>
      </c>
      <c r="L1458" s="164"/>
      <c r="M1458" s="50" t="s">
        <v>1406</v>
      </c>
      <c r="N1458" s="165">
        <v>43306</v>
      </c>
      <c r="O1458" s="172" t="s">
        <v>457</v>
      </c>
      <c r="P1458" s="196">
        <v>4866.67</v>
      </c>
      <c r="Q1458" s="196">
        <v>4</v>
      </c>
      <c r="R1458" s="68">
        <f t="shared" si="36"/>
        <v>19466.68</v>
      </c>
      <c r="S1458" s="70">
        <v>202303</v>
      </c>
      <c r="T1458" s="170" t="s">
        <v>1887</v>
      </c>
      <c r="U1458" s="170"/>
      <c r="V1458" s="146"/>
      <c r="W1458" s="146"/>
      <c r="X1458" s="73"/>
      <c r="Y1458" s="73"/>
      <c r="Z1458" s="10"/>
      <c r="AA1458" s="10"/>
      <c r="AB1458" s="10"/>
      <c r="AC1458" s="10"/>
      <c r="AD1458" s="10"/>
      <c r="AE1458" s="10"/>
    </row>
    <row r="1459" s="81" customFormat="1" customHeight="1" spans="1:31">
      <c r="A1459" s="61" t="s">
        <v>401</v>
      </c>
      <c r="B1459" s="60" t="s">
        <v>62</v>
      </c>
      <c r="C1459" s="61" t="s">
        <v>130</v>
      </c>
      <c r="D1459" s="61" t="s">
        <v>881</v>
      </c>
      <c r="E1459" s="160" t="s">
        <v>1871</v>
      </c>
      <c r="F1459" s="61" t="s">
        <v>1872</v>
      </c>
      <c r="G1459" s="161" t="s">
        <v>88</v>
      </c>
      <c r="H1459" s="45" t="s">
        <v>1873</v>
      </c>
      <c r="I1459" s="47" t="e">
        <f>VLOOKUP(H1459,'合同综合查询数据（3月返）'!$A:$A,1,FALSE)</f>
        <v>#N/A</v>
      </c>
      <c r="J1459" s="135" t="s">
        <v>90</v>
      </c>
      <c r="K1459" s="135" t="s">
        <v>1874</v>
      </c>
      <c r="L1459" s="164"/>
      <c r="M1459" s="50" t="s">
        <v>1406</v>
      </c>
      <c r="N1459" s="165">
        <v>43335</v>
      </c>
      <c r="O1459" s="172" t="s">
        <v>457</v>
      </c>
      <c r="P1459" s="196">
        <v>4866.67</v>
      </c>
      <c r="Q1459" s="196">
        <v>13</v>
      </c>
      <c r="R1459" s="68">
        <f t="shared" si="36"/>
        <v>63266.71</v>
      </c>
      <c r="S1459" s="70">
        <v>202303</v>
      </c>
      <c r="T1459" s="170" t="s">
        <v>1888</v>
      </c>
      <c r="U1459" s="170"/>
      <c r="V1459" s="146"/>
      <c r="W1459" s="146"/>
      <c r="X1459" s="73"/>
      <c r="Y1459" s="73"/>
      <c r="Z1459" s="10"/>
      <c r="AA1459" s="10"/>
      <c r="AB1459" s="10"/>
      <c r="AC1459" s="10"/>
      <c r="AD1459" s="10"/>
      <c r="AE1459" s="10"/>
    </row>
    <row r="1460" s="81" customFormat="1" customHeight="1" spans="1:31">
      <c r="A1460" s="61" t="s">
        <v>401</v>
      </c>
      <c r="B1460" s="60" t="s">
        <v>62</v>
      </c>
      <c r="C1460" s="61" t="s">
        <v>130</v>
      </c>
      <c r="D1460" s="61" t="s">
        <v>881</v>
      </c>
      <c r="E1460" s="160" t="s">
        <v>1871</v>
      </c>
      <c r="F1460" s="61" t="s">
        <v>1872</v>
      </c>
      <c r="G1460" s="161" t="s">
        <v>88</v>
      </c>
      <c r="H1460" s="45" t="s">
        <v>1873</v>
      </c>
      <c r="I1460" s="47" t="e">
        <f>VLOOKUP(H1460,'合同综合查询数据（3月返）'!$A:$A,1,FALSE)</f>
        <v>#N/A</v>
      </c>
      <c r="J1460" s="135" t="s">
        <v>90</v>
      </c>
      <c r="K1460" s="135" t="s">
        <v>1874</v>
      </c>
      <c r="L1460" s="164"/>
      <c r="M1460" s="50" t="s">
        <v>1406</v>
      </c>
      <c r="N1460" s="165">
        <v>43336</v>
      </c>
      <c r="O1460" s="172" t="s">
        <v>457</v>
      </c>
      <c r="P1460" s="196">
        <v>4866.67</v>
      </c>
      <c r="Q1460" s="196">
        <v>1</v>
      </c>
      <c r="R1460" s="68">
        <f t="shared" si="36"/>
        <v>4866.67</v>
      </c>
      <c r="S1460" s="70">
        <v>202303</v>
      </c>
      <c r="T1460" s="170" t="s">
        <v>1889</v>
      </c>
      <c r="U1460" s="170"/>
      <c r="V1460" s="146"/>
      <c r="W1460" s="146"/>
      <c r="X1460" s="73"/>
      <c r="Y1460" s="73"/>
      <c r="Z1460" s="10"/>
      <c r="AA1460" s="10"/>
      <c r="AB1460" s="10"/>
      <c r="AC1460" s="10"/>
      <c r="AD1460" s="10"/>
      <c r="AE1460" s="10"/>
    </row>
    <row r="1461" s="81" customFormat="1" customHeight="1" spans="1:31">
      <c r="A1461" s="61" t="s">
        <v>401</v>
      </c>
      <c r="B1461" s="60" t="s">
        <v>62</v>
      </c>
      <c r="C1461" s="61" t="s">
        <v>130</v>
      </c>
      <c r="D1461" s="61" t="s">
        <v>881</v>
      </c>
      <c r="E1461" s="160" t="s">
        <v>1871</v>
      </c>
      <c r="F1461" s="61" t="s">
        <v>1872</v>
      </c>
      <c r="G1461" s="161" t="s">
        <v>88</v>
      </c>
      <c r="H1461" s="45" t="s">
        <v>1873</v>
      </c>
      <c r="I1461" s="47" t="e">
        <f>VLOOKUP(H1461,'合同综合查询数据（3月返）'!$A:$A,1,FALSE)</f>
        <v>#N/A</v>
      </c>
      <c r="J1461" s="135" t="s">
        <v>90</v>
      </c>
      <c r="K1461" s="135" t="s">
        <v>1874</v>
      </c>
      <c r="L1461" s="164"/>
      <c r="M1461" s="50" t="s">
        <v>1406</v>
      </c>
      <c r="N1461" s="165">
        <v>43339</v>
      </c>
      <c r="O1461" s="172" t="s">
        <v>457</v>
      </c>
      <c r="P1461" s="196">
        <v>4866.67</v>
      </c>
      <c r="Q1461" s="196">
        <v>7</v>
      </c>
      <c r="R1461" s="68">
        <f t="shared" si="36"/>
        <v>34066.69</v>
      </c>
      <c r="S1461" s="70">
        <v>202303</v>
      </c>
      <c r="T1461" s="170" t="s">
        <v>1890</v>
      </c>
      <c r="U1461" s="170"/>
      <c r="V1461" s="146"/>
      <c r="W1461" s="146"/>
      <c r="X1461" s="73"/>
      <c r="Y1461" s="73"/>
      <c r="Z1461" s="10"/>
      <c r="AA1461" s="10"/>
      <c r="AB1461" s="10"/>
      <c r="AC1461" s="10"/>
      <c r="AD1461" s="10"/>
      <c r="AE1461" s="10"/>
    </row>
    <row r="1462" s="81" customFormat="1" customHeight="1" spans="1:31">
      <c r="A1462" s="61" t="s">
        <v>401</v>
      </c>
      <c r="B1462" s="60" t="s">
        <v>62</v>
      </c>
      <c r="C1462" s="61" t="s">
        <v>130</v>
      </c>
      <c r="D1462" s="61" t="s">
        <v>881</v>
      </c>
      <c r="E1462" s="160" t="s">
        <v>1871</v>
      </c>
      <c r="F1462" s="61" t="s">
        <v>1872</v>
      </c>
      <c r="G1462" s="161" t="s">
        <v>88</v>
      </c>
      <c r="H1462" s="45" t="s">
        <v>1873</v>
      </c>
      <c r="I1462" s="47" t="e">
        <f>VLOOKUP(H1462,'合同综合查询数据（3月返）'!$A:$A,1,FALSE)</f>
        <v>#N/A</v>
      </c>
      <c r="J1462" s="135" t="s">
        <v>90</v>
      </c>
      <c r="K1462" s="135" t="s">
        <v>1874</v>
      </c>
      <c r="L1462" s="164"/>
      <c r="M1462" s="50" t="s">
        <v>1406</v>
      </c>
      <c r="N1462" s="165">
        <v>43346</v>
      </c>
      <c r="O1462" s="172" t="s">
        <v>457</v>
      </c>
      <c r="P1462" s="196">
        <v>4866.67</v>
      </c>
      <c r="Q1462" s="196">
        <v>10</v>
      </c>
      <c r="R1462" s="68">
        <f t="shared" si="36"/>
        <v>48666.7</v>
      </c>
      <c r="S1462" s="70">
        <v>202303</v>
      </c>
      <c r="T1462" s="170" t="s">
        <v>1891</v>
      </c>
      <c r="U1462" s="170"/>
      <c r="V1462" s="146"/>
      <c r="W1462" s="146"/>
      <c r="X1462" s="73"/>
      <c r="Y1462" s="73"/>
      <c r="Z1462" s="10"/>
      <c r="AA1462" s="10"/>
      <c r="AB1462" s="10"/>
      <c r="AC1462" s="10"/>
      <c r="AD1462" s="10"/>
      <c r="AE1462" s="10"/>
    </row>
    <row r="1463" s="81" customFormat="1" customHeight="1" spans="1:31">
      <c r="A1463" s="61" t="s">
        <v>401</v>
      </c>
      <c r="B1463" s="60" t="s">
        <v>62</v>
      </c>
      <c r="C1463" s="61" t="s">
        <v>130</v>
      </c>
      <c r="D1463" s="61" t="s">
        <v>881</v>
      </c>
      <c r="E1463" s="160" t="s">
        <v>1871</v>
      </c>
      <c r="F1463" s="61" t="s">
        <v>1872</v>
      </c>
      <c r="G1463" s="161" t="s">
        <v>88</v>
      </c>
      <c r="H1463" s="45" t="s">
        <v>1873</v>
      </c>
      <c r="I1463" s="47" t="e">
        <f>VLOOKUP(H1463,'合同综合查询数据（3月返）'!$A:$A,1,FALSE)</f>
        <v>#N/A</v>
      </c>
      <c r="J1463" s="135" t="s">
        <v>90</v>
      </c>
      <c r="K1463" s="135" t="s">
        <v>1874</v>
      </c>
      <c r="L1463" s="164"/>
      <c r="M1463" s="50" t="s">
        <v>1406</v>
      </c>
      <c r="N1463" s="165">
        <v>43353</v>
      </c>
      <c r="O1463" s="172" t="s">
        <v>457</v>
      </c>
      <c r="P1463" s="196">
        <v>4866.67</v>
      </c>
      <c r="Q1463" s="196">
        <v>10</v>
      </c>
      <c r="R1463" s="68">
        <f t="shared" si="36"/>
        <v>48666.7</v>
      </c>
      <c r="S1463" s="70">
        <v>202303</v>
      </c>
      <c r="T1463" s="170" t="s">
        <v>1892</v>
      </c>
      <c r="U1463" s="170"/>
      <c r="V1463" s="146"/>
      <c r="W1463" s="146"/>
      <c r="X1463" s="73"/>
      <c r="Y1463" s="73"/>
      <c r="Z1463" s="10"/>
      <c r="AA1463" s="10"/>
      <c r="AB1463" s="10"/>
      <c r="AC1463" s="10"/>
      <c r="AD1463" s="10"/>
      <c r="AE1463" s="10"/>
    </row>
    <row r="1464" s="81" customFormat="1" customHeight="1" spans="1:31">
      <c r="A1464" s="61" t="s">
        <v>401</v>
      </c>
      <c r="B1464" s="60" t="s">
        <v>62</v>
      </c>
      <c r="C1464" s="61" t="s">
        <v>130</v>
      </c>
      <c r="D1464" s="61" t="s">
        <v>881</v>
      </c>
      <c r="E1464" s="160" t="s">
        <v>1871</v>
      </c>
      <c r="F1464" s="61" t="s">
        <v>1872</v>
      </c>
      <c r="G1464" s="161" t="s">
        <v>88</v>
      </c>
      <c r="H1464" s="45" t="s">
        <v>1873</v>
      </c>
      <c r="I1464" s="47" t="e">
        <f>VLOOKUP(H1464,'合同综合查询数据（3月返）'!$A:$A,1,FALSE)</f>
        <v>#N/A</v>
      </c>
      <c r="J1464" s="135" t="s">
        <v>90</v>
      </c>
      <c r="K1464" s="135" t="s">
        <v>1874</v>
      </c>
      <c r="L1464" s="164"/>
      <c r="M1464" s="50" t="s">
        <v>1406</v>
      </c>
      <c r="N1464" s="165">
        <v>43360</v>
      </c>
      <c r="O1464" s="172" t="s">
        <v>457</v>
      </c>
      <c r="P1464" s="196">
        <v>4866.67</v>
      </c>
      <c r="Q1464" s="196">
        <v>1</v>
      </c>
      <c r="R1464" s="68">
        <f t="shared" si="36"/>
        <v>4866.67</v>
      </c>
      <c r="S1464" s="70">
        <v>202303</v>
      </c>
      <c r="T1464" s="170" t="s">
        <v>1893</v>
      </c>
      <c r="U1464" s="170"/>
      <c r="V1464" s="146"/>
      <c r="W1464" s="146"/>
      <c r="X1464" s="73"/>
      <c r="Y1464" s="73"/>
      <c r="Z1464" s="10"/>
      <c r="AA1464" s="10"/>
      <c r="AB1464" s="10"/>
      <c r="AC1464" s="10"/>
      <c r="AD1464" s="10"/>
      <c r="AE1464" s="10"/>
    </row>
    <row r="1465" s="81" customFormat="1" customHeight="1" spans="1:31">
      <c r="A1465" s="61" t="s">
        <v>401</v>
      </c>
      <c r="B1465" s="60" t="s">
        <v>62</v>
      </c>
      <c r="C1465" s="61" t="s">
        <v>130</v>
      </c>
      <c r="D1465" s="61" t="s">
        <v>881</v>
      </c>
      <c r="E1465" s="160" t="s">
        <v>1871</v>
      </c>
      <c r="F1465" s="61" t="s">
        <v>1872</v>
      </c>
      <c r="G1465" s="161" t="s">
        <v>88</v>
      </c>
      <c r="H1465" s="45" t="s">
        <v>1873</v>
      </c>
      <c r="I1465" s="47" t="e">
        <f>VLOOKUP(H1465,'合同综合查询数据（3月返）'!$A:$A,1,FALSE)</f>
        <v>#N/A</v>
      </c>
      <c r="J1465" s="135" t="s">
        <v>90</v>
      </c>
      <c r="K1465" s="135" t="s">
        <v>1874</v>
      </c>
      <c r="L1465" s="164"/>
      <c r="M1465" s="50" t="s">
        <v>1406</v>
      </c>
      <c r="N1465" s="165">
        <v>43404</v>
      </c>
      <c r="O1465" s="172" t="s">
        <v>457</v>
      </c>
      <c r="P1465" s="196">
        <v>4866.67</v>
      </c>
      <c r="Q1465" s="196">
        <v>12</v>
      </c>
      <c r="R1465" s="68">
        <f t="shared" si="36"/>
        <v>58400.04</v>
      </c>
      <c r="S1465" s="70">
        <v>202303</v>
      </c>
      <c r="T1465" s="170" t="s">
        <v>1894</v>
      </c>
      <c r="U1465" s="170"/>
      <c r="V1465" s="146"/>
      <c r="W1465" s="146"/>
      <c r="X1465" s="73"/>
      <c r="Y1465" s="73"/>
      <c r="Z1465" s="10"/>
      <c r="AA1465" s="10"/>
      <c r="AB1465" s="10"/>
      <c r="AC1465" s="10"/>
      <c r="AD1465" s="10"/>
      <c r="AE1465" s="10"/>
    </row>
    <row r="1466" s="81" customFormat="1" customHeight="1" spans="1:31">
      <c r="A1466" s="61" t="s">
        <v>401</v>
      </c>
      <c r="B1466" s="60" t="s">
        <v>62</v>
      </c>
      <c r="C1466" s="61" t="s">
        <v>130</v>
      </c>
      <c r="D1466" s="61" t="s">
        <v>881</v>
      </c>
      <c r="E1466" s="160" t="s">
        <v>1871</v>
      </c>
      <c r="F1466" s="61" t="s">
        <v>1872</v>
      </c>
      <c r="G1466" s="161" t="s">
        <v>88</v>
      </c>
      <c r="H1466" s="45" t="s">
        <v>1873</v>
      </c>
      <c r="I1466" s="47" t="e">
        <f>VLOOKUP(H1466,'合同综合查询数据（3月返）'!$A:$A,1,FALSE)</f>
        <v>#N/A</v>
      </c>
      <c r="J1466" s="135" t="s">
        <v>90</v>
      </c>
      <c r="K1466" s="135" t="s">
        <v>1874</v>
      </c>
      <c r="L1466" s="164"/>
      <c r="M1466" s="50" t="s">
        <v>1406</v>
      </c>
      <c r="N1466" s="165">
        <v>43412</v>
      </c>
      <c r="O1466" s="172" t="s">
        <v>457</v>
      </c>
      <c r="P1466" s="196">
        <v>4866.67</v>
      </c>
      <c r="Q1466" s="196">
        <v>25</v>
      </c>
      <c r="R1466" s="68">
        <f t="shared" si="36"/>
        <v>121666.75</v>
      </c>
      <c r="S1466" s="70">
        <v>202303</v>
      </c>
      <c r="T1466" s="170" t="s">
        <v>1895</v>
      </c>
      <c r="U1466" s="170"/>
      <c r="V1466" s="146"/>
      <c r="W1466" s="146"/>
      <c r="X1466" s="73"/>
      <c r="Y1466" s="73"/>
      <c r="Z1466" s="10"/>
      <c r="AA1466" s="10"/>
      <c r="AB1466" s="10"/>
      <c r="AC1466" s="10"/>
      <c r="AD1466" s="10"/>
      <c r="AE1466" s="10"/>
    </row>
    <row r="1467" s="81" customFormat="1" customHeight="1" spans="1:31">
      <c r="A1467" s="61" t="s">
        <v>401</v>
      </c>
      <c r="B1467" s="60" t="s">
        <v>62</v>
      </c>
      <c r="C1467" s="61" t="s">
        <v>130</v>
      </c>
      <c r="D1467" s="61" t="s">
        <v>881</v>
      </c>
      <c r="E1467" s="160" t="s">
        <v>1871</v>
      </c>
      <c r="F1467" s="61" t="s">
        <v>1872</v>
      </c>
      <c r="G1467" s="161" t="s">
        <v>88</v>
      </c>
      <c r="H1467" s="45" t="s">
        <v>1873</v>
      </c>
      <c r="I1467" s="47" t="e">
        <f>VLOOKUP(H1467,'合同综合查询数据（3月返）'!$A:$A,1,FALSE)</f>
        <v>#N/A</v>
      </c>
      <c r="J1467" s="135" t="s">
        <v>90</v>
      </c>
      <c r="K1467" s="135" t="s">
        <v>1874</v>
      </c>
      <c r="L1467" s="164"/>
      <c r="M1467" s="50" t="s">
        <v>1406</v>
      </c>
      <c r="N1467" s="165">
        <v>43416</v>
      </c>
      <c r="O1467" s="172" t="s">
        <v>457</v>
      </c>
      <c r="P1467" s="196">
        <v>4866.67</v>
      </c>
      <c r="Q1467" s="196">
        <v>2</v>
      </c>
      <c r="R1467" s="68">
        <f t="shared" si="36"/>
        <v>9733.34</v>
      </c>
      <c r="S1467" s="70">
        <v>202303</v>
      </c>
      <c r="T1467" s="170" t="s">
        <v>1896</v>
      </c>
      <c r="U1467" s="170"/>
      <c r="V1467" s="146"/>
      <c r="W1467" s="146"/>
      <c r="X1467" s="73"/>
      <c r="Y1467" s="73"/>
      <c r="Z1467" s="10"/>
      <c r="AA1467" s="10"/>
      <c r="AB1467" s="10"/>
      <c r="AC1467" s="10"/>
      <c r="AD1467" s="10"/>
      <c r="AE1467" s="10"/>
    </row>
    <row r="1468" s="81" customFormat="1" customHeight="1" spans="1:31">
      <c r="A1468" s="61" t="s">
        <v>401</v>
      </c>
      <c r="B1468" s="60" t="s">
        <v>62</v>
      </c>
      <c r="C1468" s="61" t="s">
        <v>130</v>
      </c>
      <c r="D1468" s="61" t="s">
        <v>881</v>
      </c>
      <c r="E1468" s="160" t="s">
        <v>1871</v>
      </c>
      <c r="F1468" s="61" t="s">
        <v>1872</v>
      </c>
      <c r="G1468" s="161" t="s">
        <v>88</v>
      </c>
      <c r="H1468" s="45" t="s">
        <v>1873</v>
      </c>
      <c r="I1468" s="47" t="e">
        <f>VLOOKUP(H1468,'合同综合查询数据（3月返）'!$A:$A,1,FALSE)</f>
        <v>#N/A</v>
      </c>
      <c r="J1468" s="135" t="s">
        <v>90</v>
      </c>
      <c r="K1468" s="135" t="s">
        <v>1874</v>
      </c>
      <c r="L1468" s="164"/>
      <c r="M1468" s="50" t="s">
        <v>1406</v>
      </c>
      <c r="N1468" s="165">
        <v>43417</v>
      </c>
      <c r="O1468" s="172" t="s">
        <v>457</v>
      </c>
      <c r="P1468" s="196">
        <v>4866.67</v>
      </c>
      <c r="Q1468" s="196">
        <v>9</v>
      </c>
      <c r="R1468" s="68">
        <f t="shared" si="36"/>
        <v>43800.03</v>
      </c>
      <c r="S1468" s="70">
        <v>202303</v>
      </c>
      <c r="T1468" s="170" t="s">
        <v>1897</v>
      </c>
      <c r="U1468" s="170"/>
      <c r="V1468" s="146"/>
      <c r="W1468" s="146"/>
      <c r="X1468" s="73"/>
      <c r="Y1468" s="73"/>
      <c r="Z1468" s="10"/>
      <c r="AA1468" s="10"/>
      <c r="AB1468" s="10"/>
      <c r="AC1468" s="10"/>
      <c r="AD1468" s="10"/>
      <c r="AE1468" s="10"/>
    </row>
    <row r="1469" s="81" customFormat="1" customHeight="1" spans="1:31">
      <c r="A1469" s="61" t="s">
        <v>401</v>
      </c>
      <c r="B1469" s="60" t="s">
        <v>62</v>
      </c>
      <c r="C1469" s="61" t="s">
        <v>130</v>
      </c>
      <c r="D1469" s="61" t="s">
        <v>881</v>
      </c>
      <c r="E1469" s="160" t="s">
        <v>1871</v>
      </c>
      <c r="F1469" s="61" t="s">
        <v>1872</v>
      </c>
      <c r="G1469" s="161" t="s">
        <v>88</v>
      </c>
      <c r="H1469" s="45" t="s">
        <v>1873</v>
      </c>
      <c r="I1469" s="47" t="e">
        <f>VLOOKUP(H1469,'合同综合查询数据（3月返）'!$A:$A,1,FALSE)</f>
        <v>#N/A</v>
      </c>
      <c r="J1469" s="135" t="s">
        <v>90</v>
      </c>
      <c r="K1469" s="135" t="s">
        <v>1874</v>
      </c>
      <c r="L1469" s="164"/>
      <c r="M1469" s="50" t="s">
        <v>1406</v>
      </c>
      <c r="N1469" s="165">
        <v>43424</v>
      </c>
      <c r="O1469" s="172" t="s">
        <v>457</v>
      </c>
      <c r="P1469" s="196">
        <v>4866.67</v>
      </c>
      <c r="Q1469" s="196">
        <v>2</v>
      </c>
      <c r="R1469" s="68">
        <f t="shared" si="36"/>
        <v>9733.34</v>
      </c>
      <c r="S1469" s="70">
        <v>202303</v>
      </c>
      <c r="T1469" s="170" t="s">
        <v>1898</v>
      </c>
      <c r="U1469" s="170"/>
      <c r="V1469" s="146"/>
      <c r="W1469" s="146"/>
      <c r="X1469" s="73"/>
      <c r="Y1469" s="73"/>
      <c r="Z1469" s="10"/>
      <c r="AA1469" s="10"/>
      <c r="AB1469" s="10"/>
      <c r="AC1469" s="10"/>
      <c r="AD1469" s="10"/>
      <c r="AE1469" s="10"/>
    </row>
    <row r="1470" s="81" customFormat="1" customHeight="1" spans="1:31">
      <c r="A1470" s="61" t="s">
        <v>401</v>
      </c>
      <c r="B1470" s="60" t="s">
        <v>62</v>
      </c>
      <c r="C1470" s="61" t="s">
        <v>130</v>
      </c>
      <c r="D1470" s="61" t="s">
        <v>881</v>
      </c>
      <c r="E1470" s="160" t="s">
        <v>1871</v>
      </c>
      <c r="F1470" s="61" t="s">
        <v>1872</v>
      </c>
      <c r="G1470" s="161" t="s">
        <v>88</v>
      </c>
      <c r="H1470" s="45" t="s">
        <v>1873</v>
      </c>
      <c r="I1470" s="47" t="e">
        <f>VLOOKUP(H1470,'合同综合查询数据（3月返）'!$A:$A,1,FALSE)</f>
        <v>#N/A</v>
      </c>
      <c r="J1470" s="135" t="s">
        <v>90</v>
      </c>
      <c r="K1470" s="135" t="s">
        <v>1874</v>
      </c>
      <c r="L1470" s="164"/>
      <c r="M1470" s="50" t="s">
        <v>1406</v>
      </c>
      <c r="N1470" s="165">
        <v>43434</v>
      </c>
      <c r="O1470" s="172" t="s">
        <v>457</v>
      </c>
      <c r="P1470" s="196">
        <v>4866.67</v>
      </c>
      <c r="Q1470" s="196">
        <v>-2</v>
      </c>
      <c r="R1470" s="68">
        <f t="shared" si="36"/>
        <v>-9733.34</v>
      </c>
      <c r="S1470" s="70">
        <v>202303</v>
      </c>
      <c r="T1470" s="170" t="s">
        <v>1899</v>
      </c>
      <c r="U1470" s="170"/>
      <c r="V1470" s="146"/>
      <c r="W1470" s="146"/>
      <c r="X1470" s="73"/>
      <c r="Y1470" s="73"/>
      <c r="Z1470" s="10"/>
      <c r="AA1470" s="10"/>
      <c r="AB1470" s="10"/>
      <c r="AC1470" s="10"/>
      <c r="AD1470" s="10"/>
      <c r="AE1470" s="10"/>
    </row>
    <row r="1471" s="81" customFormat="1" customHeight="1" spans="1:31">
      <c r="A1471" s="61" t="s">
        <v>401</v>
      </c>
      <c r="B1471" s="60" t="s">
        <v>62</v>
      </c>
      <c r="C1471" s="61" t="s">
        <v>130</v>
      </c>
      <c r="D1471" s="61" t="s">
        <v>881</v>
      </c>
      <c r="E1471" s="160" t="s">
        <v>1871</v>
      </c>
      <c r="F1471" s="61" t="s">
        <v>1872</v>
      </c>
      <c r="G1471" s="161" t="s">
        <v>88</v>
      </c>
      <c r="H1471" s="45" t="s">
        <v>1873</v>
      </c>
      <c r="I1471" s="47" t="e">
        <f>VLOOKUP(H1471,'合同综合查询数据（3月返）'!$A:$A,1,FALSE)</f>
        <v>#N/A</v>
      </c>
      <c r="J1471" s="135" t="s">
        <v>90</v>
      </c>
      <c r="K1471" s="135" t="s">
        <v>1874</v>
      </c>
      <c r="L1471" s="164"/>
      <c r="M1471" s="50" t="s">
        <v>1406</v>
      </c>
      <c r="N1471" s="165">
        <v>43434</v>
      </c>
      <c r="O1471" s="172" t="s">
        <v>457</v>
      </c>
      <c r="P1471" s="196">
        <v>4866.67</v>
      </c>
      <c r="Q1471" s="196">
        <v>11</v>
      </c>
      <c r="R1471" s="68">
        <f t="shared" si="36"/>
        <v>53533.37</v>
      </c>
      <c r="S1471" s="70">
        <v>202303</v>
      </c>
      <c r="T1471" s="170" t="s">
        <v>1900</v>
      </c>
      <c r="U1471" s="170"/>
      <c r="V1471" s="146"/>
      <c r="W1471" s="146"/>
      <c r="X1471" s="73"/>
      <c r="Y1471" s="73"/>
      <c r="Z1471" s="10"/>
      <c r="AA1471" s="10"/>
      <c r="AB1471" s="10"/>
      <c r="AC1471" s="10"/>
      <c r="AD1471" s="10"/>
      <c r="AE1471" s="10"/>
    </row>
    <row r="1472" s="81" customFormat="1" customHeight="1" spans="1:31">
      <c r="A1472" s="61" t="s">
        <v>401</v>
      </c>
      <c r="B1472" s="60" t="s">
        <v>62</v>
      </c>
      <c r="C1472" s="61" t="s">
        <v>130</v>
      </c>
      <c r="D1472" s="61" t="s">
        <v>881</v>
      </c>
      <c r="E1472" s="160" t="s">
        <v>1871</v>
      </c>
      <c r="F1472" s="61" t="s">
        <v>1872</v>
      </c>
      <c r="G1472" s="161" t="s">
        <v>88</v>
      </c>
      <c r="H1472" s="45" t="s">
        <v>1873</v>
      </c>
      <c r="I1472" s="47" t="e">
        <f>VLOOKUP(H1472,'合同综合查询数据（3月返）'!$A:$A,1,FALSE)</f>
        <v>#N/A</v>
      </c>
      <c r="J1472" s="135" t="s">
        <v>90</v>
      </c>
      <c r="K1472" s="135" t="s">
        <v>1874</v>
      </c>
      <c r="L1472" s="164"/>
      <c r="M1472" s="50" t="s">
        <v>1406</v>
      </c>
      <c r="N1472" s="165">
        <v>43436</v>
      </c>
      <c r="O1472" s="172" t="s">
        <v>457</v>
      </c>
      <c r="P1472" s="196">
        <v>4866.67</v>
      </c>
      <c r="Q1472" s="196">
        <v>1</v>
      </c>
      <c r="R1472" s="68">
        <f t="shared" si="36"/>
        <v>4866.67</v>
      </c>
      <c r="S1472" s="70">
        <v>202303</v>
      </c>
      <c r="T1472" s="170" t="s">
        <v>1901</v>
      </c>
      <c r="U1472" s="170"/>
      <c r="V1472" s="146"/>
      <c r="W1472" s="146"/>
      <c r="X1472" s="73"/>
      <c r="Y1472" s="73"/>
      <c r="Z1472" s="10"/>
      <c r="AA1472" s="10"/>
      <c r="AB1472" s="10"/>
      <c r="AC1472" s="10"/>
      <c r="AD1472" s="10"/>
      <c r="AE1472" s="10"/>
    </row>
    <row r="1473" s="81" customFormat="1" customHeight="1" spans="1:31">
      <c r="A1473" s="61" t="s">
        <v>401</v>
      </c>
      <c r="B1473" s="60" t="s">
        <v>62</v>
      </c>
      <c r="C1473" s="61" t="s">
        <v>130</v>
      </c>
      <c r="D1473" s="61" t="s">
        <v>881</v>
      </c>
      <c r="E1473" s="160" t="s">
        <v>1871</v>
      </c>
      <c r="F1473" s="61" t="s">
        <v>1872</v>
      </c>
      <c r="G1473" s="161" t="s">
        <v>88</v>
      </c>
      <c r="H1473" s="45" t="s">
        <v>1873</v>
      </c>
      <c r="I1473" s="47" t="e">
        <f>VLOOKUP(H1473,'合同综合查询数据（3月返）'!$A:$A,1,FALSE)</f>
        <v>#N/A</v>
      </c>
      <c r="J1473" s="135" t="s">
        <v>90</v>
      </c>
      <c r="K1473" s="135" t="s">
        <v>1874</v>
      </c>
      <c r="L1473" s="164"/>
      <c r="M1473" s="50" t="s">
        <v>1406</v>
      </c>
      <c r="N1473" s="165">
        <v>43462</v>
      </c>
      <c r="O1473" s="172" t="s">
        <v>457</v>
      </c>
      <c r="P1473" s="196">
        <v>4866.67</v>
      </c>
      <c r="Q1473" s="196">
        <v>4</v>
      </c>
      <c r="R1473" s="68">
        <f t="shared" si="36"/>
        <v>19466.68</v>
      </c>
      <c r="S1473" s="70">
        <v>202303</v>
      </c>
      <c r="T1473" s="170" t="s">
        <v>1902</v>
      </c>
      <c r="U1473" s="170"/>
      <c r="V1473" s="146"/>
      <c r="W1473" s="146"/>
      <c r="X1473" s="73"/>
      <c r="Y1473" s="73"/>
      <c r="Z1473" s="10"/>
      <c r="AA1473" s="10"/>
      <c r="AB1473" s="10"/>
      <c r="AC1473" s="10"/>
      <c r="AD1473" s="10"/>
      <c r="AE1473" s="10"/>
    </row>
    <row r="1474" s="81" customFormat="1" customHeight="1" spans="1:31">
      <c r="A1474" s="61" t="s">
        <v>401</v>
      </c>
      <c r="B1474" s="60" t="s">
        <v>62</v>
      </c>
      <c r="C1474" s="61" t="s">
        <v>130</v>
      </c>
      <c r="D1474" s="61" t="s">
        <v>881</v>
      </c>
      <c r="E1474" s="160" t="s">
        <v>1871</v>
      </c>
      <c r="F1474" s="61" t="s">
        <v>1872</v>
      </c>
      <c r="G1474" s="161" t="s">
        <v>88</v>
      </c>
      <c r="H1474" s="45" t="s">
        <v>1873</v>
      </c>
      <c r="I1474" s="47" t="e">
        <f>VLOOKUP(H1474,'合同综合查询数据（3月返）'!$A:$A,1,FALSE)</f>
        <v>#N/A</v>
      </c>
      <c r="J1474" s="135" t="s">
        <v>90</v>
      </c>
      <c r="K1474" s="135" t="s">
        <v>1874</v>
      </c>
      <c r="L1474" s="164"/>
      <c r="M1474" s="50" t="s">
        <v>1406</v>
      </c>
      <c r="N1474" s="165">
        <v>43484</v>
      </c>
      <c r="O1474" s="172" t="s">
        <v>457</v>
      </c>
      <c r="P1474" s="196">
        <v>4866.67</v>
      </c>
      <c r="Q1474" s="196">
        <v>20</v>
      </c>
      <c r="R1474" s="68">
        <f t="shared" si="36"/>
        <v>97333.4</v>
      </c>
      <c r="S1474" s="70">
        <v>202303</v>
      </c>
      <c r="T1474" s="170" t="s">
        <v>1903</v>
      </c>
      <c r="U1474" s="170"/>
      <c r="V1474" s="146"/>
      <c r="W1474" s="146"/>
      <c r="X1474" s="73"/>
      <c r="Y1474" s="73"/>
      <c r="Z1474" s="10"/>
      <c r="AA1474" s="10"/>
      <c r="AB1474" s="10"/>
      <c r="AC1474" s="10"/>
      <c r="AD1474" s="10"/>
      <c r="AE1474" s="10"/>
    </row>
    <row r="1475" s="81" customFormat="1" customHeight="1" spans="1:31">
      <c r="A1475" s="61" t="s">
        <v>401</v>
      </c>
      <c r="B1475" s="60" t="s">
        <v>62</v>
      </c>
      <c r="C1475" s="61" t="s">
        <v>130</v>
      </c>
      <c r="D1475" s="61" t="s">
        <v>881</v>
      </c>
      <c r="E1475" s="160" t="s">
        <v>1871</v>
      </c>
      <c r="F1475" s="61" t="s">
        <v>1872</v>
      </c>
      <c r="G1475" s="161" t="s">
        <v>88</v>
      </c>
      <c r="H1475" s="45" t="s">
        <v>1873</v>
      </c>
      <c r="I1475" s="47" t="e">
        <f>VLOOKUP(H1475,'合同综合查询数据（3月返）'!$A:$A,1,FALSE)</f>
        <v>#N/A</v>
      </c>
      <c r="J1475" s="135" t="s">
        <v>90</v>
      </c>
      <c r="K1475" s="135" t="s">
        <v>1874</v>
      </c>
      <c r="L1475" s="164"/>
      <c r="M1475" s="50" t="s">
        <v>1406</v>
      </c>
      <c r="N1475" s="165">
        <v>43484</v>
      </c>
      <c r="O1475" s="172" t="s">
        <v>457</v>
      </c>
      <c r="P1475" s="196">
        <v>4866.67</v>
      </c>
      <c r="Q1475" s="196">
        <v>20</v>
      </c>
      <c r="R1475" s="68">
        <f t="shared" si="36"/>
        <v>97333.4</v>
      </c>
      <c r="S1475" s="70">
        <v>202303</v>
      </c>
      <c r="T1475" s="170" t="s">
        <v>1904</v>
      </c>
      <c r="U1475" s="170"/>
      <c r="V1475" s="146"/>
      <c r="W1475" s="146"/>
      <c r="X1475" s="73"/>
      <c r="Y1475" s="73"/>
      <c r="Z1475" s="10"/>
      <c r="AA1475" s="10"/>
      <c r="AB1475" s="10"/>
      <c r="AC1475" s="10"/>
      <c r="AD1475" s="10"/>
      <c r="AE1475" s="10"/>
    </row>
    <row r="1476" s="81" customFormat="1" customHeight="1" spans="1:31">
      <c r="A1476" s="61" t="s">
        <v>401</v>
      </c>
      <c r="B1476" s="60" t="s">
        <v>62</v>
      </c>
      <c r="C1476" s="61" t="s">
        <v>130</v>
      </c>
      <c r="D1476" s="61" t="s">
        <v>881</v>
      </c>
      <c r="E1476" s="160" t="s">
        <v>1871</v>
      </c>
      <c r="F1476" s="61" t="s">
        <v>1872</v>
      </c>
      <c r="G1476" s="161" t="s">
        <v>88</v>
      </c>
      <c r="H1476" s="45" t="s">
        <v>1873</v>
      </c>
      <c r="I1476" s="47" t="e">
        <f>VLOOKUP(H1476,'合同综合查询数据（3月返）'!$A:$A,1,FALSE)</f>
        <v>#N/A</v>
      </c>
      <c r="J1476" s="135" t="s">
        <v>90</v>
      </c>
      <c r="K1476" s="135" t="s">
        <v>1874</v>
      </c>
      <c r="L1476" s="164"/>
      <c r="M1476" s="50" t="s">
        <v>1406</v>
      </c>
      <c r="N1476" s="165">
        <v>43486</v>
      </c>
      <c r="O1476" s="172" t="s">
        <v>457</v>
      </c>
      <c r="P1476" s="196">
        <v>4866.67</v>
      </c>
      <c r="Q1476" s="196">
        <v>26</v>
      </c>
      <c r="R1476" s="68">
        <f t="shared" si="36"/>
        <v>126533.42</v>
      </c>
      <c r="S1476" s="70">
        <v>202303</v>
      </c>
      <c r="T1476" s="170" t="s">
        <v>1905</v>
      </c>
      <c r="U1476" s="170"/>
      <c r="V1476" s="146"/>
      <c r="W1476" s="146"/>
      <c r="X1476" s="73"/>
      <c r="Y1476" s="73"/>
      <c r="Z1476" s="10"/>
      <c r="AA1476" s="10"/>
      <c r="AB1476" s="10"/>
      <c r="AC1476" s="10"/>
      <c r="AD1476" s="10"/>
      <c r="AE1476" s="10"/>
    </row>
    <row r="1477" s="81" customFormat="1" customHeight="1" spans="1:31">
      <c r="A1477" s="61" t="s">
        <v>401</v>
      </c>
      <c r="B1477" s="60" t="s">
        <v>62</v>
      </c>
      <c r="C1477" s="61" t="s">
        <v>130</v>
      </c>
      <c r="D1477" s="61" t="s">
        <v>881</v>
      </c>
      <c r="E1477" s="160" t="s">
        <v>1871</v>
      </c>
      <c r="F1477" s="61" t="s">
        <v>1872</v>
      </c>
      <c r="G1477" s="161" t="s">
        <v>88</v>
      </c>
      <c r="H1477" s="45" t="s">
        <v>1873</v>
      </c>
      <c r="I1477" s="47" t="e">
        <f>VLOOKUP(H1477,'合同综合查询数据（3月返）'!$A:$A,1,FALSE)</f>
        <v>#N/A</v>
      </c>
      <c r="J1477" s="135" t="s">
        <v>90</v>
      </c>
      <c r="K1477" s="135" t="s">
        <v>1874</v>
      </c>
      <c r="L1477" s="164"/>
      <c r="M1477" s="50" t="s">
        <v>1406</v>
      </c>
      <c r="N1477" s="165">
        <v>43490</v>
      </c>
      <c r="O1477" s="172" t="s">
        <v>457</v>
      </c>
      <c r="P1477" s="196">
        <v>4866.67</v>
      </c>
      <c r="Q1477" s="196">
        <v>1</v>
      </c>
      <c r="R1477" s="68">
        <f t="shared" si="36"/>
        <v>4866.67</v>
      </c>
      <c r="S1477" s="70">
        <v>202303</v>
      </c>
      <c r="T1477" s="170" t="s">
        <v>1906</v>
      </c>
      <c r="U1477" s="170"/>
      <c r="V1477" s="146"/>
      <c r="W1477" s="146"/>
      <c r="X1477" s="73"/>
      <c r="Y1477" s="73"/>
      <c r="Z1477" s="10"/>
      <c r="AA1477" s="10"/>
      <c r="AB1477" s="10"/>
      <c r="AC1477" s="10"/>
      <c r="AD1477" s="10"/>
      <c r="AE1477" s="10"/>
    </row>
    <row r="1478" s="10" customFormat="1" customHeight="1" spans="1:25">
      <c r="A1478" s="61" t="s">
        <v>401</v>
      </c>
      <c r="B1478" s="60" t="s">
        <v>62</v>
      </c>
      <c r="C1478" s="61" t="s">
        <v>130</v>
      </c>
      <c r="D1478" s="61" t="s">
        <v>881</v>
      </c>
      <c r="E1478" s="160" t="s">
        <v>1871</v>
      </c>
      <c r="F1478" s="61" t="s">
        <v>1872</v>
      </c>
      <c r="G1478" s="161" t="s">
        <v>88</v>
      </c>
      <c r="H1478" s="45" t="s">
        <v>1873</v>
      </c>
      <c r="I1478" s="47" t="e">
        <f>VLOOKUP(H1478,'合同综合查询数据（3月返）'!$A:$A,1,FALSE)</f>
        <v>#N/A</v>
      </c>
      <c r="J1478" s="135" t="s">
        <v>90</v>
      </c>
      <c r="K1478" s="135" t="s">
        <v>1874</v>
      </c>
      <c r="L1478" s="164"/>
      <c r="M1478" s="50" t="s">
        <v>1406</v>
      </c>
      <c r="N1478" s="165">
        <v>43542</v>
      </c>
      <c r="O1478" s="172" t="s">
        <v>457</v>
      </c>
      <c r="P1478" s="196">
        <v>4866.67</v>
      </c>
      <c r="Q1478" s="196">
        <v>2</v>
      </c>
      <c r="R1478" s="68">
        <f t="shared" si="36"/>
        <v>9733.34</v>
      </c>
      <c r="S1478" s="70">
        <v>202303</v>
      </c>
      <c r="T1478" s="170" t="s">
        <v>1907</v>
      </c>
      <c r="U1478" s="170"/>
      <c r="V1478" s="146"/>
      <c r="W1478" s="146"/>
      <c r="X1478" s="73"/>
      <c r="Y1478" s="73"/>
    </row>
    <row r="1479" s="10" customFormat="1" customHeight="1" spans="1:25">
      <c r="A1479" s="61" t="s">
        <v>401</v>
      </c>
      <c r="B1479" s="60" t="s">
        <v>62</v>
      </c>
      <c r="C1479" s="61" t="s">
        <v>130</v>
      </c>
      <c r="D1479" s="61" t="s">
        <v>881</v>
      </c>
      <c r="E1479" s="160" t="s">
        <v>1871</v>
      </c>
      <c r="F1479" s="61" t="s">
        <v>1872</v>
      </c>
      <c r="G1479" s="161" t="s">
        <v>88</v>
      </c>
      <c r="H1479" s="45" t="s">
        <v>1873</v>
      </c>
      <c r="I1479" s="47" t="e">
        <f>VLOOKUP(H1479,'合同综合查询数据（3月返）'!$A:$A,1,FALSE)</f>
        <v>#N/A</v>
      </c>
      <c r="J1479" s="135" t="s">
        <v>90</v>
      </c>
      <c r="K1479" s="135" t="s">
        <v>1874</v>
      </c>
      <c r="L1479" s="164"/>
      <c r="M1479" s="50" t="s">
        <v>1406</v>
      </c>
      <c r="N1479" s="165">
        <v>43594</v>
      </c>
      <c r="O1479" s="172" t="s">
        <v>457</v>
      </c>
      <c r="P1479" s="196">
        <v>4866.67</v>
      </c>
      <c r="Q1479" s="196">
        <v>16</v>
      </c>
      <c r="R1479" s="68">
        <f t="shared" si="36"/>
        <v>77866.72</v>
      </c>
      <c r="S1479" s="70">
        <v>202303</v>
      </c>
      <c r="T1479" s="170" t="s">
        <v>1908</v>
      </c>
      <c r="U1479" s="170"/>
      <c r="V1479" s="146"/>
      <c r="W1479" s="146"/>
      <c r="X1479" s="73"/>
      <c r="Y1479" s="73"/>
    </row>
    <row r="1480" s="10" customFormat="1" customHeight="1" spans="1:25">
      <c r="A1480" s="61" t="s">
        <v>401</v>
      </c>
      <c r="B1480" s="60" t="s">
        <v>62</v>
      </c>
      <c r="C1480" s="61" t="s">
        <v>130</v>
      </c>
      <c r="D1480" s="61" t="s">
        <v>881</v>
      </c>
      <c r="E1480" s="160" t="s">
        <v>1871</v>
      </c>
      <c r="F1480" s="61" t="s">
        <v>1872</v>
      </c>
      <c r="G1480" s="161" t="s">
        <v>88</v>
      </c>
      <c r="H1480" s="45" t="s">
        <v>1873</v>
      </c>
      <c r="I1480" s="47" t="e">
        <f>VLOOKUP(H1480,'合同综合查询数据（3月返）'!$A:$A,1,FALSE)</f>
        <v>#N/A</v>
      </c>
      <c r="J1480" s="135" t="s">
        <v>90</v>
      </c>
      <c r="K1480" s="135" t="s">
        <v>1874</v>
      </c>
      <c r="L1480" s="164"/>
      <c r="M1480" s="50" t="s">
        <v>1406</v>
      </c>
      <c r="N1480" s="165">
        <v>43595</v>
      </c>
      <c r="O1480" s="172" t="s">
        <v>457</v>
      </c>
      <c r="P1480" s="196">
        <v>4866.67</v>
      </c>
      <c r="Q1480" s="196">
        <v>10</v>
      </c>
      <c r="R1480" s="68">
        <f t="shared" si="36"/>
        <v>48666.7</v>
      </c>
      <c r="S1480" s="70">
        <v>202303</v>
      </c>
      <c r="T1480" s="170" t="s">
        <v>1909</v>
      </c>
      <c r="U1480" s="170"/>
      <c r="V1480" s="146"/>
      <c r="W1480" s="146"/>
      <c r="X1480" s="73"/>
      <c r="Y1480" s="73"/>
    </row>
    <row r="1481" s="10" customFormat="1" customHeight="1" spans="1:25">
      <c r="A1481" s="61" t="s">
        <v>401</v>
      </c>
      <c r="B1481" s="60" t="s">
        <v>62</v>
      </c>
      <c r="C1481" s="61" t="s">
        <v>130</v>
      </c>
      <c r="D1481" s="61" t="s">
        <v>881</v>
      </c>
      <c r="E1481" s="160" t="s">
        <v>1871</v>
      </c>
      <c r="F1481" s="61" t="s">
        <v>1872</v>
      </c>
      <c r="G1481" s="161" t="s">
        <v>88</v>
      </c>
      <c r="H1481" s="45" t="s">
        <v>1873</v>
      </c>
      <c r="I1481" s="47" t="e">
        <f>VLOOKUP(H1481,'合同综合查询数据（3月返）'!$A:$A,1,FALSE)</f>
        <v>#N/A</v>
      </c>
      <c r="J1481" s="135" t="s">
        <v>90</v>
      </c>
      <c r="K1481" s="135" t="s">
        <v>1874</v>
      </c>
      <c r="L1481" s="164"/>
      <c r="M1481" s="50" t="s">
        <v>1406</v>
      </c>
      <c r="N1481" s="165">
        <v>43600</v>
      </c>
      <c r="O1481" s="172" t="s">
        <v>457</v>
      </c>
      <c r="P1481" s="196">
        <v>4866.67</v>
      </c>
      <c r="Q1481" s="196">
        <v>20</v>
      </c>
      <c r="R1481" s="68">
        <f t="shared" si="36"/>
        <v>97333.4</v>
      </c>
      <c r="S1481" s="70">
        <v>202303</v>
      </c>
      <c r="T1481" s="170" t="s">
        <v>1910</v>
      </c>
      <c r="U1481" s="170"/>
      <c r="V1481" s="146"/>
      <c r="W1481" s="146"/>
      <c r="X1481" s="73"/>
      <c r="Y1481" s="73"/>
    </row>
    <row r="1482" s="10" customFormat="1" customHeight="1" spans="1:25">
      <c r="A1482" s="61" t="s">
        <v>401</v>
      </c>
      <c r="B1482" s="60" t="s">
        <v>62</v>
      </c>
      <c r="C1482" s="61" t="s">
        <v>130</v>
      </c>
      <c r="D1482" s="61" t="s">
        <v>881</v>
      </c>
      <c r="E1482" s="160" t="s">
        <v>1871</v>
      </c>
      <c r="F1482" s="61" t="s">
        <v>1872</v>
      </c>
      <c r="G1482" s="161" t="s">
        <v>88</v>
      </c>
      <c r="H1482" s="45" t="s">
        <v>1873</v>
      </c>
      <c r="I1482" s="47" t="e">
        <f>VLOOKUP(H1482,'合同综合查询数据（3月返）'!$A:$A,1,FALSE)</f>
        <v>#N/A</v>
      </c>
      <c r="J1482" s="135" t="s">
        <v>90</v>
      </c>
      <c r="K1482" s="135" t="s">
        <v>1874</v>
      </c>
      <c r="L1482" s="164"/>
      <c r="M1482" s="50" t="s">
        <v>1406</v>
      </c>
      <c r="N1482" s="165">
        <v>43600</v>
      </c>
      <c r="O1482" s="172" t="s">
        <v>457</v>
      </c>
      <c r="P1482" s="196">
        <v>4866.67</v>
      </c>
      <c r="Q1482" s="196">
        <v>5</v>
      </c>
      <c r="R1482" s="68">
        <f t="shared" si="36"/>
        <v>24333.35</v>
      </c>
      <c r="S1482" s="70">
        <v>202303</v>
      </c>
      <c r="T1482" s="170" t="s">
        <v>1911</v>
      </c>
      <c r="U1482" s="170"/>
      <c r="V1482" s="146"/>
      <c r="W1482" s="146"/>
      <c r="X1482" s="73"/>
      <c r="Y1482" s="73"/>
    </row>
    <row r="1483" s="10" customFormat="1" customHeight="1" spans="1:25">
      <c r="A1483" s="61" t="s">
        <v>401</v>
      </c>
      <c r="B1483" s="60" t="s">
        <v>62</v>
      </c>
      <c r="C1483" s="61" t="s">
        <v>130</v>
      </c>
      <c r="D1483" s="61" t="s">
        <v>881</v>
      </c>
      <c r="E1483" s="160" t="s">
        <v>1871</v>
      </c>
      <c r="F1483" s="61" t="s">
        <v>1872</v>
      </c>
      <c r="G1483" s="161" t="s">
        <v>88</v>
      </c>
      <c r="H1483" s="45" t="s">
        <v>1873</v>
      </c>
      <c r="I1483" s="47" t="e">
        <f>VLOOKUP(H1483,'合同综合查询数据（3月返）'!$A:$A,1,FALSE)</f>
        <v>#N/A</v>
      </c>
      <c r="J1483" s="135" t="s">
        <v>90</v>
      </c>
      <c r="K1483" s="135" t="s">
        <v>1874</v>
      </c>
      <c r="L1483" s="164"/>
      <c r="M1483" s="50" t="s">
        <v>1406</v>
      </c>
      <c r="N1483" s="165">
        <v>43616</v>
      </c>
      <c r="O1483" s="172" t="s">
        <v>457</v>
      </c>
      <c r="P1483" s="196">
        <v>4866.67</v>
      </c>
      <c r="Q1483" s="196">
        <v>12</v>
      </c>
      <c r="R1483" s="68">
        <f t="shared" si="36"/>
        <v>58400.04</v>
      </c>
      <c r="S1483" s="70">
        <v>202303</v>
      </c>
      <c r="T1483" s="170" t="s">
        <v>1912</v>
      </c>
      <c r="U1483" s="170"/>
      <c r="V1483" s="146"/>
      <c r="W1483" s="146"/>
      <c r="X1483" s="73"/>
      <c r="Y1483" s="73"/>
    </row>
    <row r="1484" s="10" customFormat="1" customHeight="1" spans="1:25">
      <c r="A1484" s="61" t="s">
        <v>401</v>
      </c>
      <c r="B1484" s="60" t="s">
        <v>62</v>
      </c>
      <c r="C1484" s="61" t="s">
        <v>130</v>
      </c>
      <c r="D1484" s="61" t="s">
        <v>881</v>
      </c>
      <c r="E1484" s="160" t="s">
        <v>1871</v>
      </c>
      <c r="F1484" s="61" t="s">
        <v>1872</v>
      </c>
      <c r="G1484" s="161" t="s">
        <v>88</v>
      </c>
      <c r="H1484" s="45" t="s">
        <v>1873</v>
      </c>
      <c r="I1484" s="47" t="e">
        <f>VLOOKUP(H1484,'合同综合查询数据（3月返）'!$A:$A,1,FALSE)</f>
        <v>#N/A</v>
      </c>
      <c r="J1484" s="135" t="s">
        <v>90</v>
      </c>
      <c r="K1484" s="135" t="s">
        <v>1874</v>
      </c>
      <c r="L1484" s="164"/>
      <c r="M1484" s="50" t="s">
        <v>1406</v>
      </c>
      <c r="N1484" s="165">
        <v>43644</v>
      </c>
      <c r="O1484" s="172" t="s">
        <v>457</v>
      </c>
      <c r="P1484" s="196">
        <v>4866.67</v>
      </c>
      <c r="Q1484" s="196">
        <v>5</v>
      </c>
      <c r="R1484" s="68">
        <f t="shared" si="36"/>
        <v>24333.35</v>
      </c>
      <c r="S1484" s="70">
        <v>202303</v>
      </c>
      <c r="T1484" s="170" t="s">
        <v>1913</v>
      </c>
      <c r="U1484" s="170"/>
      <c r="V1484" s="146"/>
      <c r="W1484" s="146"/>
      <c r="X1484" s="73"/>
      <c r="Y1484" s="73"/>
    </row>
    <row r="1485" s="10" customFormat="1" customHeight="1" spans="1:25">
      <c r="A1485" s="61" t="s">
        <v>401</v>
      </c>
      <c r="B1485" s="60" t="s">
        <v>62</v>
      </c>
      <c r="C1485" s="61" t="s">
        <v>130</v>
      </c>
      <c r="D1485" s="61" t="s">
        <v>881</v>
      </c>
      <c r="E1485" s="160" t="s">
        <v>1871</v>
      </c>
      <c r="F1485" s="61" t="s">
        <v>1872</v>
      </c>
      <c r="G1485" s="161" t="s">
        <v>88</v>
      </c>
      <c r="H1485" s="45" t="s">
        <v>1873</v>
      </c>
      <c r="I1485" s="47" t="e">
        <f>VLOOKUP(H1485,'合同综合查询数据（3月返）'!$A:$A,1,FALSE)</f>
        <v>#N/A</v>
      </c>
      <c r="J1485" s="135" t="s">
        <v>90</v>
      </c>
      <c r="K1485" s="135" t="s">
        <v>1874</v>
      </c>
      <c r="L1485" s="164"/>
      <c r="M1485" s="50" t="s">
        <v>1406</v>
      </c>
      <c r="N1485" s="165">
        <v>43612</v>
      </c>
      <c r="O1485" s="172" t="s">
        <v>509</v>
      </c>
      <c r="P1485" s="196">
        <v>8651.46</v>
      </c>
      <c r="Q1485" s="196">
        <v>-1</v>
      </c>
      <c r="R1485" s="68">
        <f t="shared" si="36"/>
        <v>-8651.46</v>
      </c>
      <c r="S1485" s="70">
        <v>202303</v>
      </c>
      <c r="T1485" s="170" t="s">
        <v>1914</v>
      </c>
      <c r="U1485" s="170"/>
      <c r="V1485" s="146"/>
      <c r="W1485" s="146"/>
      <c r="X1485" s="73"/>
      <c r="Y1485" s="73"/>
    </row>
    <row r="1486" s="10" customFormat="1" customHeight="1" spans="1:25">
      <c r="A1486" s="61" t="s">
        <v>401</v>
      </c>
      <c r="B1486" s="60" t="s">
        <v>62</v>
      </c>
      <c r="C1486" s="61" t="s">
        <v>130</v>
      </c>
      <c r="D1486" s="61" t="s">
        <v>881</v>
      </c>
      <c r="E1486" s="160" t="s">
        <v>1871</v>
      </c>
      <c r="F1486" s="61" t="s">
        <v>1872</v>
      </c>
      <c r="G1486" s="161" t="s">
        <v>88</v>
      </c>
      <c r="H1486" s="45" t="s">
        <v>1873</v>
      </c>
      <c r="I1486" s="47" t="e">
        <f>VLOOKUP(H1486,'合同综合查询数据（3月返）'!$A:$A,1,FALSE)</f>
        <v>#N/A</v>
      </c>
      <c r="J1486" s="135" t="s">
        <v>90</v>
      </c>
      <c r="K1486" s="135" t="s">
        <v>1874</v>
      </c>
      <c r="L1486" s="164"/>
      <c r="M1486" s="50" t="s">
        <v>1406</v>
      </c>
      <c r="N1486" s="165">
        <v>43656</v>
      </c>
      <c r="O1486" s="172" t="s">
        <v>457</v>
      </c>
      <c r="P1486" s="196">
        <v>4866.67</v>
      </c>
      <c r="Q1486" s="196">
        <v>10</v>
      </c>
      <c r="R1486" s="68">
        <f t="shared" si="36"/>
        <v>48666.7</v>
      </c>
      <c r="S1486" s="70">
        <v>202303</v>
      </c>
      <c r="T1486" s="170" t="s">
        <v>1915</v>
      </c>
      <c r="U1486" s="170"/>
      <c r="V1486" s="146"/>
      <c r="W1486" s="146"/>
      <c r="X1486" s="73"/>
      <c r="Y1486" s="73"/>
    </row>
    <row r="1487" s="10" customFormat="1" customHeight="1" spans="1:25">
      <c r="A1487" s="61" t="s">
        <v>401</v>
      </c>
      <c r="B1487" s="60" t="s">
        <v>62</v>
      </c>
      <c r="C1487" s="61" t="s">
        <v>130</v>
      </c>
      <c r="D1487" s="61" t="s">
        <v>881</v>
      </c>
      <c r="E1487" s="160" t="s">
        <v>1871</v>
      </c>
      <c r="F1487" s="61" t="s">
        <v>1872</v>
      </c>
      <c r="G1487" s="161" t="s">
        <v>88</v>
      </c>
      <c r="H1487" s="45" t="s">
        <v>1873</v>
      </c>
      <c r="I1487" s="47" t="e">
        <f>VLOOKUP(H1487,'合同综合查询数据（3月返）'!$A:$A,1,FALSE)</f>
        <v>#N/A</v>
      </c>
      <c r="J1487" s="135" t="s">
        <v>90</v>
      </c>
      <c r="K1487" s="135" t="s">
        <v>1874</v>
      </c>
      <c r="L1487" s="164"/>
      <c r="M1487" s="50" t="s">
        <v>1406</v>
      </c>
      <c r="N1487" s="165">
        <v>43656</v>
      </c>
      <c r="O1487" s="172" t="s">
        <v>457</v>
      </c>
      <c r="P1487" s="196">
        <v>4866.67</v>
      </c>
      <c r="Q1487" s="196">
        <v>8</v>
      </c>
      <c r="R1487" s="68">
        <f t="shared" si="36"/>
        <v>38933.36</v>
      </c>
      <c r="S1487" s="70">
        <v>202303</v>
      </c>
      <c r="T1487" s="170" t="s">
        <v>1916</v>
      </c>
      <c r="U1487" s="170"/>
      <c r="V1487" s="146"/>
      <c r="W1487" s="146"/>
      <c r="X1487" s="73"/>
      <c r="Y1487" s="73"/>
    </row>
    <row r="1488" s="10" customFormat="1" customHeight="1" spans="1:25">
      <c r="A1488" s="61" t="s">
        <v>401</v>
      </c>
      <c r="B1488" s="60" t="s">
        <v>62</v>
      </c>
      <c r="C1488" s="61" t="s">
        <v>130</v>
      </c>
      <c r="D1488" s="61" t="s">
        <v>881</v>
      </c>
      <c r="E1488" s="160" t="s">
        <v>1871</v>
      </c>
      <c r="F1488" s="61" t="s">
        <v>1872</v>
      </c>
      <c r="G1488" s="161" t="s">
        <v>88</v>
      </c>
      <c r="H1488" s="45" t="s">
        <v>1873</v>
      </c>
      <c r="I1488" s="47" t="e">
        <f>VLOOKUP(H1488,'合同综合查询数据（3月返）'!$A:$A,1,FALSE)</f>
        <v>#N/A</v>
      </c>
      <c r="J1488" s="135" t="s">
        <v>90</v>
      </c>
      <c r="K1488" s="135" t="s">
        <v>1874</v>
      </c>
      <c r="L1488" s="164"/>
      <c r="M1488" s="50" t="s">
        <v>1406</v>
      </c>
      <c r="N1488" s="165">
        <v>43686</v>
      </c>
      <c r="O1488" s="172" t="s">
        <v>457</v>
      </c>
      <c r="P1488" s="196">
        <v>4866.67</v>
      </c>
      <c r="Q1488" s="196">
        <v>1</v>
      </c>
      <c r="R1488" s="68">
        <f t="shared" si="36"/>
        <v>4866.67</v>
      </c>
      <c r="S1488" s="70">
        <v>202303</v>
      </c>
      <c r="T1488" s="170" t="s">
        <v>1917</v>
      </c>
      <c r="U1488" s="170"/>
      <c r="V1488" s="146"/>
      <c r="W1488" s="146"/>
      <c r="X1488" s="73"/>
      <c r="Y1488" s="73"/>
    </row>
    <row r="1489" s="10" customFormat="1" customHeight="1" spans="1:25">
      <c r="A1489" s="61" t="s">
        <v>401</v>
      </c>
      <c r="B1489" s="60" t="s">
        <v>62</v>
      </c>
      <c r="C1489" s="61" t="s">
        <v>130</v>
      </c>
      <c r="D1489" s="61" t="s">
        <v>881</v>
      </c>
      <c r="E1489" s="160" t="s">
        <v>1871</v>
      </c>
      <c r="F1489" s="61" t="s">
        <v>1872</v>
      </c>
      <c r="G1489" s="161" t="s">
        <v>88</v>
      </c>
      <c r="H1489" s="45" t="s">
        <v>1873</v>
      </c>
      <c r="I1489" s="47" t="e">
        <f>VLOOKUP(H1489,'合同综合查询数据（3月返）'!$A:$A,1,FALSE)</f>
        <v>#N/A</v>
      </c>
      <c r="J1489" s="135" t="s">
        <v>90</v>
      </c>
      <c r="K1489" s="135" t="s">
        <v>1874</v>
      </c>
      <c r="L1489" s="164"/>
      <c r="M1489" s="50" t="s">
        <v>1406</v>
      </c>
      <c r="N1489" s="165">
        <v>43696</v>
      </c>
      <c r="O1489" s="172" t="s">
        <v>509</v>
      </c>
      <c r="P1489" s="196">
        <v>8651.46</v>
      </c>
      <c r="Q1489" s="196">
        <v>1</v>
      </c>
      <c r="R1489" s="68">
        <f t="shared" si="36"/>
        <v>8651.46</v>
      </c>
      <c r="S1489" s="70">
        <v>202303</v>
      </c>
      <c r="T1489" s="170" t="s">
        <v>1918</v>
      </c>
      <c r="U1489" s="170"/>
      <c r="V1489" s="146"/>
      <c r="W1489" s="146"/>
      <c r="X1489" s="73"/>
      <c r="Y1489" s="73"/>
    </row>
    <row r="1490" s="10" customFormat="1" customHeight="1" spans="1:25">
      <c r="A1490" s="61" t="s">
        <v>401</v>
      </c>
      <c r="B1490" s="60" t="s">
        <v>62</v>
      </c>
      <c r="C1490" s="61" t="s">
        <v>130</v>
      </c>
      <c r="D1490" s="61" t="s">
        <v>881</v>
      </c>
      <c r="E1490" s="160" t="s">
        <v>1871</v>
      </c>
      <c r="F1490" s="61" t="s">
        <v>1872</v>
      </c>
      <c r="G1490" s="161" t="s">
        <v>88</v>
      </c>
      <c r="H1490" s="45" t="s">
        <v>1873</v>
      </c>
      <c r="I1490" s="47" t="e">
        <f>VLOOKUP(H1490,'合同综合查询数据（3月返）'!$A:$A,1,FALSE)</f>
        <v>#N/A</v>
      </c>
      <c r="J1490" s="135" t="s">
        <v>90</v>
      </c>
      <c r="K1490" s="135" t="s">
        <v>1874</v>
      </c>
      <c r="L1490" s="164"/>
      <c r="M1490" s="50" t="s">
        <v>1406</v>
      </c>
      <c r="N1490" s="165">
        <v>44031</v>
      </c>
      <c r="O1490" s="172" t="s">
        <v>457</v>
      </c>
      <c r="P1490" s="196">
        <v>4866.67</v>
      </c>
      <c r="Q1490" s="196">
        <v>1</v>
      </c>
      <c r="R1490" s="68">
        <f t="shared" si="36"/>
        <v>4866.67</v>
      </c>
      <c r="S1490" s="70">
        <v>202303</v>
      </c>
      <c r="T1490" s="170" t="s">
        <v>1919</v>
      </c>
      <c r="U1490" s="170"/>
      <c r="V1490" s="146"/>
      <c r="W1490" s="146"/>
      <c r="X1490" s="73"/>
      <c r="Y1490" s="73"/>
    </row>
    <row r="1491" s="10" customFormat="1" customHeight="1" spans="1:25">
      <c r="A1491" s="61" t="s">
        <v>401</v>
      </c>
      <c r="B1491" s="60" t="s">
        <v>62</v>
      </c>
      <c r="C1491" s="61" t="s">
        <v>130</v>
      </c>
      <c r="D1491" s="61" t="s">
        <v>881</v>
      </c>
      <c r="E1491" s="160" t="s">
        <v>1871</v>
      </c>
      <c r="F1491" s="61" t="s">
        <v>1872</v>
      </c>
      <c r="G1491" s="161" t="s">
        <v>88</v>
      </c>
      <c r="H1491" s="45" t="s">
        <v>1873</v>
      </c>
      <c r="I1491" s="47" t="e">
        <f>VLOOKUP(H1491,'合同综合查询数据（3月返）'!$A:$A,1,FALSE)</f>
        <v>#N/A</v>
      </c>
      <c r="J1491" s="135" t="s">
        <v>90</v>
      </c>
      <c r="K1491" s="135" t="s">
        <v>1874</v>
      </c>
      <c r="L1491" s="164"/>
      <c r="M1491" s="50" t="s">
        <v>1406</v>
      </c>
      <c r="N1491" s="165">
        <v>44150</v>
      </c>
      <c r="O1491" s="172" t="s">
        <v>457</v>
      </c>
      <c r="P1491" s="196">
        <v>4866.67</v>
      </c>
      <c r="Q1491" s="196">
        <v>-1</v>
      </c>
      <c r="R1491" s="68">
        <f t="shared" si="36"/>
        <v>-4866.67</v>
      </c>
      <c r="S1491" s="70">
        <v>202303</v>
      </c>
      <c r="T1491" s="170" t="s">
        <v>1920</v>
      </c>
      <c r="U1491" s="170"/>
      <c r="V1491" s="146"/>
      <c r="W1491" s="146"/>
      <c r="X1491" s="73"/>
      <c r="Y1491" s="73"/>
    </row>
    <row r="1492" s="10" customFormat="1" customHeight="1" spans="1:25">
      <c r="A1492" s="61" t="s">
        <v>401</v>
      </c>
      <c r="B1492" s="60" t="s">
        <v>62</v>
      </c>
      <c r="C1492" s="61" t="s">
        <v>130</v>
      </c>
      <c r="D1492" s="61" t="s">
        <v>881</v>
      </c>
      <c r="E1492" s="160" t="s">
        <v>1871</v>
      </c>
      <c r="F1492" s="61" t="s">
        <v>1872</v>
      </c>
      <c r="G1492" s="161" t="s">
        <v>88</v>
      </c>
      <c r="H1492" s="45" t="s">
        <v>1921</v>
      </c>
      <c r="I1492" s="47" t="e">
        <f>VLOOKUP(H1492,'合同综合查询数据（3月返）'!$A:$A,1,FALSE)</f>
        <v>#N/A</v>
      </c>
      <c r="J1492" s="135" t="s">
        <v>90</v>
      </c>
      <c r="K1492" s="135" t="s">
        <v>1874</v>
      </c>
      <c r="L1492" s="164"/>
      <c r="M1492" s="50" t="s">
        <v>1406</v>
      </c>
      <c r="N1492" s="165">
        <v>44974</v>
      </c>
      <c r="O1492" s="172" t="s">
        <v>519</v>
      </c>
      <c r="P1492" s="196">
        <v>14870.52</v>
      </c>
      <c r="Q1492" s="196">
        <v>2</v>
      </c>
      <c r="R1492" s="68">
        <f t="shared" si="36"/>
        <v>29741.04</v>
      </c>
      <c r="S1492" s="70">
        <v>202303</v>
      </c>
      <c r="T1492" s="170" t="s">
        <v>1922</v>
      </c>
      <c r="U1492" s="170"/>
      <c r="V1492" s="146"/>
      <c r="W1492" s="146"/>
      <c r="X1492" s="73"/>
      <c r="Y1492" s="73"/>
    </row>
    <row r="1493" s="10" customFormat="1" customHeight="1" spans="1:25">
      <c r="A1493" s="61" t="s">
        <v>401</v>
      </c>
      <c r="B1493" s="60" t="s">
        <v>62</v>
      </c>
      <c r="C1493" s="61" t="s">
        <v>130</v>
      </c>
      <c r="D1493" s="61" t="s">
        <v>881</v>
      </c>
      <c r="E1493" s="160" t="s">
        <v>1871</v>
      </c>
      <c r="F1493" s="61" t="s">
        <v>1872</v>
      </c>
      <c r="G1493" s="161" t="s">
        <v>302</v>
      </c>
      <c r="H1493" s="45" t="s">
        <v>1923</v>
      </c>
      <c r="I1493" s="47" t="e">
        <f>VLOOKUP(H1493,'合同综合查询数据（3月返）'!$A:$A,1,FALSE)</f>
        <v>#N/A</v>
      </c>
      <c r="J1493" s="135" t="s">
        <v>302</v>
      </c>
      <c r="K1493" s="135" t="s">
        <v>1924</v>
      </c>
      <c r="L1493" s="164"/>
      <c r="M1493" s="50"/>
      <c r="N1493" s="165">
        <v>43140</v>
      </c>
      <c r="O1493" s="172" t="s">
        <v>1852</v>
      </c>
      <c r="P1493" s="196">
        <v>300000</v>
      </c>
      <c r="Q1493" s="196">
        <v>1</v>
      </c>
      <c r="R1493" s="68">
        <f t="shared" si="36"/>
        <v>300000</v>
      </c>
      <c r="S1493" s="70">
        <v>202303</v>
      </c>
      <c r="T1493" s="170" t="s">
        <v>1925</v>
      </c>
      <c r="U1493" s="170"/>
      <c r="V1493" s="146"/>
      <c r="W1493" s="146"/>
      <c r="X1493" s="73">
        <v>43739</v>
      </c>
      <c r="Y1493" s="73">
        <v>44985</v>
      </c>
    </row>
    <row r="1494" s="9" customFormat="1" customHeight="1" spans="1:25">
      <c r="A1494" s="98" t="s">
        <v>401</v>
      </c>
      <c r="B1494" s="96" t="s">
        <v>62</v>
      </c>
      <c r="C1494" s="98" t="s">
        <v>130</v>
      </c>
      <c r="D1494" s="98" t="s">
        <v>881</v>
      </c>
      <c r="E1494" s="147" t="s">
        <v>1871</v>
      </c>
      <c r="F1494" s="98" t="s">
        <v>1872</v>
      </c>
      <c r="G1494" s="151" t="s">
        <v>88</v>
      </c>
      <c r="H1494" s="19" t="s">
        <v>1926</v>
      </c>
      <c r="I1494" s="23" t="e">
        <f>VLOOKUP(H1494,'合同综合查询数据（3月返）'!$A:$A,1,FALSE)</f>
        <v>#N/A</v>
      </c>
      <c r="J1494" s="129" t="s">
        <v>126</v>
      </c>
      <c r="K1494" s="129" t="s">
        <v>1927</v>
      </c>
      <c r="L1494" s="99" t="s">
        <v>1928</v>
      </c>
      <c r="M1494" s="26" t="s">
        <v>1929</v>
      </c>
      <c r="N1494" s="154">
        <v>43482</v>
      </c>
      <c r="O1494" s="155" t="s">
        <v>127</v>
      </c>
      <c r="P1494" s="174">
        <v>0</v>
      </c>
      <c r="Q1494" s="174">
        <v>7</v>
      </c>
      <c r="R1494" s="120">
        <f t="shared" si="36"/>
        <v>0</v>
      </c>
      <c r="S1494" s="117">
        <v>202303</v>
      </c>
      <c r="T1494" s="157" t="s">
        <v>1930</v>
      </c>
      <c r="U1494" s="157"/>
      <c r="V1494" s="122"/>
      <c r="W1494" s="122"/>
      <c r="X1494" s="118">
        <v>44652</v>
      </c>
      <c r="Y1494" s="118">
        <v>45016</v>
      </c>
    </row>
    <row r="1495" s="9" customFormat="1" customHeight="1" spans="1:25">
      <c r="A1495" s="98" t="s">
        <v>401</v>
      </c>
      <c r="B1495" s="96" t="s">
        <v>62</v>
      </c>
      <c r="C1495" s="98" t="s">
        <v>130</v>
      </c>
      <c r="D1495" s="98" t="s">
        <v>881</v>
      </c>
      <c r="E1495" s="147" t="s">
        <v>1871</v>
      </c>
      <c r="F1495" s="98" t="s">
        <v>1872</v>
      </c>
      <c r="G1495" s="151" t="s">
        <v>88</v>
      </c>
      <c r="H1495" s="19" t="s">
        <v>1926</v>
      </c>
      <c r="I1495" s="23" t="e">
        <f>VLOOKUP(H1495,'合同综合查询数据（3月返）'!$A:$A,1,FALSE)</f>
        <v>#N/A</v>
      </c>
      <c r="J1495" s="129" t="s">
        <v>126</v>
      </c>
      <c r="K1495" s="129" t="s">
        <v>1931</v>
      </c>
      <c r="L1495" s="153" t="s">
        <v>1932</v>
      </c>
      <c r="M1495" s="26" t="s">
        <v>1929</v>
      </c>
      <c r="N1495" s="154">
        <v>43229</v>
      </c>
      <c r="O1495" s="155" t="s">
        <v>127</v>
      </c>
      <c r="P1495" s="174">
        <v>0</v>
      </c>
      <c r="Q1495" s="174">
        <v>7</v>
      </c>
      <c r="R1495" s="120">
        <f t="shared" si="36"/>
        <v>0</v>
      </c>
      <c r="S1495" s="117">
        <v>202303</v>
      </c>
      <c r="T1495" s="157" t="s">
        <v>1933</v>
      </c>
      <c r="U1495" s="157"/>
      <c r="V1495" s="122"/>
      <c r="W1495" s="122"/>
      <c r="X1495" s="118">
        <v>44652</v>
      </c>
      <c r="Y1495" s="118">
        <v>45016</v>
      </c>
    </row>
    <row r="1496" s="9" customFormat="1" customHeight="1" spans="1:25">
      <c r="A1496" s="98" t="s">
        <v>401</v>
      </c>
      <c r="B1496" s="96" t="s">
        <v>62</v>
      </c>
      <c r="C1496" s="98" t="s">
        <v>130</v>
      </c>
      <c r="D1496" s="98" t="s">
        <v>881</v>
      </c>
      <c r="E1496" s="147" t="s">
        <v>1871</v>
      </c>
      <c r="F1496" s="98" t="s">
        <v>1872</v>
      </c>
      <c r="G1496" s="151" t="s">
        <v>88</v>
      </c>
      <c r="H1496" s="19" t="s">
        <v>1926</v>
      </c>
      <c r="I1496" s="23" t="e">
        <f>VLOOKUP(H1496,'合同综合查询数据（3月返）'!$A:$A,1,FALSE)</f>
        <v>#N/A</v>
      </c>
      <c r="J1496" s="129" t="s">
        <v>126</v>
      </c>
      <c r="K1496" s="129" t="s">
        <v>1931</v>
      </c>
      <c r="L1496" s="153" t="s">
        <v>1932</v>
      </c>
      <c r="M1496" s="26" t="s">
        <v>1929</v>
      </c>
      <c r="N1496" s="154">
        <v>44421</v>
      </c>
      <c r="O1496" s="155" t="s">
        <v>127</v>
      </c>
      <c r="P1496" s="174">
        <v>0</v>
      </c>
      <c r="Q1496" s="174">
        <v>-7</v>
      </c>
      <c r="R1496" s="120">
        <f t="shared" si="36"/>
        <v>0</v>
      </c>
      <c r="S1496" s="117">
        <v>202303</v>
      </c>
      <c r="T1496" s="157" t="s">
        <v>1934</v>
      </c>
      <c r="U1496" s="157"/>
      <c r="V1496" s="122"/>
      <c r="W1496" s="122"/>
      <c r="X1496" s="118">
        <v>44652</v>
      </c>
      <c r="Y1496" s="118">
        <v>45016</v>
      </c>
    </row>
    <row r="1497" s="9" customFormat="1" customHeight="1" spans="1:25">
      <c r="A1497" s="98" t="s">
        <v>401</v>
      </c>
      <c r="B1497" s="96" t="s">
        <v>62</v>
      </c>
      <c r="C1497" s="98" t="s">
        <v>130</v>
      </c>
      <c r="D1497" s="98" t="s">
        <v>881</v>
      </c>
      <c r="E1497" s="147" t="s">
        <v>1871</v>
      </c>
      <c r="F1497" s="98" t="s">
        <v>1872</v>
      </c>
      <c r="G1497" s="151" t="s">
        <v>88</v>
      </c>
      <c r="H1497" s="19" t="s">
        <v>1926</v>
      </c>
      <c r="I1497" s="23" t="e">
        <f>VLOOKUP(H1497,'合同综合查询数据（3月返）'!$A:$A,1,FALSE)</f>
        <v>#N/A</v>
      </c>
      <c r="J1497" s="129" t="s">
        <v>126</v>
      </c>
      <c r="K1497" s="129" t="s">
        <v>1931</v>
      </c>
      <c r="L1497" s="153" t="s">
        <v>1935</v>
      </c>
      <c r="M1497" s="26" t="s">
        <v>1929</v>
      </c>
      <c r="N1497" s="154">
        <v>43997</v>
      </c>
      <c r="O1497" s="155" t="s">
        <v>127</v>
      </c>
      <c r="P1497" s="174">
        <v>0</v>
      </c>
      <c r="Q1497" s="174">
        <v>2</v>
      </c>
      <c r="R1497" s="120">
        <f t="shared" si="36"/>
        <v>0</v>
      </c>
      <c r="S1497" s="117">
        <v>202303</v>
      </c>
      <c r="T1497" s="157" t="s">
        <v>1936</v>
      </c>
      <c r="U1497" s="157"/>
      <c r="V1497" s="122"/>
      <c r="W1497" s="122"/>
      <c r="X1497" s="118">
        <v>44652</v>
      </c>
      <c r="Y1497" s="118">
        <v>45016</v>
      </c>
    </row>
    <row r="1498" s="9" customFormat="1" customHeight="1" spans="1:25">
      <c r="A1498" s="98" t="s">
        <v>401</v>
      </c>
      <c r="B1498" s="96" t="s">
        <v>62</v>
      </c>
      <c r="C1498" s="98" t="s">
        <v>130</v>
      </c>
      <c r="D1498" s="98" t="s">
        <v>881</v>
      </c>
      <c r="E1498" s="147" t="s">
        <v>1871</v>
      </c>
      <c r="F1498" s="98" t="s">
        <v>1872</v>
      </c>
      <c r="G1498" s="151" t="s">
        <v>88</v>
      </c>
      <c r="H1498" s="19" t="s">
        <v>1926</v>
      </c>
      <c r="I1498" s="23" t="e">
        <f>VLOOKUP(H1498,'合同综合查询数据（3月返）'!$A:$A,1,FALSE)</f>
        <v>#N/A</v>
      </c>
      <c r="J1498" s="129" t="s">
        <v>126</v>
      </c>
      <c r="K1498" s="129" t="s">
        <v>1931</v>
      </c>
      <c r="L1498" s="153" t="s">
        <v>1935</v>
      </c>
      <c r="M1498" s="26" t="s">
        <v>1929</v>
      </c>
      <c r="N1498" s="154">
        <v>44617</v>
      </c>
      <c r="O1498" s="155" t="s">
        <v>127</v>
      </c>
      <c r="P1498" s="174">
        <v>0</v>
      </c>
      <c r="Q1498" s="174">
        <v>2</v>
      </c>
      <c r="R1498" s="120">
        <f t="shared" si="36"/>
        <v>0</v>
      </c>
      <c r="S1498" s="117">
        <v>202303</v>
      </c>
      <c r="T1498" s="157" t="s">
        <v>1937</v>
      </c>
      <c r="U1498" s="157"/>
      <c r="V1498" s="122"/>
      <c r="W1498" s="122"/>
      <c r="X1498" s="118">
        <v>44652</v>
      </c>
      <c r="Y1498" s="118">
        <v>45016</v>
      </c>
    </row>
    <row r="1499" s="9" customFormat="1" customHeight="1" spans="1:25">
      <c r="A1499" s="98" t="s">
        <v>401</v>
      </c>
      <c r="B1499" s="96" t="s">
        <v>62</v>
      </c>
      <c r="C1499" s="98" t="s">
        <v>130</v>
      </c>
      <c r="D1499" s="98" t="s">
        <v>881</v>
      </c>
      <c r="E1499" s="147" t="s">
        <v>1871</v>
      </c>
      <c r="F1499" s="98" t="s">
        <v>1872</v>
      </c>
      <c r="G1499" s="151" t="s">
        <v>88</v>
      </c>
      <c r="H1499" s="19" t="s">
        <v>1926</v>
      </c>
      <c r="I1499" s="23" t="e">
        <f>VLOOKUP(H1499,'合同综合查询数据（3月返）'!$A:$A,1,FALSE)</f>
        <v>#N/A</v>
      </c>
      <c r="J1499" s="129" t="s">
        <v>126</v>
      </c>
      <c r="K1499" s="129" t="s">
        <v>1931</v>
      </c>
      <c r="L1499" s="153" t="s">
        <v>1935</v>
      </c>
      <c r="M1499" s="26" t="s">
        <v>1929</v>
      </c>
      <c r="N1499" s="154">
        <v>44712</v>
      </c>
      <c r="O1499" s="155" t="s">
        <v>127</v>
      </c>
      <c r="P1499" s="174">
        <v>0</v>
      </c>
      <c r="Q1499" s="174">
        <v>-4</v>
      </c>
      <c r="R1499" s="120">
        <f t="shared" si="36"/>
        <v>0</v>
      </c>
      <c r="S1499" s="117">
        <v>202303</v>
      </c>
      <c r="T1499" s="157" t="s">
        <v>1938</v>
      </c>
      <c r="U1499" s="157"/>
      <c r="V1499" s="122"/>
      <c r="W1499" s="122"/>
      <c r="X1499" s="118">
        <v>44652</v>
      </c>
      <c r="Y1499" s="118">
        <v>45016</v>
      </c>
    </row>
    <row r="1500" s="9" customFormat="1" customHeight="1" spans="1:25">
      <c r="A1500" s="98" t="s">
        <v>401</v>
      </c>
      <c r="B1500" s="96" t="s">
        <v>62</v>
      </c>
      <c r="C1500" s="98" t="s">
        <v>130</v>
      </c>
      <c r="D1500" s="98" t="s">
        <v>881</v>
      </c>
      <c r="E1500" s="147" t="s">
        <v>1871</v>
      </c>
      <c r="F1500" s="98" t="s">
        <v>1872</v>
      </c>
      <c r="G1500" s="151" t="s">
        <v>31</v>
      </c>
      <c r="H1500" s="19" t="s">
        <v>1926</v>
      </c>
      <c r="I1500" s="23" t="e">
        <f>VLOOKUP(H1500,'合同综合查询数据（3月返）'!$A:$A,1,FALSE)</f>
        <v>#N/A</v>
      </c>
      <c r="J1500" s="129" t="s">
        <v>33</v>
      </c>
      <c r="K1500" s="129" t="s">
        <v>1931</v>
      </c>
      <c r="L1500" s="153" t="s">
        <v>1935</v>
      </c>
      <c r="M1500" s="26"/>
      <c r="N1500" s="154">
        <v>43997</v>
      </c>
      <c r="O1500" s="155"/>
      <c r="P1500" s="174">
        <v>0</v>
      </c>
      <c r="Q1500" s="174">
        <v>288</v>
      </c>
      <c r="R1500" s="120">
        <f t="shared" si="36"/>
        <v>0</v>
      </c>
      <c r="S1500" s="117">
        <v>202303</v>
      </c>
      <c r="T1500" s="157" t="s">
        <v>1939</v>
      </c>
      <c r="U1500" s="157"/>
      <c r="V1500" s="122"/>
      <c r="W1500" s="122"/>
      <c r="X1500" s="118">
        <v>44652</v>
      </c>
      <c r="Y1500" s="118">
        <v>45016</v>
      </c>
    </row>
    <row r="1501" s="9" customFormat="1" customHeight="1" spans="1:25">
      <c r="A1501" s="98" t="s">
        <v>401</v>
      </c>
      <c r="B1501" s="96" t="s">
        <v>62</v>
      </c>
      <c r="C1501" s="98" t="s">
        <v>130</v>
      </c>
      <c r="D1501" s="98" t="s">
        <v>881</v>
      </c>
      <c r="E1501" s="147" t="s">
        <v>1871</v>
      </c>
      <c r="F1501" s="98" t="s">
        <v>1872</v>
      </c>
      <c r="G1501" s="151" t="s">
        <v>31</v>
      </c>
      <c r="H1501" s="19" t="s">
        <v>1926</v>
      </c>
      <c r="I1501" s="23" t="e">
        <f>VLOOKUP(H1501,'合同综合查询数据（3月返）'!$A:$A,1,FALSE)</f>
        <v>#N/A</v>
      </c>
      <c r="J1501" s="129" t="s">
        <v>33</v>
      </c>
      <c r="K1501" s="129" t="s">
        <v>1931</v>
      </c>
      <c r="L1501" s="153" t="s">
        <v>1935</v>
      </c>
      <c r="M1501" s="26"/>
      <c r="N1501" s="154">
        <v>44712</v>
      </c>
      <c r="O1501" s="155"/>
      <c r="P1501" s="174">
        <v>0</v>
      </c>
      <c r="Q1501" s="174">
        <v>-288</v>
      </c>
      <c r="R1501" s="120">
        <f t="shared" si="36"/>
        <v>0</v>
      </c>
      <c r="S1501" s="117">
        <v>202303</v>
      </c>
      <c r="T1501" s="157" t="s">
        <v>1940</v>
      </c>
      <c r="U1501" s="157"/>
      <c r="V1501" s="122"/>
      <c r="W1501" s="122"/>
      <c r="X1501" s="118">
        <v>44652</v>
      </c>
      <c r="Y1501" s="118">
        <v>45016</v>
      </c>
    </row>
    <row r="1502" s="9" customFormat="1" customHeight="1" spans="1:25">
      <c r="A1502" s="98" t="s">
        <v>401</v>
      </c>
      <c r="B1502" s="96" t="s">
        <v>62</v>
      </c>
      <c r="C1502" s="98" t="s">
        <v>130</v>
      </c>
      <c r="D1502" s="98" t="s">
        <v>881</v>
      </c>
      <c r="E1502" s="147" t="s">
        <v>1871</v>
      </c>
      <c r="F1502" s="98" t="s">
        <v>1872</v>
      </c>
      <c r="G1502" s="151" t="s">
        <v>88</v>
      </c>
      <c r="H1502" s="19" t="s">
        <v>1926</v>
      </c>
      <c r="I1502" s="23" t="e">
        <f>VLOOKUP(H1502,'合同综合查询数据（3月返）'!$A:$A,1,FALSE)</f>
        <v>#N/A</v>
      </c>
      <c r="J1502" s="129" t="s">
        <v>1941</v>
      </c>
      <c r="K1502" s="129" t="s">
        <v>1931</v>
      </c>
      <c r="L1502" s="153" t="s">
        <v>1942</v>
      </c>
      <c r="M1502" s="26" t="s">
        <v>1929</v>
      </c>
      <c r="N1502" s="154" t="s">
        <v>623</v>
      </c>
      <c r="O1502" s="155" t="s">
        <v>127</v>
      </c>
      <c r="P1502" s="174">
        <v>0</v>
      </c>
      <c r="Q1502" s="174">
        <v>3</v>
      </c>
      <c r="R1502" s="120">
        <f t="shared" si="36"/>
        <v>0</v>
      </c>
      <c r="S1502" s="117">
        <v>202303</v>
      </c>
      <c r="T1502" s="157" t="s">
        <v>1943</v>
      </c>
      <c r="U1502" s="157"/>
      <c r="V1502" s="122"/>
      <c r="W1502" s="122"/>
      <c r="X1502" s="118">
        <v>44652</v>
      </c>
      <c r="Y1502" s="118">
        <v>45016</v>
      </c>
    </row>
    <row r="1503" s="9" customFormat="1" customHeight="1" spans="1:25">
      <c r="A1503" s="98" t="s">
        <v>401</v>
      </c>
      <c r="B1503" s="96" t="s">
        <v>62</v>
      </c>
      <c r="C1503" s="98" t="s">
        <v>130</v>
      </c>
      <c r="D1503" s="98" t="s">
        <v>881</v>
      </c>
      <c r="E1503" s="147" t="s">
        <v>1871</v>
      </c>
      <c r="F1503" s="98" t="s">
        <v>1872</v>
      </c>
      <c r="G1503" s="151" t="s">
        <v>31</v>
      </c>
      <c r="H1503" s="19" t="s">
        <v>1926</v>
      </c>
      <c r="I1503" s="23" t="e">
        <f>VLOOKUP(H1503,'合同综合查询数据（3月返）'!$A:$A,1,FALSE)</f>
        <v>#N/A</v>
      </c>
      <c r="J1503" s="129" t="s">
        <v>1019</v>
      </c>
      <c r="K1503" s="129" t="s">
        <v>1931</v>
      </c>
      <c r="L1503" s="153" t="s">
        <v>1942</v>
      </c>
      <c r="M1503" s="26"/>
      <c r="N1503" s="154" t="s">
        <v>1225</v>
      </c>
      <c r="O1503" s="155"/>
      <c r="P1503" s="174">
        <v>20</v>
      </c>
      <c r="Q1503" s="174">
        <v>256</v>
      </c>
      <c r="R1503" s="120">
        <f t="shared" si="36"/>
        <v>5120</v>
      </c>
      <c r="S1503" s="117">
        <v>202303</v>
      </c>
      <c r="T1503" s="157" t="s">
        <v>1944</v>
      </c>
      <c r="U1503" s="157"/>
      <c r="V1503" s="122"/>
      <c r="W1503" s="122"/>
      <c r="X1503" s="118">
        <v>44652</v>
      </c>
      <c r="Y1503" s="118">
        <v>45016</v>
      </c>
    </row>
    <row r="1504" s="9" customFormat="1" customHeight="1" spans="1:25">
      <c r="A1504" s="98" t="s">
        <v>401</v>
      </c>
      <c r="B1504" s="96" t="s">
        <v>62</v>
      </c>
      <c r="C1504" s="98" t="s">
        <v>130</v>
      </c>
      <c r="D1504" s="98" t="s">
        <v>881</v>
      </c>
      <c r="E1504" s="147" t="s">
        <v>1871</v>
      </c>
      <c r="F1504" s="98" t="s">
        <v>1872</v>
      </c>
      <c r="G1504" s="151" t="s">
        <v>88</v>
      </c>
      <c r="H1504" s="19" t="s">
        <v>1926</v>
      </c>
      <c r="I1504" s="23" t="e">
        <f>VLOOKUP(H1504,'合同综合查询数据（3月返）'!$A:$A,1,FALSE)</f>
        <v>#N/A</v>
      </c>
      <c r="J1504" s="129" t="s">
        <v>1941</v>
      </c>
      <c r="K1504" s="129" t="s">
        <v>1931</v>
      </c>
      <c r="L1504" s="153" t="s">
        <v>1942</v>
      </c>
      <c r="M1504" s="26" t="s">
        <v>1929</v>
      </c>
      <c r="N1504" s="154">
        <v>44804</v>
      </c>
      <c r="O1504" s="155" t="s">
        <v>127</v>
      </c>
      <c r="P1504" s="156">
        <v>0</v>
      </c>
      <c r="Q1504" s="156">
        <v>-3</v>
      </c>
      <c r="R1504" s="120">
        <f t="shared" si="36"/>
        <v>0</v>
      </c>
      <c r="S1504" s="117">
        <v>202303</v>
      </c>
      <c r="T1504" s="157" t="s">
        <v>1945</v>
      </c>
      <c r="U1504" s="157"/>
      <c r="V1504" s="122"/>
      <c r="W1504" s="122"/>
      <c r="X1504" s="118">
        <v>44652</v>
      </c>
      <c r="Y1504" s="118">
        <v>45016</v>
      </c>
    </row>
    <row r="1505" s="9" customFormat="1" customHeight="1" spans="1:25">
      <c r="A1505" s="98" t="s">
        <v>401</v>
      </c>
      <c r="B1505" s="96" t="s">
        <v>62</v>
      </c>
      <c r="C1505" s="98" t="s">
        <v>130</v>
      </c>
      <c r="D1505" s="98" t="s">
        <v>881</v>
      </c>
      <c r="E1505" s="147" t="s">
        <v>1871</v>
      </c>
      <c r="F1505" s="98" t="s">
        <v>1872</v>
      </c>
      <c r="G1505" s="151" t="s">
        <v>31</v>
      </c>
      <c r="H1505" s="19" t="s">
        <v>1926</v>
      </c>
      <c r="I1505" s="23" t="e">
        <f>VLOOKUP(H1505,'合同综合查询数据（3月返）'!$A:$A,1,FALSE)</f>
        <v>#N/A</v>
      </c>
      <c r="J1505" s="129" t="s">
        <v>1019</v>
      </c>
      <c r="K1505" s="129" t="s">
        <v>1931</v>
      </c>
      <c r="L1505" s="153" t="s">
        <v>1942</v>
      </c>
      <c r="M1505" s="26"/>
      <c r="N1505" s="154">
        <v>44804</v>
      </c>
      <c r="O1505" s="155"/>
      <c r="P1505" s="156">
        <v>20</v>
      </c>
      <c r="Q1505" s="156">
        <v>-256</v>
      </c>
      <c r="R1505" s="120">
        <f t="shared" si="36"/>
        <v>-5120</v>
      </c>
      <c r="S1505" s="117">
        <v>202303</v>
      </c>
      <c r="T1505" s="157" t="s">
        <v>1946</v>
      </c>
      <c r="U1505" s="157"/>
      <c r="V1505" s="122"/>
      <c r="W1505" s="122"/>
      <c r="X1505" s="118">
        <v>44652</v>
      </c>
      <c r="Y1505" s="118">
        <v>45016</v>
      </c>
    </row>
    <row r="1506" s="9" customFormat="1" customHeight="1" spans="1:25">
      <c r="A1506" s="98" t="s">
        <v>401</v>
      </c>
      <c r="B1506" s="96" t="s">
        <v>62</v>
      </c>
      <c r="C1506" s="98" t="s">
        <v>130</v>
      </c>
      <c r="D1506" s="98" t="s">
        <v>881</v>
      </c>
      <c r="E1506" s="147" t="s">
        <v>1871</v>
      </c>
      <c r="F1506" s="98" t="s">
        <v>1872</v>
      </c>
      <c r="G1506" s="151" t="s">
        <v>88</v>
      </c>
      <c r="H1506" s="19" t="s">
        <v>1926</v>
      </c>
      <c r="I1506" s="23" t="e">
        <f>VLOOKUP(H1506,'合同综合查询数据（3月返）'!$A:$A,1,FALSE)</f>
        <v>#N/A</v>
      </c>
      <c r="J1506" s="129" t="s">
        <v>126</v>
      </c>
      <c r="K1506" s="129" t="s">
        <v>1931</v>
      </c>
      <c r="L1506" s="99" t="s">
        <v>1947</v>
      </c>
      <c r="M1506" s="26" t="s">
        <v>1948</v>
      </c>
      <c r="N1506" s="154" t="s">
        <v>1225</v>
      </c>
      <c r="O1506" s="155" t="s">
        <v>457</v>
      </c>
      <c r="P1506" s="174">
        <v>0</v>
      </c>
      <c r="Q1506" s="174">
        <v>5</v>
      </c>
      <c r="R1506" s="120">
        <f t="shared" si="36"/>
        <v>0</v>
      </c>
      <c r="S1506" s="117">
        <v>202303</v>
      </c>
      <c r="T1506" s="157" t="s">
        <v>1949</v>
      </c>
      <c r="U1506" s="157"/>
      <c r="V1506" s="122"/>
      <c r="W1506" s="122"/>
      <c r="X1506" s="118">
        <v>44652</v>
      </c>
      <c r="Y1506" s="118">
        <v>45016</v>
      </c>
    </row>
    <row r="1507" s="9" customFormat="1" customHeight="1" spans="1:25">
      <c r="A1507" s="98" t="s">
        <v>401</v>
      </c>
      <c r="B1507" s="96" t="s">
        <v>62</v>
      </c>
      <c r="C1507" s="98" t="s">
        <v>130</v>
      </c>
      <c r="D1507" s="98" t="s">
        <v>881</v>
      </c>
      <c r="E1507" s="147" t="s">
        <v>1871</v>
      </c>
      <c r="F1507" s="98" t="s">
        <v>1872</v>
      </c>
      <c r="G1507" s="151" t="s">
        <v>31</v>
      </c>
      <c r="H1507" s="19" t="s">
        <v>1926</v>
      </c>
      <c r="I1507" s="23" t="e">
        <f>VLOOKUP(H1507,'合同综合查询数据（3月返）'!$A:$A,1,FALSE)</f>
        <v>#N/A</v>
      </c>
      <c r="J1507" s="129" t="s">
        <v>33</v>
      </c>
      <c r="K1507" s="129" t="s">
        <v>1931</v>
      </c>
      <c r="L1507" s="99" t="s">
        <v>1947</v>
      </c>
      <c r="M1507" s="26"/>
      <c r="N1507" s="154">
        <v>42217</v>
      </c>
      <c r="O1507" s="155"/>
      <c r="P1507" s="174">
        <v>0</v>
      </c>
      <c r="Q1507" s="174">
        <v>256</v>
      </c>
      <c r="R1507" s="120">
        <f t="shared" si="36"/>
        <v>0</v>
      </c>
      <c r="S1507" s="117">
        <v>202303</v>
      </c>
      <c r="T1507" s="157" t="s">
        <v>1950</v>
      </c>
      <c r="U1507" s="157"/>
      <c r="V1507" s="122"/>
      <c r="W1507" s="122"/>
      <c r="X1507" s="118">
        <v>44652</v>
      </c>
      <c r="Y1507" s="118">
        <v>45016</v>
      </c>
    </row>
    <row r="1508" s="9" customFormat="1" customHeight="1" spans="1:25">
      <c r="A1508" s="98" t="s">
        <v>401</v>
      </c>
      <c r="B1508" s="96" t="s">
        <v>62</v>
      </c>
      <c r="C1508" s="98" t="s">
        <v>130</v>
      </c>
      <c r="D1508" s="98" t="s">
        <v>881</v>
      </c>
      <c r="E1508" s="147" t="s">
        <v>1871</v>
      </c>
      <c r="F1508" s="98" t="s">
        <v>1872</v>
      </c>
      <c r="G1508" s="151" t="s">
        <v>31</v>
      </c>
      <c r="H1508" s="19" t="s">
        <v>1926</v>
      </c>
      <c r="I1508" s="23" t="e">
        <f>VLOOKUP(H1508,'合同综合查询数据（3月返）'!$A:$A,1,FALSE)</f>
        <v>#N/A</v>
      </c>
      <c r="J1508" s="129" t="s">
        <v>33</v>
      </c>
      <c r="K1508" s="129" t="s">
        <v>1931</v>
      </c>
      <c r="L1508" s="99" t="s">
        <v>1951</v>
      </c>
      <c r="M1508" s="26"/>
      <c r="N1508" s="154">
        <v>44153</v>
      </c>
      <c r="O1508" s="155"/>
      <c r="P1508" s="174">
        <v>0</v>
      </c>
      <c r="Q1508" s="174">
        <v>256</v>
      </c>
      <c r="R1508" s="120">
        <f t="shared" si="36"/>
        <v>0</v>
      </c>
      <c r="S1508" s="117">
        <v>202303</v>
      </c>
      <c r="T1508" s="157" t="s">
        <v>1952</v>
      </c>
      <c r="U1508" s="157"/>
      <c r="V1508" s="122"/>
      <c r="W1508" s="122"/>
      <c r="X1508" s="118">
        <v>44652</v>
      </c>
      <c r="Y1508" s="118">
        <v>45016</v>
      </c>
    </row>
    <row r="1509" s="9" customFormat="1" customHeight="1" spans="1:25">
      <c r="A1509" s="98" t="s">
        <v>401</v>
      </c>
      <c r="B1509" s="96" t="s">
        <v>62</v>
      </c>
      <c r="C1509" s="98" t="s">
        <v>130</v>
      </c>
      <c r="D1509" s="98" t="s">
        <v>881</v>
      </c>
      <c r="E1509" s="147" t="s">
        <v>1871</v>
      </c>
      <c r="F1509" s="98" t="s">
        <v>1872</v>
      </c>
      <c r="G1509" s="151" t="s">
        <v>31</v>
      </c>
      <c r="H1509" s="19" t="s">
        <v>1926</v>
      </c>
      <c r="I1509" s="23" t="e">
        <f>VLOOKUP(H1509,'合同综合查询数据（3月返）'!$A:$A,1,FALSE)</f>
        <v>#N/A</v>
      </c>
      <c r="J1509" s="129" t="s">
        <v>33</v>
      </c>
      <c r="K1509" s="129" t="s">
        <v>1931</v>
      </c>
      <c r="L1509" s="99" t="s">
        <v>1928</v>
      </c>
      <c r="M1509" s="26"/>
      <c r="N1509" s="154">
        <v>44153</v>
      </c>
      <c r="O1509" s="155"/>
      <c r="P1509" s="174">
        <v>0</v>
      </c>
      <c r="Q1509" s="174">
        <v>544</v>
      </c>
      <c r="R1509" s="120">
        <f t="shared" si="36"/>
        <v>0</v>
      </c>
      <c r="S1509" s="117">
        <v>202303</v>
      </c>
      <c r="T1509" s="157" t="s">
        <v>1953</v>
      </c>
      <c r="U1509" s="157"/>
      <c r="V1509" s="122"/>
      <c r="W1509" s="122"/>
      <c r="X1509" s="118">
        <v>44652</v>
      </c>
      <c r="Y1509" s="118">
        <v>45016</v>
      </c>
    </row>
    <row r="1510" s="9" customFormat="1" customHeight="1" spans="1:25">
      <c r="A1510" s="98" t="s">
        <v>401</v>
      </c>
      <c r="B1510" s="96" t="s">
        <v>62</v>
      </c>
      <c r="C1510" s="98" t="s">
        <v>130</v>
      </c>
      <c r="D1510" s="98" t="s">
        <v>881</v>
      </c>
      <c r="E1510" s="147" t="s">
        <v>1871</v>
      </c>
      <c r="F1510" s="98" t="s">
        <v>1872</v>
      </c>
      <c r="G1510" s="151" t="s">
        <v>88</v>
      </c>
      <c r="H1510" s="19" t="s">
        <v>1926</v>
      </c>
      <c r="I1510" s="23" t="e">
        <f>VLOOKUP(H1510,'合同综合查询数据（3月返）'!$A:$A,1,FALSE)</f>
        <v>#N/A</v>
      </c>
      <c r="J1510" s="129" t="s">
        <v>126</v>
      </c>
      <c r="K1510" s="129"/>
      <c r="L1510" s="99" t="s">
        <v>1954</v>
      </c>
      <c r="M1510" s="26" t="s">
        <v>1929</v>
      </c>
      <c r="N1510" s="154">
        <v>44531</v>
      </c>
      <c r="O1510" s="155" t="s">
        <v>127</v>
      </c>
      <c r="P1510" s="174">
        <v>0</v>
      </c>
      <c r="Q1510" s="174">
        <v>2</v>
      </c>
      <c r="R1510" s="120">
        <f t="shared" si="36"/>
        <v>0</v>
      </c>
      <c r="S1510" s="117">
        <v>202303</v>
      </c>
      <c r="T1510" s="157" t="s">
        <v>1955</v>
      </c>
      <c r="U1510" s="157"/>
      <c r="V1510" s="122"/>
      <c r="W1510" s="122"/>
      <c r="X1510" s="118">
        <v>44652</v>
      </c>
      <c r="Y1510" s="118">
        <v>45016</v>
      </c>
    </row>
    <row r="1511" s="9" customFormat="1" customHeight="1" spans="1:25">
      <c r="A1511" s="98" t="s">
        <v>401</v>
      </c>
      <c r="B1511" s="96" t="s">
        <v>62</v>
      </c>
      <c r="C1511" s="98" t="s">
        <v>130</v>
      </c>
      <c r="D1511" s="98" t="s">
        <v>881</v>
      </c>
      <c r="E1511" s="147" t="s">
        <v>1871</v>
      </c>
      <c r="F1511" s="98" t="s">
        <v>1872</v>
      </c>
      <c r="G1511" s="151" t="s">
        <v>88</v>
      </c>
      <c r="H1511" s="19" t="s">
        <v>1926</v>
      </c>
      <c r="I1511" s="23" t="e">
        <f>VLOOKUP(H1511,'合同综合查询数据（3月返）'!$A:$A,1,FALSE)</f>
        <v>#N/A</v>
      </c>
      <c r="J1511" s="129" t="s">
        <v>126</v>
      </c>
      <c r="K1511" s="129"/>
      <c r="L1511" s="99" t="s">
        <v>1954</v>
      </c>
      <c r="M1511" s="26" t="s">
        <v>1929</v>
      </c>
      <c r="N1511" s="154">
        <v>44926</v>
      </c>
      <c r="O1511" s="155" t="s">
        <v>127</v>
      </c>
      <c r="P1511" s="174">
        <v>0</v>
      </c>
      <c r="Q1511" s="174">
        <v>-2</v>
      </c>
      <c r="R1511" s="120">
        <f t="shared" ref="R1511:R1528" si="37">ROUND(P1511*Q1511,2)</f>
        <v>0</v>
      </c>
      <c r="S1511" s="117">
        <v>202303</v>
      </c>
      <c r="T1511" s="157" t="s">
        <v>1955</v>
      </c>
      <c r="U1511" s="157"/>
      <c r="V1511" s="122"/>
      <c r="W1511" s="122"/>
      <c r="X1511" s="118">
        <v>44652</v>
      </c>
      <c r="Y1511" s="118">
        <v>45016</v>
      </c>
    </row>
    <row r="1512" s="9" customFormat="1" customHeight="1" spans="1:25">
      <c r="A1512" s="98" t="s">
        <v>401</v>
      </c>
      <c r="B1512" s="96" t="s">
        <v>62</v>
      </c>
      <c r="C1512" s="98" t="s">
        <v>130</v>
      </c>
      <c r="D1512" s="98" t="s">
        <v>881</v>
      </c>
      <c r="E1512" s="147" t="s">
        <v>1871</v>
      </c>
      <c r="F1512" s="98" t="s">
        <v>1872</v>
      </c>
      <c r="G1512" s="151" t="s">
        <v>88</v>
      </c>
      <c r="H1512" s="19" t="s">
        <v>1926</v>
      </c>
      <c r="I1512" s="23" t="e">
        <f>VLOOKUP(H1512,'合同综合查询数据（3月返）'!$A:$A,1,FALSE)</f>
        <v>#N/A</v>
      </c>
      <c r="J1512" s="129" t="s">
        <v>126</v>
      </c>
      <c r="K1512" s="129"/>
      <c r="L1512" s="99" t="s">
        <v>1956</v>
      </c>
      <c r="M1512" s="26" t="s">
        <v>1929</v>
      </c>
      <c r="N1512" s="154">
        <v>44531</v>
      </c>
      <c r="O1512" s="155" t="s">
        <v>127</v>
      </c>
      <c r="P1512" s="174">
        <v>0</v>
      </c>
      <c r="Q1512" s="174">
        <v>2</v>
      </c>
      <c r="R1512" s="120">
        <f t="shared" si="37"/>
        <v>0</v>
      </c>
      <c r="S1512" s="117">
        <v>202303</v>
      </c>
      <c r="T1512" s="157" t="s">
        <v>1957</v>
      </c>
      <c r="U1512" s="157"/>
      <c r="V1512" s="122"/>
      <c r="W1512" s="122"/>
      <c r="X1512" s="118">
        <v>44652</v>
      </c>
      <c r="Y1512" s="118">
        <v>45016</v>
      </c>
    </row>
    <row r="1513" s="9" customFormat="1" customHeight="1" spans="1:25">
      <c r="A1513" s="98" t="s">
        <v>401</v>
      </c>
      <c r="B1513" s="96" t="s">
        <v>62</v>
      </c>
      <c r="C1513" s="98" t="s">
        <v>130</v>
      </c>
      <c r="D1513" s="98" t="s">
        <v>881</v>
      </c>
      <c r="E1513" s="147" t="s">
        <v>1871</v>
      </c>
      <c r="F1513" s="98" t="s">
        <v>1872</v>
      </c>
      <c r="G1513" s="151" t="s">
        <v>88</v>
      </c>
      <c r="H1513" s="19" t="s">
        <v>1926</v>
      </c>
      <c r="I1513" s="23" t="e">
        <f>VLOOKUP(H1513,'合同综合查询数据（3月返）'!$A:$A,1,FALSE)</f>
        <v>#N/A</v>
      </c>
      <c r="J1513" s="129" t="s">
        <v>126</v>
      </c>
      <c r="K1513" s="129"/>
      <c r="L1513" s="99" t="s">
        <v>1956</v>
      </c>
      <c r="M1513" s="26" t="s">
        <v>1929</v>
      </c>
      <c r="N1513" s="154">
        <v>44926</v>
      </c>
      <c r="O1513" s="155" t="s">
        <v>127</v>
      </c>
      <c r="P1513" s="174">
        <v>0</v>
      </c>
      <c r="Q1513" s="174">
        <v>-2</v>
      </c>
      <c r="R1513" s="120">
        <f t="shared" si="37"/>
        <v>0</v>
      </c>
      <c r="S1513" s="117">
        <v>202303</v>
      </c>
      <c r="T1513" s="157" t="s">
        <v>1957</v>
      </c>
      <c r="U1513" s="157"/>
      <c r="V1513" s="122"/>
      <c r="W1513" s="122"/>
      <c r="X1513" s="118">
        <v>44652</v>
      </c>
      <c r="Y1513" s="118">
        <v>45016</v>
      </c>
    </row>
    <row r="1514" s="9" customFormat="1" customHeight="1" spans="1:25">
      <c r="A1514" s="98" t="s">
        <v>401</v>
      </c>
      <c r="B1514" s="96" t="s">
        <v>62</v>
      </c>
      <c r="C1514" s="98" t="s">
        <v>130</v>
      </c>
      <c r="D1514" s="98" t="s">
        <v>881</v>
      </c>
      <c r="E1514" s="147" t="s">
        <v>1871</v>
      </c>
      <c r="F1514" s="98" t="s">
        <v>1872</v>
      </c>
      <c r="G1514" s="151" t="s">
        <v>31</v>
      </c>
      <c r="H1514" s="19" t="s">
        <v>1926</v>
      </c>
      <c r="I1514" s="23" t="e">
        <f>VLOOKUP(H1514,'合同综合查询数据（3月返）'!$A:$A,1,FALSE)</f>
        <v>#N/A</v>
      </c>
      <c r="J1514" s="129" t="s">
        <v>33</v>
      </c>
      <c r="K1514" s="129"/>
      <c r="L1514" s="99" t="s">
        <v>1954</v>
      </c>
      <c r="M1514" s="26"/>
      <c r="N1514" s="154">
        <v>44531</v>
      </c>
      <c r="O1514" s="155"/>
      <c r="P1514" s="174">
        <v>0</v>
      </c>
      <c r="Q1514" s="174">
        <f>128+160</f>
        <v>288</v>
      </c>
      <c r="R1514" s="120">
        <f t="shared" si="37"/>
        <v>0</v>
      </c>
      <c r="S1514" s="117">
        <v>202303</v>
      </c>
      <c r="T1514" s="157" t="s">
        <v>1958</v>
      </c>
      <c r="U1514" s="157"/>
      <c r="V1514" s="122"/>
      <c r="W1514" s="122"/>
      <c r="X1514" s="118">
        <v>44652</v>
      </c>
      <c r="Y1514" s="118">
        <v>45016</v>
      </c>
    </row>
    <row r="1515" s="9" customFormat="1" customHeight="1" spans="1:25">
      <c r="A1515" s="98" t="s">
        <v>401</v>
      </c>
      <c r="B1515" s="96" t="s">
        <v>62</v>
      </c>
      <c r="C1515" s="98" t="s">
        <v>130</v>
      </c>
      <c r="D1515" s="98" t="s">
        <v>881</v>
      </c>
      <c r="E1515" s="147" t="s">
        <v>1871</v>
      </c>
      <c r="F1515" s="98" t="s">
        <v>1872</v>
      </c>
      <c r="G1515" s="151" t="s">
        <v>31</v>
      </c>
      <c r="H1515" s="19" t="s">
        <v>1926</v>
      </c>
      <c r="I1515" s="23" t="e">
        <f>VLOOKUP(H1515,'合同综合查询数据（3月返）'!$A:$A,1,FALSE)</f>
        <v>#N/A</v>
      </c>
      <c r="J1515" s="129" t="s">
        <v>33</v>
      </c>
      <c r="K1515" s="129"/>
      <c r="L1515" s="99" t="s">
        <v>1954</v>
      </c>
      <c r="M1515" s="26"/>
      <c r="N1515" s="154">
        <v>44926</v>
      </c>
      <c r="O1515" s="155"/>
      <c r="P1515" s="174">
        <v>0</v>
      </c>
      <c r="Q1515" s="174">
        <v>-288</v>
      </c>
      <c r="R1515" s="120">
        <f t="shared" si="37"/>
        <v>0</v>
      </c>
      <c r="S1515" s="117">
        <v>202303</v>
      </c>
      <c r="T1515" s="157" t="s">
        <v>1958</v>
      </c>
      <c r="U1515" s="157"/>
      <c r="V1515" s="122"/>
      <c r="W1515" s="122"/>
      <c r="X1515" s="118">
        <v>44652</v>
      </c>
      <c r="Y1515" s="118">
        <v>45016</v>
      </c>
    </row>
    <row r="1516" s="9" customFormat="1" customHeight="1" spans="1:25">
      <c r="A1516" s="98" t="s">
        <v>401</v>
      </c>
      <c r="B1516" s="96" t="s">
        <v>62</v>
      </c>
      <c r="C1516" s="98" t="s">
        <v>130</v>
      </c>
      <c r="D1516" s="98" t="s">
        <v>881</v>
      </c>
      <c r="E1516" s="147" t="s">
        <v>1871</v>
      </c>
      <c r="F1516" s="98" t="s">
        <v>1872</v>
      </c>
      <c r="G1516" s="151" t="s">
        <v>31</v>
      </c>
      <c r="H1516" s="19" t="s">
        <v>1926</v>
      </c>
      <c r="I1516" s="23" t="e">
        <f>VLOOKUP(H1516,'合同综合查询数据（3月返）'!$A:$A,1,FALSE)</f>
        <v>#N/A</v>
      </c>
      <c r="J1516" s="129" t="s">
        <v>33</v>
      </c>
      <c r="K1516" s="129"/>
      <c r="L1516" s="99" t="s">
        <v>1956</v>
      </c>
      <c r="M1516" s="26"/>
      <c r="N1516" s="154">
        <v>44531</v>
      </c>
      <c r="O1516" s="155"/>
      <c r="P1516" s="174">
        <v>0</v>
      </c>
      <c r="Q1516" s="174">
        <v>160</v>
      </c>
      <c r="R1516" s="120">
        <f t="shared" si="37"/>
        <v>0</v>
      </c>
      <c r="S1516" s="117">
        <v>202303</v>
      </c>
      <c r="T1516" s="157" t="s">
        <v>1959</v>
      </c>
      <c r="U1516" s="157"/>
      <c r="V1516" s="122"/>
      <c r="W1516" s="122"/>
      <c r="X1516" s="118">
        <v>44652</v>
      </c>
      <c r="Y1516" s="118">
        <v>45016</v>
      </c>
    </row>
    <row r="1517" s="9" customFormat="1" customHeight="1" spans="1:25">
      <c r="A1517" s="98" t="s">
        <v>401</v>
      </c>
      <c r="B1517" s="96" t="s">
        <v>62</v>
      </c>
      <c r="C1517" s="98" t="s">
        <v>130</v>
      </c>
      <c r="D1517" s="98" t="s">
        <v>881</v>
      </c>
      <c r="E1517" s="147" t="s">
        <v>1871</v>
      </c>
      <c r="F1517" s="98" t="s">
        <v>1872</v>
      </c>
      <c r="G1517" s="151" t="s">
        <v>31</v>
      </c>
      <c r="H1517" s="19" t="s">
        <v>1926</v>
      </c>
      <c r="I1517" s="23" t="e">
        <f>VLOOKUP(H1517,'合同综合查询数据（3月返）'!$A:$A,1,FALSE)</f>
        <v>#N/A</v>
      </c>
      <c r="J1517" s="129" t="s">
        <v>33</v>
      </c>
      <c r="K1517" s="129"/>
      <c r="L1517" s="99" t="s">
        <v>1956</v>
      </c>
      <c r="M1517" s="26"/>
      <c r="N1517" s="154">
        <v>44926</v>
      </c>
      <c r="O1517" s="155"/>
      <c r="P1517" s="174">
        <v>0</v>
      </c>
      <c r="Q1517" s="174">
        <v>-160</v>
      </c>
      <c r="R1517" s="120">
        <f t="shared" si="37"/>
        <v>0</v>
      </c>
      <c r="S1517" s="117">
        <v>202303</v>
      </c>
      <c r="T1517" s="157" t="s">
        <v>1959</v>
      </c>
      <c r="U1517" s="157"/>
      <c r="V1517" s="122"/>
      <c r="W1517" s="122"/>
      <c r="X1517" s="118">
        <v>44652</v>
      </c>
      <c r="Y1517" s="118">
        <v>45016</v>
      </c>
    </row>
    <row r="1518" s="9" customFormat="1" customHeight="1" spans="1:25">
      <c r="A1518" s="98" t="s">
        <v>401</v>
      </c>
      <c r="B1518" s="96" t="s">
        <v>62</v>
      </c>
      <c r="C1518" s="98" t="s">
        <v>130</v>
      </c>
      <c r="D1518" s="98" t="s">
        <v>881</v>
      </c>
      <c r="E1518" s="147" t="s">
        <v>1871</v>
      </c>
      <c r="F1518" s="98" t="s">
        <v>1872</v>
      </c>
      <c r="G1518" s="151" t="s">
        <v>302</v>
      </c>
      <c r="H1518" s="19" t="s">
        <v>1960</v>
      </c>
      <c r="I1518" s="23" t="e">
        <f>VLOOKUP(H1518,'合同综合查询数据（3月返）'!$A:$A,1,FALSE)</f>
        <v>#N/A</v>
      </c>
      <c r="J1518" s="129" t="s">
        <v>302</v>
      </c>
      <c r="K1518" s="129" t="s">
        <v>1961</v>
      </c>
      <c r="L1518" s="153"/>
      <c r="M1518" s="26"/>
      <c r="N1518" s="154">
        <v>43704</v>
      </c>
      <c r="O1518" s="155" t="s">
        <v>1962</v>
      </c>
      <c r="P1518" s="174">
        <v>260000</v>
      </c>
      <c r="Q1518" s="174">
        <v>1</v>
      </c>
      <c r="R1518" s="120">
        <f t="shared" si="37"/>
        <v>260000</v>
      </c>
      <c r="S1518" s="117">
        <v>202303</v>
      </c>
      <c r="T1518" s="157" t="s">
        <v>1963</v>
      </c>
      <c r="U1518" s="157"/>
      <c r="V1518" s="122"/>
      <c r="W1518" s="122"/>
      <c r="X1518" s="118">
        <v>44800</v>
      </c>
      <c r="Y1518" s="118">
        <v>45164</v>
      </c>
    </row>
    <row r="1519" s="9" customFormat="1" customHeight="1" spans="1:25">
      <c r="A1519" s="98" t="s">
        <v>401</v>
      </c>
      <c r="B1519" s="96" t="s">
        <v>62</v>
      </c>
      <c r="C1519" s="98" t="s">
        <v>130</v>
      </c>
      <c r="D1519" s="98" t="s">
        <v>881</v>
      </c>
      <c r="E1519" s="147" t="s">
        <v>1871</v>
      </c>
      <c r="F1519" s="98" t="s">
        <v>1872</v>
      </c>
      <c r="G1519" s="151" t="s">
        <v>302</v>
      </c>
      <c r="H1519" s="19" t="s">
        <v>1960</v>
      </c>
      <c r="I1519" s="23" t="e">
        <f>VLOOKUP(H1519,'合同综合查询数据（3月返）'!$A:$A,1,FALSE)</f>
        <v>#N/A</v>
      </c>
      <c r="J1519" s="129" t="s">
        <v>302</v>
      </c>
      <c r="K1519" s="129" t="s">
        <v>1964</v>
      </c>
      <c r="L1519" s="153"/>
      <c r="M1519" s="26"/>
      <c r="N1519" s="154">
        <v>43704</v>
      </c>
      <c r="O1519" s="155" t="s">
        <v>1962</v>
      </c>
      <c r="P1519" s="174">
        <v>260000</v>
      </c>
      <c r="Q1519" s="174">
        <v>1</v>
      </c>
      <c r="R1519" s="120">
        <f t="shared" si="37"/>
        <v>260000</v>
      </c>
      <c r="S1519" s="117">
        <v>202303</v>
      </c>
      <c r="T1519" s="157" t="s">
        <v>1965</v>
      </c>
      <c r="U1519" s="157"/>
      <c r="V1519" s="122"/>
      <c r="W1519" s="122"/>
      <c r="X1519" s="118">
        <v>44800</v>
      </c>
      <c r="Y1519" s="118">
        <v>45164</v>
      </c>
    </row>
    <row r="1520" s="10" customFormat="1" customHeight="1" spans="1:25">
      <c r="A1520" s="61" t="s">
        <v>401</v>
      </c>
      <c r="B1520" s="60" t="s">
        <v>62</v>
      </c>
      <c r="C1520" s="61" t="s">
        <v>130</v>
      </c>
      <c r="D1520" s="61" t="s">
        <v>881</v>
      </c>
      <c r="E1520" s="160" t="s">
        <v>1871</v>
      </c>
      <c r="F1520" s="61" t="s">
        <v>1872</v>
      </c>
      <c r="G1520" s="161" t="s">
        <v>88</v>
      </c>
      <c r="H1520" s="45" t="s">
        <v>1966</v>
      </c>
      <c r="I1520" s="47" t="e">
        <f>VLOOKUP(H1520,'合同综合查询数据（3月返）'!$A:$A,1,FALSE)</f>
        <v>#N/A</v>
      </c>
      <c r="J1520" s="135" t="s">
        <v>126</v>
      </c>
      <c r="K1520" s="135"/>
      <c r="L1520" s="66" t="s">
        <v>1967</v>
      </c>
      <c r="M1520" s="50" t="s">
        <v>1929</v>
      </c>
      <c r="N1520" s="165">
        <v>44228</v>
      </c>
      <c r="O1520" s="172" t="s">
        <v>127</v>
      </c>
      <c r="P1520" s="196">
        <v>0</v>
      </c>
      <c r="Q1520" s="196">
        <v>4</v>
      </c>
      <c r="R1520" s="68">
        <f t="shared" si="37"/>
        <v>0</v>
      </c>
      <c r="S1520" s="70">
        <v>202303</v>
      </c>
      <c r="T1520" s="170" t="s">
        <v>1968</v>
      </c>
      <c r="U1520" s="170"/>
      <c r="V1520" s="146"/>
      <c r="W1520" s="146"/>
      <c r="X1520" s="73"/>
      <c r="Y1520" s="73"/>
    </row>
    <row r="1521" s="10" customFormat="1" customHeight="1" spans="1:25">
      <c r="A1521" s="61" t="s">
        <v>401</v>
      </c>
      <c r="B1521" s="60" t="s">
        <v>62</v>
      </c>
      <c r="C1521" s="61" t="s">
        <v>130</v>
      </c>
      <c r="D1521" s="61" t="s">
        <v>881</v>
      </c>
      <c r="E1521" s="160" t="s">
        <v>1871</v>
      </c>
      <c r="F1521" s="61" t="s">
        <v>1872</v>
      </c>
      <c r="G1521" s="161" t="s">
        <v>88</v>
      </c>
      <c r="H1521" s="45" t="s">
        <v>1966</v>
      </c>
      <c r="I1521" s="47" t="e">
        <f>VLOOKUP(H1521,'合同综合查询数据（3月返）'!$A:$A,1,FALSE)</f>
        <v>#N/A</v>
      </c>
      <c r="J1521" s="135" t="s">
        <v>126</v>
      </c>
      <c r="K1521" s="135"/>
      <c r="L1521" s="66" t="s">
        <v>1967</v>
      </c>
      <c r="M1521" s="50" t="s">
        <v>1929</v>
      </c>
      <c r="N1521" s="165">
        <v>44573</v>
      </c>
      <c r="O1521" s="172" t="s">
        <v>127</v>
      </c>
      <c r="P1521" s="196">
        <v>0</v>
      </c>
      <c r="Q1521" s="196">
        <v>-1</v>
      </c>
      <c r="R1521" s="68">
        <f t="shared" si="37"/>
        <v>0</v>
      </c>
      <c r="S1521" s="70">
        <v>202303</v>
      </c>
      <c r="T1521" s="170" t="s">
        <v>1969</v>
      </c>
      <c r="U1521" s="170"/>
      <c r="V1521" s="146"/>
      <c r="W1521" s="146"/>
      <c r="X1521" s="73"/>
      <c r="Y1521" s="73"/>
    </row>
    <row r="1522" s="10" customFormat="1" customHeight="1" spans="1:25">
      <c r="A1522" s="61" t="s">
        <v>401</v>
      </c>
      <c r="B1522" s="60" t="s">
        <v>62</v>
      </c>
      <c r="C1522" s="61" t="s">
        <v>130</v>
      </c>
      <c r="D1522" s="61" t="s">
        <v>881</v>
      </c>
      <c r="E1522" s="160" t="s">
        <v>1871</v>
      </c>
      <c r="F1522" s="61" t="s">
        <v>1872</v>
      </c>
      <c r="G1522" s="161" t="s">
        <v>88</v>
      </c>
      <c r="H1522" s="45" t="s">
        <v>1966</v>
      </c>
      <c r="I1522" s="47" t="e">
        <f>VLOOKUP(H1522,'合同综合查询数据（3月返）'!$A:$A,1,FALSE)</f>
        <v>#N/A</v>
      </c>
      <c r="J1522" s="135" t="s">
        <v>126</v>
      </c>
      <c r="K1522" s="135"/>
      <c r="L1522" s="66" t="s">
        <v>1967</v>
      </c>
      <c r="M1522" s="50" t="s">
        <v>1929</v>
      </c>
      <c r="N1522" s="165">
        <v>44883</v>
      </c>
      <c r="O1522" s="172" t="s">
        <v>127</v>
      </c>
      <c r="P1522" s="196">
        <v>0</v>
      </c>
      <c r="Q1522" s="196">
        <v>-3</v>
      </c>
      <c r="R1522" s="68">
        <f t="shared" si="37"/>
        <v>0</v>
      </c>
      <c r="S1522" s="70">
        <v>202303</v>
      </c>
      <c r="T1522" s="170" t="s">
        <v>1970</v>
      </c>
      <c r="U1522" s="170"/>
      <c r="V1522" s="146"/>
      <c r="W1522" s="146"/>
      <c r="X1522" s="73"/>
      <c r="Y1522" s="73"/>
    </row>
    <row r="1523" s="10" customFormat="1" customHeight="1" spans="1:25">
      <c r="A1523" s="61" t="s">
        <v>401</v>
      </c>
      <c r="B1523" s="60" t="s">
        <v>62</v>
      </c>
      <c r="C1523" s="61" t="s">
        <v>130</v>
      </c>
      <c r="D1523" s="61" t="s">
        <v>881</v>
      </c>
      <c r="E1523" s="160" t="s">
        <v>1871</v>
      </c>
      <c r="F1523" s="61" t="s">
        <v>1872</v>
      </c>
      <c r="G1523" s="161" t="s">
        <v>88</v>
      </c>
      <c r="H1523" s="45" t="s">
        <v>1966</v>
      </c>
      <c r="I1523" s="47" t="e">
        <f>VLOOKUP(H1523,'合同综合查询数据（3月返）'!$A:$A,1,FALSE)</f>
        <v>#N/A</v>
      </c>
      <c r="J1523" s="135" t="s">
        <v>126</v>
      </c>
      <c r="K1523" s="135"/>
      <c r="L1523" s="66" t="s">
        <v>1967</v>
      </c>
      <c r="M1523" s="50" t="s">
        <v>1929</v>
      </c>
      <c r="N1523" s="165">
        <v>44896</v>
      </c>
      <c r="O1523" s="172" t="s">
        <v>127</v>
      </c>
      <c r="P1523" s="196">
        <v>0</v>
      </c>
      <c r="Q1523" s="196">
        <v>3</v>
      </c>
      <c r="R1523" s="68">
        <f t="shared" si="37"/>
        <v>0</v>
      </c>
      <c r="S1523" s="70">
        <v>202303</v>
      </c>
      <c r="T1523" s="170" t="s">
        <v>1971</v>
      </c>
      <c r="U1523" s="170"/>
      <c r="V1523" s="146"/>
      <c r="W1523" s="146"/>
      <c r="X1523" s="73"/>
      <c r="Y1523" s="73"/>
    </row>
    <row r="1524" s="10" customFormat="1" customHeight="1" spans="1:25">
      <c r="A1524" s="61" t="s">
        <v>401</v>
      </c>
      <c r="B1524" s="60" t="s">
        <v>62</v>
      </c>
      <c r="C1524" s="61" t="s">
        <v>130</v>
      </c>
      <c r="D1524" s="61" t="s">
        <v>881</v>
      </c>
      <c r="E1524" s="160" t="s">
        <v>1871</v>
      </c>
      <c r="F1524" s="61" t="s">
        <v>1872</v>
      </c>
      <c r="G1524" s="161" t="s">
        <v>31</v>
      </c>
      <c r="H1524" s="45" t="s">
        <v>1966</v>
      </c>
      <c r="I1524" s="47" t="e">
        <f>VLOOKUP(H1524,'合同综合查询数据（3月返）'!$A:$A,1,FALSE)</f>
        <v>#N/A</v>
      </c>
      <c r="J1524" s="135" t="s">
        <v>33</v>
      </c>
      <c r="K1524" s="135"/>
      <c r="L1524" s="66" t="s">
        <v>1967</v>
      </c>
      <c r="M1524" s="50"/>
      <c r="N1524" s="165">
        <v>44228</v>
      </c>
      <c r="O1524" s="172"/>
      <c r="P1524" s="196">
        <v>0</v>
      </c>
      <c r="Q1524" s="196">
        <v>288</v>
      </c>
      <c r="R1524" s="68">
        <f t="shared" si="37"/>
        <v>0</v>
      </c>
      <c r="S1524" s="70">
        <v>202303</v>
      </c>
      <c r="T1524" s="170" t="s">
        <v>1972</v>
      </c>
      <c r="U1524" s="170"/>
      <c r="V1524" s="146"/>
      <c r="W1524" s="146"/>
      <c r="X1524" s="73"/>
      <c r="Y1524" s="73"/>
    </row>
    <row r="1525" s="10" customFormat="1" customHeight="1" spans="1:25">
      <c r="A1525" s="61" t="s">
        <v>401</v>
      </c>
      <c r="B1525" s="60" t="s">
        <v>62</v>
      </c>
      <c r="C1525" s="61" t="s">
        <v>130</v>
      </c>
      <c r="D1525" s="61" t="s">
        <v>881</v>
      </c>
      <c r="E1525" s="160" t="s">
        <v>1871</v>
      </c>
      <c r="F1525" s="61" t="s">
        <v>1872</v>
      </c>
      <c r="G1525" s="161" t="s">
        <v>31</v>
      </c>
      <c r="H1525" s="45" t="s">
        <v>1966</v>
      </c>
      <c r="I1525" s="47" t="e">
        <f>VLOOKUP(H1525,'合同综合查询数据（3月返）'!$A:$A,1,FALSE)</f>
        <v>#N/A</v>
      </c>
      <c r="J1525" s="135" t="s">
        <v>33</v>
      </c>
      <c r="K1525" s="135"/>
      <c r="L1525" s="66" t="s">
        <v>1967</v>
      </c>
      <c r="M1525" s="50"/>
      <c r="N1525" s="165">
        <v>44883</v>
      </c>
      <c r="O1525" s="172"/>
      <c r="P1525" s="196">
        <v>0</v>
      </c>
      <c r="Q1525" s="196">
        <v>-288</v>
      </c>
      <c r="R1525" s="68">
        <f t="shared" si="37"/>
        <v>0</v>
      </c>
      <c r="S1525" s="70">
        <v>202303</v>
      </c>
      <c r="T1525" s="170" t="s">
        <v>1973</v>
      </c>
      <c r="U1525" s="170"/>
      <c r="V1525" s="146"/>
      <c r="W1525" s="146"/>
      <c r="X1525" s="73"/>
      <c r="Y1525" s="73"/>
    </row>
    <row r="1526" s="10" customFormat="1" customHeight="1" spans="1:25">
      <c r="A1526" s="61" t="s">
        <v>401</v>
      </c>
      <c r="B1526" s="60" t="s">
        <v>62</v>
      </c>
      <c r="C1526" s="61" t="s">
        <v>130</v>
      </c>
      <c r="D1526" s="61" t="s">
        <v>881</v>
      </c>
      <c r="E1526" s="160" t="s">
        <v>1871</v>
      </c>
      <c r="F1526" s="61" t="s">
        <v>1872</v>
      </c>
      <c r="G1526" s="161" t="s">
        <v>31</v>
      </c>
      <c r="H1526" s="45" t="s">
        <v>1966</v>
      </c>
      <c r="I1526" s="47" t="e">
        <f>VLOOKUP(H1526,'合同综合查询数据（3月返）'!$A:$A,1,FALSE)</f>
        <v>#N/A</v>
      </c>
      <c r="J1526" s="135" t="s">
        <v>33</v>
      </c>
      <c r="K1526" s="135"/>
      <c r="L1526" s="66" t="s">
        <v>1967</v>
      </c>
      <c r="M1526" s="50"/>
      <c r="N1526" s="165">
        <v>44896</v>
      </c>
      <c r="O1526" s="172"/>
      <c r="P1526" s="196">
        <v>0</v>
      </c>
      <c r="Q1526" s="196">
        <v>288</v>
      </c>
      <c r="R1526" s="68">
        <f t="shared" si="37"/>
        <v>0</v>
      </c>
      <c r="S1526" s="70">
        <v>202303</v>
      </c>
      <c r="T1526" s="170" t="s">
        <v>1974</v>
      </c>
      <c r="U1526" s="170"/>
      <c r="V1526" s="146"/>
      <c r="W1526" s="146"/>
      <c r="X1526" s="73"/>
      <c r="Y1526" s="73"/>
    </row>
    <row r="1527" s="10" customFormat="1" customHeight="1" spans="1:25">
      <c r="A1527" s="61" t="s">
        <v>401</v>
      </c>
      <c r="B1527" s="60" t="s">
        <v>62</v>
      </c>
      <c r="C1527" s="61" t="s">
        <v>130</v>
      </c>
      <c r="D1527" s="61" t="s">
        <v>881</v>
      </c>
      <c r="E1527" s="160" t="s">
        <v>1871</v>
      </c>
      <c r="F1527" s="61" t="s">
        <v>1872</v>
      </c>
      <c r="G1527" s="161" t="s">
        <v>31</v>
      </c>
      <c r="H1527" s="45" t="s">
        <v>1975</v>
      </c>
      <c r="I1527" s="47" t="e">
        <f>VLOOKUP(H1527,'合同综合查询数据（3月返）'!$A:$A,1,FALSE)</f>
        <v>#N/A</v>
      </c>
      <c r="J1527" s="135" t="s">
        <v>451</v>
      </c>
      <c r="K1527" s="135"/>
      <c r="L1527" s="164" t="s">
        <v>1976</v>
      </c>
      <c r="M1527" s="50"/>
      <c r="N1527" s="165" t="s">
        <v>1225</v>
      </c>
      <c r="O1527" s="172"/>
      <c r="P1527" s="196">
        <v>0</v>
      </c>
      <c r="Q1527" s="196">
        <v>1536</v>
      </c>
      <c r="R1527" s="68">
        <f t="shared" si="37"/>
        <v>0</v>
      </c>
      <c r="S1527" s="70">
        <v>202303</v>
      </c>
      <c r="T1527" s="170" t="s">
        <v>1977</v>
      </c>
      <c r="U1527" s="170"/>
      <c r="V1527" s="146"/>
      <c r="W1527" s="146"/>
      <c r="X1527" s="73"/>
      <c r="Y1527" s="73"/>
    </row>
    <row r="1528" s="9" customFormat="1" customHeight="1" spans="1:25">
      <c r="A1528" s="129" t="s">
        <v>401</v>
      </c>
      <c r="B1528" s="98" t="s">
        <v>62</v>
      </c>
      <c r="C1528" s="98" t="s">
        <v>744</v>
      </c>
      <c r="D1528" s="98" t="s">
        <v>566</v>
      </c>
      <c r="E1528" s="130" t="s">
        <v>1978</v>
      </c>
      <c r="F1528" s="129" t="s">
        <v>1979</v>
      </c>
      <c r="G1528" s="109" t="s">
        <v>88</v>
      </c>
      <c r="H1528" s="100" t="s">
        <v>1980</v>
      </c>
      <c r="I1528" s="23" t="e">
        <f>VLOOKUP(H1528,'合同综合查询数据（3月返）'!$A:$A,1,FALSE)</f>
        <v>#N/A</v>
      </c>
      <c r="J1528" s="24" t="s">
        <v>90</v>
      </c>
      <c r="K1528" s="129" t="s">
        <v>848</v>
      </c>
      <c r="L1528" s="109"/>
      <c r="M1528" s="26" t="s">
        <v>776</v>
      </c>
      <c r="N1528" s="28">
        <v>44228</v>
      </c>
      <c r="O1528" s="28" t="s">
        <v>457</v>
      </c>
      <c r="P1528" s="131">
        <v>5323.03</v>
      </c>
      <c r="Q1528" s="131">
        <v>500</v>
      </c>
      <c r="R1528" s="120">
        <f t="shared" si="37"/>
        <v>2661515</v>
      </c>
      <c r="S1528" s="117">
        <v>202303</v>
      </c>
      <c r="T1528" s="158" t="s">
        <v>1981</v>
      </c>
      <c r="U1528" s="215"/>
      <c r="V1528" s="133"/>
      <c r="W1528" s="133"/>
      <c r="X1528" s="118">
        <v>44228</v>
      </c>
      <c r="Y1528" s="118">
        <v>45382</v>
      </c>
    </row>
    <row r="1529" s="9" customFormat="1" customHeight="1" spans="1:25">
      <c r="A1529" s="129" t="s">
        <v>401</v>
      </c>
      <c r="B1529" s="98" t="s">
        <v>62</v>
      </c>
      <c r="C1529" s="98" t="s">
        <v>744</v>
      </c>
      <c r="D1529" s="98" t="s">
        <v>566</v>
      </c>
      <c r="E1529" s="130" t="s">
        <v>1978</v>
      </c>
      <c r="F1529" s="129" t="s">
        <v>1979</v>
      </c>
      <c r="G1529" s="109" t="s">
        <v>88</v>
      </c>
      <c r="H1529" s="100" t="s">
        <v>1980</v>
      </c>
      <c r="I1529" s="23" t="e">
        <f>VLOOKUP(H1529,'合同综合查询数据（3月返）'!$A:$A,1,FALSE)</f>
        <v>#N/A</v>
      </c>
      <c r="J1529" s="24" t="s">
        <v>90</v>
      </c>
      <c r="K1529" s="129" t="s">
        <v>848</v>
      </c>
      <c r="L1529" s="109"/>
      <c r="M1529" s="26" t="s">
        <v>776</v>
      </c>
      <c r="N1529" s="28">
        <v>45007</v>
      </c>
      <c r="O1529" s="28" t="s">
        <v>457</v>
      </c>
      <c r="P1529" s="131">
        <v>5323.03</v>
      </c>
      <c r="Q1529" s="131">
        <v>-9</v>
      </c>
      <c r="R1529" s="120">
        <f>ROUND(P1529*Q1529*9/31,2)</f>
        <v>-13908.56</v>
      </c>
      <c r="S1529" s="117">
        <v>202303</v>
      </c>
      <c r="T1529" s="221" t="s">
        <v>1982</v>
      </c>
      <c r="U1529" s="215"/>
      <c r="V1529" s="133"/>
      <c r="W1529" s="133"/>
      <c r="X1529" s="118">
        <v>44228</v>
      </c>
      <c r="Y1529" s="118">
        <v>45382</v>
      </c>
    </row>
    <row r="1530" s="10" customFormat="1" customHeight="1" spans="1:25">
      <c r="A1530" s="62" t="s">
        <v>401</v>
      </c>
      <c r="B1530" s="61" t="s">
        <v>62</v>
      </c>
      <c r="C1530" s="60" t="s">
        <v>744</v>
      </c>
      <c r="D1530" s="60" t="s">
        <v>566</v>
      </c>
      <c r="E1530" s="47" t="s">
        <v>1978</v>
      </c>
      <c r="F1530" s="62" t="s">
        <v>1983</v>
      </c>
      <c r="G1530" s="138" t="s">
        <v>88</v>
      </c>
      <c r="H1530" s="137" t="s">
        <v>1984</v>
      </c>
      <c r="I1530" s="47" t="e">
        <f>VLOOKUP(H1530,'合同综合查询数据（3月返）'!$A:$A,1,FALSE)</f>
        <v>#N/A</v>
      </c>
      <c r="J1530" s="65" t="s">
        <v>126</v>
      </c>
      <c r="K1530" s="62" t="s">
        <v>744</v>
      </c>
      <c r="L1530" s="66" t="s">
        <v>1983</v>
      </c>
      <c r="M1530" s="50" t="s">
        <v>1985</v>
      </c>
      <c r="N1530" s="51">
        <v>41653</v>
      </c>
      <c r="O1530" s="51" t="s">
        <v>624</v>
      </c>
      <c r="P1530" s="141">
        <v>5000</v>
      </c>
      <c r="Q1530" s="68">
        <v>8</v>
      </c>
      <c r="R1530" s="68">
        <f t="shared" ref="R1530:R1593" si="38">ROUND(P1530*Q1530,2)</f>
        <v>40000</v>
      </c>
      <c r="S1530" s="70">
        <v>202303</v>
      </c>
      <c r="T1530" s="166" t="s">
        <v>1986</v>
      </c>
      <c r="U1530" s="166"/>
      <c r="V1530" s="146"/>
      <c r="W1530" s="146"/>
      <c r="X1530" s="73"/>
      <c r="Y1530" s="73"/>
    </row>
    <row r="1531" s="10" customFormat="1" customHeight="1" spans="1:25">
      <c r="A1531" s="62" t="s">
        <v>401</v>
      </c>
      <c r="B1531" s="61" t="s">
        <v>62</v>
      </c>
      <c r="C1531" s="60" t="s">
        <v>744</v>
      </c>
      <c r="D1531" s="60" t="s">
        <v>566</v>
      </c>
      <c r="E1531" s="47" t="s">
        <v>1978</v>
      </c>
      <c r="F1531" s="62" t="s">
        <v>1983</v>
      </c>
      <c r="G1531" s="138" t="s">
        <v>88</v>
      </c>
      <c r="H1531" s="137" t="s">
        <v>1984</v>
      </c>
      <c r="I1531" s="47" t="e">
        <f>VLOOKUP(H1531,'合同综合查询数据（3月返）'!$A:$A,1,FALSE)</f>
        <v>#N/A</v>
      </c>
      <c r="J1531" s="65" t="s">
        <v>126</v>
      </c>
      <c r="K1531" s="62" t="s">
        <v>744</v>
      </c>
      <c r="L1531" s="66" t="s">
        <v>1983</v>
      </c>
      <c r="M1531" s="50" t="s">
        <v>1985</v>
      </c>
      <c r="N1531" s="51">
        <v>41653</v>
      </c>
      <c r="O1531" s="51" t="s">
        <v>624</v>
      </c>
      <c r="P1531" s="141">
        <v>5000</v>
      </c>
      <c r="Q1531" s="68">
        <v>3</v>
      </c>
      <c r="R1531" s="68">
        <f t="shared" si="38"/>
        <v>15000</v>
      </c>
      <c r="S1531" s="70">
        <v>202303</v>
      </c>
      <c r="T1531" s="166" t="s">
        <v>1987</v>
      </c>
      <c r="U1531" s="166"/>
      <c r="V1531" s="146"/>
      <c r="W1531" s="146"/>
      <c r="X1531" s="73"/>
      <c r="Y1531" s="73"/>
    </row>
    <row r="1532" s="10" customFormat="1" customHeight="1" spans="1:25">
      <c r="A1532" s="62" t="s">
        <v>401</v>
      </c>
      <c r="B1532" s="61" t="s">
        <v>62</v>
      </c>
      <c r="C1532" s="60" t="s">
        <v>744</v>
      </c>
      <c r="D1532" s="60" t="s">
        <v>566</v>
      </c>
      <c r="E1532" s="47" t="s">
        <v>1978</v>
      </c>
      <c r="F1532" s="62" t="s">
        <v>1983</v>
      </c>
      <c r="G1532" s="138" t="s">
        <v>88</v>
      </c>
      <c r="H1532" s="137" t="s">
        <v>1984</v>
      </c>
      <c r="I1532" s="47" t="e">
        <f>VLOOKUP(H1532,'合同综合查询数据（3月返）'!$A:$A,1,FALSE)</f>
        <v>#N/A</v>
      </c>
      <c r="J1532" s="65" t="s">
        <v>126</v>
      </c>
      <c r="K1532" s="62" t="s">
        <v>744</v>
      </c>
      <c r="L1532" s="66" t="s">
        <v>1983</v>
      </c>
      <c r="M1532" s="50" t="s">
        <v>1985</v>
      </c>
      <c r="N1532" s="51">
        <v>44439</v>
      </c>
      <c r="O1532" s="51" t="s">
        <v>624</v>
      </c>
      <c r="P1532" s="141">
        <v>5000</v>
      </c>
      <c r="Q1532" s="68">
        <v>-9</v>
      </c>
      <c r="R1532" s="68">
        <f t="shared" si="38"/>
        <v>-45000</v>
      </c>
      <c r="S1532" s="70">
        <v>202303</v>
      </c>
      <c r="T1532" s="222" t="s">
        <v>1988</v>
      </c>
      <c r="U1532" s="222"/>
      <c r="V1532" s="146"/>
      <c r="W1532" s="146"/>
      <c r="X1532" s="73"/>
      <c r="Y1532" s="73"/>
    </row>
    <row r="1533" s="10" customFormat="1" customHeight="1" spans="1:25">
      <c r="A1533" s="62" t="s">
        <v>401</v>
      </c>
      <c r="B1533" s="61" t="s">
        <v>62</v>
      </c>
      <c r="C1533" s="60" t="s">
        <v>744</v>
      </c>
      <c r="D1533" s="60" t="s">
        <v>566</v>
      </c>
      <c r="E1533" s="47" t="s">
        <v>1978</v>
      </c>
      <c r="F1533" s="62" t="s">
        <v>1983</v>
      </c>
      <c r="G1533" s="138" t="s">
        <v>88</v>
      </c>
      <c r="H1533" s="137" t="s">
        <v>1984</v>
      </c>
      <c r="I1533" s="47" t="e">
        <f>VLOOKUP(H1533,'合同综合查询数据（3月返）'!$A:$A,1,FALSE)</f>
        <v>#N/A</v>
      </c>
      <c r="J1533" s="65" t="s">
        <v>126</v>
      </c>
      <c r="K1533" s="62" t="s">
        <v>744</v>
      </c>
      <c r="L1533" s="66" t="s">
        <v>1983</v>
      </c>
      <c r="M1533" s="50" t="s">
        <v>1985</v>
      </c>
      <c r="N1533" s="51">
        <v>44439</v>
      </c>
      <c r="O1533" s="51" t="s">
        <v>624</v>
      </c>
      <c r="P1533" s="141">
        <v>5000</v>
      </c>
      <c r="Q1533" s="68">
        <v>-2</v>
      </c>
      <c r="R1533" s="68">
        <f t="shared" si="38"/>
        <v>-10000</v>
      </c>
      <c r="S1533" s="70">
        <v>202303</v>
      </c>
      <c r="T1533" s="222" t="s">
        <v>1989</v>
      </c>
      <c r="U1533" s="222"/>
      <c r="V1533" s="146"/>
      <c r="W1533" s="146"/>
      <c r="X1533" s="73"/>
      <c r="Y1533" s="73"/>
    </row>
    <row r="1534" s="10" customFormat="1" customHeight="1" spans="1:25">
      <c r="A1534" s="62" t="s">
        <v>401</v>
      </c>
      <c r="B1534" s="61" t="s">
        <v>62</v>
      </c>
      <c r="C1534" s="60" t="s">
        <v>744</v>
      </c>
      <c r="D1534" s="60" t="s">
        <v>566</v>
      </c>
      <c r="E1534" s="47" t="s">
        <v>1978</v>
      </c>
      <c r="F1534" s="62" t="s">
        <v>1983</v>
      </c>
      <c r="G1534" s="138" t="s">
        <v>88</v>
      </c>
      <c r="H1534" s="137" t="s">
        <v>1984</v>
      </c>
      <c r="I1534" s="47" t="e">
        <f>VLOOKUP(H1534,'合同综合查询数据（3月返）'!$A:$A,1,FALSE)</f>
        <v>#N/A</v>
      </c>
      <c r="J1534" s="65" t="s">
        <v>126</v>
      </c>
      <c r="K1534" s="62" t="s">
        <v>744</v>
      </c>
      <c r="L1534" s="66" t="s">
        <v>1983</v>
      </c>
      <c r="M1534" s="50" t="s">
        <v>1985</v>
      </c>
      <c r="N1534" s="51">
        <v>44440</v>
      </c>
      <c r="O1534" s="51" t="s">
        <v>624</v>
      </c>
      <c r="P1534" s="141">
        <v>5000</v>
      </c>
      <c r="Q1534" s="68">
        <v>14</v>
      </c>
      <c r="R1534" s="68">
        <f t="shared" si="38"/>
        <v>70000</v>
      </c>
      <c r="S1534" s="70">
        <v>202303</v>
      </c>
      <c r="T1534" s="222" t="s">
        <v>1990</v>
      </c>
      <c r="U1534" s="222"/>
      <c r="V1534" s="146"/>
      <c r="W1534" s="146"/>
      <c r="X1534" s="73"/>
      <c r="Y1534" s="73"/>
    </row>
    <row r="1535" s="10" customFormat="1" customHeight="1" spans="1:25">
      <c r="A1535" s="62" t="s">
        <v>401</v>
      </c>
      <c r="B1535" s="61" t="s">
        <v>62</v>
      </c>
      <c r="C1535" s="60" t="s">
        <v>744</v>
      </c>
      <c r="D1535" s="60" t="s">
        <v>566</v>
      </c>
      <c r="E1535" s="47" t="s">
        <v>1978</v>
      </c>
      <c r="F1535" s="62" t="s">
        <v>1983</v>
      </c>
      <c r="G1535" s="138" t="s">
        <v>88</v>
      </c>
      <c r="H1535" s="137" t="s">
        <v>1984</v>
      </c>
      <c r="I1535" s="47" t="e">
        <f>VLOOKUP(H1535,'合同综合查询数据（3月返）'!$A:$A,1,FALSE)</f>
        <v>#N/A</v>
      </c>
      <c r="J1535" s="65" t="s">
        <v>126</v>
      </c>
      <c r="K1535" s="62" t="s">
        <v>744</v>
      </c>
      <c r="L1535" s="66" t="s">
        <v>1983</v>
      </c>
      <c r="M1535" s="50" t="s">
        <v>1985</v>
      </c>
      <c r="N1535" s="51">
        <v>44440</v>
      </c>
      <c r="O1535" s="51" t="s">
        <v>624</v>
      </c>
      <c r="P1535" s="141">
        <v>5000</v>
      </c>
      <c r="Q1535" s="68">
        <v>1</v>
      </c>
      <c r="R1535" s="68">
        <f t="shared" si="38"/>
        <v>5000</v>
      </c>
      <c r="S1535" s="70">
        <v>202303</v>
      </c>
      <c r="T1535" s="222" t="s">
        <v>1991</v>
      </c>
      <c r="U1535" s="222"/>
      <c r="V1535" s="146"/>
      <c r="W1535" s="146"/>
      <c r="X1535" s="73"/>
      <c r="Y1535" s="73"/>
    </row>
    <row r="1536" s="10" customFormat="1" customHeight="1" spans="1:25">
      <c r="A1536" s="62" t="s">
        <v>401</v>
      </c>
      <c r="B1536" s="61" t="s">
        <v>62</v>
      </c>
      <c r="C1536" s="60" t="s">
        <v>744</v>
      </c>
      <c r="D1536" s="60" t="s">
        <v>566</v>
      </c>
      <c r="E1536" s="47" t="s">
        <v>1978</v>
      </c>
      <c r="F1536" s="62" t="s">
        <v>1983</v>
      </c>
      <c r="G1536" s="138" t="s">
        <v>88</v>
      </c>
      <c r="H1536" s="137" t="s">
        <v>1984</v>
      </c>
      <c r="I1536" s="47" t="e">
        <f>VLOOKUP(H1536,'合同综合查询数据（3月返）'!$A:$A,1,FALSE)</f>
        <v>#N/A</v>
      </c>
      <c r="J1536" s="65" t="s">
        <v>126</v>
      </c>
      <c r="K1536" s="62" t="s">
        <v>744</v>
      </c>
      <c r="L1536" s="66" t="s">
        <v>1983</v>
      </c>
      <c r="M1536" s="50" t="s">
        <v>1985</v>
      </c>
      <c r="N1536" s="51">
        <v>44453</v>
      </c>
      <c r="O1536" s="51" t="s">
        <v>624</v>
      </c>
      <c r="P1536" s="141">
        <v>5000</v>
      </c>
      <c r="Q1536" s="68">
        <v>-4</v>
      </c>
      <c r="R1536" s="68">
        <f t="shared" si="38"/>
        <v>-20000</v>
      </c>
      <c r="S1536" s="70">
        <v>202303</v>
      </c>
      <c r="T1536" s="222" t="s">
        <v>1992</v>
      </c>
      <c r="U1536" s="222"/>
      <c r="V1536" s="146"/>
      <c r="W1536" s="146"/>
      <c r="X1536" s="73"/>
      <c r="Y1536" s="73"/>
    </row>
    <row r="1537" s="10" customFormat="1" customHeight="1" spans="1:25">
      <c r="A1537" s="62" t="s">
        <v>401</v>
      </c>
      <c r="B1537" s="61" t="s">
        <v>62</v>
      </c>
      <c r="C1537" s="60" t="s">
        <v>744</v>
      </c>
      <c r="D1537" s="60" t="s">
        <v>566</v>
      </c>
      <c r="E1537" s="47" t="s">
        <v>1978</v>
      </c>
      <c r="F1537" s="62" t="s">
        <v>1983</v>
      </c>
      <c r="G1537" s="138" t="s">
        <v>88</v>
      </c>
      <c r="H1537" s="137" t="s">
        <v>1984</v>
      </c>
      <c r="I1537" s="47" t="e">
        <f>VLOOKUP(H1537,'合同综合查询数据（3月返）'!$A:$A,1,FALSE)</f>
        <v>#N/A</v>
      </c>
      <c r="J1537" s="65" t="s">
        <v>126</v>
      </c>
      <c r="K1537" s="62" t="s">
        <v>744</v>
      </c>
      <c r="L1537" s="66" t="s">
        <v>1983</v>
      </c>
      <c r="M1537" s="50" t="s">
        <v>1985</v>
      </c>
      <c r="N1537" s="51">
        <v>43719</v>
      </c>
      <c r="O1537" s="51" t="s">
        <v>624</v>
      </c>
      <c r="P1537" s="141">
        <v>5000</v>
      </c>
      <c r="Q1537" s="68">
        <v>-2</v>
      </c>
      <c r="R1537" s="68">
        <f t="shared" si="38"/>
        <v>-10000</v>
      </c>
      <c r="S1537" s="70">
        <v>202303</v>
      </c>
      <c r="T1537" s="166" t="s">
        <v>1993</v>
      </c>
      <c r="U1537" s="166"/>
      <c r="V1537" s="146"/>
      <c r="W1537" s="146"/>
      <c r="X1537" s="73"/>
      <c r="Y1537" s="73"/>
    </row>
    <row r="1538" s="10" customFormat="1" customHeight="1" spans="1:25">
      <c r="A1538" s="62" t="s">
        <v>401</v>
      </c>
      <c r="B1538" s="61" t="s">
        <v>62</v>
      </c>
      <c r="C1538" s="60" t="s">
        <v>744</v>
      </c>
      <c r="D1538" s="60" t="s">
        <v>566</v>
      </c>
      <c r="E1538" s="47" t="s">
        <v>1978</v>
      </c>
      <c r="F1538" s="62" t="s">
        <v>1983</v>
      </c>
      <c r="G1538" s="138" t="s">
        <v>88</v>
      </c>
      <c r="H1538" s="137" t="s">
        <v>1984</v>
      </c>
      <c r="I1538" s="47" t="e">
        <f>VLOOKUP(H1538,'合同综合查询数据（3月返）'!$A:$A,1,FALSE)</f>
        <v>#N/A</v>
      </c>
      <c r="J1538" s="65" t="s">
        <v>126</v>
      </c>
      <c r="K1538" s="62" t="s">
        <v>744</v>
      </c>
      <c r="L1538" s="66" t="s">
        <v>1983</v>
      </c>
      <c r="M1538" s="50" t="s">
        <v>1985</v>
      </c>
      <c r="N1538" s="51">
        <v>43959</v>
      </c>
      <c r="O1538" s="51" t="s">
        <v>624</v>
      </c>
      <c r="P1538" s="141">
        <v>5000</v>
      </c>
      <c r="Q1538" s="68">
        <v>2</v>
      </c>
      <c r="R1538" s="69">
        <f t="shared" si="38"/>
        <v>10000</v>
      </c>
      <c r="S1538" s="70">
        <v>202303</v>
      </c>
      <c r="T1538" s="166" t="s">
        <v>1994</v>
      </c>
      <c r="U1538" s="166"/>
      <c r="V1538" s="146"/>
      <c r="W1538" s="146"/>
      <c r="X1538" s="73"/>
      <c r="Y1538" s="73"/>
    </row>
    <row r="1539" s="10" customFormat="1" customHeight="1" spans="1:25">
      <c r="A1539" s="62" t="s">
        <v>401</v>
      </c>
      <c r="B1539" s="61" t="s">
        <v>62</v>
      </c>
      <c r="C1539" s="60" t="s">
        <v>744</v>
      </c>
      <c r="D1539" s="60" t="s">
        <v>566</v>
      </c>
      <c r="E1539" s="47" t="s">
        <v>1978</v>
      </c>
      <c r="F1539" s="62" t="s">
        <v>1983</v>
      </c>
      <c r="G1539" s="138" t="s">
        <v>88</v>
      </c>
      <c r="H1539" s="137" t="s">
        <v>1984</v>
      </c>
      <c r="I1539" s="47" t="e">
        <f>VLOOKUP(H1539,'合同综合查询数据（3月返）'!$A:$A,1,FALSE)</f>
        <v>#N/A</v>
      </c>
      <c r="J1539" s="65" t="s">
        <v>126</v>
      </c>
      <c r="K1539" s="62" t="s">
        <v>744</v>
      </c>
      <c r="L1539" s="66" t="s">
        <v>1983</v>
      </c>
      <c r="M1539" s="50" t="s">
        <v>1985</v>
      </c>
      <c r="N1539" s="51">
        <v>44827</v>
      </c>
      <c r="O1539" s="51" t="s">
        <v>624</v>
      </c>
      <c r="P1539" s="141">
        <v>5000</v>
      </c>
      <c r="Q1539" s="68">
        <v>-7</v>
      </c>
      <c r="R1539" s="68">
        <f t="shared" si="38"/>
        <v>-35000</v>
      </c>
      <c r="S1539" s="70">
        <v>202303</v>
      </c>
      <c r="T1539" s="166" t="s">
        <v>1995</v>
      </c>
      <c r="U1539" s="166"/>
      <c r="V1539" s="146"/>
      <c r="W1539" s="146"/>
      <c r="X1539" s="73"/>
      <c r="Y1539" s="73"/>
    </row>
    <row r="1540" s="10" customFormat="1" customHeight="1" spans="1:25">
      <c r="A1540" s="62" t="s">
        <v>401</v>
      </c>
      <c r="B1540" s="61" t="s">
        <v>62</v>
      </c>
      <c r="C1540" s="60" t="s">
        <v>744</v>
      </c>
      <c r="D1540" s="60" t="s">
        <v>566</v>
      </c>
      <c r="E1540" s="47" t="s">
        <v>1978</v>
      </c>
      <c r="F1540" s="62" t="s">
        <v>1983</v>
      </c>
      <c r="G1540" s="138" t="s">
        <v>31</v>
      </c>
      <c r="H1540" s="137" t="s">
        <v>1984</v>
      </c>
      <c r="I1540" s="47" t="e">
        <f>VLOOKUP(H1540,'合同综合查询数据（3月返）'!$A:$A,1,FALSE)</f>
        <v>#N/A</v>
      </c>
      <c r="J1540" s="65" t="s">
        <v>33</v>
      </c>
      <c r="K1540" s="62" t="s">
        <v>744</v>
      </c>
      <c r="L1540" s="66" t="s">
        <v>1983</v>
      </c>
      <c r="M1540" s="50" t="s">
        <v>1985</v>
      </c>
      <c r="N1540" s="51" t="s">
        <v>1996</v>
      </c>
      <c r="O1540" s="51"/>
      <c r="P1540" s="141">
        <v>0</v>
      </c>
      <c r="Q1540" s="68">
        <v>544</v>
      </c>
      <c r="R1540" s="68">
        <f t="shared" si="38"/>
        <v>0</v>
      </c>
      <c r="S1540" s="70">
        <v>202303</v>
      </c>
      <c r="T1540" s="166" t="s">
        <v>1997</v>
      </c>
      <c r="U1540" s="166"/>
      <c r="V1540" s="146"/>
      <c r="W1540" s="146"/>
      <c r="X1540" s="73"/>
      <c r="Y1540" s="73"/>
    </row>
    <row r="1541" s="10" customFormat="1" customHeight="1" spans="1:25">
      <c r="A1541" s="62" t="s">
        <v>401</v>
      </c>
      <c r="B1541" s="61" t="s">
        <v>62</v>
      </c>
      <c r="C1541" s="60" t="s">
        <v>744</v>
      </c>
      <c r="D1541" s="60" t="s">
        <v>566</v>
      </c>
      <c r="E1541" s="47" t="s">
        <v>1978</v>
      </c>
      <c r="F1541" s="62" t="s">
        <v>1983</v>
      </c>
      <c r="G1541" s="138" t="s">
        <v>31</v>
      </c>
      <c r="H1541" s="137" t="s">
        <v>1984</v>
      </c>
      <c r="I1541" s="47" t="e">
        <f>VLOOKUP(H1541,'合同综合查询数据（3月返）'!$A:$A,1,FALSE)</f>
        <v>#N/A</v>
      </c>
      <c r="J1541" s="65" t="s">
        <v>33</v>
      </c>
      <c r="K1541" s="62" t="s">
        <v>744</v>
      </c>
      <c r="L1541" s="66" t="s">
        <v>1983</v>
      </c>
      <c r="M1541" s="50" t="s">
        <v>1985</v>
      </c>
      <c r="N1541" s="51" t="s">
        <v>1996</v>
      </c>
      <c r="O1541" s="51"/>
      <c r="P1541" s="141">
        <v>0</v>
      </c>
      <c r="Q1541" s="68">
        <v>128</v>
      </c>
      <c r="R1541" s="68">
        <f t="shared" si="38"/>
        <v>0</v>
      </c>
      <c r="S1541" s="70">
        <v>202303</v>
      </c>
      <c r="T1541" s="166" t="s">
        <v>1998</v>
      </c>
      <c r="U1541" s="166"/>
      <c r="V1541" s="146"/>
      <c r="W1541" s="146"/>
      <c r="X1541" s="73"/>
      <c r="Y1541" s="73"/>
    </row>
    <row r="1542" s="10" customFormat="1" customHeight="1" spans="1:25">
      <c r="A1542" s="62" t="s">
        <v>401</v>
      </c>
      <c r="B1542" s="61" t="s">
        <v>62</v>
      </c>
      <c r="C1542" s="60" t="s">
        <v>744</v>
      </c>
      <c r="D1542" s="60" t="s">
        <v>566</v>
      </c>
      <c r="E1542" s="47" t="s">
        <v>1978</v>
      </c>
      <c r="F1542" s="62" t="s">
        <v>1983</v>
      </c>
      <c r="G1542" s="138" t="s">
        <v>31</v>
      </c>
      <c r="H1542" s="137" t="s">
        <v>1984</v>
      </c>
      <c r="I1542" s="47" t="e">
        <f>VLOOKUP(H1542,'合同综合查询数据（3月返）'!$A:$A,1,FALSE)</f>
        <v>#N/A</v>
      </c>
      <c r="J1542" s="65" t="s">
        <v>33</v>
      </c>
      <c r="K1542" s="62" t="s">
        <v>744</v>
      </c>
      <c r="L1542" s="66" t="s">
        <v>1983</v>
      </c>
      <c r="M1542" s="50" t="s">
        <v>1985</v>
      </c>
      <c r="N1542" s="51">
        <v>44827</v>
      </c>
      <c r="O1542" s="51"/>
      <c r="P1542" s="141">
        <v>0</v>
      </c>
      <c r="Q1542" s="68">
        <v>-256</v>
      </c>
      <c r="R1542" s="68">
        <f t="shared" si="38"/>
        <v>0</v>
      </c>
      <c r="S1542" s="70">
        <v>202303</v>
      </c>
      <c r="T1542" s="166" t="s">
        <v>1999</v>
      </c>
      <c r="U1542" s="166"/>
      <c r="V1542" s="146"/>
      <c r="W1542" s="146"/>
      <c r="X1542" s="73"/>
      <c r="Y1542" s="73"/>
    </row>
    <row r="1543" s="9" customFormat="1" customHeight="1" spans="1:25">
      <c r="A1543" s="129" t="s">
        <v>401</v>
      </c>
      <c r="B1543" s="98" t="s">
        <v>62</v>
      </c>
      <c r="C1543" s="98" t="s">
        <v>744</v>
      </c>
      <c r="D1543" s="98" t="s">
        <v>566</v>
      </c>
      <c r="E1543" s="130" t="s">
        <v>1978</v>
      </c>
      <c r="F1543" s="129" t="s">
        <v>2000</v>
      </c>
      <c r="G1543" s="99" t="s">
        <v>302</v>
      </c>
      <c r="H1543" s="100" t="s">
        <v>2001</v>
      </c>
      <c r="I1543" s="23" t="str">
        <f>VLOOKUP(H1543,'合同综合查询数据（3月返）'!$A:$A,1,FALSE)</f>
        <v>182315IDC00086</v>
      </c>
      <c r="J1543" s="99" t="s">
        <v>302</v>
      </c>
      <c r="K1543" s="99" t="s">
        <v>2002</v>
      </c>
      <c r="L1543" s="109"/>
      <c r="M1543" s="26"/>
      <c r="N1543" s="28">
        <v>44337</v>
      </c>
      <c r="O1543" s="109" t="s">
        <v>1439</v>
      </c>
      <c r="P1543" s="131">
        <v>2880</v>
      </c>
      <c r="Q1543" s="120">
        <v>1</v>
      </c>
      <c r="R1543" s="120">
        <f t="shared" si="38"/>
        <v>2880</v>
      </c>
      <c r="S1543" s="117">
        <v>202303</v>
      </c>
      <c r="T1543" s="121" t="s">
        <v>2002</v>
      </c>
      <c r="U1543" s="132"/>
      <c r="V1543" s="133"/>
      <c r="W1543" s="133"/>
      <c r="X1543" s="118">
        <v>44702</v>
      </c>
      <c r="Y1543" s="118">
        <v>45066</v>
      </c>
    </row>
    <row r="1544" s="9" customFormat="1" customHeight="1" spans="1:25">
      <c r="A1544" s="98" t="s">
        <v>401</v>
      </c>
      <c r="B1544" s="98" t="s">
        <v>62</v>
      </c>
      <c r="C1544" s="98" t="s">
        <v>217</v>
      </c>
      <c r="D1544" s="98" t="s">
        <v>566</v>
      </c>
      <c r="E1544" s="147" t="s">
        <v>2003</v>
      </c>
      <c r="F1544" s="98" t="s">
        <v>2004</v>
      </c>
      <c r="G1544" s="99" t="s">
        <v>67</v>
      </c>
      <c r="H1544" s="19" t="s">
        <v>2005</v>
      </c>
      <c r="I1544" s="23" t="e">
        <f>VLOOKUP(H1544,'合同综合查询数据（3月返）'!$A:$A,1,FALSE)</f>
        <v>#N/A</v>
      </c>
      <c r="J1544" s="99" t="s">
        <v>69</v>
      </c>
      <c r="K1544" s="129" t="s">
        <v>2006</v>
      </c>
      <c r="L1544" s="153"/>
      <c r="M1544" s="26"/>
      <c r="N1544" s="210">
        <v>44423</v>
      </c>
      <c r="O1544" s="190" t="s">
        <v>71</v>
      </c>
      <c r="P1544" s="173">
        <v>340</v>
      </c>
      <c r="Q1544" s="119">
        <v>1.31</v>
      </c>
      <c r="R1544" s="120">
        <f t="shared" si="38"/>
        <v>445.4</v>
      </c>
      <c r="S1544" s="117">
        <v>202303</v>
      </c>
      <c r="T1544" s="184" t="s">
        <v>2007</v>
      </c>
      <c r="U1544" s="185"/>
      <c r="V1544" s="133"/>
      <c r="W1544" s="133"/>
      <c r="X1544" s="118">
        <v>44411</v>
      </c>
      <c r="Y1544" s="118">
        <v>45140</v>
      </c>
    </row>
    <row r="1545" s="9" customFormat="1" customHeight="1" spans="1:25">
      <c r="A1545" s="98" t="s">
        <v>401</v>
      </c>
      <c r="B1545" s="98" t="s">
        <v>62</v>
      </c>
      <c r="C1545" s="98" t="s">
        <v>217</v>
      </c>
      <c r="D1545" s="98" t="s">
        <v>566</v>
      </c>
      <c r="E1545" s="147" t="s">
        <v>2003</v>
      </c>
      <c r="F1545" s="98" t="s">
        <v>2004</v>
      </c>
      <c r="G1545" s="99" t="s">
        <v>67</v>
      </c>
      <c r="H1545" s="19" t="s">
        <v>2005</v>
      </c>
      <c r="I1545" s="23" t="e">
        <f>VLOOKUP(H1545,'合同综合查询数据（3月返）'!$A:$A,1,FALSE)</f>
        <v>#N/A</v>
      </c>
      <c r="J1545" s="99" t="s">
        <v>69</v>
      </c>
      <c r="K1545" s="129" t="s">
        <v>2006</v>
      </c>
      <c r="L1545" s="153"/>
      <c r="M1545" s="26"/>
      <c r="N1545" s="210">
        <v>44423</v>
      </c>
      <c r="O1545" s="190" t="s">
        <v>71</v>
      </c>
      <c r="P1545" s="173">
        <v>340</v>
      </c>
      <c r="Q1545" s="119">
        <v>3.42</v>
      </c>
      <c r="R1545" s="120">
        <f t="shared" si="38"/>
        <v>1162.8</v>
      </c>
      <c r="S1545" s="117">
        <v>202303</v>
      </c>
      <c r="T1545" s="184" t="s">
        <v>2007</v>
      </c>
      <c r="U1545" s="185"/>
      <c r="V1545" s="133"/>
      <c r="W1545" s="133"/>
      <c r="X1545" s="118">
        <v>44411</v>
      </c>
      <c r="Y1545" s="118">
        <v>45140</v>
      </c>
    </row>
    <row r="1546" s="9" customFormat="1" customHeight="1" spans="1:25">
      <c r="A1546" s="98" t="s">
        <v>401</v>
      </c>
      <c r="B1546" s="98" t="s">
        <v>62</v>
      </c>
      <c r="C1546" s="98" t="s">
        <v>217</v>
      </c>
      <c r="D1546" s="98" t="s">
        <v>566</v>
      </c>
      <c r="E1546" s="147" t="s">
        <v>2003</v>
      </c>
      <c r="F1546" s="98" t="s">
        <v>2004</v>
      </c>
      <c r="G1546" s="99" t="s">
        <v>67</v>
      </c>
      <c r="H1546" s="19" t="s">
        <v>2005</v>
      </c>
      <c r="I1546" s="23" t="e">
        <f>VLOOKUP(H1546,'合同综合查询数据（3月返）'!$A:$A,1,FALSE)</f>
        <v>#N/A</v>
      </c>
      <c r="J1546" s="99" t="s">
        <v>69</v>
      </c>
      <c r="K1546" s="129" t="s">
        <v>2006</v>
      </c>
      <c r="L1546" s="153"/>
      <c r="M1546" s="26"/>
      <c r="N1546" s="210">
        <v>44423</v>
      </c>
      <c r="O1546" s="190" t="s">
        <v>71</v>
      </c>
      <c r="P1546" s="173">
        <v>340</v>
      </c>
      <c r="Q1546" s="119">
        <v>2.13</v>
      </c>
      <c r="R1546" s="120">
        <f t="shared" si="38"/>
        <v>724.2</v>
      </c>
      <c r="S1546" s="117">
        <v>202303</v>
      </c>
      <c r="T1546" s="184" t="s">
        <v>2007</v>
      </c>
      <c r="U1546" s="185"/>
      <c r="V1546" s="133"/>
      <c r="W1546" s="133"/>
      <c r="X1546" s="118">
        <v>44411</v>
      </c>
      <c r="Y1546" s="118">
        <v>45140</v>
      </c>
    </row>
    <row r="1547" s="9" customFormat="1" customHeight="1" spans="1:25">
      <c r="A1547" s="98" t="s">
        <v>401</v>
      </c>
      <c r="B1547" s="98" t="s">
        <v>62</v>
      </c>
      <c r="C1547" s="98" t="s">
        <v>217</v>
      </c>
      <c r="D1547" s="98" t="s">
        <v>566</v>
      </c>
      <c r="E1547" s="147" t="s">
        <v>2003</v>
      </c>
      <c r="F1547" s="98" t="s">
        <v>2004</v>
      </c>
      <c r="G1547" s="99" t="s">
        <v>67</v>
      </c>
      <c r="H1547" s="19" t="s">
        <v>2005</v>
      </c>
      <c r="I1547" s="23" t="e">
        <f>VLOOKUP(H1547,'合同综合查询数据（3月返）'!$A:$A,1,FALSE)</f>
        <v>#N/A</v>
      </c>
      <c r="J1547" s="99" t="s">
        <v>69</v>
      </c>
      <c r="K1547" s="129" t="s">
        <v>2006</v>
      </c>
      <c r="L1547" s="153"/>
      <c r="M1547" s="26"/>
      <c r="N1547" s="210">
        <v>44423</v>
      </c>
      <c r="O1547" s="190" t="s">
        <v>71</v>
      </c>
      <c r="P1547" s="173">
        <v>340</v>
      </c>
      <c r="Q1547" s="119">
        <v>2.13</v>
      </c>
      <c r="R1547" s="120">
        <f t="shared" si="38"/>
        <v>724.2</v>
      </c>
      <c r="S1547" s="117">
        <v>202303</v>
      </c>
      <c r="T1547" s="184" t="s">
        <v>2007</v>
      </c>
      <c r="U1547" s="185"/>
      <c r="V1547" s="133"/>
      <c r="W1547" s="133"/>
      <c r="X1547" s="118">
        <v>44411</v>
      </c>
      <c r="Y1547" s="118">
        <v>45140</v>
      </c>
    </row>
    <row r="1548" s="9" customFormat="1" customHeight="1" spans="1:25">
      <c r="A1548" s="98" t="s">
        <v>401</v>
      </c>
      <c r="B1548" s="98" t="s">
        <v>62</v>
      </c>
      <c r="C1548" s="98" t="s">
        <v>217</v>
      </c>
      <c r="D1548" s="98" t="s">
        <v>566</v>
      </c>
      <c r="E1548" s="147" t="s">
        <v>2003</v>
      </c>
      <c r="F1548" s="98" t="s">
        <v>2004</v>
      </c>
      <c r="G1548" s="99" t="s">
        <v>67</v>
      </c>
      <c r="H1548" s="19" t="s">
        <v>2005</v>
      </c>
      <c r="I1548" s="23" t="e">
        <f>VLOOKUP(H1548,'合同综合查询数据（3月返）'!$A:$A,1,FALSE)</f>
        <v>#N/A</v>
      </c>
      <c r="J1548" s="99" t="s">
        <v>69</v>
      </c>
      <c r="K1548" s="129" t="s">
        <v>2008</v>
      </c>
      <c r="L1548" s="153"/>
      <c r="M1548" s="26"/>
      <c r="N1548" s="210">
        <v>44441</v>
      </c>
      <c r="O1548" s="190" t="s">
        <v>71</v>
      </c>
      <c r="P1548" s="173">
        <v>340</v>
      </c>
      <c r="Q1548" s="119">
        <v>133.3</v>
      </c>
      <c r="R1548" s="120">
        <f t="shared" si="38"/>
        <v>45322</v>
      </c>
      <c r="S1548" s="117">
        <v>202303</v>
      </c>
      <c r="T1548" s="202" t="s">
        <v>2009</v>
      </c>
      <c r="U1548" s="228"/>
      <c r="V1548" s="133"/>
      <c r="W1548" s="133"/>
      <c r="X1548" s="118">
        <v>44411</v>
      </c>
      <c r="Y1548" s="118">
        <v>45140</v>
      </c>
    </row>
    <row r="1549" s="9" customFormat="1" customHeight="1" spans="1:25">
      <c r="A1549" s="98" t="s">
        <v>401</v>
      </c>
      <c r="B1549" s="98" t="s">
        <v>62</v>
      </c>
      <c r="C1549" s="98" t="s">
        <v>217</v>
      </c>
      <c r="D1549" s="98" t="s">
        <v>566</v>
      </c>
      <c r="E1549" s="147" t="s">
        <v>2003</v>
      </c>
      <c r="F1549" s="98" t="s">
        <v>2004</v>
      </c>
      <c r="G1549" s="99" t="s">
        <v>67</v>
      </c>
      <c r="H1549" s="19" t="s">
        <v>2005</v>
      </c>
      <c r="I1549" s="23" t="e">
        <f>VLOOKUP(H1549,'合同综合查询数据（3月返）'!$A:$A,1,FALSE)</f>
        <v>#N/A</v>
      </c>
      <c r="J1549" s="99" t="s">
        <v>69</v>
      </c>
      <c r="K1549" s="129" t="s">
        <v>2010</v>
      </c>
      <c r="L1549" s="153"/>
      <c r="M1549" s="26"/>
      <c r="N1549" s="210">
        <v>44441</v>
      </c>
      <c r="O1549" s="190" t="s">
        <v>71</v>
      </c>
      <c r="P1549" s="173">
        <v>3500</v>
      </c>
      <c r="Q1549" s="119">
        <v>1</v>
      </c>
      <c r="R1549" s="120">
        <f t="shared" si="38"/>
        <v>3500</v>
      </c>
      <c r="S1549" s="117">
        <v>202303</v>
      </c>
      <c r="T1549" s="202" t="s">
        <v>2011</v>
      </c>
      <c r="U1549" s="228"/>
      <c r="V1549" s="133"/>
      <c r="W1549" s="133"/>
      <c r="X1549" s="118">
        <v>44411</v>
      </c>
      <c r="Y1549" s="118">
        <v>45140</v>
      </c>
    </row>
    <row r="1550" s="9" customFormat="1" customHeight="1" spans="1:25">
      <c r="A1550" s="98" t="s">
        <v>401</v>
      </c>
      <c r="B1550" s="98" t="s">
        <v>62</v>
      </c>
      <c r="C1550" s="98" t="s">
        <v>217</v>
      </c>
      <c r="D1550" s="98" t="s">
        <v>566</v>
      </c>
      <c r="E1550" s="147" t="s">
        <v>2003</v>
      </c>
      <c r="F1550" s="98" t="s">
        <v>2004</v>
      </c>
      <c r="G1550" s="99" t="s">
        <v>67</v>
      </c>
      <c r="H1550" s="19" t="s">
        <v>2005</v>
      </c>
      <c r="I1550" s="23" t="e">
        <f>VLOOKUP(H1550,'合同综合查询数据（3月返）'!$A:$A,1,FALSE)</f>
        <v>#N/A</v>
      </c>
      <c r="J1550" s="99" t="s">
        <v>69</v>
      </c>
      <c r="K1550" s="129" t="s">
        <v>2008</v>
      </c>
      <c r="L1550" s="153"/>
      <c r="M1550" s="26"/>
      <c r="N1550" s="210">
        <v>44441</v>
      </c>
      <c r="O1550" s="190" t="s">
        <v>71</v>
      </c>
      <c r="P1550" s="173">
        <v>340</v>
      </c>
      <c r="Q1550" s="119">
        <v>109.8</v>
      </c>
      <c r="R1550" s="120">
        <f t="shared" si="38"/>
        <v>37332</v>
      </c>
      <c r="S1550" s="117">
        <v>202303</v>
      </c>
      <c r="T1550" s="202" t="s">
        <v>2012</v>
      </c>
      <c r="U1550" s="228"/>
      <c r="V1550" s="133"/>
      <c r="W1550" s="133"/>
      <c r="X1550" s="118">
        <v>44411</v>
      </c>
      <c r="Y1550" s="118">
        <v>45140</v>
      </c>
    </row>
    <row r="1551" s="9" customFormat="1" customHeight="1" spans="1:25">
      <c r="A1551" s="98" t="s">
        <v>401</v>
      </c>
      <c r="B1551" s="98" t="s">
        <v>62</v>
      </c>
      <c r="C1551" s="98" t="s">
        <v>217</v>
      </c>
      <c r="D1551" s="98" t="s">
        <v>566</v>
      </c>
      <c r="E1551" s="147" t="s">
        <v>2003</v>
      </c>
      <c r="F1551" s="98" t="s">
        <v>2004</v>
      </c>
      <c r="G1551" s="99" t="s">
        <v>67</v>
      </c>
      <c r="H1551" s="19" t="s">
        <v>2005</v>
      </c>
      <c r="I1551" s="23" t="e">
        <f>VLOOKUP(H1551,'合同综合查询数据（3月返）'!$A:$A,1,FALSE)</f>
        <v>#N/A</v>
      </c>
      <c r="J1551" s="99" t="s">
        <v>69</v>
      </c>
      <c r="K1551" s="129" t="s">
        <v>2010</v>
      </c>
      <c r="L1551" s="153"/>
      <c r="M1551" s="26"/>
      <c r="N1551" s="210">
        <v>44441</v>
      </c>
      <c r="O1551" s="190" t="s">
        <v>71</v>
      </c>
      <c r="P1551" s="173">
        <v>3500</v>
      </c>
      <c r="Q1551" s="119">
        <v>1</v>
      </c>
      <c r="R1551" s="120">
        <f t="shared" si="38"/>
        <v>3500</v>
      </c>
      <c r="S1551" s="117">
        <v>202303</v>
      </c>
      <c r="T1551" s="202" t="s">
        <v>2013</v>
      </c>
      <c r="U1551" s="228"/>
      <c r="V1551" s="133"/>
      <c r="W1551" s="133"/>
      <c r="X1551" s="118">
        <v>44411</v>
      </c>
      <c r="Y1551" s="118">
        <v>45140</v>
      </c>
    </row>
    <row r="1552" s="9" customFormat="1" customHeight="1" spans="1:25">
      <c r="A1552" s="98" t="s">
        <v>401</v>
      </c>
      <c r="B1552" s="98" t="s">
        <v>62</v>
      </c>
      <c r="C1552" s="98" t="s">
        <v>217</v>
      </c>
      <c r="D1552" s="98" t="s">
        <v>566</v>
      </c>
      <c r="E1552" s="147" t="s">
        <v>2003</v>
      </c>
      <c r="F1552" s="98" t="s">
        <v>2004</v>
      </c>
      <c r="G1552" s="99" t="s">
        <v>67</v>
      </c>
      <c r="H1552" s="19" t="s">
        <v>2005</v>
      </c>
      <c r="I1552" s="23" t="e">
        <f>VLOOKUP(H1552,'合同综合查询数据（3月返）'!$A:$A,1,FALSE)</f>
        <v>#N/A</v>
      </c>
      <c r="J1552" s="99" t="s">
        <v>69</v>
      </c>
      <c r="K1552" s="129" t="s">
        <v>2008</v>
      </c>
      <c r="L1552" s="153"/>
      <c r="M1552" s="26"/>
      <c r="N1552" s="210">
        <v>44441</v>
      </c>
      <c r="O1552" s="190" t="s">
        <v>71</v>
      </c>
      <c r="P1552" s="173">
        <v>340</v>
      </c>
      <c r="Q1552" s="119">
        <v>113.2</v>
      </c>
      <c r="R1552" s="120">
        <f t="shared" si="38"/>
        <v>38488</v>
      </c>
      <c r="S1552" s="117">
        <v>202303</v>
      </c>
      <c r="T1552" s="202" t="s">
        <v>2014</v>
      </c>
      <c r="U1552" s="228"/>
      <c r="V1552" s="133"/>
      <c r="W1552" s="133"/>
      <c r="X1552" s="118">
        <v>44411</v>
      </c>
      <c r="Y1552" s="118">
        <v>45140</v>
      </c>
    </row>
    <row r="1553" s="9" customFormat="1" customHeight="1" spans="1:25">
      <c r="A1553" s="98" t="s">
        <v>401</v>
      </c>
      <c r="B1553" s="98" t="s">
        <v>62</v>
      </c>
      <c r="C1553" s="98" t="s">
        <v>217</v>
      </c>
      <c r="D1553" s="98" t="s">
        <v>566</v>
      </c>
      <c r="E1553" s="147" t="s">
        <v>2003</v>
      </c>
      <c r="F1553" s="98" t="s">
        <v>2004</v>
      </c>
      <c r="G1553" s="99" t="s">
        <v>67</v>
      </c>
      <c r="H1553" s="19" t="s">
        <v>2005</v>
      </c>
      <c r="I1553" s="23" t="e">
        <f>VLOOKUP(H1553,'合同综合查询数据（3月返）'!$A:$A,1,FALSE)</f>
        <v>#N/A</v>
      </c>
      <c r="J1553" s="99" t="s">
        <v>69</v>
      </c>
      <c r="K1553" s="129" t="s">
        <v>2010</v>
      </c>
      <c r="L1553" s="153"/>
      <c r="M1553" s="26"/>
      <c r="N1553" s="210">
        <v>44441</v>
      </c>
      <c r="O1553" s="190" t="s">
        <v>71</v>
      </c>
      <c r="P1553" s="173">
        <v>3500</v>
      </c>
      <c r="Q1553" s="119">
        <v>1</v>
      </c>
      <c r="R1553" s="120">
        <f t="shared" si="38"/>
        <v>3500</v>
      </c>
      <c r="S1553" s="117">
        <v>202303</v>
      </c>
      <c r="T1553" s="202" t="s">
        <v>2015</v>
      </c>
      <c r="U1553" s="228"/>
      <c r="V1553" s="133"/>
      <c r="W1553" s="133"/>
      <c r="X1553" s="118">
        <v>44411</v>
      </c>
      <c r="Y1553" s="118">
        <v>45140</v>
      </c>
    </row>
    <row r="1554" s="9" customFormat="1" customHeight="1" spans="1:25">
      <c r="A1554" s="98" t="s">
        <v>401</v>
      </c>
      <c r="B1554" s="98" t="s">
        <v>62</v>
      </c>
      <c r="C1554" s="98" t="s">
        <v>217</v>
      </c>
      <c r="D1554" s="98" t="s">
        <v>566</v>
      </c>
      <c r="E1554" s="147" t="s">
        <v>2003</v>
      </c>
      <c r="F1554" s="98" t="s">
        <v>2004</v>
      </c>
      <c r="G1554" s="99" t="s">
        <v>67</v>
      </c>
      <c r="H1554" s="19" t="s">
        <v>2005</v>
      </c>
      <c r="I1554" s="23" t="e">
        <f>VLOOKUP(H1554,'合同综合查询数据（3月返）'!$A:$A,1,FALSE)</f>
        <v>#N/A</v>
      </c>
      <c r="J1554" s="99" t="s">
        <v>69</v>
      </c>
      <c r="K1554" s="129" t="s">
        <v>2008</v>
      </c>
      <c r="L1554" s="153"/>
      <c r="M1554" s="26"/>
      <c r="N1554" s="210">
        <v>44441</v>
      </c>
      <c r="O1554" s="190" t="s">
        <v>71</v>
      </c>
      <c r="P1554" s="173">
        <v>340</v>
      </c>
      <c r="Q1554" s="119">
        <v>105</v>
      </c>
      <c r="R1554" s="120">
        <f t="shared" si="38"/>
        <v>35700</v>
      </c>
      <c r="S1554" s="117">
        <v>202303</v>
      </c>
      <c r="T1554" s="202" t="s">
        <v>2016</v>
      </c>
      <c r="U1554" s="228"/>
      <c r="V1554" s="133"/>
      <c r="W1554" s="133"/>
      <c r="X1554" s="118">
        <v>44411</v>
      </c>
      <c r="Y1554" s="118">
        <v>45140</v>
      </c>
    </row>
    <row r="1555" s="9" customFormat="1" customHeight="1" spans="1:25">
      <c r="A1555" s="98" t="s">
        <v>401</v>
      </c>
      <c r="B1555" s="98" t="s">
        <v>62</v>
      </c>
      <c r="C1555" s="98" t="s">
        <v>217</v>
      </c>
      <c r="D1555" s="98" t="s">
        <v>566</v>
      </c>
      <c r="E1555" s="147" t="s">
        <v>2003</v>
      </c>
      <c r="F1555" s="98" t="s">
        <v>2004</v>
      </c>
      <c r="G1555" s="99" t="s">
        <v>67</v>
      </c>
      <c r="H1555" s="19" t="s">
        <v>2005</v>
      </c>
      <c r="I1555" s="23" t="e">
        <f>VLOOKUP(H1555,'合同综合查询数据（3月返）'!$A:$A,1,FALSE)</f>
        <v>#N/A</v>
      </c>
      <c r="J1555" s="99" t="s">
        <v>69</v>
      </c>
      <c r="K1555" s="129" t="s">
        <v>2017</v>
      </c>
      <c r="L1555" s="153"/>
      <c r="M1555" s="26"/>
      <c r="N1555" s="210">
        <v>44441</v>
      </c>
      <c r="O1555" s="190" t="s">
        <v>71</v>
      </c>
      <c r="P1555" s="173">
        <v>340</v>
      </c>
      <c r="Q1555" s="119">
        <v>136.7</v>
      </c>
      <c r="R1555" s="120">
        <f t="shared" si="38"/>
        <v>46478</v>
      </c>
      <c r="S1555" s="117">
        <v>202303</v>
      </c>
      <c r="T1555" s="202" t="s">
        <v>2018</v>
      </c>
      <c r="U1555" s="228"/>
      <c r="V1555" s="133"/>
      <c r="W1555" s="133"/>
      <c r="X1555" s="118">
        <v>44411</v>
      </c>
      <c r="Y1555" s="118">
        <v>45140</v>
      </c>
    </row>
    <row r="1556" s="9" customFormat="1" customHeight="1" spans="1:25">
      <c r="A1556" s="98" t="s">
        <v>401</v>
      </c>
      <c r="B1556" s="98" t="s">
        <v>62</v>
      </c>
      <c r="C1556" s="98" t="s">
        <v>217</v>
      </c>
      <c r="D1556" s="98" t="s">
        <v>566</v>
      </c>
      <c r="E1556" s="147" t="s">
        <v>2003</v>
      </c>
      <c r="F1556" s="98" t="s">
        <v>2004</v>
      </c>
      <c r="G1556" s="99" t="s">
        <v>67</v>
      </c>
      <c r="H1556" s="19" t="s">
        <v>2005</v>
      </c>
      <c r="I1556" s="23" t="e">
        <f>VLOOKUP(H1556,'合同综合查询数据（3月返）'!$A:$A,1,FALSE)</f>
        <v>#N/A</v>
      </c>
      <c r="J1556" s="99" t="s">
        <v>69</v>
      </c>
      <c r="K1556" s="129" t="s">
        <v>2019</v>
      </c>
      <c r="L1556" s="153"/>
      <c r="M1556" s="26"/>
      <c r="N1556" s="210">
        <v>44441</v>
      </c>
      <c r="O1556" s="190" t="s">
        <v>71</v>
      </c>
      <c r="P1556" s="173">
        <v>3500</v>
      </c>
      <c r="Q1556" s="119">
        <v>1</v>
      </c>
      <c r="R1556" s="120">
        <f t="shared" si="38"/>
        <v>3500</v>
      </c>
      <c r="S1556" s="117">
        <v>202303</v>
      </c>
      <c r="T1556" s="202" t="s">
        <v>2020</v>
      </c>
      <c r="U1556" s="228"/>
      <c r="V1556" s="133"/>
      <c r="W1556" s="133"/>
      <c r="X1556" s="118">
        <v>44411</v>
      </c>
      <c r="Y1556" s="118">
        <v>45140</v>
      </c>
    </row>
    <row r="1557" s="9" customFormat="1" customHeight="1" spans="1:25">
      <c r="A1557" s="98" t="s">
        <v>401</v>
      </c>
      <c r="B1557" s="98" t="s">
        <v>62</v>
      </c>
      <c r="C1557" s="98" t="s">
        <v>217</v>
      </c>
      <c r="D1557" s="98" t="s">
        <v>566</v>
      </c>
      <c r="E1557" s="147" t="s">
        <v>2003</v>
      </c>
      <c r="F1557" s="98" t="s">
        <v>2004</v>
      </c>
      <c r="G1557" s="99" t="s">
        <v>67</v>
      </c>
      <c r="H1557" s="19" t="s">
        <v>2005</v>
      </c>
      <c r="I1557" s="23" t="e">
        <f>VLOOKUP(H1557,'合同综合查询数据（3月返）'!$A:$A,1,FALSE)</f>
        <v>#N/A</v>
      </c>
      <c r="J1557" s="99" t="s">
        <v>69</v>
      </c>
      <c r="K1557" s="129" t="s">
        <v>2017</v>
      </c>
      <c r="L1557" s="153"/>
      <c r="M1557" s="26"/>
      <c r="N1557" s="210">
        <v>44441</v>
      </c>
      <c r="O1557" s="190" t="s">
        <v>71</v>
      </c>
      <c r="P1557" s="173">
        <v>340</v>
      </c>
      <c r="Q1557" s="119">
        <v>151.7</v>
      </c>
      <c r="R1557" s="120">
        <f t="shared" si="38"/>
        <v>51578</v>
      </c>
      <c r="S1557" s="117">
        <v>202303</v>
      </c>
      <c r="T1557" s="202" t="s">
        <v>2021</v>
      </c>
      <c r="U1557" s="228"/>
      <c r="V1557" s="133"/>
      <c r="W1557" s="133"/>
      <c r="X1557" s="118">
        <v>44411</v>
      </c>
      <c r="Y1557" s="118">
        <v>45140</v>
      </c>
    </row>
    <row r="1558" s="9" customFormat="1" customHeight="1" spans="1:25">
      <c r="A1558" s="98" t="s">
        <v>401</v>
      </c>
      <c r="B1558" s="98" t="s">
        <v>62</v>
      </c>
      <c r="C1558" s="98" t="s">
        <v>217</v>
      </c>
      <c r="D1558" s="98" t="s">
        <v>566</v>
      </c>
      <c r="E1558" s="147" t="s">
        <v>2003</v>
      </c>
      <c r="F1558" s="98" t="s">
        <v>2004</v>
      </c>
      <c r="G1558" s="99" t="s">
        <v>67</v>
      </c>
      <c r="H1558" s="19" t="s">
        <v>2005</v>
      </c>
      <c r="I1558" s="23" t="e">
        <f>VLOOKUP(H1558,'合同综合查询数据（3月返）'!$A:$A,1,FALSE)</f>
        <v>#N/A</v>
      </c>
      <c r="J1558" s="99" t="s">
        <v>69</v>
      </c>
      <c r="K1558" s="129" t="s">
        <v>2019</v>
      </c>
      <c r="L1558" s="153"/>
      <c r="M1558" s="26"/>
      <c r="N1558" s="210">
        <v>44441</v>
      </c>
      <c r="O1558" s="190" t="s">
        <v>71</v>
      </c>
      <c r="P1558" s="173">
        <v>3500</v>
      </c>
      <c r="Q1558" s="119">
        <v>1</v>
      </c>
      <c r="R1558" s="120">
        <f t="shared" si="38"/>
        <v>3500</v>
      </c>
      <c r="S1558" s="117">
        <v>202303</v>
      </c>
      <c r="T1558" s="202" t="s">
        <v>2022</v>
      </c>
      <c r="U1558" s="228"/>
      <c r="V1558" s="133"/>
      <c r="W1558" s="133"/>
      <c r="X1558" s="118">
        <v>44411</v>
      </c>
      <c r="Y1558" s="118">
        <v>45140</v>
      </c>
    </row>
    <row r="1559" s="9" customFormat="1" customHeight="1" spans="1:25">
      <c r="A1559" s="98" t="s">
        <v>401</v>
      </c>
      <c r="B1559" s="98" t="s">
        <v>62</v>
      </c>
      <c r="C1559" s="98" t="s">
        <v>217</v>
      </c>
      <c r="D1559" s="98" t="s">
        <v>566</v>
      </c>
      <c r="E1559" s="147" t="s">
        <v>2003</v>
      </c>
      <c r="F1559" s="98" t="s">
        <v>2004</v>
      </c>
      <c r="G1559" s="99" t="s">
        <v>67</v>
      </c>
      <c r="H1559" s="19" t="s">
        <v>2005</v>
      </c>
      <c r="I1559" s="23" t="e">
        <f>VLOOKUP(H1559,'合同综合查询数据（3月返）'!$A:$A,1,FALSE)</f>
        <v>#N/A</v>
      </c>
      <c r="J1559" s="99" t="s">
        <v>69</v>
      </c>
      <c r="K1559" s="129" t="s">
        <v>2017</v>
      </c>
      <c r="L1559" s="153"/>
      <c r="M1559" s="26"/>
      <c r="N1559" s="210">
        <v>44441</v>
      </c>
      <c r="O1559" s="190" t="s">
        <v>71</v>
      </c>
      <c r="P1559" s="173">
        <v>340</v>
      </c>
      <c r="Q1559" s="119">
        <v>181.3</v>
      </c>
      <c r="R1559" s="120">
        <f t="shared" si="38"/>
        <v>61642</v>
      </c>
      <c r="S1559" s="117">
        <v>202303</v>
      </c>
      <c r="T1559" s="202" t="s">
        <v>2023</v>
      </c>
      <c r="U1559" s="228"/>
      <c r="V1559" s="133"/>
      <c r="W1559" s="133"/>
      <c r="X1559" s="118">
        <v>44411</v>
      </c>
      <c r="Y1559" s="118">
        <v>45140</v>
      </c>
    </row>
    <row r="1560" s="9" customFormat="1" customHeight="1" spans="1:25">
      <c r="A1560" s="98" t="s">
        <v>401</v>
      </c>
      <c r="B1560" s="98" t="s">
        <v>62</v>
      </c>
      <c r="C1560" s="98" t="s">
        <v>217</v>
      </c>
      <c r="D1560" s="98" t="s">
        <v>566</v>
      </c>
      <c r="E1560" s="147" t="s">
        <v>2003</v>
      </c>
      <c r="F1560" s="98" t="s">
        <v>2004</v>
      </c>
      <c r="G1560" s="99" t="s">
        <v>67</v>
      </c>
      <c r="H1560" s="19" t="s">
        <v>2005</v>
      </c>
      <c r="I1560" s="23" t="e">
        <f>VLOOKUP(H1560,'合同综合查询数据（3月返）'!$A:$A,1,FALSE)</f>
        <v>#N/A</v>
      </c>
      <c r="J1560" s="99" t="s">
        <v>69</v>
      </c>
      <c r="K1560" s="129" t="s">
        <v>2019</v>
      </c>
      <c r="L1560" s="153"/>
      <c r="M1560" s="26"/>
      <c r="N1560" s="210">
        <v>44441</v>
      </c>
      <c r="O1560" s="190" t="s">
        <v>71</v>
      </c>
      <c r="P1560" s="173">
        <v>3500</v>
      </c>
      <c r="Q1560" s="119">
        <v>1</v>
      </c>
      <c r="R1560" s="120">
        <f t="shared" si="38"/>
        <v>3500</v>
      </c>
      <c r="S1560" s="117">
        <v>202303</v>
      </c>
      <c r="T1560" s="202" t="s">
        <v>2024</v>
      </c>
      <c r="U1560" s="228"/>
      <c r="V1560" s="133"/>
      <c r="W1560" s="133"/>
      <c r="X1560" s="118">
        <v>44411</v>
      </c>
      <c r="Y1560" s="118">
        <v>45140</v>
      </c>
    </row>
    <row r="1561" s="9" customFormat="1" customHeight="1" spans="1:25">
      <c r="A1561" s="98" t="s">
        <v>401</v>
      </c>
      <c r="B1561" s="98" t="s">
        <v>62</v>
      </c>
      <c r="C1561" s="98" t="s">
        <v>217</v>
      </c>
      <c r="D1561" s="98" t="s">
        <v>566</v>
      </c>
      <c r="E1561" s="147" t="s">
        <v>2003</v>
      </c>
      <c r="F1561" s="98" t="s">
        <v>2004</v>
      </c>
      <c r="G1561" s="99" t="s">
        <v>67</v>
      </c>
      <c r="H1561" s="19" t="s">
        <v>2005</v>
      </c>
      <c r="I1561" s="23" t="e">
        <f>VLOOKUP(H1561,'合同综合查询数据（3月返）'!$A:$A,1,FALSE)</f>
        <v>#N/A</v>
      </c>
      <c r="J1561" s="99" t="s">
        <v>69</v>
      </c>
      <c r="K1561" s="129" t="s">
        <v>2017</v>
      </c>
      <c r="L1561" s="153"/>
      <c r="M1561" s="26"/>
      <c r="N1561" s="210">
        <v>44441</v>
      </c>
      <c r="O1561" s="190" t="s">
        <v>71</v>
      </c>
      <c r="P1561" s="173">
        <v>340</v>
      </c>
      <c r="Q1561" s="119">
        <v>115.5</v>
      </c>
      <c r="R1561" s="120">
        <f t="shared" si="38"/>
        <v>39270</v>
      </c>
      <c r="S1561" s="117">
        <v>202303</v>
      </c>
      <c r="T1561" s="202" t="s">
        <v>2025</v>
      </c>
      <c r="U1561" s="228"/>
      <c r="V1561" s="133"/>
      <c r="W1561" s="133"/>
      <c r="X1561" s="118">
        <v>44411</v>
      </c>
      <c r="Y1561" s="118">
        <v>45140</v>
      </c>
    </row>
    <row r="1562" s="9" customFormat="1" customHeight="1" spans="1:25">
      <c r="A1562" s="98" t="s">
        <v>401</v>
      </c>
      <c r="B1562" s="98" t="s">
        <v>62</v>
      </c>
      <c r="C1562" s="98" t="s">
        <v>217</v>
      </c>
      <c r="D1562" s="98" t="s">
        <v>566</v>
      </c>
      <c r="E1562" s="147" t="s">
        <v>2003</v>
      </c>
      <c r="F1562" s="98" t="s">
        <v>2004</v>
      </c>
      <c r="G1562" s="99" t="s">
        <v>67</v>
      </c>
      <c r="H1562" s="19" t="s">
        <v>2005</v>
      </c>
      <c r="I1562" s="23" t="e">
        <f>VLOOKUP(H1562,'合同综合查询数据（3月返）'!$A:$A,1,FALSE)</f>
        <v>#N/A</v>
      </c>
      <c r="J1562" s="99" t="s">
        <v>69</v>
      </c>
      <c r="K1562" s="129" t="s">
        <v>2019</v>
      </c>
      <c r="L1562" s="153"/>
      <c r="M1562" s="26"/>
      <c r="N1562" s="210">
        <v>44441</v>
      </c>
      <c r="O1562" s="190" t="s">
        <v>71</v>
      </c>
      <c r="P1562" s="173">
        <v>3500</v>
      </c>
      <c r="Q1562" s="119">
        <v>1</v>
      </c>
      <c r="R1562" s="120">
        <f t="shared" si="38"/>
        <v>3500</v>
      </c>
      <c r="S1562" s="117">
        <v>202303</v>
      </c>
      <c r="T1562" s="202" t="s">
        <v>2026</v>
      </c>
      <c r="U1562" s="228"/>
      <c r="V1562" s="133"/>
      <c r="W1562" s="133"/>
      <c r="X1562" s="118">
        <v>44411</v>
      </c>
      <c r="Y1562" s="118">
        <v>45140</v>
      </c>
    </row>
    <row r="1563" s="10" customFormat="1" customHeight="1" spans="1:25">
      <c r="A1563" s="61" t="s">
        <v>401</v>
      </c>
      <c r="B1563" s="60" t="s">
        <v>62</v>
      </c>
      <c r="C1563" s="61" t="s">
        <v>130</v>
      </c>
      <c r="D1563" s="61" t="s">
        <v>881</v>
      </c>
      <c r="E1563" s="160" t="s">
        <v>2027</v>
      </c>
      <c r="F1563" s="61" t="s">
        <v>2028</v>
      </c>
      <c r="G1563" s="161" t="s">
        <v>88</v>
      </c>
      <c r="H1563" s="45" t="s">
        <v>2029</v>
      </c>
      <c r="I1563" s="47" t="e">
        <f>VLOOKUP(H1563,'合同综合查询数据（3月返）'!$A:$A,1,FALSE)</f>
        <v>#N/A</v>
      </c>
      <c r="J1563" s="135" t="s">
        <v>126</v>
      </c>
      <c r="K1563" s="135" t="s">
        <v>2030</v>
      </c>
      <c r="L1563" s="66" t="s">
        <v>2028</v>
      </c>
      <c r="M1563" s="50" t="s">
        <v>2031</v>
      </c>
      <c r="N1563" s="165">
        <v>43333</v>
      </c>
      <c r="O1563" s="172" t="s">
        <v>127</v>
      </c>
      <c r="P1563" s="196">
        <v>3000</v>
      </c>
      <c r="Q1563" s="196">
        <v>6</v>
      </c>
      <c r="R1563" s="68">
        <f t="shared" si="38"/>
        <v>18000</v>
      </c>
      <c r="S1563" s="70">
        <v>202303</v>
      </c>
      <c r="T1563" s="170" t="s">
        <v>2032</v>
      </c>
      <c r="U1563" s="170"/>
      <c r="V1563" s="146"/>
      <c r="W1563" s="146"/>
      <c r="X1563" s="73"/>
      <c r="Y1563" s="73"/>
    </row>
    <row r="1564" s="10" customFormat="1" customHeight="1" spans="1:25">
      <c r="A1564" s="61" t="s">
        <v>401</v>
      </c>
      <c r="B1564" s="60" t="s">
        <v>62</v>
      </c>
      <c r="C1564" s="61" t="s">
        <v>130</v>
      </c>
      <c r="D1564" s="61" t="s">
        <v>881</v>
      </c>
      <c r="E1564" s="160" t="s">
        <v>2027</v>
      </c>
      <c r="F1564" s="61" t="s">
        <v>2028</v>
      </c>
      <c r="G1564" s="161" t="s">
        <v>88</v>
      </c>
      <c r="H1564" s="45" t="s">
        <v>2029</v>
      </c>
      <c r="I1564" s="47" t="e">
        <f>VLOOKUP(H1564,'合同综合查询数据（3月返）'!$A:$A,1,FALSE)</f>
        <v>#N/A</v>
      </c>
      <c r="J1564" s="135" t="s">
        <v>126</v>
      </c>
      <c r="K1564" s="135" t="s">
        <v>2030</v>
      </c>
      <c r="L1564" s="66" t="s">
        <v>2028</v>
      </c>
      <c r="M1564" s="50" t="s">
        <v>2031</v>
      </c>
      <c r="N1564" s="165">
        <v>44500</v>
      </c>
      <c r="O1564" s="172" t="s">
        <v>127</v>
      </c>
      <c r="P1564" s="196">
        <v>3000</v>
      </c>
      <c r="Q1564" s="196">
        <v>-2</v>
      </c>
      <c r="R1564" s="68">
        <f t="shared" si="38"/>
        <v>-6000</v>
      </c>
      <c r="S1564" s="70">
        <v>202303</v>
      </c>
      <c r="T1564" s="170" t="s">
        <v>2033</v>
      </c>
      <c r="U1564" s="170"/>
      <c r="V1564" s="146"/>
      <c r="W1564" s="146"/>
      <c r="X1564" s="73"/>
      <c r="Y1564" s="73"/>
    </row>
    <row r="1565" s="10" customFormat="1" customHeight="1" spans="1:25">
      <c r="A1565" s="61" t="s">
        <v>401</v>
      </c>
      <c r="B1565" s="60" t="s">
        <v>62</v>
      </c>
      <c r="C1565" s="61" t="s">
        <v>130</v>
      </c>
      <c r="D1565" s="61" t="s">
        <v>881</v>
      </c>
      <c r="E1565" s="160" t="s">
        <v>2027</v>
      </c>
      <c r="F1565" s="61" t="s">
        <v>2028</v>
      </c>
      <c r="G1565" s="161" t="s">
        <v>31</v>
      </c>
      <c r="H1565" s="45" t="s">
        <v>2029</v>
      </c>
      <c r="I1565" s="47" t="e">
        <f>VLOOKUP(H1565,'合同综合查询数据（3月返）'!$A:$A,1,FALSE)</f>
        <v>#N/A</v>
      </c>
      <c r="J1565" s="135" t="s">
        <v>33</v>
      </c>
      <c r="K1565" s="135" t="s">
        <v>2030</v>
      </c>
      <c r="L1565" s="66" t="s">
        <v>2028</v>
      </c>
      <c r="M1565" s="50"/>
      <c r="N1565" s="165">
        <v>43333</v>
      </c>
      <c r="O1565" s="172"/>
      <c r="P1565" s="196">
        <v>0</v>
      </c>
      <c r="Q1565" s="196">
        <v>288</v>
      </c>
      <c r="R1565" s="68">
        <f t="shared" si="38"/>
        <v>0</v>
      </c>
      <c r="S1565" s="70">
        <v>202303</v>
      </c>
      <c r="T1565" s="170" t="s">
        <v>2034</v>
      </c>
      <c r="U1565" s="170"/>
      <c r="V1565" s="146"/>
      <c r="W1565" s="146"/>
      <c r="X1565" s="73"/>
      <c r="Y1565" s="73"/>
    </row>
    <row r="1566" s="9" customFormat="1" customHeight="1" spans="1:25">
      <c r="A1566" s="16" t="s">
        <v>401</v>
      </c>
      <c r="B1566" s="17" t="s">
        <v>83</v>
      </c>
      <c r="C1566" s="17" t="s">
        <v>2035</v>
      </c>
      <c r="D1566" s="96" t="s">
        <v>75</v>
      </c>
      <c r="E1566" s="18" t="s">
        <v>2036</v>
      </c>
      <c r="F1566" s="16" t="s">
        <v>2037</v>
      </c>
      <c r="G1566" s="16" t="s">
        <v>302</v>
      </c>
      <c r="H1566" s="100" t="s">
        <v>2038</v>
      </c>
      <c r="I1566" s="23" t="e">
        <f>VLOOKUP(H1566,'合同综合查询数据（3月返）'!$A:$A,1,FALSE)</f>
        <v>#N/A</v>
      </c>
      <c r="J1566" s="24" t="s">
        <v>302</v>
      </c>
      <c r="K1566" s="16" t="s">
        <v>2039</v>
      </c>
      <c r="L1566" s="25"/>
      <c r="M1566" s="26"/>
      <c r="N1566" s="224">
        <v>43891</v>
      </c>
      <c r="O1566" s="224" t="s">
        <v>2040</v>
      </c>
      <c r="P1566" s="225">
        <v>600000</v>
      </c>
      <c r="Q1566" s="229">
        <v>1</v>
      </c>
      <c r="R1566" s="225">
        <f t="shared" si="38"/>
        <v>600000</v>
      </c>
      <c r="S1566" s="117">
        <v>202303</v>
      </c>
      <c r="T1566" s="38" t="s">
        <v>2041</v>
      </c>
      <c r="U1566" s="157"/>
      <c r="V1566" s="122"/>
      <c r="W1566" s="122"/>
      <c r="X1566" s="118">
        <v>43647</v>
      </c>
      <c r="Y1566" s="118">
        <v>45107</v>
      </c>
    </row>
    <row r="1567" s="9" customFormat="1" customHeight="1" spans="1:25">
      <c r="A1567" s="98" t="s">
        <v>399</v>
      </c>
      <c r="B1567" s="98" t="s">
        <v>62</v>
      </c>
      <c r="C1567" s="98" t="s">
        <v>217</v>
      </c>
      <c r="D1567" s="98" t="s">
        <v>566</v>
      </c>
      <c r="E1567" s="147" t="s">
        <v>2042</v>
      </c>
      <c r="F1567" s="98" t="s">
        <v>2043</v>
      </c>
      <c r="G1567" s="151" t="s">
        <v>31</v>
      </c>
      <c r="H1567" s="19" t="s">
        <v>2044</v>
      </c>
      <c r="I1567" s="23" t="e">
        <f>VLOOKUP(H1567,'合同综合查询数据（3月返）'!$A:$A,1,FALSE)</f>
        <v>#N/A</v>
      </c>
      <c r="J1567" s="129" t="s">
        <v>451</v>
      </c>
      <c r="K1567" s="129" t="s">
        <v>501</v>
      </c>
      <c r="L1567" s="153"/>
      <c r="M1567" s="26"/>
      <c r="N1567" s="154"/>
      <c r="O1567" s="226" t="s">
        <v>37</v>
      </c>
      <c r="P1567" s="156">
        <v>0</v>
      </c>
      <c r="Q1567" s="156">
        <v>1024</v>
      </c>
      <c r="R1567" s="120">
        <f t="shared" si="38"/>
        <v>0</v>
      </c>
      <c r="S1567" s="117">
        <v>202303</v>
      </c>
      <c r="T1567" s="157" t="s">
        <v>2045</v>
      </c>
      <c r="U1567" s="157"/>
      <c r="V1567" s="230"/>
      <c r="W1567" s="230"/>
      <c r="X1567" s="118">
        <v>44682</v>
      </c>
      <c r="Y1567" s="118">
        <v>45046</v>
      </c>
    </row>
    <row r="1568" s="9" customFormat="1" customHeight="1" spans="1:25">
      <c r="A1568" s="129" t="s">
        <v>399</v>
      </c>
      <c r="B1568" s="98" t="s">
        <v>62</v>
      </c>
      <c r="C1568" s="98" t="s">
        <v>217</v>
      </c>
      <c r="D1568" s="98" t="s">
        <v>566</v>
      </c>
      <c r="E1568" s="130" t="s">
        <v>2042</v>
      </c>
      <c r="F1568" s="129" t="s">
        <v>2043</v>
      </c>
      <c r="G1568" s="129" t="s">
        <v>31</v>
      </c>
      <c r="H1568" s="19" t="s">
        <v>2044</v>
      </c>
      <c r="I1568" s="23" t="e">
        <f>VLOOKUP(H1568,'合同综合查询数据（3月返）'!$A:$A,1,FALSE)</f>
        <v>#N/A</v>
      </c>
      <c r="J1568" s="129" t="s">
        <v>667</v>
      </c>
      <c r="K1568" s="129" t="s">
        <v>668</v>
      </c>
      <c r="L1568" s="129" t="s">
        <v>2043</v>
      </c>
      <c r="M1568" s="129"/>
      <c r="N1568" s="227">
        <v>43872</v>
      </c>
      <c r="O1568" s="129" t="s">
        <v>1171</v>
      </c>
      <c r="P1568" s="156">
        <v>0</v>
      </c>
      <c r="Q1568" s="156">
        <v>512</v>
      </c>
      <c r="R1568" s="120">
        <f t="shared" si="38"/>
        <v>0</v>
      </c>
      <c r="S1568" s="117">
        <v>202303</v>
      </c>
      <c r="T1568" s="121" t="s">
        <v>2046</v>
      </c>
      <c r="U1568" s="132"/>
      <c r="V1568" s="133"/>
      <c r="W1568" s="133"/>
      <c r="X1568" s="118">
        <v>44682</v>
      </c>
      <c r="Y1568" s="118">
        <v>45046</v>
      </c>
    </row>
    <row r="1569" s="9" customFormat="1" customHeight="1" spans="1:25">
      <c r="A1569" s="129" t="s">
        <v>399</v>
      </c>
      <c r="B1569" s="98" t="s">
        <v>62</v>
      </c>
      <c r="C1569" s="98" t="s">
        <v>217</v>
      </c>
      <c r="D1569" s="98" t="s">
        <v>566</v>
      </c>
      <c r="E1569" s="130" t="s">
        <v>2042</v>
      </c>
      <c r="F1569" s="129" t="s">
        <v>2043</v>
      </c>
      <c r="G1569" s="129" t="s">
        <v>31</v>
      </c>
      <c r="H1569" s="19" t="s">
        <v>2044</v>
      </c>
      <c r="I1569" s="23" t="e">
        <f>VLOOKUP(H1569,'合同综合查询数据（3月返）'!$A:$A,1,FALSE)</f>
        <v>#N/A</v>
      </c>
      <c r="J1569" s="129" t="s">
        <v>667</v>
      </c>
      <c r="K1569" s="129" t="s">
        <v>668</v>
      </c>
      <c r="L1569" s="129" t="s">
        <v>2043</v>
      </c>
      <c r="M1569" s="129"/>
      <c r="N1569" s="227">
        <v>44153</v>
      </c>
      <c r="O1569" s="129" t="s">
        <v>1171</v>
      </c>
      <c r="P1569" s="156">
        <v>0</v>
      </c>
      <c r="Q1569" s="156">
        <v>512</v>
      </c>
      <c r="R1569" s="120">
        <f t="shared" si="38"/>
        <v>0</v>
      </c>
      <c r="S1569" s="117">
        <v>202303</v>
      </c>
      <c r="T1569" s="121" t="s">
        <v>2047</v>
      </c>
      <c r="U1569" s="132"/>
      <c r="V1569" s="133"/>
      <c r="W1569" s="133"/>
      <c r="X1569" s="118">
        <v>44682</v>
      </c>
      <c r="Y1569" s="118">
        <v>45046</v>
      </c>
    </row>
    <row r="1570" s="9" customFormat="1" customHeight="1" spans="1:25">
      <c r="A1570" s="129" t="s">
        <v>399</v>
      </c>
      <c r="B1570" s="98" t="s">
        <v>62</v>
      </c>
      <c r="C1570" s="98" t="s">
        <v>217</v>
      </c>
      <c r="D1570" s="98" t="s">
        <v>566</v>
      </c>
      <c r="E1570" s="130" t="s">
        <v>2042</v>
      </c>
      <c r="F1570" s="129" t="s">
        <v>2043</v>
      </c>
      <c r="G1570" s="129" t="s">
        <v>31</v>
      </c>
      <c r="H1570" s="19" t="s">
        <v>2044</v>
      </c>
      <c r="I1570" s="23" t="e">
        <f>VLOOKUP(H1570,'合同综合查询数据（3月返）'!$A:$A,1,FALSE)</f>
        <v>#N/A</v>
      </c>
      <c r="J1570" s="129" t="s">
        <v>667</v>
      </c>
      <c r="K1570" s="129" t="s">
        <v>668</v>
      </c>
      <c r="L1570" s="129" t="s">
        <v>2043</v>
      </c>
      <c r="M1570" s="129"/>
      <c r="N1570" s="227">
        <v>44180</v>
      </c>
      <c r="O1570" s="129" t="s">
        <v>1174</v>
      </c>
      <c r="P1570" s="156">
        <v>0</v>
      </c>
      <c r="Q1570" s="156">
        <f>256*4</f>
        <v>1024</v>
      </c>
      <c r="R1570" s="120">
        <f t="shared" si="38"/>
        <v>0</v>
      </c>
      <c r="S1570" s="117">
        <v>202303</v>
      </c>
      <c r="T1570" s="121" t="s">
        <v>2048</v>
      </c>
      <c r="U1570" s="132"/>
      <c r="V1570" s="133"/>
      <c r="W1570" s="133"/>
      <c r="X1570" s="118">
        <v>44682</v>
      </c>
      <c r="Y1570" s="118">
        <v>45046</v>
      </c>
    </row>
    <row r="1571" s="9" customFormat="1" customHeight="1" spans="1:25">
      <c r="A1571" s="129" t="s">
        <v>399</v>
      </c>
      <c r="B1571" s="98" t="s">
        <v>62</v>
      </c>
      <c r="C1571" s="98" t="s">
        <v>217</v>
      </c>
      <c r="D1571" s="98" t="s">
        <v>566</v>
      </c>
      <c r="E1571" s="130" t="s">
        <v>2042</v>
      </c>
      <c r="F1571" s="129" t="s">
        <v>2043</v>
      </c>
      <c r="G1571" s="129" t="s">
        <v>31</v>
      </c>
      <c r="H1571" s="19" t="s">
        <v>2044</v>
      </c>
      <c r="I1571" s="23" t="e">
        <f>VLOOKUP(H1571,'合同综合查询数据（3月返）'!$A:$A,1,FALSE)</f>
        <v>#N/A</v>
      </c>
      <c r="J1571" s="129" t="s">
        <v>667</v>
      </c>
      <c r="K1571" s="129" t="s">
        <v>668</v>
      </c>
      <c r="L1571" s="129" t="s">
        <v>2043</v>
      </c>
      <c r="M1571" s="129"/>
      <c r="N1571" s="227">
        <v>44350</v>
      </c>
      <c r="O1571" s="129" t="s">
        <v>1176</v>
      </c>
      <c r="P1571" s="156">
        <v>0</v>
      </c>
      <c r="Q1571" s="156">
        <f>256*12</f>
        <v>3072</v>
      </c>
      <c r="R1571" s="120">
        <f t="shared" si="38"/>
        <v>0</v>
      </c>
      <c r="S1571" s="117">
        <v>202303</v>
      </c>
      <c r="T1571" s="121" t="s">
        <v>2049</v>
      </c>
      <c r="U1571" s="132"/>
      <c r="V1571" s="133"/>
      <c r="W1571" s="133"/>
      <c r="X1571" s="118">
        <v>44682</v>
      </c>
      <c r="Y1571" s="118">
        <v>45046</v>
      </c>
    </row>
    <row r="1572" s="10" customFormat="1" customHeight="1" spans="1:25">
      <c r="A1572" s="61" t="s">
        <v>399</v>
      </c>
      <c r="B1572" s="61" t="s">
        <v>62</v>
      </c>
      <c r="C1572" s="61" t="s">
        <v>217</v>
      </c>
      <c r="D1572" s="61" t="s">
        <v>566</v>
      </c>
      <c r="E1572" s="160" t="s">
        <v>2050</v>
      </c>
      <c r="F1572" s="61" t="s">
        <v>2051</v>
      </c>
      <c r="G1572" s="161" t="s">
        <v>31</v>
      </c>
      <c r="H1572" s="45" t="s">
        <v>2052</v>
      </c>
      <c r="I1572" s="47" t="e">
        <f>VLOOKUP(H1572,'合同综合查询数据（3月返）'!$A:$A,1,FALSE)</f>
        <v>#N/A</v>
      </c>
      <c r="J1572" s="65" t="s">
        <v>33</v>
      </c>
      <c r="K1572" s="135" t="s">
        <v>2053</v>
      </c>
      <c r="L1572" s="66" t="s">
        <v>2054</v>
      </c>
      <c r="M1572" s="50"/>
      <c r="N1572" s="165">
        <v>44450</v>
      </c>
      <c r="O1572" s="172" t="s">
        <v>37</v>
      </c>
      <c r="P1572" s="171">
        <v>0</v>
      </c>
      <c r="Q1572" s="171">
        <v>512</v>
      </c>
      <c r="R1572" s="68">
        <f t="shared" si="38"/>
        <v>0</v>
      </c>
      <c r="S1572" s="70">
        <v>202303</v>
      </c>
      <c r="T1572" s="170" t="s">
        <v>2055</v>
      </c>
      <c r="U1572" s="170"/>
      <c r="V1572" s="143"/>
      <c r="W1572" s="143"/>
      <c r="X1572" s="73"/>
      <c r="Y1572" s="73"/>
    </row>
    <row r="1573" s="10" customFormat="1" customHeight="1" spans="1:25">
      <c r="A1573" s="61" t="s">
        <v>399</v>
      </c>
      <c r="B1573" s="61" t="s">
        <v>62</v>
      </c>
      <c r="C1573" s="61" t="s">
        <v>217</v>
      </c>
      <c r="D1573" s="61" t="s">
        <v>566</v>
      </c>
      <c r="E1573" s="160" t="s">
        <v>2050</v>
      </c>
      <c r="F1573" s="61" t="s">
        <v>2051</v>
      </c>
      <c r="G1573" s="161" t="s">
        <v>31</v>
      </c>
      <c r="H1573" s="45" t="s">
        <v>2052</v>
      </c>
      <c r="I1573" s="47" t="e">
        <f>VLOOKUP(H1573,'合同综合查询数据（3月返）'!$A:$A,1,FALSE)</f>
        <v>#N/A</v>
      </c>
      <c r="J1573" s="65" t="s">
        <v>33</v>
      </c>
      <c r="K1573" s="135" t="s">
        <v>2053</v>
      </c>
      <c r="L1573" s="66" t="s">
        <v>2054</v>
      </c>
      <c r="M1573" s="50"/>
      <c r="N1573" s="165">
        <v>44915</v>
      </c>
      <c r="O1573" s="172" t="s">
        <v>37</v>
      </c>
      <c r="P1573" s="171">
        <v>30</v>
      </c>
      <c r="Q1573" s="171">
        <v>-256</v>
      </c>
      <c r="R1573" s="68">
        <f t="shared" si="38"/>
        <v>-7680</v>
      </c>
      <c r="S1573" s="70">
        <v>202303</v>
      </c>
      <c r="T1573" s="170" t="s">
        <v>2056</v>
      </c>
      <c r="U1573" s="170"/>
      <c r="V1573" s="143"/>
      <c r="W1573" s="143"/>
      <c r="X1573" s="73"/>
      <c r="Y1573" s="73"/>
    </row>
    <row r="1574" s="10" customFormat="1" customHeight="1" spans="1:25">
      <c r="A1574" s="61" t="s">
        <v>399</v>
      </c>
      <c r="B1574" s="61" t="s">
        <v>62</v>
      </c>
      <c r="C1574" s="61" t="s">
        <v>217</v>
      </c>
      <c r="D1574" s="61" t="s">
        <v>566</v>
      </c>
      <c r="E1574" s="160" t="s">
        <v>2050</v>
      </c>
      <c r="F1574" s="61" t="s">
        <v>2051</v>
      </c>
      <c r="G1574" s="161" t="s">
        <v>31</v>
      </c>
      <c r="H1574" s="45" t="s">
        <v>2052</v>
      </c>
      <c r="I1574" s="47" t="e">
        <f>VLOOKUP(H1574,'合同综合查询数据（3月返）'!$A:$A,1,FALSE)</f>
        <v>#N/A</v>
      </c>
      <c r="J1574" s="135" t="s">
        <v>451</v>
      </c>
      <c r="K1574" s="135" t="s">
        <v>2053</v>
      </c>
      <c r="L1574" s="164" t="s">
        <v>2057</v>
      </c>
      <c r="M1574" s="50"/>
      <c r="N1574" s="165">
        <v>44450</v>
      </c>
      <c r="O1574" s="172" t="s">
        <v>37</v>
      </c>
      <c r="P1574" s="171">
        <v>30</v>
      </c>
      <c r="Q1574" s="171">
        <v>1792</v>
      </c>
      <c r="R1574" s="68">
        <f t="shared" si="38"/>
        <v>53760</v>
      </c>
      <c r="S1574" s="70">
        <v>202303</v>
      </c>
      <c r="T1574" s="170" t="s">
        <v>2058</v>
      </c>
      <c r="U1574" s="170"/>
      <c r="V1574" s="143"/>
      <c r="W1574" s="143"/>
      <c r="X1574" s="73"/>
      <c r="Y1574" s="73"/>
    </row>
    <row r="1575" s="10" customFormat="1" customHeight="1" spans="1:25">
      <c r="A1575" s="61" t="s">
        <v>399</v>
      </c>
      <c r="B1575" s="61" t="s">
        <v>62</v>
      </c>
      <c r="C1575" s="61" t="s">
        <v>217</v>
      </c>
      <c r="D1575" s="61" t="s">
        <v>566</v>
      </c>
      <c r="E1575" s="160" t="s">
        <v>2050</v>
      </c>
      <c r="F1575" s="61" t="s">
        <v>2051</v>
      </c>
      <c r="G1575" s="161" t="s">
        <v>31</v>
      </c>
      <c r="H1575" s="45" t="s">
        <v>2052</v>
      </c>
      <c r="I1575" s="47" t="e">
        <f>VLOOKUP(H1575,'合同综合查询数据（3月返）'!$A:$A,1,FALSE)</f>
        <v>#N/A</v>
      </c>
      <c r="J1575" s="135" t="s">
        <v>451</v>
      </c>
      <c r="K1575" s="135" t="s">
        <v>2053</v>
      </c>
      <c r="L1575" s="164" t="s">
        <v>2057</v>
      </c>
      <c r="M1575" s="50"/>
      <c r="N1575" s="51">
        <v>44748</v>
      </c>
      <c r="O1575" s="172" t="s">
        <v>37</v>
      </c>
      <c r="P1575" s="171">
        <v>30</v>
      </c>
      <c r="Q1575" s="140">
        <v>512</v>
      </c>
      <c r="R1575" s="68">
        <f t="shared" si="38"/>
        <v>15360</v>
      </c>
      <c r="S1575" s="70">
        <v>202303</v>
      </c>
      <c r="T1575" s="56" t="s">
        <v>2059</v>
      </c>
      <c r="U1575" s="170"/>
      <c r="V1575" s="143"/>
      <c r="W1575" s="143"/>
      <c r="X1575" s="73"/>
      <c r="Y1575" s="73"/>
    </row>
    <row r="1576" s="10" customFormat="1" customHeight="1" spans="1:25">
      <c r="A1576" s="61" t="s">
        <v>399</v>
      </c>
      <c r="B1576" s="61" t="s">
        <v>62</v>
      </c>
      <c r="C1576" s="61" t="s">
        <v>217</v>
      </c>
      <c r="D1576" s="61" t="s">
        <v>566</v>
      </c>
      <c r="E1576" s="160" t="s">
        <v>2050</v>
      </c>
      <c r="F1576" s="61" t="s">
        <v>2051</v>
      </c>
      <c r="G1576" s="161" t="s">
        <v>31</v>
      </c>
      <c r="H1576" s="45" t="s">
        <v>2052</v>
      </c>
      <c r="I1576" s="47" t="e">
        <f>VLOOKUP(H1576,'合同综合查询数据（3月返）'!$A:$A,1,FALSE)</f>
        <v>#N/A</v>
      </c>
      <c r="J1576" s="65" t="s">
        <v>33</v>
      </c>
      <c r="K1576" s="135" t="s">
        <v>2053</v>
      </c>
      <c r="L1576" s="66" t="s">
        <v>2054</v>
      </c>
      <c r="M1576" s="50"/>
      <c r="N1576" s="165">
        <v>44555</v>
      </c>
      <c r="O1576" s="172" t="s">
        <v>37</v>
      </c>
      <c r="P1576" s="171">
        <v>30</v>
      </c>
      <c r="Q1576" s="171">
        <v>512</v>
      </c>
      <c r="R1576" s="68">
        <f t="shared" si="38"/>
        <v>15360</v>
      </c>
      <c r="S1576" s="70">
        <v>202303</v>
      </c>
      <c r="T1576" s="170" t="s">
        <v>2060</v>
      </c>
      <c r="U1576" s="170"/>
      <c r="V1576" s="143"/>
      <c r="W1576" s="143"/>
      <c r="X1576" s="73"/>
      <c r="Y1576" s="73"/>
    </row>
    <row r="1577" s="10" customFormat="1" customHeight="1" spans="1:25">
      <c r="A1577" s="61" t="s">
        <v>399</v>
      </c>
      <c r="B1577" s="61" t="s">
        <v>62</v>
      </c>
      <c r="C1577" s="61" t="s">
        <v>217</v>
      </c>
      <c r="D1577" s="61" t="s">
        <v>566</v>
      </c>
      <c r="E1577" s="160" t="s">
        <v>2050</v>
      </c>
      <c r="F1577" s="61" t="s">
        <v>2051</v>
      </c>
      <c r="G1577" s="161" t="s">
        <v>31</v>
      </c>
      <c r="H1577" s="45" t="s">
        <v>2052</v>
      </c>
      <c r="I1577" s="47" t="e">
        <f>VLOOKUP(H1577,'合同综合查询数据（3月返）'!$A:$A,1,FALSE)</f>
        <v>#N/A</v>
      </c>
      <c r="J1577" s="65" t="s">
        <v>33</v>
      </c>
      <c r="K1577" s="135" t="s">
        <v>2053</v>
      </c>
      <c r="L1577" s="66" t="s">
        <v>2054</v>
      </c>
      <c r="M1577" s="50"/>
      <c r="N1577" s="165">
        <v>44926</v>
      </c>
      <c r="O1577" s="172" t="s">
        <v>37</v>
      </c>
      <c r="P1577" s="171">
        <v>30</v>
      </c>
      <c r="Q1577" s="171">
        <v>-512</v>
      </c>
      <c r="R1577" s="68">
        <f t="shared" si="38"/>
        <v>-15360</v>
      </c>
      <c r="S1577" s="70">
        <v>202303</v>
      </c>
      <c r="T1577" s="170" t="s">
        <v>2061</v>
      </c>
      <c r="U1577" s="170"/>
      <c r="V1577" s="143"/>
      <c r="W1577" s="143"/>
      <c r="X1577" s="73"/>
      <c r="Y1577" s="73"/>
    </row>
    <row r="1578" s="10" customFormat="1" customHeight="1" spans="1:25">
      <c r="A1578" s="61" t="s">
        <v>399</v>
      </c>
      <c r="B1578" s="61" t="s">
        <v>62</v>
      </c>
      <c r="C1578" s="61" t="s">
        <v>217</v>
      </c>
      <c r="D1578" s="61" t="s">
        <v>566</v>
      </c>
      <c r="E1578" s="160" t="s">
        <v>2050</v>
      </c>
      <c r="F1578" s="61" t="s">
        <v>2051</v>
      </c>
      <c r="G1578" s="161" t="s">
        <v>88</v>
      </c>
      <c r="H1578" s="45" t="s">
        <v>2052</v>
      </c>
      <c r="I1578" s="47" t="e">
        <f>VLOOKUP(H1578,'合同综合查询数据（3月返）'!$A:$A,1,FALSE)</f>
        <v>#N/A</v>
      </c>
      <c r="J1578" s="135" t="s">
        <v>126</v>
      </c>
      <c r="K1578" s="135" t="s">
        <v>2053</v>
      </c>
      <c r="L1578" s="66" t="s">
        <v>2054</v>
      </c>
      <c r="M1578" s="50" t="s">
        <v>2062</v>
      </c>
      <c r="N1578" s="165">
        <v>44450</v>
      </c>
      <c r="O1578" s="172" t="s">
        <v>457</v>
      </c>
      <c r="P1578" s="171">
        <v>5000</v>
      </c>
      <c r="Q1578" s="171">
        <v>1</v>
      </c>
      <c r="R1578" s="68">
        <f t="shared" si="38"/>
        <v>5000</v>
      </c>
      <c r="S1578" s="70">
        <v>202303</v>
      </c>
      <c r="T1578" s="170" t="s">
        <v>2063</v>
      </c>
      <c r="U1578" s="170"/>
      <c r="V1578" s="143"/>
      <c r="W1578" s="143"/>
      <c r="X1578" s="73"/>
      <c r="Y1578" s="73"/>
    </row>
    <row r="1579" s="9" customFormat="1" customHeight="1" spans="1:25">
      <c r="A1579" s="129" t="s">
        <v>399</v>
      </c>
      <c r="B1579" s="98" t="s">
        <v>62</v>
      </c>
      <c r="C1579" s="98" t="s">
        <v>217</v>
      </c>
      <c r="D1579" s="98" t="s">
        <v>566</v>
      </c>
      <c r="E1579" s="130" t="s">
        <v>2050</v>
      </c>
      <c r="F1579" s="129" t="s">
        <v>2064</v>
      </c>
      <c r="G1579" s="129" t="s">
        <v>302</v>
      </c>
      <c r="H1579" s="223" t="s">
        <v>2065</v>
      </c>
      <c r="I1579" s="23" t="e">
        <f>VLOOKUP(H1579,'合同综合查询数据（3月返）'!$A:$A,1,FALSE)</f>
        <v>#N/A</v>
      </c>
      <c r="J1579" s="152" t="s">
        <v>302</v>
      </c>
      <c r="K1579" s="129" t="s">
        <v>2066</v>
      </c>
      <c r="L1579" s="129"/>
      <c r="M1579" s="26"/>
      <c r="N1579" s="227">
        <v>43600</v>
      </c>
      <c r="O1579" s="129" t="s">
        <v>1446</v>
      </c>
      <c r="P1579" s="156">
        <v>35000</v>
      </c>
      <c r="Q1579" s="107">
        <v>1</v>
      </c>
      <c r="R1579" s="120">
        <f t="shared" si="38"/>
        <v>35000</v>
      </c>
      <c r="S1579" s="117">
        <v>202303</v>
      </c>
      <c r="T1579" s="231" t="s">
        <v>2067</v>
      </c>
      <c r="U1579" s="232"/>
      <c r="V1579" s="133"/>
      <c r="W1579" s="133"/>
      <c r="X1579" s="118">
        <v>44713</v>
      </c>
      <c r="Y1579" s="118">
        <v>45077</v>
      </c>
    </row>
    <row r="1580" s="9" customFormat="1" customHeight="1" spans="1:25">
      <c r="A1580" s="94" t="s">
        <v>399</v>
      </c>
      <c r="B1580" s="98" t="s">
        <v>62</v>
      </c>
      <c r="C1580" s="94" t="s">
        <v>217</v>
      </c>
      <c r="D1580" s="96" t="s">
        <v>566</v>
      </c>
      <c r="E1580" s="23" t="s">
        <v>2068</v>
      </c>
      <c r="F1580" s="94" t="s">
        <v>2069</v>
      </c>
      <c r="G1580" s="109" t="s">
        <v>88</v>
      </c>
      <c r="H1580" s="100" t="s">
        <v>2070</v>
      </c>
      <c r="I1580" s="23" t="e">
        <f>VLOOKUP(H1580,'合同综合查询数据（3月返）'!$A:$A,1,FALSE)</f>
        <v>#N/A</v>
      </c>
      <c r="J1580" s="152" t="s">
        <v>126</v>
      </c>
      <c r="K1580" s="109" t="s">
        <v>1054</v>
      </c>
      <c r="L1580" s="99" t="s">
        <v>2071</v>
      </c>
      <c r="M1580" s="26" t="s">
        <v>2072</v>
      </c>
      <c r="N1580" s="154">
        <v>44682</v>
      </c>
      <c r="O1580" s="109" t="s">
        <v>92</v>
      </c>
      <c r="P1580" s="110">
        <v>4300</v>
      </c>
      <c r="Q1580" s="110">
        <v>4</v>
      </c>
      <c r="R1580" s="120">
        <f t="shared" si="38"/>
        <v>17200</v>
      </c>
      <c r="S1580" s="233">
        <v>202303</v>
      </c>
      <c r="T1580" s="157" t="s">
        <v>2073</v>
      </c>
      <c r="U1580" s="108"/>
      <c r="V1580" s="122"/>
      <c r="W1580" s="122"/>
      <c r="X1580" s="118">
        <v>44682</v>
      </c>
      <c r="Y1580" s="118">
        <v>45046</v>
      </c>
    </row>
    <row r="1581" s="9" customFormat="1" customHeight="1" spans="1:25">
      <c r="A1581" s="94" t="s">
        <v>399</v>
      </c>
      <c r="B1581" s="98" t="s">
        <v>62</v>
      </c>
      <c r="C1581" s="94" t="s">
        <v>217</v>
      </c>
      <c r="D1581" s="96" t="s">
        <v>566</v>
      </c>
      <c r="E1581" s="23" t="s">
        <v>2068</v>
      </c>
      <c r="F1581" s="94" t="s">
        <v>2069</v>
      </c>
      <c r="G1581" s="109" t="s">
        <v>88</v>
      </c>
      <c r="H1581" s="100" t="s">
        <v>2070</v>
      </c>
      <c r="I1581" s="23" t="e">
        <f>VLOOKUP(H1581,'合同综合查询数据（3月返）'!$A:$A,1,FALSE)</f>
        <v>#N/A</v>
      </c>
      <c r="J1581" s="152" t="s">
        <v>126</v>
      </c>
      <c r="K1581" s="109" t="s">
        <v>1054</v>
      </c>
      <c r="L1581" s="99" t="s">
        <v>2071</v>
      </c>
      <c r="M1581" s="26" t="s">
        <v>2072</v>
      </c>
      <c r="N1581" s="154">
        <v>44742</v>
      </c>
      <c r="O1581" s="109" t="s">
        <v>92</v>
      </c>
      <c r="P1581" s="110">
        <v>4300</v>
      </c>
      <c r="Q1581" s="110">
        <v>-4</v>
      </c>
      <c r="R1581" s="120">
        <f t="shared" si="38"/>
        <v>-17200</v>
      </c>
      <c r="S1581" s="233">
        <v>202303</v>
      </c>
      <c r="T1581" s="157" t="s">
        <v>2074</v>
      </c>
      <c r="U1581" s="108"/>
      <c r="V1581" s="122"/>
      <c r="W1581" s="122"/>
      <c r="X1581" s="118">
        <v>44682</v>
      </c>
      <c r="Y1581" s="118">
        <v>45046</v>
      </c>
    </row>
    <row r="1582" s="9" customFormat="1" customHeight="1" spans="1:25">
      <c r="A1582" s="94" t="s">
        <v>399</v>
      </c>
      <c r="B1582" s="98" t="s">
        <v>62</v>
      </c>
      <c r="C1582" s="94" t="s">
        <v>217</v>
      </c>
      <c r="D1582" s="96" t="s">
        <v>566</v>
      </c>
      <c r="E1582" s="23" t="s">
        <v>2068</v>
      </c>
      <c r="F1582" s="94" t="s">
        <v>2069</v>
      </c>
      <c r="G1582" s="109" t="s">
        <v>88</v>
      </c>
      <c r="H1582" s="100" t="s">
        <v>2070</v>
      </c>
      <c r="I1582" s="23" t="e">
        <f>VLOOKUP(H1582,'合同综合查询数据（3月返）'!$A:$A,1,FALSE)</f>
        <v>#N/A</v>
      </c>
      <c r="J1582" s="152" t="s">
        <v>126</v>
      </c>
      <c r="K1582" s="109" t="s">
        <v>1054</v>
      </c>
      <c r="L1582" s="99" t="s">
        <v>2071</v>
      </c>
      <c r="M1582" s="26" t="s">
        <v>2072</v>
      </c>
      <c r="N1582" s="154">
        <v>44743</v>
      </c>
      <c r="O1582" s="109" t="s">
        <v>92</v>
      </c>
      <c r="P1582" s="110">
        <v>4300</v>
      </c>
      <c r="Q1582" s="110">
        <v>4</v>
      </c>
      <c r="R1582" s="120">
        <f t="shared" si="38"/>
        <v>17200</v>
      </c>
      <c r="S1582" s="233">
        <v>202303</v>
      </c>
      <c r="T1582" s="157" t="s">
        <v>2075</v>
      </c>
      <c r="U1582" s="108"/>
      <c r="V1582" s="122"/>
      <c r="W1582" s="122"/>
      <c r="X1582" s="118">
        <v>44682</v>
      </c>
      <c r="Y1582" s="118">
        <v>45046</v>
      </c>
    </row>
    <row r="1583" s="9" customFormat="1" customHeight="1" spans="1:25">
      <c r="A1583" s="94" t="s">
        <v>399</v>
      </c>
      <c r="B1583" s="98" t="s">
        <v>62</v>
      </c>
      <c r="C1583" s="94" t="s">
        <v>217</v>
      </c>
      <c r="D1583" s="96" t="s">
        <v>566</v>
      </c>
      <c r="E1583" s="23" t="s">
        <v>2068</v>
      </c>
      <c r="F1583" s="94" t="s">
        <v>2069</v>
      </c>
      <c r="G1583" s="109" t="s">
        <v>31</v>
      </c>
      <c r="H1583" s="100" t="s">
        <v>2070</v>
      </c>
      <c r="I1583" s="23" t="e">
        <f>VLOOKUP(H1583,'合同综合查询数据（3月返）'!$A:$A,1,FALSE)</f>
        <v>#N/A</v>
      </c>
      <c r="J1583" s="152" t="s">
        <v>33</v>
      </c>
      <c r="K1583" s="109" t="s">
        <v>1054</v>
      </c>
      <c r="L1583" s="99" t="s">
        <v>2071</v>
      </c>
      <c r="M1583" s="26" t="s">
        <v>2072</v>
      </c>
      <c r="N1583" s="154">
        <v>44682</v>
      </c>
      <c r="O1583" s="109"/>
      <c r="P1583" s="110">
        <v>0</v>
      </c>
      <c r="Q1583" s="110">
        <v>288</v>
      </c>
      <c r="R1583" s="120">
        <f t="shared" si="38"/>
        <v>0</v>
      </c>
      <c r="S1583" s="233">
        <v>202303</v>
      </c>
      <c r="T1583" s="157" t="s">
        <v>2076</v>
      </c>
      <c r="U1583" s="108"/>
      <c r="V1583" s="122"/>
      <c r="W1583" s="122"/>
      <c r="X1583" s="118">
        <v>44682</v>
      </c>
      <c r="Y1583" s="118">
        <v>45046</v>
      </c>
    </row>
    <row r="1584" s="9" customFormat="1" customHeight="1" spans="1:25">
      <c r="A1584" s="94" t="s">
        <v>399</v>
      </c>
      <c r="B1584" s="98" t="s">
        <v>62</v>
      </c>
      <c r="C1584" s="94" t="s">
        <v>217</v>
      </c>
      <c r="D1584" s="96" t="s">
        <v>566</v>
      </c>
      <c r="E1584" s="23" t="s">
        <v>2068</v>
      </c>
      <c r="F1584" s="94" t="s">
        <v>2069</v>
      </c>
      <c r="G1584" s="109" t="s">
        <v>31</v>
      </c>
      <c r="H1584" s="100" t="s">
        <v>2070</v>
      </c>
      <c r="I1584" s="23" t="e">
        <f>VLOOKUP(H1584,'合同综合查询数据（3月返）'!$A:$A,1,FALSE)</f>
        <v>#N/A</v>
      </c>
      <c r="J1584" s="152" t="s">
        <v>33</v>
      </c>
      <c r="K1584" s="109" t="s">
        <v>1054</v>
      </c>
      <c r="L1584" s="99" t="s">
        <v>2071</v>
      </c>
      <c r="M1584" s="26" t="s">
        <v>2072</v>
      </c>
      <c r="N1584" s="154">
        <v>44742</v>
      </c>
      <c r="O1584" s="109"/>
      <c r="P1584" s="110">
        <v>0</v>
      </c>
      <c r="Q1584" s="110">
        <v>-288</v>
      </c>
      <c r="R1584" s="120">
        <f t="shared" si="38"/>
        <v>0</v>
      </c>
      <c r="S1584" s="233">
        <v>202303</v>
      </c>
      <c r="T1584" s="157" t="s">
        <v>2077</v>
      </c>
      <c r="U1584" s="108"/>
      <c r="V1584" s="122"/>
      <c r="W1584" s="122"/>
      <c r="X1584" s="118">
        <v>44682</v>
      </c>
      <c r="Y1584" s="118">
        <v>45046</v>
      </c>
    </row>
    <row r="1585" s="9" customFormat="1" customHeight="1" spans="1:25">
      <c r="A1585" s="94" t="s">
        <v>399</v>
      </c>
      <c r="B1585" s="98" t="s">
        <v>62</v>
      </c>
      <c r="C1585" s="94" t="s">
        <v>217</v>
      </c>
      <c r="D1585" s="96" t="s">
        <v>566</v>
      </c>
      <c r="E1585" s="23" t="s">
        <v>2068</v>
      </c>
      <c r="F1585" s="94" t="s">
        <v>2069</v>
      </c>
      <c r="G1585" s="109" t="s">
        <v>31</v>
      </c>
      <c r="H1585" s="100" t="s">
        <v>2070</v>
      </c>
      <c r="I1585" s="23" t="e">
        <f>VLOOKUP(H1585,'合同综合查询数据（3月返）'!$A:$A,1,FALSE)</f>
        <v>#N/A</v>
      </c>
      <c r="J1585" s="152" t="s">
        <v>33</v>
      </c>
      <c r="K1585" s="109" t="s">
        <v>1054</v>
      </c>
      <c r="L1585" s="99" t="s">
        <v>2071</v>
      </c>
      <c r="M1585" s="26" t="s">
        <v>2072</v>
      </c>
      <c r="N1585" s="154">
        <v>44743</v>
      </c>
      <c r="O1585" s="109"/>
      <c r="P1585" s="110">
        <v>0</v>
      </c>
      <c r="Q1585" s="110">
        <v>128</v>
      </c>
      <c r="R1585" s="120">
        <f t="shared" si="38"/>
        <v>0</v>
      </c>
      <c r="S1585" s="233">
        <v>202303</v>
      </c>
      <c r="T1585" s="157" t="s">
        <v>2078</v>
      </c>
      <c r="U1585" s="108"/>
      <c r="V1585" s="122"/>
      <c r="W1585" s="122"/>
      <c r="X1585" s="118">
        <v>44682</v>
      </c>
      <c r="Y1585" s="118">
        <v>45046</v>
      </c>
    </row>
    <row r="1586" s="9" customFormat="1" customHeight="1" spans="1:25">
      <c r="A1586" s="129" t="s">
        <v>399</v>
      </c>
      <c r="B1586" s="98" t="s">
        <v>62</v>
      </c>
      <c r="C1586" s="98" t="s">
        <v>217</v>
      </c>
      <c r="D1586" s="98" t="s">
        <v>566</v>
      </c>
      <c r="E1586" s="130" t="s">
        <v>2079</v>
      </c>
      <c r="F1586" s="129" t="s">
        <v>2080</v>
      </c>
      <c r="G1586" s="109" t="s">
        <v>88</v>
      </c>
      <c r="H1586" s="100" t="s">
        <v>2081</v>
      </c>
      <c r="I1586" s="23" t="e">
        <f>VLOOKUP(H1586,'合同综合查询数据（3月返）'!$A:$A,1,FALSE)</f>
        <v>#N/A</v>
      </c>
      <c r="J1586" s="24" t="s">
        <v>90</v>
      </c>
      <c r="K1586" s="129" t="s">
        <v>2082</v>
      </c>
      <c r="L1586" s="109"/>
      <c r="M1586" s="26" t="s">
        <v>2083</v>
      </c>
      <c r="N1586" s="28">
        <v>43804</v>
      </c>
      <c r="O1586" s="109" t="s">
        <v>470</v>
      </c>
      <c r="P1586" s="131">
        <v>8700</v>
      </c>
      <c r="Q1586" s="131">
        <v>6</v>
      </c>
      <c r="R1586" s="120">
        <f t="shared" si="38"/>
        <v>52200</v>
      </c>
      <c r="S1586" s="117">
        <v>202303</v>
      </c>
      <c r="T1586" s="121" t="s">
        <v>2084</v>
      </c>
      <c r="U1586" s="132"/>
      <c r="V1586" s="133"/>
      <c r="W1586" s="133"/>
      <c r="X1586" s="118">
        <v>43709</v>
      </c>
      <c r="Y1586" s="118">
        <v>45900</v>
      </c>
    </row>
    <row r="1587" s="9" customFormat="1" customHeight="1" spans="1:25">
      <c r="A1587" s="129" t="s">
        <v>399</v>
      </c>
      <c r="B1587" s="98" t="s">
        <v>62</v>
      </c>
      <c r="C1587" s="98" t="s">
        <v>217</v>
      </c>
      <c r="D1587" s="98" t="s">
        <v>566</v>
      </c>
      <c r="E1587" s="130" t="s">
        <v>2079</v>
      </c>
      <c r="F1587" s="129" t="s">
        <v>2080</v>
      </c>
      <c r="G1587" s="109" t="s">
        <v>88</v>
      </c>
      <c r="H1587" s="100" t="s">
        <v>2081</v>
      </c>
      <c r="I1587" s="23" t="e">
        <f>VLOOKUP(H1587,'合同综合查询数据（3月返）'!$A:$A,1,FALSE)</f>
        <v>#N/A</v>
      </c>
      <c r="J1587" s="24" t="s">
        <v>90</v>
      </c>
      <c r="K1587" s="129" t="s">
        <v>2082</v>
      </c>
      <c r="L1587" s="109"/>
      <c r="M1587" s="26" t="s">
        <v>2083</v>
      </c>
      <c r="N1587" s="28">
        <v>43804</v>
      </c>
      <c r="O1587" s="109" t="s">
        <v>457</v>
      </c>
      <c r="P1587" s="131">
        <v>5800</v>
      </c>
      <c r="Q1587" s="131">
        <v>24</v>
      </c>
      <c r="R1587" s="120">
        <f t="shared" si="38"/>
        <v>139200</v>
      </c>
      <c r="S1587" s="117">
        <v>202303</v>
      </c>
      <c r="T1587" s="121"/>
      <c r="U1587" s="132"/>
      <c r="V1587" s="133"/>
      <c r="W1587" s="133"/>
      <c r="X1587" s="118">
        <v>43709</v>
      </c>
      <c r="Y1587" s="118">
        <v>45900</v>
      </c>
    </row>
    <row r="1588" s="9" customFormat="1" customHeight="1" spans="1:25">
      <c r="A1588" s="129" t="s">
        <v>399</v>
      </c>
      <c r="B1588" s="98" t="s">
        <v>62</v>
      </c>
      <c r="C1588" s="98" t="s">
        <v>217</v>
      </c>
      <c r="D1588" s="98" t="s">
        <v>566</v>
      </c>
      <c r="E1588" s="130" t="s">
        <v>2079</v>
      </c>
      <c r="F1588" s="129" t="s">
        <v>2080</v>
      </c>
      <c r="G1588" s="109" t="s">
        <v>88</v>
      </c>
      <c r="H1588" s="100" t="s">
        <v>2081</v>
      </c>
      <c r="I1588" s="23" t="e">
        <f>VLOOKUP(H1588,'合同综合查询数据（3月返）'!$A:$A,1,FALSE)</f>
        <v>#N/A</v>
      </c>
      <c r="J1588" s="24" t="s">
        <v>90</v>
      </c>
      <c r="K1588" s="129" t="s">
        <v>2082</v>
      </c>
      <c r="L1588" s="109"/>
      <c r="M1588" s="26" t="s">
        <v>2083</v>
      </c>
      <c r="N1588" s="28">
        <v>43807</v>
      </c>
      <c r="O1588" s="109" t="s">
        <v>470</v>
      </c>
      <c r="P1588" s="131">
        <v>8700</v>
      </c>
      <c r="Q1588" s="131">
        <v>4</v>
      </c>
      <c r="R1588" s="120">
        <f t="shared" si="38"/>
        <v>34800</v>
      </c>
      <c r="S1588" s="117">
        <v>202303</v>
      </c>
      <c r="T1588" s="121" t="s">
        <v>2084</v>
      </c>
      <c r="U1588" s="132"/>
      <c r="V1588" s="133"/>
      <c r="W1588" s="133"/>
      <c r="X1588" s="118">
        <v>43709</v>
      </c>
      <c r="Y1588" s="118">
        <v>45900</v>
      </c>
    </row>
    <row r="1589" s="9" customFormat="1" customHeight="1" spans="1:25">
      <c r="A1589" s="129" t="s">
        <v>399</v>
      </c>
      <c r="B1589" s="98" t="s">
        <v>62</v>
      </c>
      <c r="C1589" s="98" t="s">
        <v>217</v>
      </c>
      <c r="D1589" s="98" t="s">
        <v>566</v>
      </c>
      <c r="E1589" s="130" t="s">
        <v>2079</v>
      </c>
      <c r="F1589" s="129" t="s">
        <v>2080</v>
      </c>
      <c r="G1589" s="109" t="s">
        <v>88</v>
      </c>
      <c r="H1589" s="100" t="s">
        <v>2081</v>
      </c>
      <c r="I1589" s="23" t="e">
        <f>VLOOKUP(H1589,'合同综合查询数据（3月返）'!$A:$A,1,FALSE)</f>
        <v>#N/A</v>
      </c>
      <c r="J1589" s="24" t="s">
        <v>90</v>
      </c>
      <c r="K1589" s="129" t="s">
        <v>2082</v>
      </c>
      <c r="L1589" s="109"/>
      <c r="M1589" s="26" t="s">
        <v>2083</v>
      </c>
      <c r="N1589" s="28">
        <v>43800</v>
      </c>
      <c r="O1589" s="109" t="s">
        <v>457</v>
      </c>
      <c r="P1589" s="131">
        <v>5800</v>
      </c>
      <c r="Q1589" s="131">
        <v>23</v>
      </c>
      <c r="R1589" s="120">
        <f t="shared" si="38"/>
        <v>133400</v>
      </c>
      <c r="S1589" s="117">
        <v>202303</v>
      </c>
      <c r="T1589" s="121"/>
      <c r="U1589" s="132"/>
      <c r="V1589" s="133"/>
      <c r="W1589" s="133"/>
      <c r="X1589" s="118">
        <v>43709</v>
      </c>
      <c r="Y1589" s="118">
        <v>45900</v>
      </c>
    </row>
    <row r="1590" s="9" customFormat="1" customHeight="1" spans="1:25">
      <c r="A1590" s="129" t="s">
        <v>399</v>
      </c>
      <c r="B1590" s="98" t="s">
        <v>62</v>
      </c>
      <c r="C1590" s="98" t="s">
        <v>217</v>
      </c>
      <c r="D1590" s="98" t="s">
        <v>566</v>
      </c>
      <c r="E1590" s="130" t="s">
        <v>2079</v>
      </c>
      <c r="F1590" s="129" t="s">
        <v>2080</v>
      </c>
      <c r="G1590" s="109" t="s">
        <v>88</v>
      </c>
      <c r="H1590" s="100" t="s">
        <v>2081</v>
      </c>
      <c r="I1590" s="23" t="e">
        <f>VLOOKUP(H1590,'合同综合查询数据（3月返）'!$A:$A,1,FALSE)</f>
        <v>#N/A</v>
      </c>
      <c r="J1590" s="24" t="s">
        <v>90</v>
      </c>
      <c r="K1590" s="129" t="s">
        <v>2082</v>
      </c>
      <c r="L1590" s="109"/>
      <c r="M1590" s="26" t="s">
        <v>2083</v>
      </c>
      <c r="N1590" s="28">
        <v>43800</v>
      </c>
      <c r="O1590" s="109" t="s">
        <v>574</v>
      </c>
      <c r="P1590" s="131">
        <v>31637</v>
      </c>
      <c r="Q1590" s="131">
        <v>10</v>
      </c>
      <c r="R1590" s="120">
        <f t="shared" si="38"/>
        <v>316370</v>
      </c>
      <c r="S1590" s="117">
        <v>202303</v>
      </c>
      <c r="T1590" s="121"/>
      <c r="U1590" s="132"/>
      <c r="V1590" s="133"/>
      <c r="W1590" s="133"/>
      <c r="X1590" s="118">
        <v>43709</v>
      </c>
      <c r="Y1590" s="118">
        <v>45900</v>
      </c>
    </row>
    <row r="1591" s="9" customFormat="1" customHeight="1" spans="1:25">
      <c r="A1591" s="129" t="s">
        <v>399</v>
      </c>
      <c r="B1591" s="98" t="s">
        <v>62</v>
      </c>
      <c r="C1591" s="98" t="s">
        <v>217</v>
      </c>
      <c r="D1591" s="98" t="s">
        <v>566</v>
      </c>
      <c r="E1591" s="130" t="s">
        <v>2079</v>
      </c>
      <c r="F1591" s="129" t="s">
        <v>2080</v>
      </c>
      <c r="G1591" s="109" t="s">
        <v>88</v>
      </c>
      <c r="H1591" s="100" t="s">
        <v>2081</v>
      </c>
      <c r="I1591" s="23" t="e">
        <f>VLOOKUP(H1591,'合同综合查询数据（3月返）'!$A:$A,1,FALSE)</f>
        <v>#N/A</v>
      </c>
      <c r="J1591" s="24" t="s">
        <v>90</v>
      </c>
      <c r="K1591" s="129" t="s">
        <v>2082</v>
      </c>
      <c r="L1591" s="109"/>
      <c r="M1591" s="26" t="s">
        <v>2083</v>
      </c>
      <c r="N1591" s="28">
        <v>43800</v>
      </c>
      <c r="O1591" s="109" t="s">
        <v>470</v>
      </c>
      <c r="P1591" s="131">
        <v>8700</v>
      </c>
      <c r="Q1591" s="131">
        <v>2</v>
      </c>
      <c r="R1591" s="120">
        <f t="shared" si="38"/>
        <v>17400</v>
      </c>
      <c r="S1591" s="117">
        <v>202303</v>
      </c>
      <c r="T1591" s="121"/>
      <c r="U1591" s="132"/>
      <c r="V1591" s="133"/>
      <c r="W1591" s="133"/>
      <c r="X1591" s="118">
        <v>43709</v>
      </c>
      <c r="Y1591" s="118">
        <v>45900</v>
      </c>
    </row>
    <row r="1592" s="9" customFormat="1" customHeight="1" spans="1:25">
      <c r="A1592" s="129" t="s">
        <v>399</v>
      </c>
      <c r="B1592" s="98" t="s">
        <v>62</v>
      </c>
      <c r="C1592" s="98" t="s">
        <v>217</v>
      </c>
      <c r="D1592" s="98" t="s">
        <v>566</v>
      </c>
      <c r="E1592" s="130" t="s">
        <v>2079</v>
      </c>
      <c r="F1592" s="129" t="s">
        <v>2080</v>
      </c>
      <c r="G1592" s="109" t="s">
        <v>88</v>
      </c>
      <c r="H1592" s="100" t="s">
        <v>2081</v>
      </c>
      <c r="I1592" s="23" t="e">
        <f>VLOOKUP(H1592,'合同综合查询数据（3月返）'!$A:$A,1,FALSE)</f>
        <v>#N/A</v>
      </c>
      <c r="J1592" s="24" t="s">
        <v>90</v>
      </c>
      <c r="K1592" s="129" t="s">
        <v>2082</v>
      </c>
      <c r="L1592" s="109"/>
      <c r="M1592" s="26" t="s">
        <v>2083</v>
      </c>
      <c r="N1592" s="28">
        <v>43800</v>
      </c>
      <c r="O1592" s="109" t="s">
        <v>511</v>
      </c>
      <c r="P1592" s="131">
        <v>11864</v>
      </c>
      <c r="Q1592" s="131">
        <v>14</v>
      </c>
      <c r="R1592" s="120">
        <f t="shared" si="38"/>
        <v>166096</v>
      </c>
      <c r="S1592" s="117">
        <v>202303</v>
      </c>
      <c r="T1592" s="121"/>
      <c r="U1592" s="132"/>
      <c r="V1592" s="133"/>
      <c r="W1592" s="133"/>
      <c r="X1592" s="118">
        <v>43709</v>
      </c>
      <c r="Y1592" s="118">
        <v>45900</v>
      </c>
    </row>
    <row r="1593" s="9" customFormat="1" customHeight="1" spans="1:25">
      <c r="A1593" s="129" t="s">
        <v>399</v>
      </c>
      <c r="B1593" s="98" t="s">
        <v>62</v>
      </c>
      <c r="C1593" s="98" t="s">
        <v>217</v>
      </c>
      <c r="D1593" s="98" t="s">
        <v>566</v>
      </c>
      <c r="E1593" s="130" t="s">
        <v>2079</v>
      </c>
      <c r="F1593" s="129" t="s">
        <v>2080</v>
      </c>
      <c r="G1593" s="109" t="s">
        <v>88</v>
      </c>
      <c r="H1593" s="100" t="s">
        <v>2081</v>
      </c>
      <c r="I1593" s="23" t="e">
        <f>VLOOKUP(H1593,'合同综合查询数据（3月返）'!$A:$A,1,FALSE)</f>
        <v>#N/A</v>
      </c>
      <c r="J1593" s="24" t="s">
        <v>90</v>
      </c>
      <c r="K1593" s="129" t="s">
        <v>2082</v>
      </c>
      <c r="L1593" s="109"/>
      <c r="M1593" s="26" t="s">
        <v>2083</v>
      </c>
      <c r="N1593" s="28">
        <v>43830</v>
      </c>
      <c r="O1593" s="109" t="s">
        <v>457</v>
      </c>
      <c r="P1593" s="131">
        <v>5800</v>
      </c>
      <c r="Q1593" s="131">
        <v>6</v>
      </c>
      <c r="R1593" s="120">
        <f t="shared" si="38"/>
        <v>34800</v>
      </c>
      <c r="S1593" s="117">
        <v>202303</v>
      </c>
      <c r="T1593" s="121" t="s">
        <v>2085</v>
      </c>
      <c r="U1593" s="132"/>
      <c r="V1593" s="133"/>
      <c r="W1593" s="133"/>
      <c r="X1593" s="118">
        <v>43709</v>
      </c>
      <c r="Y1593" s="118">
        <v>45900</v>
      </c>
    </row>
    <row r="1594" s="9" customFormat="1" customHeight="1" spans="1:25">
      <c r="A1594" s="129" t="s">
        <v>399</v>
      </c>
      <c r="B1594" s="98" t="s">
        <v>62</v>
      </c>
      <c r="C1594" s="98" t="s">
        <v>217</v>
      </c>
      <c r="D1594" s="98" t="s">
        <v>566</v>
      </c>
      <c r="E1594" s="130" t="s">
        <v>2079</v>
      </c>
      <c r="F1594" s="129" t="s">
        <v>2080</v>
      </c>
      <c r="G1594" s="109" t="s">
        <v>88</v>
      </c>
      <c r="H1594" s="100" t="s">
        <v>2081</v>
      </c>
      <c r="I1594" s="23" t="e">
        <f>VLOOKUP(H1594,'合同综合查询数据（3月返）'!$A:$A,1,FALSE)</f>
        <v>#N/A</v>
      </c>
      <c r="J1594" s="24" t="s">
        <v>90</v>
      </c>
      <c r="K1594" s="129" t="s">
        <v>2082</v>
      </c>
      <c r="L1594" s="109"/>
      <c r="M1594" s="26" t="s">
        <v>2083</v>
      </c>
      <c r="N1594" s="28">
        <v>43906</v>
      </c>
      <c r="O1594" s="109" t="s">
        <v>457</v>
      </c>
      <c r="P1594" s="131">
        <v>5800</v>
      </c>
      <c r="Q1594" s="131">
        <v>4</v>
      </c>
      <c r="R1594" s="120">
        <f t="shared" ref="R1594:R1657" si="39">ROUND(P1594*Q1594,2)</f>
        <v>23200</v>
      </c>
      <c r="S1594" s="117">
        <v>202303</v>
      </c>
      <c r="T1594" s="121" t="s">
        <v>2086</v>
      </c>
      <c r="U1594" s="132"/>
      <c r="V1594" s="133"/>
      <c r="W1594" s="133"/>
      <c r="X1594" s="118">
        <v>43709</v>
      </c>
      <c r="Y1594" s="118">
        <v>45900</v>
      </c>
    </row>
    <row r="1595" s="9" customFormat="1" customHeight="1" spans="1:25">
      <c r="A1595" s="129" t="s">
        <v>399</v>
      </c>
      <c r="B1595" s="98" t="s">
        <v>62</v>
      </c>
      <c r="C1595" s="98" t="s">
        <v>217</v>
      </c>
      <c r="D1595" s="98" t="s">
        <v>566</v>
      </c>
      <c r="E1595" s="130" t="s">
        <v>2079</v>
      </c>
      <c r="F1595" s="129" t="s">
        <v>2080</v>
      </c>
      <c r="G1595" s="109" t="s">
        <v>88</v>
      </c>
      <c r="H1595" s="100" t="s">
        <v>2081</v>
      </c>
      <c r="I1595" s="23" t="e">
        <f>VLOOKUP(H1595,'合同综合查询数据（3月返）'!$A:$A,1,FALSE)</f>
        <v>#N/A</v>
      </c>
      <c r="J1595" s="24" t="s">
        <v>90</v>
      </c>
      <c r="K1595" s="129" t="s">
        <v>2082</v>
      </c>
      <c r="L1595" s="109"/>
      <c r="M1595" s="26" t="s">
        <v>2083</v>
      </c>
      <c r="N1595" s="28">
        <v>43936</v>
      </c>
      <c r="O1595" s="109" t="s">
        <v>457</v>
      </c>
      <c r="P1595" s="131">
        <v>5800</v>
      </c>
      <c r="Q1595" s="131">
        <v>2</v>
      </c>
      <c r="R1595" s="120">
        <f t="shared" si="39"/>
        <v>11600</v>
      </c>
      <c r="S1595" s="117">
        <v>202303</v>
      </c>
      <c r="T1595" s="121" t="s">
        <v>2087</v>
      </c>
      <c r="U1595" s="132"/>
      <c r="V1595" s="133"/>
      <c r="W1595" s="133"/>
      <c r="X1595" s="118">
        <v>43709</v>
      </c>
      <c r="Y1595" s="118">
        <v>45900</v>
      </c>
    </row>
    <row r="1596" s="9" customFormat="1" customHeight="1" spans="1:25">
      <c r="A1596" s="129" t="s">
        <v>399</v>
      </c>
      <c r="B1596" s="98" t="s">
        <v>62</v>
      </c>
      <c r="C1596" s="98" t="s">
        <v>217</v>
      </c>
      <c r="D1596" s="98" t="s">
        <v>566</v>
      </c>
      <c r="E1596" s="130" t="s">
        <v>2079</v>
      </c>
      <c r="F1596" s="129" t="s">
        <v>2080</v>
      </c>
      <c r="G1596" s="109" t="s">
        <v>88</v>
      </c>
      <c r="H1596" s="100" t="s">
        <v>2081</v>
      </c>
      <c r="I1596" s="23" t="e">
        <f>VLOOKUP(H1596,'合同综合查询数据（3月返）'!$A:$A,1,FALSE)</f>
        <v>#N/A</v>
      </c>
      <c r="J1596" s="24" t="s">
        <v>90</v>
      </c>
      <c r="K1596" s="129" t="s">
        <v>2082</v>
      </c>
      <c r="L1596" s="109"/>
      <c r="M1596" s="26" t="s">
        <v>2083</v>
      </c>
      <c r="N1596" s="28">
        <v>43948</v>
      </c>
      <c r="O1596" s="109" t="s">
        <v>457</v>
      </c>
      <c r="P1596" s="131">
        <v>5800</v>
      </c>
      <c r="Q1596" s="131">
        <v>-8</v>
      </c>
      <c r="R1596" s="120">
        <f t="shared" si="39"/>
        <v>-46400</v>
      </c>
      <c r="S1596" s="117">
        <v>202303</v>
      </c>
      <c r="T1596" s="121" t="s">
        <v>2088</v>
      </c>
      <c r="U1596" s="132"/>
      <c r="V1596" s="133"/>
      <c r="W1596" s="133"/>
      <c r="X1596" s="118">
        <v>43709</v>
      </c>
      <c r="Y1596" s="118">
        <v>45900</v>
      </c>
    </row>
    <row r="1597" s="9" customFormat="1" customHeight="1" spans="1:25">
      <c r="A1597" s="129" t="s">
        <v>399</v>
      </c>
      <c r="B1597" s="98" t="s">
        <v>62</v>
      </c>
      <c r="C1597" s="98" t="s">
        <v>217</v>
      </c>
      <c r="D1597" s="98" t="s">
        <v>566</v>
      </c>
      <c r="E1597" s="130" t="s">
        <v>2079</v>
      </c>
      <c r="F1597" s="129" t="s">
        <v>2080</v>
      </c>
      <c r="G1597" s="109" t="s">
        <v>88</v>
      </c>
      <c r="H1597" s="100" t="s">
        <v>2081</v>
      </c>
      <c r="I1597" s="23" t="e">
        <f>VLOOKUP(H1597,'合同综合查询数据（3月返）'!$A:$A,1,FALSE)</f>
        <v>#N/A</v>
      </c>
      <c r="J1597" s="24" t="s">
        <v>90</v>
      </c>
      <c r="K1597" s="129" t="s">
        <v>2082</v>
      </c>
      <c r="L1597" s="109"/>
      <c r="M1597" s="26" t="s">
        <v>2083</v>
      </c>
      <c r="N1597" s="28">
        <v>43970</v>
      </c>
      <c r="O1597" s="109" t="s">
        <v>457</v>
      </c>
      <c r="P1597" s="131">
        <v>5800</v>
      </c>
      <c r="Q1597" s="131">
        <v>1</v>
      </c>
      <c r="R1597" s="120">
        <f t="shared" si="39"/>
        <v>5800</v>
      </c>
      <c r="S1597" s="117">
        <v>202303</v>
      </c>
      <c r="T1597" s="121" t="s">
        <v>2089</v>
      </c>
      <c r="U1597" s="132"/>
      <c r="V1597" s="133"/>
      <c r="W1597" s="133"/>
      <c r="X1597" s="118">
        <v>43709</v>
      </c>
      <c r="Y1597" s="118">
        <v>45900</v>
      </c>
    </row>
    <row r="1598" s="9" customFormat="1" customHeight="1" spans="1:25">
      <c r="A1598" s="129" t="s">
        <v>399</v>
      </c>
      <c r="B1598" s="98" t="s">
        <v>62</v>
      </c>
      <c r="C1598" s="98" t="s">
        <v>217</v>
      </c>
      <c r="D1598" s="98" t="s">
        <v>566</v>
      </c>
      <c r="E1598" s="130" t="s">
        <v>2079</v>
      </c>
      <c r="F1598" s="129" t="s">
        <v>2080</v>
      </c>
      <c r="G1598" s="109" t="s">
        <v>88</v>
      </c>
      <c r="H1598" s="100" t="s">
        <v>2081</v>
      </c>
      <c r="I1598" s="23" t="e">
        <f>VLOOKUP(H1598,'合同综合查询数据（3月返）'!$A:$A,1,FALSE)</f>
        <v>#N/A</v>
      </c>
      <c r="J1598" s="24" t="s">
        <v>90</v>
      </c>
      <c r="K1598" s="129" t="s">
        <v>2082</v>
      </c>
      <c r="L1598" s="109"/>
      <c r="M1598" s="26" t="s">
        <v>2083</v>
      </c>
      <c r="N1598" s="28">
        <v>43981</v>
      </c>
      <c r="O1598" s="109" t="s">
        <v>457</v>
      </c>
      <c r="P1598" s="131">
        <v>5800</v>
      </c>
      <c r="Q1598" s="131">
        <v>2</v>
      </c>
      <c r="R1598" s="120">
        <f t="shared" si="39"/>
        <v>11600</v>
      </c>
      <c r="S1598" s="117">
        <v>202303</v>
      </c>
      <c r="T1598" s="121" t="s">
        <v>2090</v>
      </c>
      <c r="U1598" s="132"/>
      <c r="V1598" s="133"/>
      <c r="W1598" s="133"/>
      <c r="X1598" s="118">
        <v>43709</v>
      </c>
      <c r="Y1598" s="118">
        <v>45900</v>
      </c>
    </row>
    <row r="1599" s="9" customFormat="1" customHeight="1" spans="1:25">
      <c r="A1599" s="129" t="s">
        <v>399</v>
      </c>
      <c r="B1599" s="98" t="s">
        <v>62</v>
      </c>
      <c r="C1599" s="98" t="s">
        <v>217</v>
      </c>
      <c r="D1599" s="98" t="s">
        <v>566</v>
      </c>
      <c r="E1599" s="130" t="s">
        <v>2079</v>
      </c>
      <c r="F1599" s="129" t="s">
        <v>2080</v>
      </c>
      <c r="G1599" s="109" t="s">
        <v>88</v>
      </c>
      <c r="H1599" s="100" t="s">
        <v>2081</v>
      </c>
      <c r="I1599" s="23" t="e">
        <f>VLOOKUP(H1599,'合同综合查询数据（3月返）'!$A:$A,1,FALSE)</f>
        <v>#N/A</v>
      </c>
      <c r="J1599" s="24" t="s">
        <v>90</v>
      </c>
      <c r="K1599" s="129" t="s">
        <v>2082</v>
      </c>
      <c r="L1599" s="109"/>
      <c r="M1599" s="26" t="s">
        <v>2083</v>
      </c>
      <c r="N1599" s="28">
        <v>43987</v>
      </c>
      <c r="O1599" s="109" t="s">
        <v>457</v>
      </c>
      <c r="P1599" s="131">
        <v>5800</v>
      </c>
      <c r="Q1599" s="131">
        <v>1</v>
      </c>
      <c r="R1599" s="120">
        <f t="shared" si="39"/>
        <v>5800</v>
      </c>
      <c r="S1599" s="117">
        <v>202303</v>
      </c>
      <c r="T1599" s="121" t="s">
        <v>2091</v>
      </c>
      <c r="U1599" s="132"/>
      <c r="V1599" s="133"/>
      <c r="W1599" s="133"/>
      <c r="X1599" s="118">
        <v>43709</v>
      </c>
      <c r="Y1599" s="118">
        <v>45900</v>
      </c>
    </row>
    <row r="1600" s="9" customFormat="1" customHeight="1" spans="1:25">
      <c r="A1600" s="129" t="s">
        <v>399</v>
      </c>
      <c r="B1600" s="98" t="s">
        <v>62</v>
      </c>
      <c r="C1600" s="98" t="s">
        <v>217</v>
      </c>
      <c r="D1600" s="98" t="s">
        <v>566</v>
      </c>
      <c r="E1600" s="130" t="s">
        <v>2079</v>
      </c>
      <c r="F1600" s="129" t="s">
        <v>2080</v>
      </c>
      <c r="G1600" s="109" t="s">
        <v>88</v>
      </c>
      <c r="H1600" s="100" t="s">
        <v>2081</v>
      </c>
      <c r="I1600" s="23" t="e">
        <f>VLOOKUP(H1600,'合同综合查询数据（3月返）'!$A:$A,1,FALSE)</f>
        <v>#N/A</v>
      </c>
      <c r="J1600" s="24" t="s">
        <v>90</v>
      </c>
      <c r="K1600" s="129" t="s">
        <v>2082</v>
      </c>
      <c r="L1600" s="109"/>
      <c r="M1600" s="26" t="s">
        <v>2083</v>
      </c>
      <c r="N1600" s="28">
        <v>44004</v>
      </c>
      <c r="O1600" s="109" t="s">
        <v>457</v>
      </c>
      <c r="P1600" s="131">
        <v>5800</v>
      </c>
      <c r="Q1600" s="131">
        <v>1</v>
      </c>
      <c r="R1600" s="120">
        <f t="shared" si="39"/>
        <v>5800</v>
      </c>
      <c r="S1600" s="117">
        <v>202303</v>
      </c>
      <c r="T1600" s="121" t="s">
        <v>2092</v>
      </c>
      <c r="U1600" s="132"/>
      <c r="V1600" s="133"/>
      <c r="W1600" s="133"/>
      <c r="X1600" s="118">
        <v>43709</v>
      </c>
      <c r="Y1600" s="118">
        <v>45900</v>
      </c>
    </row>
    <row r="1601" s="9" customFormat="1" customHeight="1" spans="1:25">
      <c r="A1601" s="129" t="s">
        <v>399</v>
      </c>
      <c r="B1601" s="98" t="s">
        <v>62</v>
      </c>
      <c r="C1601" s="98" t="s">
        <v>217</v>
      </c>
      <c r="D1601" s="98" t="s">
        <v>566</v>
      </c>
      <c r="E1601" s="130" t="s">
        <v>2079</v>
      </c>
      <c r="F1601" s="129" t="s">
        <v>2080</v>
      </c>
      <c r="G1601" s="109" t="s">
        <v>88</v>
      </c>
      <c r="H1601" s="100" t="s">
        <v>2081</v>
      </c>
      <c r="I1601" s="23" t="e">
        <f>VLOOKUP(H1601,'合同综合查询数据（3月返）'!$A:$A,1,FALSE)</f>
        <v>#N/A</v>
      </c>
      <c r="J1601" s="24" t="s">
        <v>90</v>
      </c>
      <c r="K1601" s="129" t="s">
        <v>2082</v>
      </c>
      <c r="L1601" s="109"/>
      <c r="M1601" s="26" t="s">
        <v>2083</v>
      </c>
      <c r="N1601" s="28">
        <v>44006</v>
      </c>
      <c r="O1601" s="109" t="s">
        <v>457</v>
      </c>
      <c r="P1601" s="131">
        <v>5800</v>
      </c>
      <c r="Q1601" s="131">
        <v>1</v>
      </c>
      <c r="R1601" s="120">
        <f t="shared" si="39"/>
        <v>5800</v>
      </c>
      <c r="S1601" s="117">
        <v>202303</v>
      </c>
      <c r="T1601" s="121" t="s">
        <v>2093</v>
      </c>
      <c r="U1601" s="132"/>
      <c r="V1601" s="133"/>
      <c r="W1601" s="133"/>
      <c r="X1601" s="118">
        <v>43709</v>
      </c>
      <c r="Y1601" s="118">
        <v>45900</v>
      </c>
    </row>
    <row r="1602" s="9" customFormat="1" customHeight="1" spans="1:25">
      <c r="A1602" s="129" t="s">
        <v>399</v>
      </c>
      <c r="B1602" s="98" t="s">
        <v>62</v>
      </c>
      <c r="C1602" s="98" t="s">
        <v>217</v>
      </c>
      <c r="D1602" s="98" t="s">
        <v>566</v>
      </c>
      <c r="E1602" s="130" t="s">
        <v>2079</v>
      </c>
      <c r="F1602" s="129" t="s">
        <v>2080</v>
      </c>
      <c r="G1602" s="109" t="s">
        <v>88</v>
      </c>
      <c r="H1602" s="100" t="s">
        <v>2081</v>
      </c>
      <c r="I1602" s="23" t="e">
        <f>VLOOKUP(H1602,'合同综合查询数据（3月返）'!$A:$A,1,FALSE)</f>
        <v>#N/A</v>
      </c>
      <c r="J1602" s="24" t="s">
        <v>90</v>
      </c>
      <c r="K1602" s="129" t="s">
        <v>2082</v>
      </c>
      <c r="L1602" s="109"/>
      <c r="M1602" s="26" t="s">
        <v>2083</v>
      </c>
      <c r="N1602" s="28">
        <v>43987</v>
      </c>
      <c r="O1602" s="109" t="s">
        <v>457</v>
      </c>
      <c r="P1602" s="131">
        <v>5800</v>
      </c>
      <c r="Q1602" s="131">
        <v>-1</v>
      </c>
      <c r="R1602" s="120">
        <f t="shared" si="39"/>
        <v>-5800</v>
      </c>
      <c r="S1602" s="117">
        <v>202303</v>
      </c>
      <c r="T1602" s="121" t="s">
        <v>2094</v>
      </c>
      <c r="U1602" s="132"/>
      <c r="V1602" s="133"/>
      <c r="W1602" s="133"/>
      <c r="X1602" s="118">
        <v>43709</v>
      </c>
      <c r="Y1602" s="118">
        <v>45900</v>
      </c>
    </row>
    <row r="1603" s="9" customFormat="1" customHeight="1" spans="1:25">
      <c r="A1603" s="129" t="s">
        <v>399</v>
      </c>
      <c r="B1603" s="98" t="s">
        <v>62</v>
      </c>
      <c r="C1603" s="98" t="s">
        <v>217</v>
      </c>
      <c r="D1603" s="98" t="s">
        <v>566</v>
      </c>
      <c r="E1603" s="130" t="s">
        <v>2079</v>
      </c>
      <c r="F1603" s="129" t="s">
        <v>2080</v>
      </c>
      <c r="G1603" s="109" t="s">
        <v>88</v>
      </c>
      <c r="H1603" s="100" t="s">
        <v>2081</v>
      </c>
      <c r="I1603" s="23" t="e">
        <f>VLOOKUP(H1603,'合同综合查询数据（3月返）'!$A:$A,1,FALSE)</f>
        <v>#N/A</v>
      </c>
      <c r="J1603" s="24" t="s">
        <v>90</v>
      </c>
      <c r="K1603" s="129" t="s">
        <v>2082</v>
      </c>
      <c r="L1603" s="109"/>
      <c r="M1603" s="26" t="s">
        <v>2083</v>
      </c>
      <c r="N1603" s="28">
        <v>43992</v>
      </c>
      <c r="O1603" s="109" t="s">
        <v>457</v>
      </c>
      <c r="P1603" s="131">
        <v>5800</v>
      </c>
      <c r="Q1603" s="131">
        <v>1</v>
      </c>
      <c r="R1603" s="120">
        <f t="shared" si="39"/>
        <v>5800</v>
      </c>
      <c r="S1603" s="117">
        <v>202303</v>
      </c>
      <c r="T1603" s="121" t="s">
        <v>2095</v>
      </c>
      <c r="U1603" s="132"/>
      <c r="V1603" s="133"/>
      <c r="W1603" s="133"/>
      <c r="X1603" s="118">
        <v>43709</v>
      </c>
      <c r="Y1603" s="118">
        <v>45900</v>
      </c>
    </row>
    <row r="1604" s="9" customFormat="1" customHeight="1" spans="1:25">
      <c r="A1604" s="129" t="s">
        <v>399</v>
      </c>
      <c r="B1604" s="98" t="s">
        <v>62</v>
      </c>
      <c r="C1604" s="98" t="s">
        <v>217</v>
      </c>
      <c r="D1604" s="98" t="s">
        <v>566</v>
      </c>
      <c r="E1604" s="130" t="s">
        <v>2079</v>
      </c>
      <c r="F1604" s="129" t="s">
        <v>2080</v>
      </c>
      <c r="G1604" s="109" t="s">
        <v>88</v>
      </c>
      <c r="H1604" s="100" t="s">
        <v>2081</v>
      </c>
      <c r="I1604" s="23" t="e">
        <f>VLOOKUP(H1604,'合同综合查询数据（3月返）'!$A:$A,1,FALSE)</f>
        <v>#N/A</v>
      </c>
      <c r="J1604" s="24" t="s">
        <v>90</v>
      </c>
      <c r="K1604" s="129" t="s">
        <v>2082</v>
      </c>
      <c r="L1604" s="109"/>
      <c r="M1604" s="26" t="s">
        <v>2083</v>
      </c>
      <c r="N1604" s="28">
        <v>44011</v>
      </c>
      <c r="O1604" s="109" t="s">
        <v>457</v>
      </c>
      <c r="P1604" s="131">
        <v>5800</v>
      </c>
      <c r="Q1604" s="131">
        <v>1</v>
      </c>
      <c r="R1604" s="120">
        <f t="shared" si="39"/>
        <v>5800</v>
      </c>
      <c r="S1604" s="117">
        <v>202303</v>
      </c>
      <c r="T1604" s="121" t="s">
        <v>2096</v>
      </c>
      <c r="U1604" s="132"/>
      <c r="V1604" s="133"/>
      <c r="W1604" s="133"/>
      <c r="X1604" s="118">
        <v>43709</v>
      </c>
      <c r="Y1604" s="118">
        <v>45900</v>
      </c>
    </row>
    <row r="1605" s="9" customFormat="1" customHeight="1" spans="1:25">
      <c r="A1605" s="129" t="s">
        <v>399</v>
      </c>
      <c r="B1605" s="98" t="s">
        <v>62</v>
      </c>
      <c r="C1605" s="98" t="s">
        <v>217</v>
      </c>
      <c r="D1605" s="98" t="s">
        <v>566</v>
      </c>
      <c r="E1605" s="130" t="s">
        <v>2079</v>
      </c>
      <c r="F1605" s="129" t="s">
        <v>2080</v>
      </c>
      <c r="G1605" s="109" t="s">
        <v>88</v>
      </c>
      <c r="H1605" s="100" t="s">
        <v>2081</v>
      </c>
      <c r="I1605" s="23" t="e">
        <f>VLOOKUP(H1605,'合同综合查询数据（3月返）'!$A:$A,1,FALSE)</f>
        <v>#N/A</v>
      </c>
      <c r="J1605" s="24" t="s">
        <v>90</v>
      </c>
      <c r="K1605" s="129" t="s">
        <v>2082</v>
      </c>
      <c r="L1605" s="109"/>
      <c r="M1605" s="26" t="s">
        <v>2083</v>
      </c>
      <c r="N1605" s="28">
        <v>43981</v>
      </c>
      <c r="O1605" s="109" t="s">
        <v>457</v>
      </c>
      <c r="P1605" s="131">
        <v>5800</v>
      </c>
      <c r="Q1605" s="131">
        <v>5</v>
      </c>
      <c r="R1605" s="120">
        <f t="shared" si="39"/>
        <v>29000</v>
      </c>
      <c r="S1605" s="117">
        <v>202303</v>
      </c>
      <c r="T1605" s="121" t="s">
        <v>2097</v>
      </c>
      <c r="U1605" s="132"/>
      <c r="V1605" s="133"/>
      <c r="W1605" s="133"/>
      <c r="X1605" s="118">
        <v>43709</v>
      </c>
      <c r="Y1605" s="118">
        <v>45900</v>
      </c>
    </row>
    <row r="1606" s="9" customFormat="1" customHeight="1" spans="1:25">
      <c r="A1606" s="129" t="s">
        <v>399</v>
      </c>
      <c r="B1606" s="98" t="s">
        <v>62</v>
      </c>
      <c r="C1606" s="98" t="s">
        <v>217</v>
      </c>
      <c r="D1606" s="98" t="s">
        <v>566</v>
      </c>
      <c r="E1606" s="130" t="s">
        <v>2079</v>
      </c>
      <c r="F1606" s="129" t="s">
        <v>2080</v>
      </c>
      <c r="G1606" s="109" t="s">
        <v>88</v>
      </c>
      <c r="H1606" s="100" t="s">
        <v>2081</v>
      </c>
      <c r="I1606" s="23" t="e">
        <f>VLOOKUP(H1606,'合同综合查询数据（3月返）'!$A:$A,1,FALSE)</f>
        <v>#N/A</v>
      </c>
      <c r="J1606" s="24" t="s">
        <v>90</v>
      </c>
      <c r="K1606" s="129" t="s">
        <v>2082</v>
      </c>
      <c r="L1606" s="109"/>
      <c r="M1606" s="26" t="s">
        <v>2083</v>
      </c>
      <c r="N1606" s="28">
        <v>44019</v>
      </c>
      <c r="O1606" s="109" t="s">
        <v>457</v>
      </c>
      <c r="P1606" s="131">
        <v>5800</v>
      </c>
      <c r="Q1606" s="131">
        <v>3</v>
      </c>
      <c r="R1606" s="120">
        <f t="shared" si="39"/>
        <v>17400</v>
      </c>
      <c r="S1606" s="117">
        <v>202303</v>
      </c>
      <c r="T1606" s="121" t="s">
        <v>2098</v>
      </c>
      <c r="U1606" s="132"/>
      <c r="V1606" s="133"/>
      <c r="W1606" s="133"/>
      <c r="X1606" s="118">
        <v>43709</v>
      </c>
      <c r="Y1606" s="118">
        <v>45900</v>
      </c>
    </row>
    <row r="1607" s="9" customFormat="1" customHeight="1" spans="1:25">
      <c r="A1607" s="129" t="s">
        <v>399</v>
      </c>
      <c r="B1607" s="98" t="s">
        <v>62</v>
      </c>
      <c r="C1607" s="98" t="s">
        <v>217</v>
      </c>
      <c r="D1607" s="98" t="s">
        <v>566</v>
      </c>
      <c r="E1607" s="130" t="s">
        <v>2079</v>
      </c>
      <c r="F1607" s="129" t="s">
        <v>2080</v>
      </c>
      <c r="G1607" s="109" t="s">
        <v>88</v>
      </c>
      <c r="H1607" s="100" t="s">
        <v>2081</v>
      </c>
      <c r="I1607" s="23" t="e">
        <f>VLOOKUP(H1607,'合同综合查询数据（3月返）'!$A:$A,1,FALSE)</f>
        <v>#N/A</v>
      </c>
      <c r="J1607" s="24" t="s">
        <v>90</v>
      </c>
      <c r="K1607" s="129" t="s">
        <v>2082</v>
      </c>
      <c r="L1607" s="109"/>
      <c r="M1607" s="26" t="s">
        <v>2083</v>
      </c>
      <c r="N1607" s="28">
        <v>44023</v>
      </c>
      <c r="O1607" s="109" t="s">
        <v>457</v>
      </c>
      <c r="P1607" s="131">
        <v>5800</v>
      </c>
      <c r="Q1607" s="131">
        <v>7</v>
      </c>
      <c r="R1607" s="120">
        <f t="shared" si="39"/>
        <v>40600</v>
      </c>
      <c r="S1607" s="117">
        <v>202303</v>
      </c>
      <c r="T1607" s="121" t="s">
        <v>2099</v>
      </c>
      <c r="U1607" s="132"/>
      <c r="V1607" s="133"/>
      <c r="W1607" s="133"/>
      <c r="X1607" s="118">
        <v>43709</v>
      </c>
      <c r="Y1607" s="118">
        <v>45900</v>
      </c>
    </row>
    <row r="1608" s="9" customFormat="1" customHeight="1" spans="1:25">
      <c r="A1608" s="129" t="s">
        <v>399</v>
      </c>
      <c r="B1608" s="98" t="s">
        <v>62</v>
      </c>
      <c r="C1608" s="98" t="s">
        <v>217</v>
      </c>
      <c r="D1608" s="98" t="s">
        <v>566</v>
      </c>
      <c r="E1608" s="130" t="s">
        <v>2079</v>
      </c>
      <c r="F1608" s="129" t="s">
        <v>2080</v>
      </c>
      <c r="G1608" s="109" t="s">
        <v>88</v>
      </c>
      <c r="H1608" s="100" t="s">
        <v>2081</v>
      </c>
      <c r="I1608" s="23" t="e">
        <f>VLOOKUP(H1608,'合同综合查询数据（3月返）'!$A:$A,1,FALSE)</f>
        <v>#N/A</v>
      </c>
      <c r="J1608" s="24" t="s">
        <v>90</v>
      </c>
      <c r="K1608" s="129" t="s">
        <v>2082</v>
      </c>
      <c r="L1608" s="109"/>
      <c r="M1608" s="26" t="s">
        <v>2083</v>
      </c>
      <c r="N1608" s="28">
        <v>44025</v>
      </c>
      <c r="O1608" s="109" t="s">
        <v>457</v>
      </c>
      <c r="P1608" s="131">
        <v>5800</v>
      </c>
      <c r="Q1608" s="131">
        <v>63</v>
      </c>
      <c r="R1608" s="120">
        <f t="shared" si="39"/>
        <v>365400</v>
      </c>
      <c r="S1608" s="117">
        <v>202303</v>
      </c>
      <c r="T1608" s="121" t="s">
        <v>2100</v>
      </c>
      <c r="U1608" s="132"/>
      <c r="V1608" s="133"/>
      <c r="W1608" s="133"/>
      <c r="X1608" s="118">
        <v>43709</v>
      </c>
      <c r="Y1608" s="118">
        <v>45900</v>
      </c>
    </row>
    <row r="1609" s="9" customFormat="1" customHeight="1" spans="1:25">
      <c r="A1609" s="129" t="s">
        <v>399</v>
      </c>
      <c r="B1609" s="98" t="s">
        <v>62</v>
      </c>
      <c r="C1609" s="98" t="s">
        <v>217</v>
      </c>
      <c r="D1609" s="98" t="s">
        <v>566</v>
      </c>
      <c r="E1609" s="130" t="s">
        <v>2079</v>
      </c>
      <c r="F1609" s="129" t="s">
        <v>2080</v>
      </c>
      <c r="G1609" s="109" t="s">
        <v>88</v>
      </c>
      <c r="H1609" s="100" t="s">
        <v>2081</v>
      </c>
      <c r="I1609" s="23" t="e">
        <f>VLOOKUP(H1609,'合同综合查询数据（3月返）'!$A:$A,1,FALSE)</f>
        <v>#N/A</v>
      </c>
      <c r="J1609" s="24" t="s">
        <v>90</v>
      </c>
      <c r="K1609" s="129" t="s">
        <v>2082</v>
      </c>
      <c r="L1609" s="109"/>
      <c r="M1609" s="26" t="s">
        <v>2083</v>
      </c>
      <c r="N1609" s="28">
        <v>44026</v>
      </c>
      <c r="O1609" s="109" t="s">
        <v>457</v>
      </c>
      <c r="P1609" s="131">
        <v>5800</v>
      </c>
      <c r="Q1609" s="131">
        <v>149</v>
      </c>
      <c r="R1609" s="120">
        <f t="shared" si="39"/>
        <v>864200</v>
      </c>
      <c r="S1609" s="117">
        <v>202303</v>
      </c>
      <c r="T1609" s="121" t="s">
        <v>2101</v>
      </c>
      <c r="U1609" s="132"/>
      <c r="V1609" s="133"/>
      <c r="W1609" s="133"/>
      <c r="X1609" s="118">
        <v>43709</v>
      </c>
      <c r="Y1609" s="118">
        <v>45900</v>
      </c>
    </row>
    <row r="1610" s="9" customFormat="1" customHeight="1" spans="1:25">
      <c r="A1610" s="129" t="s">
        <v>399</v>
      </c>
      <c r="B1610" s="98" t="s">
        <v>62</v>
      </c>
      <c r="C1610" s="98" t="s">
        <v>217</v>
      </c>
      <c r="D1610" s="98" t="s">
        <v>566</v>
      </c>
      <c r="E1610" s="130" t="s">
        <v>2079</v>
      </c>
      <c r="F1610" s="129" t="s">
        <v>2080</v>
      </c>
      <c r="G1610" s="109" t="s">
        <v>88</v>
      </c>
      <c r="H1610" s="100" t="s">
        <v>2081</v>
      </c>
      <c r="I1610" s="23" t="e">
        <f>VLOOKUP(H1610,'合同综合查询数据（3月返）'!$A:$A,1,FALSE)</f>
        <v>#N/A</v>
      </c>
      <c r="J1610" s="24" t="s">
        <v>90</v>
      </c>
      <c r="K1610" s="129" t="s">
        <v>2082</v>
      </c>
      <c r="L1610" s="109"/>
      <c r="M1610" s="26" t="s">
        <v>2083</v>
      </c>
      <c r="N1610" s="28">
        <v>44027</v>
      </c>
      <c r="O1610" s="109" t="s">
        <v>457</v>
      </c>
      <c r="P1610" s="131">
        <v>5800</v>
      </c>
      <c r="Q1610" s="131">
        <v>11</v>
      </c>
      <c r="R1610" s="120">
        <f t="shared" si="39"/>
        <v>63800</v>
      </c>
      <c r="S1610" s="117">
        <v>202303</v>
      </c>
      <c r="T1610" s="121" t="s">
        <v>2102</v>
      </c>
      <c r="U1610" s="132"/>
      <c r="V1610" s="133"/>
      <c r="W1610" s="133"/>
      <c r="X1610" s="118">
        <v>43709</v>
      </c>
      <c r="Y1610" s="118">
        <v>45900</v>
      </c>
    </row>
    <row r="1611" s="9" customFormat="1" customHeight="1" spans="1:25">
      <c r="A1611" s="129" t="s">
        <v>399</v>
      </c>
      <c r="B1611" s="98" t="s">
        <v>62</v>
      </c>
      <c r="C1611" s="98" t="s">
        <v>217</v>
      </c>
      <c r="D1611" s="98" t="s">
        <v>566</v>
      </c>
      <c r="E1611" s="130" t="s">
        <v>2079</v>
      </c>
      <c r="F1611" s="129" t="s">
        <v>2080</v>
      </c>
      <c r="G1611" s="109" t="s">
        <v>88</v>
      </c>
      <c r="H1611" s="100" t="s">
        <v>2081</v>
      </c>
      <c r="I1611" s="23" t="e">
        <f>VLOOKUP(H1611,'合同综合查询数据（3月返）'!$A:$A,1,FALSE)</f>
        <v>#N/A</v>
      </c>
      <c r="J1611" s="24" t="s">
        <v>90</v>
      </c>
      <c r="K1611" s="129" t="s">
        <v>2082</v>
      </c>
      <c r="L1611" s="109"/>
      <c r="M1611" s="26" t="s">
        <v>2083</v>
      </c>
      <c r="N1611" s="28">
        <v>44028</v>
      </c>
      <c r="O1611" s="109" t="s">
        <v>457</v>
      </c>
      <c r="P1611" s="131">
        <v>5800</v>
      </c>
      <c r="Q1611" s="131">
        <v>4</v>
      </c>
      <c r="R1611" s="120">
        <f t="shared" si="39"/>
        <v>23200</v>
      </c>
      <c r="S1611" s="117">
        <v>202303</v>
      </c>
      <c r="T1611" s="121" t="s">
        <v>2103</v>
      </c>
      <c r="U1611" s="132"/>
      <c r="V1611" s="133"/>
      <c r="W1611" s="133"/>
      <c r="X1611" s="118">
        <v>43709</v>
      </c>
      <c r="Y1611" s="118">
        <v>45900</v>
      </c>
    </row>
    <row r="1612" s="9" customFormat="1" customHeight="1" spans="1:25">
      <c r="A1612" s="129" t="s">
        <v>399</v>
      </c>
      <c r="B1612" s="98" t="s">
        <v>62</v>
      </c>
      <c r="C1612" s="98" t="s">
        <v>217</v>
      </c>
      <c r="D1612" s="98" t="s">
        <v>566</v>
      </c>
      <c r="E1612" s="130" t="s">
        <v>2079</v>
      </c>
      <c r="F1612" s="129" t="s">
        <v>2080</v>
      </c>
      <c r="G1612" s="109" t="s">
        <v>88</v>
      </c>
      <c r="H1612" s="100" t="s">
        <v>2081</v>
      </c>
      <c r="I1612" s="23" t="e">
        <f>VLOOKUP(H1612,'合同综合查询数据（3月返）'!$A:$A,1,FALSE)</f>
        <v>#N/A</v>
      </c>
      <c r="J1612" s="24" t="s">
        <v>90</v>
      </c>
      <c r="K1612" s="129" t="s">
        <v>2082</v>
      </c>
      <c r="L1612" s="109"/>
      <c r="M1612" s="26" t="s">
        <v>2083</v>
      </c>
      <c r="N1612" s="28">
        <v>44035</v>
      </c>
      <c r="O1612" s="109" t="s">
        <v>511</v>
      </c>
      <c r="P1612" s="131">
        <v>11864</v>
      </c>
      <c r="Q1612" s="131">
        <v>2</v>
      </c>
      <c r="R1612" s="120">
        <f t="shared" si="39"/>
        <v>23728</v>
      </c>
      <c r="S1612" s="117">
        <v>202303</v>
      </c>
      <c r="T1612" s="121" t="s">
        <v>2104</v>
      </c>
      <c r="U1612" s="132"/>
      <c r="V1612" s="133"/>
      <c r="W1612" s="133"/>
      <c r="X1612" s="118">
        <v>43709</v>
      </c>
      <c r="Y1612" s="118">
        <v>45900</v>
      </c>
    </row>
    <row r="1613" s="9" customFormat="1" customHeight="1" spans="1:25">
      <c r="A1613" s="129" t="s">
        <v>399</v>
      </c>
      <c r="B1613" s="98" t="s">
        <v>62</v>
      </c>
      <c r="C1613" s="98" t="s">
        <v>217</v>
      </c>
      <c r="D1613" s="98" t="s">
        <v>566</v>
      </c>
      <c r="E1613" s="130" t="s">
        <v>2079</v>
      </c>
      <c r="F1613" s="129" t="s">
        <v>2080</v>
      </c>
      <c r="G1613" s="109" t="s">
        <v>88</v>
      </c>
      <c r="H1613" s="100" t="s">
        <v>2081</v>
      </c>
      <c r="I1613" s="23" t="e">
        <f>VLOOKUP(H1613,'合同综合查询数据（3月返）'!$A:$A,1,FALSE)</f>
        <v>#N/A</v>
      </c>
      <c r="J1613" s="24" t="s">
        <v>90</v>
      </c>
      <c r="K1613" s="129" t="s">
        <v>2082</v>
      </c>
      <c r="L1613" s="109"/>
      <c r="M1613" s="26" t="s">
        <v>2083</v>
      </c>
      <c r="N1613" s="28">
        <v>44041</v>
      </c>
      <c r="O1613" s="109" t="s">
        <v>457</v>
      </c>
      <c r="P1613" s="131">
        <v>5800</v>
      </c>
      <c r="Q1613" s="131">
        <v>-10</v>
      </c>
      <c r="R1613" s="120">
        <f t="shared" si="39"/>
        <v>-58000</v>
      </c>
      <c r="S1613" s="117">
        <v>202303</v>
      </c>
      <c r="T1613" s="121" t="s">
        <v>2105</v>
      </c>
      <c r="U1613" s="132"/>
      <c r="V1613" s="133"/>
      <c r="W1613" s="133"/>
      <c r="X1613" s="118">
        <v>43709</v>
      </c>
      <c r="Y1613" s="118">
        <v>45900</v>
      </c>
    </row>
    <row r="1614" s="9" customFormat="1" customHeight="1" spans="1:25">
      <c r="A1614" s="129" t="s">
        <v>399</v>
      </c>
      <c r="B1614" s="98" t="s">
        <v>62</v>
      </c>
      <c r="C1614" s="98" t="s">
        <v>217</v>
      </c>
      <c r="D1614" s="98" t="s">
        <v>566</v>
      </c>
      <c r="E1614" s="130" t="s">
        <v>2079</v>
      </c>
      <c r="F1614" s="129" t="s">
        <v>2080</v>
      </c>
      <c r="G1614" s="109" t="s">
        <v>88</v>
      </c>
      <c r="H1614" s="100" t="s">
        <v>2081</v>
      </c>
      <c r="I1614" s="23" t="e">
        <f>VLOOKUP(H1614,'合同综合查询数据（3月返）'!$A:$A,1,FALSE)</f>
        <v>#N/A</v>
      </c>
      <c r="J1614" s="24" t="s">
        <v>90</v>
      </c>
      <c r="K1614" s="129" t="s">
        <v>2082</v>
      </c>
      <c r="L1614" s="109"/>
      <c r="M1614" s="26" t="s">
        <v>2106</v>
      </c>
      <c r="N1614" s="28">
        <v>44063</v>
      </c>
      <c r="O1614" s="109" t="s">
        <v>457</v>
      </c>
      <c r="P1614" s="131">
        <v>5800</v>
      </c>
      <c r="Q1614" s="131">
        <v>1</v>
      </c>
      <c r="R1614" s="120">
        <f t="shared" si="39"/>
        <v>5800</v>
      </c>
      <c r="S1614" s="117">
        <v>202303</v>
      </c>
      <c r="T1614" s="121" t="s">
        <v>2107</v>
      </c>
      <c r="U1614" s="132"/>
      <c r="V1614" s="133"/>
      <c r="W1614" s="133"/>
      <c r="X1614" s="118">
        <v>43709</v>
      </c>
      <c r="Y1614" s="118">
        <v>45900</v>
      </c>
    </row>
    <row r="1615" s="9" customFormat="1" customHeight="1" spans="1:25">
      <c r="A1615" s="129" t="s">
        <v>399</v>
      </c>
      <c r="B1615" s="98" t="s">
        <v>62</v>
      </c>
      <c r="C1615" s="98" t="s">
        <v>217</v>
      </c>
      <c r="D1615" s="98" t="s">
        <v>566</v>
      </c>
      <c r="E1615" s="130" t="s">
        <v>2079</v>
      </c>
      <c r="F1615" s="129" t="s">
        <v>2080</v>
      </c>
      <c r="G1615" s="109" t="s">
        <v>88</v>
      </c>
      <c r="H1615" s="100" t="s">
        <v>2081</v>
      </c>
      <c r="I1615" s="23" t="e">
        <f>VLOOKUP(H1615,'合同综合查询数据（3月返）'!$A:$A,1,FALSE)</f>
        <v>#N/A</v>
      </c>
      <c r="J1615" s="24" t="s">
        <v>90</v>
      </c>
      <c r="K1615" s="129" t="s">
        <v>2082</v>
      </c>
      <c r="L1615" s="109"/>
      <c r="M1615" s="26" t="s">
        <v>2083</v>
      </c>
      <c r="N1615" s="28">
        <v>44069</v>
      </c>
      <c r="O1615" s="109" t="s">
        <v>457</v>
      </c>
      <c r="P1615" s="131">
        <v>5800</v>
      </c>
      <c r="Q1615" s="131">
        <v>31</v>
      </c>
      <c r="R1615" s="120">
        <f t="shared" si="39"/>
        <v>179800</v>
      </c>
      <c r="S1615" s="117">
        <v>202303</v>
      </c>
      <c r="T1615" s="121" t="s">
        <v>2108</v>
      </c>
      <c r="U1615" s="132"/>
      <c r="V1615" s="133"/>
      <c r="W1615" s="133"/>
      <c r="X1615" s="118">
        <v>43709</v>
      </c>
      <c r="Y1615" s="118">
        <v>45900</v>
      </c>
    </row>
    <row r="1616" s="9" customFormat="1" customHeight="1" spans="1:25">
      <c r="A1616" s="129" t="s">
        <v>399</v>
      </c>
      <c r="B1616" s="98" t="s">
        <v>62</v>
      </c>
      <c r="C1616" s="98" t="s">
        <v>217</v>
      </c>
      <c r="D1616" s="98" t="s">
        <v>566</v>
      </c>
      <c r="E1616" s="130" t="s">
        <v>2079</v>
      </c>
      <c r="F1616" s="129" t="s">
        <v>2080</v>
      </c>
      <c r="G1616" s="109" t="s">
        <v>88</v>
      </c>
      <c r="H1616" s="100" t="s">
        <v>2081</v>
      </c>
      <c r="I1616" s="23" t="e">
        <f>VLOOKUP(H1616,'合同综合查询数据（3月返）'!$A:$A,1,FALSE)</f>
        <v>#N/A</v>
      </c>
      <c r="J1616" s="24" t="s">
        <v>90</v>
      </c>
      <c r="K1616" s="129" t="s">
        <v>2082</v>
      </c>
      <c r="L1616" s="109"/>
      <c r="M1616" s="26" t="s">
        <v>2083</v>
      </c>
      <c r="N1616" s="28">
        <v>44070</v>
      </c>
      <c r="O1616" s="109" t="s">
        <v>457</v>
      </c>
      <c r="P1616" s="131">
        <v>5800</v>
      </c>
      <c r="Q1616" s="131">
        <v>58</v>
      </c>
      <c r="R1616" s="120">
        <f t="shared" si="39"/>
        <v>336400</v>
      </c>
      <c r="S1616" s="117">
        <v>202303</v>
      </c>
      <c r="T1616" s="121" t="s">
        <v>2109</v>
      </c>
      <c r="U1616" s="132"/>
      <c r="V1616" s="133"/>
      <c r="W1616" s="133"/>
      <c r="X1616" s="118">
        <v>43709</v>
      </c>
      <c r="Y1616" s="118">
        <v>45900</v>
      </c>
    </row>
    <row r="1617" s="9" customFormat="1" customHeight="1" spans="1:25">
      <c r="A1617" s="129" t="s">
        <v>399</v>
      </c>
      <c r="B1617" s="98" t="s">
        <v>62</v>
      </c>
      <c r="C1617" s="98" t="s">
        <v>217</v>
      </c>
      <c r="D1617" s="98" t="s">
        <v>566</v>
      </c>
      <c r="E1617" s="130" t="s">
        <v>2079</v>
      </c>
      <c r="F1617" s="129" t="s">
        <v>2080</v>
      </c>
      <c r="G1617" s="109" t="s">
        <v>88</v>
      </c>
      <c r="H1617" s="100" t="s">
        <v>2081</v>
      </c>
      <c r="I1617" s="23" t="e">
        <f>VLOOKUP(H1617,'合同综合查询数据（3月返）'!$A:$A,1,FALSE)</f>
        <v>#N/A</v>
      </c>
      <c r="J1617" s="24" t="s">
        <v>90</v>
      </c>
      <c r="K1617" s="129" t="s">
        <v>2082</v>
      </c>
      <c r="L1617" s="109"/>
      <c r="M1617" s="26" t="s">
        <v>2083</v>
      </c>
      <c r="N1617" s="28">
        <v>44013</v>
      </c>
      <c r="O1617" s="109" t="s">
        <v>545</v>
      </c>
      <c r="P1617" s="131">
        <v>200</v>
      </c>
      <c r="Q1617" s="131">
        <v>14</v>
      </c>
      <c r="R1617" s="120">
        <f t="shared" si="39"/>
        <v>2800</v>
      </c>
      <c r="S1617" s="117">
        <v>202303</v>
      </c>
      <c r="T1617" s="121" t="s">
        <v>2110</v>
      </c>
      <c r="U1617" s="132"/>
      <c r="V1617" s="133"/>
      <c r="W1617" s="133"/>
      <c r="X1617" s="118">
        <v>43709</v>
      </c>
      <c r="Y1617" s="118">
        <v>45900</v>
      </c>
    </row>
    <row r="1618" s="9" customFormat="1" customHeight="1" spans="1:25">
      <c r="A1618" s="129" t="s">
        <v>399</v>
      </c>
      <c r="B1618" s="98" t="s">
        <v>62</v>
      </c>
      <c r="C1618" s="98" t="s">
        <v>217</v>
      </c>
      <c r="D1618" s="98" t="s">
        <v>566</v>
      </c>
      <c r="E1618" s="130" t="s">
        <v>2079</v>
      </c>
      <c r="F1618" s="129" t="s">
        <v>2080</v>
      </c>
      <c r="G1618" s="109" t="s">
        <v>88</v>
      </c>
      <c r="H1618" s="100" t="s">
        <v>2081</v>
      </c>
      <c r="I1618" s="23" t="e">
        <f>VLOOKUP(H1618,'合同综合查询数据（3月返）'!$A:$A,1,FALSE)</f>
        <v>#N/A</v>
      </c>
      <c r="J1618" s="24" t="s">
        <v>90</v>
      </c>
      <c r="K1618" s="129" t="s">
        <v>2082</v>
      </c>
      <c r="L1618" s="109"/>
      <c r="M1618" s="26" t="s">
        <v>2106</v>
      </c>
      <c r="N1618" s="28">
        <v>44089</v>
      </c>
      <c r="O1618" s="109" t="s">
        <v>457</v>
      </c>
      <c r="P1618" s="131">
        <v>5800</v>
      </c>
      <c r="Q1618" s="131">
        <v>1</v>
      </c>
      <c r="R1618" s="120">
        <f t="shared" si="39"/>
        <v>5800</v>
      </c>
      <c r="S1618" s="117">
        <v>202303</v>
      </c>
      <c r="T1618" s="121" t="s">
        <v>2111</v>
      </c>
      <c r="U1618" s="132"/>
      <c r="V1618" s="133"/>
      <c r="W1618" s="133"/>
      <c r="X1618" s="118">
        <v>43709</v>
      </c>
      <c r="Y1618" s="118">
        <v>45900</v>
      </c>
    </row>
    <row r="1619" s="9" customFormat="1" customHeight="1" spans="1:25">
      <c r="A1619" s="129" t="s">
        <v>399</v>
      </c>
      <c r="B1619" s="98" t="s">
        <v>62</v>
      </c>
      <c r="C1619" s="98" t="s">
        <v>217</v>
      </c>
      <c r="D1619" s="98" t="s">
        <v>566</v>
      </c>
      <c r="E1619" s="130" t="s">
        <v>2079</v>
      </c>
      <c r="F1619" s="129" t="s">
        <v>2080</v>
      </c>
      <c r="G1619" s="109" t="s">
        <v>88</v>
      </c>
      <c r="H1619" s="100" t="s">
        <v>2081</v>
      </c>
      <c r="I1619" s="23" t="e">
        <f>VLOOKUP(H1619,'合同综合查询数据（3月返）'!$A:$A,1,FALSE)</f>
        <v>#N/A</v>
      </c>
      <c r="J1619" s="24" t="s">
        <v>90</v>
      </c>
      <c r="K1619" s="129" t="s">
        <v>2082</v>
      </c>
      <c r="L1619" s="109"/>
      <c r="M1619" s="26" t="s">
        <v>2083</v>
      </c>
      <c r="N1619" s="28">
        <v>44084</v>
      </c>
      <c r="O1619" s="109" t="s">
        <v>457</v>
      </c>
      <c r="P1619" s="131">
        <v>5800</v>
      </c>
      <c r="Q1619" s="131">
        <v>15</v>
      </c>
      <c r="R1619" s="120">
        <f t="shared" si="39"/>
        <v>87000</v>
      </c>
      <c r="S1619" s="117">
        <v>202303</v>
      </c>
      <c r="T1619" s="121" t="s">
        <v>2112</v>
      </c>
      <c r="U1619" s="132"/>
      <c r="V1619" s="133"/>
      <c r="W1619" s="133"/>
      <c r="X1619" s="118">
        <v>43709</v>
      </c>
      <c r="Y1619" s="118">
        <v>45900</v>
      </c>
    </row>
    <row r="1620" s="9" customFormat="1" customHeight="1" spans="1:25">
      <c r="A1620" s="129" t="s">
        <v>399</v>
      </c>
      <c r="B1620" s="98" t="s">
        <v>62</v>
      </c>
      <c r="C1620" s="98" t="s">
        <v>217</v>
      </c>
      <c r="D1620" s="98" t="s">
        <v>566</v>
      </c>
      <c r="E1620" s="130" t="s">
        <v>2079</v>
      </c>
      <c r="F1620" s="129" t="s">
        <v>2080</v>
      </c>
      <c r="G1620" s="109" t="s">
        <v>88</v>
      </c>
      <c r="H1620" s="100" t="s">
        <v>2081</v>
      </c>
      <c r="I1620" s="23" t="e">
        <f>VLOOKUP(H1620,'合同综合查询数据（3月返）'!$A:$A,1,FALSE)</f>
        <v>#N/A</v>
      </c>
      <c r="J1620" s="24" t="s">
        <v>90</v>
      </c>
      <c r="K1620" s="129" t="s">
        <v>2082</v>
      </c>
      <c r="L1620" s="109"/>
      <c r="M1620" s="26" t="s">
        <v>2083</v>
      </c>
      <c r="N1620" s="28">
        <v>44089</v>
      </c>
      <c r="O1620" s="109" t="s">
        <v>457</v>
      </c>
      <c r="P1620" s="131">
        <v>5800</v>
      </c>
      <c r="Q1620" s="131">
        <v>15</v>
      </c>
      <c r="R1620" s="120">
        <f t="shared" si="39"/>
        <v>87000</v>
      </c>
      <c r="S1620" s="117">
        <v>202303</v>
      </c>
      <c r="T1620" s="121" t="s">
        <v>2113</v>
      </c>
      <c r="U1620" s="132"/>
      <c r="V1620" s="133"/>
      <c r="W1620" s="133"/>
      <c r="X1620" s="118">
        <v>43709</v>
      </c>
      <c r="Y1620" s="118">
        <v>45900</v>
      </c>
    </row>
    <row r="1621" s="9" customFormat="1" customHeight="1" spans="1:25">
      <c r="A1621" s="129" t="s">
        <v>399</v>
      </c>
      <c r="B1621" s="98" t="s">
        <v>62</v>
      </c>
      <c r="C1621" s="98" t="s">
        <v>217</v>
      </c>
      <c r="D1621" s="98" t="s">
        <v>566</v>
      </c>
      <c r="E1621" s="130" t="s">
        <v>2079</v>
      </c>
      <c r="F1621" s="129" t="s">
        <v>2080</v>
      </c>
      <c r="G1621" s="109" t="s">
        <v>88</v>
      </c>
      <c r="H1621" s="100" t="s">
        <v>2081</v>
      </c>
      <c r="I1621" s="23" t="e">
        <f>VLOOKUP(H1621,'合同综合查询数据（3月返）'!$A:$A,1,FALSE)</f>
        <v>#N/A</v>
      </c>
      <c r="J1621" s="24" t="s">
        <v>90</v>
      </c>
      <c r="K1621" s="129" t="s">
        <v>2082</v>
      </c>
      <c r="L1621" s="109"/>
      <c r="M1621" s="26" t="s">
        <v>2083</v>
      </c>
      <c r="N1621" s="28">
        <v>44092</v>
      </c>
      <c r="O1621" s="109" t="s">
        <v>457</v>
      </c>
      <c r="P1621" s="131">
        <v>5800</v>
      </c>
      <c r="Q1621" s="131">
        <v>314</v>
      </c>
      <c r="R1621" s="120">
        <f t="shared" si="39"/>
        <v>1821200</v>
      </c>
      <c r="S1621" s="117">
        <v>202303</v>
      </c>
      <c r="T1621" s="121" t="s">
        <v>2114</v>
      </c>
      <c r="U1621" s="132"/>
      <c r="V1621" s="133"/>
      <c r="W1621" s="133"/>
      <c r="X1621" s="118">
        <v>43709</v>
      </c>
      <c r="Y1621" s="118">
        <v>45900</v>
      </c>
    </row>
    <row r="1622" s="9" customFormat="1" customHeight="1" spans="1:25">
      <c r="A1622" s="129" t="s">
        <v>399</v>
      </c>
      <c r="B1622" s="98" t="s">
        <v>62</v>
      </c>
      <c r="C1622" s="98" t="s">
        <v>217</v>
      </c>
      <c r="D1622" s="98" t="s">
        <v>566</v>
      </c>
      <c r="E1622" s="130" t="s">
        <v>2079</v>
      </c>
      <c r="F1622" s="129" t="s">
        <v>2080</v>
      </c>
      <c r="G1622" s="109" t="s">
        <v>88</v>
      </c>
      <c r="H1622" s="100" t="s">
        <v>2081</v>
      </c>
      <c r="I1622" s="23" t="e">
        <f>VLOOKUP(H1622,'合同综合查询数据（3月返）'!$A:$A,1,FALSE)</f>
        <v>#N/A</v>
      </c>
      <c r="J1622" s="24" t="s">
        <v>90</v>
      </c>
      <c r="K1622" s="129" t="s">
        <v>2082</v>
      </c>
      <c r="L1622" s="109"/>
      <c r="M1622" s="26" t="s">
        <v>2083</v>
      </c>
      <c r="N1622" s="28">
        <v>44089</v>
      </c>
      <c r="O1622" s="109" t="s">
        <v>457</v>
      </c>
      <c r="P1622" s="131">
        <v>5800</v>
      </c>
      <c r="Q1622" s="131">
        <v>23</v>
      </c>
      <c r="R1622" s="120">
        <f t="shared" si="39"/>
        <v>133400</v>
      </c>
      <c r="S1622" s="117">
        <v>202303</v>
      </c>
      <c r="T1622" s="121" t="s">
        <v>2115</v>
      </c>
      <c r="U1622" s="132"/>
      <c r="V1622" s="133"/>
      <c r="W1622" s="133"/>
      <c r="X1622" s="118">
        <v>43709</v>
      </c>
      <c r="Y1622" s="118">
        <v>45900</v>
      </c>
    </row>
    <row r="1623" s="9" customFormat="1" customHeight="1" spans="1:25">
      <c r="A1623" s="129" t="s">
        <v>399</v>
      </c>
      <c r="B1623" s="98" t="s">
        <v>62</v>
      </c>
      <c r="C1623" s="98" t="s">
        <v>217</v>
      </c>
      <c r="D1623" s="98" t="s">
        <v>566</v>
      </c>
      <c r="E1623" s="130" t="s">
        <v>2079</v>
      </c>
      <c r="F1623" s="129" t="s">
        <v>2080</v>
      </c>
      <c r="G1623" s="109" t="s">
        <v>88</v>
      </c>
      <c r="H1623" s="100" t="s">
        <v>2081</v>
      </c>
      <c r="I1623" s="23" t="e">
        <f>VLOOKUP(H1623,'合同综合查询数据（3月返）'!$A:$A,1,FALSE)</f>
        <v>#N/A</v>
      </c>
      <c r="J1623" s="24" t="s">
        <v>90</v>
      </c>
      <c r="K1623" s="129" t="s">
        <v>2082</v>
      </c>
      <c r="L1623" s="109"/>
      <c r="M1623" s="26" t="s">
        <v>2083</v>
      </c>
      <c r="N1623" s="28">
        <v>44090</v>
      </c>
      <c r="O1623" s="109" t="s">
        <v>457</v>
      </c>
      <c r="P1623" s="131">
        <v>5800</v>
      </c>
      <c r="Q1623" s="131">
        <v>21</v>
      </c>
      <c r="R1623" s="120">
        <f t="shared" si="39"/>
        <v>121800</v>
      </c>
      <c r="S1623" s="117">
        <v>202303</v>
      </c>
      <c r="T1623" s="121" t="s">
        <v>2116</v>
      </c>
      <c r="U1623" s="132"/>
      <c r="V1623" s="133"/>
      <c r="W1623" s="133"/>
      <c r="X1623" s="118">
        <v>43709</v>
      </c>
      <c r="Y1623" s="118">
        <v>45900</v>
      </c>
    </row>
    <row r="1624" s="9" customFormat="1" customHeight="1" spans="1:25">
      <c r="A1624" s="129" t="s">
        <v>399</v>
      </c>
      <c r="B1624" s="98" t="s">
        <v>62</v>
      </c>
      <c r="C1624" s="98" t="s">
        <v>217</v>
      </c>
      <c r="D1624" s="98" t="s">
        <v>566</v>
      </c>
      <c r="E1624" s="130" t="s">
        <v>2079</v>
      </c>
      <c r="F1624" s="129" t="s">
        <v>2080</v>
      </c>
      <c r="G1624" s="109" t="s">
        <v>88</v>
      </c>
      <c r="H1624" s="100" t="s">
        <v>2081</v>
      </c>
      <c r="I1624" s="23" t="e">
        <f>VLOOKUP(H1624,'合同综合查询数据（3月返）'!$A:$A,1,FALSE)</f>
        <v>#N/A</v>
      </c>
      <c r="J1624" s="24" t="s">
        <v>90</v>
      </c>
      <c r="K1624" s="129" t="s">
        <v>2082</v>
      </c>
      <c r="L1624" s="109"/>
      <c r="M1624" s="26" t="s">
        <v>2083</v>
      </c>
      <c r="N1624" s="28">
        <v>44092</v>
      </c>
      <c r="O1624" s="109" t="s">
        <v>457</v>
      </c>
      <c r="P1624" s="131">
        <v>5800</v>
      </c>
      <c r="Q1624" s="131">
        <v>60</v>
      </c>
      <c r="R1624" s="120">
        <f t="shared" si="39"/>
        <v>348000</v>
      </c>
      <c r="S1624" s="117">
        <v>202303</v>
      </c>
      <c r="T1624" s="121" t="s">
        <v>2117</v>
      </c>
      <c r="U1624" s="132"/>
      <c r="V1624" s="133"/>
      <c r="W1624" s="133"/>
      <c r="X1624" s="118">
        <v>43709</v>
      </c>
      <c r="Y1624" s="118">
        <v>45900</v>
      </c>
    </row>
    <row r="1625" s="9" customFormat="1" customHeight="1" spans="1:25">
      <c r="A1625" s="129" t="s">
        <v>399</v>
      </c>
      <c r="B1625" s="98" t="s">
        <v>62</v>
      </c>
      <c r="C1625" s="98" t="s">
        <v>217</v>
      </c>
      <c r="D1625" s="98" t="s">
        <v>566</v>
      </c>
      <c r="E1625" s="130" t="s">
        <v>2079</v>
      </c>
      <c r="F1625" s="129" t="s">
        <v>2080</v>
      </c>
      <c r="G1625" s="109" t="s">
        <v>88</v>
      </c>
      <c r="H1625" s="100" t="s">
        <v>2081</v>
      </c>
      <c r="I1625" s="23" t="e">
        <f>VLOOKUP(H1625,'合同综合查询数据（3月返）'!$A:$A,1,FALSE)</f>
        <v>#N/A</v>
      </c>
      <c r="J1625" s="24" t="s">
        <v>90</v>
      </c>
      <c r="K1625" s="129" t="s">
        <v>2082</v>
      </c>
      <c r="L1625" s="109"/>
      <c r="M1625" s="26" t="s">
        <v>2083</v>
      </c>
      <c r="N1625" s="28">
        <v>44093</v>
      </c>
      <c r="O1625" s="109" t="s">
        <v>457</v>
      </c>
      <c r="P1625" s="131">
        <v>5800</v>
      </c>
      <c r="Q1625" s="131">
        <v>192</v>
      </c>
      <c r="R1625" s="120">
        <f t="shared" si="39"/>
        <v>1113600</v>
      </c>
      <c r="S1625" s="117">
        <v>202303</v>
      </c>
      <c r="T1625" s="121" t="s">
        <v>2118</v>
      </c>
      <c r="U1625" s="132"/>
      <c r="V1625" s="133"/>
      <c r="W1625" s="133"/>
      <c r="X1625" s="118">
        <v>43709</v>
      </c>
      <c r="Y1625" s="118">
        <v>45900</v>
      </c>
    </row>
    <row r="1626" s="9" customFormat="1" customHeight="1" spans="1:25">
      <c r="A1626" s="129" t="s">
        <v>399</v>
      </c>
      <c r="B1626" s="98" t="s">
        <v>62</v>
      </c>
      <c r="C1626" s="98" t="s">
        <v>217</v>
      </c>
      <c r="D1626" s="98" t="s">
        <v>566</v>
      </c>
      <c r="E1626" s="130" t="s">
        <v>2079</v>
      </c>
      <c r="F1626" s="129" t="s">
        <v>2080</v>
      </c>
      <c r="G1626" s="109" t="s">
        <v>88</v>
      </c>
      <c r="H1626" s="100" t="s">
        <v>2081</v>
      </c>
      <c r="I1626" s="23" t="e">
        <f>VLOOKUP(H1626,'合同综合查询数据（3月返）'!$A:$A,1,FALSE)</f>
        <v>#N/A</v>
      </c>
      <c r="J1626" s="24" t="s">
        <v>90</v>
      </c>
      <c r="K1626" s="129" t="s">
        <v>2082</v>
      </c>
      <c r="L1626" s="109"/>
      <c r="M1626" s="26" t="s">
        <v>2083</v>
      </c>
      <c r="N1626" s="28">
        <v>44096</v>
      </c>
      <c r="O1626" s="109" t="s">
        <v>457</v>
      </c>
      <c r="P1626" s="131">
        <v>5800</v>
      </c>
      <c r="Q1626" s="131">
        <v>-1</v>
      </c>
      <c r="R1626" s="120">
        <f t="shared" si="39"/>
        <v>-5800</v>
      </c>
      <c r="S1626" s="117">
        <v>202303</v>
      </c>
      <c r="T1626" s="121" t="s">
        <v>2119</v>
      </c>
      <c r="U1626" s="132"/>
      <c r="V1626" s="133"/>
      <c r="W1626" s="133"/>
      <c r="X1626" s="118">
        <v>43709</v>
      </c>
      <c r="Y1626" s="118">
        <v>45900</v>
      </c>
    </row>
    <row r="1627" s="9" customFormat="1" customHeight="1" spans="1:25">
      <c r="A1627" s="129" t="s">
        <v>399</v>
      </c>
      <c r="B1627" s="98" t="s">
        <v>62</v>
      </c>
      <c r="C1627" s="98" t="s">
        <v>217</v>
      </c>
      <c r="D1627" s="98" t="s">
        <v>566</v>
      </c>
      <c r="E1627" s="130" t="s">
        <v>2079</v>
      </c>
      <c r="F1627" s="129" t="s">
        <v>2080</v>
      </c>
      <c r="G1627" s="109" t="s">
        <v>88</v>
      </c>
      <c r="H1627" s="100" t="s">
        <v>2081</v>
      </c>
      <c r="I1627" s="23" t="e">
        <f>VLOOKUP(H1627,'合同综合查询数据（3月返）'!$A:$A,1,FALSE)</f>
        <v>#N/A</v>
      </c>
      <c r="J1627" s="24" t="s">
        <v>90</v>
      </c>
      <c r="K1627" s="129" t="s">
        <v>2082</v>
      </c>
      <c r="L1627" s="109"/>
      <c r="M1627" s="26" t="s">
        <v>2106</v>
      </c>
      <c r="N1627" s="28">
        <v>44101</v>
      </c>
      <c r="O1627" s="109" t="s">
        <v>457</v>
      </c>
      <c r="P1627" s="131">
        <v>5800</v>
      </c>
      <c r="Q1627" s="131">
        <v>2</v>
      </c>
      <c r="R1627" s="120">
        <f t="shared" si="39"/>
        <v>11600</v>
      </c>
      <c r="S1627" s="117">
        <v>202303</v>
      </c>
      <c r="T1627" s="121" t="s">
        <v>2120</v>
      </c>
      <c r="U1627" s="132"/>
      <c r="V1627" s="133"/>
      <c r="W1627" s="133"/>
      <c r="X1627" s="118">
        <v>43709</v>
      </c>
      <c r="Y1627" s="118">
        <v>45900</v>
      </c>
    </row>
    <row r="1628" s="9" customFormat="1" customHeight="1" spans="1:25">
      <c r="A1628" s="129" t="s">
        <v>399</v>
      </c>
      <c r="B1628" s="98" t="s">
        <v>62</v>
      </c>
      <c r="C1628" s="98" t="s">
        <v>217</v>
      </c>
      <c r="D1628" s="98" t="s">
        <v>566</v>
      </c>
      <c r="E1628" s="130" t="s">
        <v>2079</v>
      </c>
      <c r="F1628" s="129" t="s">
        <v>2080</v>
      </c>
      <c r="G1628" s="109" t="s">
        <v>88</v>
      </c>
      <c r="H1628" s="100" t="s">
        <v>2081</v>
      </c>
      <c r="I1628" s="23" t="e">
        <f>VLOOKUP(H1628,'合同综合查询数据（3月返）'!$A:$A,1,FALSE)</f>
        <v>#N/A</v>
      </c>
      <c r="J1628" s="24" t="s">
        <v>90</v>
      </c>
      <c r="K1628" s="129" t="s">
        <v>2082</v>
      </c>
      <c r="L1628" s="109"/>
      <c r="M1628" s="26" t="s">
        <v>2083</v>
      </c>
      <c r="N1628" s="28">
        <v>44089</v>
      </c>
      <c r="O1628" s="109" t="s">
        <v>457</v>
      </c>
      <c r="P1628" s="131">
        <v>5800</v>
      </c>
      <c r="Q1628" s="131">
        <v>17</v>
      </c>
      <c r="R1628" s="120">
        <f t="shared" si="39"/>
        <v>98600</v>
      </c>
      <c r="S1628" s="117">
        <v>202303</v>
      </c>
      <c r="T1628" s="121" t="s">
        <v>2121</v>
      </c>
      <c r="U1628" s="132"/>
      <c r="V1628" s="133"/>
      <c r="W1628" s="133"/>
      <c r="X1628" s="118">
        <v>43709</v>
      </c>
      <c r="Y1628" s="118">
        <v>45900</v>
      </c>
    </row>
    <row r="1629" s="9" customFormat="1" customHeight="1" spans="1:25">
      <c r="A1629" s="129" t="s">
        <v>399</v>
      </c>
      <c r="B1629" s="98" t="s">
        <v>62</v>
      </c>
      <c r="C1629" s="98" t="s">
        <v>217</v>
      </c>
      <c r="D1629" s="98" t="s">
        <v>566</v>
      </c>
      <c r="E1629" s="130" t="s">
        <v>2079</v>
      </c>
      <c r="F1629" s="129" t="s">
        <v>2080</v>
      </c>
      <c r="G1629" s="109" t="s">
        <v>88</v>
      </c>
      <c r="H1629" s="100" t="s">
        <v>2081</v>
      </c>
      <c r="I1629" s="23" t="e">
        <f>VLOOKUP(H1629,'合同综合查询数据（3月返）'!$A:$A,1,FALSE)</f>
        <v>#N/A</v>
      </c>
      <c r="J1629" s="24" t="s">
        <v>90</v>
      </c>
      <c r="K1629" s="129" t="s">
        <v>2082</v>
      </c>
      <c r="L1629" s="109"/>
      <c r="M1629" s="26" t="s">
        <v>2083</v>
      </c>
      <c r="N1629" s="28">
        <v>44151</v>
      </c>
      <c r="O1629" s="109" t="s">
        <v>457</v>
      </c>
      <c r="P1629" s="131">
        <v>5800</v>
      </c>
      <c r="Q1629" s="131">
        <v>4</v>
      </c>
      <c r="R1629" s="120">
        <f t="shared" si="39"/>
        <v>23200</v>
      </c>
      <c r="S1629" s="117">
        <v>202303</v>
      </c>
      <c r="T1629" s="121" t="s">
        <v>2122</v>
      </c>
      <c r="U1629" s="132"/>
      <c r="V1629" s="133"/>
      <c r="W1629" s="133"/>
      <c r="X1629" s="118">
        <v>43709</v>
      </c>
      <c r="Y1629" s="118">
        <v>45900</v>
      </c>
    </row>
    <row r="1630" s="9" customFormat="1" customHeight="1" spans="1:25">
      <c r="A1630" s="129" t="s">
        <v>399</v>
      </c>
      <c r="B1630" s="98" t="s">
        <v>62</v>
      </c>
      <c r="C1630" s="98" t="s">
        <v>217</v>
      </c>
      <c r="D1630" s="98" t="s">
        <v>566</v>
      </c>
      <c r="E1630" s="130" t="s">
        <v>2079</v>
      </c>
      <c r="F1630" s="129" t="s">
        <v>2080</v>
      </c>
      <c r="G1630" s="109" t="s">
        <v>88</v>
      </c>
      <c r="H1630" s="100" t="s">
        <v>2081</v>
      </c>
      <c r="I1630" s="23" t="e">
        <f>VLOOKUP(H1630,'合同综合查询数据（3月返）'!$A:$A,1,FALSE)</f>
        <v>#N/A</v>
      </c>
      <c r="J1630" s="24" t="s">
        <v>90</v>
      </c>
      <c r="K1630" s="129" t="s">
        <v>2082</v>
      </c>
      <c r="L1630" s="109"/>
      <c r="M1630" s="26" t="s">
        <v>2083</v>
      </c>
      <c r="N1630" s="28">
        <v>44168</v>
      </c>
      <c r="O1630" s="109" t="s">
        <v>511</v>
      </c>
      <c r="P1630" s="131">
        <v>11864</v>
      </c>
      <c r="Q1630" s="131">
        <v>4</v>
      </c>
      <c r="R1630" s="120">
        <f t="shared" si="39"/>
        <v>47456</v>
      </c>
      <c r="S1630" s="117">
        <v>202303</v>
      </c>
      <c r="T1630" s="121" t="s">
        <v>2123</v>
      </c>
      <c r="U1630" s="132"/>
      <c r="V1630" s="133"/>
      <c r="W1630" s="133"/>
      <c r="X1630" s="118">
        <v>43709</v>
      </c>
      <c r="Y1630" s="118">
        <v>45900</v>
      </c>
    </row>
    <row r="1631" s="9" customFormat="1" customHeight="1" spans="1:25">
      <c r="A1631" s="129" t="s">
        <v>399</v>
      </c>
      <c r="B1631" s="98" t="s">
        <v>62</v>
      </c>
      <c r="C1631" s="98" t="s">
        <v>217</v>
      </c>
      <c r="D1631" s="98" t="s">
        <v>566</v>
      </c>
      <c r="E1631" s="130" t="s">
        <v>2079</v>
      </c>
      <c r="F1631" s="129" t="s">
        <v>2080</v>
      </c>
      <c r="G1631" s="109" t="s">
        <v>88</v>
      </c>
      <c r="H1631" s="100" t="s">
        <v>2081</v>
      </c>
      <c r="I1631" s="23" t="e">
        <f>VLOOKUP(H1631,'合同综合查询数据（3月返）'!$A:$A,1,FALSE)</f>
        <v>#N/A</v>
      </c>
      <c r="J1631" s="24" t="s">
        <v>90</v>
      </c>
      <c r="K1631" s="129" t="s">
        <v>2082</v>
      </c>
      <c r="L1631" s="109"/>
      <c r="M1631" s="26" t="s">
        <v>2083</v>
      </c>
      <c r="N1631" s="28">
        <v>44168</v>
      </c>
      <c r="O1631" s="109" t="s">
        <v>574</v>
      </c>
      <c r="P1631" s="131">
        <v>31637</v>
      </c>
      <c r="Q1631" s="131">
        <v>2</v>
      </c>
      <c r="R1631" s="120">
        <f t="shared" si="39"/>
        <v>63274</v>
      </c>
      <c r="S1631" s="117">
        <v>202303</v>
      </c>
      <c r="T1631" s="121" t="s">
        <v>2124</v>
      </c>
      <c r="U1631" s="132"/>
      <c r="V1631" s="133"/>
      <c r="W1631" s="133"/>
      <c r="X1631" s="118">
        <v>43709</v>
      </c>
      <c r="Y1631" s="118">
        <v>45900</v>
      </c>
    </row>
    <row r="1632" s="9" customFormat="1" customHeight="1" spans="1:25">
      <c r="A1632" s="129" t="s">
        <v>399</v>
      </c>
      <c r="B1632" s="98" t="s">
        <v>62</v>
      </c>
      <c r="C1632" s="98" t="s">
        <v>217</v>
      </c>
      <c r="D1632" s="98" t="s">
        <v>566</v>
      </c>
      <c r="E1632" s="130" t="s">
        <v>2079</v>
      </c>
      <c r="F1632" s="129" t="s">
        <v>2080</v>
      </c>
      <c r="G1632" s="109" t="s">
        <v>88</v>
      </c>
      <c r="H1632" s="100" t="s">
        <v>2081</v>
      </c>
      <c r="I1632" s="23" t="e">
        <f>VLOOKUP(H1632,'合同综合查询数据（3月返）'!$A:$A,1,FALSE)</f>
        <v>#N/A</v>
      </c>
      <c r="J1632" s="24" t="s">
        <v>90</v>
      </c>
      <c r="K1632" s="129" t="s">
        <v>2125</v>
      </c>
      <c r="L1632" s="109"/>
      <c r="M1632" s="26" t="s">
        <v>2083</v>
      </c>
      <c r="N1632" s="28">
        <v>44200</v>
      </c>
      <c r="O1632" s="109" t="s">
        <v>457</v>
      </c>
      <c r="P1632" s="131">
        <v>5800</v>
      </c>
      <c r="Q1632" s="131">
        <v>222</v>
      </c>
      <c r="R1632" s="120">
        <f t="shared" si="39"/>
        <v>1287600</v>
      </c>
      <c r="S1632" s="117">
        <v>202303</v>
      </c>
      <c r="T1632" s="121" t="s">
        <v>2126</v>
      </c>
      <c r="U1632" s="132"/>
      <c r="V1632" s="133"/>
      <c r="W1632" s="133"/>
      <c r="X1632" s="118">
        <v>43709</v>
      </c>
      <c r="Y1632" s="118">
        <v>45900</v>
      </c>
    </row>
    <row r="1633" s="9" customFormat="1" customHeight="1" spans="1:25">
      <c r="A1633" s="129" t="s">
        <v>399</v>
      </c>
      <c r="B1633" s="98" t="s">
        <v>62</v>
      </c>
      <c r="C1633" s="98" t="s">
        <v>217</v>
      </c>
      <c r="D1633" s="98" t="s">
        <v>566</v>
      </c>
      <c r="E1633" s="130" t="s">
        <v>2079</v>
      </c>
      <c r="F1633" s="129" t="s">
        <v>2080</v>
      </c>
      <c r="G1633" s="109" t="s">
        <v>88</v>
      </c>
      <c r="H1633" s="100" t="s">
        <v>2081</v>
      </c>
      <c r="I1633" s="23" t="e">
        <f>VLOOKUP(H1633,'合同综合查询数据（3月返）'!$A:$A,1,FALSE)</f>
        <v>#N/A</v>
      </c>
      <c r="J1633" s="24" t="s">
        <v>90</v>
      </c>
      <c r="K1633" s="129" t="s">
        <v>2125</v>
      </c>
      <c r="L1633" s="109"/>
      <c r="M1633" s="26" t="s">
        <v>2083</v>
      </c>
      <c r="N1633" s="28">
        <v>44205</v>
      </c>
      <c r="O1633" s="109" t="s">
        <v>457</v>
      </c>
      <c r="P1633" s="131">
        <v>5800</v>
      </c>
      <c r="Q1633" s="131">
        <v>3</v>
      </c>
      <c r="R1633" s="120">
        <f t="shared" si="39"/>
        <v>17400</v>
      </c>
      <c r="S1633" s="117">
        <v>202303</v>
      </c>
      <c r="T1633" s="121" t="s">
        <v>2127</v>
      </c>
      <c r="U1633" s="132"/>
      <c r="V1633" s="133"/>
      <c r="W1633" s="133"/>
      <c r="X1633" s="118">
        <v>43709</v>
      </c>
      <c r="Y1633" s="118">
        <v>45900</v>
      </c>
    </row>
    <row r="1634" s="9" customFormat="1" customHeight="1" spans="1:25">
      <c r="A1634" s="129" t="s">
        <v>399</v>
      </c>
      <c r="B1634" s="98" t="s">
        <v>62</v>
      </c>
      <c r="C1634" s="98" t="s">
        <v>217</v>
      </c>
      <c r="D1634" s="98" t="s">
        <v>566</v>
      </c>
      <c r="E1634" s="130" t="s">
        <v>2079</v>
      </c>
      <c r="F1634" s="129" t="s">
        <v>2080</v>
      </c>
      <c r="G1634" s="109" t="s">
        <v>88</v>
      </c>
      <c r="H1634" s="100" t="s">
        <v>2081</v>
      </c>
      <c r="I1634" s="23" t="e">
        <f>VLOOKUP(H1634,'合同综合查询数据（3月返）'!$A:$A,1,FALSE)</f>
        <v>#N/A</v>
      </c>
      <c r="J1634" s="24" t="s">
        <v>90</v>
      </c>
      <c r="K1634" s="129" t="s">
        <v>2125</v>
      </c>
      <c r="L1634" s="109"/>
      <c r="M1634" s="26" t="s">
        <v>2083</v>
      </c>
      <c r="N1634" s="28">
        <v>44207</v>
      </c>
      <c r="O1634" s="109" t="s">
        <v>457</v>
      </c>
      <c r="P1634" s="131">
        <v>5800</v>
      </c>
      <c r="Q1634" s="131">
        <v>417</v>
      </c>
      <c r="R1634" s="120">
        <f t="shared" si="39"/>
        <v>2418600</v>
      </c>
      <c r="S1634" s="117">
        <v>202303</v>
      </c>
      <c r="T1634" s="121" t="s">
        <v>2128</v>
      </c>
      <c r="U1634" s="132"/>
      <c r="V1634" s="133"/>
      <c r="W1634" s="133"/>
      <c r="X1634" s="118">
        <v>43709</v>
      </c>
      <c r="Y1634" s="118">
        <v>45900</v>
      </c>
    </row>
    <row r="1635" s="9" customFormat="1" customHeight="1" spans="1:25">
      <c r="A1635" s="129" t="s">
        <v>399</v>
      </c>
      <c r="B1635" s="98" t="s">
        <v>62</v>
      </c>
      <c r="C1635" s="98" t="s">
        <v>217</v>
      </c>
      <c r="D1635" s="98" t="s">
        <v>566</v>
      </c>
      <c r="E1635" s="130" t="s">
        <v>2079</v>
      </c>
      <c r="F1635" s="129" t="s">
        <v>2080</v>
      </c>
      <c r="G1635" s="109" t="s">
        <v>88</v>
      </c>
      <c r="H1635" s="100" t="s">
        <v>2081</v>
      </c>
      <c r="I1635" s="23" t="e">
        <f>VLOOKUP(H1635,'合同综合查询数据（3月返）'!$A:$A,1,FALSE)</f>
        <v>#N/A</v>
      </c>
      <c r="J1635" s="24" t="s">
        <v>90</v>
      </c>
      <c r="K1635" s="129" t="s">
        <v>2125</v>
      </c>
      <c r="L1635" s="109"/>
      <c r="M1635" s="26" t="s">
        <v>2083</v>
      </c>
      <c r="N1635" s="28">
        <v>44209</v>
      </c>
      <c r="O1635" s="109" t="s">
        <v>457</v>
      </c>
      <c r="P1635" s="131">
        <v>5800</v>
      </c>
      <c r="Q1635" s="131">
        <v>19</v>
      </c>
      <c r="R1635" s="120">
        <f t="shared" si="39"/>
        <v>110200</v>
      </c>
      <c r="S1635" s="117">
        <v>202303</v>
      </c>
      <c r="T1635" s="121" t="s">
        <v>2129</v>
      </c>
      <c r="U1635" s="132"/>
      <c r="V1635" s="133"/>
      <c r="W1635" s="133"/>
      <c r="X1635" s="118">
        <v>43709</v>
      </c>
      <c r="Y1635" s="118">
        <v>45900</v>
      </c>
    </row>
    <row r="1636" s="9" customFormat="1" customHeight="1" spans="1:25">
      <c r="A1636" s="129" t="s">
        <v>399</v>
      </c>
      <c r="B1636" s="98" t="s">
        <v>62</v>
      </c>
      <c r="C1636" s="98" t="s">
        <v>217</v>
      </c>
      <c r="D1636" s="98" t="s">
        <v>566</v>
      </c>
      <c r="E1636" s="130" t="s">
        <v>2079</v>
      </c>
      <c r="F1636" s="129" t="s">
        <v>2080</v>
      </c>
      <c r="G1636" s="109" t="s">
        <v>88</v>
      </c>
      <c r="H1636" s="100" t="s">
        <v>2081</v>
      </c>
      <c r="I1636" s="23" t="e">
        <f>VLOOKUP(H1636,'合同综合查询数据（3月返）'!$A:$A,1,FALSE)</f>
        <v>#N/A</v>
      </c>
      <c r="J1636" s="24" t="s">
        <v>90</v>
      </c>
      <c r="K1636" s="129" t="s">
        <v>2125</v>
      </c>
      <c r="L1636" s="109"/>
      <c r="M1636" s="26" t="s">
        <v>2083</v>
      </c>
      <c r="N1636" s="28">
        <v>44211</v>
      </c>
      <c r="O1636" s="109" t="s">
        <v>457</v>
      </c>
      <c r="P1636" s="131">
        <v>5800</v>
      </c>
      <c r="Q1636" s="131">
        <v>22</v>
      </c>
      <c r="R1636" s="120">
        <f t="shared" si="39"/>
        <v>127600</v>
      </c>
      <c r="S1636" s="117">
        <v>202303</v>
      </c>
      <c r="T1636" s="121" t="s">
        <v>2130</v>
      </c>
      <c r="U1636" s="132"/>
      <c r="V1636" s="133"/>
      <c r="W1636" s="133"/>
      <c r="X1636" s="118">
        <v>43709</v>
      </c>
      <c r="Y1636" s="118">
        <v>45900</v>
      </c>
    </row>
    <row r="1637" s="9" customFormat="1" customHeight="1" spans="1:25">
      <c r="A1637" s="129" t="s">
        <v>399</v>
      </c>
      <c r="B1637" s="98" t="s">
        <v>62</v>
      </c>
      <c r="C1637" s="98" t="s">
        <v>217</v>
      </c>
      <c r="D1637" s="98" t="s">
        <v>566</v>
      </c>
      <c r="E1637" s="130" t="s">
        <v>2079</v>
      </c>
      <c r="F1637" s="129" t="s">
        <v>2080</v>
      </c>
      <c r="G1637" s="109" t="s">
        <v>88</v>
      </c>
      <c r="H1637" s="100" t="s">
        <v>2081</v>
      </c>
      <c r="I1637" s="23" t="e">
        <f>VLOOKUP(H1637,'合同综合查询数据（3月返）'!$A:$A,1,FALSE)</f>
        <v>#N/A</v>
      </c>
      <c r="J1637" s="24" t="s">
        <v>90</v>
      </c>
      <c r="K1637" s="129" t="s">
        <v>2125</v>
      </c>
      <c r="L1637" s="109"/>
      <c r="M1637" s="26" t="s">
        <v>2083</v>
      </c>
      <c r="N1637" s="28">
        <v>44214</v>
      </c>
      <c r="O1637" s="109" t="s">
        <v>457</v>
      </c>
      <c r="P1637" s="131">
        <v>5800</v>
      </c>
      <c r="Q1637" s="131">
        <v>26</v>
      </c>
      <c r="R1637" s="120">
        <f t="shared" si="39"/>
        <v>150800</v>
      </c>
      <c r="S1637" s="117">
        <v>202303</v>
      </c>
      <c r="T1637" s="121" t="s">
        <v>2131</v>
      </c>
      <c r="U1637" s="132"/>
      <c r="V1637" s="133"/>
      <c r="W1637" s="133"/>
      <c r="X1637" s="118">
        <v>43709</v>
      </c>
      <c r="Y1637" s="118">
        <v>45900</v>
      </c>
    </row>
    <row r="1638" s="9" customFormat="1" customHeight="1" spans="1:25">
      <c r="A1638" s="129" t="s">
        <v>399</v>
      </c>
      <c r="B1638" s="98" t="s">
        <v>62</v>
      </c>
      <c r="C1638" s="98" t="s">
        <v>217</v>
      </c>
      <c r="D1638" s="98" t="s">
        <v>566</v>
      </c>
      <c r="E1638" s="130" t="s">
        <v>2079</v>
      </c>
      <c r="F1638" s="129" t="s">
        <v>2080</v>
      </c>
      <c r="G1638" s="109" t="s">
        <v>88</v>
      </c>
      <c r="H1638" s="100" t="s">
        <v>2081</v>
      </c>
      <c r="I1638" s="23" t="e">
        <f>VLOOKUP(H1638,'合同综合查询数据（3月返）'!$A:$A,1,FALSE)</f>
        <v>#N/A</v>
      </c>
      <c r="J1638" s="24" t="s">
        <v>90</v>
      </c>
      <c r="K1638" s="129" t="s">
        <v>2125</v>
      </c>
      <c r="L1638" s="109"/>
      <c r="M1638" s="26" t="s">
        <v>2083</v>
      </c>
      <c r="N1638" s="28">
        <v>44200</v>
      </c>
      <c r="O1638" s="109" t="s">
        <v>470</v>
      </c>
      <c r="P1638" s="131">
        <v>8700</v>
      </c>
      <c r="Q1638" s="131">
        <v>2</v>
      </c>
      <c r="R1638" s="120">
        <f t="shared" si="39"/>
        <v>17400</v>
      </c>
      <c r="S1638" s="117">
        <v>202303</v>
      </c>
      <c r="T1638" s="121" t="s">
        <v>2132</v>
      </c>
      <c r="U1638" s="132"/>
      <c r="V1638" s="133"/>
      <c r="W1638" s="133"/>
      <c r="X1638" s="118">
        <v>43709</v>
      </c>
      <c r="Y1638" s="118">
        <v>45900</v>
      </c>
    </row>
    <row r="1639" s="9" customFormat="1" customHeight="1" spans="1:25">
      <c r="A1639" s="129" t="s">
        <v>399</v>
      </c>
      <c r="B1639" s="98" t="s">
        <v>62</v>
      </c>
      <c r="C1639" s="98" t="s">
        <v>217</v>
      </c>
      <c r="D1639" s="98" t="s">
        <v>566</v>
      </c>
      <c r="E1639" s="130" t="s">
        <v>2079</v>
      </c>
      <c r="F1639" s="129" t="s">
        <v>2080</v>
      </c>
      <c r="G1639" s="109" t="s">
        <v>88</v>
      </c>
      <c r="H1639" s="100" t="s">
        <v>2081</v>
      </c>
      <c r="I1639" s="23" t="e">
        <f>VLOOKUP(H1639,'合同综合查询数据（3月返）'!$A:$A,1,FALSE)</f>
        <v>#N/A</v>
      </c>
      <c r="J1639" s="24" t="s">
        <v>90</v>
      </c>
      <c r="K1639" s="129" t="s">
        <v>2125</v>
      </c>
      <c r="L1639" s="109"/>
      <c r="M1639" s="26" t="s">
        <v>2083</v>
      </c>
      <c r="N1639" s="28">
        <v>44200</v>
      </c>
      <c r="O1639" s="109" t="s">
        <v>511</v>
      </c>
      <c r="P1639" s="131">
        <v>11864</v>
      </c>
      <c r="Q1639" s="131">
        <v>4</v>
      </c>
      <c r="R1639" s="120">
        <f t="shared" si="39"/>
        <v>47456</v>
      </c>
      <c r="S1639" s="117">
        <v>202303</v>
      </c>
      <c r="T1639" s="121" t="s">
        <v>2133</v>
      </c>
      <c r="U1639" s="132"/>
      <c r="V1639" s="133"/>
      <c r="W1639" s="133"/>
      <c r="X1639" s="118">
        <v>43709</v>
      </c>
      <c r="Y1639" s="118">
        <v>45900</v>
      </c>
    </row>
    <row r="1640" s="9" customFormat="1" customHeight="1" spans="1:25">
      <c r="A1640" s="129" t="s">
        <v>399</v>
      </c>
      <c r="B1640" s="98" t="s">
        <v>62</v>
      </c>
      <c r="C1640" s="98" t="s">
        <v>217</v>
      </c>
      <c r="D1640" s="98" t="s">
        <v>566</v>
      </c>
      <c r="E1640" s="130" t="s">
        <v>2079</v>
      </c>
      <c r="F1640" s="129" t="s">
        <v>2080</v>
      </c>
      <c r="G1640" s="109" t="s">
        <v>88</v>
      </c>
      <c r="H1640" s="100" t="s">
        <v>2081</v>
      </c>
      <c r="I1640" s="23" t="e">
        <f>VLOOKUP(H1640,'合同综合查询数据（3月返）'!$A:$A,1,FALSE)</f>
        <v>#N/A</v>
      </c>
      <c r="J1640" s="24" t="s">
        <v>90</v>
      </c>
      <c r="K1640" s="129" t="s">
        <v>2125</v>
      </c>
      <c r="L1640" s="109"/>
      <c r="M1640" s="26" t="s">
        <v>2083</v>
      </c>
      <c r="N1640" s="28">
        <v>44200</v>
      </c>
      <c r="O1640" s="109" t="s">
        <v>574</v>
      </c>
      <c r="P1640" s="131">
        <v>31637</v>
      </c>
      <c r="Q1640" s="131">
        <v>8</v>
      </c>
      <c r="R1640" s="120">
        <f t="shared" si="39"/>
        <v>253096</v>
      </c>
      <c r="S1640" s="117">
        <v>202303</v>
      </c>
      <c r="T1640" s="121" t="s">
        <v>2134</v>
      </c>
      <c r="U1640" s="132"/>
      <c r="V1640" s="133"/>
      <c r="W1640" s="133"/>
      <c r="X1640" s="118">
        <v>43709</v>
      </c>
      <c r="Y1640" s="118">
        <v>45900</v>
      </c>
    </row>
    <row r="1641" s="9" customFormat="1" customHeight="1" spans="1:25">
      <c r="A1641" s="129" t="s">
        <v>399</v>
      </c>
      <c r="B1641" s="98" t="s">
        <v>62</v>
      </c>
      <c r="C1641" s="98" t="s">
        <v>217</v>
      </c>
      <c r="D1641" s="98" t="s">
        <v>566</v>
      </c>
      <c r="E1641" s="130" t="s">
        <v>2079</v>
      </c>
      <c r="F1641" s="129" t="s">
        <v>2080</v>
      </c>
      <c r="G1641" s="109" t="s">
        <v>88</v>
      </c>
      <c r="H1641" s="100" t="s">
        <v>2081</v>
      </c>
      <c r="I1641" s="23" t="e">
        <f>VLOOKUP(H1641,'合同综合查询数据（3月返）'!$A:$A,1,FALSE)</f>
        <v>#N/A</v>
      </c>
      <c r="J1641" s="24" t="s">
        <v>90</v>
      </c>
      <c r="K1641" s="129" t="s">
        <v>2125</v>
      </c>
      <c r="L1641" s="109"/>
      <c r="M1641" s="26" t="s">
        <v>2083</v>
      </c>
      <c r="N1641" s="28">
        <v>44224</v>
      </c>
      <c r="O1641" s="109" t="s">
        <v>457</v>
      </c>
      <c r="P1641" s="131">
        <v>5800</v>
      </c>
      <c r="Q1641" s="131">
        <v>-3</v>
      </c>
      <c r="R1641" s="120">
        <f t="shared" si="39"/>
        <v>-17400</v>
      </c>
      <c r="S1641" s="117">
        <v>202303</v>
      </c>
      <c r="T1641" s="121" t="s">
        <v>2135</v>
      </c>
      <c r="U1641" s="132"/>
      <c r="V1641" s="133"/>
      <c r="W1641" s="133"/>
      <c r="X1641" s="118">
        <v>43709</v>
      </c>
      <c r="Y1641" s="118">
        <v>45900</v>
      </c>
    </row>
    <row r="1642" s="9" customFormat="1" customHeight="1" spans="1:25">
      <c r="A1642" s="129" t="s">
        <v>399</v>
      </c>
      <c r="B1642" s="98" t="s">
        <v>62</v>
      </c>
      <c r="C1642" s="98" t="s">
        <v>217</v>
      </c>
      <c r="D1642" s="98" t="s">
        <v>566</v>
      </c>
      <c r="E1642" s="130" t="s">
        <v>2079</v>
      </c>
      <c r="F1642" s="129" t="s">
        <v>2080</v>
      </c>
      <c r="G1642" s="109" t="s">
        <v>88</v>
      </c>
      <c r="H1642" s="100" t="s">
        <v>2081</v>
      </c>
      <c r="I1642" s="23" t="e">
        <f>VLOOKUP(H1642,'合同综合查询数据（3月返）'!$A:$A,1,FALSE)</f>
        <v>#N/A</v>
      </c>
      <c r="J1642" s="24" t="s">
        <v>90</v>
      </c>
      <c r="K1642" s="129" t="s">
        <v>2125</v>
      </c>
      <c r="L1642" s="109"/>
      <c r="M1642" s="26" t="s">
        <v>2083</v>
      </c>
      <c r="N1642" s="28">
        <v>44200</v>
      </c>
      <c r="O1642" s="109" t="s">
        <v>545</v>
      </c>
      <c r="P1642" s="131">
        <v>200</v>
      </c>
      <c r="Q1642" s="131">
        <v>10</v>
      </c>
      <c r="R1642" s="120">
        <f t="shared" si="39"/>
        <v>2000</v>
      </c>
      <c r="S1642" s="117">
        <v>202303</v>
      </c>
      <c r="T1642" s="121" t="s">
        <v>2136</v>
      </c>
      <c r="U1642" s="132"/>
      <c r="V1642" s="133"/>
      <c r="W1642" s="133"/>
      <c r="X1642" s="118">
        <v>43709</v>
      </c>
      <c r="Y1642" s="118">
        <v>45900</v>
      </c>
    </row>
    <row r="1643" s="9" customFormat="1" customHeight="1" spans="1:25">
      <c r="A1643" s="129" t="s">
        <v>399</v>
      </c>
      <c r="B1643" s="98" t="s">
        <v>62</v>
      </c>
      <c r="C1643" s="98" t="s">
        <v>217</v>
      </c>
      <c r="D1643" s="98" t="s">
        <v>566</v>
      </c>
      <c r="E1643" s="130" t="s">
        <v>2079</v>
      </c>
      <c r="F1643" s="129" t="s">
        <v>2080</v>
      </c>
      <c r="G1643" s="109" t="s">
        <v>88</v>
      </c>
      <c r="H1643" s="100" t="s">
        <v>2081</v>
      </c>
      <c r="I1643" s="23" t="e">
        <f>VLOOKUP(H1643,'合同综合查询数据（3月返）'!$A:$A,1,FALSE)</f>
        <v>#N/A</v>
      </c>
      <c r="J1643" s="24" t="s">
        <v>90</v>
      </c>
      <c r="K1643" s="129" t="s">
        <v>2082</v>
      </c>
      <c r="L1643" s="109"/>
      <c r="M1643" s="26" t="s">
        <v>2083</v>
      </c>
      <c r="N1643" s="28">
        <v>44166</v>
      </c>
      <c r="O1643" s="109" t="s">
        <v>545</v>
      </c>
      <c r="P1643" s="131">
        <v>200</v>
      </c>
      <c r="Q1643" s="131">
        <v>2</v>
      </c>
      <c r="R1643" s="120">
        <f t="shared" si="39"/>
        <v>400</v>
      </c>
      <c r="S1643" s="117">
        <v>202303</v>
      </c>
      <c r="T1643" s="121" t="s">
        <v>2137</v>
      </c>
      <c r="U1643" s="132"/>
      <c r="V1643" s="133"/>
      <c r="W1643" s="133"/>
      <c r="X1643" s="118">
        <v>43709</v>
      </c>
      <c r="Y1643" s="118">
        <v>45900</v>
      </c>
    </row>
    <row r="1644" s="9" customFormat="1" customHeight="1" spans="1:25">
      <c r="A1644" s="129" t="s">
        <v>399</v>
      </c>
      <c r="B1644" s="98" t="s">
        <v>62</v>
      </c>
      <c r="C1644" s="98" t="s">
        <v>217</v>
      </c>
      <c r="D1644" s="98" t="s">
        <v>566</v>
      </c>
      <c r="E1644" s="130" t="s">
        <v>2079</v>
      </c>
      <c r="F1644" s="129" t="s">
        <v>2080</v>
      </c>
      <c r="G1644" s="109" t="s">
        <v>88</v>
      </c>
      <c r="H1644" s="100" t="s">
        <v>2081</v>
      </c>
      <c r="I1644" s="23" t="e">
        <f>VLOOKUP(H1644,'合同综合查询数据（3月返）'!$A:$A,1,FALSE)</f>
        <v>#N/A</v>
      </c>
      <c r="J1644" s="24" t="s">
        <v>90</v>
      </c>
      <c r="K1644" s="129" t="s">
        <v>2125</v>
      </c>
      <c r="L1644" s="109"/>
      <c r="M1644" s="26" t="s">
        <v>2083</v>
      </c>
      <c r="N1644" s="28">
        <v>44286</v>
      </c>
      <c r="O1644" s="109" t="s">
        <v>457</v>
      </c>
      <c r="P1644" s="131">
        <v>5800</v>
      </c>
      <c r="Q1644" s="131">
        <v>2</v>
      </c>
      <c r="R1644" s="120">
        <f t="shared" si="39"/>
        <v>11600</v>
      </c>
      <c r="S1644" s="117">
        <v>202303</v>
      </c>
      <c r="T1644" s="121" t="s">
        <v>2138</v>
      </c>
      <c r="U1644" s="132"/>
      <c r="V1644" s="133"/>
      <c r="W1644" s="133"/>
      <c r="X1644" s="118">
        <v>43709</v>
      </c>
      <c r="Y1644" s="118">
        <v>45900</v>
      </c>
    </row>
    <row r="1645" s="9" customFormat="1" customHeight="1" spans="1:25">
      <c r="A1645" s="129" t="s">
        <v>399</v>
      </c>
      <c r="B1645" s="98" t="s">
        <v>62</v>
      </c>
      <c r="C1645" s="98" t="s">
        <v>217</v>
      </c>
      <c r="D1645" s="98" t="s">
        <v>566</v>
      </c>
      <c r="E1645" s="130" t="s">
        <v>2079</v>
      </c>
      <c r="F1645" s="129" t="s">
        <v>2080</v>
      </c>
      <c r="G1645" s="109" t="s">
        <v>88</v>
      </c>
      <c r="H1645" s="100" t="s">
        <v>2081</v>
      </c>
      <c r="I1645" s="23" t="e">
        <f>VLOOKUP(H1645,'合同综合查询数据（3月返）'!$A:$A,1,FALSE)</f>
        <v>#N/A</v>
      </c>
      <c r="J1645" s="24" t="s">
        <v>90</v>
      </c>
      <c r="K1645" s="129" t="s">
        <v>2125</v>
      </c>
      <c r="L1645" s="109"/>
      <c r="M1645" s="26" t="s">
        <v>2083</v>
      </c>
      <c r="N1645" s="28">
        <v>44302</v>
      </c>
      <c r="O1645" s="109" t="s">
        <v>457</v>
      </c>
      <c r="P1645" s="131">
        <v>5800</v>
      </c>
      <c r="Q1645" s="131">
        <v>39</v>
      </c>
      <c r="R1645" s="120">
        <f t="shared" si="39"/>
        <v>226200</v>
      </c>
      <c r="S1645" s="117">
        <v>202303</v>
      </c>
      <c r="T1645" s="121" t="s">
        <v>2139</v>
      </c>
      <c r="U1645" s="132"/>
      <c r="V1645" s="133"/>
      <c r="W1645" s="133"/>
      <c r="X1645" s="118">
        <v>43709</v>
      </c>
      <c r="Y1645" s="118">
        <v>45900</v>
      </c>
    </row>
    <row r="1646" s="9" customFormat="1" customHeight="1" spans="1:25">
      <c r="A1646" s="129" t="s">
        <v>399</v>
      </c>
      <c r="B1646" s="98" t="s">
        <v>62</v>
      </c>
      <c r="C1646" s="98" t="s">
        <v>217</v>
      </c>
      <c r="D1646" s="98" t="s">
        <v>566</v>
      </c>
      <c r="E1646" s="130" t="s">
        <v>2079</v>
      </c>
      <c r="F1646" s="129" t="s">
        <v>2080</v>
      </c>
      <c r="G1646" s="109" t="s">
        <v>88</v>
      </c>
      <c r="H1646" s="100" t="s">
        <v>2081</v>
      </c>
      <c r="I1646" s="23" t="e">
        <f>VLOOKUP(H1646,'合同综合查询数据（3月返）'!$A:$A,1,FALSE)</f>
        <v>#N/A</v>
      </c>
      <c r="J1646" s="24" t="s">
        <v>90</v>
      </c>
      <c r="K1646" s="129" t="s">
        <v>2125</v>
      </c>
      <c r="L1646" s="109"/>
      <c r="M1646" s="26" t="s">
        <v>2083</v>
      </c>
      <c r="N1646" s="28">
        <v>44303</v>
      </c>
      <c r="O1646" s="109" t="s">
        <v>457</v>
      </c>
      <c r="P1646" s="131">
        <v>5800</v>
      </c>
      <c r="Q1646" s="131">
        <v>1</v>
      </c>
      <c r="R1646" s="120">
        <f t="shared" si="39"/>
        <v>5800</v>
      </c>
      <c r="S1646" s="117">
        <v>202303</v>
      </c>
      <c r="T1646" s="121" t="s">
        <v>2140</v>
      </c>
      <c r="U1646" s="132"/>
      <c r="V1646" s="133"/>
      <c r="W1646" s="133"/>
      <c r="X1646" s="118">
        <v>43709</v>
      </c>
      <c r="Y1646" s="118">
        <v>45900</v>
      </c>
    </row>
    <row r="1647" s="9" customFormat="1" customHeight="1" spans="1:25">
      <c r="A1647" s="129" t="s">
        <v>399</v>
      </c>
      <c r="B1647" s="98" t="s">
        <v>62</v>
      </c>
      <c r="C1647" s="98" t="s">
        <v>217</v>
      </c>
      <c r="D1647" s="98" t="s">
        <v>566</v>
      </c>
      <c r="E1647" s="130" t="s">
        <v>2079</v>
      </c>
      <c r="F1647" s="129" t="s">
        <v>2080</v>
      </c>
      <c r="G1647" s="109" t="s">
        <v>88</v>
      </c>
      <c r="H1647" s="100" t="s">
        <v>2081</v>
      </c>
      <c r="I1647" s="23" t="e">
        <f>VLOOKUP(H1647,'合同综合查询数据（3月返）'!$A:$A,1,FALSE)</f>
        <v>#N/A</v>
      </c>
      <c r="J1647" s="24" t="s">
        <v>90</v>
      </c>
      <c r="K1647" s="129" t="s">
        <v>2125</v>
      </c>
      <c r="L1647" s="109"/>
      <c r="M1647" s="26" t="s">
        <v>2083</v>
      </c>
      <c r="N1647" s="28">
        <v>44306</v>
      </c>
      <c r="O1647" s="109" t="s">
        <v>457</v>
      </c>
      <c r="P1647" s="131">
        <v>5800</v>
      </c>
      <c r="Q1647" s="131">
        <v>16</v>
      </c>
      <c r="R1647" s="120">
        <f t="shared" si="39"/>
        <v>92800</v>
      </c>
      <c r="S1647" s="117">
        <v>202303</v>
      </c>
      <c r="T1647" s="121" t="s">
        <v>2141</v>
      </c>
      <c r="U1647" s="132"/>
      <c r="V1647" s="133"/>
      <c r="W1647" s="133"/>
      <c r="X1647" s="118">
        <v>43709</v>
      </c>
      <c r="Y1647" s="118">
        <v>45900</v>
      </c>
    </row>
    <row r="1648" s="9" customFormat="1" customHeight="1" spans="1:25">
      <c r="A1648" s="129" t="s">
        <v>399</v>
      </c>
      <c r="B1648" s="98" t="s">
        <v>62</v>
      </c>
      <c r="C1648" s="98" t="s">
        <v>217</v>
      </c>
      <c r="D1648" s="98" t="s">
        <v>566</v>
      </c>
      <c r="E1648" s="130" t="s">
        <v>2079</v>
      </c>
      <c r="F1648" s="129" t="s">
        <v>2080</v>
      </c>
      <c r="G1648" s="109" t="s">
        <v>88</v>
      </c>
      <c r="H1648" s="100" t="s">
        <v>2081</v>
      </c>
      <c r="I1648" s="23" t="e">
        <f>VLOOKUP(H1648,'合同综合查询数据（3月返）'!$A:$A,1,FALSE)</f>
        <v>#N/A</v>
      </c>
      <c r="J1648" s="24" t="s">
        <v>90</v>
      </c>
      <c r="K1648" s="129" t="s">
        <v>2125</v>
      </c>
      <c r="L1648" s="109"/>
      <c r="M1648" s="26" t="s">
        <v>2083</v>
      </c>
      <c r="N1648" s="28">
        <v>44307</v>
      </c>
      <c r="O1648" s="109" t="s">
        <v>457</v>
      </c>
      <c r="P1648" s="131">
        <v>5800</v>
      </c>
      <c r="Q1648" s="131">
        <v>99</v>
      </c>
      <c r="R1648" s="120">
        <f t="shared" si="39"/>
        <v>574200</v>
      </c>
      <c r="S1648" s="117">
        <v>202303</v>
      </c>
      <c r="T1648" s="121" t="s">
        <v>2142</v>
      </c>
      <c r="U1648" s="132"/>
      <c r="V1648" s="133"/>
      <c r="W1648" s="133"/>
      <c r="X1648" s="118">
        <v>43709</v>
      </c>
      <c r="Y1648" s="118">
        <v>45900</v>
      </c>
    </row>
    <row r="1649" s="9" customFormat="1" customHeight="1" spans="1:25">
      <c r="A1649" s="129" t="s">
        <v>399</v>
      </c>
      <c r="B1649" s="98" t="s">
        <v>62</v>
      </c>
      <c r="C1649" s="98" t="s">
        <v>217</v>
      </c>
      <c r="D1649" s="98" t="s">
        <v>566</v>
      </c>
      <c r="E1649" s="130" t="s">
        <v>2079</v>
      </c>
      <c r="F1649" s="129" t="s">
        <v>2080</v>
      </c>
      <c r="G1649" s="109" t="s">
        <v>88</v>
      </c>
      <c r="H1649" s="100" t="s">
        <v>2081</v>
      </c>
      <c r="I1649" s="23" t="e">
        <f>VLOOKUP(H1649,'合同综合查询数据（3月返）'!$A:$A,1,FALSE)</f>
        <v>#N/A</v>
      </c>
      <c r="J1649" s="24" t="s">
        <v>90</v>
      </c>
      <c r="K1649" s="129" t="s">
        <v>2125</v>
      </c>
      <c r="L1649" s="109"/>
      <c r="M1649" s="26" t="s">
        <v>2083</v>
      </c>
      <c r="N1649" s="28">
        <v>44310</v>
      </c>
      <c r="O1649" s="109" t="s">
        <v>457</v>
      </c>
      <c r="P1649" s="131">
        <v>5800</v>
      </c>
      <c r="Q1649" s="131">
        <v>16</v>
      </c>
      <c r="R1649" s="120">
        <f t="shared" si="39"/>
        <v>92800</v>
      </c>
      <c r="S1649" s="117">
        <v>202303</v>
      </c>
      <c r="T1649" s="121" t="s">
        <v>2143</v>
      </c>
      <c r="U1649" s="132"/>
      <c r="V1649" s="133"/>
      <c r="W1649" s="133"/>
      <c r="X1649" s="118">
        <v>43709</v>
      </c>
      <c r="Y1649" s="118">
        <v>45900</v>
      </c>
    </row>
    <row r="1650" s="9" customFormat="1" customHeight="1" spans="1:25">
      <c r="A1650" s="129" t="s">
        <v>399</v>
      </c>
      <c r="B1650" s="98" t="s">
        <v>62</v>
      </c>
      <c r="C1650" s="98" t="s">
        <v>217</v>
      </c>
      <c r="D1650" s="98" t="s">
        <v>566</v>
      </c>
      <c r="E1650" s="130" t="s">
        <v>2079</v>
      </c>
      <c r="F1650" s="129" t="s">
        <v>2080</v>
      </c>
      <c r="G1650" s="109" t="s">
        <v>88</v>
      </c>
      <c r="H1650" s="100" t="s">
        <v>2081</v>
      </c>
      <c r="I1650" s="23" t="e">
        <f>VLOOKUP(H1650,'合同综合查询数据（3月返）'!$A:$A,1,FALSE)</f>
        <v>#N/A</v>
      </c>
      <c r="J1650" s="24" t="s">
        <v>90</v>
      </c>
      <c r="K1650" s="129" t="s">
        <v>2125</v>
      </c>
      <c r="L1650" s="109"/>
      <c r="M1650" s="26" t="s">
        <v>2083</v>
      </c>
      <c r="N1650" s="28">
        <v>44314</v>
      </c>
      <c r="O1650" s="109" t="s">
        <v>457</v>
      </c>
      <c r="P1650" s="131">
        <v>5800</v>
      </c>
      <c r="Q1650" s="131">
        <v>9</v>
      </c>
      <c r="R1650" s="120">
        <f t="shared" si="39"/>
        <v>52200</v>
      </c>
      <c r="S1650" s="117">
        <v>202303</v>
      </c>
      <c r="T1650" s="121" t="s">
        <v>2144</v>
      </c>
      <c r="U1650" s="132"/>
      <c r="V1650" s="133"/>
      <c r="W1650" s="133"/>
      <c r="X1650" s="118">
        <v>43709</v>
      </c>
      <c r="Y1650" s="118">
        <v>45900</v>
      </c>
    </row>
    <row r="1651" s="9" customFormat="1" customHeight="1" spans="1:25">
      <c r="A1651" s="129" t="s">
        <v>399</v>
      </c>
      <c r="B1651" s="98" t="s">
        <v>62</v>
      </c>
      <c r="C1651" s="98" t="s">
        <v>217</v>
      </c>
      <c r="D1651" s="98" t="s">
        <v>566</v>
      </c>
      <c r="E1651" s="130" t="s">
        <v>2079</v>
      </c>
      <c r="F1651" s="129" t="s">
        <v>2080</v>
      </c>
      <c r="G1651" s="109" t="s">
        <v>88</v>
      </c>
      <c r="H1651" s="100" t="s">
        <v>2081</v>
      </c>
      <c r="I1651" s="23" t="e">
        <f>VLOOKUP(H1651,'合同综合查询数据（3月返）'!$A:$A,1,FALSE)</f>
        <v>#N/A</v>
      </c>
      <c r="J1651" s="24" t="s">
        <v>90</v>
      </c>
      <c r="K1651" s="129" t="s">
        <v>2082</v>
      </c>
      <c r="L1651" s="109"/>
      <c r="M1651" s="26" t="s">
        <v>2106</v>
      </c>
      <c r="N1651" s="28">
        <v>44334</v>
      </c>
      <c r="O1651" s="109" t="s">
        <v>457</v>
      </c>
      <c r="P1651" s="131">
        <v>5800</v>
      </c>
      <c r="Q1651" s="131">
        <v>1</v>
      </c>
      <c r="R1651" s="120">
        <f t="shared" si="39"/>
        <v>5800</v>
      </c>
      <c r="S1651" s="117">
        <v>202303</v>
      </c>
      <c r="T1651" s="121" t="s">
        <v>2145</v>
      </c>
      <c r="U1651" s="132"/>
      <c r="V1651" s="133"/>
      <c r="W1651" s="133"/>
      <c r="X1651" s="118">
        <v>43709</v>
      </c>
      <c r="Y1651" s="118">
        <v>45900</v>
      </c>
    </row>
    <row r="1652" s="9" customFormat="1" customHeight="1" spans="1:25">
      <c r="A1652" s="129" t="s">
        <v>399</v>
      </c>
      <c r="B1652" s="98" t="s">
        <v>62</v>
      </c>
      <c r="C1652" s="98" t="s">
        <v>217</v>
      </c>
      <c r="D1652" s="98" t="s">
        <v>566</v>
      </c>
      <c r="E1652" s="130" t="s">
        <v>2079</v>
      </c>
      <c r="F1652" s="129" t="s">
        <v>2080</v>
      </c>
      <c r="G1652" s="109" t="s">
        <v>88</v>
      </c>
      <c r="H1652" s="100" t="s">
        <v>2081</v>
      </c>
      <c r="I1652" s="23" t="e">
        <f>VLOOKUP(H1652,'合同综合查询数据（3月返）'!$A:$A,1,FALSE)</f>
        <v>#N/A</v>
      </c>
      <c r="J1652" s="24" t="s">
        <v>90</v>
      </c>
      <c r="K1652" s="129" t="s">
        <v>2125</v>
      </c>
      <c r="L1652" s="109"/>
      <c r="M1652" s="26" t="s">
        <v>2106</v>
      </c>
      <c r="N1652" s="28">
        <v>44334</v>
      </c>
      <c r="O1652" s="109" t="s">
        <v>457</v>
      </c>
      <c r="P1652" s="131">
        <v>5800</v>
      </c>
      <c r="Q1652" s="131">
        <v>2</v>
      </c>
      <c r="R1652" s="120">
        <f t="shared" si="39"/>
        <v>11600</v>
      </c>
      <c r="S1652" s="117">
        <v>202303</v>
      </c>
      <c r="T1652" s="121" t="s">
        <v>2146</v>
      </c>
      <c r="U1652" s="132"/>
      <c r="V1652" s="133"/>
      <c r="W1652" s="133"/>
      <c r="X1652" s="118">
        <v>43709</v>
      </c>
      <c r="Y1652" s="118">
        <v>45900</v>
      </c>
    </row>
    <row r="1653" s="9" customFormat="1" customHeight="1" spans="1:25">
      <c r="A1653" s="129" t="s">
        <v>399</v>
      </c>
      <c r="B1653" s="98" t="s">
        <v>62</v>
      </c>
      <c r="C1653" s="98" t="s">
        <v>217</v>
      </c>
      <c r="D1653" s="98" t="s">
        <v>566</v>
      </c>
      <c r="E1653" s="130" t="s">
        <v>2079</v>
      </c>
      <c r="F1653" s="129" t="s">
        <v>2080</v>
      </c>
      <c r="G1653" s="109" t="s">
        <v>88</v>
      </c>
      <c r="H1653" s="100" t="s">
        <v>2081</v>
      </c>
      <c r="I1653" s="23" t="e">
        <f>VLOOKUP(H1653,'合同综合查询数据（3月返）'!$A:$A,1,FALSE)</f>
        <v>#N/A</v>
      </c>
      <c r="J1653" s="24" t="s">
        <v>90</v>
      </c>
      <c r="K1653" s="129" t="s">
        <v>2125</v>
      </c>
      <c r="L1653" s="109"/>
      <c r="M1653" s="26" t="s">
        <v>2083</v>
      </c>
      <c r="N1653" s="28">
        <v>44331</v>
      </c>
      <c r="O1653" s="109" t="s">
        <v>457</v>
      </c>
      <c r="P1653" s="131">
        <v>5800</v>
      </c>
      <c r="Q1653" s="131">
        <v>2</v>
      </c>
      <c r="R1653" s="120">
        <f t="shared" si="39"/>
        <v>11600</v>
      </c>
      <c r="S1653" s="117">
        <v>202303</v>
      </c>
      <c r="T1653" s="121" t="s">
        <v>2147</v>
      </c>
      <c r="U1653" s="132"/>
      <c r="V1653" s="133"/>
      <c r="W1653" s="133"/>
      <c r="X1653" s="118">
        <v>43709</v>
      </c>
      <c r="Y1653" s="118">
        <v>45900</v>
      </c>
    </row>
    <row r="1654" s="9" customFormat="1" customHeight="1" spans="1:25">
      <c r="A1654" s="129" t="s">
        <v>399</v>
      </c>
      <c r="B1654" s="98" t="s">
        <v>62</v>
      </c>
      <c r="C1654" s="98" t="s">
        <v>217</v>
      </c>
      <c r="D1654" s="98" t="s">
        <v>566</v>
      </c>
      <c r="E1654" s="130" t="s">
        <v>2079</v>
      </c>
      <c r="F1654" s="129" t="s">
        <v>2080</v>
      </c>
      <c r="G1654" s="109" t="s">
        <v>88</v>
      </c>
      <c r="H1654" s="100" t="s">
        <v>2081</v>
      </c>
      <c r="I1654" s="23" t="e">
        <f>VLOOKUP(H1654,'合同综合查询数据（3月返）'!$A:$A,1,FALSE)</f>
        <v>#N/A</v>
      </c>
      <c r="J1654" s="24" t="s">
        <v>90</v>
      </c>
      <c r="K1654" s="129" t="s">
        <v>2125</v>
      </c>
      <c r="L1654" s="109"/>
      <c r="M1654" s="26" t="s">
        <v>2083</v>
      </c>
      <c r="N1654" s="28">
        <v>44332</v>
      </c>
      <c r="O1654" s="109" t="s">
        <v>457</v>
      </c>
      <c r="P1654" s="131">
        <v>5800</v>
      </c>
      <c r="Q1654" s="131">
        <v>1</v>
      </c>
      <c r="R1654" s="120">
        <f t="shared" si="39"/>
        <v>5800</v>
      </c>
      <c r="S1654" s="117">
        <v>202303</v>
      </c>
      <c r="T1654" s="121" t="s">
        <v>2148</v>
      </c>
      <c r="U1654" s="132"/>
      <c r="V1654" s="133"/>
      <c r="W1654" s="133"/>
      <c r="X1654" s="118">
        <v>43709</v>
      </c>
      <c r="Y1654" s="118">
        <v>45900</v>
      </c>
    </row>
    <row r="1655" s="9" customFormat="1" customHeight="1" spans="1:25">
      <c r="A1655" s="129" t="s">
        <v>399</v>
      </c>
      <c r="B1655" s="98" t="s">
        <v>62</v>
      </c>
      <c r="C1655" s="98" t="s">
        <v>217</v>
      </c>
      <c r="D1655" s="98" t="s">
        <v>566</v>
      </c>
      <c r="E1655" s="130" t="s">
        <v>2079</v>
      </c>
      <c r="F1655" s="129" t="s">
        <v>2080</v>
      </c>
      <c r="G1655" s="109" t="s">
        <v>88</v>
      </c>
      <c r="H1655" s="100" t="s">
        <v>2081</v>
      </c>
      <c r="I1655" s="23" t="e">
        <f>VLOOKUP(H1655,'合同综合查询数据（3月返）'!$A:$A,1,FALSE)</f>
        <v>#N/A</v>
      </c>
      <c r="J1655" s="24" t="s">
        <v>90</v>
      </c>
      <c r="K1655" s="129" t="s">
        <v>2125</v>
      </c>
      <c r="L1655" s="109"/>
      <c r="M1655" s="26" t="s">
        <v>2083</v>
      </c>
      <c r="N1655" s="28">
        <v>44333</v>
      </c>
      <c r="O1655" s="109" t="s">
        <v>457</v>
      </c>
      <c r="P1655" s="131">
        <v>5800</v>
      </c>
      <c r="Q1655" s="131">
        <v>20</v>
      </c>
      <c r="R1655" s="120">
        <f t="shared" si="39"/>
        <v>116000</v>
      </c>
      <c r="S1655" s="117">
        <v>202303</v>
      </c>
      <c r="T1655" s="121" t="s">
        <v>2149</v>
      </c>
      <c r="U1655" s="132"/>
      <c r="V1655" s="133"/>
      <c r="W1655" s="133"/>
      <c r="X1655" s="118">
        <v>43709</v>
      </c>
      <c r="Y1655" s="118">
        <v>45900</v>
      </c>
    </row>
    <row r="1656" s="9" customFormat="1" customHeight="1" spans="1:25">
      <c r="A1656" s="129" t="s">
        <v>399</v>
      </c>
      <c r="B1656" s="98" t="s">
        <v>62</v>
      </c>
      <c r="C1656" s="98" t="s">
        <v>217</v>
      </c>
      <c r="D1656" s="98" t="s">
        <v>566</v>
      </c>
      <c r="E1656" s="130" t="s">
        <v>2079</v>
      </c>
      <c r="F1656" s="129" t="s">
        <v>2080</v>
      </c>
      <c r="G1656" s="109" t="s">
        <v>88</v>
      </c>
      <c r="H1656" s="100" t="s">
        <v>2081</v>
      </c>
      <c r="I1656" s="23" t="e">
        <f>VLOOKUP(H1656,'合同综合查询数据（3月返）'!$A:$A,1,FALSE)</f>
        <v>#N/A</v>
      </c>
      <c r="J1656" s="24" t="s">
        <v>90</v>
      </c>
      <c r="K1656" s="129" t="s">
        <v>2125</v>
      </c>
      <c r="L1656" s="109"/>
      <c r="M1656" s="26" t="s">
        <v>2083</v>
      </c>
      <c r="N1656" s="28">
        <v>44334</v>
      </c>
      <c r="O1656" s="109" t="s">
        <v>457</v>
      </c>
      <c r="P1656" s="131">
        <v>5800</v>
      </c>
      <c r="Q1656" s="131">
        <v>65</v>
      </c>
      <c r="R1656" s="120">
        <f t="shared" si="39"/>
        <v>377000</v>
      </c>
      <c r="S1656" s="117">
        <v>202303</v>
      </c>
      <c r="T1656" s="121" t="s">
        <v>2150</v>
      </c>
      <c r="U1656" s="132"/>
      <c r="V1656" s="133"/>
      <c r="W1656" s="133"/>
      <c r="X1656" s="118">
        <v>43709</v>
      </c>
      <c r="Y1656" s="118">
        <v>45900</v>
      </c>
    </row>
    <row r="1657" s="9" customFormat="1" customHeight="1" spans="1:25">
      <c r="A1657" s="129" t="s">
        <v>399</v>
      </c>
      <c r="B1657" s="98" t="s">
        <v>62</v>
      </c>
      <c r="C1657" s="98" t="s">
        <v>217</v>
      </c>
      <c r="D1657" s="98" t="s">
        <v>566</v>
      </c>
      <c r="E1657" s="130" t="s">
        <v>2079</v>
      </c>
      <c r="F1657" s="129" t="s">
        <v>2080</v>
      </c>
      <c r="G1657" s="109" t="s">
        <v>88</v>
      </c>
      <c r="H1657" s="100" t="s">
        <v>2081</v>
      </c>
      <c r="I1657" s="23" t="e">
        <f>VLOOKUP(H1657,'合同综合查询数据（3月返）'!$A:$A,1,FALSE)</f>
        <v>#N/A</v>
      </c>
      <c r="J1657" s="24" t="s">
        <v>90</v>
      </c>
      <c r="K1657" s="129" t="s">
        <v>2125</v>
      </c>
      <c r="L1657" s="109"/>
      <c r="M1657" s="26" t="s">
        <v>2083</v>
      </c>
      <c r="N1657" s="28">
        <v>44335</v>
      </c>
      <c r="O1657" s="109" t="s">
        <v>457</v>
      </c>
      <c r="P1657" s="131">
        <v>5800</v>
      </c>
      <c r="Q1657" s="131">
        <v>60</v>
      </c>
      <c r="R1657" s="120">
        <f t="shared" si="39"/>
        <v>348000</v>
      </c>
      <c r="S1657" s="117">
        <v>202303</v>
      </c>
      <c r="T1657" s="121" t="s">
        <v>2151</v>
      </c>
      <c r="U1657" s="132"/>
      <c r="V1657" s="133"/>
      <c r="W1657" s="133"/>
      <c r="X1657" s="118">
        <v>43709</v>
      </c>
      <c r="Y1657" s="118">
        <v>45900</v>
      </c>
    </row>
    <row r="1658" s="9" customFormat="1" customHeight="1" spans="1:25">
      <c r="A1658" s="129" t="s">
        <v>399</v>
      </c>
      <c r="B1658" s="98" t="s">
        <v>62</v>
      </c>
      <c r="C1658" s="98" t="s">
        <v>217</v>
      </c>
      <c r="D1658" s="98" t="s">
        <v>566</v>
      </c>
      <c r="E1658" s="130" t="s">
        <v>2079</v>
      </c>
      <c r="F1658" s="129" t="s">
        <v>2080</v>
      </c>
      <c r="G1658" s="109" t="s">
        <v>88</v>
      </c>
      <c r="H1658" s="100" t="s">
        <v>2081</v>
      </c>
      <c r="I1658" s="23" t="e">
        <f>VLOOKUP(H1658,'合同综合查询数据（3月返）'!$A:$A,1,FALSE)</f>
        <v>#N/A</v>
      </c>
      <c r="J1658" s="24" t="s">
        <v>90</v>
      </c>
      <c r="K1658" s="129" t="s">
        <v>2125</v>
      </c>
      <c r="L1658" s="109"/>
      <c r="M1658" s="26" t="s">
        <v>2083</v>
      </c>
      <c r="N1658" s="28">
        <v>44337</v>
      </c>
      <c r="O1658" s="109" t="s">
        <v>457</v>
      </c>
      <c r="P1658" s="131">
        <v>5800</v>
      </c>
      <c r="Q1658" s="131">
        <v>19</v>
      </c>
      <c r="R1658" s="120">
        <f t="shared" ref="R1658:R1666" si="40">ROUND(P1658*Q1658,2)</f>
        <v>110200</v>
      </c>
      <c r="S1658" s="117">
        <v>202303</v>
      </c>
      <c r="T1658" s="121" t="s">
        <v>2152</v>
      </c>
      <c r="U1658" s="132"/>
      <c r="V1658" s="133"/>
      <c r="W1658" s="133"/>
      <c r="X1658" s="118">
        <v>43709</v>
      </c>
      <c r="Y1658" s="118">
        <v>45900</v>
      </c>
    </row>
    <row r="1659" s="9" customFormat="1" customHeight="1" spans="1:25">
      <c r="A1659" s="129" t="s">
        <v>399</v>
      </c>
      <c r="B1659" s="98" t="s">
        <v>62</v>
      </c>
      <c r="C1659" s="98" t="s">
        <v>217</v>
      </c>
      <c r="D1659" s="98" t="s">
        <v>566</v>
      </c>
      <c r="E1659" s="130" t="s">
        <v>2079</v>
      </c>
      <c r="F1659" s="129" t="s">
        <v>2080</v>
      </c>
      <c r="G1659" s="109" t="s">
        <v>88</v>
      </c>
      <c r="H1659" s="100" t="s">
        <v>2081</v>
      </c>
      <c r="I1659" s="23" t="e">
        <f>VLOOKUP(H1659,'合同综合查询数据（3月返）'!$A:$A,1,FALSE)</f>
        <v>#N/A</v>
      </c>
      <c r="J1659" s="24" t="s">
        <v>90</v>
      </c>
      <c r="K1659" s="129" t="s">
        <v>2125</v>
      </c>
      <c r="L1659" s="109"/>
      <c r="M1659" s="26" t="s">
        <v>2083</v>
      </c>
      <c r="N1659" s="28">
        <v>44870</v>
      </c>
      <c r="O1659" s="109" t="s">
        <v>457</v>
      </c>
      <c r="P1659" s="131">
        <v>5800</v>
      </c>
      <c r="Q1659" s="131">
        <v>-9</v>
      </c>
      <c r="R1659" s="120">
        <f t="shared" si="40"/>
        <v>-52200</v>
      </c>
      <c r="S1659" s="117">
        <v>202303</v>
      </c>
      <c r="T1659" s="121" t="s">
        <v>2153</v>
      </c>
      <c r="U1659" s="132"/>
      <c r="V1659" s="133"/>
      <c r="W1659" s="133"/>
      <c r="X1659" s="118">
        <v>43709</v>
      </c>
      <c r="Y1659" s="118">
        <v>45900</v>
      </c>
    </row>
    <row r="1660" s="9" customFormat="1" customHeight="1" spans="1:25">
      <c r="A1660" s="129" t="s">
        <v>399</v>
      </c>
      <c r="B1660" s="98" t="s">
        <v>62</v>
      </c>
      <c r="C1660" s="98" t="s">
        <v>217</v>
      </c>
      <c r="D1660" s="98" t="s">
        <v>566</v>
      </c>
      <c r="E1660" s="130" t="s">
        <v>2079</v>
      </c>
      <c r="F1660" s="129" t="s">
        <v>2080</v>
      </c>
      <c r="G1660" s="109" t="s">
        <v>88</v>
      </c>
      <c r="H1660" s="100" t="s">
        <v>2081</v>
      </c>
      <c r="I1660" s="23" t="e">
        <f>VLOOKUP(H1660,'合同综合查询数据（3月返）'!$A:$A,1,FALSE)</f>
        <v>#N/A</v>
      </c>
      <c r="J1660" s="24" t="s">
        <v>90</v>
      </c>
      <c r="K1660" s="129" t="s">
        <v>2082</v>
      </c>
      <c r="L1660" s="109"/>
      <c r="M1660" s="26" t="s">
        <v>2083</v>
      </c>
      <c r="N1660" s="28">
        <v>44972</v>
      </c>
      <c r="O1660" s="109" t="s">
        <v>545</v>
      </c>
      <c r="P1660" s="131">
        <v>200</v>
      </c>
      <c r="Q1660" s="131">
        <v>-2</v>
      </c>
      <c r="R1660" s="120">
        <f t="shared" si="40"/>
        <v>-400</v>
      </c>
      <c r="S1660" s="117">
        <v>202303</v>
      </c>
      <c r="T1660" s="121" t="s">
        <v>2154</v>
      </c>
      <c r="U1660" s="132"/>
      <c r="V1660" s="133"/>
      <c r="W1660" s="133"/>
      <c r="X1660" s="118">
        <v>43709</v>
      </c>
      <c r="Y1660" s="118">
        <v>45900</v>
      </c>
    </row>
    <row r="1661" s="10" customFormat="1" customHeight="1" spans="1:25">
      <c r="A1661" s="135" t="s">
        <v>399</v>
      </c>
      <c r="B1661" s="61" t="s">
        <v>62</v>
      </c>
      <c r="C1661" s="61" t="s">
        <v>217</v>
      </c>
      <c r="D1661" s="61" t="s">
        <v>566</v>
      </c>
      <c r="E1661" s="136" t="s">
        <v>2079</v>
      </c>
      <c r="F1661" s="135" t="s">
        <v>2080</v>
      </c>
      <c r="G1661" s="138" t="s">
        <v>88</v>
      </c>
      <c r="H1661" s="137" t="s">
        <v>2155</v>
      </c>
      <c r="I1661" s="47" t="e">
        <f>VLOOKUP(H1661,'合同综合查询数据（3月返）'!$A:$A,1,FALSE)</f>
        <v>#N/A</v>
      </c>
      <c r="J1661" s="48" t="s">
        <v>90</v>
      </c>
      <c r="K1661" s="135" t="s">
        <v>2082</v>
      </c>
      <c r="L1661" s="138"/>
      <c r="M1661" s="50" t="s">
        <v>2083</v>
      </c>
      <c r="N1661" s="51">
        <v>44973</v>
      </c>
      <c r="O1661" s="138" t="s">
        <v>519</v>
      </c>
      <c r="P1661" s="140">
        <f>5800/20*62.5</f>
        <v>18125</v>
      </c>
      <c r="Q1661" s="140">
        <v>2</v>
      </c>
      <c r="R1661" s="68">
        <f t="shared" si="40"/>
        <v>36250</v>
      </c>
      <c r="S1661" s="70">
        <v>202303</v>
      </c>
      <c r="T1661" s="72" t="s">
        <v>2154</v>
      </c>
      <c r="U1661" s="142"/>
      <c r="V1661" s="143"/>
      <c r="W1661" s="143"/>
      <c r="X1661" s="73"/>
      <c r="Y1661" s="73"/>
    </row>
    <row r="1662" s="9" customFormat="1" customHeight="1" spans="1:25">
      <c r="A1662" s="129" t="s">
        <v>399</v>
      </c>
      <c r="B1662" s="98" t="s">
        <v>62</v>
      </c>
      <c r="C1662" s="98" t="s">
        <v>217</v>
      </c>
      <c r="D1662" s="98" t="s">
        <v>566</v>
      </c>
      <c r="E1662" s="130" t="s">
        <v>2079</v>
      </c>
      <c r="F1662" s="129" t="s">
        <v>2080</v>
      </c>
      <c r="G1662" s="109" t="s">
        <v>88</v>
      </c>
      <c r="H1662" s="100" t="s">
        <v>2081</v>
      </c>
      <c r="I1662" s="23" t="e">
        <f>VLOOKUP(H1662,'合同综合查询数据（3月返）'!$A:$A,1,FALSE)</f>
        <v>#N/A</v>
      </c>
      <c r="J1662" s="24" t="s">
        <v>90</v>
      </c>
      <c r="K1662" s="129" t="s">
        <v>2125</v>
      </c>
      <c r="L1662" s="109"/>
      <c r="M1662" s="26" t="s">
        <v>2083</v>
      </c>
      <c r="N1662" s="28">
        <v>44985</v>
      </c>
      <c r="O1662" s="109" t="s">
        <v>457</v>
      </c>
      <c r="P1662" s="131">
        <v>5800</v>
      </c>
      <c r="Q1662" s="131">
        <v>-9</v>
      </c>
      <c r="R1662" s="120">
        <f t="shared" si="40"/>
        <v>-52200</v>
      </c>
      <c r="S1662" s="117">
        <v>202303</v>
      </c>
      <c r="T1662" s="149" t="s">
        <v>2156</v>
      </c>
      <c r="U1662" s="132"/>
      <c r="V1662" s="133"/>
      <c r="W1662" s="133"/>
      <c r="X1662" s="118">
        <v>43709</v>
      </c>
      <c r="Y1662" s="118">
        <v>45900</v>
      </c>
    </row>
    <row r="1663" s="9" customFormat="1" customHeight="1" spans="1:25">
      <c r="A1663" s="129" t="s">
        <v>399</v>
      </c>
      <c r="B1663" s="98" t="s">
        <v>62</v>
      </c>
      <c r="C1663" s="98" t="s">
        <v>217</v>
      </c>
      <c r="D1663" s="98" t="s">
        <v>566</v>
      </c>
      <c r="E1663" s="130" t="s">
        <v>2079</v>
      </c>
      <c r="F1663" s="129" t="s">
        <v>2080</v>
      </c>
      <c r="G1663" s="109" t="s">
        <v>302</v>
      </c>
      <c r="H1663" s="100" t="s">
        <v>2157</v>
      </c>
      <c r="I1663" s="23" t="e">
        <f>VLOOKUP(H1663,'合同综合查询数据（3月返）'!$A:$A,1,FALSE)</f>
        <v>#N/A</v>
      </c>
      <c r="J1663" s="109" t="s">
        <v>302</v>
      </c>
      <c r="K1663" s="129" t="s">
        <v>2158</v>
      </c>
      <c r="L1663" s="109"/>
      <c r="M1663" s="26"/>
      <c r="N1663" s="28">
        <v>43984</v>
      </c>
      <c r="O1663" s="109" t="s">
        <v>1962</v>
      </c>
      <c r="P1663" s="131">
        <v>225000</v>
      </c>
      <c r="Q1663" s="120">
        <v>1</v>
      </c>
      <c r="R1663" s="120">
        <f t="shared" si="40"/>
        <v>225000</v>
      </c>
      <c r="S1663" s="117">
        <v>202303</v>
      </c>
      <c r="T1663" s="38" t="s">
        <v>2159</v>
      </c>
      <c r="U1663" s="132"/>
      <c r="V1663" s="133"/>
      <c r="W1663" s="133"/>
      <c r="X1663" s="118">
        <v>43709</v>
      </c>
      <c r="Y1663" s="118">
        <v>45900</v>
      </c>
    </row>
    <row r="1664" s="9" customFormat="1" customHeight="1" spans="1:25">
      <c r="A1664" s="129" t="s">
        <v>399</v>
      </c>
      <c r="B1664" s="98" t="s">
        <v>62</v>
      </c>
      <c r="C1664" s="98" t="s">
        <v>217</v>
      </c>
      <c r="D1664" s="98" t="s">
        <v>566</v>
      </c>
      <c r="E1664" s="130" t="s">
        <v>2079</v>
      </c>
      <c r="F1664" s="129" t="s">
        <v>2080</v>
      </c>
      <c r="G1664" s="109" t="s">
        <v>302</v>
      </c>
      <c r="H1664" s="100" t="s">
        <v>2157</v>
      </c>
      <c r="I1664" s="23" t="e">
        <f>VLOOKUP(H1664,'合同综合查询数据（3月返）'!$A:$A,1,FALSE)</f>
        <v>#N/A</v>
      </c>
      <c r="J1664" s="109" t="s">
        <v>302</v>
      </c>
      <c r="K1664" s="129" t="s">
        <v>2158</v>
      </c>
      <c r="L1664" s="109"/>
      <c r="M1664" s="26"/>
      <c r="N1664" s="28">
        <v>44985</v>
      </c>
      <c r="O1664" s="109" t="s">
        <v>1962</v>
      </c>
      <c r="P1664" s="131">
        <v>225000</v>
      </c>
      <c r="Q1664" s="120">
        <v>-1</v>
      </c>
      <c r="R1664" s="120">
        <f t="shared" si="40"/>
        <v>-225000</v>
      </c>
      <c r="S1664" s="117">
        <v>202303</v>
      </c>
      <c r="T1664" s="38" t="s">
        <v>2160</v>
      </c>
      <c r="U1664" s="134"/>
      <c r="V1664" s="133"/>
      <c r="W1664" s="133"/>
      <c r="X1664" s="118">
        <v>43709</v>
      </c>
      <c r="Y1664" s="118">
        <v>45900</v>
      </c>
    </row>
    <row r="1665" s="9" customFormat="1" customHeight="1" spans="1:25">
      <c r="A1665" s="129" t="s">
        <v>399</v>
      </c>
      <c r="B1665" s="98" t="s">
        <v>62</v>
      </c>
      <c r="C1665" s="98" t="s">
        <v>217</v>
      </c>
      <c r="D1665" s="98" t="s">
        <v>566</v>
      </c>
      <c r="E1665" s="130" t="s">
        <v>2079</v>
      </c>
      <c r="F1665" s="129" t="s">
        <v>2080</v>
      </c>
      <c r="G1665" s="99" t="s">
        <v>67</v>
      </c>
      <c r="H1665" s="100" t="s">
        <v>2157</v>
      </c>
      <c r="I1665" s="23" t="e">
        <f>VLOOKUP(H1665,'合同综合查询数据（3月返）'!$A:$A,1,FALSE)</f>
        <v>#N/A</v>
      </c>
      <c r="J1665" s="99" t="s">
        <v>69</v>
      </c>
      <c r="K1665" s="129" t="s">
        <v>2161</v>
      </c>
      <c r="L1665" s="109"/>
      <c r="M1665" s="26"/>
      <c r="N1665" s="28">
        <v>43746</v>
      </c>
      <c r="O1665" s="109" t="s">
        <v>1759</v>
      </c>
      <c r="P1665" s="131">
        <v>385</v>
      </c>
      <c r="Q1665" s="120">
        <v>231.34</v>
      </c>
      <c r="R1665" s="120">
        <f t="shared" si="40"/>
        <v>89065.9</v>
      </c>
      <c r="S1665" s="117">
        <v>202303</v>
      </c>
      <c r="T1665" s="121" t="s">
        <v>2162</v>
      </c>
      <c r="U1665" s="132"/>
      <c r="V1665" s="133"/>
      <c r="W1665" s="133"/>
      <c r="X1665" s="118">
        <v>43709</v>
      </c>
      <c r="Y1665" s="118">
        <v>45900</v>
      </c>
    </row>
    <row r="1666" s="9" customFormat="1" customHeight="1" spans="1:25">
      <c r="A1666" s="129" t="s">
        <v>399</v>
      </c>
      <c r="B1666" s="98" t="s">
        <v>62</v>
      </c>
      <c r="C1666" s="98" t="s">
        <v>217</v>
      </c>
      <c r="D1666" s="98" t="s">
        <v>566</v>
      </c>
      <c r="E1666" s="130" t="s">
        <v>2079</v>
      </c>
      <c r="F1666" s="129" t="s">
        <v>2080</v>
      </c>
      <c r="G1666" s="99" t="s">
        <v>67</v>
      </c>
      <c r="H1666" s="100" t="s">
        <v>2157</v>
      </c>
      <c r="I1666" s="23" t="e">
        <f>VLOOKUP(H1666,'合同综合查询数据（3月返）'!$A:$A,1,FALSE)</f>
        <v>#N/A</v>
      </c>
      <c r="J1666" s="99" t="s">
        <v>69</v>
      </c>
      <c r="K1666" s="129" t="s">
        <v>2163</v>
      </c>
      <c r="L1666" s="109"/>
      <c r="M1666" s="26"/>
      <c r="N1666" s="28">
        <v>43746</v>
      </c>
      <c r="O1666" s="109" t="s">
        <v>1759</v>
      </c>
      <c r="P1666" s="131">
        <v>385</v>
      </c>
      <c r="Q1666" s="120">
        <v>448.4</v>
      </c>
      <c r="R1666" s="120">
        <f t="shared" si="40"/>
        <v>172634</v>
      </c>
      <c r="S1666" s="117">
        <v>202303</v>
      </c>
      <c r="T1666" s="121" t="s">
        <v>2164</v>
      </c>
      <c r="U1666" s="132"/>
      <c r="V1666" s="133"/>
      <c r="W1666" s="133"/>
      <c r="X1666" s="118">
        <v>43709</v>
      </c>
      <c r="Y1666" s="118">
        <v>45900</v>
      </c>
    </row>
    <row r="1667" s="10" customFormat="1" customHeight="1" spans="1:25">
      <c r="A1667" s="62" t="s">
        <v>399</v>
      </c>
      <c r="B1667" s="61" t="s">
        <v>62</v>
      </c>
      <c r="C1667" s="60" t="s">
        <v>217</v>
      </c>
      <c r="D1667" s="60" t="s">
        <v>566</v>
      </c>
      <c r="E1667" s="47" t="s">
        <v>2079</v>
      </c>
      <c r="F1667" s="62" t="s">
        <v>2080</v>
      </c>
      <c r="G1667" s="138" t="s">
        <v>88</v>
      </c>
      <c r="H1667" s="45" t="s">
        <v>2165</v>
      </c>
      <c r="I1667" s="47" t="e">
        <f>VLOOKUP(H1667,'合同综合查询数据（3月返）'!$A:$A,1,FALSE)</f>
        <v>#N/A</v>
      </c>
      <c r="J1667" s="65" t="s">
        <v>126</v>
      </c>
      <c r="K1667" s="62" t="s">
        <v>2166</v>
      </c>
      <c r="L1667" s="113" t="s">
        <v>2080</v>
      </c>
      <c r="M1667" s="50" t="s">
        <v>2167</v>
      </c>
      <c r="N1667" s="51">
        <v>42309</v>
      </c>
      <c r="O1667" s="138" t="s">
        <v>127</v>
      </c>
      <c r="P1667" s="141">
        <v>5000</v>
      </c>
      <c r="Q1667" s="68">
        <v>8</v>
      </c>
      <c r="R1667" s="68">
        <f>Q1667*P1667</f>
        <v>40000</v>
      </c>
      <c r="S1667" s="70">
        <v>202303</v>
      </c>
      <c r="T1667" s="72" t="s">
        <v>2168</v>
      </c>
      <c r="U1667" s="72"/>
      <c r="V1667" s="146"/>
      <c r="W1667" s="146"/>
      <c r="X1667" s="73"/>
      <c r="Y1667" s="73"/>
    </row>
    <row r="1668" s="10" customFormat="1" customHeight="1" spans="1:25">
      <c r="A1668" s="62" t="s">
        <v>399</v>
      </c>
      <c r="B1668" s="61" t="s">
        <v>62</v>
      </c>
      <c r="C1668" s="60" t="s">
        <v>217</v>
      </c>
      <c r="D1668" s="60" t="s">
        <v>566</v>
      </c>
      <c r="E1668" s="47" t="s">
        <v>2079</v>
      </c>
      <c r="F1668" s="62" t="s">
        <v>2080</v>
      </c>
      <c r="G1668" s="138" t="s">
        <v>88</v>
      </c>
      <c r="H1668" s="45" t="s">
        <v>2165</v>
      </c>
      <c r="I1668" s="47" t="e">
        <f>VLOOKUP(H1668,'合同综合查询数据（3月返）'!$A:$A,1,FALSE)</f>
        <v>#N/A</v>
      </c>
      <c r="J1668" s="65" t="s">
        <v>126</v>
      </c>
      <c r="K1668" s="62" t="s">
        <v>2166</v>
      </c>
      <c r="L1668" s="113" t="s">
        <v>2080</v>
      </c>
      <c r="M1668" s="50" t="s">
        <v>2167</v>
      </c>
      <c r="N1668" s="51">
        <v>44712</v>
      </c>
      <c r="O1668" s="138" t="s">
        <v>127</v>
      </c>
      <c r="P1668" s="141">
        <v>5000</v>
      </c>
      <c r="Q1668" s="68">
        <v>-8</v>
      </c>
      <c r="R1668" s="68">
        <f>Q1668*P1668</f>
        <v>-40000</v>
      </c>
      <c r="S1668" s="70">
        <v>202303</v>
      </c>
      <c r="T1668" s="72" t="s">
        <v>2169</v>
      </c>
      <c r="U1668" s="72"/>
      <c r="V1668" s="146"/>
      <c r="W1668" s="146"/>
      <c r="X1668" s="73"/>
      <c r="Y1668" s="73"/>
    </row>
    <row r="1669" s="10" customFormat="1" customHeight="1" spans="1:25">
      <c r="A1669" s="62" t="s">
        <v>399</v>
      </c>
      <c r="B1669" s="61" t="s">
        <v>62</v>
      </c>
      <c r="C1669" s="60" t="s">
        <v>217</v>
      </c>
      <c r="D1669" s="60" t="s">
        <v>566</v>
      </c>
      <c r="E1669" s="47" t="s">
        <v>2079</v>
      </c>
      <c r="F1669" s="62" t="s">
        <v>2080</v>
      </c>
      <c r="G1669" s="138" t="s">
        <v>88</v>
      </c>
      <c r="H1669" s="45" t="s">
        <v>2165</v>
      </c>
      <c r="I1669" s="47" t="e">
        <f>VLOOKUP(H1669,'合同综合查询数据（3月返）'!$A:$A,1,FALSE)</f>
        <v>#N/A</v>
      </c>
      <c r="J1669" s="65" t="s">
        <v>1033</v>
      </c>
      <c r="K1669" s="62" t="s">
        <v>2166</v>
      </c>
      <c r="L1669" s="138" t="s">
        <v>2170</v>
      </c>
      <c r="M1669" s="50" t="s">
        <v>2171</v>
      </c>
      <c r="N1669" s="51">
        <v>42430</v>
      </c>
      <c r="O1669" s="138" t="s">
        <v>127</v>
      </c>
      <c r="P1669" s="141">
        <v>5000</v>
      </c>
      <c r="Q1669" s="68">
        <v>4</v>
      </c>
      <c r="R1669" s="68">
        <f>Q1669*P1669</f>
        <v>20000</v>
      </c>
      <c r="S1669" s="70">
        <v>202303</v>
      </c>
      <c r="T1669" s="72" t="s">
        <v>2172</v>
      </c>
      <c r="U1669" s="72"/>
      <c r="V1669" s="146"/>
      <c r="W1669" s="146"/>
      <c r="X1669" s="73"/>
      <c r="Y1669" s="73"/>
    </row>
    <row r="1670" s="10" customFormat="1" customHeight="1" spans="1:25">
      <c r="A1670" s="62" t="s">
        <v>399</v>
      </c>
      <c r="B1670" s="61" t="s">
        <v>62</v>
      </c>
      <c r="C1670" s="60" t="s">
        <v>217</v>
      </c>
      <c r="D1670" s="60" t="s">
        <v>566</v>
      </c>
      <c r="E1670" s="47" t="s">
        <v>2079</v>
      </c>
      <c r="F1670" s="62" t="s">
        <v>2080</v>
      </c>
      <c r="G1670" s="138" t="s">
        <v>88</v>
      </c>
      <c r="H1670" s="45" t="s">
        <v>2165</v>
      </c>
      <c r="I1670" s="47" t="e">
        <f>VLOOKUP(H1670,'合同综合查询数据（3月返）'!$A:$A,1,FALSE)</f>
        <v>#N/A</v>
      </c>
      <c r="J1670" s="65" t="s">
        <v>1033</v>
      </c>
      <c r="K1670" s="62" t="s">
        <v>2166</v>
      </c>
      <c r="L1670" s="138" t="s">
        <v>2170</v>
      </c>
      <c r="M1670" s="50" t="s">
        <v>2171</v>
      </c>
      <c r="N1670" s="51">
        <v>44644</v>
      </c>
      <c r="O1670" s="138" t="s">
        <v>127</v>
      </c>
      <c r="P1670" s="141">
        <v>5000</v>
      </c>
      <c r="Q1670" s="68">
        <v>-1</v>
      </c>
      <c r="R1670" s="68">
        <f>ROUND(P1670*Q1670,2)</f>
        <v>-5000</v>
      </c>
      <c r="S1670" s="70">
        <v>202303</v>
      </c>
      <c r="T1670" s="72" t="s">
        <v>2173</v>
      </c>
      <c r="U1670" s="72"/>
      <c r="V1670" s="146"/>
      <c r="W1670" s="146"/>
      <c r="X1670" s="73"/>
      <c r="Y1670" s="73"/>
    </row>
    <row r="1671" s="10" customFormat="1" customHeight="1" spans="1:25">
      <c r="A1671" s="60" t="s">
        <v>399</v>
      </c>
      <c r="B1671" s="61" t="s">
        <v>62</v>
      </c>
      <c r="C1671" s="62" t="s">
        <v>217</v>
      </c>
      <c r="D1671" s="60" t="s">
        <v>566</v>
      </c>
      <c r="E1671" s="63" t="s">
        <v>2079</v>
      </c>
      <c r="F1671" s="60" t="s">
        <v>2080</v>
      </c>
      <c r="G1671" s="60" t="s">
        <v>88</v>
      </c>
      <c r="H1671" s="45" t="s">
        <v>2165</v>
      </c>
      <c r="I1671" s="47" t="e">
        <f>VLOOKUP(H1671,'合同综合查询数据（3月返）'!$A:$A,1,FALSE)</f>
        <v>#N/A</v>
      </c>
      <c r="J1671" s="65" t="s">
        <v>126</v>
      </c>
      <c r="K1671" s="62" t="s">
        <v>2174</v>
      </c>
      <c r="L1671" s="66" t="s">
        <v>2175</v>
      </c>
      <c r="M1671" s="50" t="s">
        <v>2167</v>
      </c>
      <c r="N1671" s="51">
        <v>44013</v>
      </c>
      <c r="O1671" s="51" t="s">
        <v>127</v>
      </c>
      <c r="P1671" s="67">
        <v>5000</v>
      </c>
      <c r="Q1671" s="68">
        <v>3</v>
      </c>
      <c r="R1671" s="69">
        <f>ROUND(P1671*Q1671,2)</f>
        <v>15000</v>
      </c>
      <c r="S1671" s="70">
        <v>202303</v>
      </c>
      <c r="T1671" s="71" t="s">
        <v>2176</v>
      </c>
      <c r="U1671" s="72"/>
      <c r="V1671" s="58"/>
      <c r="W1671" s="58"/>
      <c r="X1671" s="73"/>
      <c r="Y1671" s="73"/>
    </row>
    <row r="1672" s="10" customFormat="1" customHeight="1" spans="1:25">
      <c r="A1672" s="60" t="s">
        <v>399</v>
      </c>
      <c r="B1672" s="61" t="s">
        <v>62</v>
      </c>
      <c r="C1672" s="62" t="s">
        <v>217</v>
      </c>
      <c r="D1672" s="60" t="s">
        <v>566</v>
      </c>
      <c r="E1672" s="63" t="s">
        <v>2079</v>
      </c>
      <c r="F1672" s="60" t="s">
        <v>2080</v>
      </c>
      <c r="G1672" s="60" t="s">
        <v>88</v>
      </c>
      <c r="H1672" s="45" t="s">
        <v>2165</v>
      </c>
      <c r="I1672" s="47" t="e">
        <f>VLOOKUP(H1672,'合同综合查询数据（3月返）'!$A:$A,1,FALSE)</f>
        <v>#N/A</v>
      </c>
      <c r="J1672" s="65" t="s">
        <v>126</v>
      </c>
      <c r="K1672" s="62" t="s">
        <v>2174</v>
      </c>
      <c r="L1672" s="66" t="s">
        <v>2175</v>
      </c>
      <c r="M1672" s="50" t="s">
        <v>2167</v>
      </c>
      <c r="N1672" s="51">
        <v>44555</v>
      </c>
      <c r="O1672" s="51" t="s">
        <v>127</v>
      </c>
      <c r="P1672" s="67">
        <v>5000</v>
      </c>
      <c r="Q1672" s="68">
        <v>-1</v>
      </c>
      <c r="R1672" s="68">
        <f>ROUND(P1672*Q1672,2)</f>
        <v>-5000</v>
      </c>
      <c r="S1672" s="70">
        <v>202303</v>
      </c>
      <c r="T1672" s="72" t="s">
        <v>2177</v>
      </c>
      <c r="U1672" s="72"/>
      <c r="V1672" s="58"/>
      <c r="W1672" s="58"/>
      <c r="X1672" s="73"/>
      <c r="Y1672" s="73"/>
    </row>
    <row r="1673" s="10" customFormat="1" customHeight="1" spans="1:25">
      <c r="A1673" s="60" t="s">
        <v>399</v>
      </c>
      <c r="B1673" s="61" t="s">
        <v>62</v>
      </c>
      <c r="C1673" s="62" t="s">
        <v>217</v>
      </c>
      <c r="D1673" s="60" t="s">
        <v>566</v>
      </c>
      <c r="E1673" s="63" t="s">
        <v>2079</v>
      </c>
      <c r="F1673" s="60" t="s">
        <v>2080</v>
      </c>
      <c r="G1673" s="60" t="s">
        <v>88</v>
      </c>
      <c r="H1673" s="45" t="s">
        <v>2165</v>
      </c>
      <c r="I1673" s="47" t="e">
        <f>VLOOKUP(H1673,'合同综合查询数据（3月返）'!$A:$A,1,FALSE)</f>
        <v>#N/A</v>
      </c>
      <c r="J1673" s="65" t="s">
        <v>126</v>
      </c>
      <c r="K1673" s="62" t="s">
        <v>2174</v>
      </c>
      <c r="L1673" s="66" t="s">
        <v>2175</v>
      </c>
      <c r="M1673" s="50" t="s">
        <v>2167</v>
      </c>
      <c r="N1673" s="51">
        <v>44773</v>
      </c>
      <c r="O1673" s="51" t="s">
        <v>127</v>
      </c>
      <c r="P1673" s="67">
        <v>5000</v>
      </c>
      <c r="Q1673" s="68">
        <v>-1</v>
      </c>
      <c r="R1673" s="68">
        <f>ROUND(P1673*Q1673,2)</f>
        <v>-5000</v>
      </c>
      <c r="S1673" s="70">
        <v>202303</v>
      </c>
      <c r="T1673" s="72" t="s">
        <v>2178</v>
      </c>
      <c r="U1673" s="72"/>
      <c r="V1673" s="58"/>
      <c r="W1673" s="58"/>
      <c r="X1673" s="73"/>
      <c r="Y1673" s="73"/>
    </row>
    <row r="1674" s="10" customFormat="1" customHeight="1" spans="1:25">
      <c r="A1674" s="62" t="s">
        <v>399</v>
      </c>
      <c r="B1674" s="61" t="s">
        <v>62</v>
      </c>
      <c r="C1674" s="60" t="s">
        <v>217</v>
      </c>
      <c r="D1674" s="60" t="s">
        <v>566</v>
      </c>
      <c r="E1674" s="47" t="s">
        <v>2079</v>
      </c>
      <c r="F1674" s="62" t="s">
        <v>2080</v>
      </c>
      <c r="G1674" s="138" t="s">
        <v>31</v>
      </c>
      <c r="H1674" s="45" t="s">
        <v>2165</v>
      </c>
      <c r="I1674" s="47" t="e">
        <f>VLOOKUP(H1674,'合同综合查询数据（3月返）'!$A:$A,1,FALSE)</f>
        <v>#N/A</v>
      </c>
      <c r="J1674" s="65" t="s">
        <v>1019</v>
      </c>
      <c r="K1674" s="62" t="s">
        <v>2166</v>
      </c>
      <c r="L1674" s="138" t="s">
        <v>2170</v>
      </c>
      <c r="M1674" s="50"/>
      <c r="N1674" s="51">
        <v>42430</v>
      </c>
      <c r="O1674" s="138"/>
      <c r="P1674" s="141">
        <v>0</v>
      </c>
      <c r="Q1674" s="68">
        <v>424</v>
      </c>
      <c r="R1674" s="68">
        <f t="shared" ref="R1674:R1679" si="41">ROUND(Q1674*P1674,2)</f>
        <v>0</v>
      </c>
      <c r="S1674" s="70">
        <v>202303</v>
      </c>
      <c r="T1674" s="72" t="s">
        <v>2179</v>
      </c>
      <c r="U1674" s="72"/>
      <c r="V1674" s="146"/>
      <c r="W1674" s="146"/>
      <c r="X1674" s="73"/>
      <c r="Y1674" s="73"/>
    </row>
    <row r="1675" s="10" customFormat="1" customHeight="1" spans="1:25">
      <c r="A1675" s="62" t="s">
        <v>399</v>
      </c>
      <c r="B1675" s="61" t="s">
        <v>62</v>
      </c>
      <c r="C1675" s="60" t="s">
        <v>217</v>
      </c>
      <c r="D1675" s="60" t="s">
        <v>566</v>
      </c>
      <c r="E1675" s="47" t="s">
        <v>2079</v>
      </c>
      <c r="F1675" s="62" t="s">
        <v>2080</v>
      </c>
      <c r="G1675" s="138" t="s">
        <v>31</v>
      </c>
      <c r="H1675" s="45" t="s">
        <v>2165</v>
      </c>
      <c r="I1675" s="47" t="e">
        <f>VLOOKUP(H1675,'合同综合查询数据（3月返）'!$A:$A,1,FALSE)</f>
        <v>#N/A</v>
      </c>
      <c r="J1675" s="65" t="s">
        <v>1019</v>
      </c>
      <c r="K1675" s="62" t="s">
        <v>2166</v>
      </c>
      <c r="L1675" s="138" t="s">
        <v>2170</v>
      </c>
      <c r="M1675" s="50"/>
      <c r="N1675" s="51">
        <v>42430</v>
      </c>
      <c r="O1675" s="138"/>
      <c r="P1675" s="141">
        <v>50</v>
      </c>
      <c r="Q1675" s="68">
        <v>344</v>
      </c>
      <c r="R1675" s="68">
        <f t="shared" si="41"/>
        <v>17200</v>
      </c>
      <c r="S1675" s="70">
        <v>202303</v>
      </c>
      <c r="T1675" s="72" t="s">
        <v>2180</v>
      </c>
      <c r="U1675" s="72"/>
      <c r="V1675" s="146"/>
      <c r="W1675" s="146"/>
      <c r="X1675" s="73"/>
      <c r="Y1675" s="73"/>
    </row>
    <row r="1676" s="10" customFormat="1" customHeight="1" spans="1:25">
      <c r="A1676" s="60" t="s">
        <v>399</v>
      </c>
      <c r="B1676" s="61" t="s">
        <v>62</v>
      </c>
      <c r="C1676" s="62" t="s">
        <v>217</v>
      </c>
      <c r="D1676" s="60" t="s">
        <v>566</v>
      </c>
      <c r="E1676" s="63" t="s">
        <v>2079</v>
      </c>
      <c r="F1676" s="60" t="s">
        <v>2080</v>
      </c>
      <c r="G1676" s="60" t="s">
        <v>31</v>
      </c>
      <c r="H1676" s="45" t="s">
        <v>2165</v>
      </c>
      <c r="I1676" s="47" t="e">
        <f>VLOOKUP(H1676,'合同综合查询数据（3月返）'!$A:$A,1,FALSE)</f>
        <v>#N/A</v>
      </c>
      <c r="J1676" s="65" t="s">
        <v>33</v>
      </c>
      <c r="K1676" s="62" t="s">
        <v>2174</v>
      </c>
      <c r="L1676" s="113" t="s">
        <v>2175</v>
      </c>
      <c r="M1676" s="50"/>
      <c r="N1676" s="51">
        <v>44013</v>
      </c>
      <c r="O1676" s="51"/>
      <c r="P1676" s="67">
        <v>0</v>
      </c>
      <c r="Q1676" s="68">
        <v>288</v>
      </c>
      <c r="R1676" s="68">
        <f t="shared" si="41"/>
        <v>0</v>
      </c>
      <c r="S1676" s="70">
        <v>202303</v>
      </c>
      <c r="T1676" s="72" t="s">
        <v>2181</v>
      </c>
      <c r="U1676" s="72"/>
      <c r="V1676" s="58"/>
      <c r="W1676" s="58"/>
      <c r="X1676" s="73"/>
      <c r="Y1676" s="73"/>
    </row>
    <row r="1677" s="10" customFormat="1" customHeight="1" spans="1:25">
      <c r="A1677" s="60" t="s">
        <v>399</v>
      </c>
      <c r="B1677" s="61" t="s">
        <v>62</v>
      </c>
      <c r="C1677" s="62" t="s">
        <v>217</v>
      </c>
      <c r="D1677" s="60" t="s">
        <v>566</v>
      </c>
      <c r="E1677" s="63" t="s">
        <v>2079</v>
      </c>
      <c r="F1677" s="60" t="s">
        <v>2080</v>
      </c>
      <c r="G1677" s="60" t="s">
        <v>31</v>
      </c>
      <c r="H1677" s="45" t="s">
        <v>2165</v>
      </c>
      <c r="I1677" s="47" t="e">
        <f>VLOOKUP(H1677,'合同综合查询数据（3月返）'!$A:$A,1,FALSE)</f>
        <v>#N/A</v>
      </c>
      <c r="J1677" s="65" t="s">
        <v>33</v>
      </c>
      <c r="K1677" s="62" t="s">
        <v>2174</v>
      </c>
      <c r="L1677" s="113" t="s">
        <v>2175</v>
      </c>
      <c r="M1677" s="50"/>
      <c r="N1677" s="51">
        <v>44773</v>
      </c>
      <c r="O1677" s="51"/>
      <c r="P1677" s="67">
        <v>0</v>
      </c>
      <c r="Q1677" s="68">
        <v>-128</v>
      </c>
      <c r="R1677" s="68">
        <f t="shared" si="41"/>
        <v>0</v>
      </c>
      <c r="S1677" s="70">
        <v>202303</v>
      </c>
      <c r="T1677" s="72" t="s">
        <v>2182</v>
      </c>
      <c r="U1677" s="72"/>
      <c r="V1677" s="58"/>
      <c r="W1677" s="58"/>
      <c r="X1677" s="73"/>
      <c r="Y1677" s="73"/>
    </row>
    <row r="1678" s="10" customFormat="1" customHeight="1" spans="1:25">
      <c r="A1678" s="42" t="s">
        <v>399</v>
      </c>
      <c r="B1678" s="61" t="s">
        <v>62</v>
      </c>
      <c r="C1678" s="43" t="s">
        <v>217</v>
      </c>
      <c r="D1678" s="60" t="s">
        <v>566</v>
      </c>
      <c r="E1678" s="44" t="s">
        <v>2079</v>
      </c>
      <c r="F1678" s="42" t="s">
        <v>2080</v>
      </c>
      <c r="G1678" s="66" t="s">
        <v>31</v>
      </c>
      <c r="H1678" s="45" t="s">
        <v>2165</v>
      </c>
      <c r="I1678" s="47" t="e">
        <f>VLOOKUP(H1678,'合同综合查询数据（3月返）'!$A:$A,1,FALSE)</f>
        <v>#N/A</v>
      </c>
      <c r="J1678" s="65" t="s">
        <v>33</v>
      </c>
      <c r="K1678" s="42" t="s">
        <v>2183</v>
      </c>
      <c r="L1678" s="113" t="s">
        <v>2080</v>
      </c>
      <c r="M1678" s="50"/>
      <c r="N1678" s="51">
        <v>42309</v>
      </c>
      <c r="O1678" s="51"/>
      <c r="P1678" s="67">
        <v>0</v>
      </c>
      <c r="Q1678" s="53">
        <v>544</v>
      </c>
      <c r="R1678" s="68">
        <f t="shared" si="41"/>
        <v>0</v>
      </c>
      <c r="S1678" s="70">
        <v>202303</v>
      </c>
      <c r="T1678" s="56" t="s">
        <v>2184</v>
      </c>
      <c r="U1678" s="56"/>
      <c r="V1678" s="235"/>
      <c r="W1678" s="235"/>
      <c r="X1678" s="73"/>
      <c r="Y1678" s="73"/>
    </row>
    <row r="1679" s="10" customFormat="1" customHeight="1" spans="1:25">
      <c r="A1679" s="42" t="s">
        <v>399</v>
      </c>
      <c r="B1679" s="61" t="s">
        <v>62</v>
      </c>
      <c r="C1679" s="43" t="s">
        <v>217</v>
      </c>
      <c r="D1679" s="60" t="s">
        <v>566</v>
      </c>
      <c r="E1679" s="44" t="s">
        <v>2079</v>
      </c>
      <c r="F1679" s="42" t="s">
        <v>2080</v>
      </c>
      <c r="G1679" s="66" t="s">
        <v>31</v>
      </c>
      <c r="H1679" s="45" t="s">
        <v>2165</v>
      </c>
      <c r="I1679" s="47" t="e">
        <f>VLOOKUP(H1679,'合同综合查询数据（3月返）'!$A:$A,1,FALSE)</f>
        <v>#N/A</v>
      </c>
      <c r="J1679" s="65" t="s">
        <v>33</v>
      </c>
      <c r="K1679" s="42" t="s">
        <v>2183</v>
      </c>
      <c r="L1679" s="113" t="s">
        <v>2080</v>
      </c>
      <c r="M1679" s="50"/>
      <c r="N1679" s="51">
        <v>44712</v>
      </c>
      <c r="O1679" s="51"/>
      <c r="P1679" s="67">
        <v>0</v>
      </c>
      <c r="Q1679" s="53">
        <v>-544</v>
      </c>
      <c r="R1679" s="68">
        <f t="shared" si="41"/>
        <v>0</v>
      </c>
      <c r="S1679" s="70">
        <v>202303</v>
      </c>
      <c r="T1679" s="56" t="s">
        <v>2185</v>
      </c>
      <c r="U1679" s="56"/>
      <c r="V1679" s="235"/>
      <c r="W1679" s="235"/>
      <c r="X1679" s="73"/>
      <c r="Y1679" s="73"/>
    </row>
    <row r="1680" s="9" customFormat="1" customHeight="1" spans="1:25">
      <c r="A1680" s="129" t="s">
        <v>399</v>
      </c>
      <c r="B1680" s="98" t="s">
        <v>62</v>
      </c>
      <c r="C1680" s="98" t="s">
        <v>217</v>
      </c>
      <c r="D1680" s="98" t="s">
        <v>566</v>
      </c>
      <c r="E1680" s="130" t="s">
        <v>2079</v>
      </c>
      <c r="F1680" s="129" t="s">
        <v>2080</v>
      </c>
      <c r="G1680" s="109" t="s">
        <v>88</v>
      </c>
      <c r="H1680" s="100" t="s">
        <v>2186</v>
      </c>
      <c r="I1680" s="23" t="e">
        <f>VLOOKUP(H1680,'合同综合查询数据（3月返）'!$A:$A,1,FALSE)</f>
        <v>#N/A</v>
      </c>
      <c r="J1680" s="24" t="s">
        <v>90</v>
      </c>
      <c r="K1680" s="129" t="s">
        <v>2125</v>
      </c>
      <c r="L1680" s="109"/>
      <c r="M1680" s="26" t="s">
        <v>2083</v>
      </c>
      <c r="N1680" s="28">
        <v>44337</v>
      </c>
      <c r="O1680" s="109" t="s">
        <v>457</v>
      </c>
      <c r="P1680" s="131">
        <v>5800</v>
      </c>
      <c r="Q1680" s="131">
        <v>11</v>
      </c>
      <c r="R1680" s="120">
        <f t="shared" ref="R1680:R1743" si="42">ROUND(P1680*Q1680,2)</f>
        <v>63800</v>
      </c>
      <c r="S1680" s="117">
        <v>202303</v>
      </c>
      <c r="T1680" s="121" t="s">
        <v>2187</v>
      </c>
      <c r="U1680" s="132"/>
      <c r="V1680" s="133"/>
      <c r="W1680" s="133"/>
      <c r="X1680" s="118">
        <v>43709</v>
      </c>
      <c r="Y1680" s="118">
        <v>45900</v>
      </c>
    </row>
    <row r="1681" s="9" customFormat="1" customHeight="1" spans="1:25">
      <c r="A1681" s="129" t="s">
        <v>399</v>
      </c>
      <c r="B1681" s="98" t="s">
        <v>62</v>
      </c>
      <c r="C1681" s="98" t="s">
        <v>217</v>
      </c>
      <c r="D1681" s="98" t="s">
        <v>566</v>
      </c>
      <c r="E1681" s="130" t="s">
        <v>2079</v>
      </c>
      <c r="F1681" s="129" t="s">
        <v>2080</v>
      </c>
      <c r="G1681" s="109" t="s">
        <v>88</v>
      </c>
      <c r="H1681" s="100" t="s">
        <v>2186</v>
      </c>
      <c r="I1681" s="23" t="e">
        <f>VLOOKUP(H1681,'合同综合查询数据（3月返）'!$A:$A,1,FALSE)</f>
        <v>#N/A</v>
      </c>
      <c r="J1681" s="24" t="s">
        <v>90</v>
      </c>
      <c r="K1681" s="129" t="s">
        <v>2125</v>
      </c>
      <c r="L1681" s="109"/>
      <c r="M1681" s="26" t="s">
        <v>2106</v>
      </c>
      <c r="N1681" s="28">
        <v>44365</v>
      </c>
      <c r="O1681" s="109" t="s">
        <v>457</v>
      </c>
      <c r="P1681" s="131">
        <v>5800</v>
      </c>
      <c r="Q1681" s="131">
        <v>2</v>
      </c>
      <c r="R1681" s="120">
        <f t="shared" si="42"/>
        <v>11600</v>
      </c>
      <c r="S1681" s="117">
        <v>202303</v>
      </c>
      <c r="T1681" s="121" t="s">
        <v>2188</v>
      </c>
      <c r="U1681" s="132"/>
      <c r="V1681" s="133"/>
      <c r="W1681" s="133"/>
      <c r="X1681" s="118">
        <v>43709</v>
      </c>
      <c r="Y1681" s="118">
        <v>45900</v>
      </c>
    </row>
    <row r="1682" s="9" customFormat="1" customHeight="1" spans="1:25">
      <c r="A1682" s="129" t="s">
        <v>399</v>
      </c>
      <c r="B1682" s="98" t="s">
        <v>62</v>
      </c>
      <c r="C1682" s="98" t="s">
        <v>217</v>
      </c>
      <c r="D1682" s="98" t="s">
        <v>566</v>
      </c>
      <c r="E1682" s="130" t="s">
        <v>2079</v>
      </c>
      <c r="F1682" s="129" t="s">
        <v>2080</v>
      </c>
      <c r="G1682" s="109" t="s">
        <v>88</v>
      </c>
      <c r="H1682" s="100" t="s">
        <v>2186</v>
      </c>
      <c r="I1682" s="23" t="e">
        <f>VLOOKUP(H1682,'合同综合查询数据（3月返）'!$A:$A,1,FALSE)</f>
        <v>#N/A</v>
      </c>
      <c r="J1682" s="24" t="s">
        <v>90</v>
      </c>
      <c r="K1682" s="129" t="s">
        <v>2125</v>
      </c>
      <c r="L1682" s="109"/>
      <c r="M1682" s="26" t="s">
        <v>2083</v>
      </c>
      <c r="N1682" s="28">
        <v>44379</v>
      </c>
      <c r="O1682" s="109" t="s">
        <v>457</v>
      </c>
      <c r="P1682" s="131">
        <v>5800</v>
      </c>
      <c r="Q1682" s="131">
        <v>8</v>
      </c>
      <c r="R1682" s="120">
        <f t="shared" si="42"/>
        <v>46400</v>
      </c>
      <c r="S1682" s="117">
        <v>202303</v>
      </c>
      <c r="T1682" s="121" t="s">
        <v>2189</v>
      </c>
      <c r="U1682" s="132"/>
      <c r="V1682" s="133"/>
      <c r="W1682" s="133"/>
      <c r="X1682" s="118">
        <v>43709</v>
      </c>
      <c r="Y1682" s="118">
        <v>45900</v>
      </c>
    </row>
    <row r="1683" s="9" customFormat="1" customHeight="1" spans="1:25">
      <c r="A1683" s="129" t="s">
        <v>399</v>
      </c>
      <c r="B1683" s="98" t="s">
        <v>62</v>
      </c>
      <c r="C1683" s="98" t="s">
        <v>217</v>
      </c>
      <c r="D1683" s="98" t="s">
        <v>566</v>
      </c>
      <c r="E1683" s="130" t="s">
        <v>2079</v>
      </c>
      <c r="F1683" s="129" t="s">
        <v>2080</v>
      </c>
      <c r="G1683" s="109" t="s">
        <v>88</v>
      </c>
      <c r="H1683" s="100" t="s">
        <v>2186</v>
      </c>
      <c r="I1683" s="23" t="e">
        <f>VLOOKUP(H1683,'合同综合查询数据（3月返）'!$A:$A,1,FALSE)</f>
        <v>#N/A</v>
      </c>
      <c r="J1683" s="24" t="s">
        <v>90</v>
      </c>
      <c r="K1683" s="129" t="s">
        <v>2125</v>
      </c>
      <c r="L1683" s="109"/>
      <c r="M1683" s="26" t="s">
        <v>2083</v>
      </c>
      <c r="N1683" s="28">
        <v>44391</v>
      </c>
      <c r="O1683" s="109" t="s">
        <v>457</v>
      </c>
      <c r="P1683" s="131">
        <v>5800</v>
      </c>
      <c r="Q1683" s="131">
        <v>8</v>
      </c>
      <c r="R1683" s="120">
        <f t="shared" si="42"/>
        <v>46400</v>
      </c>
      <c r="S1683" s="117">
        <v>202303</v>
      </c>
      <c r="T1683" s="121" t="s">
        <v>2190</v>
      </c>
      <c r="U1683" s="132"/>
      <c r="V1683" s="133"/>
      <c r="W1683" s="133"/>
      <c r="X1683" s="118">
        <v>43709</v>
      </c>
      <c r="Y1683" s="118">
        <v>45900</v>
      </c>
    </row>
    <row r="1684" s="9" customFormat="1" customHeight="1" spans="1:25">
      <c r="A1684" s="129" t="s">
        <v>399</v>
      </c>
      <c r="B1684" s="98" t="s">
        <v>62</v>
      </c>
      <c r="C1684" s="98" t="s">
        <v>217</v>
      </c>
      <c r="D1684" s="98" t="s">
        <v>566</v>
      </c>
      <c r="E1684" s="130" t="s">
        <v>2079</v>
      </c>
      <c r="F1684" s="129" t="s">
        <v>2080</v>
      </c>
      <c r="G1684" s="109" t="s">
        <v>88</v>
      </c>
      <c r="H1684" s="100" t="s">
        <v>2186</v>
      </c>
      <c r="I1684" s="23" t="e">
        <f>VLOOKUP(H1684,'合同综合查询数据（3月返）'!$A:$A,1,FALSE)</f>
        <v>#N/A</v>
      </c>
      <c r="J1684" s="24" t="s">
        <v>90</v>
      </c>
      <c r="K1684" s="129" t="s">
        <v>2125</v>
      </c>
      <c r="L1684" s="109"/>
      <c r="M1684" s="26" t="s">
        <v>2083</v>
      </c>
      <c r="N1684" s="28">
        <v>44392</v>
      </c>
      <c r="O1684" s="109" t="s">
        <v>457</v>
      </c>
      <c r="P1684" s="131">
        <v>5800</v>
      </c>
      <c r="Q1684" s="131">
        <v>2</v>
      </c>
      <c r="R1684" s="120">
        <f t="shared" si="42"/>
        <v>11600</v>
      </c>
      <c r="S1684" s="117">
        <v>202303</v>
      </c>
      <c r="T1684" s="121" t="s">
        <v>2191</v>
      </c>
      <c r="U1684" s="132"/>
      <c r="V1684" s="133"/>
      <c r="W1684" s="133"/>
      <c r="X1684" s="118">
        <v>43709</v>
      </c>
      <c r="Y1684" s="118">
        <v>45900</v>
      </c>
    </row>
    <row r="1685" s="9" customFormat="1" customHeight="1" spans="1:25">
      <c r="A1685" s="129" t="s">
        <v>399</v>
      </c>
      <c r="B1685" s="98" t="s">
        <v>62</v>
      </c>
      <c r="C1685" s="98" t="s">
        <v>217</v>
      </c>
      <c r="D1685" s="98" t="s">
        <v>566</v>
      </c>
      <c r="E1685" s="130" t="s">
        <v>2079</v>
      </c>
      <c r="F1685" s="129" t="s">
        <v>2080</v>
      </c>
      <c r="G1685" s="109" t="s">
        <v>88</v>
      </c>
      <c r="H1685" s="100" t="s">
        <v>2186</v>
      </c>
      <c r="I1685" s="23" t="e">
        <f>VLOOKUP(H1685,'合同综合查询数据（3月返）'!$A:$A,1,FALSE)</f>
        <v>#N/A</v>
      </c>
      <c r="J1685" s="24" t="s">
        <v>90</v>
      </c>
      <c r="K1685" s="129" t="s">
        <v>2125</v>
      </c>
      <c r="L1685" s="109"/>
      <c r="M1685" s="26" t="s">
        <v>2083</v>
      </c>
      <c r="N1685" s="28">
        <v>44477</v>
      </c>
      <c r="O1685" s="109" t="s">
        <v>457</v>
      </c>
      <c r="P1685" s="131">
        <v>5800</v>
      </c>
      <c r="Q1685" s="131">
        <v>49</v>
      </c>
      <c r="R1685" s="120">
        <f t="shared" si="42"/>
        <v>284200</v>
      </c>
      <c r="S1685" s="117">
        <v>202303</v>
      </c>
      <c r="T1685" s="121" t="s">
        <v>2192</v>
      </c>
      <c r="U1685" s="132"/>
      <c r="V1685" s="133"/>
      <c r="W1685" s="133"/>
      <c r="X1685" s="118">
        <v>43709</v>
      </c>
      <c r="Y1685" s="118">
        <v>45900</v>
      </c>
    </row>
    <row r="1686" s="9" customFormat="1" customHeight="1" spans="1:25">
      <c r="A1686" s="129" t="s">
        <v>399</v>
      </c>
      <c r="B1686" s="98" t="s">
        <v>62</v>
      </c>
      <c r="C1686" s="98" t="s">
        <v>217</v>
      </c>
      <c r="D1686" s="98" t="s">
        <v>566</v>
      </c>
      <c r="E1686" s="130" t="s">
        <v>2079</v>
      </c>
      <c r="F1686" s="129" t="s">
        <v>2080</v>
      </c>
      <c r="G1686" s="109" t="s">
        <v>88</v>
      </c>
      <c r="H1686" s="100" t="s">
        <v>2186</v>
      </c>
      <c r="I1686" s="23" t="e">
        <f>VLOOKUP(H1686,'合同综合查询数据（3月返）'!$A:$A,1,FALSE)</f>
        <v>#N/A</v>
      </c>
      <c r="J1686" s="24" t="s">
        <v>90</v>
      </c>
      <c r="K1686" s="129" t="s">
        <v>2125</v>
      </c>
      <c r="L1686" s="109"/>
      <c r="M1686" s="26" t="s">
        <v>2083</v>
      </c>
      <c r="N1686" s="28">
        <v>44479</v>
      </c>
      <c r="O1686" s="109" t="s">
        <v>457</v>
      </c>
      <c r="P1686" s="131">
        <v>5800</v>
      </c>
      <c r="Q1686" s="131">
        <v>6</v>
      </c>
      <c r="R1686" s="120">
        <f t="shared" si="42"/>
        <v>34800</v>
      </c>
      <c r="S1686" s="117">
        <v>202303</v>
      </c>
      <c r="T1686" s="121" t="s">
        <v>2193</v>
      </c>
      <c r="U1686" s="132"/>
      <c r="V1686" s="133"/>
      <c r="W1686" s="133"/>
      <c r="X1686" s="118">
        <v>43709</v>
      </c>
      <c r="Y1686" s="118">
        <v>45900</v>
      </c>
    </row>
    <row r="1687" s="9" customFormat="1" customHeight="1" spans="1:25">
      <c r="A1687" s="129" t="s">
        <v>399</v>
      </c>
      <c r="B1687" s="98" t="s">
        <v>62</v>
      </c>
      <c r="C1687" s="98" t="s">
        <v>217</v>
      </c>
      <c r="D1687" s="98" t="s">
        <v>566</v>
      </c>
      <c r="E1687" s="130" t="s">
        <v>2079</v>
      </c>
      <c r="F1687" s="129" t="s">
        <v>2080</v>
      </c>
      <c r="G1687" s="109" t="s">
        <v>88</v>
      </c>
      <c r="H1687" s="100" t="s">
        <v>2186</v>
      </c>
      <c r="I1687" s="23" t="e">
        <f>VLOOKUP(H1687,'合同综合查询数据（3月返）'!$A:$A,1,FALSE)</f>
        <v>#N/A</v>
      </c>
      <c r="J1687" s="24" t="s">
        <v>90</v>
      </c>
      <c r="K1687" s="129" t="s">
        <v>2125</v>
      </c>
      <c r="L1687" s="109"/>
      <c r="M1687" s="26" t="s">
        <v>2083</v>
      </c>
      <c r="N1687" s="28">
        <v>44393</v>
      </c>
      <c r="O1687" s="109" t="s">
        <v>457</v>
      </c>
      <c r="P1687" s="131">
        <v>5800</v>
      </c>
      <c r="Q1687" s="131">
        <v>2</v>
      </c>
      <c r="R1687" s="120">
        <f t="shared" si="42"/>
        <v>11600</v>
      </c>
      <c r="S1687" s="117">
        <v>202303</v>
      </c>
      <c r="T1687" s="121" t="s">
        <v>2194</v>
      </c>
      <c r="U1687" s="132"/>
      <c r="V1687" s="133"/>
      <c r="W1687" s="133"/>
      <c r="X1687" s="118">
        <v>43709</v>
      </c>
      <c r="Y1687" s="118">
        <v>45900</v>
      </c>
    </row>
    <row r="1688" s="9" customFormat="1" customHeight="1" spans="1:25">
      <c r="A1688" s="129" t="s">
        <v>399</v>
      </c>
      <c r="B1688" s="98" t="s">
        <v>62</v>
      </c>
      <c r="C1688" s="98" t="s">
        <v>217</v>
      </c>
      <c r="D1688" s="98" t="s">
        <v>566</v>
      </c>
      <c r="E1688" s="130" t="s">
        <v>2079</v>
      </c>
      <c r="F1688" s="129" t="s">
        <v>2080</v>
      </c>
      <c r="G1688" s="109" t="s">
        <v>88</v>
      </c>
      <c r="H1688" s="100" t="s">
        <v>2186</v>
      </c>
      <c r="I1688" s="23" t="e">
        <f>VLOOKUP(H1688,'合同综合查询数据（3月返）'!$A:$A,1,FALSE)</f>
        <v>#N/A</v>
      </c>
      <c r="J1688" s="24" t="s">
        <v>90</v>
      </c>
      <c r="K1688" s="129" t="s">
        <v>2082</v>
      </c>
      <c r="L1688" s="109"/>
      <c r="M1688" s="26" t="s">
        <v>2106</v>
      </c>
      <c r="N1688" s="28">
        <v>44568</v>
      </c>
      <c r="O1688" s="109" t="s">
        <v>457</v>
      </c>
      <c r="P1688" s="131">
        <v>5800</v>
      </c>
      <c r="Q1688" s="131">
        <v>1</v>
      </c>
      <c r="R1688" s="120">
        <f t="shared" si="42"/>
        <v>5800</v>
      </c>
      <c r="S1688" s="117">
        <v>202303</v>
      </c>
      <c r="T1688" s="121" t="s">
        <v>2195</v>
      </c>
      <c r="U1688" s="132"/>
      <c r="V1688" s="133"/>
      <c r="W1688" s="133"/>
      <c r="X1688" s="118">
        <v>43709</v>
      </c>
      <c r="Y1688" s="118">
        <v>45900</v>
      </c>
    </row>
    <row r="1689" s="9" customFormat="1" customHeight="1" spans="1:25">
      <c r="A1689" s="129" t="s">
        <v>399</v>
      </c>
      <c r="B1689" s="98" t="s">
        <v>62</v>
      </c>
      <c r="C1689" s="98" t="s">
        <v>217</v>
      </c>
      <c r="D1689" s="98" t="s">
        <v>566</v>
      </c>
      <c r="E1689" s="130" t="s">
        <v>2079</v>
      </c>
      <c r="F1689" s="129" t="s">
        <v>2080</v>
      </c>
      <c r="G1689" s="109" t="s">
        <v>88</v>
      </c>
      <c r="H1689" s="100" t="s">
        <v>2186</v>
      </c>
      <c r="I1689" s="23" t="e">
        <f>VLOOKUP(H1689,'合同综合查询数据（3月返）'!$A:$A,1,FALSE)</f>
        <v>#N/A</v>
      </c>
      <c r="J1689" s="24" t="s">
        <v>90</v>
      </c>
      <c r="K1689" s="129" t="s">
        <v>2125</v>
      </c>
      <c r="L1689" s="109"/>
      <c r="M1689" s="26" t="s">
        <v>2083</v>
      </c>
      <c r="N1689" s="28">
        <v>44869</v>
      </c>
      <c r="O1689" s="109" t="s">
        <v>457</v>
      </c>
      <c r="P1689" s="131">
        <v>5800</v>
      </c>
      <c r="Q1689" s="131">
        <v>-4</v>
      </c>
      <c r="R1689" s="120">
        <f t="shared" si="42"/>
        <v>-23200</v>
      </c>
      <c r="S1689" s="117">
        <v>202303</v>
      </c>
      <c r="T1689" s="121" t="s">
        <v>2196</v>
      </c>
      <c r="U1689" s="132"/>
      <c r="V1689" s="133"/>
      <c r="W1689" s="133"/>
      <c r="X1689" s="118">
        <v>43709</v>
      </c>
      <c r="Y1689" s="118">
        <v>45900</v>
      </c>
    </row>
    <row r="1690" s="9" customFormat="1" customHeight="1" spans="1:25">
      <c r="A1690" s="129" t="s">
        <v>399</v>
      </c>
      <c r="B1690" s="98" t="s">
        <v>62</v>
      </c>
      <c r="C1690" s="98" t="s">
        <v>217</v>
      </c>
      <c r="D1690" s="98" t="s">
        <v>566</v>
      </c>
      <c r="E1690" s="130" t="s">
        <v>2079</v>
      </c>
      <c r="F1690" s="129" t="s">
        <v>2080</v>
      </c>
      <c r="G1690" s="109" t="s">
        <v>88</v>
      </c>
      <c r="H1690" s="100" t="s">
        <v>2186</v>
      </c>
      <c r="I1690" s="23" t="e">
        <f>VLOOKUP(H1690,'合同综合查询数据（3月返）'!$A:$A,1,FALSE)</f>
        <v>#N/A</v>
      </c>
      <c r="J1690" s="24" t="s">
        <v>90</v>
      </c>
      <c r="K1690" s="129" t="s">
        <v>2125</v>
      </c>
      <c r="L1690" s="109"/>
      <c r="M1690" s="26" t="s">
        <v>2083</v>
      </c>
      <c r="N1690" s="28">
        <v>44870</v>
      </c>
      <c r="O1690" s="109" t="s">
        <v>457</v>
      </c>
      <c r="P1690" s="131">
        <v>5800</v>
      </c>
      <c r="Q1690" s="131">
        <v>-5</v>
      </c>
      <c r="R1690" s="120">
        <f t="shared" si="42"/>
        <v>-29000</v>
      </c>
      <c r="S1690" s="117">
        <v>202303</v>
      </c>
      <c r="T1690" s="121" t="s">
        <v>2197</v>
      </c>
      <c r="U1690" s="132"/>
      <c r="V1690" s="133"/>
      <c r="W1690" s="133"/>
      <c r="X1690" s="118">
        <v>43709</v>
      </c>
      <c r="Y1690" s="118">
        <v>45900</v>
      </c>
    </row>
    <row r="1691" s="9" customFormat="1" customHeight="1" spans="1:25">
      <c r="A1691" s="129" t="s">
        <v>399</v>
      </c>
      <c r="B1691" s="98" t="s">
        <v>62</v>
      </c>
      <c r="C1691" s="98" t="s">
        <v>217</v>
      </c>
      <c r="D1691" s="98" t="s">
        <v>566</v>
      </c>
      <c r="E1691" s="130" t="s">
        <v>2079</v>
      </c>
      <c r="F1691" s="129" t="s">
        <v>2080</v>
      </c>
      <c r="G1691" s="109" t="s">
        <v>88</v>
      </c>
      <c r="H1691" s="100" t="s">
        <v>2186</v>
      </c>
      <c r="I1691" s="23" t="e">
        <f>VLOOKUP(H1691,'合同综合查询数据（3月返）'!$A:$A,1,FALSE)</f>
        <v>#N/A</v>
      </c>
      <c r="J1691" s="24" t="s">
        <v>90</v>
      </c>
      <c r="K1691" s="129" t="s">
        <v>2125</v>
      </c>
      <c r="L1691" s="109"/>
      <c r="M1691" s="26" t="s">
        <v>2083</v>
      </c>
      <c r="N1691" s="28">
        <v>44958</v>
      </c>
      <c r="O1691" s="109" t="s">
        <v>457</v>
      </c>
      <c r="P1691" s="131">
        <v>5800</v>
      </c>
      <c r="Q1691" s="131">
        <v>1</v>
      </c>
      <c r="R1691" s="120">
        <f t="shared" si="42"/>
        <v>5800</v>
      </c>
      <c r="S1691" s="117">
        <v>202303</v>
      </c>
      <c r="T1691" s="121" t="s">
        <v>2198</v>
      </c>
      <c r="U1691" s="132"/>
      <c r="V1691" s="133"/>
      <c r="W1691" s="133"/>
      <c r="X1691" s="118">
        <v>43709</v>
      </c>
      <c r="Y1691" s="118">
        <v>45900</v>
      </c>
    </row>
    <row r="1692" s="9" customFormat="1" customHeight="1" spans="1:25">
      <c r="A1692" s="129" t="s">
        <v>399</v>
      </c>
      <c r="B1692" s="98" t="s">
        <v>62</v>
      </c>
      <c r="C1692" s="98" t="s">
        <v>217</v>
      </c>
      <c r="D1692" s="98" t="s">
        <v>566</v>
      </c>
      <c r="E1692" s="130" t="s">
        <v>2079</v>
      </c>
      <c r="F1692" s="129" t="s">
        <v>2080</v>
      </c>
      <c r="G1692" s="99" t="s">
        <v>67</v>
      </c>
      <c r="H1692" s="100" t="s">
        <v>2186</v>
      </c>
      <c r="I1692" s="23" t="e">
        <f>VLOOKUP(H1692,'合同综合查询数据（3月返）'!$A:$A,1,FALSE)</f>
        <v>#N/A</v>
      </c>
      <c r="J1692" s="99" t="s">
        <v>69</v>
      </c>
      <c r="K1692" s="129" t="s">
        <v>2199</v>
      </c>
      <c r="L1692" s="109"/>
      <c r="M1692" s="26"/>
      <c r="N1692" s="28">
        <v>44393</v>
      </c>
      <c r="O1692" s="109" t="s">
        <v>71</v>
      </c>
      <c r="P1692" s="131">
        <v>385</v>
      </c>
      <c r="Q1692" s="120">
        <v>100</v>
      </c>
      <c r="R1692" s="120">
        <f t="shared" si="42"/>
        <v>38500</v>
      </c>
      <c r="S1692" s="117">
        <v>202303</v>
      </c>
      <c r="T1692" s="121" t="s">
        <v>2200</v>
      </c>
      <c r="U1692" s="132"/>
      <c r="V1692" s="133"/>
      <c r="W1692" s="133"/>
      <c r="X1692" s="118">
        <v>43709</v>
      </c>
      <c r="Y1692" s="118">
        <v>45900</v>
      </c>
    </row>
    <row r="1693" s="9" customFormat="1" customHeight="1" spans="1:25">
      <c r="A1693" s="129" t="s">
        <v>399</v>
      </c>
      <c r="B1693" s="98" t="s">
        <v>62</v>
      </c>
      <c r="C1693" s="98" t="s">
        <v>217</v>
      </c>
      <c r="D1693" s="98" t="s">
        <v>566</v>
      </c>
      <c r="E1693" s="130" t="s">
        <v>2079</v>
      </c>
      <c r="F1693" s="129" t="s">
        <v>2080</v>
      </c>
      <c r="G1693" s="99" t="s">
        <v>67</v>
      </c>
      <c r="H1693" s="100" t="s">
        <v>2186</v>
      </c>
      <c r="I1693" s="23" t="e">
        <f>VLOOKUP(H1693,'合同综合查询数据（3月返）'!$A:$A,1,FALSE)</f>
        <v>#N/A</v>
      </c>
      <c r="J1693" s="99" t="s">
        <v>69</v>
      </c>
      <c r="K1693" s="129" t="s">
        <v>2199</v>
      </c>
      <c r="L1693" s="109"/>
      <c r="M1693" s="26"/>
      <c r="N1693" s="28">
        <v>44393</v>
      </c>
      <c r="O1693" s="109" t="s">
        <v>71</v>
      </c>
      <c r="P1693" s="131">
        <v>385</v>
      </c>
      <c r="Q1693" s="120">
        <v>83</v>
      </c>
      <c r="R1693" s="120">
        <f t="shared" si="42"/>
        <v>31955</v>
      </c>
      <c r="S1693" s="117">
        <v>202303</v>
      </c>
      <c r="T1693" s="121" t="s">
        <v>2201</v>
      </c>
      <c r="U1693" s="132"/>
      <c r="V1693" s="133"/>
      <c r="W1693" s="133"/>
      <c r="X1693" s="118">
        <v>43709</v>
      </c>
      <c r="Y1693" s="118">
        <v>45900</v>
      </c>
    </row>
    <row r="1694" s="9" customFormat="1" customHeight="1" spans="1:25">
      <c r="A1694" s="129" t="s">
        <v>399</v>
      </c>
      <c r="B1694" s="98" t="s">
        <v>62</v>
      </c>
      <c r="C1694" s="98" t="s">
        <v>217</v>
      </c>
      <c r="D1694" s="98" t="s">
        <v>566</v>
      </c>
      <c r="E1694" s="130" t="s">
        <v>2079</v>
      </c>
      <c r="F1694" s="129" t="s">
        <v>2080</v>
      </c>
      <c r="G1694" s="109" t="s">
        <v>67</v>
      </c>
      <c r="H1694" s="100" t="s">
        <v>2186</v>
      </c>
      <c r="I1694" s="23" t="e">
        <f>VLOOKUP(H1694,'合同综合查询数据（3月返）'!$A:$A,1,FALSE)</f>
        <v>#N/A</v>
      </c>
      <c r="J1694" s="109" t="s">
        <v>69</v>
      </c>
      <c r="K1694" s="129" t="s">
        <v>2199</v>
      </c>
      <c r="L1694" s="109"/>
      <c r="M1694" s="26"/>
      <c r="N1694" s="28">
        <v>44427</v>
      </c>
      <c r="O1694" s="109" t="s">
        <v>71</v>
      </c>
      <c r="P1694" s="131">
        <v>385</v>
      </c>
      <c r="Q1694" s="120">
        <v>90.6</v>
      </c>
      <c r="R1694" s="120">
        <f t="shared" si="42"/>
        <v>34881</v>
      </c>
      <c r="S1694" s="117">
        <v>202303</v>
      </c>
      <c r="T1694" s="38" t="s">
        <v>2202</v>
      </c>
      <c r="U1694" s="134"/>
      <c r="V1694" s="133"/>
      <c r="W1694" s="133"/>
      <c r="X1694" s="118">
        <v>43709</v>
      </c>
      <c r="Y1694" s="118">
        <v>45900</v>
      </c>
    </row>
    <row r="1695" s="9" customFormat="1" customHeight="1" spans="1:25">
      <c r="A1695" s="129" t="s">
        <v>399</v>
      </c>
      <c r="B1695" s="98" t="s">
        <v>62</v>
      </c>
      <c r="C1695" s="98" t="s">
        <v>217</v>
      </c>
      <c r="D1695" s="98" t="s">
        <v>566</v>
      </c>
      <c r="E1695" s="130" t="s">
        <v>2079</v>
      </c>
      <c r="F1695" s="129" t="s">
        <v>2080</v>
      </c>
      <c r="G1695" s="109" t="s">
        <v>67</v>
      </c>
      <c r="H1695" s="100" t="s">
        <v>2186</v>
      </c>
      <c r="I1695" s="23" t="e">
        <f>VLOOKUP(H1695,'合同综合查询数据（3月返）'!$A:$A,1,FALSE)</f>
        <v>#N/A</v>
      </c>
      <c r="J1695" s="109" t="s">
        <v>69</v>
      </c>
      <c r="K1695" s="129" t="s">
        <v>2199</v>
      </c>
      <c r="L1695" s="109"/>
      <c r="M1695" s="26"/>
      <c r="N1695" s="28">
        <v>44442</v>
      </c>
      <c r="O1695" s="109" t="s">
        <v>71</v>
      </c>
      <c r="P1695" s="131">
        <v>385</v>
      </c>
      <c r="Q1695" s="120">
        <v>104.9</v>
      </c>
      <c r="R1695" s="120">
        <f t="shared" si="42"/>
        <v>40386.5</v>
      </c>
      <c r="S1695" s="117">
        <v>202303</v>
      </c>
      <c r="T1695" s="38" t="s">
        <v>2203</v>
      </c>
      <c r="U1695" s="134"/>
      <c r="V1695" s="133"/>
      <c r="W1695" s="133"/>
      <c r="X1695" s="118">
        <v>43709</v>
      </c>
      <c r="Y1695" s="118">
        <v>45900</v>
      </c>
    </row>
    <row r="1696" s="9" customFormat="1" customHeight="1" spans="1:25">
      <c r="A1696" s="129" t="s">
        <v>399</v>
      </c>
      <c r="B1696" s="98" t="s">
        <v>62</v>
      </c>
      <c r="C1696" s="98" t="s">
        <v>217</v>
      </c>
      <c r="D1696" s="98" t="s">
        <v>566</v>
      </c>
      <c r="E1696" s="130" t="s">
        <v>2079</v>
      </c>
      <c r="F1696" s="129" t="s">
        <v>2080</v>
      </c>
      <c r="G1696" s="109" t="s">
        <v>67</v>
      </c>
      <c r="H1696" s="100" t="s">
        <v>2186</v>
      </c>
      <c r="I1696" s="23" t="e">
        <f>VLOOKUP(H1696,'合同综合查询数据（3月返）'!$A:$A,1,FALSE)</f>
        <v>#N/A</v>
      </c>
      <c r="J1696" s="109" t="s">
        <v>69</v>
      </c>
      <c r="K1696" s="129" t="s">
        <v>2204</v>
      </c>
      <c r="L1696" s="109"/>
      <c r="M1696" s="26"/>
      <c r="N1696" s="28">
        <v>44501</v>
      </c>
      <c r="O1696" s="109" t="s">
        <v>71</v>
      </c>
      <c r="P1696" s="131">
        <v>385</v>
      </c>
      <c r="Q1696" s="120">
        <v>40.4</v>
      </c>
      <c r="R1696" s="120">
        <f t="shared" si="42"/>
        <v>15554</v>
      </c>
      <c r="S1696" s="117">
        <v>202303</v>
      </c>
      <c r="T1696" s="38" t="s">
        <v>2205</v>
      </c>
      <c r="U1696" s="134"/>
      <c r="V1696" s="133"/>
      <c r="W1696" s="133"/>
      <c r="X1696" s="118">
        <v>43709</v>
      </c>
      <c r="Y1696" s="118">
        <v>45900</v>
      </c>
    </row>
    <row r="1697" s="9" customFormat="1" customHeight="1" spans="1:25">
      <c r="A1697" s="129" t="s">
        <v>399</v>
      </c>
      <c r="B1697" s="98" t="s">
        <v>62</v>
      </c>
      <c r="C1697" s="98" t="s">
        <v>217</v>
      </c>
      <c r="D1697" s="98" t="s">
        <v>566</v>
      </c>
      <c r="E1697" s="130" t="s">
        <v>2079</v>
      </c>
      <c r="F1697" s="129" t="s">
        <v>2080</v>
      </c>
      <c r="G1697" s="109" t="s">
        <v>67</v>
      </c>
      <c r="H1697" s="100" t="s">
        <v>2186</v>
      </c>
      <c r="I1697" s="23" t="e">
        <f>VLOOKUP(H1697,'合同综合查询数据（3月返）'!$A:$A,1,FALSE)</f>
        <v>#N/A</v>
      </c>
      <c r="J1697" s="109" t="s">
        <v>69</v>
      </c>
      <c r="K1697" s="129" t="s">
        <v>2204</v>
      </c>
      <c r="L1697" s="109"/>
      <c r="M1697" s="26"/>
      <c r="N1697" s="28">
        <v>44501</v>
      </c>
      <c r="O1697" s="109" t="s">
        <v>71</v>
      </c>
      <c r="P1697" s="131">
        <v>385</v>
      </c>
      <c r="Q1697" s="120">
        <v>66.5</v>
      </c>
      <c r="R1697" s="120">
        <f t="shared" si="42"/>
        <v>25602.5</v>
      </c>
      <c r="S1697" s="117">
        <v>202303</v>
      </c>
      <c r="T1697" s="38" t="s">
        <v>2205</v>
      </c>
      <c r="U1697" s="134"/>
      <c r="V1697" s="133"/>
      <c r="W1697" s="133"/>
      <c r="X1697" s="118">
        <v>43709</v>
      </c>
      <c r="Y1697" s="118">
        <v>45900</v>
      </c>
    </row>
    <row r="1698" s="10" customFormat="1" customHeight="1" spans="1:25">
      <c r="A1698" s="60" t="s">
        <v>399</v>
      </c>
      <c r="B1698" s="61" t="s">
        <v>62</v>
      </c>
      <c r="C1698" s="60" t="s">
        <v>217</v>
      </c>
      <c r="D1698" s="60" t="s">
        <v>566</v>
      </c>
      <c r="E1698" s="63" t="s">
        <v>2206</v>
      </c>
      <c r="F1698" s="62" t="s">
        <v>2207</v>
      </c>
      <c r="G1698" s="161" t="s">
        <v>88</v>
      </c>
      <c r="H1698" s="45" t="s">
        <v>2208</v>
      </c>
      <c r="I1698" s="47" t="e">
        <f>VLOOKUP(H1698,'合同综合查询数据（3月返）'!$A:$A,1,FALSE)</f>
        <v>#N/A</v>
      </c>
      <c r="J1698" s="62" t="s">
        <v>126</v>
      </c>
      <c r="K1698" s="62" t="s">
        <v>2207</v>
      </c>
      <c r="L1698" s="66" t="s">
        <v>2207</v>
      </c>
      <c r="M1698" s="50" t="s">
        <v>2209</v>
      </c>
      <c r="N1698" s="165">
        <v>43497</v>
      </c>
      <c r="O1698" s="172" t="s">
        <v>624</v>
      </c>
      <c r="P1698" s="124">
        <v>4300</v>
      </c>
      <c r="Q1698" s="112">
        <v>7</v>
      </c>
      <c r="R1698" s="68">
        <f t="shared" si="42"/>
        <v>30100</v>
      </c>
      <c r="S1698" s="70">
        <v>202303</v>
      </c>
      <c r="T1698" s="170" t="s">
        <v>2210</v>
      </c>
      <c r="U1698" s="170"/>
      <c r="V1698" s="146"/>
      <c r="W1698" s="146"/>
      <c r="X1698" s="73"/>
      <c r="Y1698" s="73"/>
    </row>
    <row r="1699" s="10" customFormat="1" customHeight="1" spans="1:25">
      <c r="A1699" s="60" t="s">
        <v>399</v>
      </c>
      <c r="B1699" s="61" t="s">
        <v>62</v>
      </c>
      <c r="C1699" s="60" t="s">
        <v>217</v>
      </c>
      <c r="D1699" s="60" t="s">
        <v>566</v>
      </c>
      <c r="E1699" s="63" t="s">
        <v>2206</v>
      </c>
      <c r="F1699" s="62" t="s">
        <v>2207</v>
      </c>
      <c r="G1699" s="161" t="s">
        <v>88</v>
      </c>
      <c r="H1699" s="45" t="s">
        <v>2208</v>
      </c>
      <c r="I1699" s="47" t="e">
        <f>VLOOKUP(H1699,'合同综合查询数据（3月返）'!$A:$A,1,FALSE)</f>
        <v>#N/A</v>
      </c>
      <c r="J1699" s="62" t="s">
        <v>126</v>
      </c>
      <c r="K1699" s="62" t="s">
        <v>2207</v>
      </c>
      <c r="L1699" s="66" t="s">
        <v>2207</v>
      </c>
      <c r="M1699" s="50" t="s">
        <v>2209</v>
      </c>
      <c r="N1699" s="165">
        <v>44713</v>
      </c>
      <c r="O1699" s="172" t="s">
        <v>624</v>
      </c>
      <c r="P1699" s="124">
        <v>4300</v>
      </c>
      <c r="Q1699" s="112">
        <v>-6</v>
      </c>
      <c r="R1699" s="68">
        <f t="shared" si="42"/>
        <v>-25800</v>
      </c>
      <c r="S1699" s="70">
        <v>202303</v>
      </c>
      <c r="T1699" s="170" t="s">
        <v>2211</v>
      </c>
      <c r="U1699" s="170"/>
      <c r="V1699" s="146"/>
      <c r="W1699" s="146"/>
      <c r="X1699" s="73"/>
      <c r="Y1699" s="73"/>
    </row>
    <row r="1700" s="10" customFormat="1" customHeight="1" spans="1:25">
      <c r="A1700" s="60" t="s">
        <v>399</v>
      </c>
      <c r="B1700" s="61" t="s">
        <v>62</v>
      </c>
      <c r="C1700" s="60" t="s">
        <v>217</v>
      </c>
      <c r="D1700" s="60" t="s">
        <v>566</v>
      </c>
      <c r="E1700" s="63" t="s">
        <v>2206</v>
      </c>
      <c r="F1700" s="62" t="s">
        <v>2207</v>
      </c>
      <c r="G1700" s="161" t="s">
        <v>31</v>
      </c>
      <c r="H1700" s="45" t="s">
        <v>2208</v>
      </c>
      <c r="I1700" s="47" t="e">
        <f>VLOOKUP(H1700,'合同综合查询数据（3月返）'!$A:$A,1,FALSE)</f>
        <v>#N/A</v>
      </c>
      <c r="J1700" s="62" t="s">
        <v>33</v>
      </c>
      <c r="K1700" s="62" t="s">
        <v>2207</v>
      </c>
      <c r="L1700" s="66" t="s">
        <v>2207</v>
      </c>
      <c r="M1700" s="50"/>
      <c r="N1700" s="165">
        <v>43497</v>
      </c>
      <c r="O1700" s="172"/>
      <c r="P1700" s="124">
        <v>0</v>
      </c>
      <c r="Q1700" s="112">
        <v>256</v>
      </c>
      <c r="R1700" s="68">
        <f t="shared" si="42"/>
        <v>0</v>
      </c>
      <c r="S1700" s="70">
        <v>202303</v>
      </c>
      <c r="T1700" s="170" t="s">
        <v>2212</v>
      </c>
      <c r="U1700" s="170"/>
      <c r="V1700" s="146"/>
      <c r="W1700" s="146"/>
      <c r="X1700" s="73"/>
      <c r="Y1700" s="73"/>
    </row>
    <row r="1701" s="10" customFormat="1" customHeight="1" spans="1:25">
      <c r="A1701" s="60" t="s">
        <v>399</v>
      </c>
      <c r="B1701" s="61" t="s">
        <v>62</v>
      </c>
      <c r="C1701" s="60" t="s">
        <v>217</v>
      </c>
      <c r="D1701" s="60" t="s">
        <v>566</v>
      </c>
      <c r="E1701" s="63" t="s">
        <v>2206</v>
      </c>
      <c r="F1701" s="62" t="s">
        <v>2207</v>
      </c>
      <c r="G1701" s="161" t="s">
        <v>31</v>
      </c>
      <c r="H1701" s="45" t="s">
        <v>2208</v>
      </c>
      <c r="I1701" s="47" t="e">
        <f>VLOOKUP(H1701,'合同综合查询数据（3月返）'!$A:$A,1,FALSE)</f>
        <v>#N/A</v>
      </c>
      <c r="J1701" s="62" t="s">
        <v>33</v>
      </c>
      <c r="K1701" s="62" t="s">
        <v>2207</v>
      </c>
      <c r="L1701" s="66" t="s">
        <v>2213</v>
      </c>
      <c r="M1701" s="50"/>
      <c r="N1701" s="165">
        <v>43497</v>
      </c>
      <c r="O1701" s="172"/>
      <c r="P1701" s="124">
        <v>0</v>
      </c>
      <c r="Q1701" s="112">
        <v>32</v>
      </c>
      <c r="R1701" s="68">
        <f t="shared" si="42"/>
        <v>0</v>
      </c>
      <c r="S1701" s="70">
        <v>202303</v>
      </c>
      <c r="T1701" s="170" t="s">
        <v>2214</v>
      </c>
      <c r="U1701" s="170"/>
      <c r="V1701" s="146"/>
      <c r="W1701" s="146"/>
      <c r="X1701" s="73"/>
      <c r="Y1701" s="73"/>
    </row>
    <row r="1702" s="10" customFormat="1" customHeight="1" spans="1:25">
      <c r="A1702" s="61" t="s">
        <v>399</v>
      </c>
      <c r="B1702" s="60" t="s">
        <v>62</v>
      </c>
      <c r="C1702" s="61" t="s">
        <v>217</v>
      </c>
      <c r="D1702" s="60" t="s">
        <v>566</v>
      </c>
      <c r="E1702" s="160" t="s">
        <v>2206</v>
      </c>
      <c r="F1702" s="61" t="s">
        <v>2207</v>
      </c>
      <c r="G1702" s="161" t="s">
        <v>88</v>
      </c>
      <c r="H1702" s="45" t="s">
        <v>2215</v>
      </c>
      <c r="I1702" s="47" t="e">
        <f>VLOOKUP(H1702,'合同综合查询数据（3月返）'!$A:$A,1,FALSE)</f>
        <v>#N/A</v>
      </c>
      <c r="J1702" s="135" t="s">
        <v>126</v>
      </c>
      <c r="K1702" s="164" t="s">
        <v>2207</v>
      </c>
      <c r="L1702" s="164" t="s">
        <v>2213</v>
      </c>
      <c r="M1702" s="50" t="s">
        <v>2216</v>
      </c>
      <c r="N1702" s="165">
        <v>44835</v>
      </c>
      <c r="O1702" s="172" t="s">
        <v>92</v>
      </c>
      <c r="P1702" s="171">
        <v>5000</v>
      </c>
      <c r="Q1702" s="112">
        <v>3</v>
      </c>
      <c r="R1702" s="68">
        <f t="shared" si="42"/>
        <v>15000</v>
      </c>
      <c r="S1702" s="55">
        <v>202303</v>
      </c>
      <c r="T1702" s="236" t="s">
        <v>2217</v>
      </c>
      <c r="U1702" s="182"/>
      <c r="V1702" s="182"/>
      <c r="W1702" s="182"/>
      <c r="X1702" s="73"/>
      <c r="Y1702" s="73"/>
    </row>
    <row r="1703" s="10" customFormat="1" customHeight="1" spans="1:25">
      <c r="A1703" s="61" t="s">
        <v>399</v>
      </c>
      <c r="B1703" s="60" t="s">
        <v>62</v>
      </c>
      <c r="C1703" s="61" t="s">
        <v>217</v>
      </c>
      <c r="D1703" s="60" t="s">
        <v>566</v>
      </c>
      <c r="E1703" s="160" t="s">
        <v>2206</v>
      </c>
      <c r="F1703" s="61" t="s">
        <v>2207</v>
      </c>
      <c r="G1703" s="161" t="s">
        <v>31</v>
      </c>
      <c r="H1703" s="45" t="s">
        <v>2215</v>
      </c>
      <c r="I1703" s="47" t="e">
        <f>VLOOKUP(H1703,'合同综合查询数据（3月返）'!$A:$A,1,FALSE)</f>
        <v>#N/A</v>
      </c>
      <c r="J1703" s="135" t="s">
        <v>33</v>
      </c>
      <c r="K1703" s="164" t="s">
        <v>2207</v>
      </c>
      <c r="L1703" s="164" t="s">
        <v>2213</v>
      </c>
      <c r="M1703" s="50" t="s">
        <v>2218</v>
      </c>
      <c r="N1703" s="165">
        <v>44835</v>
      </c>
      <c r="O1703" s="172"/>
      <c r="P1703" s="171">
        <v>0</v>
      </c>
      <c r="Q1703" s="112">
        <v>256</v>
      </c>
      <c r="R1703" s="68">
        <f t="shared" si="42"/>
        <v>0</v>
      </c>
      <c r="S1703" s="55">
        <v>202303</v>
      </c>
      <c r="T1703" s="182" t="s">
        <v>2219</v>
      </c>
      <c r="U1703" s="182"/>
      <c r="V1703" s="182"/>
      <c r="W1703" s="182"/>
      <c r="X1703" s="73"/>
      <c r="Y1703" s="73"/>
    </row>
    <row r="1704" s="10" customFormat="1" customHeight="1" spans="1:25">
      <c r="A1704" s="60" t="s">
        <v>399</v>
      </c>
      <c r="B1704" s="61" t="s">
        <v>62</v>
      </c>
      <c r="C1704" s="60" t="s">
        <v>217</v>
      </c>
      <c r="D1704" s="60" t="s">
        <v>566</v>
      </c>
      <c r="E1704" s="63" t="s">
        <v>2220</v>
      </c>
      <c r="F1704" s="62" t="s">
        <v>2221</v>
      </c>
      <c r="G1704" s="161" t="s">
        <v>88</v>
      </c>
      <c r="H1704" s="45" t="s">
        <v>2222</v>
      </c>
      <c r="I1704" s="47" t="e">
        <f>VLOOKUP(H1704,'合同综合查询数据（3月返）'!$A:$A,1,FALSE)</f>
        <v>#N/A</v>
      </c>
      <c r="J1704" s="62" t="s">
        <v>126</v>
      </c>
      <c r="K1704" s="62" t="s">
        <v>2223</v>
      </c>
      <c r="L1704" s="164" t="s">
        <v>2221</v>
      </c>
      <c r="M1704" s="50" t="s">
        <v>2224</v>
      </c>
      <c r="N1704" s="165">
        <v>43210</v>
      </c>
      <c r="O1704" s="172" t="s">
        <v>92</v>
      </c>
      <c r="P1704" s="124">
        <v>4500</v>
      </c>
      <c r="Q1704" s="112">
        <v>5</v>
      </c>
      <c r="R1704" s="68">
        <f t="shared" si="42"/>
        <v>22500</v>
      </c>
      <c r="S1704" s="70">
        <v>202303</v>
      </c>
      <c r="T1704" s="170" t="s">
        <v>2225</v>
      </c>
      <c r="U1704" s="170"/>
      <c r="V1704" s="146"/>
      <c r="W1704" s="146"/>
      <c r="X1704" s="73"/>
      <c r="Y1704" s="73"/>
    </row>
    <row r="1705" s="10" customFormat="1" customHeight="1" spans="1:25">
      <c r="A1705" s="60" t="s">
        <v>399</v>
      </c>
      <c r="B1705" s="61" t="s">
        <v>62</v>
      </c>
      <c r="C1705" s="60" t="s">
        <v>217</v>
      </c>
      <c r="D1705" s="60" t="s">
        <v>566</v>
      </c>
      <c r="E1705" s="63" t="s">
        <v>2220</v>
      </c>
      <c r="F1705" s="62" t="s">
        <v>2221</v>
      </c>
      <c r="G1705" s="161" t="s">
        <v>88</v>
      </c>
      <c r="H1705" s="45" t="s">
        <v>2222</v>
      </c>
      <c r="I1705" s="47" t="e">
        <f>VLOOKUP(H1705,'合同综合查询数据（3月返）'!$A:$A,1,FALSE)</f>
        <v>#N/A</v>
      </c>
      <c r="J1705" s="62" t="s">
        <v>126</v>
      </c>
      <c r="K1705" s="62" t="s">
        <v>2223</v>
      </c>
      <c r="L1705" s="164" t="s">
        <v>2221</v>
      </c>
      <c r="M1705" s="50" t="s">
        <v>2224</v>
      </c>
      <c r="N1705" s="165">
        <v>44681</v>
      </c>
      <c r="O1705" s="172" t="s">
        <v>92</v>
      </c>
      <c r="P1705" s="124">
        <v>4500</v>
      </c>
      <c r="Q1705" s="112">
        <v>-5</v>
      </c>
      <c r="R1705" s="68">
        <f t="shared" si="42"/>
        <v>-22500</v>
      </c>
      <c r="S1705" s="70">
        <v>202303</v>
      </c>
      <c r="T1705" s="170" t="s">
        <v>2226</v>
      </c>
      <c r="U1705" s="170"/>
      <c r="V1705" s="146"/>
      <c r="W1705" s="146"/>
      <c r="X1705" s="73"/>
      <c r="Y1705" s="73"/>
    </row>
    <row r="1706" s="10" customFormat="1" customHeight="1" spans="1:25">
      <c r="A1706" s="60" t="s">
        <v>399</v>
      </c>
      <c r="B1706" s="61" t="s">
        <v>62</v>
      </c>
      <c r="C1706" s="60" t="s">
        <v>217</v>
      </c>
      <c r="D1706" s="60" t="s">
        <v>566</v>
      </c>
      <c r="E1706" s="63" t="s">
        <v>2220</v>
      </c>
      <c r="F1706" s="62" t="s">
        <v>2221</v>
      </c>
      <c r="G1706" s="161" t="s">
        <v>31</v>
      </c>
      <c r="H1706" s="45" t="s">
        <v>2222</v>
      </c>
      <c r="I1706" s="47" t="e">
        <f>VLOOKUP(H1706,'合同综合查询数据（3月返）'!$A:$A,1,FALSE)</f>
        <v>#N/A</v>
      </c>
      <c r="J1706" s="62" t="s">
        <v>33</v>
      </c>
      <c r="K1706" s="62" t="s">
        <v>2223</v>
      </c>
      <c r="L1706" s="164" t="s">
        <v>2221</v>
      </c>
      <c r="M1706" s="50" t="s">
        <v>2227</v>
      </c>
      <c r="N1706" s="165">
        <v>43210</v>
      </c>
      <c r="O1706" s="172"/>
      <c r="P1706" s="124">
        <v>0</v>
      </c>
      <c r="Q1706" s="112">
        <v>288</v>
      </c>
      <c r="R1706" s="68">
        <f t="shared" si="42"/>
        <v>0</v>
      </c>
      <c r="S1706" s="70">
        <v>202303</v>
      </c>
      <c r="T1706" s="170" t="s">
        <v>2228</v>
      </c>
      <c r="U1706" s="170"/>
      <c r="V1706" s="146"/>
      <c r="W1706" s="146"/>
      <c r="X1706" s="73"/>
      <c r="Y1706" s="73"/>
    </row>
    <row r="1707" s="10" customFormat="1" customHeight="1" spans="1:25">
      <c r="A1707" s="60" t="s">
        <v>399</v>
      </c>
      <c r="B1707" s="61" t="s">
        <v>62</v>
      </c>
      <c r="C1707" s="60" t="s">
        <v>217</v>
      </c>
      <c r="D1707" s="60" t="s">
        <v>566</v>
      </c>
      <c r="E1707" s="63" t="s">
        <v>2220</v>
      </c>
      <c r="F1707" s="62" t="s">
        <v>2221</v>
      </c>
      <c r="G1707" s="161" t="s">
        <v>31</v>
      </c>
      <c r="H1707" s="45" t="s">
        <v>2222</v>
      </c>
      <c r="I1707" s="47" t="e">
        <f>VLOOKUP(H1707,'合同综合查询数据（3月返）'!$A:$A,1,FALSE)</f>
        <v>#N/A</v>
      </c>
      <c r="J1707" s="62" t="s">
        <v>33</v>
      </c>
      <c r="K1707" s="62" t="s">
        <v>2223</v>
      </c>
      <c r="L1707" s="164" t="s">
        <v>2221</v>
      </c>
      <c r="M1707" s="50" t="s">
        <v>2227</v>
      </c>
      <c r="N1707" s="165">
        <v>44681</v>
      </c>
      <c r="O1707" s="172"/>
      <c r="P1707" s="124">
        <v>0</v>
      </c>
      <c r="Q1707" s="112">
        <v>-288</v>
      </c>
      <c r="R1707" s="68">
        <f t="shared" si="42"/>
        <v>0</v>
      </c>
      <c r="S1707" s="70">
        <v>202303</v>
      </c>
      <c r="T1707" s="170" t="s">
        <v>2229</v>
      </c>
      <c r="U1707" s="170"/>
      <c r="V1707" s="146"/>
      <c r="W1707" s="146"/>
      <c r="X1707" s="73"/>
      <c r="Y1707" s="73"/>
    </row>
    <row r="1708" s="10" customFormat="1" customHeight="1" spans="1:25">
      <c r="A1708" s="60" t="s">
        <v>399</v>
      </c>
      <c r="B1708" s="61" t="s">
        <v>62</v>
      </c>
      <c r="C1708" s="60" t="s">
        <v>217</v>
      </c>
      <c r="D1708" s="60" t="s">
        <v>566</v>
      </c>
      <c r="E1708" s="63" t="s">
        <v>2220</v>
      </c>
      <c r="F1708" s="62" t="s">
        <v>2221</v>
      </c>
      <c r="G1708" s="161" t="s">
        <v>88</v>
      </c>
      <c r="H1708" s="45" t="s">
        <v>2222</v>
      </c>
      <c r="I1708" s="47" t="e">
        <f>VLOOKUP(H1708,'合同综合查询数据（3月返）'!$A:$A,1,FALSE)</f>
        <v>#N/A</v>
      </c>
      <c r="J1708" s="62" t="s">
        <v>126</v>
      </c>
      <c r="K1708" s="62" t="s">
        <v>2230</v>
      </c>
      <c r="L1708" s="66" t="s">
        <v>2231</v>
      </c>
      <c r="M1708" s="50" t="s">
        <v>2232</v>
      </c>
      <c r="N1708" s="165">
        <v>43405</v>
      </c>
      <c r="O1708" s="172" t="s">
        <v>624</v>
      </c>
      <c r="P1708" s="124">
        <v>4000</v>
      </c>
      <c r="Q1708" s="112">
        <v>4</v>
      </c>
      <c r="R1708" s="68">
        <f t="shared" si="42"/>
        <v>16000</v>
      </c>
      <c r="S1708" s="70">
        <v>202303</v>
      </c>
      <c r="T1708" s="170" t="s">
        <v>2233</v>
      </c>
      <c r="U1708" s="170"/>
      <c r="V1708" s="146"/>
      <c r="W1708" s="146"/>
      <c r="X1708" s="73"/>
      <c r="Y1708" s="73"/>
    </row>
    <row r="1709" s="10" customFormat="1" customHeight="1" spans="1:25">
      <c r="A1709" s="60" t="s">
        <v>399</v>
      </c>
      <c r="B1709" s="61" t="s">
        <v>62</v>
      </c>
      <c r="C1709" s="60" t="s">
        <v>217</v>
      </c>
      <c r="D1709" s="60" t="s">
        <v>566</v>
      </c>
      <c r="E1709" s="63" t="s">
        <v>2220</v>
      </c>
      <c r="F1709" s="62" t="s">
        <v>2221</v>
      </c>
      <c r="G1709" s="161" t="s">
        <v>31</v>
      </c>
      <c r="H1709" s="45" t="s">
        <v>2222</v>
      </c>
      <c r="I1709" s="47" t="e">
        <f>VLOOKUP(H1709,'合同综合查询数据（3月返）'!$A:$A,1,FALSE)</f>
        <v>#N/A</v>
      </c>
      <c r="J1709" s="62" t="s">
        <v>33</v>
      </c>
      <c r="K1709" s="62" t="s">
        <v>2230</v>
      </c>
      <c r="L1709" s="66" t="s">
        <v>2231</v>
      </c>
      <c r="M1709" s="50" t="s">
        <v>2234</v>
      </c>
      <c r="N1709" s="165">
        <v>43405</v>
      </c>
      <c r="O1709" s="172"/>
      <c r="P1709" s="124">
        <v>0</v>
      </c>
      <c r="Q1709" s="112">
        <v>256</v>
      </c>
      <c r="R1709" s="68">
        <f t="shared" si="42"/>
        <v>0</v>
      </c>
      <c r="S1709" s="70">
        <v>202303</v>
      </c>
      <c r="T1709" s="170" t="s">
        <v>2235</v>
      </c>
      <c r="U1709" s="170"/>
      <c r="V1709" s="146"/>
      <c r="W1709" s="146"/>
      <c r="X1709" s="73"/>
      <c r="Y1709" s="73"/>
    </row>
    <row r="1710" s="10" customFormat="1" customHeight="1" spans="1:25">
      <c r="A1710" s="60" t="s">
        <v>399</v>
      </c>
      <c r="B1710" s="61" t="s">
        <v>62</v>
      </c>
      <c r="C1710" s="60" t="s">
        <v>217</v>
      </c>
      <c r="D1710" s="60" t="s">
        <v>566</v>
      </c>
      <c r="E1710" s="63" t="s">
        <v>2220</v>
      </c>
      <c r="F1710" s="62" t="s">
        <v>2221</v>
      </c>
      <c r="G1710" s="161" t="s">
        <v>88</v>
      </c>
      <c r="H1710" s="45" t="s">
        <v>2222</v>
      </c>
      <c r="I1710" s="47" t="e">
        <f>VLOOKUP(H1710,'合同综合查询数据（3月返）'!$A:$A,1,FALSE)</f>
        <v>#N/A</v>
      </c>
      <c r="J1710" s="62" t="s">
        <v>126</v>
      </c>
      <c r="K1710" s="62" t="s">
        <v>2236</v>
      </c>
      <c r="L1710" s="66" t="s">
        <v>2237</v>
      </c>
      <c r="M1710" s="50" t="s">
        <v>2238</v>
      </c>
      <c r="N1710" s="165">
        <v>43580</v>
      </c>
      <c r="O1710" s="172" t="s">
        <v>624</v>
      </c>
      <c r="P1710" s="124">
        <v>4000</v>
      </c>
      <c r="Q1710" s="112">
        <v>10</v>
      </c>
      <c r="R1710" s="68">
        <f t="shared" si="42"/>
        <v>40000</v>
      </c>
      <c r="S1710" s="70">
        <v>202303</v>
      </c>
      <c r="T1710" s="170" t="s">
        <v>2239</v>
      </c>
      <c r="U1710" s="170"/>
      <c r="V1710" s="146"/>
      <c r="W1710" s="146"/>
      <c r="X1710" s="73"/>
      <c r="Y1710" s="73"/>
    </row>
    <row r="1711" s="10" customFormat="1" customHeight="1" spans="1:25">
      <c r="A1711" s="60" t="s">
        <v>399</v>
      </c>
      <c r="B1711" s="61" t="s">
        <v>62</v>
      </c>
      <c r="C1711" s="60" t="s">
        <v>217</v>
      </c>
      <c r="D1711" s="60" t="s">
        <v>566</v>
      </c>
      <c r="E1711" s="63" t="s">
        <v>2220</v>
      </c>
      <c r="F1711" s="62" t="s">
        <v>2221</v>
      </c>
      <c r="G1711" s="161" t="s">
        <v>88</v>
      </c>
      <c r="H1711" s="45" t="s">
        <v>2222</v>
      </c>
      <c r="I1711" s="47" t="e">
        <f>VLOOKUP(H1711,'合同综合查询数据（3月返）'!$A:$A,1,FALSE)</f>
        <v>#N/A</v>
      </c>
      <c r="J1711" s="62" t="s">
        <v>126</v>
      </c>
      <c r="K1711" s="62" t="s">
        <v>2236</v>
      </c>
      <c r="L1711" s="66" t="s">
        <v>2237</v>
      </c>
      <c r="M1711" s="50" t="s">
        <v>2238</v>
      </c>
      <c r="N1711" s="165">
        <v>43580</v>
      </c>
      <c r="O1711" s="172" t="s">
        <v>624</v>
      </c>
      <c r="P1711" s="124">
        <v>4000</v>
      </c>
      <c r="Q1711" s="112">
        <v>3</v>
      </c>
      <c r="R1711" s="68">
        <f t="shared" si="42"/>
        <v>12000</v>
      </c>
      <c r="S1711" s="70">
        <v>202303</v>
      </c>
      <c r="T1711" s="170" t="s">
        <v>2240</v>
      </c>
      <c r="U1711" s="170"/>
      <c r="V1711" s="146"/>
      <c r="W1711" s="146"/>
      <c r="X1711" s="73"/>
      <c r="Y1711" s="73"/>
    </row>
    <row r="1712" s="10" customFormat="1" customHeight="1" spans="1:25">
      <c r="A1712" s="60" t="s">
        <v>399</v>
      </c>
      <c r="B1712" s="61" t="s">
        <v>62</v>
      </c>
      <c r="C1712" s="60" t="s">
        <v>217</v>
      </c>
      <c r="D1712" s="60" t="s">
        <v>566</v>
      </c>
      <c r="E1712" s="63" t="s">
        <v>2220</v>
      </c>
      <c r="F1712" s="62" t="s">
        <v>2221</v>
      </c>
      <c r="G1712" s="161" t="s">
        <v>88</v>
      </c>
      <c r="H1712" s="45" t="s">
        <v>2222</v>
      </c>
      <c r="I1712" s="47" t="e">
        <f>VLOOKUP(H1712,'合同综合查询数据（3月返）'!$A:$A,1,FALSE)</f>
        <v>#N/A</v>
      </c>
      <c r="J1712" s="62" t="s">
        <v>126</v>
      </c>
      <c r="K1712" s="62" t="s">
        <v>2236</v>
      </c>
      <c r="L1712" s="66" t="s">
        <v>2237</v>
      </c>
      <c r="M1712" s="50" t="s">
        <v>2238</v>
      </c>
      <c r="N1712" s="165">
        <v>44712</v>
      </c>
      <c r="O1712" s="172" t="s">
        <v>624</v>
      </c>
      <c r="P1712" s="124">
        <v>4000</v>
      </c>
      <c r="Q1712" s="112">
        <v>-6</v>
      </c>
      <c r="R1712" s="68">
        <f t="shared" si="42"/>
        <v>-24000</v>
      </c>
      <c r="S1712" s="70">
        <v>202303</v>
      </c>
      <c r="T1712" s="170" t="s">
        <v>2241</v>
      </c>
      <c r="U1712" s="170"/>
      <c r="V1712" s="146"/>
      <c r="W1712" s="146"/>
      <c r="X1712" s="73"/>
      <c r="Y1712" s="73"/>
    </row>
    <row r="1713" s="10" customFormat="1" customHeight="1" spans="1:25">
      <c r="A1713" s="60" t="s">
        <v>399</v>
      </c>
      <c r="B1713" s="61" t="s">
        <v>62</v>
      </c>
      <c r="C1713" s="60" t="s">
        <v>217</v>
      </c>
      <c r="D1713" s="60" t="s">
        <v>566</v>
      </c>
      <c r="E1713" s="63" t="s">
        <v>2220</v>
      </c>
      <c r="F1713" s="62" t="s">
        <v>2221</v>
      </c>
      <c r="G1713" s="161" t="s">
        <v>88</v>
      </c>
      <c r="H1713" s="45" t="s">
        <v>2222</v>
      </c>
      <c r="I1713" s="47" t="e">
        <f>VLOOKUP(H1713,'合同综合查询数据（3月返）'!$A:$A,1,FALSE)</f>
        <v>#N/A</v>
      </c>
      <c r="J1713" s="62" t="s">
        <v>126</v>
      </c>
      <c r="K1713" s="62" t="s">
        <v>2236</v>
      </c>
      <c r="L1713" s="66" t="s">
        <v>2237</v>
      </c>
      <c r="M1713" s="50" t="s">
        <v>2238</v>
      </c>
      <c r="N1713" s="165">
        <v>44317</v>
      </c>
      <c r="O1713" s="172" t="s">
        <v>624</v>
      </c>
      <c r="P1713" s="124">
        <v>4000</v>
      </c>
      <c r="Q1713" s="112">
        <v>1</v>
      </c>
      <c r="R1713" s="68">
        <f t="shared" si="42"/>
        <v>4000</v>
      </c>
      <c r="S1713" s="70">
        <v>202303</v>
      </c>
      <c r="T1713" s="170" t="s">
        <v>2242</v>
      </c>
      <c r="U1713" s="170"/>
      <c r="V1713" s="146"/>
      <c r="W1713" s="146"/>
      <c r="X1713" s="73"/>
      <c r="Y1713" s="73"/>
    </row>
    <row r="1714" s="10" customFormat="1" customHeight="1" spans="1:25">
      <c r="A1714" s="60" t="s">
        <v>399</v>
      </c>
      <c r="B1714" s="61" t="s">
        <v>62</v>
      </c>
      <c r="C1714" s="60" t="s">
        <v>217</v>
      </c>
      <c r="D1714" s="60" t="s">
        <v>566</v>
      </c>
      <c r="E1714" s="63" t="s">
        <v>2220</v>
      </c>
      <c r="F1714" s="62" t="s">
        <v>2221</v>
      </c>
      <c r="G1714" s="161" t="s">
        <v>88</v>
      </c>
      <c r="H1714" s="45" t="s">
        <v>2222</v>
      </c>
      <c r="I1714" s="47" t="e">
        <f>VLOOKUP(H1714,'合同综合查询数据（3月返）'!$A:$A,1,FALSE)</f>
        <v>#N/A</v>
      </c>
      <c r="J1714" s="62" t="s">
        <v>126</v>
      </c>
      <c r="K1714" s="62" t="s">
        <v>2236</v>
      </c>
      <c r="L1714" s="66" t="s">
        <v>2237</v>
      </c>
      <c r="M1714" s="50" t="s">
        <v>2238</v>
      </c>
      <c r="N1714" s="165">
        <v>44573</v>
      </c>
      <c r="O1714" s="172" t="s">
        <v>624</v>
      </c>
      <c r="P1714" s="124">
        <v>4000</v>
      </c>
      <c r="Q1714" s="112">
        <v>2</v>
      </c>
      <c r="R1714" s="68">
        <f t="shared" si="42"/>
        <v>8000</v>
      </c>
      <c r="S1714" s="70">
        <v>202303</v>
      </c>
      <c r="T1714" s="170" t="s">
        <v>2243</v>
      </c>
      <c r="U1714" s="170"/>
      <c r="V1714" s="146"/>
      <c r="W1714" s="146"/>
      <c r="X1714" s="73"/>
      <c r="Y1714" s="73"/>
    </row>
    <row r="1715" s="10" customFormat="1" customHeight="1" spans="1:25">
      <c r="A1715" s="60" t="s">
        <v>399</v>
      </c>
      <c r="B1715" s="61" t="s">
        <v>62</v>
      </c>
      <c r="C1715" s="60" t="s">
        <v>217</v>
      </c>
      <c r="D1715" s="60" t="s">
        <v>566</v>
      </c>
      <c r="E1715" s="63" t="s">
        <v>2220</v>
      </c>
      <c r="F1715" s="62" t="s">
        <v>2221</v>
      </c>
      <c r="G1715" s="161" t="s">
        <v>88</v>
      </c>
      <c r="H1715" s="45" t="s">
        <v>2222</v>
      </c>
      <c r="I1715" s="47" t="e">
        <f>VLOOKUP(H1715,'合同综合查询数据（3月返）'!$A:$A,1,FALSE)</f>
        <v>#N/A</v>
      </c>
      <c r="J1715" s="62" t="s">
        <v>126</v>
      </c>
      <c r="K1715" s="62" t="s">
        <v>2236</v>
      </c>
      <c r="L1715" s="66" t="s">
        <v>2237</v>
      </c>
      <c r="M1715" s="50" t="s">
        <v>2238</v>
      </c>
      <c r="N1715" s="165">
        <v>44773</v>
      </c>
      <c r="O1715" s="172" t="s">
        <v>624</v>
      </c>
      <c r="P1715" s="124">
        <v>4000</v>
      </c>
      <c r="Q1715" s="112">
        <v>-4</v>
      </c>
      <c r="R1715" s="68">
        <f t="shared" si="42"/>
        <v>-16000</v>
      </c>
      <c r="S1715" s="70">
        <v>202303</v>
      </c>
      <c r="T1715" s="170" t="s">
        <v>2244</v>
      </c>
      <c r="U1715" s="170"/>
      <c r="V1715" s="146"/>
      <c r="W1715" s="146"/>
      <c r="X1715" s="73"/>
      <c r="Y1715" s="73"/>
    </row>
    <row r="1716" s="10" customFormat="1" customHeight="1" spans="1:25">
      <c r="A1716" s="60" t="s">
        <v>399</v>
      </c>
      <c r="B1716" s="61" t="s">
        <v>62</v>
      </c>
      <c r="C1716" s="60" t="s">
        <v>217</v>
      </c>
      <c r="D1716" s="60" t="s">
        <v>566</v>
      </c>
      <c r="E1716" s="63" t="s">
        <v>2220</v>
      </c>
      <c r="F1716" s="62" t="s">
        <v>2221</v>
      </c>
      <c r="G1716" s="161" t="s">
        <v>88</v>
      </c>
      <c r="H1716" s="45" t="s">
        <v>2245</v>
      </c>
      <c r="I1716" s="47" t="e">
        <f>VLOOKUP(H1716,'合同综合查询数据（3月返）'!$A:$A,1,FALSE)</f>
        <v>#N/A</v>
      </c>
      <c r="J1716" s="62" t="s">
        <v>126</v>
      </c>
      <c r="K1716" s="62" t="s">
        <v>2230</v>
      </c>
      <c r="L1716" s="66" t="s">
        <v>2231</v>
      </c>
      <c r="M1716" s="50" t="s">
        <v>2232</v>
      </c>
      <c r="N1716" s="165">
        <v>44777</v>
      </c>
      <c r="O1716" s="172" t="s">
        <v>624</v>
      </c>
      <c r="P1716" s="124">
        <v>0</v>
      </c>
      <c r="Q1716" s="112">
        <v>1</v>
      </c>
      <c r="R1716" s="68">
        <f t="shared" si="42"/>
        <v>0</v>
      </c>
      <c r="S1716" s="70">
        <v>202303</v>
      </c>
      <c r="T1716" s="170" t="s">
        <v>2246</v>
      </c>
      <c r="U1716" s="170"/>
      <c r="V1716" s="146"/>
      <c r="W1716" s="146"/>
      <c r="X1716" s="73"/>
      <c r="Y1716" s="73"/>
    </row>
    <row r="1717" s="10" customFormat="1" customHeight="1" spans="1:25">
      <c r="A1717" s="60" t="s">
        <v>399</v>
      </c>
      <c r="B1717" s="61" t="s">
        <v>62</v>
      </c>
      <c r="C1717" s="60" t="s">
        <v>217</v>
      </c>
      <c r="D1717" s="60" t="s">
        <v>566</v>
      </c>
      <c r="E1717" s="63" t="s">
        <v>2220</v>
      </c>
      <c r="F1717" s="62" t="s">
        <v>2221</v>
      </c>
      <c r="G1717" s="161" t="s">
        <v>88</v>
      </c>
      <c r="H1717" s="45" t="s">
        <v>2245</v>
      </c>
      <c r="I1717" s="47" t="e">
        <f>VLOOKUP(H1717,'合同综合查询数据（3月返）'!$A:$A,1,FALSE)</f>
        <v>#N/A</v>
      </c>
      <c r="J1717" s="62" t="s">
        <v>126</v>
      </c>
      <c r="K1717" s="62" t="s">
        <v>2230</v>
      </c>
      <c r="L1717" s="66" t="s">
        <v>2231</v>
      </c>
      <c r="M1717" s="50" t="s">
        <v>2232</v>
      </c>
      <c r="N1717" s="165">
        <v>44774</v>
      </c>
      <c r="O1717" s="172" t="s">
        <v>624</v>
      </c>
      <c r="P1717" s="124">
        <v>4000</v>
      </c>
      <c r="Q1717" s="112">
        <v>1</v>
      </c>
      <c r="R1717" s="68">
        <f t="shared" si="42"/>
        <v>4000</v>
      </c>
      <c r="S1717" s="70">
        <v>202303</v>
      </c>
      <c r="T1717" s="170" t="s">
        <v>2247</v>
      </c>
      <c r="U1717" s="170"/>
      <c r="V1717" s="146"/>
      <c r="W1717" s="146"/>
      <c r="X1717" s="73"/>
      <c r="Y1717" s="73"/>
    </row>
    <row r="1718" s="10" customFormat="1" customHeight="1" spans="1:25">
      <c r="A1718" s="61" t="s">
        <v>399</v>
      </c>
      <c r="B1718" s="60" t="s">
        <v>62</v>
      </c>
      <c r="C1718" s="61" t="s">
        <v>217</v>
      </c>
      <c r="D1718" s="60" t="s">
        <v>566</v>
      </c>
      <c r="E1718" s="160" t="s">
        <v>2220</v>
      </c>
      <c r="F1718" s="61" t="s">
        <v>2221</v>
      </c>
      <c r="G1718" s="161" t="s">
        <v>67</v>
      </c>
      <c r="H1718" s="45" t="s">
        <v>2245</v>
      </c>
      <c r="I1718" s="47" t="e">
        <f>VLOOKUP(H1718,'合同综合查询数据（3月返）'!$A:$A,1,FALSE)</f>
        <v>#N/A</v>
      </c>
      <c r="J1718" s="135" t="s">
        <v>69</v>
      </c>
      <c r="K1718" s="135"/>
      <c r="L1718" s="164" t="s">
        <v>2248</v>
      </c>
      <c r="M1718" s="50"/>
      <c r="N1718" s="165">
        <v>44743</v>
      </c>
      <c r="O1718" s="234" t="s">
        <v>2249</v>
      </c>
      <c r="P1718" s="196">
        <v>3500</v>
      </c>
      <c r="Q1718" s="237">
        <v>2</v>
      </c>
      <c r="R1718" s="68">
        <f t="shared" si="42"/>
        <v>7000</v>
      </c>
      <c r="S1718" s="70">
        <v>202303</v>
      </c>
      <c r="T1718" s="170" t="s">
        <v>2250</v>
      </c>
      <c r="U1718" s="170"/>
      <c r="V1718" s="146"/>
      <c r="W1718" s="146"/>
      <c r="X1718" s="73"/>
      <c r="Y1718" s="73"/>
    </row>
    <row r="1719" s="10" customFormat="1" customHeight="1" spans="1:25">
      <c r="A1719" s="60" t="s">
        <v>399</v>
      </c>
      <c r="B1719" s="61" t="s">
        <v>62</v>
      </c>
      <c r="C1719" s="60" t="s">
        <v>217</v>
      </c>
      <c r="D1719" s="60" t="s">
        <v>566</v>
      </c>
      <c r="E1719" s="63" t="s">
        <v>2220</v>
      </c>
      <c r="F1719" s="62" t="s">
        <v>2221</v>
      </c>
      <c r="G1719" s="161" t="s">
        <v>88</v>
      </c>
      <c r="H1719" s="45" t="s">
        <v>2251</v>
      </c>
      <c r="I1719" s="47" t="e">
        <f>VLOOKUP(H1719,'合同综合查询数据（3月返）'!$A:$A,1,FALSE)</f>
        <v>#N/A</v>
      </c>
      <c r="J1719" s="62" t="s">
        <v>126</v>
      </c>
      <c r="K1719" s="62" t="s">
        <v>2230</v>
      </c>
      <c r="L1719" s="66" t="s">
        <v>2231</v>
      </c>
      <c r="M1719" s="50" t="s">
        <v>2232</v>
      </c>
      <c r="N1719" s="165">
        <v>43405</v>
      </c>
      <c r="O1719" s="172" t="s">
        <v>624</v>
      </c>
      <c r="P1719" s="124">
        <v>4000</v>
      </c>
      <c r="Q1719" s="112">
        <v>2</v>
      </c>
      <c r="R1719" s="68">
        <f t="shared" si="42"/>
        <v>8000</v>
      </c>
      <c r="S1719" s="70">
        <v>202303</v>
      </c>
      <c r="T1719" s="170" t="s">
        <v>2252</v>
      </c>
      <c r="U1719" s="170"/>
      <c r="V1719" s="146"/>
      <c r="W1719" s="146"/>
      <c r="X1719" s="73"/>
      <c r="Y1719" s="73"/>
    </row>
    <row r="1720" s="9" customFormat="1" customHeight="1" spans="1:25">
      <c r="A1720" s="98" t="s">
        <v>399</v>
      </c>
      <c r="B1720" s="96" t="s">
        <v>62</v>
      </c>
      <c r="C1720" s="98" t="s">
        <v>130</v>
      </c>
      <c r="D1720" s="98" t="s">
        <v>881</v>
      </c>
      <c r="E1720" s="147" t="s">
        <v>2253</v>
      </c>
      <c r="F1720" s="98" t="s">
        <v>2254</v>
      </c>
      <c r="G1720" s="151" t="s">
        <v>88</v>
      </c>
      <c r="H1720" s="19" t="s">
        <v>2255</v>
      </c>
      <c r="I1720" s="23" t="str">
        <f>VLOOKUP(H1720,'合同综合查询数据（3月返）'!$A:$A,1,FALSE)</f>
        <v>182315IDC00078</v>
      </c>
      <c r="J1720" s="129" t="s">
        <v>2256</v>
      </c>
      <c r="K1720" s="129" t="s">
        <v>132</v>
      </c>
      <c r="L1720" s="153"/>
      <c r="M1720" s="26" t="s">
        <v>2257</v>
      </c>
      <c r="N1720" s="154">
        <v>43311</v>
      </c>
      <c r="O1720" s="155" t="s">
        <v>92</v>
      </c>
      <c r="P1720" s="174">
        <v>5000</v>
      </c>
      <c r="Q1720" s="174">
        <v>4</v>
      </c>
      <c r="R1720" s="120">
        <f t="shared" si="42"/>
        <v>20000</v>
      </c>
      <c r="S1720" s="117">
        <v>202303</v>
      </c>
      <c r="T1720" s="157" t="s">
        <v>2258</v>
      </c>
      <c r="U1720" s="157"/>
      <c r="V1720" s="122"/>
      <c r="W1720" s="122"/>
      <c r="X1720" s="118">
        <v>44927</v>
      </c>
      <c r="Y1720" s="118">
        <v>45107</v>
      </c>
    </row>
    <row r="1721" s="9" customFormat="1" customHeight="1" spans="1:25">
      <c r="A1721" s="98" t="s">
        <v>399</v>
      </c>
      <c r="B1721" s="96" t="s">
        <v>62</v>
      </c>
      <c r="C1721" s="98" t="s">
        <v>130</v>
      </c>
      <c r="D1721" s="98" t="s">
        <v>881</v>
      </c>
      <c r="E1721" s="147" t="s">
        <v>2253</v>
      </c>
      <c r="F1721" s="98" t="s">
        <v>2254</v>
      </c>
      <c r="G1721" s="151" t="s">
        <v>88</v>
      </c>
      <c r="H1721" s="19" t="s">
        <v>2255</v>
      </c>
      <c r="I1721" s="23" t="str">
        <f>VLOOKUP(H1721,'合同综合查询数据（3月返）'!$A:$A,1,FALSE)</f>
        <v>182315IDC00078</v>
      </c>
      <c r="J1721" s="129" t="s">
        <v>2256</v>
      </c>
      <c r="K1721" s="129" t="s">
        <v>132</v>
      </c>
      <c r="L1721" s="153"/>
      <c r="M1721" s="26" t="s">
        <v>2257</v>
      </c>
      <c r="N1721" s="154">
        <v>43686</v>
      </c>
      <c r="O1721" s="155" t="s">
        <v>92</v>
      </c>
      <c r="P1721" s="174">
        <v>5000</v>
      </c>
      <c r="Q1721" s="174">
        <v>-4</v>
      </c>
      <c r="R1721" s="120">
        <f t="shared" si="42"/>
        <v>-20000</v>
      </c>
      <c r="S1721" s="117">
        <v>202303</v>
      </c>
      <c r="T1721" s="157" t="s">
        <v>2259</v>
      </c>
      <c r="U1721" s="157"/>
      <c r="V1721" s="122"/>
      <c r="W1721" s="122"/>
      <c r="X1721" s="118">
        <v>44927</v>
      </c>
      <c r="Y1721" s="118">
        <v>45107</v>
      </c>
    </row>
    <row r="1722" s="9" customFormat="1" customHeight="1" spans="1:25">
      <c r="A1722" s="98" t="s">
        <v>399</v>
      </c>
      <c r="B1722" s="96" t="s">
        <v>62</v>
      </c>
      <c r="C1722" s="98" t="s">
        <v>130</v>
      </c>
      <c r="D1722" s="98" t="s">
        <v>881</v>
      </c>
      <c r="E1722" s="147" t="s">
        <v>2253</v>
      </c>
      <c r="F1722" s="98" t="s">
        <v>2254</v>
      </c>
      <c r="G1722" s="151" t="s">
        <v>88</v>
      </c>
      <c r="H1722" s="19" t="s">
        <v>2255</v>
      </c>
      <c r="I1722" s="23" t="str">
        <f>VLOOKUP(H1722,'合同综合查询数据（3月返）'!$A:$A,1,FALSE)</f>
        <v>182315IDC00078</v>
      </c>
      <c r="J1722" s="129" t="s">
        <v>2256</v>
      </c>
      <c r="K1722" s="129" t="s">
        <v>132</v>
      </c>
      <c r="L1722" s="153" t="s">
        <v>2254</v>
      </c>
      <c r="M1722" s="26" t="s">
        <v>2260</v>
      </c>
      <c r="N1722" s="154">
        <v>43101</v>
      </c>
      <c r="O1722" s="155" t="s">
        <v>92</v>
      </c>
      <c r="P1722" s="174">
        <v>5000</v>
      </c>
      <c r="Q1722" s="174">
        <v>9</v>
      </c>
      <c r="R1722" s="120">
        <f t="shared" si="42"/>
        <v>45000</v>
      </c>
      <c r="S1722" s="117">
        <v>202303</v>
      </c>
      <c r="T1722" s="157" t="s">
        <v>2261</v>
      </c>
      <c r="U1722" s="157"/>
      <c r="V1722" s="122"/>
      <c r="W1722" s="122"/>
      <c r="X1722" s="118">
        <v>44927</v>
      </c>
      <c r="Y1722" s="118">
        <v>45107</v>
      </c>
    </row>
    <row r="1723" s="9" customFormat="1" customHeight="1" spans="1:25">
      <c r="A1723" s="98" t="s">
        <v>399</v>
      </c>
      <c r="B1723" s="96" t="s">
        <v>62</v>
      </c>
      <c r="C1723" s="98" t="s">
        <v>130</v>
      </c>
      <c r="D1723" s="98" t="s">
        <v>881</v>
      </c>
      <c r="E1723" s="147" t="s">
        <v>2253</v>
      </c>
      <c r="F1723" s="98" t="s">
        <v>2254</v>
      </c>
      <c r="G1723" s="151" t="s">
        <v>88</v>
      </c>
      <c r="H1723" s="19" t="s">
        <v>2255</v>
      </c>
      <c r="I1723" s="23" t="str">
        <f>VLOOKUP(H1723,'合同综合查询数据（3月返）'!$A:$A,1,FALSE)</f>
        <v>182315IDC00078</v>
      </c>
      <c r="J1723" s="129" t="s">
        <v>2256</v>
      </c>
      <c r="K1723" s="129" t="s">
        <v>132</v>
      </c>
      <c r="L1723" s="153" t="s">
        <v>2254</v>
      </c>
      <c r="M1723" s="26" t="s">
        <v>2260</v>
      </c>
      <c r="N1723" s="154">
        <v>44773</v>
      </c>
      <c r="O1723" s="155" t="s">
        <v>92</v>
      </c>
      <c r="P1723" s="174">
        <v>5000</v>
      </c>
      <c r="Q1723" s="174">
        <v>-9</v>
      </c>
      <c r="R1723" s="120">
        <f t="shared" si="42"/>
        <v>-45000</v>
      </c>
      <c r="S1723" s="117">
        <v>202303</v>
      </c>
      <c r="T1723" s="157" t="s">
        <v>2262</v>
      </c>
      <c r="U1723" s="157"/>
      <c r="V1723" s="122"/>
      <c r="W1723" s="122"/>
      <c r="X1723" s="118">
        <v>44927</v>
      </c>
      <c r="Y1723" s="118">
        <v>45107</v>
      </c>
    </row>
    <row r="1724" s="9" customFormat="1" customHeight="1" spans="1:25">
      <c r="A1724" s="98" t="s">
        <v>399</v>
      </c>
      <c r="B1724" s="96" t="s">
        <v>62</v>
      </c>
      <c r="C1724" s="98" t="s">
        <v>130</v>
      </c>
      <c r="D1724" s="98" t="s">
        <v>881</v>
      </c>
      <c r="E1724" s="147" t="s">
        <v>2253</v>
      </c>
      <c r="F1724" s="98" t="s">
        <v>2254</v>
      </c>
      <c r="G1724" s="151" t="s">
        <v>88</v>
      </c>
      <c r="H1724" s="19" t="s">
        <v>2255</v>
      </c>
      <c r="I1724" s="23" t="str">
        <f>VLOOKUP(H1724,'合同综合查询数据（3月返）'!$A:$A,1,FALSE)</f>
        <v>182315IDC00078</v>
      </c>
      <c r="J1724" s="129" t="s">
        <v>2256</v>
      </c>
      <c r="K1724" s="129" t="s">
        <v>132</v>
      </c>
      <c r="L1724" s="99" t="s">
        <v>2263</v>
      </c>
      <c r="M1724" s="26" t="s">
        <v>2264</v>
      </c>
      <c r="N1724" s="154">
        <v>43101</v>
      </c>
      <c r="O1724" s="155" t="s">
        <v>92</v>
      </c>
      <c r="P1724" s="174">
        <v>5000</v>
      </c>
      <c r="Q1724" s="174">
        <v>10</v>
      </c>
      <c r="R1724" s="120">
        <f t="shared" si="42"/>
        <v>50000</v>
      </c>
      <c r="S1724" s="117">
        <v>202303</v>
      </c>
      <c r="T1724" s="238" t="s">
        <v>2265</v>
      </c>
      <c r="U1724" s="157"/>
      <c r="V1724" s="122"/>
      <c r="W1724" s="122"/>
      <c r="X1724" s="118">
        <v>44927</v>
      </c>
      <c r="Y1724" s="118">
        <v>45107</v>
      </c>
    </row>
    <row r="1725" s="9" customFormat="1" customHeight="1" spans="1:25">
      <c r="A1725" s="98" t="s">
        <v>399</v>
      </c>
      <c r="B1725" s="96" t="s">
        <v>62</v>
      </c>
      <c r="C1725" s="98" t="s">
        <v>130</v>
      </c>
      <c r="D1725" s="98" t="s">
        <v>881</v>
      </c>
      <c r="E1725" s="147" t="s">
        <v>2253</v>
      </c>
      <c r="F1725" s="98" t="s">
        <v>2254</v>
      </c>
      <c r="G1725" s="151" t="s">
        <v>88</v>
      </c>
      <c r="H1725" s="19" t="s">
        <v>2255</v>
      </c>
      <c r="I1725" s="23" t="str">
        <f>VLOOKUP(H1725,'合同综合查询数据（3月返）'!$A:$A,1,FALSE)</f>
        <v>182315IDC00078</v>
      </c>
      <c r="J1725" s="129" t="s">
        <v>2256</v>
      </c>
      <c r="K1725" s="129" t="s">
        <v>132</v>
      </c>
      <c r="L1725" s="99" t="s">
        <v>2266</v>
      </c>
      <c r="M1725" s="26" t="s">
        <v>2264</v>
      </c>
      <c r="N1725" s="154">
        <v>43101</v>
      </c>
      <c r="O1725" s="155" t="s">
        <v>92</v>
      </c>
      <c r="P1725" s="174">
        <v>5000</v>
      </c>
      <c r="Q1725" s="174">
        <v>4</v>
      </c>
      <c r="R1725" s="120">
        <f t="shared" si="42"/>
        <v>20000</v>
      </c>
      <c r="S1725" s="117">
        <v>202303</v>
      </c>
      <c r="T1725" s="157" t="s">
        <v>2267</v>
      </c>
      <c r="U1725" s="157"/>
      <c r="V1725" s="122"/>
      <c r="W1725" s="122"/>
      <c r="X1725" s="118">
        <v>44927</v>
      </c>
      <c r="Y1725" s="118">
        <v>45107</v>
      </c>
    </row>
    <row r="1726" s="9" customFormat="1" customHeight="1" spans="1:25">
      <c r="A1726" s="98" t="s">
        <v>399</v>
      </c>
      <c r="B1726" s="96" t="s">
        <v>62</v>
      </c>
      <c r="C1726" s="98" t="s">
        <v>130</v>
      </c>
      <c r="D1726" s="98" t="s">
        <v>881</v>
      </c>
      <c r="E1726" s="147" t="s">
        <v>2253</v>
      </c>
      <c r="F1726" s="98" t="s">
        <v>2254</v>
      </c>
      <c r="G1726" s="151" t="s">
        <v>88</v>
      </c>
      <c r="H1726" s="19" t="s">
        <v>2255</v>
      </c>
      <c r="I1726" s="23" t="str">
        <f>VLOOKUP(H1726,'合同综合查询数据（3月返）'!$A:$A,1,FALSE)</f>
        <v>182315IDC00078</v>
      </c>
      <c r="J1726" s="129" t="s">
        <v>2256</v>
      </c>
      <c r="K1726" s="129" t="s">
        <v>132</v>
      </c>
      <c r="L1726" s="99" t="s">
        <v>2263</v>
      </c>
      <c r="M1726" s="26" t="s">
        <v>2264</v>
      </c>
      <c r="N1726" s="154">
        <v>44447</v>
      </c>
      <c r="O1726" s="155" t="s">
        <v>92</v>
      </c>
      <c r="P1726" s="174">
        <v>5000</v>
      </c>
      <c r="Q1726" s="174">
        <v>-3</v>
      </c>
      <c r="R1726" s="120">
        <f t="shared" si="42"/>
        <v>-15000</v>
      </c>
      <c r="S1726" s="117">
        <v>202303</v>
      </c>
      <c r="T1726" s="157" t="s">
        <v>2265</v>
      </c>
      <c r="U1726" s="157"/>
      <c r="V1726" s="122"/>
      <c r="W1726" s="122"/>
      <c r="X1726" s="118">
        <v>44927</v>
      </c>
      <c r="Y1726" s="118">
        <v>45107</v>
      </c>
    </row>
    <row r="1727" s="9" customFormat="1" customHeight="1" spans="1:25">
      <c r="A1727" s="98" t="s">
        <v>399</v>
      </c>
      <c r="B1727" s="96" t="s">
        <v>62</v>
      </c>
      <c r="C1727" s="98" t="s">
        <v>130</v>
      </c>
      <c r="D1727" s="98" t="s">
        <v>881</v>
      </c>
      <c r="E1727" s="147" t="s">
        <v>2253</v>
      </c>
      <c r="F1727" s="98" t="s">
        <v>2254</v>
      </c>
      <c r="G1727" s="151" t="s">
        <v>88</v>
      </c>
      <c r="H1727" s="19" t="s">
        <v>2255</v>
      </c>
      <c r="I1727" s="23" t="str">
        <f>VLOOKUP(H1727,'合同综合查询数据（3月返）'!$A:$A,1,FALSE)</f>
        <v>182315IDC00078</v>
      </c>
      <c r="J1727" s="129" t="s">
        <v>126</v>
      </c>
      <c r="K1727" s="129" t="s">
        <v>132</v>
      </c>
      <c r="L1727" s="99" t="s">
        <v>2266</v>
      </c>
      <c r="M1727" s="26" t="s">
        <v>2264</v>
      </c>
      <c r="N1727" s="154">
        <v>43686</v>
      </c>
      <c r="O1727" s="155" t="s">
        <v>92</v>
      </c>
      <c r="P1727" s="174">
        <v>5000</v>
      </c>
      <c r="Q1727" s="174">
        <v>3</v>
      </c>
      <c r="R1727" s="120">
        <f t="shared" si="42"/>
        <v>15000</v>
      </c>
      <c r="S1727" s="117">
        <v>202303</v>
      </c>
      <c r="T1727" s="157" t="s">
        <v>2268</v>
      </c>
      <c r="U1727" s="157"/>
      <c r="V1727" s="122"/>
      <c r="W1727" s="122"/>
      <c r="X1727" s="118">
        <v>44927</v>
      </c>
      <c r="Y1727" s="118">
        <v>45107</v>
      </c>
    </row>
    <row r="1728" s="9" customFormat="1" customHeight="1" spans="1:25">
      <c r="A1728" s="98" t="s">
        <v>399</v>
      </c>
      <c r="B1728" s="96" t="s">
        <v>62</v>
      </c>
      <c r="C1728" s="98" t="s">
        <v>130</v>
      </c>
      <c r="D1728" s="98" t="s">
        <v>881</v>
      </c>
      <c r="E1728" s="147" t="s">
        <v>2253</v>
      </c>
      <c r="F1728" s="98" t="s">
        <v>2254</v>
      </c>
      <c r="G1728" s="151" t="s">
        <v>88</v>
      </c>
      <c r="H1728" s="19" t="s">
        <v>2255</v>
      </c>
      <c r="I1728" s="23" t="str">
        <f>VLOOKUP(H1728,'合同综合查询数据（3月返）'!$A:$A,1,FALSE)</f>
        <v>182315IDC00078</v>
      </c>
      <c r="J1728" s="129" t="s">
        <v>126</v>
      </c>
      <c r="K1728" s="129" t="s">
        <v>132</v>
      </c>
      <c r="L1728" s="99" t="s">
        <v>2266</v>
      </c>
      <c r="M1728" s="26" t="s">
        <v>2264</v>
      </c>
      <c r="N1728" s="154">
        <v>44298</v>
      </c>
      <c r="O1728" s="155" t="s">
        <v>92</v>
      </c>
      <c r="P1728" s="174">
        <v>5000</v>
      </c>
      <c r="Q1728" s="174">
        <v>1</v>
      </c>
      <c r="R1728" s="120">
        <f t="shared" si="42"/>
        <v>5000</v>
      </c>
      <c r="S1728" s="117">
        <v>202303</v>
      </c>
      <c r="T1728" s="157" t="s">
        <v>2269</v>
      </c>
      <c r="U1728" s="157"/>
      <c r="V1728" s="122"/>
      <c r="W1728" s="122"/>
      <c r="X1728" s="118">
        <v>44927</v>
      </c>
      <c r="Y1728" s="118">
        <v>45107</v>
      </c>
    </row>
    <row r="1729" s="9" customFormat="1" customHeight="1" spans="1:25">
      <c r="A1729" s="98" t="s">
        <v>399</v>
      </c>
      <c r="B1729" s="96" t="s">
        <v>62</v>
      </c>
      <c r="C1729" s="98" t="s">
        <v>130</v>
      </c>
      <c r="D1729" s="98" t="s">
        <v>881</v>
      </c>
      <c r="E1729" s="147" t="s">
        <v>2253</v>
      </c>
      <c r="F1729" s="98" t="s">
        <v>2254</v>
      </c>
      <c r="G1729" s="151" t="s">
        <v>88</v>
      </c>
      <c r="H1729" s="19" t="s">
        <v>2255</v>
      </c>
      <c r="I1729" s="23" t="str">
        <f>VLOOKUP(H1729,'合同综合查询数据（3月返）'!$A:$A,1,FALSE)</f>
        <v>182315IDC00078</v>
      </c>
      <c r="J1729" s="129" t="s">
        <v>126</v>
      </c>
      <c r="K1729" s="129" t="s">
        <v>132</v>
      </c>
      <c r="L1729" s="99" t="s">
        <v>2266</v>
      </c>
      <c r="M1729" s="26" t="s">
        <v>2264</v>
      </c>
      <c r="N1729" s="154">
        <v>44729</v>
      </c>
      <c r="O1729" s="155" t="s">
        <v>92</v>
      </c>
      <c r="P1729" s="174">
        <v>5000</v>
      </c>
      <c r="Q1729" s="174">
        <v>-2</v>
      </c>
      <c r="R1729" s="120">
        <f t="shared" si="42"/>
        <v>-10000</v>
      </c>
      <c r="S1729" s="117">
        <v>202303</v>
      </c>
      <c r="T1729" s="157" t="s">
        <v>2270</v>
      </c>
      <c r="U1729" s="157"/>
      <c r="V1729" s="122"/>
      <c r="W1729" s="122"/>
      <c r="X1729" s="118">
        <v>44927</v>
      </c>
      <c r="Y1729" s="118">
        <v>45107</v>
      </c>
    </row>
    <row r="1730" s="9" customFormat="1" customHeight="1" spans="1:25">
      <c r="A1730" s="98" t="s">
        <v>399</v>
      </c>
      <c r="B1730" s="96" t="s">
        <v>62</v>
      </c>
      <c r="C1730" s="98" t="s">
        <v>130</v>
      </c>
      <c r="D1730" s="98" t="s">
        <v>881</v>
      </c>
      <c r="E1730" s="147" t="s">
        <v>2253</v>
      </c>
      <c r="F1730" s="98" t="s">
        <v>2254</v>
      </c>
      <c r="G1730" s="151" t="s">
        <v>31</v>
      </c>
      <c r="H1730" s="19" t="s">
        <v>2255</v>
      </c>
      <c r="I1730" s="23" t="str">
        <f>VLOOKUP(H1730,'合同综合查询数据（3月返）'!$A:$A,1,FALSE)</f>
        <v>182315IDC00078</v>
      </c>
      <c r="J1730" s="129" t="s">
        <v>33</v>
      </c>
      <c r="K1730" s="129" t="s">
        <v>132</v>
      </c>
      <c r="L1730" s="153" t="s">
        <v>2254</v>
      </c>
      <c r="M1730" s="26" t="s">
        <v>2264</v>
      </c>
      <c r="N1730" s="154" t="s">
        <v>1225</v>
      </c>
      <c r="O1730" s="155" t="s">
        <v>37</v>
      </c>
      <c r="P1730" s="174">
        <v>0</v>
      </c>
      <c r="Q1730" s="174">
        <v>544</v>
      </c>
      <c r="R1730" s="120">
        <f t="shared" si="42"/>
        <v>0</v>
      </c>
      <c r="S1730" s="117">
        <v>202303</v>
      </c>
      <c r="T1730" s="157" t="s">
        <v>2271</v>
      </c>
      <c r="U1730" s="157"/>
      <c r="V1730" s="122"/>
      <c r="W1730" s="122"/>
      <c r="X1730" s="118">
        <v>44927</v>
      </c>
      <c r="Y1730" s="118">
        <v>45107</v>
      </c>
    </row>
    <row r="1731" s="9" customFormat="1" customHeight="1" spans="1:25">
      <c r="A1731" s="98" t="s">
        <v>399</v>
      </c>
      <c r="B1731" s="96" t="s">
        <v>62</v>
      </c>
      <c r="C1731" s="98" t="s">
        <v>130</v>
      </c>
      <c r="D1731" s="98" t="s">
        <v>881</v>
      </c>
      <c r="E1731" s="147" t="s">
        <v>2253</v>
      </c>
      <c r="F1731" s="98" t="s">
        <v>2254</v>
      </c>
      <c r="G1731" s="151" t="s">
        <v>31</v>
      </c>
      <c r="H1731" s="19" t="s">
        <v>2255</v>
      </c>
      <c r="I1731" s="23" t="str">
        <f>VLOOKUP(H1731,'合同综合查询数据（3月返）'!$A:$A,1,FALSE)</f>
        <v>182315IDC00078</v>
      </c>
      <c r="J1731" s="129" t="s">
        <v>33</v>
      </c>
      <c r="K1731" s="129" t="s">
        <v>132</v>
      </c>
      <c r="L1731" s="153" t="s">
        <v>2254</v>
      </c>
      <c r="M1731" s="26" t="s">
        <v>2264</v>
      </c>
      <c r="N1731" s="154">
        <v>44773</v>
      </c>
      <c r="O1731" s="155" t="s">
        <v>37</v>
      </c>
      <c r="P1731" s="174">
        <v>0</v>
      </c>
      <c r="Q1731" s="174">
        <v>-544</v>
      </c>
      <c r="R1731" s="120">
        <f t="shared" si="42"/>
        <v>0</v>
      </c>
      <c r="S1731" s="117">
        <v>202303</v>
      </c>
      <c r="T1731" s="157" t="s">
        <v>2272</v>
      </c>
      <c r="U1731" s="157"/>
      <c r="V1731" s="122"/>
      <c r="W1731" s="122"/>
      <c r="X1731" s="118">
        <v>44927</v>
      </c>
      <c r="Y1731" s="118">
        <v>45107</v>
      </c>
    </row>
    <row r="1732" s="9" customFormat="1" customHeight="1" spans="1:25">
      <c r="A1732" s="98" t="s">
        <v>399</v>
      </c>
      <c r="B1732" s="96" t="s">
        <v>62</v>
      </c>
      <c r="C1732" s="98" t="s">
        <v>130</v>
      </c>
      <c r="D1732" s="98" t="s">
        <v>881</v>
      </c>
      <c r="E1732" s="147" t="s">
        <v>2253</v>
      </c>
      <c r="F1732" s="98" t="s">
        <v>2254</v>
      </c>
      <c r="G1732" s="151" t="s">
        <v>31</v>
      </c>
      <c r="H1732" s="19" t="s">
        <v>2255</v>
      </c>
      <c r="I1732" s="23" t="str">
        <f>VLOOKUP(H1732,'合同综合查询数据（3月返）'!$A:$A,1,FALSE)</f>
        <v>182315IDC00078</v>
      </c>
      <c r="J1732" s="129" t="s">
        <v>33</v>
      </c>
      <c r="K1732" s="129" t="s">
        <v>132</v>
      </c>
      <c r="L1732" s="153" t="s">
        <v>2266</v>
      </c>
      <c r="M1732" s="26" t="s">
        <v>2264</v>
      </c>
      <c r="N1732" s="154" t="s">
        <v>1225</v>
      </c>
      <c r="O1732" s="155" t="s">
        <v>37</v>
      </c>
      <c r="P1732" s="174">
        <v>0</v>
      </c>
      <c r="Q1732" s="174">
        <v>384</v>
      </c>
      <c r="R1732" s="120">
        <f t="shared" si="42"/>
        <v>0</v>
      </c>
      <c r="S1732" s="117">
        <v>202303</v>
      </c>
      <c r="T1732" s="157" t="s">
        <v>2273</v>
      </c>
      <c r="U1732" s="157"/>
      <c r="V1732" s="122"/>
      <c r="W1732" s="122"/>
      <c r="X1732" s="118">
        <v>44927</v>
      </c>
      <c r="Y1732" s="118">
        <v>45107</v>
      </c>
    </row>
    <row r="1733" s="9" customFormat="1" customHeight="1" spans="1:25">
      <c r="A1733" s="98" t="s">
        <v>399</v>
      </c>
      <c r="B1733" s="96" t="s">
        <v>62</v>
      </c>
      <c r="C1733" s="98" t="s">
        <v>130</v>
      </c>
      <c r="D1733" s="98" t="s">
        <v>881</v>
      </c>
      <c r="E1733" s="147" t="s">
        <v>2253</v>
      </c>
      <c r="F1733" s="98" t="s">
        <v>2254</v>
      </c>
      <c r="G1733" s="151" t="s">
        <v>31</v>
      </c>
      <c r="H1733" s="19" t="s">
        <v>2255</v>
      </c>
      <c r="I1733" s="23" t="str">
        <f>VLOOKUP(H1733,'合同综合查询数据（3月返）'!$A:$A,1,FALSE)</f>
        <v>182315IDC00078</v>
      </c>
      <c r="J1733" s="129" t="s">
        <v>33</v>
      </c>
      <c r="K1733" s="129" t="s">
        <v>132</v>
      </c>
      <c r="L1733" s="99" t="s">
        <v>2266</v>
      </c>
      <c r="M1733" s="26" t="s">
        <v>2264</v>
      </c>
      <c r="N1733" s="154" t="s">
        <v>1225</v>
      </c>
      <c r="O1733" s="155" t="s">
        <v>37</v>
      </c>
      <c r="P1733" s="174">
        <v>0</v>
      </c>
      <c r="Q1733" s="174">
        <v>288</v>
      </c>
      <c r="R1733" s="120">
        <f t="shared" si="42"/>
        <v>0</v>
      </c>
      <c r="S1733" s="117">
        <v>202303</v>
      </c>
      <c r="T1733" s="157" t="s">
        <v>2274</v>
      </c>
      <c r="U1733" s="157"/>
      <c r="V1733" s="122"/>
      <c r="W1733" s="122"/>
      <c r="X1733" s="118">
        <v>44927</v>
      </c>
      <c r="Y1733" s="118">
        <v>45107</v>
      </c>
    </row>
    <row r="1734" s="9" customFormat="1" customHeight="1" spans="1:25">
      <c r="A1734" s="98" t="s">
        <v>399</v>
      </c>
      <c r="B1734" s="96" t="s">
        <v>62</v>
      </c>
      <c r="C1734" s="98" t="s">
        <v>130</v>
      </c>
      <c r="D1734" s="98" t="s">
        <v>881</v>
      </c>
      <c r="E1734" s="147" t="s">
        <v>2253</v>
      </c>
      <c r="F1734" s="98" t="s">
        <v>2254</v>
      </c>
      <c r="G1734" s="151" t="s">
        <v>31</v>
      </c>
      <c r="H1734" s="19" t="s">
        <v>2255</v>
      </c>
      <c r="I1734" s="23" t="str">
        <f>VLOOKUP(H1734,'合同综合查询数据（3月返）'!$A:$A,1,FALSE)</f>
        <v>182315IDC00078</v>
      </c>
      <c r="J1734" s="129" t="s">
        <v>33</v>
      </c>
      <c r="K1734" s="129" t="s">
        <v>132</v>
      </c>
      <c r="L1734" s="99" t="s">
        <v>2263</v>
      </c>
      <c r="M1734" s="26" t="s">
        <v>2264</v>
      </c>
      <c r="N1734" s="154" t="s">
        <v>1225</v>
      </c>
      <c r="O1734" s="155" t="s">
        <v>37</v>
      </c>
      <c r="P1734" s="174">
        <v>0</v>
      </c>
      <c r="Q1734" s="174">
        <v>544</v>
      </c>
      <c r="R1734" s="120">
        <f t="shared" si="42"/>
        <v>0</v>
      </c>
      <c r="S1734" s="117">
        <v>202303</v>
      </c>
      <c r="T1734" s="157" t="s">
        <v>2275</v>
      </c>
      <c r="U1734" s="157"/>
      <c r="V1734" s="122"/>
      <c r="W1734" s="122"/>
      <c r="X1734" s="118">
        <v>44927</v>
      </c>
      <c r="Y1734" s="118">
        <v>45107</v>
      </c>
    </row>
    <row r="1735" s="9" customFormat="1" customHeight="1" spans="1:25">
      <c r="A1735" s="98" t="s">
        <v>399</v>
      </c>
      <c r="B1735" s="96" t="s">
        <v>62</v>
      </c>
      <c r="C1735" s="98" t="s">
        <v>130</v>
      </c>
      <c r="D1735" s="98" t="s">
        <v>881</v>
      </c>
      <c r="E1735" s="147" t="s">
        <v>2253</v>
      </c>
      <c r="F1735" s="98" t="s">
        <v>2254</v>
      </c>
      <c r="G1735" s="151" t="s">
        <v>67</v>
      </c>
      <c r="H1735" s="19" t="s">
        <v>2276</v>
      </c>
      <c r="I1735" s="23" t="e">
        <f>VLOOKUP(H1735,'合同综合查询数据（3月返）'!$A:$A,1,FALSE)</f>
        <v>#N/A</v>
      </c>
      <c r="J1735" s="129" t="s">
        <v>69</v>
      </c>
      <c r="K1735" s="129" t="s">
        <v>2277</v>
      </c>
      <c r="L1735" s="153"/>
      <c r="M1735" s="26"/>
      <c r="N1735" s="154">
        <v>43556</v>
      </c>
      <c r="O1735" s="155"/>
      <c r="P1735" s="174">
        <v>500</v>
      </c>
      <c r="Q1735" s="174">
        <v>85</v>
      </c>
      <c r="R1735" s="120">
        <f t="shared" si="42"/>
        <v>42500</v>
      </c>
      <c r="S1735" s="117">
        <v>202303</v>
      </c>
      <c r="T1735" s="157" t="s">
        <v>2278</v>
      </c>
      <c r="U1735" s="157"/>
      <c r="V1735" s="122"/>
      <c r="W1735" s="122"/>
      <c r="X1735" s="118">
        <v>44287</v>
      </c>
      <c r="Y1735" s="118">
        <v>45016</v>
      </c>
    </row>
    <row r="1736" s="9" customFormat="1" customHeight="1" spans="1:25">
      <c r="A1736" s="98" t="s">
        <v>399</v>
      </c>
      <c r="B1736" s="96" t="s">
        <v>62</v>
      </c>
      <c r="C1736" s="98" t="s">
        <v>130</v>
      </c>
      <c r="D1736" s="98" t="s">
        <v>881</v>
      </c>
      <c r="E1736" s="147" t="s">
        <v>2253</v>
      </c>
      <c r="F1736" s="98" t="s">
        <v>2254</v>
      </c>
      <c r="G1736" s="151" t="s">
        <v>88</v>
      </c>
      <c r="H1736" s="19" t="s">
        <v>2276</v>
      </c>
      <c r="I1736" s="23" t="e">
        <f>VLOOKUP(H1736,'合同综合查询数据（3月返）'!$A:$A,1,FALSE)</f>
        <v>#N/A</v>
      </c>
      <c r="J1736" s="129" t="s">
        <v>126</v>
      </c>
      <c r="K1736" s="129" t="s">
        <v>132</v>
      </c>
      <c r="L1736" s="99" t="s">
        <v>2263</v>
      </c>
      <c r="M1736" s="26" t="s">
        <v>2264</v>
      </c>
      <c r="N1736" s="154">
        <v>43556</v>
      </c>
      <c r="O1736" s="155" t="s">
        <v>92</v>
      </c>
      <c r="P1736" s="174">
        <v>5000</v>
      </c>
      <c r="Q1736" s="174">
        <v>1</v>
      </c>
      <c r="R1736" s="120">
        <f t="shared" si="42"/>
        <v>5000</v>
      </c>
      <c r="S1736" s="117">
        <v>202303</v>
      </c>
      <c r="T1736" s="157" t="s">
        <v>2279</v>
      </c>
      <c r="U1736" s="157"/>
      <c r="V1736" s="122"/>
      <c r="W1736" s="122"/>
      <c r="X1736" s="118">
        <v>44287</v>
      </c>
      <c r="Y1736" s="118">
        <v>45016</v>
      </c>
    </row>
    <row r="1737" s="9" customFormat="1" customHeight="1" spans="1:25">
      <c r="A1737" s="98" t="s">
        <v>399</v>
      </c>
      <c r="B1737" s="96" t="s">
        <v>62</v>
      </c>
      <c r="C1737" s="98" t="s">
        <v>130</v>
      </c>
      <c r="D1737" s="98" t="s">
        <v>881</v>
      </c>
      <c r="E1737" s="147" t="s">
        <v>2253</v>
      </c>
      <c r="F1737" s="98" t="s">
        <v>2254</v>
      </c>
      <c r="G1737" s="151" t="s">
        <v>31</v>
      </c>
      <c r="H1737" s="19" t="s">
        <v>2255</v>
      </c>
      <c r="I1737" s="23" t="str">
        <f>VLOOKUP(H1737,'合同综合查询数据（3月返）'!$A:$A,1,FALSE)</f>
        <v>182315IDC00078</v>
      </c>
      <c r="J1737" s="129" t="s">
        <v>33</v>
      </c>
      <c r="K1737" s="129" t="s">
        <v>132</v>
      </c>
      <c r="L1737" s="99" t="s">
        <v>2280</v>
      </c>
      <c r="M1737" s="26" t="s">
        <v>2281</v>
      </c>
      <c r="N1737" s="154">
        <v>44839</v>
      </c>
      <c r="O1737" s="155"/>
      <c r="P1737" s="174">
        <v>0</v>
      </c>
      <c r="Q1737" s="174">
        <v>224</v>
      </c>
      <c r="R1737" s="120">
        <f t="shared" si="42"/>
        <v>0</v>
      </c>
      <c r="S1737" s="117">
        <v>202303</v>
      </c>
      <c r="T1737" s="157" t="s">
        <v>2282</v>
      </c>
      <c r="U1737" s="157"/>
      <c r="V1737" s="122"/>
      <c r="W1737" s="122"/>
      <c r="X1737" s="118">
        <v>44927</v>
      </c>
      <c r="Y1737" s="118">
        <v>45107</v>
      </c>
    </row>
    <row r="1738" s="9" customFormat="1" customHeight="1" spans="1:25">
      <c r="A1738" s="98" t="s">
        <v>399</v>
      </c>
      <c r="B1738" s="96" t="s">
        <v>62</v>
      </c>
      <c r="C1738" s="98" t="s">
        <v>130</v>
      </c>
      <c r="D1738" s="98" t="s">
        <v>881</v>
      </c>
      <c r="E1738" s="147" t="s">
        <v>2253</v>
      </c>
      <c r="F1738" s="98" t="s">
        <v>2254</v>
      </c>
      <c r="G1738" s="151" t="s">
        <v>88</v>
      </c>
      <c r="H1738" s="19" t="s">
        <v>2255</v>
      </c>
      <c r="I1738" s="23" t="str">
        <f>VLOOKUP(H1738,'合同综合查询数据（3月返）'!$A:$A,1,FALSE)</f>
        <v>182315IDC00078</v>
      </c>
      <c r="J1738" s="129" t="s">
        <v>126</v>
      </c>
      <c r="K1738" s="129" t="s">
        <v>132</v>
      </c>
      <c r="L1738" s="99" t="s">
        <v>2280</v>
      </c>
      <c r="M1738" s="26" t="s">
        <v>2281</v>
      </c>
      <c r="N1738" s="154">
        <v>44835</v>
      </c>
      <c r="O1738" s="155" t="s">
        <v>2283</v>
      </c>
      <c r="P1738" s="174">
        <v>5000</v>
      </c>
      <c r="Q1738" s="174">
        <v>1</v>
      </c>
      <c r="R1738" s="120">
        <f t="shared" si="42"/>
        <v>5000</v>
      </c>
      <c r="S1738" s="117">
        <v>202303</v>
      </c>
      <c r="T1738" s="157" t="s">
        <v>2284</v>
      </c>
      <c r="U1738" s="157"/>
      <c r="V1738" s="122"/>
      <c r="W1738" s="122"/>
      <c r="X1738" s="118">
        <v>44927</v>
      </c>
      <c r="Y1738" s="118">
        <v>45107</v>
      </c>
    </row>
    <row r="1739" s="9" customFormat="1" customHeight="1" spans="1:25">
      <c r="A1739" s="98" t="s">
        <v>399</v>
      </c>
      <c r="B1739" s="96" t="s">
        <v>62</v>
      </c>
      <c r="C1739" s="98" t="s">
        <v>130</v>
      </c>
      <c r="D1739" s="98" t="s">
        <v>881</v>
      </c>
      <c r="E1739" s="147" t="s">
        <v>1395</v>
      </c>
      <c r="F1739" s="98" t="s">
        <v>1396</v>
      </c>
      <c r="G1739" s="151" t="s">
        <v>88</v>
      </c>
      <c r="H1739" s="19" t="s">
        <v>2285</v>
      </c>
      <c r="I1739" s="23" t="str">
        <f>VLOOKUP(H1739,'合同综合查询数据（3月返）'!$A:$A,1,FALSE)</f>
        <v>182315IDC00079</v>
      </c>
      <c r="J1739" s="129" t="s">
        <v>126</v>
      </c>
      <c r="K1739" s="129" t="s">
        <v>2286</v>
      </c>
      <c r="L1739" s="99" t="s">
        <v>2286</v>
      </c>
      <c r="M1739" s="26" t="s">
        <v>2287</v>
      </c>
      <c r="N1739" s="154">
        <v>43849</v>
      </c>
      <c r="O1739" s="155" t="s">
        <v>127</v>
      </c>
      <c r="P1739" s="174">
        <v>5000</v>
      </c>
      <c r="Q1739" s="174">
        <v>8</v>
      </c>
      <c r="R1739" s="120">
        <f t="shared" si="42"/>
        <v>40000</v>
      </c>
      <c r="S1739" s="117">
        <v>202303</v>
      </c>
      <c r="T1739" s="157" t="s">
        <v>2288</v>
      </c>
      <c r="U1739" s="157"/>
      <c r="V1739" s="122"/>
      <c r="W1739" s="122"/>
      <c r="X1739" s="118">
        <v>44927</v>
      </c>
      <c r="Y1739" s="118">
        <v>45107</v>
      </c>
    </row>
    <row r="1740" s="9" customFormat="1" customHeight="1" spans="1:25">
      <c r="A1740" s="98" t="s">
        <v>399</v>
      </c>
      <c r="B1740" s="96" t="s">
        <v>62</v>
      </c>
      <c r="C1740" s="98" t="s">
        <v>130</v>
      </c>
      <c r="D1740" s="98" t="s">
        <v>881</v>
      </c>
      <c r="E1740" s="147" t="s">
        <v>1395</v>
      </c>
      <c r="F1740" s="98" t="s">
        <v>1396</v>
      </c>
      <c r="G1740" s="151" t="s">
        <v>88</v>
      </c>
      <c r="H1740" s="19" t="s">
        <v>2285</v>
      </c>
      <c r="I1740" s="23" t="str">
        <f>VLOOKUP(H1740,'合同综合查询数据（3月返）'!$A:$A,1,FALSE)</f>
        <v>182315IDC00079</v>
      </c>
      <c r="J1740" s="129" t="s">
        <v>126</v>
      </c>
      <c r="K1740" s="129" t="s">
        <v>2286</v>
      </c>
      <c r="L1740" s="99" t="s">
        <v>2286</v>
      </c>
      <c r="M1740" s="26" t="s">
        <v>2287</v>
      </c>
      <c r="N1740" s="154">
        <v>44408</v>
      </c>
      <c r="O1740" s="155" t="s">
        <v>127</v>
      </c>
      <c r="P1740" s="174">
        <v>5000</v>
      </c>
      <c r="Q1740" s="174">
        <v>-2</v>
      </c>
      <c r="R1740" s="120">
        <f t="shared" si="42"/>
        <v>-10000</v>
      </c>
      <c r="S1740" s="117">
        <v>202303</v>
      </c>
      <c r="T1740" s="157" t="s">
        <v>2289</v>
      </c>
      <c r="U1740" s="157"/>
      <c r="V1740" s="122"/>
      <c r="W1740" s="122"/>
      <c r="X1740" s="118">
        <v>44927</v>
      </c>
      <c r="Y1740" s="118">
        <v>45107</v>
      </c>
    </row>
    <row r="1741" s="9" customFormat="1" customHeight="1" spans="1:25">
      <c r="A1741" s="98" t="s">
        <v>399</v>
      </c>
      <c r="B1741" s="96" t="s">
        <v>62</v>
      </c>
      <c r="C1741" s="98" t="s">
        <v>130</v>
      </c>
      <c r="D1741" s="98" t="s">
        <v>881</v>
      </c>
      <c r="E1741" s="147" t="s">
        <v>1395</v>
      </c>
      <c r="F1741" s="98" t="s">
        <v>1396</v>
      </c>
      <c r="G1741" s="151" t="s">
        <v>88</v>
      </c>
      <c r="H1741" s="19" t="s">
        <v>2285</v>
      </c>
      <c r="I1741" s="23" t="str">
        <f>VLOOKUP(H1741,'合同综合查询数据（3月返）'!$A:$A,1,FALSE)</f>
        <v>182315IDC00079</v>
      </c>
      <c r="J1741" s="129" t="s">
        <v>126</v>
      </c>
      <c r="K1741" s="129" t="s">
        <v>2286</v>
      </c>
      <c r="L1741" s="99" t="s">
        <v>2286</v>
      </c>
      <c r="M1741" s="26" t="s">
        <v>2287</v>
      </c>
      <c r="N1741" s="154">
        <v>44773</v>
      </c>
      <c r="O1741" s="155" t="s">
        <v>127</v>
      </c>
      <c r="P1741" s="174">
        <v>5000</v>
      </c>
      <c r="Q1741" s="174">
        <v>-1</v>
      </c>
      <c r="R1741" s="120">
        <f t="shared" si="42"/>
        <v>-5000</v>
      </c>
      <c r="S1741" s="117">
        <v>202303</v>
      </c>
      <c r="T1741" s="157" t="s">
        <v>2290</v>
      </c>
      <c r="U1741" s="157"/>
      <c r="V1741" s="122"/>
      <c r="W1741" s="122"/>
      <c r="X1741" s="118">
        <v>44927</v>
      </c>
      <c r="Y1741" s="118">
        <v>45107</v>
      </c>
    </row>
    <row r="1742" s="9" customFormat="1" customHeight="1" spans="1:25">
      <c r="A1742" s="98" t="s">
        <v>399</v>
      </c>
      <c r="B1742" s="96" t="s">
        <v>62</v>
      </c>
      <c r="C1742" s="98" t="s">
        <v>130</v>
      </c>
      <c r="D1742" s="98" t="s">
        <v>881</v>
      </c>
      <c r="E1742" s="147" t="s">
        <v>1395</v>
      </c>
      <c r="F1742" s="98" t="s">
        <v>1396</v>
      </c>
      <c r="G1742" s="151" t="s">
        <v>88</v>
      </c>
      <c r="H1742" s="19" t="s">
        <v>2285</v>
      </c>
      <c r="I1742" s="23" t="str">
        <f>VLOOKUP(H1742,'合同综合查询数据（3月返）'!$A:$A,1,FALSE)</f>
        <v>182315IDC00079</v>
      </c>
      <c r="J1742" s="129" t="s">
        <v>126</v>
      </c>
      <c r="K1742" s="129" t="s">
        <v>2291</v>
      </c>
      <c r="L1742" s="99" t="s">
        <v>2292</v>
      </c>
      <c r="M1742" s="26" t="s">
        <v>2293</v>
      </c>
      <c r="N1742" s="154">
        <v>44197</v>
      </c>
      <c r="O1742" s="155" t="s">
        <v>127</v>
      </c>
      <c r="P1742" s="174">
        <v>5000</v>
      </c>
      <c r="Q1742" s="174">
        <v>4</v>
      </c>
      <c r="R1742" s="120">
        <f t="shared" si="42"/>
        <v>20000</v>
      </c>
      <c r="S1742" s="117">
        <v>202303</v>
      </c>
      <c r="T1742" s="157" t="s">
        <v>2294</v>
      </c>
      <c r="U1742" s="157"/>
      <c r="V1742" s="122"/>
      <c r="W1742" s="122"/>
      <c r="X1742" s="118">
        <v>44927</v>
      </c>
      <c r="Y1742" s="118">
        <v>45107</v>
      </c>
    </row>
    <row r="1743" s="9" customFormat="1" customHeight="1" spans="1:25">
      <c r="A1743" s="98" t="s">
        <v>399</v>
      </c>
      <c r="B1743" s="96" t="s">
        <v>62</v>
      </c>
      <c r="C1743" s="98" t="s">
        <v>130</v>
      </c>
      <c r="D1743" s="98" t="s">
        <v>881</v>
      </c>
      <c r="E1743" s="147" t="s">
        <v>1395</v>
      </c>
      <c r="F1743" s="98" t="s">
        <v>1396</v>
      </c>
      <c r="G1743" s="151" t="s">
        <v>31</v>
      </c>
      <c r="H1743" s="19" t="s">
        <v>2285</v>
      </c>
      <c r="I1743" s="23" t="str">
        <f>VLOOKUP(H1743,'合同综合查询数据（3月返）'!$A:$A,1,FALSE)</f>
        <v>182315IDC00079</v>
      </c>
      <c r="J1743" s="129" t="s">
        <v>33</v>
      </c>
      <c r="K1743" s="129" t="s">
        <v>2286</v>
      </c>
      <c r="L1743" s="99" t="s">
        <v>2286</v>
      </c>
      <c r="M1743" s="26" t="s">
        <v>2287</v>
      </c>
      <c r="N1743" s="154" t="s">
        <v>1225</v>
      </c>
      <c r="O1743" s="155"/>
      <c r="P1743" s="174">
        <v>0</v>
      </c>
      <c r="Q1743" s="174">
        <v>544</v>
      </c>
      <c r="R1743" s="120">
        <f t="shared" si="42"/>
        <v>0</v>
      </c>
      <c r="S1743" s="117">
        <v>202303</v>
      </c>
      <c r="T1743" s="157" t="s">
        <v>2295</v>
      </c>
      <c r="U1743" s="157"/>
      <c r="V1743" s="122"/>
      <c r="W1743" s="122"/>
      <c r="X1743" s="118">
        <v>44927</v>
      </c>
      <c r="Y1743" s="118">
        <v>45107</v>
      </c>
    </row>
    <row r="1744" s="9" customFormat="1" customHeight="1" spans="1:25">
      <c r="A1744" s="98" t="s">
        <v>399</v>
      </c>
      <c r="B1744" s="96" t="s">
        <v>62</v>
      </c>
      <c r="C1744" s="98" t="s">
        <v>130</v>
      </c>
      <c r="D1744" s="98" t="s">
        <v>881</v>
      </c>
      <c r="E1744" s="147" t="s">
        <v>1395</v>
      </c>
      <c r="F1744" s="98" t="s">
        <v>1396</v>
      </c>
      <c r="G1744" s="151" t="s">
        <v>31</v>
      </c>
      <c r="H1744" s="19" t="s">
        <v>2285</v>
      </c>
      <c r="I1744" s="23" t="str">
        <f>VLOOKUP(H1744,'合同综合查询数据（3月返）'!$A:$A,1,FALSE)</f>
        <v>182315IDC00079</v>
      </c>
      <c r="J1744" s="129" t="s">
        <v>33</v>
      </c>
      <c r="K1744" s="129" t="s">
        <v>2286</v>
      </c>
      <c r="L1744" s="99" t="s">
        <v>2286</v>
      </c>
      <c r="M1744" s="26" t="s">
        <v>2287</v>
      </c>
      <c r="N1744" s="154">
        <v>44773</v>
      </c>
      <c r="O1744" s="155"/>
      <c r="P1744" s="174">
        <v>0</v>
      </c>
      <c r="Q1744" s="174">
        <v>-256</v>
      </c>
      <c r="R1744" s="120">
        <f>ROUND(P1744*Q1744,2)</f>
        <v>0</v>
      </c>
      <c r="S1744" s="117">
        <v>202303</v>
      </c>
      <c r="T1744" s="157" t="s">
        <v>2296</v>
      </c>
      <c r="U1744" s="157"/>
      <c r="V1744" s="122"/>
      <c r="W1744" s="122"/>
      <c r="X1744" s="118">
        <v>44927</v>
      </c>
      <c r="Y1744" s="118">
        <v>45107</v>
      </c>
    </row>
    <row r="1745" s="9" customFormat="1" customHeight="1" spans="1:25">
      <c r="A1745" s="98" t="s">
        <v>399</v>
      </c>
      <c r="B1745" s="96" t="s">
        <v>62</v>
      </c>
      <c r="C1745" s="98" t="s">
        <v>130</v>
      </c>
      <c r="D1745" s="98" t="s">
        <v>881</v>
      </c>
      <c r="E1745" s="147" t="s">
        <v>1395</v>
      </c>
      <c r="F1745" s="98" t="s">
        <v>1396</v>
      </c>
      <c r="G1745" s="151" t="s">
        <v>31</v>
      </c>
      <c r="H1745" s="19" t="s">
        <v>2285</v>
      </c>
      <c r="I1745" s="23" t="str">
        <f>VLOOKUP(H1745,'合同综合查询数据（3月返）'!$A:$A,1,FALSE)</f>
        <v>182315IDC00079</v>
      </c>
      <c r="J1745" s="129" t="s">
        <v>33</v>
      </c>
      <c r="K1745" s="129" t="s">
        <v>2291</v>
      </c>
      <c r="L1745" s="99" t="s">
        <v>2292</v>
      </c>
      <c r="M1745" s="26" t="s">
        <v>2287</v>
      </c>
      <c r="N1745" s="154">
        <v>44228</v>
      </c>
      <c r="O1745" s="155"/>
      <c r="P1745" s="174">
        <v>0</v>
      </c>
      <c r="Q1745" s="174">
        <v>288</v>
      </c>
      <c r="R1745" s="120">
        <v>0</v>
      </c>
      <c r="S1745" s="117">
        <v>202303</v>
      </c>
      <c r="T1745" s="157" t="s">
        <v>2297</v>
      </c>
      <c r="U1745" s="240"/>
      <c r="V1745" s="241"/>
      <c r="W1745" s="241"/>
      <c r="X1745" s="118">
        <v>44927</v>
      </c>
      <c r="Y1745" s="118">
        <v>45107</v>
      </c>
    </row>
    <row r="1746" s="10" customFormat="1" customHeight="1" spans="1:25">
      <c r="A1746" s="60" t="s">
        <v>399</v>
      </c>
      <c r="B1746" s="61" t="s">
        <v>62</v>
      </c>
      <c r="C1746" s="60" t="s">
        <v>744</v>
      </c>
      <c r="D1746" s="60" t="s">
        <v>566</v>
      </c>
      <c r="E1746" s="63" t="s">
        <v>2298</v>
      </c>
      <c r="F1746" s="62" t="s">
        <v>2299</v>
      </c>
      <c r="G1746" s="161" t="s">
        <v>88</v>
      </c>
      <c r="H1746" s="45" t="s">
        <v>2300</v>
      </c>
      <c r="I1746" s="47" t="e">
        <f>VLOOKUP(H1746,'合同综合查询数据（3月返）'!$A:$A,1,FALSE)</f>
        <v>#N/A</v>
      </c>
      <c r="J1746" s="62" t="s">
        <v>126</v>
      </c>
      <c r="K1746" s="62" t="s">
        <v>744</v>
      </c>
      <c r="L1746" s="66" t="s">
        <v>2301</v>
      </c>
      <c r="M1746" s="50" t="s">
        <v>2302</v>
      </c>
      <c r="N1746" s="165">
        <v>44011</v>
      </c>
      <c r="O1746" s="172" t="s">
        <v>457</v>
      </c>
      <c r="P1746" s="124">
        <v>6500</v>
      </c>
      <c r="Q1746" s="112">
        <v>3</v>
      </c>
      <c r="R1746" s="68">
        <f t="shared" ref="R1746:R1760" si="43">ROUND(P1746*Q1746,2)</f>
        <v>19500</v>
      </c>
      <c r="S1746" s="70">
        <v>202303</v>
      </c>
      <c r="T1746" s="170" t="s">
        <v>2303</v>
      </c>
      <c r="U1746" s="170"/>
      <c r="V1746" s="146"/>
      <c r="W1746" s="146"/>
      <c r="X1746" s="73"/>
      <c r="Y1746" s="73"/>
    </row>
    <row r="1747" s="10" customFormat="1" customHeight="1" spans="1:25">
      <c r="A1747" s="60" t="s">
        <v>399</v>
      </c>
      <c r="B1747" s="61" t="s">
        <v>62</v>
      </c>
      <c r="C1747" s="60" t="s">
        <v>744</v>
      </c>
      <c r="D1747" s="60" t="s">
        <v>566</v>
      </c>
      <c r="E1747" s="63" t="s">
        <v>2298</v>
      </c>
      <c r="F1747" s="62" t="s">
        <v>2299</v>
      </c>
      <c r="G1747" s="161" t="s">
        <v>88</v>
      </c>
      <c r="H1747" s="45" t="s">
        <v>2300</v>
      </c>
      <c r="I1747" s="47" t="e">
        <f>VLOOKUP(H1747,'合同综合查询数据（3月返）'!$A:$A,1,FALSE)</f>
        <v>#N/A</v>
      </c>
      <c r="J1747" s="62" t="s">
        <v>126</v>
      </c>
      <c r="K1747" s="62" t="s">
        <v>744</v>
      </c>
      <c r="L1747" s="66" t="s">
        <v>2301</v>
      </c>
      <c r="M1747" s="50" t="s">
        <v>2302</v>
      </c>
      <c r="N1747" s="165">
        <v>44792</v>
      </c>
      <c r="O1747" s="172" t="s">
        <v>457</v>
      </c>
      <c r="P1747" s="124">
        <v>6500</v>
      </c>
      <c r="Q1747" s="112">
        <v>-2</v>
      </c>
      <c r="R1747" s="68">
        <f t="shared" si="43"/>
        <v>-13000</v>
      </c>
      <c r="S1747" s="70">
        <v>202303</v>
      </c>
      <c r="T1747" s="170" t="s">
        <v>2304</v>
      </c>
      <c r="U1747" s="170"/>
      <c r="V1747" s="146"/>
      <c r="W1747" s="146"/>
      <c r="X1747" s="73"/>
      <c r="Y1747" s="73"/>
    </row>
    <row r="1748" s="10" customFormat="1" customHeight="1" spans="1:25">
      <c r="A1748" s="60" t="s">
        <v>399</v>
      </c>
      <c r="B1748" s="61" t="s">
        <v>62</v>
      </c>
      <c r="C1748" s="60" t="s">
        <v>744</v>
      </c>
      <c r="D1748" s="60" t="s">
        <v>566</v>
      </c>
      <c r="E1748" s="63" t="s">
        <v>2298</v>
      </c>
      <c r="F1748" s="62" t="s">
        <v>2299</v>
      </c>
      <c r="G1748" s="161" t="s">
        <v>31</v>
      </c>
      <c r="H1748" s="45" t="s">
        <v>2300</v>
      </c>
      <c r="I1748" s="47" t="e">
        <f>VLOOKUP(H1748,'合同综合查询数据（3月返）'!$A:$A,1,FALSE)</f>
        <v>#N/A</v>
      </c>
      <c r="J1748" s="62" t="s">
        <v>33</v>
      </c>
      <c r="K1748" s="62" t="s">
        <v>744</v>
      </c>
      <c r="L1748" s="66" t="s">
        <v>2301</v>
      </c>
      <c r="M1748" s="50" t="s">
        <v>2302</v>
      </c>
      <c r="N1748" s="165">
        <v>44011</v>
      </c>
      <c r="O1748" s="172"/>
      <c r="P1748" s="124">
        <v>0</v>
      </c>
      <c r="Q1748" s="112">
        <v>48</v>
      </c>
      <c r="R1748" s="68">
        <f t="shared" si="43"/>
        <v>0</v>
      </c>
      <c r="S1748" s="70">
        <v>202303</v>
      </c>
      <c r="T1748" s="170" t="s">
        <v>2305</v>
      </c>
      <c r="U1748" s="170"/>
      <c r="V1748" s="146"/>
      <c r="W1748" s="146"/>
      <c r="X1748" s="73"/>
      <c r="Y1748" s="73"/>
    </row>
    <row r="1749" s="10" customFormat="1" customHeight="1" spans="1:25">
      <c r="A1749" s="60" t="s">
        <v>399</v>
      </c>
      <c r="B1749" s="61" t="s">
        <v>62</v>
      </c>
      <c r="C1749" s="60" t="s">
        <v>744</v>
      </c>
      <c r="D1749" s="60" t="s">
        <v>566</v>
      </c>
      <c r="E1749" s="63" t="s">
        <v>2298</v>
      </c>
      <c r="F1749" s="62" t="s">
        <v>2299</v>
      </c>
      <c r="G1749" s="161" t="s">
        <v>31</v>
      </c>
      <c r="H1749" s="45" t="s">
        <v>2300</v>
      </c>
      <c r="I1749" s="47" t="e">
        <f>VLOOKUP(H1749,'合同综合查询数据（3月返）'!$A:$A,1,FALSE)</f>
        <v>#N/A</v>
      </c>
      <c r="J1749" s="62" t="s">
        <v>33</v>
      </c>
      <c r="K1749" s="62" t="s">
        <v>744</v>
      </c>
      <c r="L1749" s="66" t="s">
        <v>2301</v>
      </c>
      <c r="M1749" s="50" t="s">
        <v>2302</v>
      </c>
      <c r="N1749" s="165">
        <v>44011</v>
      </c>
      <c r="O1749" s="172"/>
      <c r="P1749" s="124">
        <v>50</v>
      </c>
      <c r="Q1749" s="112">
        <v>240</v>
      </c>
      <c r="R1749" s="68">
        <f t="shared" si="43"/>
        <v>12000</v>
      </c>
      <c r="S1749" s="70">
        <v>202303</v>
      </c>
      <c r="T1749" s="170" t="s">
        <v>2305</v>
      </c>
      <c r="U1749" s="170"/>
      <c r="V1749" s="146"/>
      <c r="W1749" s="146"/>
      <c r="X1749" s="73"/>
      <c r="Y1749" s="73"/>
    </row>
    <row r="1750" s="10" customFormat="1" customHeight="1" spans="1:25">
      <c r="A1750" s="60" t="s">
        <v>399</v>
      </c>
      <c r="B1750" s="61" t="s">
        <v>62</v>
      </c>
      <c r="C1750" s="60" t="s">
        <v>744</v>
      </c>
      <c r="D1750" s="60" t="s">
        <v>566</v>
      </c>
      <c r="E1750" s="63" t="s">
        <v>2298</v>
      </c>
      <c r="F1750" s="62" t="s">
        <v>2299</v>
      </c>
      <c r="G1750" s="161" t="s">
        <v>31</v>
      </c>
      <c r="H1750" s="45" t="s">
        <v>2300</v>
      </c>
      <c r="I1750" s="47" t="e">
        <f>VLOOKUP(H1750,'合同综合查询数据（3月返）'!$A:$A,1,FALSE)</f>
        <v>#N/A</v>
      </c>
      <c r="J1750" s="62" t="s">
        <v>33</v>
      </c>
      <c r="K1750" s="62" t="s">
        <v>744</v>
      </c>
      <c r="L1750" s="66" t="s">
        <v>2301</v>
      </c>
      <c r="M1750" s="50" t="s">
        <v>2302</v>
      </c>
      <c r="N1750" s="165">
        <v>44804</v>
      </c>
      <c r="O1750" s="172"/>
      <c r="P1750" s="124">
        <v>0</v>
      </c>
      <c r="Q1750" s="112">
        <v>-32</v>
      </c>
      <c r="R1750" s="68">
        <f t="shared" si="43"/>
        <v>0</v>
      </c>
      <c r="S1750" s="70">
        <v>202303</v>
      </c>
      <c r="T1750" s="170" t="s">
        <v>2306</v>
      </c>
      <c r="U1750" s="170"/>
      <c r="V1750" s="146"/>
      <c r="W1750" s="146"/>
      <c r="X1750" s="73"/>
      <c r="Y1750" s="73"/>
    </row>
    <row r="1751" s="10" customFormat="1" customHeight="1" spans="1:25">
      <c r="A1751" s="60" t="s">
        <v>399</v>
      </c>
      <c r="B1751" s="61" t="s">
        <v>62</v>
      </c>
      <c r="C1751" s="60" t="s">
        <v>744</v>
      </c>
      <c r="D1751" s="60" t="s">
        <v>566</v>
      </c>
      <c r="E1751" s="63" t="s">
        <v>2298</v>
      </c>
      <c r="F1751" s="62" t="s">
        <v>2299</v>
      </c>
      <c r="G1751" s="161" t="s">
        <v>31</v>
      </c>
      <c r="H1751" s="45" t="s">
        <v>2300</v>
      </c>
      <c r="I1751" s="47" t="e">
        <f>VLOOKUP(H1751,'合同综合查询数据（3月返）'!$A:$A,1,FALSE)</f>
        <v>#N/A</v>
      </c>
      <c r="J1751" s="62" t="s">
        <v>33</v>
      </c>
      <c r="K1751" s="62" t="s">
        <v>744</v>
      </c>
      <c r="L1751" s="66" t="s">
        <v>2301</v>
      </c>
      <c r="M1751" s="50" t="s">
        <v>2302</v>
      </c>
      <c r="N1751" s="165">
        <v>44804</v>
      </c>
      <c r="O1751" s="172"/>
      <c r="P1751" s="124">
        <v>50</v>
      </c>
      <c r="Q1751" s="112">
        <v>-96</v>
      </c>
      <c r="R1751" s="68">
        <f t="shared" si="43"/>
        <v>-4800</v>
      </c>
      <c r="S1751" s="70">
        <v>202303</v>
      </c>
      <c r="T1751" s="170" t="s">
        <v>2307</v>
      </c>
      <c r="U1751" s="170"/>
      <c r="V1751" s="146"/>
      <c r="W1751" s="146"/>
      <c r="X1751" s="73"/>
      <c r="Y1751" s="73"/>
    </row>
    <row r="1752" s="10" customFormat="1" customHeight="1" spans="1:25">
      <c r="A1752" s="61" t="s">
        <v>399</v>
      </c>
      <c r="B1752" s="61" t="s">
        <v>62</v>
      </c>
      <c r="C1752" s="61" t="s">
        <v>744</v>
      </c>
      <c r="D1752" s="61" t="s">
        <v>566</v>
      </c>
      <c r="E1752" s="160" t="s">
        <v>2298</v>
      </c>
      <c r="F1752" s="135" t="s">
        <v>2299</v>
      </c>
      <c r="G1752" s="161" t="s">
        <v>31</v>
      </c>
      <c r="H1752" s="45" t="s">
        <v>2308</v>
      </c>
      <c r="I1752" s="47" t="e">
        <f>VLOOKUP(H1752,'合同综合查询数据（3月返）'!$A:$A,1,FALSE)</f>
        <v>#N/A</v>
      </c>
      <c r="J1752" s="135" t="s">
        <v>451</v>
      </c>
      <c r="K1752" s="135" t="s">
        <v>744</v>
      </c>
      <c r="L1752" s="164" t="s">
        <v>2299</v>
      </c>
      <c r="M1752" s="50"/>
      <c r="N1752" s="165">
        <v>41760</v>
      </c>
      <c r="O1752" s="172" t="s">
        <v>37</v>
      </c>
      <c r="P1752" s="171">
        <v>0</v>
      </c>
      <c r="Q1752" s="171">
        <v>3153</v>
      </c>
      <c r="R1752" s="68">
        <f t="shared" si="43"/>
        <v>0</v>
      </c>
      <c r="S1752" s="70">
        <v>202303</v>
      </c>
      <c r="T1752" s="170" t="s">
        <v>2309</v>
      </c>
      <c r="U1752" s="170"/>
      <c r="V1752" s="143"/>
      <c r="W1752" s="143"/>
      <c r="X1752" s="73"/>
      <c r="Y1752" s="73"/>
    </row>
    <row r="1753" s="10" customFormat="1" customHeight="1" spans="1:25">
      <c r="A1753" s="61" t="s">
        <v>399</v>
      </c>
      <c r="B1753" s="61" t="s">
        <v>62</v>
      </c>
      <c r="C1753" s="61" t="s">
        <v>744</v>
      </c>
      <c r="D1753" s="61" t="s">
        <v>566</v>
      </c>
      <c r="E1753" s="160" t="s">
        <v>2298</v>
      </c>
      <c r="F1753" s="135" t="s">
        <v>2299</v>
      </c>
      <c r="G1753" s="161" t="s">
        <v>31</v>
      </c>
      <c r="H1753" s="45" t="s">
        <v>2308</v>
      </c>
      <c r="I1753" s="47" t="e">
        <f>VLOOKUP(H1753,'合同综合查询数据（3月返）'!$A:$A,1,FALSE)</f>
        <v>#N/A</v>
      </c>
      <c r="J1753" s="135" t="s">
        <v>451</v>
      </c>
      <c r="K1753" s="135" t="s">
        <v>744</v>
      </c>
      <c r="L1753" s="164" t="s">
        <v>2299</v>
      </c>
      <c r="M1753" s="50"/>
      <c r="N1753" s="165">
        <v>44651</v>
      </c>
      <c r="O1753" s="172" t="s">
        <v>37</v>
      </c>
      <c r="P1753" s="171">
        <v>0</v>
      </c>
      <c r="Q1753" s="171">
        <v>-3153</v>
      </c>
      <c r="R1753" s="68">
        <f t="shared" si="43"/>
        <v>0</v>
      </c>
      <c r="S1753" s="70">
        <v>202303</v>
      </c>
      <c r="T1753" s="170" t="s">
        <v>2310</v>
      </c>
      <c r="U1753" s="170"/>
      <c r="V1753" s="143"/>
      <c r="W1753" s="143"/>
      <c r="X1753" s="73"/>
      <c r="Y1753" s="73"/>
    </row>
    <row r="1754" s="10" customFormat="1" customHeight="1" spans="1:25">
      <c r="A1754" s="61" t="s">
        <v>399</v>
      </c>
      <c r="B1754" s="61" t="s">
        <v>62</v>
      </c>
      <c r="C1754" s="61" t="s">
        <v>744</v>
      </c>
      <c r="D1754" s="61" t="s">
        <v>566</v>
      </c>
      <c r="E1754" s="160" t="s">
        <v>2298</v>
      </c>
      <c r="F1754" s="135" t="s">
        <v>2299</v>
      </c>
      <c r="G1754" s="161" t="s">
        <v>88</v>
      </c>
      <c r="H1754" s="45" t="s">
        <v>2308</v>
      </c>
      <c r="I1754" s="47" t="e">
        <f>VLOOKUP(H1754,'合同综合查询数据（3月返）'!$A:$A,1,FALSE)</f>
        <v>#N/A</v>
      </c>
      <c r="J1754" s="135" t="s">
        <v>90</v>
      </c>
      <c r="K1754" s="135" t="s">
        <v>2311</v>
      </c>
      <c r="L1754" s="164"/>
      <c r="M1754" s="50" t="s">
        <v>2312</v>
      </c>
      <c r="N1754" s="165" t="s">
        <v>503</v>
      </c>
      <c r="O1754" s="172" t="s">
        <v>457</v>
      </c>
      <c r="P1754" s="171">
        <v>6500</v>
      </c>
      <c r="Q1754" s="171">
        <v>592</v>
      </c>
      <c r="R1754" s="68">
        <f t="shared" si="43"/>
        <v>3848000</v>
      </c>
      <c r="S1754" s="70">
        <v>202303</v>
      </c>
      <c r="T1754" s="170" t="s">
        <v>2313</v>
      </c>
      <c r="U1754" s="170"/>
      <c r="V1754" s="143"/>
      <c r="W1754" s="143"/>
      <c r="X1754" s="73"/>
      <c r="Y1754" s="73"/>
    </row>
    <row r="1755" s="10" customFormat="1" customHeight="1" spans="1:25">
      <c r="A1755" s="61" t="s">
        <v>399</v>
      </c>
      <c r="B1755" s="61" t="s">
        <v>62</v>
      </c>
      <c r="C1755" s="61" t="s">
        <v>744</v>
      </c>
      <c r="D1755" s="61" t="s">
        <v>566</v>
      </c>
      <c r="E1755" s="160" t="s">
        <v>2298</v>
      </c>
      <c r="F1755" s="135" t="s">
        <v>2299</v>
      </c>
      <c r="G1755" s="161" t="s">
        <v>88</v>
      </c>
      <c r="H1755" s="45" t="s">
        <v>2308</v>
      </c>
      <c r="I1755" s="47" t="e">
        <f>VLOOKUP(H1755,'合同综合查询数据（3月返）'!$A:$A,1,FALSE)</f>
        <v>#N/A</v>
      </c>
      <c r="J1755" s="135" t="s">
        <v>90</v>
      </c>
      <c r="K1755" s="135" t="s">
        <v>2311</v>
      </c>
      <c r="L1755" s="164"/>
      <c r="M1755" s="50" t="s">
        <v>2312</v>
      </c>
      <c r="N1755" s="165" t="s">
        <v>503</v>
      </c>
      <c r="O1755" s="172" t="s">
        <v>506</v>
      </c>
      <c r="P1755" s="171">
        <v>8864</v>
      </c>
      <c r="Q1755" s="171">
        <v>5</v>
      </c>
      <c r="R1755" s="68">
        <f t="shared" si="43"/>
        <v>44320</v>
      </c>
      <c r="S1755" s="70">
        <v>202303</v>
      </c>
      <c r="T1755" s="170" t="s">
        <v>2313</v>
      </c>
      <c r="U1755" s="170"/>
      <c r="V1755" s="143"/>
      <c r="W1755" s="143"/>
      <c r="X1755" s="73"/>
      <c r="Y1755" s="73"/>
    </row>
    <row r="1756" s="10" customFormat="1" customHeight="1" spans="1:25">
      <c r="A1756" s="61" t="s">
        <v>399</v>
      </c>
      <c r="B1756" s="61" t="s">
        <v>62</v>
      </c>
      <c r="C1756" s="61" t="s">
        <v>744</v>
      </c>
      <c r="D1756" s="61" t="s">
        <v>566</v>
      </c>
      <c r="E1756" s="160" t="s">
        <v>2298</v>
      </c>
      <c r="F1756" s="135" t="s">
        <v>2299</v>
      </c>
      <c r="G1756" s="161" t="s">
        <v>88</v>
      </c>
      <c r="H1756" s="45" t="s">
        <v>2308</v>
      </c>
      <c r="I1756" s="47" t="e">
        <f>VLOOKUP(H1756,'合同综合查询数据（3月返）'!$A:$A,1,FALSE)</f>
        <v>#N/A</v>
      </c>
      <c r="J1756" s="135" t="s">
        <v>90</v>
      </c>
      <c r="K1756" s="135" t="s">
        <v>2311</v>
      </c>
      <c r="L1756" s="164"/>
      <c r="M1756" s="50" t="s">
        <v>2312</v>
      </c>
      <c r="N1756" s="165" t="s">
        <v>503</v>
      </c>
      <c r="O1756" s="172" t="s">
        <v>519</v>
      </c>
      <c r="P1756" s="171">
        <v>20313</v>
      </c>
      <c r="Q1756" s="171">
        <v>4</v>
      </c>
      <c r="R1756" s="68">
        <f t="shared" si="43"/>
        <v>81252</v>
      </c>
      <c r="S1756" s="70">
        <v>202303</v>
      </c>
      <c r="T1756" s="170" t="s">
        <v>2313</v>
      </c>
      <c r="U1756" s="170"/>
      <c r="V1756" s="143"/>
      <c r="W1756" s="143"/>
      <c r="X1756" s="73"/>
      <c r="Y1756" s="73"/>
    </row>
    <row r="1757" s="10" customFormat="1" customHeight="1" spans="1:25">
      <c r="A1757" s="61" t="s">
        <v>399</v>
      </c>
      <c r="B1757" s="61" t="s">
        <v>62</v>
      </c>
      <c r="C1757" s="61" t="s">
        <v>744</v>
      </c>
      <c r="D1757" s="61" t="s">
        <v>566</v>
      </c>
      <c r="E1757" s="160" t="s">
        <v>2298</v>
      </c>
      <c r="F1757" s="135" t="s">
        <v>2299</v>
      </c>
      <c r="G1757" s="161" t="s">
        <v>88</v>
      </c>
      <c r="H1757" s="45" t="s">
        <v>2308</v>
      </c>
      <c r="I1757" s="47" t="e">
        <f>VLOOKUP(H1757,'合同综合查询数据（3月返）'!$A:$A,1,FALSE)</f>
        <v>#N/A</v>
      </c>
      <c r="J1757" s="135" t="s">
        <v>90</v>
      </c>
      <c r="K1757" s="135" t="s">
        <v>2311</v>
      </c>
      <c r="L1757" s="164"/>
      <c r="M1757" s="50" t="s">
        <v>2312</v>
      </c>
      <c r="N1757" s="165">
        <v>44651</v>
      </c>
      <c r="O1757" s="172" t="s">
        <v>457</v>
      </c>
      <c r="P1757" s="171">
        <v>6500</v>
      </c>
      <c r="Q1757" s="171">
        <v>-592</v>
      </c>
      <c r="R1757" s="68">
        <f t="shared" si="43"/>
        <v>-3848000</v>
      </c>
      <c r="S1757" s="70">
        <v>202303</v>
      </c>
      <c r="T1757" s="170" t="s">
        <v>2310</v>
      </c>
      <c r="U1757" s="170"/>
      <c r="V1757" s="143"/>
      <c r="W1757" s="143"/>
      <c r="X1757" s="73"/>
      <c r="Y1757" s="73"/>
    </row>
    <row r="1758" s="10" customFormat="1" customHeight="1" spans="1:25">
      <c r="A1758" s="61" t="s">
        <v>399</v>
      </c>
      <c r="B1758" s="61" t="s">
        <v>62</v>
      </c>
      <c r="C1758" s="61" t="s">
        <v>744</v>
      </c>
      <c r="D1758" s="61" t="s">
        <v>566</v>
      </c>
      <c r="E1758" s="160" t="s">
        <v>2298</v>
      </c>
      <c r="F1758" s="135" t="s">
        <v>2299</v>
      </c>
      <c r="G1758" s="161" t="s">
        <v>88</v>
      </c>
      <c r="H1758" s="45" t="s">
        <v>2308</v>
      </c>
      <c r="I1758" s="47" t="e">
        <f>VLOOKUP(H1758,'合同综合查询数据（3月返）'!$A:$A,1,FALSE)</f>
        <v>#N/A</v>
      </c>
      <c r="J1758" s="135" t="s">
        <v>90</v>
      </c>
      <c r="K1758" s="135" t="s">
        <v>2311</v>
      </c>
      <c r="L1758" s="164"/>
      <c r="M1758" s="50" t="s">
        <v>2312</v>
      </c>
      <c r="N1758" s="165">
        <v>44651</v>
      </c>
      <c r="O1758" s="172" t="s">
        <v>506</v>
      </c>
      <c r="P1758" s="171">
        <v>8864</v>
      </c>
      <c r="Q1758" s="171">
        <v>-5</v>
      </c>
      <c r="R1758" s="68">
        <f t="shared" si="43"/>
        <v>-44320</v>
      </c>
      <c r="S1758" s="70">
        <v>202303</v>
      </c>
      <c r="T1758" s="170" t="s">
        <v>2310</v>
      </c>
      <c r="U1758" s="170"/>
      <c r="V1758" s="143"/>
      <c r="W1758" s="143"/>
      <c r="X1758" s="73"/>
      <c r="Y1758" s="73"/>
    </row>
    <row r="1759" s="10" customFormat="1" customHeight="1" spans="1:25">
      <c r="A1759" s="61" t="s">
        <v>399</v>
      </c>
      <c r="B1759" s="61" t="s">
        <v>62</v>
      </c>
      <c r="C1759" s="61" t="s">
        <v>744</v>
      </c>
      <c r="D1759" s="61" t="s">
        <v>566</v>
      </c>
      <c r="E1759" s="160" t="s">
        <v>2298</v>
      </c>
      <c r="F1759" s="135" t="s">
        <v>2299</v>
      </c>
      <c r="G1759" s="161" t="s">
        <v>88</v>
      </c>
      <c r="H1759" s="45" t="s">
        <v>2308</v>
      </c>
      <c r="I1759" s="47" t="e">
        <f>VLOOKUP(H1759,'合同综合查询数据（3月返）'!$A:$A,1,FALSE)</f>
        <v>#N/A</v>
      </c>
      <c r="J1759" s="135" t="s">
        <v>90</v>
      </c>
      <c r="K1759" s="135" t="s">
        <v>2311</v>
      </c>
      <c r="L1759" s="164"/>
      <c r="M1759" s="50" t="s">
        <v>2312</v>
      </c>
      <c r="N1759" s="165">
        <v>44651</v>
      </c>
      <c r="O1759" s="172" t="s">
        <v>519</v>
      </c>
      <c r="P1759" s="171">
        <v>20313</v>
      </c>
      <c r="Q1759" s="171">
        <v>-4</v>
      </c>
      <c r="R1759" s="68">
        <f t="shared" si="43"/>
        <v>-81252</v>
      </c>
      <c r="S1759" s="70">
        <v>202303</v>
      </c>
      <c r="T1759" s="170" t="s">
        <v>2310</v>
      </c>
      <c r="U1759" s="170"/>
      <c r="V1759" s="143"/>
      <c r="W1759" s="143"/>
      <c r="X1759" s="73"/>
      <c r="Y1759" s="73"/>
    </row>
    <row r="1760" s="9" customFormat="1" customHeight="1" spans="1:25">
      <c r="A1760" s="16" t="s">
        <v>61</v>
      </c>
      <c r="B1760" s="96" t="s">
        <v>83</v>
      </c>
      <c r="C1760" s="17" t="s">
        <v>63</v>
      </c>
      <c r="D1760" s="96" t="s">
        <v>75</v>
      </c>
      <c r="E1760" s="18" t="s">
        <v>2314</v>
      </c>
      <c r="F1760" s="16" t="s">
        <v>2315</v>
      </c>
      <c r="G1760" s="99" t="s">
        <v>302</v>
      </c>
      <c r="H1760" s="19" t="s">
        <v>2316</v>
      </c>
      <c r="I1760" s="23" t="e">
        <f>VLOOKUP(H1760,'合同综合查询数据（3月返）'!$A:$A,1,FALSE)</f>
        <v>#N/A</v>
      </c>
      <c r="J1760" s="99" t="s">
        <v>302</v>
      </c>
      <c r="K1760" s="16" t="s">
        <v>2317</v>
      </c>
      <c r="L1760" s="25"/>
      <c r="M1760" s="26"/>
      <c r="N1760" s="28">
        <v>44105</v>
      </c>
      <c r="O1760" s="28" t="s">
        <v>2318</v>
      </c>
      <c r="P1760" s="239">
        <v>291815.37</v>
      </c>
      <c r="Q1760" s="35">
        <v>1</v>
      </c>
      <c r="R1760" s="120">
        <f t="shared" si="43"/>
        <v>291815.37</v>
      </c>
      <c r="S1760" s="117">
        <v>202303</v>
      </c>
      <c r="T1760" s="242" t="s">
        <v>2319</v>
      </c>
      <c r="U1760" s="242"/>
      <c r="V1760" s="243"/>
      <c r="W1760" s="243"/>
      <c r="X1760" s="118">
        <v>44105</v>
      </c>
      <c r="Y1760" s="118">
        <v>45930</v>
      </c>
    </row>
    <row r="1761" s="9" customFormat="1" customHeight="1" spans="1:25">
      <c r="A1761" s="16" t="s">
        <v>61</v>
      </c>
      <c r="B1761" s="96" t="s">
        <v>83</v>
      </c>
      <c r="C1761" s="17" t="s">
        <v>63</v>
      </c>
      <c r="D1761" s="96" t="s">
        <v>75</v>
      </c>
      <c r="E1761" s="18" t="s">
        <v>2314</v>
      </c>
      <c r="F1761" s="16" t="s">
        <v>2315</v>
      </c>
      <c r="G1761" s="99" t="s">
        <v>302</v>
      </c>
      <c r="H1761" s="19" t="s">
        <v>2320</v>
      </c>
      <c r="I1761" s="23" t="e">
        <f>VLOOKUP(H1761,'合同综合查询数据（3月返）'!$A:$A,1,FALSE)</f>
        <v>#N/A</v>
      </c>
      <c r="J1761" s="99" t="s">
        <v>302</v>
      </c>
      <c r="K1761" s="16" t="s">
        <v>2321</v>
      </c>
      <c r="L1761" s="25"/>
      <c r="M1761" s="26"/>
      <c r="N1761" s="28">
        <v>44317</v>
      </c>
      <c r="O1761" s="28" t="s">
        <v>2322</v>
      </c>
      <c r="P1761" s="239">
        <f>423.5*382.3</f>
        <v>161904.05</v>
      </c>
      <c r="Q1761" s="35">
        <v>1</v>
      </c>
      <c r="R1761" s="120">
        <f>ROUND(P1761*Q1761,2)+24000</f>
        <v>185904.05</v>
      </c>
      <c r="S1761" s="117">
        <v>202303</v>
      </c>
      <c r="T1761" s="18" t="s">
        <v>2323</v>
      </c>
      <c r="U1761" s="18"/>
      <c r="V1761" s="243"/>
      <c r="W1761" s="243"/>
      <c r="X1761" s="118">
        <v>44317</v>
      </c>
      <c r="Y1761" s="118">
        <v>45777</v>
      </c>
    </row>
    <row r="1762" s="9" customFormat="1" customHeight="1" spans="1:25">
      <c r="A1762" s="129" t="s">
        <v>61</v>
      </c>
      <c r="B1762" s="96" t="s">
        <v>62</v>
      </c>
      <c r="C1762" s="98" t="s">
        <v>217</v>
      </c>
      <c r="D1762" s="96" t="s">
        <v>64</v>
      </c>
      <c r="E1762" s="130" t="s">
        <v>2324</v>
      </c>
      <c r="F1762" s="129" t="s">
        <v>2325</v>
      </c>
      <c r="G1762" s="99" t="s">
        <v>88</v>
      </c>
      <c r="H1762" s="100" t="s">
        <v>2326</v>
      </c>
      <c r="I1762" s="23" t="e">
        <f>VLOOKUP(H1762,'合同综合查询数据（3月返）'!$A:$A,1,FALSE)</f>
        <v>#N/A</v>
      </c>
      <c r="J1762" s="99" t="s">
        <v>90</v>
      </c>
      <c r="K1762" s="108" t="s">
        <v>2327</v>
      </c>
      <c r="L1762" s="109"/>
      <c r="M1762" s="26" t="s">
        <v>2328</v>
      </c>
      <c r="N1762" s="28">
        <v>44454</v>
      </c>
      <c r="O1762" s="109" t="s">
        <v>457</v>
      </c>
      <c r="P1762" s="131">
        <v>1760</v>
      </c>
      <c r="Q1762" s="131">
        <v>52</v>
      </c>
      <c r="R1762" s="120">
        <f t="shared" ref="R1762:R1825" si="44">ROUND(P1762*Q1762,2)</f>
        <v>91520</v>
      </c>
      <c r="S1762" s="117">
        <v>202303</v>
      </c>
      <c r="T1762" s="121" t="s">
        <v>2329</v>
      </c>
      <c r="U1762" s="132"/>
      <c r="V1762" s="133"/>
      <c r="W1762" s="133"/>
      <c r="X1762" s="118">
        <v>44423</v>
      </c>
      <c r="Y1762" s="118">
        <v>46279</v>
      </c>
    </row>
    <row r="1763" s="9" customFormat="1" customHeight="1" spans="1:25">
      <c r="A1763" s="129" t="s">
        <v>61</v>
      </c>
      <c r="B1763" s="96" t="s">
        <v>62</v>
      </c>
      <c r="C1763" s="98" t="s">
        <v>217</v>
      </c>
      <c r="D1763" s="96" t="s">
        <v>64</v>
      </c>
      <c r="E1763" s="130" t="s">
        <v>2324</v>
      </c>
      <c r="F1763" s="129" t="s">
        <v>2325</v>
      </c>
      <c r="G1763" s="99" t="s">
        <v>88</v>
      </c>
      <c r="H1763" s="100" t="s">
        <v>2326</v>
      </c>
      <c r="I1763" s="23" t="e">
        <f>VLOOKUP(H1763,'合同综合查询数据（3月返）'!$A:$A,1,FALSE)</f>
        <v>#N/A</v>
      </c>
      <c r="J1763" s="99" t="s">
        <v>90</v>
      </c>
      <c r="K1763" s="108" t="s">
        <v>2327</v>
      </c>
      <c r="L1763" s="109"/>
      <c r="M1763" s="26" t="s">
        <v>2328</v>
      </c>
      <c r="N1763" s="28">
        <v>44454</v>
      </c>
      <c r="O1763" s="109" t="s">
        <v>461</v>
      </c>
      <c r="P1763" s="131">
        <v>3520</v>
      </c>
      <c r="Q1763" s="131">
        <v>42</v>
      </c>
      <c r="R1763" s="120">
        <f t="shared" si="44"/>
        <v>147840</v>
      </c>
      <c r="S1763" s="117">
        <v>202303</v>
      </c>
      <c r="T1763" s="121" t="s">
        <v>2330</v>
      </c>
      <c r="U1763" s="132"/>
      <c r="V1763" s="133"/>
      <c r="W1763" s="133"/>
      <c r="X1763" s="118">
        <v>44423</v>
      </c>
      <c r="Y1763" s="118">
        <v>46279</v>
      </c>
    </row>
    <row r="1764" s="9" customFormat="1" customHeight="1" spans="1:25">
      <c r="A1764" s="129" t="s">
        <v>61</v>
      </c>
      <c r="B1764" s="96" t="s">
        <v>62</v>
      </c>
      <c r="C1764" s="98" t="s">
        <v>217</v>
      </c>
      <c r="D1764" s="96" t="s">
        <v>64</v>
      </c>
      <c r="E1764" s="130" t="s">
        <v>2324</v>
      </c>
      <c r="F1764" s="129" t="s">
        <v>2325</v>
      </c>
      <c r="G1764" s="99" t="s">
        <v>88</v>
      </c>
      <c r="H1764" s="100" t="s">
        <v>2326</v>
      </c>
      <c r="I1764" s="23" t="e">
        <f>VLOOKUP(H1764,'合同综合查询数据（3月返）'!$A:$A,1,FALSE)</f>
        <v>#N/A</v>
      </c>
      <c r="J1764" s="99" t="s">
        <v>90</v>
      </c>
      <c r="K1764" s="108" t="s">
        <v>2327</v>
      </c>
      <c r="L1764" s="109"/>
      <c r="M1764" s="26" t="s">
        <v>2328</v>
      </c>
      <c r="N1764" s="28">
        <v>44454</v>
      </c>
      <c r="O1764" s="109" t="s">
        <v>574</v>
      </c>
      <c r="P1764" s="131">
        <v>9600</v>
      </c>
      <c r="Q1764" s="131">
        <v>42</v>
      </c>
      <c r="R1764" s="120">
        <f t="shared" si="44"/>
        <v>403200</v>
      </c>
      <c r="S1764" s="117">
        <v>202303</v>
      </c>
      <c r="T1764" s="121" t="s">
        <v>2331</v>
      </c>
      <c r="U1764" s="132"/>
      <c r="V1764" s="133"/>
      <c r="W1764" s="133"/>
      <c r="X1764" s="118">
        <v>44423</v>
      </c>
      <c r="Y1764" s="118">
        <v>46279</v>
      </c>
    </row>
    <row r="1765" s="9" customFormat="1" customHeight="1" spans="1:25">
      <c r="A1765" s="129" t="s">
        <v>61</v>
      </c>
      <c r="B1765" s="96" t="s">
        <v>62</v>
      </c>
      <c r="C1765" s="98" t="s">
        <v>217</v>
      </c>
      <c r="D1765" s="96" t="s">
        <v>64</v>
      </c>
      <c r="E1765" s="130" t="s">
        <v>2324</v>
      </c>
      <c r="F1765" s="129" t="s">
        <v>2325</v>
      </c>
      <c r="G1765" s="99" t="s">
        <v>88</v>
      </c>
      <c r="H1765" s="100" t="s">
        <v>2326</v>
      </c>
      <c r="I1765" s="23" t="e">
        <f>VLOOKUP(H1765,'合同综合查询数据（3月返）'!$A:$A,1,FALSE)</f>
        <v>#N/A</v>
      </c>
      <c r="J1765" s="99" t="s">
        <v>90</v>
      </c>
      <c r="K1765" s="108" t="s">
        <v>2327</v>
      </c>
      <c r="L1765" s="109"/>
      <c r="M1765" s="26" t="s">
        <v>2328</v>
      </c>
      <c r="N1765" s="28">
        <v>44463</v>
      </c>
      <c r="O1765" s="109" t="s">
        <v>461</v>
      </c>
      <c r="P1765" s="131">
        <v>3520</v>
      </c>
      <c r="Q1765" s="131">
        <v>20</v>
      </c>
      <c r="R1765" s="120">
        <f t="shared" si="44"/>
        <v>70400</v>
      </c>
      <c r="S1765" s="117">
        <v>202303</v>
      </c>
      <c r="T1765" s="121" t="s">
        <v>2332</v>
      </c>
      <c r="U1765" s="132"/>
      <c r="V1765" s="133"/>
      <c r="W1765" s="133"/>
      <c r="X1765" s="118">
        <v>44423</v>
      </c>
      <c r="Y1765" s="118">
        <v>46279</v>
      </c>
    </row>
    <row r="1766" s="9" customFormat="1" customHeight="1" spans="1:25">
      <c r="A1766" s="129" t="s">
        <v>61</v>
      </c>
      <c r="B1766" s="96" t="s">
        <v>62</v>
      </c>
      <c r="C1766" s="98" t="s">
        <v>217</v>
      </c>
      <c r="D1766" s="96" t="s">
        <v>64</v>
      </c>
      <c r="E1766" s="130" t="s">
        <v>2324</v>
      </c>
      <c r="F1766" s="129" t="s">
        <v>2325</v>
      </c>
      <c r="G1766" s="99" t="s">
        <v>88</v>
      </c>
      <c r="H1766" s="100" t="s">
        <v>2326</v>
      </c>
      <c r="I1766" s="23" t="e">
        <f>VLOOKUP(H1766,'合同综合查询数据（3月返）'!$A:$A,1,FALSE)</f>
        <v>#N/A</v>
      </c>
      <c r="J1766" s="99" t="s">
        <v>90</v>
      </c>
      <c r="K1766" s="108" t="s">
        <v>2327</v>
      </c>
      <c r="L1766" s="109"/>
      <c r="M1766" s="26" t="s">
        <v>2328</v>
      </c>
      <c r="N1766" s="28">
        <v>44466</v>
      </c>
      <c r="O1766" s="109" t="s">
        <v>461</v>
      </c>
      <c r="P1766" s="131">
        <v>3520</v>
      </c>
      <c r="Q1766" s="131">
        <v>26</v>
      </c>
      <c r="R1766" s="120">
        <f t="shared" si="44"/>
        <v>91520</v>
      </c>
      <c r="S1766" s="117">
        <v>202303</v>
      </c>
      <c r="T1766" s="121" t="s">
        <v>2333</v>
      </c>
      <c r="U1766" s="132"/>
      <c r="V1766" s="133"/>
      <c r="W1766" s="133"/>
      <c r="X1766" s="118">
        <v>44423</v>
      </c>
      <c r="Y1766" s="118">
        <v>46279</v>
      </c>
    </row>
    <row r="1767" s="9" customFormat="1" customHeight="1" spans="1:25">
      <c r="A1767" s="129" t="s">
        <v>61</v>
      </c>
      <c r="B1767" s="96" t="s">
        <v>62</v>
      </c>
      <c r="C1767" s="98" t="s">
        <v>217</v>
      </c>
      <c r="D1767" s="96" t="s">
        <v>64</v>
      </c>
      <c r="E1767" s="130" t="s">
        <v>2324</v>
      </c>
      <c r="F1767" s="129" t="s">
        <v>2325</v>
      </c>
      <c r="G1767" s="99" t="s">
        <v>88</v>
      </c>
      <c r="H1767" s="100" t="s">
        <v>2326</v>
      </c>
      <c r="I1767" s="23" t="e">
        <f>VLOOKUP(H1767,'合同综合查询数据（3月返）'!$A:$A,1,FALSE)</f>
        <v>#N/A</v>
      </c>
      <c r="J1767" s="99" t="s">
        <v>90</v>
      </c>
      <c r="K1767" s="108" t="s">
        <v>2327</v>
      </c>
      <c r="L1767" s="109"/>
      <c r="M1767" s="26" t="s">
        <v>2328</v>
      </c>
      <c r="N1767" s="28">
        <v>44467</v>
      </c>
      <c r="O1767" s="109" t="s">
        <v>457</v>
      </c>
      <c r="P1767" s="131">
        <v>1760</v>
      </c>
      <c r="Q1767" s="131">
        <v>4</v>
      </c>
      <c r="R1767" s="120">
        <f t="shared" si="44"/>
        <v>7040</v>
      </c>
      <c r="S1767" s="117">
        <v>202303</v>
      </c>
      <c r="T1767" s="121" t="s">
        <v>2334</v>
      </c>
      <c r="U1767" s="132"/>
      <c r="V1767" s="133"/>
      <c r="W1767" s="133"/>
      <c r="X1767" s="118">
        <v>44423</v>
      </c>
      <c r="Y1767" s="118">
        <v>46279</v>
      </c>
    </row>
    <row r="1768" s="9" customFormat="1" customHeight="1" spans="1:25">
      <c r="A1768" s="129" t="s">
        <v>61</v>
      </c>
      <c r="B1768" s="96" t="s">
        <v>62</v>
      </c>
      <c r="C1768" s="98" t="s">
        <v>217</v>
      </c>
      <c r="D1768" s="96" t="s">
        <v>64</v>
      </c>
      <c r="E1768" s="130" t="s">
        <v>2324</v>
      </c>
      <c r="F1768" s="129" t="s">
        <v>2325</v>
      </c>
      <c r="G1768" s="99" t="s">
        <v>88</v>
      </c>
      <c r="H1768" s="100" t="s">
        <v>2326</v>
      </c>
      <c r="I1768" s="23" t="e">
        <f>VLOOKUP(H1768,'合同综合查询数据（3月返）'!$A:$A,1,FALSE)</f>
        <v>#N/A</v>
      </c>
      <c r="J1768" s="99" t="s">
        <v>90</v>
      </c>
      <c r="K1768" s="108" t="s">
        <v>2327</v>
      </c>
      <c r="L1768" s="109"/>
      <c r="M1768" s="26" t="s">
        <v>2328</v>
      </c>
      <c r="N1768" s="28">
        <v>44467</v>
      </c>
      <c r="O1768" s="109" t="s">
        <v>461</v>
      </c>
      <c r="P1768" s="131">
        <v>3520</v>
      </c>
      <c r="Q1768" s="131">
        <v>19</v>
      </c>
      <c r="R1768" s="120">
        <f t="shared" si="44"/>
        <v>66880</v>
      </c>
      <c r="S1768" s="117">
        <v>202303</v>
      </c>
      <c r="T1768" s="121" t="s">
        <v>2335</v>
      </c>
      <c r="U1768" s="132"/>
      <c r="V1768" s="133"/>
      <c r="W1768" s="133"/>
      <c r="X1768" s="118">
        <v>44423</v>
      </c>
      <c r="Y1768" s="118">
        <v>46279</v>
      </c>
    </row>
    <row r="1769" s="9" customFormat="1" customHeight="1" spans="1:25">
      <c r="A1769" s="129" t="s">
        <v>61</v>
      </c>
      <c r="B1769" s="96" t="s">
        <v>62</v>
      </c>
      <c r="C1769" s="98" t="s">
        <v>217</v>
      </c>
      <c r="D1769" s="96" t="s">
        <v>64</v>
      </c>
      <c r="E1769" s="130" t="s">
        <v>2324</v>
      </c>
      <c r="F1769" s="129" t="s">
        <v>2325</v>
      </c>
      <c r="G1769" s="99" t="s">
        <v>88</v>
      </c>
      <c r="H1769" s="100" t="s">
        <v>2326</v>
      </c>
      <c r="I1769" s="23" t="e">
        <f>VLOOKUP(H1769,'合同综合查询数据（3月返）'!$A:$A,1,FALSE)</f>
        <v>#N/A</v>
      </c>
      <c r="J1769" s="99" t="s">
        <v>90</v>
      </c>
      <c r="K1769" s="108" t="s">
        <v>2327</v>
      </c>
      <c r="L1769" s="109"/>
      <c r="M1769" s="26" t="s">
        <v>2328</v>
      </c>
      <c r="N1769" s="28">
        <v>44481</v>
      </c>
      <c r="O1769" s="109" t="s">
        <v>461</v>
      </c>
      <c r="P1769" s="131">
        <v>3520</v>
      </c>
      <c r="Q1769" s="131">
        <v>2</v>
      </c>
      <c r="R1769" s="120">
        <f t="shared" si="44"/>
        <v>7040</v>
      </c>
      <c r="S1769" s="117">
        <v>202303</v>
      </c>
      <c r="T1769" s="121" t="s">
        <v>2336</v>
      </c>
      <c r="U1769" s="132"/>
      <c r="V1769" s="133"/>
      <c r="W1769" s="133"/>
      <c r="X1769" s="118">
        <v>44423</v>
      </c>
      <c r="Y1769" s="118">
        <v>46279</v>
      </c>
    </row>
    <row r="1770" s="9" customFormat="1" customHeight="1" spans="1:25">
      <c r="A1770" s="129" t="s">
        <v>61</v>
      </c>
      <c r="B1770" s="96" t="s">
        <v>62</v>
      </c>
      <c r="C1770" s="98" t="s">
        <v>217</v>
      </c>
      <c r="D1770" s="96" t="s">
        <v>64</v>
      </c>
      <c r="E1770" s="130" t="s">
        <v>2324</v>
      </c>
      <c r="F1770" s="129" t="s">
        <v>2325</v>
      </c>
      <c r="G1770" s="99" t="s">
        <v>88</v>
      </c>
      <c r="H1770" s="100" t="s">
        <v>2326</v>
      </c>
      <c r="I1770" s="23" t="e">
        <f>VLOOKUP(H1770,'合同综合查询数据（3月返）'!$A:$A,1,FALSE)</f>
        <v>#N/A</v>
      </c>
      <c r="J1770" s="99" t="s">
        <v>90</v>
      </c>
      <c r="K1770" s="108" t="s">
        <v>2327</v>
      </c>
      <c r="L1770" s="109"/>
      <c r="M1770" s="26" t="s">
        <v>2328</v>
      </c>
      <c r="N1770" s="28">
        <v>44482</v>
      </c>
      <c r="O1770" s="109" t="s">
        <v>461</v>
      </c>
      <c r="P1770" s="131">
        <v>3520</v>
      </c>
      <c r="Q1770" s="131">
        <v>31</v>
      </c>
      <c r="R1770" s="120">
        <f t="shared" si="44"/>
        <v>109120</v>
      </c>
      <c r="S1770" s="117">
        <v>202303</v>
      </c>
      <c r="T1770" s="121" t="s">
        <v>2337</v>
      </c>
      <c r="U1770" s="132"/>
      <c r="V1770" s="133"/>
      <c r="W1770" s="133"/>
      <c r="X1770" s="118">
        <v>44423</v>
      </c>
      <c r="Y1770" s="118">
        <v>46279</v>
      </c>
    </row>
    <row r="1771" s="9" customFormat="1" customHeight="1" spans="1:25">
      <c r="A1771" s="129" t="s">
        <v>61</v>
      </c>
      <c r="B1771" s="96" t="s">
        <v>62</v>
      </c>
      <c r="C1771" s="98" t="s">
        <v>217</v>
      </c>
      <c r="D1771" s="96" t="s">
        <v>64</v>
      </c>
      <c r="E1771" s="130" t="s">
        <v>2324</v>
      </c>
      <c r="F1771" s="129" t="s">
        <v>2325</v>
      </c>
      <c r="G1771" s="99" t="s">
        <v>88</v>
      </c>
      <c r="H1771" s="100" t="s">
        <v>2326</v>
      </c>
      <c r="I1771" s="23" t="e">
        <f>VLOOKUP(H1771,'合同综合查询数据（3月返）'!$A:$A,1,FALSE)</f>
        <v>#N/A</v>
      </c>
      <c r="J1771" s="99" t="s">
        <v>90</v>
      </c>
      <c r="K1771" s="108" t="s">
        <v>2327</v>
      </c>
      <c r="L1771" s="109"/>
      <c r="M1771" s="26" t="s">
        <v>2328</v>
      </c>
      <c r="N1771" s="28">
        <v>44484</v>
      </c>
      <c r="O1771" s="109" t="s">
        <v>461</v>
      </c>
      <c r="P1771" s="131">
        <v>3520</v>
      </c>
      <c r="Q1771" s="131">
        <v>16</v>
      </c>
      <c r="R1771" s="120">
        <f t="shared" si="44"/>
        <v>56320</v>
      </c>
      <c r="S1771" s="117">
        <v>202303</v>
      </c>
      <c r="T1771" s="121" t="s">
        <v>2338</v>
      </c>
      <c r="U1771" s="132"/>
      <c r="V1771" s="133"/>
      <c r="W1771" s="133"/>
      <c r="X1771" s="118">
        <v>44423</v>
      </c>
      <c r="Y1771" s="118">
        <v>46279</v>
      </c>
    </row>
    <row r="1772" s="9" customFormat="1" customHeight="1" spans="1:25">
      <c r="A1772" s="129" t="s">
        <v>61</v>
      </c>
      <c r="B1772" s="96" t="s">
        <v>62</v>
      </c>
      <c r="C1772" s="98" t="s">
        <v>217</v>
      </c>
      <c r="D1772" s="96" t="s">
        <v>64</v>
      </c>
      <c r="E1772" s="130" t="s">
        <v>2324</v>
      </c>
      <c r="F1772" s="129" t="s">
        <v>2325</v>
      </c>
      <c r="G1772" s="99" t="s">
        <v>88</v>
      </c>
      <c r="H1772" s="100" t="s">
        <v>2326</v>
      </c>
      <c r="I1772" s="23" t="e">
        <f>VLOOKUP(H1772,'合同综合查询数据（3月返）'!$A:$A,1,FALSE)</f>
        <v>#N/A</v>
      </c>
      <c r="J1772" s="99" t="s">
        <v>90</v>
      </c>
      <c r="K1772" s="108" t="s">
        <v>2327</v>
      </c>
      <c r="L1772" s="109"/>
      <c r="M1772" s="26" t="s">
        <v>2328</v>
      </c>
      <c r="N1772" s="28">
        <v>44498</v>
      </c>
      <c r="O1772" s="109" t="s">
        <v>461</v>
      </c>
      <c r="P1772" s="131">
        <v>3520</v>
      </c>
      <c r="Q1772" s="131">
        <v>8</v>
      </c>
      <c r="R1772" s="120">
        <f t="shared" si="44"/>
        <v>28160</v>
      </c>
      <c r="S1772" s="117">
        <v>202303</v>
      </c>
      <c r="T1772" s="121" t="s">
        <v>2339</v>
      </c>
      <c r="U1772" s="132"/>
      <c r="V1772" s="133"/>
      <c r="W1772" s="133"/>
      <c r="X1772" s="118">
        <v>44423</v>
      </c>
      <c r="Y1772" s="118">
        <v>46279</v>
      </c>
    </row>
    <row r="1773" s="9" customFormat="1" customHeight="1" spans="1:25">
      <c r="A1773" s="129" t="s">
        <v>61</v>
      </c>
      <c r="B1773" s="96" t="s">
        <v>62</v>
      </c>
      <c r="C1773" s="98" t="s">
        <v>217</v>
      </c>
      <c r="D1773" s="96" t="s">
        <v>64</v>
      </c>
      <c r="E1773" s="130" t="s">
        <v>2324</v>
      </c>
      <c r="F1773" s="129" t="s">
        <v>2325</v>
      </c>
      <c r="G1773" s="99" t="s">
        <v>88</v>
      </c>
      <c r="H1773" s="100" t="s">
        <v>2326</v>
      </c>
      <c r="I1773" s="23" t="e">
        <f>VLOOKUP(H1773,'合同综合查询数据（3月返）'!$A:$A,1,FALSE)</f>
        <v>#N/A</v>
      </c>
      <c r="J1773" s="99" t="s">
        <v>90</v>
      </c>
      <c r="K1773" s="108" t="s">
        <v>2327</v>
      </c>
      <c r="L1773" s="109"/>
      <c r="M1773" s="26" t="s">
        <v>2328</v>
      </c>
      <c r="N1773" s="28">
        <v>44501</v>
      </c>
      <c r="O1773" s="109" t="s">
        <v>461</v>
      </c>
      <c r="P1773" s="131">
        <v>3520</v>
      </c>
      <c r="Q1773" s="131">
        <v>3</v>
      </c>
      <c r="R1773" s="120">
        <f t="shared" si="44"/>
        <v>10560</v>
      </c>
      <c r="S1773" s="117">
        <v>202303</v>
      </c>
      <c r="T1773" s="121" t="s">
        <v>2340</v>
      </c>
      <c r="U1773" s="132"/>
      <c r="V1773" s="133"/>
      <c r="W1773" s="133"/>
      <c r="X1773" s="118">
        <v>44423</v>
      </c>
      <c r="Y1773" s="118">
        <v>46279</v>
      </c>
    </row>
    <row r="1774" s="9" customFormat="1" customHeight="1" spans="1:25">
      <c r="A1774" s="129" t="s">
        <v>61</v>
      </c>
      <c r="B1774" s="96" t="s">
        <v>62</v>
      </c>
      <c r="C1774" s="98" t="s">
        <v>217</v>
      </c>
      <c r="D1774" s="96" t="s">
        <v>64</v>
      </c>
      <c r="E1774" s="130" t="s">
        <v>2324</v>
      </c>
      <c r="F1774" s="129" t="s">
        <v>2325</v>
      </c>
      <c r="G1774" s="99" t="s">
        <v>88</v>
      </c>
      <c r="H1774" s="100" t="s">
        <v>2326</v>
      </c>
      <c r="I1774" s="23" t="e">
        <f>VLOOKUP(H1774,'合同综合查询数据（3月返）'!$A:$A,1,FALSE)</f>
        <v>#N/A</v>
      </c>
      <c r="J1774" s="99" t="s">
        <v>90</v>
      </c>
      <c r="K1774" s="108" t="s">
        <v>2327</v>
      </c>
      <c r="L1774" s="109"/>
      <c r="M1774" s="26" t="s">
        <v>2328</v>
      </c>
      <c r="N1774" s="28">
        <v>44503</v>
      </c>
      <c r="O1774" s="109" t="s">
        <v>461</v>
      </c>
      <c r="P1774" s="131">
        <v>3520</v>
      </c>
      <c r="Q1774" s="131">
        <v>23</v>
      </c>
      <c r="R1774" s="120">
        <f t="shared" si="44"/>
        <v>80960</v>
      </c>
      <c r="S1774" s="117">
        <v>202303</v>
      </c>
      <c r="T1774" s="121" t="s">
        <v>2341</v>
      </c>
      <c r="U1774" s="132"/>
      <c r="V1774" s="133"/>
      <c r="W1774" s="133"/>
      <c r="X1774" s="118">
        <v>44423</v>
      </c>
      <c r="Y1774" s="118">
        <v>46279</v>
      </c>
    </row>
    <row r="1775" s="9" customFormat="1" customHeight="1" spans="1:25">
      <c r="A1775" s="129" t="s">
        <v>61</v>
      </c>
      <c r="B1775" s="96" t="s">
        <v>62</v>
      </c>
      <c r="C1775" s="98" t="s">
        <v>217</v>
      </c>
      <c r="D1775" s="96" t="s">
        <v>64</v>
      </c>
      <c r="E1775" s="130" t="s">
        <v>2324</v>
      </c>
      <c r="F1775" s="129" t="s">
        <v>2325</v>
      </c>
      <c r="G1775" s="99" t="s">
        <v>88</v>
      </c>
      <c r="H1775" s="100" t="s">
        <v>2326</v>
      </c>
      <c r="I1775" s="23" t="e">
        <f>VLOOKUP(H1775,'合同综合查询数据（3月返）'!$A:$A,1,FALSE)</f>
        <v>#N/A</v>
      </c>
      <c r="J1775" s="99" t="s">
        <v>90</v>
      </c>
      <c r="K1775" s="108" t="s">
        <v>2327</v>
      </c>
      <c r="L1775" s="109"/>
      <c r="M1775" s="26" t="s">
        <v>2328</v>
      </c>
      <c r="N1775" s="28">
        <v>44506</v>
      </c>
      <c r="O1775" s="109" t="s">
        <v>461</v>
      </c>
      <c r="P1775" s="131">
        <v>3520</v>
      </c>
      <c r="Q1775" s="131">
        <v>13</v>
      </c>
      <c r="R1775" s="120">
        <f t="shared" si="44"/>
        <v>45760</v>
      </c>
      <c r="S1775" s="117">
        <v>202303</v>
      </c>
      <c r="T1775" s="121" t="s">
        <v>2342</v>
      </c>
      <c r="U1775" s="132"/>
      <c r="V1775" s="133"/>
      <c r="W1775" s="133"/>
      <c r="X1775" s="118">
        <v>44423</v>
      </c>
      <c r="Y1775" s="118">
        <v>46279</v>
      </c>
    </row>
    <row r="1776" s="9" customFormat="1" customHeight="1" spans="1:25">
      <c r="A1776" s="129" t="s">
        <v>61</v>
      </c>
      <c r="B1776" s="96" t="s">
        <v>62</v>
      </c>
      <c r="C1776" s="98" t="s">
        <v>217</v>
      </c>
      <c r="D1776" s="96" t="s">
        <v>64</v>
      </c>
      <c r="E1776" s="130" t="s">
        <v>2324</v>
      </c>
      <c r="F1776" s="129" t="s">
        <v>2325</v>
      </c>
      <c r="G1776" s="99" t="s">
        <v>88</v>
      </c>
      <c r="H1776" s="100" t="s">
        <v>2326</v>
      </c>
      <c r="I1776" s="23" t="e">
        <f>VLOOKUP(H1776,'合同综合查询数据（3月返）'!$A:$A,1,FALSE)</f>
        <v>#N/A</v>
      </c>
      <c r="J1776" s="99" t="s">
        <v>90</v>
      </c>
      <c r="K1776" s="108" t="s">
        <v>2327</v>
      </c>
      <c r="L1776" s="109"/>
      <c r="M1776" s="26" t="s">
        <v>2328</v>
      </c>
      <c r="N1776" s="28">
        <v>44508</v>
      </c>
      <c r="O1776" s="109" t="s">
        <v>461</v>
      </c>
      <c r="P1776" s="131">
        <v>3520</v>
      </c>
      <c r="Q1776" s="131">
        <v>3</v>
      </c>
      <c r="R1776" s="120">
        <f t="shared" si="44"/>
        <v>10560</v>
      </c>
      <c r="S1776" s="117">
        <v>202303</v>
      </c>
      <c r="T1776" s="121" t="s">
        <v>2343</v>
      </c>
      <c r="U1776" s="132"/>
      <c r="V1776" s="133"/>
      <c r="W1776" s="133"/>
      <c r="X1776" s="118">
        <v>44423</v>
      </c>
      <c r="Y1776" s="118">
        <v>46279</v>
      </c>
    </row>
    <row r="1777" s="9" customFormat="1" customHeight="1" spans="1:25">
      <c r="A1777" s="129" t="s">
        <v>61</v>
      </c>
      <c r="B1777" s="96" t="s">
        <v>62</v>
      </c>
      <c r="C1777" s="98" t="s">
        <v>217</v>
      </c>
      <c r="D1777" s="96" t="s">
        <v>64</v>
      </c>
      <c r="E1777" s="130" t="s">
        <v>2324</v>
      </c>
      <c r="F1777" s="129" t="s">
        <v>2325</v>
      </c>
      <c r="G1777" s="99" t="s">
        <v>88</v>
      </c>
      <c r="H1777" s="100" t="s">
        <v>2326</v>
      </c>
      <c r="I1777" s="23" t="e">
        <f>VLOOKUP(H1777,'合同综合查询数据（3月返）'!$A:$A,1,FALSE)</f>
        <v>#N/A</v>
      </c>
      <c r="J1777" s="99" t="s">
        <v>90</v>
      </c>
      <c r="K1777" s="108" t="s">
        <v>2327</v>
      </c>
      <c r="L1777" s="109"/>
      <c r="M1777" s="26" t="s">
        <v>2328</v>
      </c>
      <c r="N1777" s="28">
        <v>44511</v>
      </c>
      <c r="O1777" s="109" t="s">
        <v>461</v>
      </c>
      <c r="P1777" s="131">
        <v>3520</v>
      </c>
      <c r="Q1777" s="131">
        <v>21</v>
      </c>
      <c r="R1777" s="120">
        <f t="shared" si="44"/>
        <v>73920</v>
      </c>
      <c r="S1777" s="117">
        <v>202303</v>
      </c>
      <c r="T1777" s="121" t="s">
        <v>2344</v>
      </c>
      <c r="U1777" s="132"/>
      <c r="V1777" s="133"/>
      <c r="W1777" s="133"/>
      <c r="X1777" s="118">
        <v>44423</v>
      </c>
      <c r="Y1777" s="118">
        <v>46279</v>
      </c>
    </row>
    <row r="1778" s="9" customFormat="1" customHeight="1" spans="1:25">
      <c r="A1778" s="129" t="s">
        <v>61</v>
      </c>
      <c r="B1778" s="96" t="s">
        <v>62</v>
      </c>
      <c r="C1778" s="98" t="s">
        <v>217</v>
      </c>
      <c r="D1778" s="96" t="s">
        <v>64</v>
      </c>
      <c r="E1778" s="130" t="s">
        <v>2324</v>
      </c>
      <c r="F1778" s="129" t="s">
        <v>2325</v>
      </c>
      <c r="G1778" s="99" t="s">
        <v>88</v>
      </c>
      <c r="H1778" s="100" t="s">
        <v>2326</v>
      </c>
      <c r="I1778" s="23" t="e">
        <f>VLOOKUP(H1778,'合同综合查询数据（3月返）'!$A:$A,1,FALSE)</f>
        <v>#N/A</v>
      </c>
      <c r="J1778" s="99" t="s">
        <v>90</v>
      </c>
      <c r="K1778" s="108" t="s">
        <v>2327</v>
      </c>
      <c r="L1778" s="109"/>
      <c r="M1778" s="26" t="s">
        <v>2328</v>
      </c>
      <c r="N1778" s="28">
        <v>44522</v>
      </c>
      <c r="O1778" s="109" t="s">
        <v>461</v>
      </c>
      <c r="P1778" s="131">
        <v>3520</v>
      </c>
      <c r="Q1778" s="131">
        <v>2</v>
      </c>
      <c r="R1778" s="120">
        <f t="shared" si="44"/>
        <v>7040</v>
      </c>
      <c r="S1778" s="117">
        <v>202303</v>
      </c>
      <c r="T1778" s="121" t="s">
        <v>2345</v>
      </c>
      <c r="U1778" s="132"/>
      <c r="V1778" s="133"/>
      <c r="W1778" s="133"/>
      <c r="X1778" s="118">
        <v>44423</v>
      </c>
      <c r="Y1778" s="118">
        <v>46279</v>
      </c>
    </row>
    <row r="1779" s="9" customFormat="1" customHeight="1" spans="1:25">
      <c r="A1779" s="129" t="s">
        <v>61</v>
      </c>
      <c r="B1779" s="96" t="s">
        <v>62</v>
      </c>
      <c r="C1779" s="98" t="s">
        <v>217</v>
      </c>
      <c r="D1779" s="96" t="s">
        <v>64</v>
      </c>
      <c r="E1779" s="130" t="s">
        <v>2324</v>
      </c>
      <c r="F1779" s="129" t="s">
        <v>2325</v>
      </c>
      <c r="G1779" s="99" t="s">
        <v>88</v>
      </c>
      <c r="H1779" s="100" t="s">
        <v>2326</v>
      </c>
      <c r="I1779" s="23" t="e">
        <f>VLOOKUP(H1779,'合同综合查询数据（3月返）'!$A:$A,1,FALSE)</f>
        <v>#N/A</v>
      </c>
      <c r="J1779" s="99" t="s">
        <v>90</v>
      </c>
      <c r="K1779" s="108" t="s">
        <v>2327</v>
      </c>
      <c r="L1779" s="109"/>
      <c r="M1779" s="26" t="s">
        <v>2328</v>
      </c>
      <c r="N1779" s="28">
        <v>44530</v>
      </c>
      <c r="O1779" s="109" t="s">
        <v>461</v>
      </c>
      <c r="P1779" s="131">
        <v>3520</v>
      </c>
      <c r="Q1779" s="131">
        <v>8</v>
      </c>
      <c r="R1779" s="120">
        <f t="shared" si="44"/>
        <v>28160</v>
      </c>
      <c r="S1779" s="117">
        <v>202303</v>
      </c>
      <c r="T1779" s="121" t="s">
        <v>2346</v>
      </c>
      <c r="U1779" s="132"/>
      <c r="V1779" s="133"/>
      <c r="W1779" s="133"/>
      <c r="X1779" s="118">
        <v>44423</v>
      </c>
      <c r="Y1779" s="118">
        <v>46279</v>
      </c>
    </row>
    <row r="1780" s="9" customFormat="1" customHeight="1" spans="1:25">
      <c r="A1780" s="129" t="s">
        <v>61</v>
      </c>
      <c r="B1780" s="96" t="s">
        <v>62</v>
      </c>
      <c r="C1780" s="98" t="s">
        <v>217</v>
      </c>
      <c r="D1780" s="96" t="s">
        <v>64</v>
      </c>
      <c r="E1780" s="130" t="s">
        <v>2324</v>
      </c>
      <c r="F1780" s="129" t="s">
        <v>2325</v>
      </c>
      <c r="G1780" s="99" t="s">
        <v>88</v>
      </c>
      <c r="H1780" s="100" t="s">
        <v>2326</v>
      </c>
      <c r="I1780" s="23" t="e">
        <f>VLOOKUP(H1780,'合同综合查询数据（3月返）'!$A:$A,1,FALSE)</f>
        <v>#N/A</v>
      </c>
      <c r="J1780" s="99" t="s">
        <v>90</v>
      </c>
      <c r="K1780" s="108" t="s">
        <v>2327</v>
      </c>
      <c r="L1780" s="109"/>
      <c r="M1780" s="26" t="s">
        <v>2347</v>
      </c>
      <c r="N1780" s="28">
        <v>44540</v>
      </c>
      <c r="O1780" s="109" t="s">
        <v>461</v>
      </c>
      <c r="P1780" s="131">
        <v>3520</v>
      </c>
      <c r="Q1780" s="131">
        <v>3</v>
      </c>
      <c r="R1780" s="120">
        <f t="shared" si="44"/>
        <v>10560</v>
      </c>
      <c r="S1780" s="117">
        <v>202303</v>
      </c>
      <c r="T1780" s="121" t="s">
        <v>2348</v>
      </c>
      <c r="U1780" s="132"/>
      <c r="V1780" s="133"/>
      <c r="W1780" s="133"/>
      <c r="X1780" s="118">
        <v>44423</v>
      </c>
      <c r="Y1780" s="118">
        <v>46279</v>
      </c>
    </row>
    <row r="1781" s="9" customFormat="1" customHeight="1" spans="1:25">
      <c r="A1781" s="129" t="s">
        <v>61</v>
      </c>
      <c r="B1781" s="96" t="s">
        <v>62</v>
      </c>
      <c r="C1781" s="98" t="s">
        <v>217</v>
      </c>
      <c r="D1781" s="96" t="s">
        <v>64</v>
      </c>
      <c r="E1781" s="130" t="s">
        <v>2324</v>
      </c>
      <c r="F1781" s="129" t="s">
        <v>2325</v>
      </c>
      <c r="G1781" s="99" t="s">
        <v>88</v>
      </c>
      <c r="H1781" s="100" t="s">
        <v>2326</v>
      </c>
      <c r="I1781" s="23" t="e">
        <f>VLOOKUP(H1781,'合同综合查询数据（3月返）'!$A:$A,1,FALSE)</f>
        <v>#N/A</v>
      </c>
      <c r="J1781" s="99" t="s">
        <v>90</v>
      </c>
      <c r="K1781" s="108" t="s">
        <v>2327</v>
      </c>
      <c r="L1781" s="109"/>
      <c r="M1781" s="26" t="s">
        <v>2328</v>
      </c>
      <c r="N1781" s="28">
        <v>44545</v>
      </c>
      <c r="O1781" s="109" t="s">
        <v>461</v>
      </c>
      <c r="P1781" s="131">
        <v>3520</v>
      </c>
      <c r="Q1781" s="131">
        <v>22</v>
      </c>
      <c r="R1781" s="120">
        <f t="shared" si="44"/>
        <v>77440</v>
      </c>
      <c r="S1781" s="117">
        <v>202303</v>
      </c>
      <c r="T1781" s="121" t="s">
        <v>2349</v>
      </c>
      <c r="U1781" s="244"/>
      <c r="V1781" s="133"/>
      <c r="W1781" s="133"/>
      <c r="X1781" s="118">
        <v>44423</v>
      </c>
      <c r="Y1781" s="118">
        <v>46279</v>
      </c>
    </row>
    <row r="1782" s="9" customFormat="1" customHeight="1" spans="1:25">
      <c r="A1782" s="129" t="s">
        <v>61</v>
      </c>
      <c r="B1782" s="96" t="s">
        <v>62</v>
      </c>
      <c r="C1782" s="98" t="s">
        <v>217</v>
      </c>
      <c r="D1782" s="96" t="s">
        <v>64</v>
      </c>
      <c r="E1782" s="130" t="s">
        <v>2324</v>
      </c>
      <c r="F1782" s="129" t="s">
        <v>2325</v>
      </c>
      <c r="G1782" s="99" t="s">
        <v>88</v>
      </c>
      <c r="H1782" s="100" t="s">
        <v>2326</v>
      </c>
      <c r="I1782" s="23" t="e">
        <f>VLOOKUP(H1782,'合同综合查询数据（3月返）'!$A:$A,1,FALSE)</f>
        <v>#N/A</v>
      </c>
      <c r="J1782" s="99" t="s">
        <v>90</v>
      </c>
      <c r="K1782" s="108" t="s">
        <v>2327</v>
      </c>
      <c r="L1782" s="109"/>
      <c r="M1782" s="26" t="s">
        <v>2328</v>
      </c>
      <c r="N1782" s="28">
        <v>44545</v>
      </c>
      <c r="O1782" s="109" t="s">
        <v>457</v>
      </c>
      <c r="P1782" s="131">
        <v>1760</v>
      </c>
      <c r="Q1782" s="131">
        <v>1</v>
      </c>
      <c r="R1782" s="120">
        <f t="shared" si="44"/>
        <v>1760</v>
      </c>
      <c r="S1782" s="117">
        <v>202303</v>
      </c>
      <c r="T1782" s="121" t="s">
        <v>2350</v>
      </c>
      <c r="U1782" s="132"/>
      <c r="V1782" s="133"/>
      <c r="W1782" s="133"/>
      <c r="X1782" s="118">
        <v>44423</v>
      </c>
      <c r="Y1782" s="118">
        <v>46279</v>
      </c>
    </row>
    <row r="1783" s="9" customFormat="1" customHeight="1" spans="1:25">
      <c r="A1783" s="129" t="s">
        <v>61</v>
      </c>
      <c r="B1783" s="96" t="s">
        <v>62</v>
      </c>
      <c r="C1783" s="98" t="s">
        <v>217</v>
      </c>
      <c r="D1783" s="96" t="s">
        <v>64</v>
      </c>
      <c r="E1783" s="130" t="s">
        <v>2324</v>
      </c>
      <c r="F1783" s="129" t="s">
        <v>2325</v>
      </c>
      <c r="G1783" s="99" t="s">
        <v>88</v>
      </c>
      <c r="H1783" s="100" t="s">
        <v>2326</v>
      </c>
      <c r="I1783" s="23" t="e">
        <f>VLOOKUP(H1783,'合同综合查询数据（3月返）'!$A:$A,1,FALSE)</f>
        <v>#N/A</v>
      </c>
      <c r="J1783" s="99" t="s">
        <v>126</v>
      </c>
      <c r="K1783" s="108" t="s">
        <v>2327</v>
      </c>
      <c r="L1783" s="109" t="s">
        <v>2351</v>
      </c>
      <c r="M1783" s="26" t="s">
        <v>2352</v>
      </c>
      <c r="N1783" s="28">
        <v>44540</v>
      </c>
      <c r="O1783" s="109" t="s">
        <v>461</v>
      </c>
      <c r="P1783" s="131">
        <v>3520</v>
      </c>
      <c r="Q1783" s="131">
        <v>29</v>
      </c>
      <c r="R1783" s="120">
        <f t="shared" si="44"/>
        <v>102080</v>
      </c>
      <c r="S1783" s="117">
        <v>202303</v>
      </c>
      <c r="T1783" s="121" t="s">
        <v>2353</v>
      </c>
      <c r="U1783" s="132"/>
      <c r="V1783" s="133"/>
      <c r="W1783" s="133"/>
      <c r="X1783" s="118">
        <v>44423</v>
      </c>
      <c r="Y1783" s="118">
        <v>46279</v>
      </c>
    </row>
    <row r="1784" s="9" customFormat="1" customHeight="1" spans="1:25">
      <c r="A1784" s="129" t="s">
        <v>61</v>
      </c>
      <c r="B1784" s="96" t="s">
        <v>62</v>
      </c>
      <c r="C1784" s="98" t="s">
        <v>217</v>
      </c>
      <c r="D1784" s="96" t="s">
        <v>64</v>
      </c>
      <c r="E1784" s="130" t="s">
        <v>2324</v>
      </c>
      <c r="F1784" s="129" t="s">
        <v>2325</v>
      </c>
      <c r="G1784" s="99" t="s">
        <v>88</v>
      </c>
      <c r="H1784" s="100" t="s">
        <v>2326</v>
      </c>
      <c r="I1784" s="23" t="e">
        <f>VLOOKUP(H1784,'合同综合查询数据（3月返）'!$A:$A,1,FALSE)</f>
        <v>#N/A</v>
      </c>
      <c r="J1784" s="99" t="s">
        <v>90</v>
      </c>
      <c r="K1784" s="108" t="s">
        <v>2327</v>
      </c>
      <c r="L1784" s="109"/>
      <c r="M1784" s="26" t="s">
        <v>2328</v>
      </c>
      <c r="N1784" s="28">
        <v>44558</v>
      </c>
      <c r="O1784" s="109" t="s">
        <v>457</v>
      </c>
      <c r="P1784" s="131">
        <v>1760</v>
      </c>
      <c r="Q1784" s="131">
        <v>1</v>
      </c>
      <c r="R1784" s="120">
        <f t="shared" si="44"/>
        <v>1760</v>
      </c>
      <c r="S1784" s="117">
        <v>202303</v>
      </c>
      <c r="T1784" s="121" t="s">
        <v>2354</v>
      </c>
      <c r="U1784" s="132"/>
      <c r="V1784" s="133"/>
      <c r="W1784" s="133"/>
      <c r="X1784" s="118">
        <v>44423</v>
      </c>
      <c r="Y1784" s="118">
        <v>46279</v>
      </c>
    </row>
    <row r="1785" s="9" customFormat="1" customHeight="1" spans="1:25">
      <c r="A1785" s="129" t="s">
        <v>61</v>
      </c>
      <c r="B1785" s="96" t="s">
        <v>62</v>
      </c>
      <c r="C1785" s="98" t="s">
        <v>217</v>
      </c>
      <c r="D1785" s="96" t="s">
        <v>64</v>
      </c>
      <c r="E1785" s="130" t="s">
        <v>2324</v>
      </c>
      <c r="F1785" s="129" t="s">
        <v>2325</v>
      </c>
      <c r="G1785" s="99" t="s">
        <v>88</v>
      </c>
      <c r="H1785" s="100" t="s">
        <v>2326</v>
      </c>
      <c r="I1785" s="23" t="e">
        <f>VLOOKUP(H1785,'合同综合查询数据（3月返）'!$A:$A,1,FALSE)</f>
        <v>#N/A</v>
      </c>
      <c r="J1785" s="99" t="s">
        <v>90</v>
      </c>
      <c r="K1785" s="108" t="s">
        <v>2327</v>
      </c>
      <c r="L1785" s="109"/>
      <c r="M1785" s="26" t="s">
        <v>2328</v>
      </c>
      <c r="N1785" s="28">
        <v>44562</v>
      </c>
      <c r="O1785" s="109" t="s">
        <v>461</v>
      </c>
      <c r="P1785" s="131">
        <v>3520</v>
      </c>
      <c r="Q1785" s="131">
        <v>105</v>
      </c>
      <c r="R1785" s="120">
        <f t="shared" si="44"/>
        <v>369600</v>
      </c>
      <c r="S1785" s="117">
        <v>202303</v>
      </c>
      <c r="T1785" s="121" t="s">
        <v>2355</v>
      </c>
      <c r="U1785" s="132"/>
      <c r="V1785" s="133"/>
      <c r="W1785" s="133"/>
      <c r="X1785" s="118">
        <v>44423</v>
      </c>
      <c r="Y1785" s="118">
        <v>46279</v>
      </c>
    </row>
    <row r="1786" s="9" customFormat="1" customHeight="1" spans="1:25">
      <c r="A1786" s="129" t="s">
        <v>61</v>
      </c>
      <c r="B1786" s="96" t="s">
        <v>62</v>
      </c>
      <c r="C1786" s="98" t="s">
        <v>217</v>
      </c>
      <c r="D1786" s="96" t="s">
        <v>64</v>
      </c>
      <c r="E1786" s="130" t="s">
        <v>2324</v>
      </c>
      <c r="F1786" s="129" t="s">
        <v>2325</v>
      </c>
      <c r="G1786" s="99" t="s">
        <v>88</v>
      </c>
      <c r="H1786" s="100" t="s">
        <v>2326</v>
      </c>
      <c r="I1786" s="23" t="e">
        <f>VLOOKUP(H1786,'合同综合查询数据（3月返）'!$A:$A,1,FALSE)</f>
        <v>#N/A</v>
      </c>
      <c r="J1786" s="99" t="s">
        <v>90</v>
      </c>
      <c r="K1786" s="108" t="s">
        <v>2327</v>
      </c>
      <c r="L1786" s="109"/>
      <c r="M1786" s="26" t="s">
        <v>2328</v>
      </c>
      <c r="N1786" s="28">
        <v>44565</v>
      </c>
      <c r="O1786" s="109" t="s">
        <v>461</v>
      </c>
      <c r="P1786" s="131">
        <v>3520</v>
      </c>
      <c r="Q1786" s="131">
        <v>8</v>
      </c>
      <c r="R1786" s="120">
        <f t="shared" si="44"/>
        <v>28160</v>
      </c>
      <c r="S1786" s="117">
        <v>202303</v>
      </c>
      <c r="T1786" s="121" t="s">
        <v>2356</v>
      </c>
      <c r="U1786" s="132"/>
      <c r="V1786" s="133"/>
      <c r="W1786" s="133"/>
      <c r="X1786" s="118">
        <v>44423</v>
      </c>
      <c r="Y1786" s="118">
        <v>46279</v>
      </c>
    </row>
    <row r="1787" s="9" customFormat="1" customHeight="1" spans="1:25">
      <c r="A1787" s="129" t="s">
        <v>61</v>
      </c>
      <c r="B1787" s="96" t="s">
        <v>62</v>
      </c>
      <c r="C1787" s="98" t="s">
        <v>217</v>
      </c>
      <c r="D1787" s="96" t="s">
        <v>64</v>
      </c>
      <c r="E1787" s="130" t="s">
        <v>2324</v>
      </c>
      <c r="F1787" s="129" t="s">
        <v>2325</v>
      </c>
      <c r="G1787" s="99" t="s">
        <v>88</v>
      </c>
      <c r="H1787" s="100" t="s">
        <v>2326</v>
      </c>
      <c r="I1787" s="23" t="e">
        <f>VLOOKUP(H1787,'合同综合查询数据（3月返）'!$A:$A,1,FALSE)</f>
        <v>#N/A</v>
      </c>
      <c r="J1787" s="99" t="s">
        <v>90</v>
      </c>
      <c r="K1787" s="108" t="s">
        <v>2327</v>
      </c>
      <c r="L1787" s="109"/>
      <c r="M1787" s="26" t="s">
        <v>2328</v>
      </c>
      <c r="N1787" s="28">
        <v>44574</v>
      </c>
      <c r="O1787" s="109" t="s">
        <v>461</v>
      </c>
      <c r="P1787" s="131">
        <v>3520</v>
      </c>
      <c r="Q1787" s="131">
        <v>5</v>
      </c>
      <c r="R1787" s="120">
        <f t="shared" si="44"/>
        <v>17600</v>
      </c>
      <c r="S1787" s="117">
        <v>202303</v>
      </c>
      <c r="T1787" s="121" t="s">
        <v>2357</v>
      </c>
      <c r="U1787" s="132"/>
      <c r="V1787" s="133"/>
      <c r="W1787" s="133"/>
      <c r="X1787" s="118">
        <v>44423</v>
      </c>
      <c r="Y1787" s="118">
        <v>46279</v>
      </c>
    </row>
    <row r="1788" s="9" customFormat="1" customHeight="1" spans="1:25">
      <c r="A1788" s="129" t="s">
        <v>61</v>
      </c>
      <c r="B1788" s="96" t="s">
        <v>62</v>
      </c>
      <c r="C1788" s="98" t="s">
        <v>217</v>
      </c>
      <c r="D1788" s="96" t="s">
        <v>64</v>
      </c>
      <c r="E1788" s="130" t="s">
        <v>2324</v>
      </c>
      <c r="F1788" s="129" t="s">
        <v>2325</v>
      </c>
      <c r="G1788" s="99" t="s">
        <v>88</v>
      </c>
      <c r="H1788" s="100" t="s">
        <v>2326</v>
      </c>
      <c r="I1788" s="23" t="e">
        <f>VLOOKUP(H1788,'合同综合查询数据（3月返）'!$A:$A,1,FALSE)</f>
        <v>#N/A</v>
      </c>
      <c r="J1788" s="99" t="s">
        <v>90</v>
      </c>
      <c r="K1788" s="108" t="s">
        <v>2327</v>
      </c>
      <c r="L1788" s="109"/>
      <c r="M1788" s="26" t="s">
        <v>2328</v>
      </c>
      <c r="N1788" s="28">
        <v>44579.7854050926</v>
      </c>
      <c r="O1788" s="109" t="s">
        <v>461</v>
      </c>
      <c r="P1788" s="131">
        <v>3520</v>
      </c>
      <c r="Q1788" s="131">
        <v>5</v>
      </c>
      <c r="R1788" s="120">
        <f t="shared" si="44"/>
        <v>17600</v>
      </c>
      <c r="S1788" s="117">
        <v>202303</v>
      </c>
      <c r="T1788" s="121" t="s">
        <v>2358</v>
      </c>
      <c r="U1788" s="132"/>
      <c r="V1788" s="133"/>
      <c r="W1788" s="133"/>
      <c r="X1788" s="118">
        <v>44423</v>
      </c>
      <c r="Y1788" s="118">
        <v>46279</v>
      </c>
    </row>
    <row r="1789" s="9" customFormat="1" customHeight="1" spans="1:25">
      <c r="A1789" s="129" t="s">
        <v>61</v>
      </c>
      <c r="B1789" s="96" t="s">
        <v>62</v>
      </c>
      <c r="C1789" s="98" t="s">
        <v>217</v>
      </c>
      <c r="D1789" s="96" t="s">
        <v>64</v>
      </c>
      <c r="E1789" s="130" t="s">
        <v>2324</v>
      </c>
      <c r="F1789" s="129" t="s">
        <v>2325</v>
      </c>
      <c r="G1789" s="99" t="s">
        <v>88</v>
      </c>
      <c r="H1789" s="100" t="s">
        <v>2326</v>
      </c>
      <c r="I1789" s="23" t="e">
        <f>VLOOKUP(H1789,'合同综合查询数据（3月返）'!$A:$A,1,FALSE)</f>
        <v>#N/A</v>
      </c>
      <c r="J1789" s="99" t="s">
        <v>90</v>
      </c>
      <c r="K1789" s="108" t="s">
        <v>2327</v>
      </c>
      <c r="L1789" s="109"/>
      <c r="M1789" s="26" t="s">
        <v>2328</v>
      </c>
      <c r="N1789" s="28">
        <v>44579</v>
      </c>
      <c r="O1789" s="109" t="s">
        <v>461</v>
      </c>
      <c r="P1789" s="131">
        <v>3520</v>
      </c>
      <c r="Q1789" s="131">
        <v>-103</v>
      </c>
      <c r="R1789" s="120">
        <f t="shared" si="44"/>
        <v>-362560</v>
      </c>
      <c r="S1789" s="117">
        <v>202303</v>
      </c>
      <c r="T1789" s="121" t="s">
        <v>2359</v>
      </c>
      <c r="U1789" s="132"/>
      <c r="V1789" s="133"/>
      <c r="W1789" s="133"/>
      <c r="X1789" s="118">
        <v>44423</v>
      </c>
      <c r="Y1789" s="118">
        <v>46279</v>
      </c>
    </row>
    <row r="1790" s="9" customFormat="1" customHeight="1" spans="1:25">
      <c r="A1790" s="129" t="s">
        <v>61</v>
      </c>
      <c r="B1790" s="96" t="s">
        <v>62</v>
      </c>
      <c r="C1790" s="98" t="s">
        <v>217</v>
      </c>
      <c r="D1790" s="96" t="s">
        <v>64</v>
      </c>
      <c r="E1790" s="130" t="s">
        <v>2324</v>
      </c>
      <c r="F1790" s="129" t="s">
        <v>2325</v>
      </c>
      <c r="G1790" s="99" t="s">
        <v>88</v>
      </c>
      <c r="H1790" s="100" t="s">
        <v>2326</v>
      </c>
      <c r="I1790" s="23" t="e">
        <f>VLOOKUP(H1790,'合同综合查询数据（3月返）'!$A:$A,1,FALSE)</f>
        <v>#N/A</v>
      </c>
      <c r="J1790" s="99" t="s">
        <v>90</v>
      </c>
      <c r="K1790" s="108" t="s">
        <v>2327</v>
      </c>
      <c r="L1790" s="109"/>
      <c r="M1790" s="26" t="s">
        <v>2328</v>
      </c>
      <c r="N1790" s="28">
        <v>44582</v>
      </c>
      <c r="O1790" s="109" t="s">
        <v>461</v>
      </c>
      <c r="P1790" s="131">
        <v>3520</v>
      </c>
      <c r="Q1790" s="131">
        <v>7</v>
      </c>
      <c r="R1790" s="120">
        <f t="shared" si="44"/>
        <v>24640</v>
      </c>
      <c r="S1790" s="117">
        <v>202303</v>
      </c>
      <c r="T1790" s="121" t="s">
        <v>2360</v>
      </c>
      <c r="U1790" s="132"/>
      <c r="V1790" s="133"/>
      <c r="W1790" s="133"/>
      <c r="X1790" s="118">
        <v>44423</v>
      </c>
      <c r="Y1790" s="118">
        <v>46279</v>
      </c>
    </row>
    <row r="1791" s="9" customFormat="1" customHeight="1" spans="1:25">
      <c r="A1791" s="129" t="s">
        <v>61</v>
      </c>
      <c r="B1791" s="96" t="s">
        <v>62</v>
      </c>
      <c r="C1791" s="98" t="s">
        <v>217</v>
      </c>
      <c r="D1791" s="96" t="s">
        <v>64</v>
      </c>
      <c r="E1791" s="130" t="s">
        <v>2324</v>
      </c>
      <c r="F1791" s="129" t="s">
        <v>2325</v>
      </c>
      <c r="G1791" s="99" t="s">
        <v>88</v>
      </c>
      <c r="H1791" s="100" t="s">
        <v>2326</v>
      </c>
      <c r="I1791" s="23" t="e">
        <f>VLOOKUP(H1791,'合同综合查询数据（3月返）'!$A:$A,1,FALSE)</f>
        <v>#N/A</v>
      </c>
      <c r="J1791" s="99" t="s">
        <v>90</v>
      </c>
      <c r="K1791" s="108" t="s">
        <v>2327</v>
      </c>
      <c r="L1791" s="109"/>
      <c r="M1791" s="26" t="s">
        <v>2328</v>
      </c>
      <c r="N1791" s="28">
        <v>44585</v>
      </c>
      <c r="O1791" s="109" t="s">
        <v>461</v>
      </c>
      <c r="P1791" s="131">
        <v>3520</v>
      </c>
      <c r="Q1791" s="131">
        <v>2</v>
      </c>
      <c r="R1791" s="120">
        <f t="shared" si="44"/>
        <v>7040</v>
      </c>
      <c r="S1791" s="117">
        <v>202303</v>
      </c>
      <c r="T1791" s="121" t="s">
        <v>2361</v>
      </c>
      <c r="U1791" s="132"/>
      <c r="V1791" s="133"/>
      <c r="W1791" s="133"/>
      <c r="X1791" s="118">
        <v>44423</v>
      </c>
      <c r="Y1791" s="118">
        <v>46279</v>
      </c>
    </row>
    <row r="1792" s="9" customFormat="1" customHeight="1" spans="1:25">
      <c r="A1792" s="129" t="s">
        <v>61</v>
      </c>
      <c r="B1792" s="96" t="s">
        <v>62</v>
      </c>
      <c r="C1792" s="98" t="s">
        <v>217</v>
      </c>
      <c r="D1792" s="96" t="s">
        <v>64</v>
      </c>
      <c r="E1792" s="130" t="s">
        <v>2324</v>
      </c>
      <c r="F1792" s="129" t="s">
        <v>2325</v>
      </c>
      <c r="G1792" s="99" t="s">
        <v>88</v>
      </c>
      <c r="H1792" s="100" t="s">
        <v>2326</v>
      </c>
      <c r="I1792" s="23" t="e">
        <f>VLOOKUP(H1792,'合同综合查询数据（3月返）'!$A:$A,1,FALSE)</f>
        <v>#N/A</v>
      </c>
      <c r="J1792" s="99" t="s">
        <v>90</v>
      </c>
      <c r="K1792" s="108" t="s">
        <v>2327</v>
      </c>
      <c r="L1792" s="109"/>
      <c r="M1792" s="26" t="s">
        <v>2328</v>
      </c>
      <c r="N1792" s="28">
        <v>44586</v>
      </c>
      <c r="O1792" s="109" t="s">
        <v>461</v>
      </c>
      <c r="P1792" s="131">
        <v>3520</v>
      </c>
      <c r="Q1792" s="131">
        <v>7</v>
      </c>
      <c r="R1792" s="120">
        <f t="shared" si="44"/>
        <v>24640</v>
      </c>
      <c r="S1792" s="117">
        <v>202303</v>
      </c>
      <c r="T1792" s="121" t="s">
        <v>2362</v>
      </c>
      <c r="U1792" s="132"/>
      <c r="V1792" s="133"/>
      <c r="W1792" s="133"/>
      <c r="X1792" s="118">
        <v>44423</v>
      </c>
      <c r="Y1792" s="118">
        <v>46279</v>
      </c>
    </row>
    <row r="1793" s="9" customFormat="1" customHeight="1" spans="1:25">
      <c r="A1793" s="129" t="s">
        <v>61</v>
      </c>
      <c r="B1793" s="96" t="s">
        <v>62</v>
      </c>
      <c r="C1793" s="98" t="s">
        <v>217</v>
      </c>
      <c r="D1793" s="96" t="s">
        <v>64</v>
      </c>
      <c r="E1793" s="130" t="s">
        <v>2324</v>
      </c>
      <c r="F1793" s="129" t="s">
        <v>2325</v>
      </c>
      <c r="G1793" s="99" t="s">
        <v>88</v>
      </c>
      <c r="H1793" s="100" t="s">
        <v>2326</v>
      </c>
      <c r="I1793" s="23" t="e">
        <f>VLOOKUP(H1793,'合同综合查询数据（3月返）'!$A:$A,1,FALSE)</f>
        <v>#N/A</v>
      </c>
      <c r="J1793" s="99" t="s">
        <v>90</v>
      </c>
      <c r="K1793" s="108" t="s">
        <v>2327</v>
      </c>
      <c r="L1793" s="109"/>
      <c r="M1793" s="26" t="s">
        <v>2328</v>
      </c>
      <c r="N1793" s="28">
        <v>44587</v>
      </c>
      <c r="O1793" s="109" t="s">
        <v>461</v>
      </c>
      <c r="P1793" s="131">
        <v>3520</v>
      </c>
      <c r="Q1793" s="131">
        <v>11</v>
      </c>
      <c r="R1793" s="120">
        <f t="shared" si="44"/>
        <v>38720</v>
      </c>
      <c r="S1793" s="117">
        <v>202303</v>
      </c>
      <c r="T1793" s="121" t="s">
        <v>2363</v>
      </c>
      <c r="U1793" s="132"/>
      <c r="V1793" s="133"/>
      <c r="W1793" s="133"/>
      <c r="X1793" s="118">
        <v>44423</v>
      </c>
      <c r="Y1793" s="118">
        <v>46279</v>
      </c>
    </row>
    <row r="1794" s="9" customFormat="1" customHeight="1" spans="1:25">
      <c r="A1794" s="129" t="s">
        <v>61</v>
      </c>
      <c r="B1794" s="96" t="s">
        <v>62</v>
      </c>
      <c r="C1794" s="98" t="s">
        <v>217</v>
      </c>
      <c r="D1794" s="96" t="s">
        <v>64</v>
      </c>
      <c r="E1794" s="130" t="s">
        <v>2324</v>
      </c>
      <c r="F1794" s="129" t="s">
        <v>2325</v>
      </c>
      <c r="G1794" s="99" t="s">
        <v>88</v>
      </c>
      <c r="H1794" s="100" t="s">
        <v>2326</v>
      </c>
      <c r="I1794" s="23" t="e">
        <f>VLOOKUP(H1794,'合同综合查询数据（3月返）'!$A:$A,1,FALSE)</f>
        <v>#N/A</v>
      </c>
      <c r="J1794" s="99" t="s">
        <v>90</v>
      </c>
      <c r="K1794" s="108" t="s">
        <v>2327</v>
      </c>
      <c r="L1794" s="109"/>
      <c r="M1794" s="26" t="s">
        <v>2328</v>
      </c>
      <c r="N1794" s="28">
        <v>44588</v>
      </c>
      <c r="O1794" s="109" t="s">
        <v>461</v>
      </c>
      <c r="P1794" s="131">
        <v>3520</v>
      </c>
      <c r="Q1794" s="131">
        <v>56</v>
      </c>
      <c r="R1794" s="120">
        <f t="shared" si="44"/>
        <v>197120</v>
      </c>
      <c r="S1794" s="117">
        <v>202303</v>
      </c>
      <c r="T1794" s="121" t="s">
        <v>2364</v>
      </c>
      <c r="U1794" s="132"/>
      <c r="V1794" s="133"/>
      <c r="W1794" s="133"/>
      <c r="X1794" s="118">
        <v>44423</v>
      </c>
      <c r="Y1794" s="118">
        <v>46279</v>
      </c>
    </row>
    <row r="1795" s="9" customFormat="1" customHeight="1" spans="1:25">
      <c r="A1795" s="129" t="s">
        <v>61</v>
      </c>
      <c r="B1795" s="96" t="s">
        <v>62</v>
      </c>
      <c r="C1795" s="98" t="s">
        <v>217</v>
      </c>
      <c r="D1795" s="96" t="s">
        <v>64</v>
      </c>
      <c r="E1795" s="130" t="s">
        <v>2324</v>
      </c>
      <c r="F1795" s="129" t="s">
        <v>2325</v>
      </c>
      <c r="G1795" s="99" t="s">
        <v>88</v>
      </c>
      <c r="H1795" s="100" t="s">
        <v>2326</v>
      </c>
      <c r="I1795" s="23" t="e">
        <f>VLOOKUP(H1795,'合同综合查询数据（3月返）'!$A:$A,1,FALSE)</f>
        <v>#N/A</v>
      </c>
      <c r="J1795" s="99" t="s">
        <v>90</v>
      </c>
      <c r="K1795" s="108" t="s">
        <v>2327</v>
      </c>
      <c r="L1795" s="109"/>
      <c r="M1795" s="26" t="s">
        <v>2328</v>
      </c>
      <c r="N1795" s="28">
        <v>44589</v>
      </c>
      <c r="O1795" s="109" t="s">
        <v>461</v>
      </c>
      <c r="P1795" s="131">
        <v>3520</v>
      </c>
      <c r="Q1795" s="131">
        <v>5</v>
      </c>
      <c r="R1795" s="120">
        <f t="shared" si="44"/>
        <v>17600</v>
      </c>
      <c r="S1795" s="117">
        <v>202303</v>
      </c>
      <c r="T1795" s="121" t="s">
        <v>2365</v>
      </c>
      <c r="U1795" s="132"/>
      <c r="V1795" s="133"/>
      <c r="W1795" s="133"/>
      <c r="X1795" s="118">
        <v>44423</v>
      </c>
      <c r="Y1795" s="118">
        <v>46279</v>
      </c>
    </row>
    <row r="1796" s="9" customFormat="1" customHeight="1" spans="1:25">
      <c r="A1796" s="129" t="s">
        <v>61</v>
      </c>
      <c r="B1796" s="96" t="s">
        <v>62</v>
      </c>
      <c r="C1796" s="98" t="s">
        <v>217</v>
      </c>
      <c r="D1796" s="96" t="s">
        <v>64</v>
      </c>
      <c r="E1796" s="130" t="s">
        <v>2324</v>
      </c>
      <c r="F1796" s="129" t="s">
        <v>2325</v>
      </c>
      <c r="G1796" s="99" t="s">
        <v>88</v>
      </c>
      <c r="H1796" s="100" t="s">
        <v>2326</v>
      </c>
      <c r="I1796" s="23" t="e">
        <f>VLOOKUP(H1796,'合同综合查询数据（3月返）'!$A:$A,1,FALSE)</f>
        <v>#N/A</v>
      </c>
      <c r="J1796" s="99" t="s">
        <v>90</v>
      </c>
      <c r="K1796" s="108" t="s">
        <v>2327</v>
      </c>
      <c r="L1796" s="109"/>
      <c r="M1796" s="26" t="s">
        <v>2328</v>
      </c>
      <c r="N1796" s="28">
        <v>44586</v>
      </c>
      <c r="O1796" s="109" t="s">
        <v>461</v>
      </c>
      <c r="P1796" s="131">
        <v>3520</v>
      </c>
      <c r="Q1796" s="131">
        <v>4</v>
      </c>
      <c r="R1796" s="120">
        <f t="shared" si="44"/>
        <v>14080</v>
      </c>
      <c r="S1796" s="117">
        <v>202303</v>
      </c>
      <c r="T1796" s="121" t="s">
        <v>2366</v>
      </c>
      <c r="U1796" s="132"/>
      <c r="V1796" s="133"/>
      <c r="W1796" s="133"/>
      <c r="X1796" s="118">
        <v>44423</v>
      </c>
      <c r="Y1796" s="118">
        <v>46279</v>
      </c>
    </row>
    <row r="1797" s="9" customFormat="1" customHeight="1" spans="1:25">
      <c r="A1797" s="129" t="s">
        <v>61</v>
      </c>
      <c r="B1797" s="96" t="s">
        <v>62</v>
      </c>
      <c r="C1797" s="98" t="s">
        <v>217</v>
      </c>
      <c r="D1797" s="96" t="s">
        <v>64</v>
      </c>
      <c r="E1797" s="130" t="s">
        <v>2324</v>
      </c>
      <c r="F1797" s="129" t="s">
        <v>2325</v>
      </c>
      <c r="G1797" s="99" t="s">
        <v>88</v>
      </c>
      <c r="H1797" s="100" t="s">
        <v>2326</v>
      </c>
      <c r="I1797" s="23" t="e">
        <f>VLOOKUP(H1797,'合同综合查询数据（3月返）'!$A:$A,1,FALSE)</f>
        <v>#N/A</v>
      </c>
      <c r="J1797" s="99" t="s">
        <v>90</v>
      </c>
      <c r="K1797" s="108" t="s">
        <v>2327</v>
      </c>
      <c r="L1797" s="109"/>
      <c r="M1797" s="26" t="s">
        <v>2328</v>
      </c>
      <c r="N1797" s="28">
        <v>44588</v>
      </c>
      <c r="O1797" s="109" t="s">
        <v>461</v>
      </c>
      <c r="P1797" s="131">
        <v>3520</v>
      </c>
      <c r="Q1797" s="131">
        <v>1</v>
      </c>
      <c r="R1797" s="120">
        <f t="shared" si="44"/>
        <v>3520</v>
      </c>
      <c r="S1797" s="117">
        <v>202303</v>
      </c>
      <c r="T1797" s="121" t="s">
        <v>2367</v>
      </c>
      <c r="U1797" s="132"/>
      <c r="V1797" s="133"/>
      <c r="W1797" s="133"/>
      <c r="X1797" s="118">
        <v>44423</v>
      </c>
      <c r="Y1797" s="118">
        <v>46279</v>
      </c>
    </row>
    <row r="1798" s="9" customFormat="1" customHeight="1" spans="1:25">
      <c r="A1798" s="129" t="s">
        <v>61</v>
      </c>
      <c r="B1798" s="96" t="s">
        <v>62</v>
      </c>
      <c r="C1798" s="98" t="s">
        <v>217</v>
      </c>
      <c r="D1798" s="96" t="s">
        <v>64</v>
      </c>
      <c r="E1798" s="130" t="s">
        <v>2324</v>
      </c>
      <c r="F1798" s="129" t="s">
        <v>2325</v>
      </c>
      <c r="G1798" s="99" t="s">
        <v>88</v>
      </c>
      <c r="H1798" s="100" t="s">
        <v>2326</v>
      </c>
      <c r="I1798" s="23" t="e">
        <f>VLOOKUP(H1798,'合同综合查询数据（3月返）'!$A:$A,1,FALSE)</f>
        <v>#N/A</v>
      </c>
      <c r="J1798" s="99" t="s">
        <v>90</v>
      </c>
      <c r="K1798" s="108" t="s">
        <v>2327</v>
      </c>
      <c r="L1798" s="109"/>
      <c r="M1798" s="26" t="s">
        <v>2328</v>
      </c>
      <c r="N1798" s="28">
        <v>44602</v>
      </c>
      <c r="O1798" s="109" t="s">
        <v>461</v>
      </c>
      <c r="P1798" s="131">
        <v>3520</v>
      </c>
      <c r="Q1798" s="131">
        <v>10</v>
      </c>
      <c r="R1798" s="120">
        <f t="shared" si="44"/>
        <v>35200</v>
      </c>
      <c r="S1798" s="117">
        <v>202303</v>
      </c>
      <c r="T1798" s="121" t="s">
        <v>2368</v>
      </c>
      <c r="U1798" s="132"/>
      <c r="V1798" s="133"/>
      <c r="W1798" s="133"/>
      <c r="X1798" s="118">
        <v>44423</v>
      </c>
      <c r="Y1798" s="118">
        <v>46279</v>
      </c>
    </row>
    <row r="1799" s="9" customFormat="1" customHeight="1" spans="1:25">
      <c r="A1799" s="129" t="s">
        <v>61</v>
      </c>
      <c r="B1799" s="96" t="s">
        <v>62</v>
      </c>
      <c r="C1799" s="98" t="s">
        <v>217</v>
      </c>
      <c r="D1799" s="96" t="s">
        <v>64</v>
      </c>
      <c r="E1799" s="130" t="s">
        <v>2324</v>
      </c>
      <c r="F1799" s="129" t="s">
        <v>2325</v>
      </c>
      <c r="G1799" s="99" t="s">
        <v>88</v>
      </c>
      <c r="H1799" s="100" t="s">
        <v>2326</v>
      </c>
      <c r="I1799" s="23" t="e">
        <f>VLOOKUP(H1799,'合同综合查询数据（3月返）'!$A:$A,1,FALSE)</f>
        <v>#N/A</v>
      </c>
      <c r="J1799" s="99" t="s">
        <v>90</v>
      </c>
      <c r="K1799" s="108" t="s">
        <v>2327</v>
      </c>
      <c r="L1799" s="109"/>
      <c r="M1799" s="26" t="s">
        <v>2328</v>
      </c>
      <c r="N1799" s="28">
        <v>44603</v>
      </c>
      <c r="O1799" s="109" t="s">
        <v>461</v>
      </c>
      <c r="P1799" s="131">
        <v>3520</v>
      </c>
      <c r="Q1799" s="131">
        <v>8</v>
      </c>
      <c r="R1799" s="120">
        <f t="shared" si="44"/>
        <v>28160</v>
      </c>
      <c r="S1799" s="117">
        <v>202303</v>
      </c>
      <c r="T1799" s="121" t="s">
        <v>2369</v>
      </c>
      <c r="U1799" s="132"/>
      <c r="V1799" s="133"/>
      <c r="W1799" s="133"/>
      <c r="X1799" s="118">
        <v>44423</v>
      </c>
      <c r="Y1799" s="118">
        <v>46279</v>
      </c>
    </row>
    <row r="1800" s="9" customFormat="1" customHeight="1" spans="1:25">
      <c r="A1800" s="129" t="s">
        <v>61</v>
      </c>
      <c r="B1800" s="96" t="s">
        <v>62</v>
      </c>
      <c r="C1800" s="98" t="s">
        <v>217</v>
      </c>
      <c r="D1800" s="96" t="s">
        <v>64</v>
      </c>
      <c r="E1800" s="130" t="s">
        <v>2324</v>
      </c>
      <c r="F1800" s="129" t="s">
        <v>2325</v>
      </c>
      <c r="G1800" s="99" t="s">
        <v>88</v>
      </c>
      <c r="H1800" s="100" t="s">
        <v>2326</v>
      </c>
      <c r="I1800" s="23" t="e">
        <f>VLOOKUP(H1800,'合同综合查询数据（3月返）'!$A:$A,1,FALSE)</f>
        <v>#N/A</v>
      </c>
      <c r="J1800" s="99" t="s">
        <v>90</v>
      </c>
      <c r="K1800" s="108" t="s">
        <v>2327</v>
      </c>
      <c r="L1800" s="109"/>
      <c r="M1800" s="26" t="s">
        <v>2328</v>
      </c>
      <c r="N1800" s="28">
        <v>44609</v>
      </c>
      <c r="O1800" s="109" t="s">
        <v>461</v>
      </c>
      <c r="P1800" s="131">
        <v>3520</v>
      </c>
      <c r="Q1800" s="131">
        <v>9</v>
      </c>
      <c r="R1800" s="120">
        <f t="shared" si="44"/>
        <v>31680</v>
      </c>
      <c r="S1800" s="117">
        <v>202303</v>
      </c>
      <c r="T1800" s="121" t="s">
        <v>2370</v>
      </c>
      <c r="U1800" s="132"/>
      <c r="V1800" s="133"/>
      <c r="W1800" s="133"/>
      <c r="X1800" s="118">
        <v>44423</v>
      </c>
      <c r="Y1800" s="118">
        <v>46279</v>
      </c>
    </row>
    <row r="1801" s="9" customFormat="1" customHeight="1" spans="1:25">
      <c r="A1801" s="129" t="s">
        <v>61</v>
      </c>
      <c r="B1801" s="96" t="s">
        <v>62</v>
      </c>
      <c r="C1801" s="98" t="s">
        <v>217</v>
      </c>
      <c r="D1801" s="96" t="s">
        <v>64</v>
      </c>
      <c r="E1801" s="130" t="s">
        <v>2324</v>
      </c>
      <c r="F1801" s="129" t="s">
        <v>2325</v>
      </c>
      <c r="G1801" s="99" t="s">
        <v>88</v>
      </c>
      <c r="H1801" s="100" t="s">
        <v>2326</v>
      </c>
      <c r="I1801" s="23" t="e">
        <f>VLOOKUP(H1801,'合同综合查询数据（3月返）'!$A:$A,1,FALSE)</f>
        <v>#N/A</v>
      </c>
      <c r="J1801" s="99" t="s">
        <v>90</v>
      </c>
      <c r="K1801" s="108" t="s">
        <v>2327</v>
      </c>
      <c r="L1801" s="109"/>
      <c r="M1801" s="26" t="s">
        <v>2328</v>
      </c>
      <c r="N1801" s="28">
        <v>44615</v>
      </c>
      <c r="O1801" s="109" t="s">
        <v>461</v>
      </c>
      <c r="P1801" s="131">
        <v>3520</v>
      </c>
      <c r="Q1801" s="131">
        <v>1</v>
      </c>
      <c r="R1801" s="120">
        <f t="shared" si="44"/>
        <v>3520</v>
      </c>
      <c r="S1801" s="117">
        <v>202303</v>
      </c>
      <c r="T1801" s="121" t="s">
        <v>2371</v>
      </c>
      <c r="U1801" s="132"/>
      <c r="V1801" s="133"/>
      <c r="W1801" s="133"/>
      <c r="X1801" s="118">
        <v>44423</v>
      </c>
      <c r="Y1801" s="118">
        <v>46279</v>
      </c>
    </row>
    <row r="1802" s="9" customFormat="1" customHeight="1" spans="1:25">
      <c r="A1802" s="129" t="s">
        <v>61</v>
      </c>
      <c r="B1802" s="96" t="s">
        <v>62</v>
      </c>
      <c r="C1802" s="98" t="s">
        <v>217</v>
      </c>
      <c r="D1802" s="96" t="s">
        <v>64</v>
      </c>
      <c r="E1802" s="130" t="s">
        <v>2324</v>
      </c>
      <c r="F1802" s="129" t="s">
        <v>2325</v>
      </c>
      <c r="G1802" s="99" t="s">
        <v>88</v>
      </c>
      <c r="H1802" s="100" t="s">
        <v>2326</v>
      </c>
      <c r="I1802" s="23" t="e">
        <f>VLOOKUP(H1802,'合同综合查询数据（3月返）'!$A:$A,1,FALSE)</f>
        <v>#N/A</v>
      </c>
      <c r="J1802" s="99" t="s">
        <v>90</v>
      </c>
      <c r="K1802" s="108" t="s">
        <v>2327</v>
      </c>
      <c r="L1802" s="109"/>
      <c r="M1802" s="26" t="s">
        <v>2328</v>
      </c>
      <c r="N1802" s="28">
        <v>44623</v>
      </c>
      <c r="O1802" s="109" t="s">
        <v>461</v>
      </c>
      <c r="P1802" s="131">
        <v>3520</v>
      </c>
      <c r="Q1802" s="131">
        <v>4</v>
      </c>
      <c r="R1802" s="120">
        <f t="shared" si="44"/>
        <v>14080</v>
      </c>
      <c r="S1802" s="117">
        <v>202303</v>
      </c>
      <c r="T1802" s="121" t="s">
        <v>2372</v>
      </c>
      <c r="U1802" s="132"/>
      <c r="V1802" s="133"/>
      <c r="W1802" s="133"/>
      <c r="X1802" s="118">
        <v>44423</v>
      </c>
      <c r="Y1802" s="118">
        <v>46279</v>
      </c>
    </row>
    <row r="1803" s="9" customFormat="1" customHeight="1" spans="1:25">
      <c r="A1803" s="129" t="s">
        <v>61</v>
      </c>
      <c r="B1803" s="96" t="s">
        <v>62</v>
      </c>
      <c r="C1803" s="98" t="s">
        <v>217</v>
      </c>
      <c r="D1803" s="96" t="s">
        <v>64</v>
      </c>
      <c r="E1803" s="130" t="s">
        <v>2324</v>
      </c>
      <c r="F1803" s="129" t="s">
        <v>2325</v>
      </c>
      <c r="G1803" s="99" t="s">
        <v>88</v>
      </c>
      <c r="H1803" s="100" t="s">
        <v>2326</v>
      </c>
      <c r="I1803" s="23" t="e">
        <f>VLOOKUP(H1803,'合同综合查询数据（3月返）'!$A:$A,1,FALSE)</f>
        <v>#N/A</v>
      </c>
      <c r="J1803" s="99" t="s">
        <v>90</v>
      </c>
      <c r="K1803" s="108" t="s">
        <v>2327</v>
      </c>
      <c r="L1803" s="109"/>
      <c r="M1803" s="26" t="s">
        <v>2328</v>
      </c>
      <c r="N1803" s="28">
        <v>44631</v>
      </c>
      <c r="O1803" s="109" t="s">
        <v>461</v>
      </c>
      <c r="P1803" s="131">
        <v>3520</v>
      </c>
      <c r="Q1803" s="131">
        <v>11</v>
      </c>
      <c r="R1803" s="120">
        <f t="shared" si="44"/>
        <v>38720</v>
      </c>
      <c r="S1803" s="117">
        <v>202303</v>
      </c>
      <c r="T1803" s="121" t="s">
        <v>2373</v>
      </c>
      <c r="U1803" s="132"/>
      <c r="V1803" s="133"/>
      <c r="W1803" s="133"/>
      <c r="X1803" s="118">
        <v>44423</v>
      </c>
      <c r="Y1803" s="118">
        <v>46279</v>
      </c>
    </row>
    <row r="1804" s="9" customFormat="1" customHeight="1" spans="1:25">
      <c r="A1804" s="129" t="s">
        <v>61</v>
      </c>
      <c r="B1804" s="96" t="s">
        <v>62</v>
      </c>
      <c r="C1804" s="98" t="s">
        <v>217</v>
      </c>
      <c r="D1804" s="96" t="s">
        <v>64</v>
      </c>
      <c r="E1804" s="130" t="s">
        <v>2324</v>
      </c>
      <c r="F1804" s="129" t="s">
        <v>2325</v>
      </c>
      <c r="G1804" s="99" t="s">
        <v>88</v>
      </c>
      <c r="H1804" s="100" t="s">
        <v>2326</v>
      </c>
      <c r="I1804" s="23" t="e">
        <f>VLOOKUP(H1804,'合同综合查询数据（3月返）'!$A:$A,1,FALSE)</f>
        <v>#N/A</v>
      </c>
      <c r="J1804" s="99" t="s">
        <v>90</v>
      </c>
      <c r="K1804" s="108" t="s">
        <v>2327</v>
      </c>
      <c r="L1804" s="109"/>
      <c r="M1804" s="26" t="s">
        <v>2328</v>
      </c>
      <c r="N1804" s="28">
        <v>44669</v>
      </c>
      <c r="O1804" s="109" t="s">
        <v>461</v>
      </c>
      <c r="P1804" s="131">
        <v>3520</v>
      </c>
      <c r="Q1804" s="131">
        <v>6</v>
      </c>
      <c r="R1804" s="120">
        <f t="shared" si="44"/>
        <v>21120</v>
      </c>
      <c r="S1804" s="117">
        <v>202303</v>
      </c>
      <c r="T1804" s="121" t="s">
        <v>2374</v>
      </c>
      <c r="U1804" s="132"/>
      <c r="V1804" s="133"/>
      <c r="W1804" s="133"/>
      <c r="X1804" s="118">
        <v>44423</v>
      </c>
      <c r="Y1804" s="118">
        <v>46279</v>
      </c>
    </row>
    <row r="1805" s="9" customFormat="1" customHeight="1" spans="1:25">
      <c r="A1805" s="129" t="s">
        <v>61</v>
      </c>
      <c r="B1805" s="96" t="s">
        <v>62</v>
      </c>
      <c r="C1805" s="98" t="s">
        <v>217</v>
      </c>
      <c r="D1805" s="96" t="s">
        <v>64</v>
      </c>
      <c r="E1805" s="130" t="s">
        <v>2324</v>
      </c>
      <c r="F1805" s="129" t="s">
        <v>2325</v>
      </c>
      <c r="G1805" s="99" t="s">
        <v>88</v>
      </c>
      <c r="H1805" s="100" t="s">
        <v>2326</v>
      </c>
      <c r="I1805" s="23" t="e">
        <f>VLOOKUP(H1805,'合同综合查询数据（3月返）'!$A:$A,1,FALSE)</f>
        <v>#N/A</v>
      </c>
      <c r="J1805" s="99" t="s">
        <v>90</v>
      </c>
      <c r="K1805" s="108" t="s">
        <v>2327</v>
      </c>
      <c r="L1805" s="109"/>
      <c r="M1805" s="26" t="s">
        <v>2347</v>
      </c>
      <c r="N1805" s="28">
        <v>44669</v>
      </c>
      <c r="O1805" s="109" t="s">
        <v>461</v>
      </c>
      <c r="P1805" s="131">
        <v>3520</v>
      </c>
      <c r="Q1805" s="131">
        <v>-3</v>
      </c>
      <c r="R1805" s="120">
        <f t="shared" si="44"/>
        <v>-10560</v>
      </c>
      <c r="S1805" s="117">
        <v>202303</v>
      </c>
      <c r="T1805" s="121" t="s">
        <v>2375</v>
      </c>
      <c r="U1805" s="132"/>
      <c r="V1805" s="133"/>
      <c r="W1805" s="133"/>
      <c r="X1805" s="118">
        <v>44423</v>
      </c>
      <c r="Y1805" s="118">
        <v>46279</v>
      </c>
    </row>
    <row r="1806" s="9" customFormat="1" customHeight="1" spans="1:25">
      <c r="A1806" s="129" t="s">
        <v>61</v>
      </c>
      <c r="B1806" s="96" t="s">
        <v>62</v>
      </c>
      <c r="C1806" s="98" t="s">
        <v>217</v>
      </c>
      <c r="D1806" s="96" t="s">
        <v>64</v>
      </c>
      <c r="E1806" s="130" t="s">
        <v>2324</v>
      </c>
      <c r="F1806" s="129" t="s">
        <v>2325</v>
      </c>
      <c r="G1806" s="99" t="s">
        <v>88</v>
      </c>
      <c r="H1806" s="100" t="s">
        <v>2326</v>
      </c>
      <c r="I1806" s="23" t="e">
        <f>VLOOKUP(H1806,'合同综合查询数据（3月返）'!$A:$A,1,FALSE)</f>
        <v>#N/A</v>
      </c>
      <c r="J1806" s="99" t="s">
        <v>90</v>
      </c>
      <c r="K1806" s="108" t="s">
        <v>2327</v>
      </c>
      <c r="L1806" s="109"/>
      <c r="M1806" s="26" t="s">
        <v>2328</v>
      </c>
      <c r="N1806" s="28">
        <v>44677</v>
      </c>
      <c r="O1806" s="109" t="s">
        <v>461</v>
      </c>
      <c r="P1806" s="131">
        <v>3520</v>
      </c>
      <c r="Q1806" s="131">
        <v>12</v>
      </c>
      <c r="R1806" s="120">
        <f t="shared" si="44"/>
        <v>42240</v>
      </c>
      <c r="S1806" s="117">
        <v>202303</v>
      </c>
      <c r="T1806" s="121" t="s">
        <v>2376</v>
      </c>
      <c r="U1806" s="132"/>
      <c r="V1806" s="133"/>
      <c r="W1806" s="133"/>
      <c r="X1806" s="118">
        <v>44423</v>
      </c>
      <c r="Y1806" s="118">
        <v>46279</v>
      </c>
    </row>
    <row r="1807" s="9" customFormat="1" customHeight="1" spans="1:25">
      <c r="A1807" s="129" t="s">
        <v>61</v>
      </c>
      <c r="B1807" s="96" t="s">
        <v>62</v>
      </c>
      <c r="C1807" s="98" t="s">
        <v>217</v>
      </c>
      <c r="D1807" s="96" t="s">
        <v>64</v>
      </c>
      <c r="E1807" s="130" t="s">
        <v>2324</v>
      </c>
      <c r="F1807" s="129" t="s">
        <v>2325</v>
      </c>
      <c r="G1807" s="99" t="s">
        <v>88</v>
      </c>
      <c r="H1807" s="100" t="s">
        <v>2326</v>
      </c>
      <c r="I1807" s="23" t="e">
        <f>VLOOKUP(H1807,'合同综合查询数据（3月返）'!$A:$A,1,FALSE)</f>
        <v>#N/A</v>
      </c>
      <c r="J1807" s="99" t="s">
        <v>90</v>
      </c>
      <c r="K1807" s="108" t="s">
        <v>2327</v>
      </c>
      <c r="L1807" s="109"/>
      <c r="M1807" s="26" t="s">
        <v>2328</v>
      </c>
      <c r="N1807" s="28">
        <v>44682</v>
      </c>
      <c r="O1807" s="109" t="s">
        <v>461</v>
      </c>
      <c r="P1807" s="131">
        <v>3520</v>
      </c>
      <c r="Q1807" s="131">
        <v>23</v>
      </c>
      <c r="R1807" s="120">
        <f t="shared" si="44"/>
        <v>80960</v>
      </c>
      <c r="S1807" s="117">
        <v>202303</v>
      </c>
      <c r="T1807" s="121" t="s">
        <v>2377</v>
      </c>
      <c r="U1807" s="132"/>
      <c r="V1807" s="133"/>
      <c r="W1807" s="133"/>
      <c r="X1807" s="118">
        <v>44423</v>
      </c>
      <c r="Y1807" s="118">
        <v>46279</v>
      </c>
    </row>
    <row r="1808" s="9" customFormat="1" customHeight="1" spans="1:25">
      <c r="A1808" s="129" t="s">
        <v>61</v>
      </c>
      <c r="B1808" s="96" t="s">
        <v>62</v>
      </c>
      <c r="C1808" s="98" t="s">
        <v>217</v>
      </c>
      <c r="D1808" s="96" t="s">
        <v>64</v>
      </c>
      <c r="E1808" s="130" t="s">
        <v>2324</v>
      </c>
      <c r="F1808" s="129" t="s">
        <v>2325</v>
      </c>
      <c r="G1808" s="99" t="s">
        <v>88</v>
      </c>
      <c r="H1808" s="100" t="s">
        <v>2326</v>
      </c>
      <c r="I1808" s="23" t="e">
        <f>VLOOKUP(H1808,'合同综合查询数据（3月返）'!$A:$A,1,FALSE)</f>
        <v>#N/A</v>
      </c>
      <c r="J1808" s="99" t="s">
        <v>90</v>
      </c>
      <c r="K1808" s="108" t="s">
        <v>2327</v>
      </c>
      <c r="L1808" s="109"/>
      <c r="M1808" s="26" t="s">
        <v>2328</v>
      </c>
      <c r="N1808" s="28">
        <v>44694</v>
      </c>
      <c r="O1808" s="109" t="s">
        <v>461</v>
      </c>
      <c r="P1808" s="131">
        <v>3520</v>
      </c>
      <c r="Q1808" s="131">
        <v>2</v>
      </c>
      <c r="R1808" s="120">
        <f t="shared" si="44"/>
        <v>7040</v>
      </c>
      <c r="S1808" s="117">
        <v>202303</v>
      </c>
      <c r="T1808" s="121" t="s">
        <v>2378</v>
      </c>
      <c r="U1808" s="132"/>
      <c r="V1808" s="133"/>
      <c r="W1808" s="133"/>
      <c r="X1808" s="118">
        <v>44423</v>
      </c>
      <c r="Y1808" s="118">
        <v>46279</v>
      </c>
    </row>
    <row r="1809" s="9" customFormat="1" customHeight="1" spans="1:25">
      <c r="A1809" s="129" t="s">
        <v>61</v>
      </c>
      <c r="B1809" s="96" t="s">
        <v>62</v>
      </c>
      <c r="C1809" s="98" t="s">
        <v>217</v>
      </c>
      <c r="D1809" s="96" t="s">
        <v>64</v>
      </c>
      <c r="E1809" s="130" t="s">
        <v>2324</v>
      </c>
      <c r="F1809" s="129" t="s">
        <v>2325</v>
      </c>
      <c r="G1809" s="99" t="s">
        <v>88</v>
      </c>
      <c r="H1809" s="100" t="s">
        <v>2326</v>
      </c>
      <c r="I1809" s="23" t="e">
        <f>VLOOKUP(H1809,'合同综合查询数据（3月返）'!$A:$A,1,FALSE)</f>
        <v>#N/A</v>
      </c>
      <c r="J1809" s="99" t="s">
        <v>90</v>
      </c>
      <c r="K1809" s="108" t="s">
        <v>2327</v>
      </c>
      <c r="L1809" s="109"/>
      <c r="M1809" s="26" t="s">
        <v>2328</v>
      </c>
      <c r="N1809" s="28">
        <v>44705</v>
      </c>
      <c r="O1809" s="109" t="s">
        <v>461</v>
      </c>
      <c r="P1809" s="131">
        <v>3520</v>
      </c>
      <c r="Q1809" s="131">
        <v>16</v>
      </c>
      <c r="R1809" s="120">
        <f t="shared" si="44"/>
        <v>56320</v>
      </c>
      <c r="S1809" s="117">
        <v>202303</v>
      </c>
      <c r="T1809" s="121" t="s">
        <v>2379</v>
      </c>
      <c r="U1809" s="132"/>
      <c r="V1809" s="133"/>
      <c r="W1809" s="133"/>
      <c r="X1809" s="118">
        <v>44423</v>
      </c>
      <c r="Y1809" s="118">
        <v>46279</v>
      </c>
    </row>
    <row r="1810" s="9" customFormat="1" customHeight="1" spans="1:25">
      <c r="A1810" s="129" t="s">
        <v>61</v>
      </c>
      <c r="B1810" s="96" t="s">
        <v>62</v>
      </c>
      <c r="C1810" s="98" t="s">
        <v>217</v>
      </c>
      <c r="D1810" s="96" t="s">
        <v>64</v>
      </c>
      <c r="E1810" s="130" t="s">
        <v>2324</v>
      </c>
      <c r="F1810" s="129" t="s">
        <v>2325</v>
      </c>
      <c r="G1810" s="99" t="s">
        <v>88</v>
      </c>
      <c r="H1810" s="100" t="s">
        <v>2326</v>
      </c>
      <c r="I1810" s="23" t="e">
        <f>VLOOKUP(H1810,'合同综合查询数据（3月返）'!$A:$A,1,FALSE)</f>
        <v>#N/A</v>
      </c>
      <c r="J1810" s="99" t="s">
        <v>90</v>
      </c>
      <c r="K1810" s="108" t="s">
        <v>2327</v>
      </c>
      <c r="L1810" s="109"/>
      <c r="M1810" s="26" t="s">
        <v>2328</v>
      </c>
      <c r="N1810" s="28">
        <v>44705</v>
      </c>
      <c r="O1810" s="109" t="s">
        <v>457</v>
      </c>
      <c r="P1810" s="131">
        <v>1760</v>
      </c>
      <c r="Q1810" s="131">
        <v>2</v>
      </c>
      <c r="R1810" s="120">
        <f t="shared" si="44"/>
        <v>3520</v>
      </c>
      <c r="S1810" s="117">
        <v>202303</v>
      </c>
      <c r="T1810" s="121" t="s">
        <v>2380</v>
      </c>
      <c r="U1810" s="132"/>
      <c r="V1810" s="133"/>
      <c r="W1810" s="133"/>
      <c r="X1810" s="118">
        <v>44423</v>
      </c>
      <c r="Y1810" s="118">
        <v>46279</v>
      </c>
    </row>
    <row r="1811" s="9" customFormat="1" customHeight="1" spans="1:25">
      <c r="A1811" s="129" t="s">
        <v>61</v>
      </c>
      <c r="B1811" s="96" t="s">
        <v>62</v>
      </c>
      <c r="C1811" s="98" t="s">
        <v>217</v>
      </c>
      <c r="D1811" s="96" t="s">
        <v>64</v>
      </c>
      <c r="E1811" s="130" t="s">
        <v>2324</v>
      </c>
      <c r="F1811" s="129" t="s">
        <v>2325</v>
      </c>
      <c r="G1811" s="99" t="s">
        <v>88</v>
      </c>
      <c r="H1811" s="100" t="s">
        <v>2326</v>
      </c>
      <c r="I1811" s="23" t="e">
        <f>VLOOKUP(H1811,'合同综合查询数据（3月返）'!$A:$A,1,FALSE)</f>
        <v>#N/A</v>
      </c>
      <c r="J1811" s="99" t="s">
        <v>90</v>
      </c>
      <c r="K1811" s="108" t="s">
        <v>2327</v>
      </c>
      <c r="L1811" s="109"/>
      <c r="M1811" s="26" t="s">
        <v>2328</v>
      </c>
      <c r="N1811" s="28">
        <v>44713</v>
      </c>
      <c r="O1811" s="109" t="s">
        <v>461</v>
      </c>
      <c r="P1811" s="131">
        <v>3520</v>
      </c>
      <c r="Q1811" s="131">
        <v>142</v>
      </c>
      <c r="R1811" s="120">
        <f t="shared" si="44"/>
        <v>499840</v>
      </c>
      <c r="S1811" s="117">
        <v>202303</v>
      </c>
      <c r="T1811" s="157" t="s">
        <v>2381</v>
      </c>
      <c r="U1811" s="132"/>
      <c r="V1811" s="133"/>
      <c r="W1811" s="133"/>
      <c r="X1811" s="118">
        <v>44423</v>
      </c>
      <c r="Y1811" s="118">
        <v>46279</v>
      </c>
    </row>
    <row r="1812" s="9" customFormat="1" customHeight="1" spans="1:25">
      <c r="A1812" s="129" t="s">
        <v>61</v>
      </c>
      <c r="B1812" s="96" t="s">
        <v>62</v>
      </c>
      <c r="C1812" s="98" t="s">
        <v>217</v>
      </c>
      <c r="D1812" s="96" t="s">
        <v>64</v>
      </c>
      <c r="E1812" s="130" t="s">
        <v>2324</v>
      </c>
      <c r="F1812" s="129" t="s">
        <v>2325</v>
      </c>
      <c r="G1812" s="99" t="s">
        <v>88</v>
      </c>
      <c r="H1812" s="100" t="s">
        <v>2326</v>
      </c>
      <c r="I1812" s="23" t="e">
        <f>VLOOKUP(H1812,'合同综合查询数据（3月返）'!$A:$A,1,FALSE)</f>
        <v>#N/A</v>
      </c>
      <c r="J1812" s="99" t="s">
        <v>90</v>
      </c>
      <c r="K1812" s="108" t="s">
        <v>2327</v>
      </c>
      <c r="L1812" s="109"/>
      <c r="M1812" s="26" t="s">
        <v>2382</v>
      </c>
      <c r="N1812" s="28">
        <v>44719</v>
      </c>
      <c r="O1812" s="109" t="s">
        <v>461</v>
      </c>
      <c r="P1812" s="131">
        <v>3520</v>
      </c>
      <c r="Q1812" s="131">
        <v>7</v>
      </c>
      <c r="R1812" s="120">
        <f t="shared" si="44"/>
        <v>24640</v>
      </c>
      <c r="S1812" s="117">
        <v>202303</v>
      </c>
      <c r="T1812" s="121" t="s">
        <v>2383</v>
      </c>
      <c r="U1812" s="132"/>
      <c r="V1812" s="133"/>
      <c r="W1812" s="133"/>
      <c r="X1812" s="118">
        <v>44423</v>
      </c>
      <c r="Y1812" s="118">
        <v>46279</v>
      </c>
    </row>
    <row r="1813" s="9" customFormat="1" customHeight="1" spans="1:25">
      <c r="A1813" s="129" t="s">
        <v>61</v>
      </c>
      <c r="B1813" s="96" t="s">
        <v>62</v>
      </c>
      <c r="C1813" s="98" t="s">
        <v>217</v>
      </c>
      <c r="D1813" s="96" t="s">
        <v>64</v>
      </c>
      <c r="E1813" s="130" t="s">
        <v>2324</v>
      </c>
      <c r="F1813" s="129" t="s">
        <v>2325</v>
      </c>
      <c r="G1813" s="99" t="s">
        <v>88</v>
      </c>
      <c r="H1813" s="100" t="s">
        <v>2326</v>
      </c>
      <c r="I1813" s="23" t="e">
        <f>VLOOKUP(H1813,'合同综合查询数据（3月返）'!$A:$A,1,FALSE)</f>
        <v>#N/A</v>
      </c>
      <c r="J1813" s="99" t="s">
        <v>90</v>
      </c>
      <c r="K1813" s="108" t="s">
        <v>2327</v>
      </c>
      <c r="L1813" s="109"/>
      <c r="M1813" s="26" t="s">
        <v>2328</v>
      </c>
      <c r="N1813" s="28">
        <v>44720</v>
      </c>
      <c r="O1813" s="109" t="s">
        <v>461</v>
      </c>
      <c r="P1813" s="131">
        <v>3520</v>
      </c>
      <c r="Q1813" s="131">
        <v>6</v>
      </c>
      <c r="R1813" s="120">
        <f t="shared" si="44"/>
        <v>21120</v>
      </c>
      <c r="S1813" s="117">
        <v>202303</v>
      </c>
      <c r="T1813" s="121" t="s">
        <v>2384</v>
      </c>
      <c r="U1813" s="132"/>
      <c r="V1813" s="133"/>
      <c r="W1813" s="133"/>
      <c r="X1813" s="118">
        <v>44423</v>
      </c>
      <c r="Y1813" s="118">
        <v>46279</v>
      </c>
    </row>
    <row r="1814" s="9" customFormat="1" customHeight="1" spans="1:25">
      <c r="A1814" s="129" t="s">
        <v>61</v>
      </c>
      <c r="B1814" s="96" t="s">
        <v>62</v>
      </c>
      <c r="C1814" s="98" t="s">
        <v>217</v>
      </c>
      <c r="D1814" s="96" t="s">
        <v>64</v>
      </c>
      <c r="E1814" s="130" t="s">
        <v>2324</v>
      </c>
      <c r="F1814" s="129" t="s">
        <v>2325</v>
      </c>
      <c r="G1814" s="99" t="s">
        <v>88</v>
      </c>
      <c r="H1814" s="100" t="s">
        <v>2326</v>
      </c>
      <c r="I1814" s="23" t="e">
        <f>VLOOKUP(H1814,'合同综合查询数据（3月返）'!$A:$A,1,FALSE)</f>
        <v>#N/A</v>
      </c>
      <c r="J1814" s="99" t="s">
        <v>90</v>
      </c>
      <c r="K1814" s="108" t="s">
        <v>2327</v>
      </c>
      <c r="L1814" s="109"/>
      <c r="M1814" s="26" t="s">
        <v>2328</v>
      </c>
      <c r="N1814" s="28">
        <v>44721</v>
      </c>
      <c r="O1814" s="109" t="s">
        <v>461</v>
      </c>
      <c r="P1814" s="131">
        <v>3520</v>
      </c>
      <c r="Q1814" s="131">
        <v>10</v>
      </c>
      <c r="R1814" s="120">
        <f t="shared" si="44"/>
        <v>35200</v>
      </c>
      <c r="S1814" s="117">
        <v>202303</v>
      </c>
      <c r="T1814" s="121" t="s">
        <v>2385</v>
      </c>
      <c r="U1814" s="132"/>
      <c r="V1814" s="133"/>
      <c r="W1814" s="133"/>
      <c r="X1814" s="118">
        <v>44423</v>
      </c>
      <c r="Y1814" s="118">
        <v>46279</v>
      </c>
    </row>
    <row r="1815" s="9" customFormat="1" customHeight="1" spans="1:25">
      <c r="A1815" s="129" t="s">
        <v>61</v>
      </c>
      <c r="B1815" s="96" t="s">
        <v>62</v>
      </c>
      <c r="C1815" s="98" t="s">
        <v>217</v>
      </c>
      <c r="D1815" s="96" t="s">
        <v>64</v>
      </c>
      <c r="E1815" s="130" t="s">
        <v>2324</v>
      </c>
      <c r="F1815" s="129" t="s">
        <v>2325</v>
      </c>
      <c r="G1815" s="99" t="s">
        <v>88</v>
      </c>
      <c r="H1815" s="100" t="s">
        <v>2326</v>
      </c>
      <c r="I1815" s="23" t="e">
        <f>VLOOKUP(H1815,'合同综合查询数据（3月返）'!$A:$A,1,FALSE)</f>
        <v>#N/A</v>
      </c>
      <c r="J1815" s="99" t="s">
        <v>90</v>
      </c>
      <c r="K1815" s="108" t="s">
        <v>2327</v>
      </c>
      <c r="L1815" s="109"/>
      <c r="M1815" s="26" t="s">
        <v>2382</v>
      </c>
      <c r="N1815" s="28">
        <v>44725</v>
      </c>
      <c r="O1815" s="109" t="s">
        <v>461</v>
      </c>
      <c r="P1815" s="131">
        <v>3520</v>
      </c>
      <c r="Q1815" s="131">
        <v>5</v>
      </c>
      <c r="R1815" s="120">
        <f t="shared" si="44"/>
        <v>17600</v>
      </c>
      <c r="S1815" s="117">
        <v>202303</v>
      </c>
      <c r="T1815" s="121" t="s">
        <v>2386</v>
      </c>
      <c r="U1815" s="132"/>
      <c r="V1815" s="133"/>
      <c r="W1815" s="133"/>
      <c r="X1815" s="118">
        <v>44423</v>
      </c>
      <c r="Y1815" s="118">
        <v>46279</v>
      </c>
    </row>
    <row r="1816" s="9" customFormat="1" customHeight="1" spans="1:25">
      <c r="A1816" s="129" t="s">
        <v>61</v>
      </c>
      <c r="B1816" s="96" t="s">
        <v>62</v>
      </c>
      <c r="C1816" s="98" t="s">
        <v>217</v>
      </c>
      <c r="D1816" s="96" t="s">
        <v>64</v>
      </c>
      <c r="E1816" s="130" t="s">
        <v>2324</v>
      </c>
      <c r="F1816" s="129" t="s">
        <v>2325</v>
      </c>
      <c r="G1816" s="99" t="s">
        <v>88</v>
      </c>
      <c r="H1816" s="100" t="s">
        <v>2326</v>
      </c>
      <c r="I1816" s="23" t="e">
        <f>VLOOKUP(H1816,'合同综合查询数据（3月返）'!$A:$A,1,FALSE)</f>
        <v>#N/A</v>
      </c>
      <c r="J1816" s="99" t="s">
        <v>90</v>
      </c>
      <c r="K1816" s="108" t="s">
        <v>2327</v>
      </c>
      <c r="L1816" s="109"/>
      <c r="M1816" s="26" t="s">
        <v>2328</v>
      </c>
      <c r="N1816" s="28">
        <v>44736</v>
      </c>
      <c r="O1816" s="109" t="s">
        <v>461</v>
      </c>
      <c r="P1816" s="131">
        <v>3520</v>
      </c>
      <c r="Q1816" s="131">
        <v>9</v>
      </c>
      <c r="R1816" s="120">
        <f t="shared" si="44"/>
        <v>31680</v>
      </c>
      <c r="S1816" s="117">
        <v>202303</v>
      </c>
      <c r="T1816" s="121" t="s">
        <v>2387</v>
      </c>
      <c r="U1816" s="132"/>
      <c r="V1816" s="133"/>
      <c r="W1816" s="133"/>
      <c r="X1816" s="118">
        <v>44423</v>
      </c>
      <c r="Y1816" s="118">
        <v>46279</v>
      </c>
    </row>
    <row r="1817" s="9" customFormat="1" customHeight="1" spans="1:25">
      <c r="A1817" s="129" t="s">
        <v>61</v>
      </c>
      <c r="B1817" s="96" t="s">
        <v>62</v>
      </c>
      <c r="C1817" s="98" t="s">
        <v>217</v>
      </c>
      <c r="D1817" s="96" t="s">
        <v>64</v>
      </c>
      <c r="E1817" s="130" t="s">
        <v>2324</v>
      </c>
      <c r="F1817" s="129" t="s">
        <v>2325</v>
      </c>
      <c r="G1817" s="99" t="s">
        <v>88</v>
      </c>
      <c r="H1817" s="100" t="s">
        <v>2326</v>
      </c>
      <c r="I1817" s="23" t="e">
        <f>VLOOKUP(H1817,'合同综合查询数据（3月返）'!$A:$A,1,FALSE)</f>
        <v>#N/A</v>
      </c>
      <c r="J1817" s="99" t="s">
        <v>90</v>
      </c>
      <c r="K1817" s="108" t="s">
        <v>2327</v>
      </c>
      <c r="L1817" s="109"/>
      <c r="M1817" s="26" t="s">
        <v>2328</v>
      </c>
      <c r="N1817" s="28">
        <v>44741</v>
      </c>
      <c r="O1817" s="109" t="s">
        <v>461</v>
      </c>
      <c r="P1817" s="131">
        <v>3520</v>
      </c>
      <c r="Q1817" s="131">
        <v>15</v>
      </c>
      <c r="R1817" s="120">
        <f t="shared" si="44"/>
        <v>52800</v>
      </c>
      <c r="S1817" s="117">
        <v>202303</v>
      </c>
      <c r="T1817" s="121" t="s">
        <v>2388</v>
      </c>
      <c r="U1817" s="132"/>
      <c r="V1817" s="133"/>
      <c r="W1817" s="133"/>
      <c r="X1817" s="118">
        <v>44423</v>
      </c>
      <c r="Y1817" s="118">
        <v>46279</v>
      </c>
    </row>
    <row r="1818" s="9" customFormat="1" customHeight="1" spans="1:25">
      <c r="A1818" s="129" t="s">
        <v>61</v>
      </c>
      <c r="B1818" s="96" t="s">
        <v>62</v>
      </c>
      <c r="C1818" s="98" t="s">
        <v>217</v>
      </c>
      <c r="D1818" s="96" t="s">
        <v>64</v>
      </c>
      <c r="E1818" s="130" t="s">
        <v>2324</v>
      </c>
      <c r="F1818" s="129" t="s">
        <v>2325</v>
      </c>
      <c r="G1818" s="99" t="s">
        <v>88</v>
      </c>
      <c r="H1818" s="100" t="s">
        <v>2326</v>
      </c>
      <c r="I1818" s="23" t="e">
        <f>VLOOKUP(H1818,'合同综合查询数据（3月返）'!$A:$A,1,FALSE)</f>
        <v>#N/A</v>
      </c>
      <c r="J1818" s="99" t="s">
        <v>90</v>
      </c>
      <c r="K1818" s="108" t="s">
        <v>2327</v>
      </c>
      <c r="L1818" s="109"/>
      <c r="M1818" s="26" t="s">
        <v>2328</v>
      </c>
      <c r="N1818" s="28">
        <v>44742</v>
      </c>
      <c r="O1818" s="109" t="s">
        <v>461</v>
      </c>
      <c r="P1818" s="131">
        <v>3520</v>
      </c>
      <c r="Q1818" s="131">
        <v>2</v>
      </c>
      <c r="R1818" s="120">
        <f t="shared" si="44"/>
        <v>7040</v>
      </c>
      <c r="S1818" s="117">
        <v>202303</v>
      </c>
      <c r="T1818" s="121" t="s">
        <v>2389</v>
      </c>
      <c r="U1818" s="132"/>
      <c r="V1818" s="133"/>
      <c r="W1818" s="133"/>
      <c r="X1818" s="118">
        <v>44423</v>
      </c>
      <c r="Y1818" s="118">
        <v>46279</v>
      </c>
    </row>
    <row r="1819" s="9" customFormat="1" customHeight="1" spans="1:25">
      <c r="A1819" s="129" t="s">
        <v>61</v>
      </c>
      <c r="B1819" s="96" t="s">
        <v>62</v>
      </c>
      <c r="C1819" s="98" t="s">
        <v>217</v>
      </c>
      <c r="D1819" s="96" t="s">
        <v>64</v>
      </c>
      <c r="E1819" s="130" t="s">
        <v>2324</v>
      </c>
      <c r="F1819" s="129" t="s">
        <v>2325</v>
      </c>
      <c r="G1819" s="99" t="s">
        <v>88</v>
      </c>
      <c r="H1819" s="100" t="s">
        <v>2326</v>
      </c>
      <c r="I1819" s="23" t="e">
        <f>VLOOKUP(H1819,'合同综合查询数据（3月返）'!$A:$A,1,FALSE)</f>
        <v>#N/A</v>
      </c>
      <c r="J1819" s="99" t="s">
        <v>90</v>
      </c>
      <c r="K1819" s="108" t="s">
        <v>2327</v>
      </c>
      <c r="L1819" s="109"/>
      <c r="M1819" s="26" t="s">
        <v>2328</v>
      </c>
      <c r="N1819" s="28">
        <v>44745</v>
      </c>
      <c r="O1819" s="109" t="s">
        <v>461</v>
      </c>
      <c r="P1819" s="131">
        <v>3520</v>
      </c>
      <c r="Q1819" s="131">
        <v>5</v>
      </c>
      <c r="R1819" s="120">
        <f t="shared" si="44"/>
        <v>17600</v>
      </c>
      <c r="S1819" s="117">
        <v>202303</v>
      </c>
      <c r="T1819" s="121" t="s">
        <v>2390</v>
      </c>
      <c r="U1819" s="132"/>
      <c r="V1819" s="133"/>
      <c r="W1819" s="133"/>
      <c r="X1819" s="118">
        <v>44423</v>
      </c>
      <c r="Y1819" s="118">
        <v>46279</v>
      </c>
    </row>
    <row r="1820" s="9" customFormat="1" customHeight="1" spans="1:25">
      <c r="A1820" s="129" t="s">
        <v>61</v>
      </c>
      <c r="B1820" s="96" t="s">
        <v>62</v>
      </c>
      <c r="C1820" s="98" t="s">
        <v>217</v>
      </c>
      <c r="D1820" s="96" t="s">
        <v>64</v>
      </c>
      <c r="E1820" s="130" t="s">
        <v>2324</v>
      </c>
      <c r="F1820" s="129" t="s">
        <v>2325</v>
      </c>
      <c r="G1820" s="99" t="s">
        <v>88</v>
      </c>
      <c r="H1820" s="100" t="s">
        <v>2326</v>
      </c>
      <c r="I1820" s="23" t="e">
        <f>VLOOKUP(H1820,'合同综合查询数据（3月返）'!$A:$A,1,FALSE)</f>
        <v>#N/A</v>
      </c>
      <c r="J1820" s="99" t="s">
        <v>90</v>
      </c>
      <c r="K1820" s="108" t="s">
        <v>2327</v>
      </c>
      <c r="L1820" s="109"/>
      <c r="M1820" s="26" t="s">
        <v>2328</v>
      </c>
      <c r="N1820" s="28">
        <v>44762</v>
      </c>
      <c r="O1820" s="109" t="s">
        <v>461</v>
      </c>
      <c r="P1820" s="131">
        <v>3520</v>
      </c>
      <c r="Q1820" s="131">
        <v>5</v>
      </c>
      <c r="R1820" s="120">
        <f t="shared" si="44"/>
        <v>17600</v>
      </c>
      <c r="S1820" s="117">
        <v>202303</v>
      </c>
      <c r="T1820" s="121" t="s">
        <v>2391</v>
      </c>
      <c r="U1820" s="132"/>
      <c r="V1820" s="133"/>
      <c r="W1820" s="133"/>
      <c r="X1820" s="118">
        <v>44423</v>
      </c>
      <c r="Y1820" s="118">
        <v>46279</v>
      </c>
    </row>
    <row r="1821" s="9" customFormat="1" customHeight="1" spans="1:25">
      <c r="A1821" s="129" t="s">
        <v>61</v>
      </c>
      <c r="B1821" s="96" t="s">
        <v>62</v>
      </c>
      <c r="C1821" s="98" t="s">
        <v>217</v>
      </c>
      <c r="D1821" s="96" t="s">
        <v>64</v>
      </c>
      <c r="E1821" s="130" t="s">
        <v>2324</v>
      </c>
      <c r="F1821" s="129" t="s">
        <v>2325</v>
      </c>
      <c r="G1821" s="99" t="s">
        <v>88</v>
      </c>
      <c r="H1821" s="100" t="s">
        <v>2326</v>
      </c>
      <c r="I1821" s="23" t="e">
        <f>VLOOKUP(H1821,'合同综合查询数据（3月返）'!$A:$A,1,FALSE)</f>
        <v>#N/A</v>
      </c>
      <c r="J1821" s="99" t="s">
        <v>90</v>
      </c>
      <c r="K1821" s="108" t="s">
        <v>2327</v>
      </c>
      <c r="L1821" s="109"/>
      <c r="M1821" s="26" t="s">
        <v>2328</v>
      </c>
      <c r="N1821" s="28">
        <v>44768</v>
      </c>
      <c r="O1821" s="109" t="s">
        <v>461</v>
      </c>
      <c r="P1821" s="131">
        <v>3520</v>
      </c>
      <c r="Q1821" s="131">
        <v>-123</v>
      </c>
      <c r="R1821" s="120">
        <f t="shared" si="44"/>
        <v>-432960</v>
      </c>
      <c r="S1821" s="117">
        <v>202303</v>
      </c>
      <c r="T1821" s="121" t="s">
        <v>2392</v>
      </c>
      <c r="U1821" s="132"/>
      <c r="V1821" s="133"/>
      <c r="W1821" s="133"/>
      <c r="X1821" s="118">
        <v>44423</v>
      </c>
      <c r="Y1821" s="118">
        <v>46279</v>
      </c>
    </row>
    <row r="1822" s="9" customFormat="1" customHeight="1" spans="1:25">
      <c r="A1822" s="129" t="s">
        <v>61</v>
      </c>
      <c r="B1822" s="96" t="s">
        <v>62</v>
      </c>
      <c r="C1822" s="98" t="s">
        <v>217</v>
      </c>
      <c r="D1822" s="96" t="s">
        <v>64</v>
      </c>
      <c r="E1822" s="130" t="s">
        <v>2324</v>
      </c>
      <c r="F1822" s="129" t="s">
        <v>2325</v>
      </c>
      <c r="G1822" s="99" t="s">
        <v>88</v>
      </c>
      <c r="H1822" s="100" t="s">
        <v>2326</v>
      </c>
      <c r="I1822" s="23" t="e">
        <f>VLOOKUP(H1822,'合同综合查询数据（3月返）'!$A:$A,1,FALSE)</f>
        <v>#N/A</v>
      </c>
      <c r="J1822" s="99" t="s">
        <v>90</v>
      </c>
      <c r="K1822" s="108" t="s">
        <v>2327</v>
      </c>
      <c r="L1822" s="109"/>
      <c r="M1822" s="26" t="s">
        <v>2328</v>
      </c>
      <c r="N1822" s="28">
        <v>44798</v>
      </c>
      <c r="O1822" s="109" t="s">
        <v>457</v>
      </c>
      <c r="P1822" s="131">
        <v>1760</v>
      </c>
      <c r="Q1822" s="131">
        <v>2</v>
      </c>
      <c r="R1822" s="120">
        <f t="shared" si="44"/>
        <v>3520</v>
      </c>
      <c r="S1822" s="117">
        <v>202303</v>
      </c>
      <c r="T1822" s="121" t="s">
        <v>2393</v>
      </c>
      <c r="U1822" s="132"/>
      <c r="V1822" s="133"/>
      <c r="W1822" s="133"/>
      <c r="X1822" s="118">
        <v>44423</v>
      </c>
      <c r="Y1822" s="118">
        <v>46279</v>
      </c>
    </row>
    <row r="1823" s="9" customFormat="1" customHeight="1" spans="1:25">
      <c r="A1823" s="129" t="s">
        <v>61</v>
      </c>
      <c r="B1823" s="96" t="s">
        <v>62</v>
      </c>
      <c r="C1823" s="98" t="s">
        <v>217</v>
      </c>
      <c r="D1823" s="96" t="s">
        <v>64</v>
      </c>
      <c r="E1823" s="130" t="s">
        <v>2324</v>
      </c>
      <c r="F1823" s="129" t="s">
        <v>2325</v>
      </c>
      <c r="G1823" s="99" t="s">
        <v>88</v>
      </c>
      <c r="H1823" s="100" t="s">
        <v>2326</v>
      </c>
      <c r="I1823" s="23" t="e">
        <f>VLOOKUP(H1823,'合同综合查询数据（3月返）'!$A:$A,1,FALSE)</f>
        <v>#N/A</v>
      </c>
      <c r="J1823" s="99" t="s">
        <v>90</v>
      </c>
      <c r="K1823" s="108" t="s">
        <v>2327</v>
      </c>
      <c r="L1823" s="109"/>
      <c r="M1823" s="26" t="s">
        <v>2328</v>
      </c>
      <c r="N1823" s="28">
        <v>44783</v>
      </c>
      <c r="O1823" s="109" t="s">
        <v>461</v>
      </c>
      <c r="P1823" s="131">
        <v>3520</v>
      </c>
      <c r="Q1823" s="131">
        <v>2</v>
      </c>
      <c r="R1823" s="120">
        <f t="shared" si="44"/>
        <v>7040</v>
      </c>
      <c r="S1823" s="117">
        <v>202303</v>
      </c>
      <c r="T1823" s="121" t="s">
        <v>2394</v>
      </c>
      <c r="U1823" s="132"/>
      <c r="V1823" s="133"/>
      <c r="W1823" s="133"/>
      <c r="X1823" s="118">
        <v>44423</v>
      </c>
      <c r="Y1823" s="118">
        <v>46279</v>
      </c>
    </row>
    <row r="1824" s="9" customFormat="1" customHeight="1" spans="1:25">
      <c r="A1824" s="129" t="s">
        <v>61</v>
      </c>
      <c r="B1824" s="96" t="s">
        <v>62</v>
      </c>
      <c r="C1824" s="98" t="s">
        <v>217</v>
      </c>
      <c r="D1824" s="96" t="s">
        <v>64</v>
      </c>
      <c r="E1824" s="130" t="s">
        <v>2324</v>
      </c>
      <c r="F1824" s="129" t="s">
        <v>2325</v>
      </c>
      <c r="G1824" s="99" t="s">
        <v>88</v>
      </c>
      <c r="H1824" s="100" t="s">
        <v>2326</v>
      </c>
      <c r="I1824" s="23" t="e">
        <f>VLOOKUP(H1824,'合同综合查询数据（3月返）'!$A:$A,1,FALSE)</f>
        <v>#N/A</v>
      </c>
      <c r="J1824" s="99" t="s">
        <v>90</v>
      </c>
      <c r="K1824" s="108" t="s">
        <v>2327</v>
      </c>
      <c r="L1824" s="109"/>
      <c r="M1824" s="26" t="s">
        <v>2328</v>
      </c>
      <c r="N1824" s="28">
        <v>44785</v>
      </c>
      <c r="O1824" s="109" t="s">
        <v>461</v>
      </c>
      <c r="P1824" s="131">
        <v>3520</v>
      </c>
      <c r="Q1824" s="131">
        <v>2</v>
      </c>
      <c r="R1824" s="120">
        <f t="shared" si="44"/>
        <v>7040</v>
      </c>
      <c r="S1824" s="117">
        <v>202303</v>
      </c>
      <c r="T1824" s="121" t="s">
        <v>2395</v>
      </c>
      <c r="U1824" s="132"/>
      <c r="V1824" s="133"/>
      <c r="W1824" s="133"/>
      <c r="X1824" s="118">
        <v>44423</v>
      </c>
      <c r="Y1824" s="118">
        <v>46279</v>
      </c>
    </row>
    <row r="1825" s="9" customFormat="1" customHeight="1" spans="1:25">
      <c r="A1825" s="129" t="s">
        <v>61</v>
      </c>
      <c r="B1825" s="96" t="s">
        <v>62</v>
      </c>
      <c r="C1825" s="98" t="s">
        <v>217</v>
      </c>
      <c r="D1825" s="96" t="s">
        <v>64</v>
      </c>
      <c r="E1825" s="130" t="s">
        <v>2324</v>
      </c>
      <c r="F1825" s="129" t="s">
        <v>2325</v>
      </c>
      <c r="G1825" s="99" t="s">
        <v>88</v>
      </c>
      <c r="H1825" s="100" t="s">
        <v>2326</v>
      </c>
      <c r="I1825" s="23" t="e">
        <f>VLOOKUP(H1825,'合同综合查询数据（3月返）'!$A:$A,1,FALSE)</f>
        <v>#N/A</v>
      </c>
      <c r="J1825" s="99" t="s">
        <v>90</v>
      </c>
      <c r="K1825" s="108" t="s">
        <v>2327</v>
      </c>
      <c r="L1825" s="109"/>
      <c r="M1825" s="26" t="s">
        <v>2328</v>
      </c>
      <c r="N1825" s="28">
        <v>44789</v>
      </c>
      <c r="O1825" s="109" t="s">
        <v>461</v>
      </c>
      <c r="P1825" s="131">
        <v>3520</v>
      </c>
      <c r="Q1825" s="131">
        <v>2</v>
      </c>
      <c r="R1825" s="120">
        <f t="shared" si="44"/>
        <v>7040</v>
      </c>
      <c r="S1825" s="117">
        <v>202303</v>
      </c>
      <c r="T1825" s="121" t="s">
        <v>2396</v>
      </c>
      <c r="U1825" s="132"/>
      <c r="V1825" s="133"/>
      <c r="W1825" s="133"/>
      <c r="X1825" s="118">
        <v>44423</v>
      </c>
      <c r="Y1825" s="118">
        <v>46279</v>
      </c>
    </row>
    <row r="1826" s="9" customFormat="1" customHeight="1" spans="1:25">
      <c r="A1826" s="129" t="s">
        <v>61</v>
      </c>
      <c r="B1826" s="96" t="s">
        <v>62</v>
      </c>
      <c r="C1826" s="98" t="s">
        <v>217</v>
      </c>
      <c r="D1826" s="96" t="s">
        <v>64</v>
      </c>
      <c r="E1826" s="130" t="s">
        <v>2324</v>
      </c>
      <c r="F1826" s="129" t="s">
        <v>2325</v>
      </c>
      <c r="G1826" s="99" t="s">
        <v>88</v>
      </c>
      <c r="H1826" s="100" t="s">
        <v>2326</v>
      </c>
      <c r="I1826" s="23" t="e">
        <f>VLOOKUP(H1826,'合同综合查询数据（3月返）'!$A:$A,1,FALSE)</f>
        <v>#N/A</v>
      </c>
      <c r="J1826" s="99" t="s">
        <v>90</v>
      </c>
      <c r="K1826" s="108" t="s">
        <v>2327</v>
      </c>
      <c r="L1826" s="109"/>
      <c r="M1826" s="26" t="s">
        <v>2328</v>
      </c>
      <c r="N1826" s="28">
        <v>44797</v>
      </c>
      <c r="O1826" s="109" t="s">
        <v>461</v>
      </c>
      <c r="P1826" s="131">
        <v>3520</v>
      </c>
      <c r="Q1826" s="131">
        <v>9</v>
      </c>
      <c r="R1826" s="120">
        <f t="shared" ref="R1826:R1845" si="45">ROUND(P1826*Q1826,2)</f>
        <v>31680</v>
      </c>
      <c r="S1826" s="117">
        <v>202303</v>
      </c>
      <c r="T1826" s="121" t="s">
        <v>2397</v>
      </c>
      <c r="U1826" s="132"/>
      <c r="V1826" s="133"/>
      <c r="W1826" s="133"/>
      <c r="X1826" s="118">
        <v>44423</v>
      </c>
      <c r="Y1826" s="118">
        <v>46279</v>
      </c>
    </row>
    <row r="1827" s="9" customFormat="1" customHeight="1" spans="1:25">
      <c r="A1827" s="129" t="s">
        <v>61</v>
      </c>
      <c r="B1827" s="96" t="s">
        <v>62</v>
      </c>
      <c r="C1827" s="98" t="s">
        <v>217</v>
      </c>
      <c r="D1827" s="96" t="s">
        <v>64</v>
      </c>
      <c r="E1827" s="130" t="s">
        <v>2324</v>
      </c>
      <c r="F1827" s="129" t="s">
        <v>2325</v>
      </c>
      <c r="G1827" s="99" t="s">
        <v>88</v>
      </c>
      <c r="H1827" s="100" t="s">
        <v>2326</v>
      </c>
      <c r="I1827" s="23" t="e">
        <f>VLOOKUP(H1827,'合同综合查询数据（3月返）'!$A:$A,1,FALSE)</f>
        <v>#N/A</v>
      </c>
      <c r="J1827" s="99" t="s">
        <v>90</v>
      </c>
      <c r="K1827" s="108" t="s">
        <v>2327</v>
      </c>
      <c r="L1827" s="109"/>
      <c r="M1827" s="26" t="s">
        <v>2328</v>
      </c>
      <c r="N1827" s="28">
        <v>44798</v>
      </c>
      <c r="O1827" s="109" t="s">
        <v>461</v>
      </c>
      <c r="P1827" s="131">
        <v>3520</v>
      </c>
      <c r="Q1827" s="131">
        <v>10</v>
      </c>
      <c r="R1827" s="120">
        <f t="shared" si="45"/>
        <v>35200</v>
      </c>
      <c r="S1827" s="117">
        <v>202303</v>
      </c>
      <c r="T1827" s="121" t="s">
        <v>2398</v>
      </c>
      <c r="U1827" s="132"/>
      <c r="V1827" s="133"/>
      <c r="W1827" s="133"/>
      <c r="X1827" s="118">
        <v>44423</v>
      </c>
      <c r="Y1827" s="118">
        <v>46279</v>
      </c>
    </row>
    <row r="1828" s="9" customFormat="1" customHeight="1" spans="1:25">
      <c r="A1828" s="129" t="s">
        <v>61</v>
      </c>
      <c r="B1828" s="96" t="s">
        <v>62</v>
      </c>
      <c r="C1828" s="98" t="s">
        <v>217</v>
      </c>
      <c r="D1828" s="96" t="s">
        <v>64</v>
      </c>
      <c r="E1828" s="130" t="s">
        <v>2324</v>
      </c>
      <c r="F1828" s="129" t="s">
        <v>2325</v>
      </c>
      <c r="G1828" s="99" t="s">
        <v>88</v>
      </c>
      <c r="H1828" s="100" t="s">
        <v>2326</v>
      </c>
      <c r="I1828" s="23" t="e">
        <f>VLOOKUP(H1828,'合同综合查询数据（3月返）'!$A:$A,1,FALSE)</f>
        <v>#N/A</v>
      </c>
      <c r="J1828" s="99" t="s">
        <v>90</v>
      </c>
      <c r="K1828" s="108" t="s">
        <v>2327</v>
      </c>
      <c r="L1828" s="109"/>
      <c r="M1828" s="26" t="s">
        <v>2328</v>
      </c>
      <c r="N1828" s="28">
        <v>44799</v>
      </c>
      <c r="O1828" s="109" t="s">
        <v>461</v>
      </c>
      <c r="P1828" s="131">
        <v>3520</v>
      </c>
      <c r="Q1828" s="131">
        <v>32</v>
      </c>
      <c r="R1828" s="120">
        <f t="shared" si="45"/>
        <v>112640</v>
      </c>
      <c r="S1828" s="117">
        <v>202303</v>
      </c>
      <c r="T1828" s="121" t="s">
        <v>2399</v>
      </c>
      <c r="U1828" s="132"/>
      <c r="V1828" s="133"/>
      <c r="W1828" s="133"/>
      <c r="X1828" s="118">
        <v>44423</v>
      </c>
      <c r="Y1828" s="118">
        <v>46279</v>
      </c>
    </row>
    <row r="1829" s="9" customFormat="1" customHeight="1" spans="1:25">
      <c r="A1829" s="129" t="s">
        <v>61</v>
      </c>
      <c r="B1829" s="96" t="s">
        <v>62</v>
      </c>
      <c r="C1829" s="98" t="s">
        <v>217</v>
      </c>
      <c r="D1829" s="96" t="s">
        <v>64</v>
      </c>
      <c r="E1829" s="130" t="s">
        <v>2324</v>
      </c>
      <c r="F1829" s="129" t="s">
        <v>2325</v>
      </c>
      <c r="G1829" s="99" t="s">
        <v>88</v>
      </c>
      <c r="H1829" s="100" t="s">
        <v>2326</v>
      </c>
      <c r="I1829" s="23" t="e">
        <f>VLOOKUP(H1829,'合同综合查询数据（3月返）'!$A:$A,1,FALSE)</f>
        <v>#N/A</v>
      </c>
      <c r="J1829" s="99" t="s">
        <v>90</v>
      </c>
      <c r="K1829" s="108" t="s">
        <v>2327</v>
      </c>
      <c r="L1829" s="109"/>
      <c r="M1829" s="26" t="s">
        <v>2328</v>
      </c>
      <c r="N1829" s="28">
        <v>44801</v>
      </c>
      <c r="O1829" s="109" t="s">
        <v>461</v>
      </c>
      <c r="P1829" s="131">
        <v>3520</v>
      </c>
      <c r="Q1829" s="131">
        <v>62</v>
      </c>
      <c r="R1829" s="120">
        <f t="shared" si="45"/>
        <v>218240</v>
      </c>
      <c r="S1829" s="117">
        <v>202303</v>
      </c>
      <c r="T1829" s="121" t="s">
        <v>2400</v>
      </c>
      <c r="U1829" s="132"/>
      <c r="V1829" s="133"/>
      <c r="W1829" s="133"/>
      <c r="X1829" s="118">
        <v>44423</v>
      </c>
      <c r="Y1829" s="118">
        <v>46279</v>
      </c>
    </row>
    <row r="1830" s="9" customFormat="1" customHeight="1" spans="1:25">
      <c r="A1830" s="129" t="s">
        <v>61</v>
      </c>
      <c r="B1830" s="96" t="s">
        <v>62</v>
      </c>
      <c r="C1830" s="98" t="s">
        <v>217</v>
      </c>
      <c r="D1830" s="96" t="s">
        <v>64</v>
      </c>
      <c r="E1830" s="130" t="s">
        <v>2324</v>
      </c>
      <c r="F1830" s="129" t="s">
        <v>2325</v>
      </c>
      <c r="G1830" s="99" t="s">
        <v>88</v>
      </c>
      <c r="H1830" s="100" t="s">
        <v>2326</v>
      </c>
      <c r="I1830" s="23" t="e">
        <f>VLOOKUP(H1830,'合同综合查询数据（3月返）'!$A:$A,1,FALSE)</f>
        <v>#N/A</v>
      </c>
      <c r="J1830" s="99" t="s">
        <v>90</v>
      </c>
      <c r="K1830" s="108" t="s">
        <v>2327</v>
      </c>
      <c r="L1830" s="109"/>
      <c r="M1830" s="26" t="s">
        <v>2328</v>
      </c>
      <c r="N1830" s="28">
        <v>44802</v>
      </c>
      <c r="O1830" s="109" t="s">
        <v>461</v>
      </c>
      <c r="P1830" s="131">
        <v>3520</v>
      </c>
      <c r="Q1830" s="131">
        <v>6</v>
      </c>
      <c r="R1830" s="120">
        <f t="shared" si="45"/>
        <v>21120</v>
      </c>
      <c r="S1830" s="117">
        <v>202303</v>
      </c>
      <c r="T1830" s="121" t="s">
        <v>2401</v>
      </c>
      <c r="U1830" s="132"/>
      <c r="V1830" s="133"/>
      <c r="W1830" s="133"/>
      <c r="X1830" s="118">
        <v>44423</v>
      </c>
      <c r="Y1830" s="118">
        <v>46279</v>
      </c>
    </row>
    <row r="1831" s="9" customFormat="1" customHeight="1" spans="1:25">
      <c r="A1831" s="129" t="s">
        <v>61</v>
      </c>
      <c r="B1831" s="96" t="s">
        <v>62</v>
      </c>
      <c r="C1831" s="98" t="s">
        <v>217</v>
      </c>
      <c r="D1831" s="96" t="s">
        <v>64</v>
      </c>
      <c r="E1831" s="130" t="s">
        <v>2324</v>
      </c>
      <c r="F1831" s="129" t="s">
        <v>2325</v>
      </c>
      <c r="G1831" s="99" t="s">
        <v>88</v>
      </c>
      <c r="H1831" s="100" t="s">
        <v>2326</v>
      </c>
      <c r="I1831" s="23" t="e">
        <f>VLOOKUP(H1831,'合同综合查询数据（3月返）'!$A:$A,1,FALSE)</f>
        <v>#N/A</v>
      </c>
      <c r="J1831" s="99" t="s">
        <v>90</v>
      </c>
      <c r="K1831" s="108" t="s">
        <v>2327</v>
      </c>
      <c r="L1831" s="109"/>
      <c r="M1831" s="26" t="s">
        <v>2328</v>
      </c>
      <c r="N1831" s="28">
        <v>44804</v>
      </c>
      <c r="O1831" s="109" t="s">
        <v>461</v>
      </c>
      <c r="P1831" s="131">
        <v>3520</v>
      </c>
      <c r="Q1831" s="131">
        <v>62</v>
      </c>
      <c r="R1831" s="120">
        <f t="shared" si="45"/>
        <v>218240</v>
      </c>
      <c r="S1831" s="117">
        <v>202303</v>
      </c>
      <c r="T1831" s="121" t="s">
        <v>2402</v>
      </c>
      <c r="U1831" s="132"/>
      <c r="V1831" s="133"/>
      <c r="W1831" s="133"/>
      <c r="X1831" s="118">
        <v>44423</v>
      </c>
      <c r="Y1831" s="118">
        <v>46279</v>
      </c>
    </row>
    <row r="1832" s="9" customFormat="1" customHeight="1" spans="1:25">
      <c r="A1832" s="129" t="s">
        <v>61</v>
      </c>
      <c r="B1832" s="96" t="s">
        <v>62</v>
      </c>
      <c r="C1832" s="98" t="s">
        <v>217</v>
      </c>
      <c r="D1832" s="96" t="s">
        <v>64</v>
      </c>
      <c r="E1832" s="130" t="s">
        <v>2324</v>
      </c>
      <c r="F1832" s="129" t="s">
        <v>2325</v>
      </c>
      <c r="G1832" s="99" t="s">
        <v>88</v>
      </c>
      <c r="H1832" s="100" t="s">
        <v>2326</v>
      </c>
      <c r="I1832" s="23" t="e">
        <f>VLOOKUP(H1832,'合同综合查询数据（3月返）'!$A:$A,1,FALSE)</f>
        <v>#N/A</v>
      </c>
      <c r="J1832" s="99" t="s">
        <v>90</v>
      </c>
      <c r="K1832" s="108" t="s">
        <v>2327</v>
      </c>
      <c r="L1832" s="109"/>
      <c r="M1832" s="26" t="s">
        <v>2328</v>
      </c>
      <c r="N1832" s="28">
        <v>44809</v>
      </c>
      <c r="O1832" s="109" t="s">
        <v>461</v>
      </c>
      <c r="P1832" s="131">
        <v>3520</v>
      </c>
      <c r="Q1832" s="131">
        <v>93</v>
      </c>
      <c r="R1832" s="120">
        <f t="shared" si="45"/>
        <v>327360</v>
      </c>
      <c r="S1832" s="117">
        <v>202303</v>
      </c>
      <c r="T1832" s="121" t="s">
        <v>2403</v>
      </c>
      <c r="U1832" s="132"/>
      <c r="V1832" s="133"/>
      <c r="W1832" s="133"/>
      <c r="X1832" s="118">
        <v>44423</v>
      </c>
      <c r="Y1832" s="118">
        <v>46279</v>
      </c>
    </row>
    <row r="1833" s="9" customFormat="1" customHeight="1" spans="1:25">
      <c r="A1833" s="129" t="s">
        <v>61</v>
      </c>
      <c r="B1833" s="96" t="s">
        <v>62</v>
      </c>
      <c r="C1833" s="98" t="s">
        <v>217</v>
      </c>
      <c r="D1833" s="96" t="s">
        <v>64</v>
      </c>
      <c r="E1833" s="130" t="s">
        <v>2324</v>
      </c>
      <c r="F1833" s="129" t="s">
        <v>2325</v>
      </c>
      <c r="G1833" s="99" t="s">
        <v>88</v>
      </c>
      <c r="H1833" s="100" t="s">
        <v>2326</v>
      </c>
      <c r="I1833" s="23" t="e">
        <f>VLOOKUP(H1833,'合同综合查询数据（3月返）'!$A:$A,1,FALSE)</f>
        <v>#N/A</v>
      </c>
      <c r="J1833" s="99" t="s">
        <v>90</v>
      </c>
      <c r="K1833" s="108" t="s">
        <v>2327</v>
      </c>
      <c r="L1833" s="109"/>
      <c r="M1833" s="26" t="s">
        <v>2328</v>
      </c>
      <c r="N1833" s="28">
        <v>44811</v>
      </c>
      <c r="O1833" s="109" t="s">
        <v>461</v>
      </c>
      <c r="P1833" s="131">
        <v>3520</v>
      </c>
      <c r="Q1833" s="131">
        <v>137</v>
      </c>
      <c r="R1833" s="120">
        <f t="shared" si="45"/>
        <v>482240</v>
      </c>
      <c r="S1833" s="117">
        <v>202303</v>
      </c>
      <c r="T1833" s="121" t="s">
        <v>2404</v>
      </c>
      <c r="U1833" s="132"/>
      <c r="V1833" s="133"/>
      <c r="W1833" s="133"/>
      <c r="X1833" s="118">
        <v>44423</v>
      </c>
      <c r="Y1833" s="118">
        <v>46279</v>
      </c>
    </row>
    <row r="1834" s="9" customFormat="1" customHeight="1" spans="1:25">
      <c r="A1834" s="129" t="s">
        <v>61</v>
      </c>
      <c r="B1834" s="96" t="s">
        <v>62</v>
      </c>
      <c r="C1834" s="98" t="s">
        <v>217</v>
      </c>
      <c r="D1834" s="96" t="s">
        <v>64</v>
      </c>
      <c r="E1834" s="130" t="s">
        <v>2324</v>
      </c>
      <c r="F1834" s="129" t="s">
        <v>2325</v>
      </c>
      <c r="G1834" s="99" t="s">
        <v>88</v>
      </c>
      <c r="H1834" s="100" t="s">
        <v>2326</v>
      </c>
      <c r="I1834" s="23" t="e">
        <f>VLOOKUP(H1834,'合同综合查询数据（3月返）'!$A:$A,1,FALSE)</f>
        <v>#N/A</v>
      </c>
      <c r="J1834" s="99" t="s">
        <v>90</v>
      </c>
      <c r="K1834" s="108" t="s">
        <v>2327</v>
      </c>
      <c r="L1834" s="109"/>
      <c r="M1834" s="26" t="s">
        <v>2328</v>
      </c>
      <c r="N1834" s="28">
        <v>44818</v>
      </c>
      <c r="O1834" s="109" t="s">
        <v>461</v>
      </c>
      <c r="P1834" s="131">
        <v>3520</v>
      </c>
      <c r="Q1834" s="131">
        <v>54</v>
      </c>
      <c r="R1834" s="120">
        <f t="shared" si="45"/>
        <v>190080</v>
      </c>
      <c r="S1834" s="117">
        <v>202303</v>
      </c>
      <c r="T1834" s="121" t="s">
        <v>2405</v>
      </c>
      <c r="U1834" s="132"/>
      <c r="V1834" s="133"/>
      <c r="W1834" s="133"/>
      <c r="X1834" s="118">
        <v>44423</v>
      </c>
      <c r="Y1834" s="118">
        <v>46279</v>
      </c>
    </row>
    <row r="1835" s="9" customFormat="1" customHeight="1" spans="1:25">
      <c r="A1835" s="129" t="s">
        <v>61</v>
      </c>
      <c r="B1835" s="96" t="s">
        <v>62</v>
      </c>
      <c r="C1835" s="98" t="s">
        <v>217</v>
      </c>
      <c r="D1835" s="96" t="s">
        <v>64</v>
      </c>
      <c r="E1835" s="130" t="s">
        <v>2324</v>
      </c>
      <c r="F1835" s="129" t="s">
        <v>2325</v>
      </c>
      <c r="G1835" s="99" t="s">
        <v>88</v>
      </c>
      <c r="H1835" s="100" t="s">
        <v>2326</v>
      </c>
      <c r="I1835" s="23" t="e">
        <f>VLOOKUP(H1835,'合同综合查询数据（3月返）'!$A:$A,1,FALSE)</f>
        <v>#N/A</v>
      </c>
      <c r="J1835" s="99" t="s">
        <v>90</v>
      </c>
      <c r="K1835" s="108" t="s">
        <v>2327</v>
      </c>
      <c r="L1835" s="109"/>
      <c r="M1835" s="26" t="s">
        <v>2328</v>
      </c>
      <c r="N1835" s="28">
        <v>44820</v>
      </c>
      <c r="O1835" s="109" t="s">
        <v>461</v>
      </c>
      <c r="P1835" s="131">
        <v>3520</v>
      </c>
      <c r="Q1835" s="131">
        <v>1</v>
      </c>
      <c r="R1835" s="120">
        <f t="shared" si="45"/>
        <v>3520</v>
      </c>
      <c r="S1835" s="117">
        <v>202303</v>
      </c>
      <c r="T1835" s="121" t="s">
        <v>2406</v>
      </c>
      <c r="U1835" s="132"/>
      <c r="V1835" s="133"/>
      <c r="W1835" s="133"/>
      <c r="X1835" s="118">
        <v>44423</v>
      </c>
      <c r="Y1835" s="118">
        <v>46279</v>
      </c>
    </row>
    <row r="1836" s="9" customFormat="1" customHeight="1" spans="1:25">
      <c r="A1836" s="129" t="s">
        <v>61</v>
      </c>
      <c r="B1836" s="96" t="s">
        <v>62</v>
      </c>
      <c r="C1836" s="98" t="s">
        <v>217</v>
      </c>
      <c r="D1836" s="96" t="s">
        <v>64</v>
      </c>
      <c r="E1836" s="130" t="s">
        <v>2324</v>
      </c>
      <c r="F1836" s="129" t="s">
        <v>2325</v>
      </c>
      <c r="G1836" s="99" t="s">
        <v>88</v>
      </c>
      <c r="H1836" s="100" t="s">
        <v>2326</v>
      </c>
      <c r="I1836" s="23" t="e">
        <f>VLOOKUP(H1836,'合同综合查询数据（3月返）'!$A:$A,1,FALSE)</f>
        <v>#N/A</v>
      </c>
      <c r="J1836" s="99" t="s">
        <v>90</v>
      </c>
      <c r="K1836" s="108" t="s">
        <v>2327</v>
      </c>
      <c r="L1836" s="109"/>
      <c r="M1836" s="26" t="s">
        <v>2328</v>
      </c>
      <c r="N1836" s="28">
        <v>44825</v>
      </c>
      <c r="O1836" s="109" t="s">
        <v>461</v>
      </c>
      <c r="P1836" s="131">
        <v>3520</v>
      </c>
      <c r="Q1836" s="131">
        <v>2</v>
      </c>
      <c r="R1836" s="120">
        <f t="shared" si="45"/>
        <v>7040</v>
      </c>
      <c r="S1836" s="117">
        <v>202303</v>
      </c>
      <c r="T1836" s="121" t="s">
        <v>2407</v>
      </c>
      <c r="U1836" s="132"/>
      <c r="V1836" s="133"/>
      <c r="W1836" s="133"/>
      <c r="X1836" s="118">
        <v>44423</v>
      </c>
      <c r="Y1836" s="118">
        <v>46279</v>
      </c>
    </row>
    <row r="1837" s="9" customFormat="1" customHeight="1" spans="1:25">
      <c r="A1837" s="129" t="s">
        <v>61</v>
      </c>
      <c r="B1837" s="96" t="s">
        <v>62</v>
      </c>
      <c r="C1837" s="98" t="s">
        <v>217</v>
      </c>
      <c r="D1837" s="96" t="s">
        <v>64</v>
      </c>
      <c r="E1837" s="130" t="s">
        <v>2324</v>
      </c>
      <c r="F1837" s="129" t="s">
        <v>2325</v>
      </c>
      <c r="G1837" s="99" t="s">
        <v>88</v>
      </c>
      <c r="H1837" s="100" t="s">
        <v>2326</v>
      </c>
      <c r="I1837" s="23" t="e">
        <f>VLOOKUP(H1837,'合同综合查询数据（3月返）'!$A:$A,1,FALSE)</f>
        <v>#N/A</v>
      </c>
      <c r="J1837" s="99" t="s">
        <v>90</v>
      </c>
      <c r="K1837" s="108" t="s">
        <v>2327</v>
      </c>
      <c r="L1837" s="109"/>
      <c r="M1837" s="26" t="s">
        <v>2328</v>
      </c>
      <c r="N1837" s="28">
        <v>44826</v>
      </c>
      <c r="O1837" s="109" t="s">
        <v>461</v>
      </c>
      <c r="P1837" s="131">
        <v>3520</v>
      </c>
      <c r="Q1837" s="131">
        <v>2</v>
      </c>
      <c r="R1837" s="120">
        <f t="shared" si="45"/>
        <v>7040</v>
      </c>
      <c r="S1837" s="117">
        <v>202303</v>
      </c>
      <c r="T1837" s="121" t="s">
        <v>2408</v>
      </c>
      <c r="U1837" s="132"/>
      <c r="V1837" s="133"/>
      <c r="W1837" s="133"/>
      <c r="X1837" s="118">
        <v>44423</v>
      </c>
      <c r="Y1837" s="118">
        <v>46279</v>
      </c>
    </row>
    <row r="1838" s="9" customFormat="1" customHeight="1" spans="1:25">
      <c r="A1838" s="129" t="s">
        <v>61</v>
      </c>
      <c r="B1838" s="96" t="s">
        <v>62</v>
      </c>
      <c r="C1838" s="98" t="s">
        <v>217</v>
      </c>
      <c r="D1838" s="96" t="s">
        <v>64</v>
      </c>
      <c r="E1838" s="130" t="s">
        <v>2324</v>
      </c>
      <c r="F1838" s="129" t="s">
        <v>2325</v>
      </c>
      <c r="G1838" s="99" t="s">
        <v>88</v>
      </c>
      <c r="H1838" s="100" t="s">
        <v>2326</v>
      </c>
      <c r="I1838" s="23" t="e">
        <f>VLOOKUP(H1838,'合同综合查询数据（3月返）'!$A:$A,1,FALSE)</f>
        <v>#N/A</v>
      </c>
      <c r="J1838" s="99" t="s">
        <v>90</v>
      </c>
      <c r="K1838" s="108" t="s">
        <v>2327</v>
      </c>
      <c r="L1838" s="109"/>
      <c r="M1838" s="26" t="s">
        <v>2328</v>
      </c>
      <c r="N1838" s="28">
        <v>44827</v>
      </c>
      <c r="O1838" s="109" t="s">
        <v>461</v>
      </c>
      <c r="P1838" s="131">
        <v>3520</v>
      </c>
      <c r="Q1838" s="131">
        <v>4</v>
      </c>
      <c r="R1838" s="120">
        <f t="shared" si="45"/>
        <v>14080</v>
      </c>
      <c r="S1838" s="117">
        <v>202303</v>
      </c>
      <c r="T1838" s="121" t="s">
        <v>2409</v>
      </c>
      <c r="U1838" s="132"/>
      <c r="V1838" s="133"/>
      <c r="W1838" s="133"/>
      <c r="X1838" s="118">
        <v>44423</v>
      </c>
      <c r="Y1838" s="118">
        <v>46279</v>
      </c>
    </row>
    <row r="1839" s="9" customFormat="1" customHeight="1" spans="1:25">
      <c r="A1839" s="129" t="s">
        <v>61</v>
      </c>
      <c r="B1839" s="96" t="s">
        <v>62</v>
      </c>
      <c r="C1839" s="98" t="s">
        <v>217</v>
      </c>
      <c r="D1839" s="96" t="s">
        <v>64</v>
      </c>
      <c r="E1839" s="130" t="s">
        <v>2324</v>
      </c>
      <c r="F1839" s="129" t="s">
        <v>2325</v>
      </c>
      <c r="G1839" s="99" t="s">
        <v>88</v>
      </c>
      <c r="H1839" s="100" t="s">
        <v>2326</v>
      </c>
      <c r="I1839" s="23" t="e">
        <f>VLOOKUP(H1839,'合同综合查询数据（3月返）'!$A:$A,1,FALSE)</f>
        <v>#N/A</v>
      </c>
      <c r="J1839" s="99" t="s">
        <v>90</v>
      </c>
      <c r="K1839" s="108" t="s">
        <v>2327</v>
      </c>
      <c r="L1839" s="109"/>
      <c r="M1839" s="26" t="s">
        <v>2328</v>
      </c>
      <c r="N1839" s="28">
        <v>44859</v>
      </c>
      <c r="O1839" s="109" t="s">
        <v>461</v>
      </c>
      <c r="P1839" s="131">
        <v>3520</v>
      </c>
      <c r="Q1839" s="131">
        <v>-4</v>
      </c>
      <c r="R1839" s="120">
        <f t="shared" si="45"/>
        <v>-14080</v>
      </c>
      <c r="S1839" s="117">
        <v>202303</v>
      </c>
      <c r="T1839" s="121" t="s">
        <v>2410</v>
      </c>
      <c r="U1839" s="132"/>
      <c r="V1839" s="133"/>
      <c r="W1839" s="133"/>
      <c r="X1839" s="118">
        <v>44423</v>
      </c>
      <c r="Y1839" s="118">
        <v>46279</v>
      </c>
    </row>
    <row r="1840" s="9" customFormat="1" customHeight="1" spans="1:25">
      <c r="A1840" s="129" t="s">
        <v>61</v>
      </c>
      <c r="B1840" s="96" t="s">
        <v>62</v>
      </c>
      <c r="C1840" s="98" t="s">
        <v>217</v>
      </c>
      <c r="D1840" s="96" t="s">
        <v>64</v>
      </c>
      <c r="E1840" s="130" t="s">
        <v>2324</v>
      </c>
      <c r="F1840" s="129" t="s">
        <v>2325</v>
      </c>
      <c r="G1840" s="99" t="s">
        <v>88</v>
      </c>
      <c r="H1840" s="100" t="s">
        <v>2326</v>
      </c>
      <c r="I1840" s="23" t="e">
        <f>VLOOKUP(H1840,'合同综合查询数据（3月返）'!$A:$A,1,FALSE)</f>
        <v>#N/A</v>
      </c>
      <c r="J1840" s="99" t="s">
        <v>90</v>
      </c>
      <c r="K1840" s="108" t="s">
        <v>2327</v>
      </c>
      <c r="L1840" s="109"/>
      <c r="M1840" s="26" t="s">
        <v>2328</v>
      </c>
      <c r="N1840" s="28">
        <v>44879</v>
      </c>
      <c r="O1840" s="109" t="s">
        <v>461</v>
      </c>
      <c r="P1840" s="131">
        <v>3520</v>
      </c>
      <c r="Q1840" s="131">
        <v>14</v>
      </c>
      <c r="R1840" s="120">
        <f t="shared" si="45"/>
        <v>49280</v>
      </c>
      <c r="S1840" s="117">
        <v>202303</v>
      </c>
      <c r="T1840" s="121" t="s">
        <v>2411</v>
      </c>
      <c r="U1840" s="132"/>
      <c r="V1840" s="133"/>
      <c r="W1840" s="133"/>
      <c r="X1840" s="118">
        <v>44423</v>
      </c>
      <c r="Y1840" s="118">
        <v>46279</v>
      </c>
    </row>
    <row r="1841" s="9" customFormat="1" customHeight="1" spans="1:25">
      <c r="A1841" s="129" t="s">
        <v>61</v>
      </c>
      <c r="B1841" s="96" t="s">
        <v>62</v>
      </c>
      <c r="C1841" s="98" t="s">
        <v>217</v>
      </c>
      <c r="D1841" s="96" t="s">
        <v>64</v>
      </c>
      <c r="E1841" s="130" t="s">
        <v>2324</v>
      </c>
      <c r="F1841" s="129" t="s">
        <v>2325</v>
      </c>
      <c r="G1841" s="99" t="s">
        <v>88</v>
      </c>
      <c r="H1841" s="100" t="s">
        <v>2326</v>
      </c>
      <c r="I1841" s="23" t="e">
        <f>VLOOKUP(H1841,'合同综合查询数据（3月返）'!$A:$A,1,FALSE)</f>
        <v>#N/A</v>
      </c>
      <c r="J1841" s="99" t="s">
        <v>126</v>
      </c>
      <c r="K1841" s="108" t="s">
        <v>2327</v>
      </c>
      <c r="L1841" s="109" t="s">
        <v>2351</v>
      </c>
      <c r="M1841" s="26" t="s">
        <v>2352</v>
      </c>
      <c r="N1841" s="28">
        <v>44868</v>
      </c>
      <c r="O1841" s="109" t="s">
        <v>461</v>
      </c>
      <c r="P1841" s="131">
        <v>3520</v>
      </c>
      <c r="Q1841" s="131">
        <v>-19</v>
      </c>
      <c r="R1841" s="120">
        <f t="shared" si="45"/>
        <v>-66880</v>
      </c>
      <c r="S1841" s="117">
        <v>202303</v>
      </c>
      <c r="T1841" s="121" t="s">
        <v>2412</v>
      </c>
      <c r="U1841" s="132"/>
      <c r="V1841" s="133"/>
      <c r="W1841" s="133"/>
      <c r="X1841" s="118">
        <v>44423</v>
      </c>
      <c r="Y1841" s="118">
        <v>46279</v>
      </c>
    </row>
    <row r="1842" s="9" customFormat="1" customHeight="1" spans="1:25">
      <c r="A1842" s="129" t="s">
        <v>61</v>
      </c>
      <c r="B1842" s="96" t="s">
        <v>62</v>
      </c>
      <c r="C1842" s="98" t="s">
        <v>217</v>
      </c>
      <c r="D1842" s="96" t="s">
        <v>64</v>
      </c>
      <c r="E1842" s="130" t="s">
        <v>2324</v>
      </c>
      <c r="F1842" s="129" t="s">
        <v>2325</v>
      </c>
      <c r="G1842" s="99" t="s">
        <v>88</v>
      </c>
      <c r="H1842" s="100" t="s">
        <v>2326</v>
      </c>
      <c r="I1842" s="23" t="e">
        <f>VLOOKUP(H1842,'合同综合查询数据（3月返）'!$A:$A,1,FALSE)</f>
        <v>#N/A</v>
      </c>
      <c r="J1842" s="99" t="s">
        <v>90</v>
      </c>
      <c r="K1842" s="108" t="s">
        <v>2327</v>
      </c>
      <c r="L1842" s="109"/>
      <c r="M1842" s="26" t="s">
        <v>2328</v>
      </c>
      <c r="N1842" s="28">
        <v>44890</v>
      </c>
      <c r="O1842" s="109" t="s">
        <v>461</v>
      </c>
      <c r="P1842" s="131">
        <v>3520</v>
      </c>
      <c r="Q1842" s="131">
        <v>3</v>
      </c>
      <c r="R1842" s="120">
        <f t="shared" si="45"/>
        <v>10560</v>
      </c>
      <c r="S1842" s="117">
        <v>202303</v>
      </c>
      <c r="T1842" s="121" t="s">
        <v>2413</v>
      </c>
      <c r="U1842" s="132"/>
      <c r="V1842" s="133"/>
      <c r="W1842" s="133"/>
      <c r="X1842" s="118">
        <v>44423</v>
      </c>
      <c r="Y1842" s="118">
        <v>46279</v>
      </c>
    </row>
    <row r="1843" s="9" customFormat="1" customHeight="1" spans="1:25">
      <c r="A1843" s="129" t="s">
        <v>61</v>
      </c>
      <c r="B1843" s="96" t="s">
        <v>62</v>
      </c>
      <c r="C1843" s="98" t="s">
        <v>217</v>
      </c>
      <c r="D1843" s="96" t="s">
        <v>64</v>
      </c>
      <c r="E1843" s="130" t="s">
        <v>2324</v>
      </c>
      <c r="F1843" s="129" t="s">
        <v>2325</v>
      </c>
      <c r="G1843" s="99" t="s">
        <v>88</v>
      </c>
      <c r="H1843" s="100" t="s">
        <v>2326</v>
      </c>
      <c r="I1843" s="23" t="e">
        <f>VLOOKUP(H1843,'合同综合查询数据（3月返）'!$A:$A,1,FALSE)</f>
        <v>#N/A</v>
      </c>
      <c r="J1843" s="99" t="s">
        <v>90</v>
      </c>
      <c r="K1843" s="108" t="s">
        <v>2327</v>
      </c>
      <c r="L1843" s="109"/>
      <c r="M1843" s="26" t="s">
        <v>2328</v>
      </c>
      <c r="N1843" s="28">
        <v>44897</v>
      </c>
      <c r="O1843" s="109" t="s">
        <v>461</v>
      </c>
      <c r="P1843" s="131">
        <v>3520</v>
      </c>
      <c r="Q1843" s="131">
        <v>2</v>
      </c>
      <c r="R1843" s="120">
        <f t="shared" si="45"/>
        <v>7040</v>
      </c>
      <c r="S1843" s="117">
        <v>202303</v>
      </c>
      <c r="T1843" s="121" t="s">
        <v>2414</v>
      </c>
      <c r="U1843" s="132"/>
      <c r="V1843" s="133"/>
      <c r="W1843" s="133"/>
      <c r="X1843" s="118">
        <v>44423</v>
      </c>
      <c r="Y1843" s="118">
        <v>46279</v>
      </c>
    </row>
    <row r="1844" s="9" customFormat="1" customHeight="1" spans="1:25">
      <c r="A1844" s="129" t="s">
        <v>61</v>
      </c>
      <c r="B1844" s="96" t="s">
        <v>62</v>
      </c>
      <c r="C1844" s="98" t="s">
        <v>217</v>
      </c>
      <c r="D1844" s="96" t="s">
        <v>64</v>
      </c>
      <c r="E1844" s="130" t="s">
        <v>2324</v>
      </c>
      <c r="F1844" s="129" t="s">
        <v>2325</v>
      </c>
      <c r="G1844" s="99" t="s">
        <v>88</v>
      </c>
      <c r="H1844" s="100" t="s">
        <v>2326</v>
      </c>
      <c r="I1844" s="23" t="e">
        <f>VLOOKUP(H1844,'合同综合查询数据（3月返）'!$A:$A,1,FALSE)</f>
        <v>#N/A</v>
      </c>
      <c r="J1844" s="99" t="s">
        <v>90</v>
      </c>
      <c r="K1844" s="108" t="s">
        <v>2327</v>
      </c>
      <c r="L1844" s="109"/>
      <c r="M1844" s="26" t="s">
        <v>2347</v>
      </c>
      <c r="N1844" s="28">
        <v>44904</v>
      </c>
      <c r="O1844" s="109" t="s">
        <v>461</v>
      </c>
      <c r="P1844" s="131">
        <v>3520</v>
      </c>
      <c r="Q1844" s="131">
        <v>1</v>
      </c>
      <c r="R1844" s="120">
        <f t="shared" si="45"/>
        <v>3520</v>
      </c>
      <c r="S1844" s="117">
        <v>202303</v>
      </c>
      <c r="T1844" s="121" t="s">
        <v>2415</v>
      </c>
      <c r="U1844" s="132"/>
      <c r="V1844" s="133"/>
      <c r="W1844" s="133"/>
      <c r="X1844" s="118">
        <v>44423</v>
      </c>
      <c r="Y1844" s="118">
        <v>46279</v>
      </c>
    </row>
    <row r="1845" s="9" customFormat="1" customHeight="1" spans="1:25">
      <c r="A1845" s="129" t="s">
        <v>61</v>
      </c>
      <c r="B1845" s="96" t="s">
        <v>62</v>
      </c>
      <c r="C1845" s="98" t="s">
        <v>217</v>
      </c>
      <c r="D1845" s="96" t="s">
        <v>64</v>
      </c>
      <c r="E1845" s="130" t="s">
        <v>2324</v>
      </c>
      <c r="F1845" s="129" t="s">
        <v>2325</v>
      </c>
      <c r="G1845" s="99" t="s">
        <v>88</v>
      </c>
      <c r="H1845" s="100" t="s">
        <v>2326</v>
      </c>
      <c r="I1845" s="23" t="e">
        <f>VLOOKUP(H1845,'合同综合查询数据（3月返）'!$A:$A,1,FALSE)</f>
        <v>#N/A</v>
      </c>
      <c r="J1845" s="99" t="s">
        <v>90</v>
      </c>
      <c r="K1845" s="108" t="s">
        <v>2327</v>
      </c>
      <c r="L1845" s="109"/>
      <c r="M1845" s="26" t="s">
        <v>2347</v>
      </c>
      <c r="N1845" s="28">
        <v>44909</v>
      </c>
      <c r="O1845" s="109" t="s">
        <v>461</v>
      </c>
      <c r="P1845" s="131">
        <v>3520</v>
      </c>
      <c r="Q1845" s="131">
        <v>-1</v>
      </c>
      <c r="R1845" s="120">
        <f t="shared" si="45"/>
        <v>-3520</v>
      </c>
      <c r="S1845" s="117">
        <v>202303</v>
      </c>
      <c r="T1845" s="121" t="s">
        <v>2415</v>
      </c>
      <c r="U1845" s="132"/>
      <c r="V1845" s="133"/>
      <c r="W1845" s="133"/>
      <c r="X1845" s="118">
        <v>44423</v>
      </c>
      <c r="Y1845" s="118">
        <v>46279</v>
      </c>
    </row>
    <row r="1846" s="9" customFormat="1" customHeight="1" spans="1:25">
      <c r="A1846" s="129" t="s">
        <v>61</v>
      </c>
      <c r="B1846" s="96" t="s">
        <v>62</v>
      </c>
      <c r="C1846" s="98" t="s">
        <v>217</v>
      </c>
      <c r="D1846" s="96" t="s">
        <v>64</v>
      </c>
      <c r="E1846" s="130" t="s">
        <v>2324</v>
      </c>
      <c r="F1846" s="129" t="s">
        <v>2325</v>
      </c>
      <c r="G1846" s="99" t="s">
        <v>88</v>
      </c>
      <c r="H1846" s="100" t="s">
        <v>2326</v>
      </c>
      <c r="I1846" s="23" t="e">
        <f>VLOOKUP(H1846,'合同综合查询数据（3月返）'!$A:$A,1,FALSE)</f>
        <v>#N/A</v>
      </c>
      <c r="J1846" s="99" t="s">
        <v>90</v>
      </c>
      <c r="K1846" s="108" t="s">
        <v>2327</v>
      </c>
      <c r="L1846" s="109"/>
      <c r="M1846" s="26" t="s">
        <v>2328</v>
      </c>
      <c r="N1846" s="28">
        <v>44986</v>
      </c>
      <c r="O1846" s="109" t="s">
        <v>461</v>
      </c>
      <c r="P1846" s="131">
        <v>3520</v>
      </c>
      <c r="Q1846" s="131">
        <v>-6</v>
      </c>
      <c r="R1846" s="120">
        <f>ROUND(P1846*Q1846*30/31,2)</f>
        <v>-20438.71</v>
      </c>
      <c r="S1846" s="117">
        <v>202303</v>
      </c>
      <c r="T1846" s="245" t="s">
        <v>2416</v>
      </c>
      <c r="U1846" s="132"/>
      <c r="V1846" s="133"/>
      <c r="W1846" s="133"/>
      <c r="X1846" s="118">
        <v>44423</v>
      </c>
      <c r="Y1846" s="118">
        <v>46279</v>
      </c>
    </row>
    <row r="1847" s="9" customFormat="1" customHeight="1" spans="1:25">
      <c r="A1847" s="129" t="s">
        <v>61</v>
      </c>
      <c r="B1847" s="96" t="s">
        <v>62</v>
      </c>
      <c r="C1847" s="98" t="s">
        <v>217</v>
      </c>
      <c r="D1847" s="96" t="s">
        <v>64</v>
      </c>
      <c r="E1847" s="130" t="s">
        <v>2324</v>
      </c>
      <c r="F1847" s="129" t="s">
        <v>2325</v>
      </c>
      <c r="G1847" s="99" t="s">
        <v>88</v>
      </c>
      <c r="H1847" s="100" t="s">
        <v>2326</v>
      </c>
      <c r="I1847" s="23" t="e">
        <f>VLOOKUP(H1847,'合同综合查询数据（3月返）'!$A:$A,1,FALSE)</f>
        <v>#N/A</v>
      </c>
      <c r="J1847" s="99" t="s">
        <v>90</v>
      </c>
      <c r="K1847" s="108" t="s">
        <v>2327</v>
      </c>
      <c r="L1847" s="109"/>
      <c r="M1847" s="26" t="s">
        <v>2328</v>
      </c>
      <c r="N1847" s="28">
        <v>45012</v>
      </c>
      <c r="O1847" s="109" t="s">
        <v>461</v>
      </c>
      <c r="P1847" s="131">
        <v>3520</v>
      </c>
      <c r="Q1847" s="131">
        <v>-12</v>
      </c>
      <c r="R1847" s="120">
        <f>ROUND(P1847*Q1847*4/31,2)</f>
        <v>-5450.32</v>
      </c>
      <c r="S1847" s="117">
        <v>202303</v>
      </c>
      <c r="T1847" s="245" t="s">
        <v>2417</v>
      </c>
      <c r="U1847" s="132"/>
      <c r="V1847" s="133"/>
      <c r="W1847" s="133"/>
      <c r="X1847" s="118">
        <v>44423</v>
      </c>
      <c r="Y1847" s="118">
        <v>46279</v>
      </c>
    </row>
    <row r="1848" s="9" customFormat="1" customHeight="1" spans="1:25">
      <c r="A1848" s="129" t="s">
        <v>61</v>
      </c>
      <c r="B1848" s="96" t="s">
        <v>62</v>
      </c>
      <c r="C1848" s="98" t="s">
        <v>217</v>
      </c>
      <c r="D1848" s="96" t="s">
        <v>64</v>
      </c>
      <c r="E1848" s="130" t="s">
        <v>2324</v>
      </c>
      <c r="F1848" s="129" t="s">
        <v>2325</v>
      </c>
      <c r="G1848" s="99" t="s">
        <v>88</v>
      </c>
      <c r="H1848" s="100" t="s">
        <v>2326</v>
      </c>
      <c r="I1848" s="23" t="e">
        <f>VLOOKUP(H1848,'合同综合查询数据（3月返）'!$A:$A,1,FALSE)</f>
        <v>#N/A</v>
      </c>
      <c r="J1848" s="99" t="s">
        <v>90</v>
      </c>
      <c r="K1848" s="108" t="s">
        <v>2327</v>
      </c>
      <c r="L1848" s="109"/>
      <c r="M1848" s="26" t="s">
        <v>2347</v>
      </c>
      <c r="N1848" s="28">
        <v>44998</v>
      </c>
      <c r="O1848" s="109" t="s">
        <v>461</v>
      </c>
      <c r="P1848" s="131">
        <v>3520</v>
      </c>
      <c r="Q1848" s="131">
        <v>2</v>
      </c>
      <c r="R1848" s="120">
        <f>ROUND(P1848*Q1848*19/31,2)</f>
        <v>4314.84</v>
      </c>
      <c r="S1848" s="117">
        <v>202303</v>
      </c>
      <c r="T1848" s="245" t="s">
        <v>2418</v>
      </c>
      <c r="U1848" s="132"/>
      <c r="V1848" s="133"/>
      <c r="W1848" s="133"/>
      <c r="X1848" s="118">
        <v>44423</v>
      </c>
      <c r="Y1848" s="118">
        <v>46279</v>
      </c>
    </row>
    <row r="1849" s="84" customFormat="1" customHeight="1" spans="1:25">
      <c r="A1849" s="129" t="s">
        <v>61</v>
      </c>
      <c r="B1849" s="96" t="s">
        <v>62</v>
      </c>
      <c r="C1849" s="98" t="s">
        <v>217</v>
      </c>
      <c r="D1849" s="96" t="s">
        <v>64</v>
      </c>
      <c r="E1849" s="130" t="s">
        <v>2324</v>
      </c>
      <c r="F1849" s="129" t="s">
        <v>2325</v>
      </c>
      <c r="G1849" s="99" t="s">
        <v>88</v>
      </c>
      <c r="H1849" s="100" t="s">
        <v>2326</v>
      </c>
      <c r="I1849" s="23" t="e">
        <f>VLOOKUP(H1849,'合同综合查询数据（3月返）'!$A:$A,1,FALSE)</f>
        <v>#N/A</v>
      </c>
      <c r="J1849" s="99" t="s">
        <v>90</v>
      </c>
      <c r="K1849" s="108" t="s">
        <v>2327</v>
      </c>
      <c r="L1849" s="109"/>
      <c r="M1849" s="26" t="s">
        <v>2328</v>
      </c>
      <c r="N1849" s="28">
        <v>45007</v>
      </c>
      <c r="O1849" s="109" t="s">
        <v>461</v>
      </c>
      <c r="P1849" s="131">
        <v>3520</v>
      </c>
      <c r="Q1849" s="131">
        <v>2</v>
      </c>
      <c r="R1849" s="120">
        <f>ROUND(P1849*Q1849*10/31,2)</f>
        <v>2270.97</v>
      </c>
      <c r="S1849" s="117">
        <v>202303</v>
      </c>
      <c r="T1849" s="245" t="s">
        <v>2419</v>
      </c>
      <c r="U1849" s="132"/>
      <c r="V1849" s="133"/>
      <c r="W1849" s="133"/>
      <c r="X1849" s="118">
        <v>44423</v>
      </c>
      <c r="Y1849" s="118">
        <v>46279</v>
      </c>
    </row>
    <row r="1850" s="9" customFormat="1" customHeight="1" spans="1:25">
      <c r="A1850" s="129" t="s">
        <v>61</v>
      </c>
      <c r="B1850" s="96" t="s">
        <v>62</v>
      </c>
      <c r="C1850" s="98" t="s">
        <v>217</v>
      </c>
      <c r="D1850" s="96" t="s">
        <v>64</v>
      </c>
      <c r="E1850" s="130" t="s">
        <v>2324</v>
      </c>
      <c r="F1850" s="129" t="s">
        <v>2325</v>
      </c>
      <c r="G1850" s="99" t="s">
        <v>88</v>
      </c>
      <c r="H1850" s="100" t="s">
        <v>2326</v>
      </c>
      <c r="I1850" s="23" t="e">
        <f>VLOOKUP(H1850,'合同综合查询数据（3月返）'!$A:$A,1,FALSE)</f>
        <v>#N/A</v>
      </c>
      <c r="J1850" s="99" t="s">
        <v>312</v>
      </c>
      <c r="K1850" s="108" t="s">
        <v>2327</v>
      </c>
      <c r="L1850" s="109"/>
      <c r="M1850" s="26" t="s">
        <v>2328</v>
      </c>
      <c r="N1850" s="28"/>
      <c r="O1850" s="109"/>
      <c r="P1850" s="131">
        <v>0.68</v>
      </c>
      <c r="Q1850" s="131">
        <f>R1850/0.68</f>
        <v>5882352.94117647</v>
      </c>
      <c r="R1850" s="120">
        <v>4000000</v>
      </c>
      <c r="S1850" s="117">
        <v>202303</v>
      </c>
      <c r="T1850" s="121" t="s">
        <v>2420</v>
      </c>
      <c r="U1850" s="132"/>
      <c r="V1850" s="133"/>
      <c r="W1850" s="133"/>
      <c r="X1850" s="118">
        <v>44423</v>
      </c>
      <c r="Y1850" s="118">
        <v>46279</v>
      </c>
    </row>
    <row r="1851" s="10" customFormat="1" customHeight="1" spans="1:25">
      <c r="A1851" s="135" t="s">
        <v>61</v>
      </c>
      <c r="B1851" s="60" t="s">
        <v>62</v>
      </c>
      <c r="C1851" s="61" t="s">
        <v>217</v>
      </c>
      <c r="D1851" s="60" t="s">
        <v>64</v>
      </c>
      <c r="E1851" s="136" t="s">
        <v>2324</v>
      </c>
      <c r="F1851" s="135" t="s">
        <v>2325</v>
      </c>
      <c r="G1851" s="66" t="s">
        <v>88</v>
      </c>
      <c r="H1851" s="137" t="s">
        <v>2421</v>
      </c>
      <c r="I1851" s="47" t="e">
        <f>VLOOKUP(H1851,'合同综合查询数据（3月返）'!$A:$A,1,FALSE)</f>
        <v>#N/A</v>
      </c>
      <c r="J1851" s="66" t="s">
        <v>90</v>
      </c>
      <c r="K1851" s="139" t="s">
        <v>2422</v>
      </c>
      <c r="L1851" s="138"/>
      <c r="M1851" s="50" t="s">
        <v>2328</v>
      </c>
      <c r="N1851" s="51">
        <v>44809</v>
      </c>
      <c r="O1851" s="138" t="s">
        <v>457</v>
      </c>
      <c r="P1851" s="140">
        <v>1760</v>
      </c>
      <c r="Q1851" s="140">
        <v>3</v>
      </c>
      <c r="R1851" s="68">
        <f t="shared" ref="R1851:R1866" si="46">ROUND(P1851*Q1851,2)</f>
        <v>5280</v>
      </c>
      <c r="S1851" s="70">
        <v>202303</v>
      </c>
      <c r="T1851" s="72" t="s">
        <v>2423</v>
      </c>
      <c r="U1851" s="142"/>
      <c r="V1851" s="143"/>
      <c r="W1851" s="143"/>
      <c r="X1851" s="73"/>
      <c r="Y1851" s="73"/>
    </row>
    <row r="1852" s="10" customFormat="1" customHeight="1" spans="1:25">
      <c r="A1852" s="135" t="s">
        <v>61</v>
      </c>
      <c r="B1852" s="60" t="s">
        <v>62</v>
      </c>
      <c r="C1852" s="61" t="s">
        <v>217</v>
      </c>
      <c r="D1852" s="60" t="s">
        <v>64</v>
      </c>
      <c r="E1852" s="136" t="s">
        <v>2324</v>
      </c>
      <c r="F1852" s="135" t="s">
        <v>2325</v>
      </c>
      <c r="G1852" s="66" t="s">
        <v>88</v>
      </c>
      <c r="H1852" s="137" t="s">
        <v>2421</v>
      </c>
      <c r="I1852" s="47" t="e">
        <f>VLOOKUP(H1852,'合同综合查询数据（3月返）'!$A:$A,1,FALSE)</f>
        <v>#N/A</v>
      </c>
      <c r="J1852" s="66" t="s">
        <v>90</v>
      </c>
      <c r="K1852" s="139" t="s">
        <v>2422</v>
      </c>
      <c r="L1852" s="138"/>
      <c r="M1852" s="50" t="s">
        <v>2328</v>
      </c>
      <c r="N1852" s="51">
        <v>44809</v>
      </c>
      <c r="O1852" s="138" t="s">
        <v>461</v>
      </c>
      <c r="P1852" s="140">
        <v>3520</v>
      </c>
      <c r="Q1852" s="140">
        <v>2</v>
      </c>
      <c r="R1852" s="68">
        <f t="shared" si="46"/>
        <v>7040</v>
      </c>
      <c r="S1852" s="70">
        <v>202303</v>
      </c>
      <c r="T1852" s="72" t="s">
        <v>2424</v>
      </c>
      <c r="U1852" s="142"/>
      <c r="V1852" s="143"/>
      <c r="W1852" s="143"/>
      <c r="X1852" s="73"/>
      <c r="Y1852" s="73"/>
    </row>
    <row r="1853" s="10" customFormat="1" customHeight="1" spans="1:25">
      <c r="A1853" s="135" t="s">
        <v>61</v>
      </c>
      <c r="B1853" s="60" t="s">
        <v>62</v>
      </c>
      <c r="C1853" s="61" t="s">
        <v>217</v>
      </c>
      <c r="D1853" s="60" t="s">
        <v>64</v>
      </c>
      <c r="E1853" s="136" t="s">
        <v>2324</v>
      </c>
      <c r="F1853" s="135" t="s">
        <v>2325</v>
      </c>
      <c r="G1853" s="66" t="s">
        <v>88</v>
      </c>
      <c r="H1853" s="137" t="s">
        <v>2421</v>
      </c>
      <c r="I1853" s="47" t="e">
        <f>VLOOKUP(H1853,'合同综合查询数据（3月返）'!$A:$A,1,FALSE)</f>
        <v>#N/A</v>
      </c>
      <c r="J1853" s="66" t="s">
        <v>90</v>
      </c>
      <c r="K1853" s="139" t="s">
        <v>2422</v>
      </c>
      <c r="L1853" s="138"/>
      <c r="M1853" s="50" t="s">
        <v>2328</v>
      </c>
      <c r="N1853" s="51">
        <v>44809</v>
      </c>
      <c r="O1853" s="138" t="s">
        <v>461</v>
      </c>
      <c r="P1853" s="140">
        <v>3520</v>
      </c>
      <c r="Q1853" s="140">
        <v>8</v>
      </c>
      <c r="R1853" s="68">
        <f t="shared" si="46"/>
        <v>28160</v>
      </c>
      <c r="S1853" s="70">
        <v>202303</v>
      </c>
      <c r="T1853" s="72" t="s">
        <v>2425</v>
      </c>
      <c r="U1853" s="142"/>
      <c r="V1853" s="143"/>
      <c r="W1853" s="143"/>
      <c r="X1853" s="73"/>
      <c r="Y1853" s="73"/>
    </row>
    <row r="1854" s="10" customFormat="1" customHeight="1" spans="1:25">
      <c r="A1854" s="135" t="s">
        <v>61</v>
      </c>
      <c r="B1854" s="60" t="s">
        <v>62</v>
      </c>
      <c r="C1854" s="61" t="s">
        <v>217</v>
      </c>
      <c r="D1854" s="60" t="s">
        <v>64</v>
      </c>
      <c r="E1854" s="136" t="s">
        <v>2324</v>
      </c>
      <c r="F1854" s="135" t="s">
        <v>2325</v>
      </c>
      <c r="G1854" s="66" t="s">
        <v>88</v>
      </c>
      <c r="H1854" s="137" t="s">
        <v>2421</v>
      </c>
      <c r="I1854" s="47" t="e">
        <f>VLOOKUP(H1854,'合同综合查询数据（3月返）'!$A:$A,1,FALSE)</f>
        <v>#N/A</v>
      </c>
      <c r="J1854" s="66" t="s">
        <v>90</v>
      </c>
      <c r="K1854" s="139" t="s">
        <v>2422</v>
      </c>
      <c r="L1854" s="138"/>
      <c r="M1854" s="50" t="s">
        <v>2328</v>
      </c>
      <c r="N1854" s="51">
        <v>44813</v>
      </c>
      <c r="O1854" s="138" t="s">
        <v>461</v>
      </c>
      <c r="P1854" s="140">
        <v>3520</v>
      </c>
      <c r="Q1854" s="140">
        <v>47</v>
      </c>
      <c r="R1854" s="68">
        <f t="shared" si="46"/>
        <v>165440</v>
      </c>
      <c r="S1854" s="70">
        <v>202303</v>
      </c>
      <c r="T1854" s="72" t="s">
        <v>2426</v>
      </c>
      <c r="U1854" s="142"/>
      <c r="V1854" s="143"/>
      <c r="W1854" s="143"/>
      <c r="X1854" s="73"/>
      <c r="Y1854" s="73"/>
    </row>
    <row r="1855" s="10" customFormat="1" customHeight="1" spans="1:25">
      <c r="A1855" s="135" t="s">
        <v>61</v>
      </c>
      <c r="B1855" s="60" t="s">
        <v>62</v>
      </c>
      <c r="C1855" s="61" t="s">
        <v>217</v>
      </c>
      <c r="D1855" s="60" t="s">
        <v>64</v>
      </c>
      <c r="E1855" s="136" t="s">
        <v>2324</v>
      </c>
      <c r="F1855" s="135" t="s">
        <v>2325</v>
      </c>
      <c r="G1855" s="66" t="s">
        <v>88</v>
      </c>
      <c r="H1855" s="137" t="s">
        <v>2421</v>
      </c>
      <c r="I1855" s="47" t="e">
        <f>VLOOKUP(H1855,'合同综合查询数据（3月返）'!$A:$A,1,FALSE)</f>
        <v>#N/A</v>
      </c>
      <c r="J1855" s="66" t="s">
        <v>90</v>
      </c>
      <c r="K1855" s="139" t="s">
        <v>2422</v>
      </c>
      <c r="L1855" s="138"/>
      <c r="M1855" s="50" t="s">
        <v>2328</v>
      </c>
      <c r="N1855" s="51">
        <v>44818</v>
      </c>
      <c r="O1855" s="138" t="s">
        <v>461</v>
      </c>
      <c r="P1855" s="140">
        <v>3520</v>
      </c>
      <c r="Q1855" s="140">
        <v>40</v>
      </c>
      <c r="R1855" s="68">
        <f t="shared" si="46"/>
        <v>140800</v>
      </c>
      <c r="S1855" s="70">
        <v>202303</v>
      </c>
      <c r="T1855" s="72" t="s">
        <v>2427</v>
      </c>
      <c r="U1855" s="142"/>
      <c r="V1855" s="143"/>
      <c r="W1855" s="143"/>
      <c r="X1855" s="73"/>
      <c r="Y1855" s="73"/>
    </row>
    <row r="1856" s="10" customFormat="1" customHeight="1" spans="1:25">
      <c r="A1856" s="135" t="s">
        <v>61</v>
      </c>
      <c r="B1856" s="60" t="s">
        <v>62</v>
      </c>
      <c r="C1856" s="61" t="s">
        <v>217</v>
      </c>
      <c r="D1856" s="60" t="s">
        <v>64</v>
      </c>
      <c r="E1856" s="136" t="s">
        <v>2324</v>
      </c>
      <c r="F1856" s="135" t="s">
        <v>2325</v>
      </c>
      <c r="G1856" s="66" t="s">
        <v>88</v>
      </c>
      <c r="H1856" s="137" t="s">
        <v>2421</v>
      </c>
      <c r="I1856" s="47" t="e">
        <f>VLOOKUP(H1856,'合同综合查询数据（3月返）'!$A:$A,1,FALSE)</f>
        <v>#N/A</v>
      </c>
      <c r="J1856" s="66" t="s">
        <v>90</v>
      </c>
      <c r="K1856" s="139" t="s">
        <v>2422</v>
      </c>
      <c r="L1856" s="138"/>
      <c r="M1856" s="50" t="s">
        <v>2328</v>
      </c>
      <c r="N1856" s="51">
        <v>44819</v>
      </c>
      <c r="O1856" s="138" t="s">
        <v>461</v>
      </c>
      <c r="P1856" s="140">
        <v>3520</v>
      </c>
      <c r="Q1856" s="140">
        <v>47</v>
      </c>
      <c r="R1856" s="68">
        <f t="shared" si="46"/>
        <v>165440</v>
      </c>
      <c r="S1856" s="70">
        <v>202303</v>
      </c>
      <c r="T1856" s="72" t="s">
        <v>2428</v>
      </c>
      <c r="U1856" s="142"/>
      <c r="V1856" s="143"/>
      <c r="W1856" s="143"/>
      <c r="X1856" s="73"/>
      <c r="Y1856" s="73"/>
    </row>
    <row r="1857" s="10" customFormat="1" customHeight="1" spans="1:25">
      <c r="A1857" s="135" t="s">
        <v>61</v>
      </c>
      <c r="B1857" s="60" t="s">
        <v>62</v>
      </c>
      <c r="C1857" s="61" t="s">
        <v>217</v>
      </c>
      <c r="D1857" s="60" t="s">
        <v>64</v>
      </c>
      <c r="E1857" s="136" t="s">
        <v>2324</v>
      </c>
      <c r="F1857" s="135" t="s">
        <v>2325</v>
      </c>
      <c r="G1857" s="66" t="s">
        <v>88</v>
      </c>
      <c r="H1857" s="137" t="s">
        <v>2421</v>
      </c>
      <c r="I1857" s="47" t="e">
        <f>VLOOKUP(H1857,'合同综合查询数据（3月返）'!$A:$A,1,FALSE)</f>
        <v>#N/A</v>
      </c>
      <c r="J1857" s="66" t="s">
        <v>90</v>
      </c>
      <c r="K1857" s="139" t="s">
        <v>2422</v>
      </c>
      <c r="L1857" s="138"/>
      <c r="M1857" s="50" t="s">
        <v>2328</v>
      </c>
      <c r="N1857" s="51">
        <v>44834</v>
      </c>
      <c r="O1857" s="138" t="s">
        <v>461</v>
      </c>
      <c r="P1857" s="140">
        <v>3520</v>
      </c>
      <c r="Q1857" s="140">
        <v>36</v>
      </c>
      <c r="R1857" s="68">
        <f t="shared" si="46"/>
        <v>126720</v>
      </c>
      <c r="S1857" s="70">
        <v>202303</v>
      </c>
      <c r="T1857" s="72" t="s">
        <v>2429</v>
      </c>
      <c r="U1857" s="142"/>
      <c r="V1857" s="143"/>
      <c r="W1857" s="143"/>
      <c r="X1857" s="73"/>
      <c r="Y1857" s="73"/>
    </row>
    <row r="1858" s="10" customFormat="1" customHeight="1" spans="1:25">
      <c r="A1858" s="135" t="s">
        <v>61</v>
      </c>
      <c r="B1858" s="60" t="s">
        <v>62</v>
      </c>
      <c r="C1858" s="61" t="s">
        <v>217</v>
      </c>
      <c r="D1858" s="60" t="s">
        <v>64</v>
      </c>
      <c r="E1858" s="136" t="s">
        <v>2324</v>
      </c>
      <c r="F1858" s="135" t="s">
        <v>2325</v>
      </c>
      <c r="G1858" s="66" t="s">
        <v>88</v>
      </c>
      <c r="H1858" s="137" t="s">
        <v>2421</v>
      </c>
      <c r="I1858" s="47" t="e">
        <f>VLOOKUP(H1858,'合同综合查询数据（3月返）'!$A:$A,1,FALSE)</f>
        <v>#N/A</v>
      </c>
      <c r="J1858" s="66" t="s">
        <v>90</v>
      </c>
      <c r="K1858" s="139" t="s">
        <v>2422</v>
      </c>
      <c r="L1858" s="138"/>
      <c r="M1858" s="50" t="s">
        <v>2328</v>
      </c>
      <c r="N1858" s="51">
        <v>44862</v>
      </c>
      <c r="O1858" s="138" t="s">
        <v>461</v>
      </c>
      <c r="P1858" s="140">
        <v>3520</v>
      </c>
      <c r="Q1858" s="140">
        <v>2</v>
      </c>
      <c r="R1858" s="68">
        <f t="shared" si="46"/>
        <v>7040</v>
      </c>
      <c r="S1858" s="70">
        <v>202303</v>
      </c>
      <c r="T1858" s="72" t="s">
        <v>2430</v>
      </c>
      <c r="U1858" s="142"/>
      <c r="V1858" s="143"/>
      <c r="W1858" s="143"/>
      <c r="X1858" s="73"/>
      <c r="Y1858" s="73"/>
    </row>
    <row r="1859" s="10" customFormat="1" customHeight="1" spans="1:25">
      <c r="A1859" s="135" t="s">
        <v>61</v>
      </c>
      <c r="B1859" s="60" t="s">
        <v>62</v>
      </c>
      <c r="C1859" s="61" t="s">
        <v>217</v>
      </c>
      <c r="D1859" s="60" t="s">
        <v>64</v>
      </c>
      <c r="E1859" s="136" t="s">
        <v>2324</v>
      </c>
      <c r="F1859" s="135" t="s">
        <v>2325</v>
      </c>
      <c r="G1859" s="66" t="s">
        <v>88</v>
      </c>
      <c r="H1859" s="137" t="s">
        <v>2421</v>
      </c>
      <c r="I1859" s="47" t="e">
        <f>VLOOKUP(H1859,'合同综合查询数据（3月返）'!$A:$A,1,FALSE)</f>
        <v>#N/A</v>
      </c>
      <c r="J1859" s="66" t="s">
        <v>90</v>
      </c>
      <c r="K1859" s="139" t="s">
        <v>2422</v>
      </c>
      <c r="L1859" s="138"/>
      <c r="M1859" s="50" t="s">
        <v>2328</v>
      </c>
      <c r="N1859" s="51">
        <v>44868</v>
      </c>
      <c r="O1859" s="138" t="s">
        <v>461</v>
      </c>
      <c r="P1859" s="140">
        <v>3520</v>
      </c>
      <c r="Q1859" s="140">
        <v>6</v>
      </c>
      <c r="R1859" s="68">
        <f t="shared" si="46"/>
        <v>21120</v>
      </c>
      <c r="S1859" s="70">
        <v>202303</v>
      </c>
      <c r="T1859" s="72" t="s">
        <v>2431</v>
      </c>
      <c r="U1859" s="142"/>
      <c r="V1859" s="143"/>
      <c r="W1859" s="143"/>
      <c r="X1859" s="73"/>
      <c r="Y1859" s="73"/>
    </row>
    <row r="1860" s="10" customFormat="1" customHeight="1" spans="1:25">
      <c r="A1860" s="135" t="s">
        <v>61</v>
      </c>
      <c r="B1860" s="60" t="s">
        <v>62</v>
      </c>
      <c r="C1860" s="61" t="s">
        <v>217</v>
      </c>
      <c r="D1860" s="60" t="s">
        <v>64</v>
      </c>
      <c r="E1860" s="136" t="s">
        <v>2324</v>
      </c>
      <c r="F1860" s="135" t="s">
        <v>2325</v>
      </c>
      <c r="G1860" s="66" t="s">
        <v>88</v>
      </c>
      <c r="H1860" s="137" t="s">
        <v>2421</v>
      </c>
      <c r="I1860" s="47" t="e">
        <f>VLOOKUP(H1860,'合同综合查询数据（3月返）'!$A:$A,1,FALSE)</f>
        <v>#N/A</v>
      </c>
      <c r="J1860" s="66" t="s">
        <v>90</v>
      </c>
      <c r="K1860" s="139" t="s">
        <v>2422</v>
      </c>
      <c r="L1860" s="138"/>
      <c r="M1860" s="50" t="s">
        <v>2328</v>
      </c>
      <c r="N1860" s="51">
        <v>44879</v>
      </c>
      <c r="O1860" s="138" t="s">
        <v>461</v>
      </c>
      <c r="P1860" s="140">
        <v>3520</v>
      </c>
      <c r="Q1860" s="140">
        <v>9</v>
      </c>
      <c r="R1860" s="68">
        <f t="shared" si="46"/>
        <v>31680</v>
      </c>
      <c r="S1860" s="70">
        <v>202303</v>
      </c>
      <c r="T1860" s="72" t="s">
        <v>2432</v>
      </c>
      <c r="U1860" s="142"/>
      <c r="V1860" s="143"/>
      <c r="W1860" s="143"/>
      <c r="X1860" s="73"/>
      <c r="Y1860" s="73"/>
    </row>
    <row r="1861" s="10" customFormat="1" customHeight="1" spans="1:25">
      <c r="A1861" s="135" t="s">
        <v>61</v>
      </c>
      <c r="B1861" s="60" t="s">
        <v>62</v>
      </c>
      <c r="C1861" s="61" t="s">
        <v>217</v>
      </c>
      <c r="D1861" s="60" t="s">
        <v>64</v>
      </c>
      <c r="E1861" s="136" t="s">
        <v>2324</v>
      </c>
      <c r="F1861" s="135" t="s">
        <v>2325</v>
      </c>
      <c r="G1861" s="66" t="s">
        <v>88</v>
      </c>
      <c r="H1861" s="137" t="s">
        <v>2421</v>
      </c>
      <c r="I1861" s="47" t="e">
        <f>VLOOKUP(H1861,'合同综合查询数据（3月返）'!$A:$A,1,FALSE)</f>
        <v>#N/A</v>
      </c>
      <c r="J1861" s="66" t="s">
        <v>90</v>
      </c>
      <c r="K1861" s="139" t="s">
        <v>2422</v>
      </c>
      <c r="L1861" s="138"/>
      <c r="M1861" s="50" t="s">
        <v>2328</v>
      </c>
      <c r="N1861" s="51">
        <v>44896</v>
      </c>
      <c r="O1861" s="138" t="s">
        <v>461</v>
      </c>
      <c r="P1861" s="140">
        <v>3520</v>
      </c>
      <c r="Q1861" s="140">
        <v>5</v>
      </c>
      <c r="R1861" s="68">
        <f t="shared" si="46"/>
        <v>17600</v>
      </c>
      <c r="S1861" s="70">
        <v>202303</v>
      </c>
      <c r="T1861" s="72" t="s">
        <v>2433</v>
      </c>
      <c r="U1861" s="142"/>
      <c r="V1861" s="143"/>
      <c r="W1861" s="143"/>
      <c r="X1861" s="73"/>
      <c r="Y1861" s="73"/>
    </row>
    <row r="1862" s="10" customFormat="1" customHeight="1" spans="1:25">
      <c r="A1862" s="135" t="s">
        <v>61</v>
      </c>
      <c r="B1862" s="60" t="s">
        <v>62</v>
      </c>
      <c r="C1862" s="61" t="s">
        <v>217</v>
      </c>
      <c r="D1862" s="60" t="s">
        <v>64</v>
      </c>
      <c r="E1862" s="136" t="s">
        <v>2324</v>
      </c>
      <c r="F1862" s="135" t="s">
        <v>2325</v>
      </c>
      <c r="G1862" s="66" t="s">
        <v>88</v>
      </c>
      <c r="H1862" s="137" t="s">
        <v>2421</v>
      </c>
      <c r="I1862" s="47" t="e">
        <f>VLOOKUP(H1862,'合同综合查询数据（3月返）'!$A:$A,1,FALSE)</f>
        <v>#N/A</v>
      </c>
      <c r="J1862" s="66" t="s">
        <v>90</v>
      </c>
      <c r="K1862" s="139" t="s">
        <v>2422</v>
      </c>
      <c r="L1862" s="138"/>
      <c r="M1862" s="50" t="s">
        <v>2328</v>
      </c>
      <c r="N1862" s="51">
        <v>44901</v>
      </c>
      <c r="O1862" s="138" t="s">
        <v>461</v>
      </c>
      <c r="P1862" s="140">
        <v>3520</v>
      </c>
      <c r="Q1862" s="140">
        <v>6</v>
      </c>
      <c r="R1862" s="68">
        <f t="shared" si="46"/>
        <v>21120</v>
      </c>
      <c r="S1862" s="70">
        <v>202303</v>
      </c>
      <c r="T1862" s="72" t="s">
        <v>2434</v>
      </c>
      <c r="U1862" s="142"/>
      <c r="V1862" s="143"/>
      <c r="W1862" s="143"/>
      <c r="X1862" s="73"/>
      <c r="Y1862" s="73"/>
    </row>
    <row r="1863" s="10" customFormat="1" customHeight="1" spans="1:25">
      <c r="A1863" s="135" t="s">
        <v>61</v>
      </c>
      <c r="B1863" s="60" t="s">
        <v>62</v>
      </c>
      <c r="C1863" s="61" t="s">
        <v>217</v>
      </c>
      <c r="D1863" s="60" t="s">
        <v>64</v>
      </c>
      <c r="E1863" s="136" t="s">
        <v>2324</v>
      </c>
      <c r="F1863" s="135" t="s">
        <v>2325</v>
      </c>
      <c r="G1863" s="66" t="s">
        <v>88</v>
      </c>
      <c r="H1863" s="137" t="s">
        <v>2421</v>
      </c>
      <c r="I1863" s="47" t="e">
        <f>VLOOKUP(H1863,'合同综合查询数据（3月返）'!$A:$A,1,FALSE)</f>
        <v>#N/A</v>
      </c>
      <c r="J1863" s="66" t="s">
        <v>90</v>
      </c>
      <c r="K1863" s="139" t="s">
        <v>2422</v>
      </c>
      <c r="L1863" s="138"/>
      <c r="M1863" s="50" t="s">
        <v>2328</v>
      </c>
      <c r="N1863" s="51">
        <v>44902</v>
      </c>
      <c r="O1863" s="138" t="s">
        <v>461</v>
      </c>
      <c r="P1863" s="140">
        <v>3520</v>
      </c>
      <c r="Q1863" s="140">
        <v>9</v>
      </c>
      <c r="R1863" s="68">
        <f t="shared" si="46"/>
        <v>31680</v>
      </c>
      <c r="S1863" s="70">
        <v>202303</v>
      </c>
      <c r="T1863" s="72" t="s">
        <v>2435</v>
      </c>
      <c r="U1863" s="142"/>
      <c r="V1863" s="143"/>
      <c r="W1863" s="143"/>
      <c r="X1863" s="73"/>
      <c r="Y1863" s="73"/>
    </row>
    <row r="1864" s="10" customFormat="1" customHeight="1" spans="1:25">
      <c r="A1864" s="135" t="s">
        <v>61</v>
      </c>
      <c r="B1864" s="60" t="s">
        <v>62</v>
      </c>
      <c r="C1864" s="61" t="s">
        <v>217</v>
      </c>
      <c r="D1864" s="60" t="s">
        <v>64</v>
      </c>
      <c r="E1864" s="136" t="s">
        <v>2324</v>
      </c>
      <c r="F1864" s="135" t="s">
        <v>2325</v>
      </c>
      <c r="G1864" s="66" t="s">
        <v>88</v>
      </c>
      <c r="H1864" s="137" t="s">
        <v>2421</v>
      </c>
      <c r="I1864" s="47" t="e">
        <f>VLOOKUP(H1864,'合同综合查询数据（3月返）'!$A:$A,1,FALSE)</f>
        <v>#N/A</v>
      </c>
      <c r="J1864" s="66" t="s">
        <v>90</v>
      </c>
      <c r="K1864" s="139" t="s">
        <v>2422</v>
      </c>
      <c r="L1864" s="138"/>
      <c r="M1864" s="50" t="s">
        <v>2328</v>
      </c>
      <c r="N1864" s="51">
        <v>44914</v>
      </c>
      <c r="O1864" s="138" t="s">
        <v>461</v>
      </c>
      <c r="P1864" s="140">
        <v>3520</v>
      </c>
      <c r="Q1864" s="140">
        <v>2</v>
      </c>
      <c r="R1864" s="68">
        <f t="shared" si="46"/>
        <v>7040</v>
      </c>
      <c r="S1864" s="70">
        <v>202303</v>
      </c>
      <c r="T1864" s="72" t="s">
        <v>2436</v>
      </c>
      <c r="U1864" s="142"/>
      <c r="V1864" s="143"/>
      <c r="W1864" s="143"/>
      <c r="X1864" s="73"/>
      <c r="Y1864" s="73"/>
    </row>
    <row r="1865" s="10" customFormat="1" customHeight="1" spans="1:25">
      <c r="A1865" s="135" t="s">
        <v>61</v>
      </c>
      <c r="B1865" s="60" t="s">
        <v>62</v>
      </c>
      <c r="C1865" s="61" t="s">
        <v>217</v>
      </c>
      <c r="D1865" s="60" t="s">
        <v>64</v>
      </c>
      <c r="E1865" s="136" t="s">
        <v>2324</v>
      </c>
      <c r="F1865" s="135" t="s">
        <v>2325</v>
      </c>
      <c r="G1865" s="66" t="s">
        <v>88</v>
      </c>
      <c r="H1865" s="137" t="s">
        <v>2421</v>
      </c>
      <c r="I1865" s="47" t="e">
        <f>VLOOKUP(H1865,'合同综合查询数据（3月返）'!$A:$A,1,FALSE)</f>
        <v>#N/A</v>
      </c>
      <c r="J1865" s="66" t="s">
        <v>90</v>
      </c>
      <c r="K1865" s="139" t="s">
        <v>2422</v>
      </c>
      <c r="L1865" s="138"/>
      <c r="M1865" s="50" t="s">
        <v>2328</v>
      </c>
      <c r="N1865" s="51">
        <v>44924</v>
      </c>
      <c r="O1865" s="138" t="s">
        <v>461</v>
      </c>
      <c r="P1865" s="140">
        <v>3520</v>
      </c>
      <c r="Q1865" s="140">
        <v>8</v>
      </c>
      <c r="R1865" s="68">
        <f t="shared" si="46"/>
        <v>28160</v>
      </c>
      <c r="S1865" s="70">
        <v>202303</v>
      </c>
      <c r="T1865" s="246" t="s">
        <v>2437</v>
      </c>
      <c r="U1865" s="142"/>
      <c r="V1865" s="143"/>
      <c r="W1865" s="143"/>
      <c r="X1865" s="73"/>
      <c r="Y1865" s="73"/>
    </row>
    <row r="1866" s="10" customFormat="1" customHeight="1" spans="1:25">
      <c r="A1866" s="135" t="s">
        <v>61</v>
      </c>
      <c r="B1866" s="60" t="s">
        <v>62</v>
      </c>
      <c r="C1866" s="61" t="s">
        <v>217</v>
      </c>
      <c r="D1866" s="60" t="s">
        <v>64</v>
      </c>
      <c r="E1866" s="136" t="s">
        <v>2324</v>
      </c>
      <c r="F1866" s="135" t="s">
        <v>2325</v>
      </c>
      <c r="G1866" s="66" t="s">
        <v>88</v>
      </c>
      <c r="H1866" s="137" t="s">
        <v>2421</v>
      </c>
      <c r="I1866" s="47" t="e">
        <f>VLOOKUP(H1866,'合同综合查询数据（3月返）'!$A:$A,1,FALSE)</f>
        <v>#N/A</v>
      </c>
      <c r="J1866" s="66" t="s">
        <v>90</v>
      </c>
      <c r="K1866" s="139" t="s">
        <v>2422</v>
      </c>
      <c r="L1866" s="138"/>
      <c r="M1866" s="50" t="s">
        <v>2328</v>
      </c>
      <c r="N1866" s="51">
        <v>44942</v>
      </c>
      <c r="O1866" s="138" t="s">
        <v>461</v>
      </c>
      <c r="P1866" s="140">
        <v>3520</v>
      </c>
      <c r="Q1866" s="140">
        <v>1</v>
      </c>
      <c r="R1866" s="68">
        <f t="shared" si="46"/>
        <v>3520</v>
      </c>
      <c r="S1866" s="70">
        <v>202303</v>
      </c>
      <c r="T1866" s="246" t="s">
        <v>2438</v>
      </c>
      <c r="U1866" s="142"/>
      <c r="V1866" s="143"/>
      <c r="W1866" s="143"/>
      <c r="X1866" s="73"/>
      <c r="Y1866" s="73"/>
    </row>
    <row r="1867" s="10" customFormat="1" customHeight="1" spans="1:25">
      <c r="A1867" s="135" t="s">
        <v>61</v>
      </c>
      <c r="B1867" s="60" t="s">
        <v>62</v>
      </c>
      <c r="C1867" s="61" t="s">
        <v>217</v>
      </c>
      <c r="D1867" s="60" t="s">
        <v>64</v>
      </c>
      <c r="E1867" s="136" t="s">
        <v>2324</v>
      </c>
      <c r="F1867" s="135" t="s">
        <v>2325</v>
      </c>
      <c r="G1867" s="66" t="s">
        <v>88</v>
      </c>
      <c r="H1867" s="137" t="s">
        <v>2421</v>
      </c>
      <c r="I1867" s="47" t="e">
        <f>VLOOKUP(H1867,'合同综合查询数据（3月返）'!$A:$A,1,FALSE)</f>
        <v>#N/A</v>
      </c>
      <c r="J1867" s="66" t="s">
        <v>312</v>
      </c>
      <c r="K1867" s="139" t="s">
        <v>2422</v>
      </c>
      <c r="L1867" s="138"/>
      <c r="M1867" s="50" t="s">
        <v>2328</v>
      </c>
      <c r="N1867" s="51"/>
      <c r="O1867" s="138"/>
      <c r="P1867" s="140">
        <v>0.68</v>
      </c>
      <c r="Q1867" s="140">
        <f>R1867/0.68</f>
        <v>1323529.41176471</v>
      </c>
      <c r="R1867" s="68">
        <v>900000</v>
      </c>
      <c r="S1867" s="70">
        <v>202303</v>
      </c>
      <c r="T1867" s="72" t="s">
        <v>2439</v>
      </c>
      <c r="U1867" s="142"/>
      <c r="V1867" s="143"/>
      <c r="W1867" s="143"/>
      <c r="X1867" s="73"/>
      <c r="Y1867" s="73"/>
    </row>
    <row r="1868" s="9" customFormat="1" customHeight="1" spans="1:25">
      <c r="A1868" s="16" t="s">
        <v>61</v>
      </c>
      <c r="B1868" s="98" t="s">
        <v>62</v>
      </c>
      <c r="C1868" s="17" t="s">
        <v>63</v>
      </c>
      <c r="D1868" s="96" t="s">
        <v>75</v>
      </c>
      <c r="E1868" s="18" t="s">
        <v>2440</v>
      </c>
      <c r="F1868" s="16" t="s">
        <v>2441</v>
      </c>
      <c r="G1868" s="99" t="s">
        <v>67</v>
      </c>
      <c r="H1868" s="19" t="s">
        <v>2442</v>
      </c>
      <c r="I1868" s="23" t="e">
        <f>VLOOKUP(H1868,'合同综合查询数据（3月返）'!$A:$A,1,FALSE)</f>
        <v>#N/A</v>
      </c>
      <c r="J1868" s="99" t="s">
        <v>69</v>
      </c>
      <c r="K1868" s="16" t="s">
        <v>744</v>
      </c>
      <c r="L1868" s="25"/>
      <c r="M1868" s="26"/>
      <c r="N1868" s="28">
        <v>43936</v>
      </c>
      <c r="O1868" s="28" t="s">
        <v>71</v>
      </c>
      <c r="P1868" s="239">
        <v>25533</v>
      </c>
      <c r="Q1868" s="35">
        <v>1</v>
      </c>
      <c r="R1868" s="120">
        <f t="shared" ref="R1868:R1926" si="47">ROUND(P1868*Q1868,2)</f>
        <v>25533</v>
      </c>
      <c r="S1868" s="117">
        <v>202303</v>
      </c>
      <c r="T1868" s="18" t="s">
        <v>2443</v>
      </c>
      <c r="U1868" s="18"/>
      <c r="V1868" s="243"/>
      <c r="W1868" s="243"/>
      <c r="X1868" s="118">
        <v>43936</v>
      </c>
      <c r="Y1868" s="118">
        <v>44665</v>
      </c>
    </row>
    <row r="1869" s="9" customFormat="1" customHeight="1" spans="1:25">
      <c r="A1869" s="16" t="s">
        <v>61</v>
      </c>
      <c r="B1869" s="98" t="s">
        <v>62</v>
      </c>
      <c r="C1869" s="17" t="s">
        <v>63</v>
      </c>
      <c r="D1869" s="96" t="s">
        <v>75</v>
      </c>
      <c r="E1869" s="18" t="s">
        <v>2440</v>
      </c>
      <c r="F1869" s="16" t="s">
        <v>2441</v>
      </c>
      <c r="G1869" s="99" t="s">
        <v>67</v>
      </c>
      <c r="H1869" s="19" t="s">
        <v>2442</v>
      </c>
      <c r="I1869" s="23" t="e">
        <f>VLOOKUP(H1869,'合同综合查询数据（3月返）'!$A:$A,1,FALSE)</f>
        <v>#N/A</v>
      </c>
      <c r="J1869" s="99" t="s">
        <v>69</v>
      </c>
      <c r="K1869" s="16" t="s">
        <v>744</v>
      </c>
      <c r="L1869" s="25"/>
      <c r="M1869" s="26"/>
      <c r="N1869" s="28">
        <v>44418</v>
      </c>
      <c r="O1869" s="28" t="s">
        <v>71</v>
      </c>
      <c r="P1869" s="239">
        <v>25533</v>
      </c>
      <c r="Q1869" s="35">
        <v>-1</v>
      </c>
      <c r="R1869" s="120">
        <f t="shared" si="47"/>
        <v>-25533</v>
      </c>
      <c r="S1869" s="117">
        <v>202303</v>
      </c>
      <c r="T1869" s="18" t="s">
        <v>2444</v>
      </c>
      <c r="U1869" s="18"/>
      <c r="V1869" s="243"/>
      <c r="W1869" s="243"/>
      <c r="X1869" s="118">
        <v>43936</v>
      </c>
      <c r="Y1869" s="118">
        <v>44665</v>
      </c>
    </row>
    <row r="1870" s="9" customFormat="1" customHeight="1" spans="1:25">
      <c r="A1870" s="16" t="s">
        <v>61</v>
      </c>
      <c r="B1870" s="98" t="s">
        <v>62</v>
      </c>
      <c r="C1870" s="17" t="s">
        <v>63</v>
      </c>
      <c r="D1870" s="96" t="s">
        <v>75</v>
      </c>
      <c r="E1870" s="18" t="s">
        <v>2440</v>
      </c>
      <c r="F1870" s="16" t="s">
        <v>2441</v>
      </c>
      <c r="G1870" s="99" t="s">
        <v>302</v>
      </c>
      <c r="H1870" s="19" t="s">
        <v>2445</v>
      </c>
      <c r="I1870" s="23" t="e">
        <f>VLOOKUP(H1870,'合同综合查询数据（3月返）'!$A:$A,1,FALSE)</f>
        <v>#N/A</v>
      </c>
      <c r="J1870" s="99" t="s">
        <v>302</v>
      </c>
      <c r="K1870" s="16" t="s">
        <v>2446</v>
      </c>
      <c r="L1870" s="25"/>
      <c r="M1870" s="26"/>
      <c r="N1870" s="28">
        <v>43983</v>
      </c>
      <c r="O1870" s="28" t="s">
        <v>2447</v>
      </c>
      <c r="P1870" s="239">
        <v>594400</v>
      </c>
      <c r="Q1870" s="35">
        <v>1</v>
      </c>
      <c r="R1870" s="120">
        <f t="shared" si="47"/>
        <v>594400</v>
      </c>
      <c r="S1870" s="117">
        <v>202303</v>
      </c>
      <c r="T1870" s="18" t="s">
        <v>2448</v>
      </c>
      <c r="U1870" s="18"/>
      <c r="V1870" s="243"/>
      <c r="W1870" s="243"/>
      <c r="X1870" s="118">
        <v>43983</v>
      </c>
      <c r="Y1870" s="118">
        <v>45508</v>
      </c>
    </row>
    <row r="1871" s="9" customFormat="1" customHeight="1" spans="1:25">
      <c r="A1871" s="16" t="s">
        <v>61</v>
      </c>
      <c r="B1871" s="98" t="s">
        <v>62</v>
      </c>
      <c r="C1871" s="17" t="s">
        <v>63</v>
      </c>
      <c r="D1871" s="96" t="s">
        <v>75</v>
      </c>
      <c r="E1871" s="18" t="s">
        <v>2440</v>
      </c>
      <c r="F1871" s="16" t="s">
        <v>2441</v>
      </c>
      <c r="G1871" s="99" t="s">
        <v>302</v>
      </c>
      <c r="H1871" s="19" t="s">
        <v>2449</v>
      </c>
      <c r="I1871" s="23" t="e">
        <f>VLOOKUP(H1871,'合同综合查询数据（3月返）'!$A:$A,1,FALSE)</f>
        <v>#N/A</v>
      </c>
      <c r="J1871" s="99" t="s">
        <v>302</v>
      </c>
      <c r="K1871" s="16" t="s">
        <v>2450</v>
      </c>
      <c r="L1871" s="25"/>
      <c r="M1871" s="26"/>
      <c r="N1871" s="28">
        <v>43983</v>
      </c>
      <c r="O1871" s="28" t="s">
        <v>2451</v>
      </c>
      <c r="P1871" s="239">
        <v>29898</v>
      </c>
      <c r="Q1871" s="35">
        <v>1</v>
      </c>
      <c r="R1871" s="120">
        <f t="shared" si="47"/>
        <v>29898</v>
      </c>
      <c r="S1871" s="117">
        <v>202303</v>
      </c>
      <c r="T1871" s="18" t="s">
        <v>2452</v>
      </c>
      <c r="U1871" s="18"/>
      <c r="V1871" s="243"/>
      <c r="W1871" s="243"/>
      <c r="X1871" s="118">
        <v>43983</v>
      </c>
      <c r="Y1871" s="118">
        <v>45508</v>
      </c>
    </row>
    <row r="1872" s="9" customFormat="1" customHeight="1" spans="1:25">
      <c r="A1872" s="16" t="s">
        <v>61</v>
      </c>
      <c r="B1872" s="98" t="s">
        <v>62</v>
      </c>
      <c r="C1872" s="17" t="s">
        <v>63</v>
      </c>
      <c r="D1872" s="96" t="s">
        <v>75</v>
      </c>
      <c r="E1872" s="18" t="s">
        <v>2440</v>
      </c>
      <c r="F1872" s="16" t="s">
        <v>2441</v>
      </c>
      <c r="G1872" s="99" t="s">
        <v>88</v>
      </c>
      <c r="H1872" s="19" t="s">
        <v>2453</v>
      </c>
      <c r="I1872" s="23" t="e">
        <f>VLOOKUP(H1872,'合同综合查询数据（3月返）'!$A:$A,1,FALSE)</f>
        <v>#N/A</v>
      </c>
      <c r="J1872" s="99" t="s">
        <v>90</v>
      </c>
      <c r="K1872" s="16" t="s">
        <v>2454</v>
      </c>
      <c r="L1872" s="25"/>
      <c r="M1872" s="26" t="s">
        <v>2455</v>
      </c>
      <c r="N1872" s="28">
        <v>43992</v>
      </c>
      <c r="O1872" s="28" t="s">
        <v>457</v>
      </c>
      <c r="P1872" s="239">
        <v>6540</v>
      </c>
      <c r="Q1872" s="35">
        <v>1</v>
      </c>
      <c r="R1872" s="120">
        <f t="shared" si="47"/>
        <v>6540</v>
      </c>
      <c r="S1872" s="117">
        <v>202303</v>
      </c>
      <c r="T1872" s="18" t="s">
        <v>2456</v>
      </c>
      <c r="U1872" s="18"/>
      <c r="V1872" s="243"/>
      <c r="W1872" s="243"/>
      <c r="X1872" s="118">
        <v>43952</v>
      </c>
      <c r="Y1872" s="118">
        <v>45046</v>
      </c>
    </row>
    <row r="1873" s="9" customFormat="1" customHeight="1" spans="1:25">
      <c r="A1873" s="16" t="s">
        <v>61</v>
      </c>
      <c r="B1873" s="98" t="s">
        <v>62</v>
      </c>
      <c r="C1873" s="17" t="s">
        <v>63</v>
      </c>
      <c r="D1873" s="96" t="s">
        <v>75</v>
      </c>
      <c r="E1873" s="18" t="s">
        <v>2440</v>
      </c>
      <c r="F1873" s="16" t="s">
        <v>2441</v>
      </c>
      <c r="G1873" s="99" t="s">
        <v>88</v>
      </c>
      <c r="H1873" s="19" t="s">
        <v>2453</v>
      </c>
      <c r="I1873" s="23" t="e">
        <f>VLOOKUP(H1873,'合同综合查询数据（3月返）'!$A:$A,1,FALSE)</f>
        <v>#N/A</v>
      </c>
      <c r="J1873" s="99" t="s">
        <v>90</v>
      </c>
      <c r="K1873" s="16" t="s">
        <v>2454</v>
      </c>
      <c r="L1873" s="25"/>
      <c r="M1873" s="26" t="s">
        <v>2455</v>
      </c>
      <c r="N1873" s="28">
        <v>44607</v>
      </c>
      <c r="O1873" s="28" t="s">
        <v>457</v>
      </c>
      <c r="P1873" s="239">
        <v>6540</v>
      </c>
      <c r="Q1873" s="35">
        <v>-1</v>
      </c>
      <c r="R1873" s="120">
        <f t="shared" si="47"/>
        <v>-6540</v>
      </c>
      <c r="S1873" s="117">
        <v>202303</v>
      </c>
      <c r="T1873" s="18" t="s">
        <v>2457</v>
      </c>
      <c r="U1873" s="240"/>
      <c r="V1873" s="240"/>
      <c r="W1873" s="240"/>
      <c r="X1873" s="118">
        <v>43952</v>
      </c>
      <c r="Y1873" s="118">
        <v>45046</v>
      </c>
    </row>
    <row r="1874" s="9" customFormat="1" customHeight="1" spans="1:25">
      <c r="A1874" s="16" t="s">
        <v>61</v>
      </c>
      <c r="B1874" s="98" t="s">
        <v>62</v>
      </c>
      <c r="C1874" s="17" t="s">
        <v>63</v>
      </c>
      <c r="D1874" s="96" t="s">
        <v>75</v>
      </c>
      <c r="E1874" s="18" t="s">
        <v>2440</v>
      </c>
      <c r="F1874" s="16" t="s">
        <v>2441</v>
      </c>
      <c r="G1874" s="99" t="s">
        <v>302</v>
      </c>
      <c r="H1874" s="19" t="s">
        <v>2458</v>
      </c>
      <c r="I1874" s="23" t="e">
        <f>VLOOKUP(H1874,'合同综合查询数据（3月返）'!$A:$A,1,FALSE)</f>
        <v>#N/A</v>
      </c>
      <c r="J1874" s="99" t="s">
        <v>302</v>
      </c>
      <c r="K1874" s="16" t="s">
        <v>2459</v>
      </c>
      <c r="L1874" s="25"/>
      <c r="M1874" s="26"/>
      <c r="N1874" s="28">
        <v>44136</v>
      </c>
      <c r="O1874" s="28" t="s">
        <v>2460</v>
      </c>
      <c r="P1874" s="239">
        <v>235840</v>
      </c>
      <c r="Q1874" s="35">
        <v>1</v>
      </c>
      <c r="R1874" s="120">
        <f t="shared" si="47"/>
        <v>235840</v>
      </c>
      <c r="S1874" s="117">
        <v>202303</v>
      </c>
      <c r="T1874" s="18" t="s">
        <v>2461</v>
      </c>
      <c r="U1874" s="18"/>
      <c r="V1874" s="243"/>
      <c r="W1874" s="243"/>
      <c r="X1874" s="118">
        <v>44136</v>
      </c>
      <c r="Y1874" s="118">
        <v>45508</v>
      </c>
    </row>
    <row r="1875" s="9" customFormat="1" customHeight="1" spans="1:25">
      <c r="A1875" s="16" t="s">
        <v>61</v>
      </c>
      <c r="B1875" s="98" t="s">
        <v>62</v>
      </c>
      <c r="C1875" s="17" t="s">
        <v>63</v>
      </c>
      <c r="D1875" s="96" t="s">
        <v>75</v>
      </c>
      <c r="E1875" s="18" t="s">
        <v>2440</v>
      </c>
      <c r="F1875" s="16" t="s">
        <v>2441</v>
      </c>
      <c r="G1875" s="99" t="s">
        <v>302</v>
      </c>
      <c r="H1875" s="19" t="s">
        <v>2462</v>
      </c>
      <c r="I1875" s="23" t="e">
        <f>VLOOKUP(H1875,'合同综合查询数据（3月返）'!$A:$A,1,FALSE)</f>
        <v>#N/A</v>
      </c>
      <c r="J1875" s="99" t="s">
        <v>302</v>
      </c>
      <c r="K1875" s="16" t="s">
        <v>2463</v>
      </c>
      <c r="L1875" s="25"/>
      <c r="M1875" s="26"/>
      <c r="N1875" s="28">
        <v>44013</v>
      </c>
      <c r="O1875" s="28" t="s">
        <v>2464</v>
      </c>
      <c r="P1875" s="239">
        <v>1474128</v>
      </c>
      <c r="Q1875" s="35">
        <v>1</v>
      </c>
      <c r="R1875" s="120">
        <f t="shared" si="47"/>
        <v>1474128</v>
      </c>
      <c r="S1875" s="117">
        <v>202303</v>
      </c>
      <c r="T1875" s="18" t="s">
        <v>2465</v>
      </c>
      <c r="U1875" s="18"/>
      <c r="V1875" s="243"/>
      <c r="W1875" s="243"/>
      <c r="X1875" s="118">
        <v>44013</v>
      </c>
      <c r="Y1875" s="118">
        <v>45508</v>
      </c>
    </row>
    <row r="1876" s="9" customFormat="1" customHeight="1" spans="1:25">
      <c r="A1876" s="16" t="s">
        <v>61</v>
      </c>
      <c r="B1876" s="98" t="s">
        <v>62</v>
      </c>
      <c r="C1876" s="17" t="s">
        <v>63</v>
      </c>
      <c r="D1876" s="96" t="s">
        <v>75</v>
      </c>
      <c r="E1876" s="18" t="s">
        <v>2440</v>
      </c>
      <c r="F1876" s="16" t="s">
        <v>2441</v>
      </c>
      <c r="G1876" s="99" t="s">
        <v>302</v>
      </c>
      <c r="H1876" s="19" t="s">
        <v>2466</v>
      </c>
      <c r="I1876" s="23" t="e">
        <f>VLOOKUP(H1876,'合同综合查询数据（3月返）'!$A:$A,1,FALSE)</f>
        <v>#N/A</v>
      </c>
      <c r="J1876" s="99" t="s">
        <v>302</v>
      </c>
      <c r="K1876" s="16" t="s">
        <v>2467</v>
      </c>
      <c r="L1876" s="25"/>
      <c r="M1876" s="26"/>
      <c r="N1876" s="28">
        <v>44141</v>
      </c>
      <c r="O1876" s="28" t="s">
        <v>2468</v>
      </c>
      <c r="P1876" s="239">
        <v>742520</v>
      </c>
      <c r="Q1876" s="35">
        <v>1</v>
      </c>
      <c r="R1876" s="120">
        <f t="shared" si="47"/>
        <v>742520</v>
      </c>
      <c r="S1876" s="117">
        <v>202303</v>
      </c>
      <c r="T1876" s="18" t="s">
        <v>2469</v>
      </c>
      <c r="U1876" s="18"/>
      <c r="V1876" s="243"/>
      <c r="W1876" s="243"/>
      <c r="X1876" s="118">
        <v>44141</v>
      </c>
      <c r="Y1876" s="118">
        <v>45508</v>
      </c>
    </row>
    <row r="1877" s="10" customFormat="1" customHeight="1" spans="1:25">
      <c r="A1877" s="42" t="s">
        <v>61</v>
      </c>
      <c r="B1877" s="60" t="s">
        <v>83</v>
      </c>
      <c r="C1877" s="43" t="s">
        <v>63</v>
      </c>
      <c r="D1877" s="60" t="s">
        <v>75</v>
      </c>
      <c r="E1877" s="44" t="s">
        <v>2440</v>
      </c>
      <c r="F1877" s="42" t="s">
        <v>2441</v>
      </c>
      <c r="G1877" s="66" t="s">
        <v>67</v>
      </c>
      <c r="H1877" s="45" t="s">
        <v>2470</v>
      </c>
      <c r="I1877" s="47" t="e">
        <f>VLOOKUP(H1877,'合同综合查询数据（3月返）'!$A:$A,1,FALSE)</f>
        <v>#N/A</v>
      </c>
      <c r="J1877" s="66" t="s">
        <v>69</v>
      </c>
      <c r="K1877" s="42" t="s">
        <v>2471</v>
      </c>
      <c r="L1877" s="49"/>
      <c r="M1877" s="50"/>
      <c r="N1877" s="51">
        <v>44166</v>
      </c>
      <c r="O1877" s="51" t="s">
        <v>71</v>
      </c>
      <c r="P1877" s="67">
        <v>1481</v>
      </c>
      <c r="Q1877" s="53">
        <v>3.8</v>
      </c>
      <c r="R1877" s="68">
        <f t="shared" si="47"/>
        <v>5627.8</v>
      </c>
      <c r="S1877" s="70">
        <v>202303</v>
      </c>
      <c r="T1877" s="44" t="s">
        <v>2472</v>
      </c>
      <c r="U1877" s="44"/>
      <c r="V1877" s="235"/>
      <c r="W1877" s="235"/>
      <c r="X1877" s="73"/>
      <c r="Y1877" s="73"/>
    </row>
    <row r="1878" s="10" customFormat="1" customHeight="1" spans="1:25">
      <c r="A1878" s="42" t="s">
        <v>61</v>
      </c>
      <c r="B1878" s="60" t="s">
        <v>83</v>
      </c>
      <c r="C1878" s="43" t="s">
        <v>63</v>
      </c>
      <c r="D1878" s="60" t="s">
        <v>75</v>
      </c>
      <c r="E1878" s="44" t="s">
        <v>2440</v>
      </c>
      <c r="F1878" s="42" t="s">
        <v>2441</v>
      </c>
      <c r="G1878" s="66" t="s">
        <v>67</v>
      </c>
      <c r="H1878" s="45" t="s">
        <v>2470</v>
      </c>
      <c r="I1878" s="47" t="e">
        <f>VLOOKUP(H1878,'合同综合查询数据（3月返）'!$A:$A,1,FALSE)</f>
        <v>#N/A</v>
      </c>
      <c r="J1878" s="66" t="s">
        <v>69</v>
      </c>
      <c r="K1878" s="42" t="s">
        <v>2471</v>
      </c>
      <c r="L1878" s="49"/>
      <c r="M1878" s="50"/>
      <c r="N1878" s="51">
        <v>44166</v>
      </c>
      <c r="O1878" s="51" t="s">
        <v>71</v>
      </c>
      <c r="P1878" s="67">
        <v>1481</v>
      </c>
      <c r="Q1878" s="53">
        <v>4.7</v>
      </c>
      <c r="R1878" s="68">
        <f t="shared" si="47"/>
        <v>6960.7</v>
      </c>
      <c r="S1878" s="70">
        <v>202303</v>
      </c>
      <c r="T1878" s="44" t="s">
        <v>2472</v>
      </c>
      <c r="U1878" s="44"/>
      <c r="V1878" s="235"/>
      <c r="W1878" s="235"/>
      <c r="X1878" s="73"/>
      <c r="Y1878" s="73"/>
    </row>
    <row r="1879" s="10" customFormat="1" customHeight="1" spans="1:25">
      <c r="A1879" s="42" t="s">
        <v>61</v>
      </c>
      <c r="B1879" s="61" t="s">
        <v>62</v>
      </c>
      <c r="C1879" s="43" t="s">
        <v>63</v>
      </c>
      <c r="D1879" s="60" t="s">
        <v>75</v>
      </c>
      <c r="E1879" s="44" t="s">
        <v>2440</v>
      </c>
      <c r="F1879" s="42" t="s">
        <v>2441</v>
      </c>
      <c r="G1879" s="66" t="s">
        <v>67</v>
      </c>
      <c r="H1879" s="45" t="s">
        <v>2470</v>
      </c>
      <c r="I1879" s="47" t="e">
        <f>VLOOKUP(H1879,'合同综合查询数据（3月返）'!$A:$A,1,FALSE)</f>
        <v>#N/A</v>
      </c>
      <c r="J1879" s="66" t="s">
        <v>69</v>
      </c>
      <c r="K1879" s="42" t="s">
        <v>850</v>
      </c>
      <c r="L1879" s="49"/>
      <c r="M1879" s="50"/>
      <c r="N1879" s="51">
        <v>44166</v>
      </c>
      <c r="O1879" s="51" t="s">
        <v>2249</v>
      </c>
      <c r="P1879" s="67">
        <v>28287.35</v>
      </c>
      <c r="Q1879" s="53">
        <v>1</v>
      </c>
      <c r="R1879" s="68">
        <f t="shared" si="47"/>
        <v>28287.35</v>
      </c>
      <c r="S1879" s="70">
        <v>202303</v>
      </c>
      <c r="T1879" s="44" t="s">
        <v>2473</v>
      </c>
      <c r="U1879" s="44"/>
      <c r="V1879" s="235"/>
      <c r="W1879" s="235"/>
      <c r="X1879" s="73"/>
      <c r="Y1879" s="73"/>
    </row>
    <row r="1880" s="10" customFormat="1" customHeight="1" spans="1:25">
      <c r="A1880" s="42" t="s">
        <v>61</v>
      </c>
      <c r="B1880" s="61" t="s">
        <v>62</v>
      </c>
      <c r="C1880" s="43" t="s">
        <v>63</v>
      </c>
      <c r="D1880" s="60" t="s">
        <v>75</v>
      </c>
      <c r="E1880" s="44" t="s">
        <v>2440</v>
      </c>
      <c r="F1880" s="42" t="s">
        <v>2441</v>
      </c>
      <c r="G1880" s="66" t="s">
        <v>67</v>
      </c>
      <c r="H1880" s="45" t="s">
        <v>2470</v>
      </c>
      <c r="I1880" s="47" t="e">
        <f>VLOOKUP(H1880,'合同综合查询数据（3月返）'!$A:$A,1,FALSE)</f>
        <v>#N/A</v>
      </c>
      <c r="J1880" s="66" t="s">
        <v>69</v>
      </c>
      <c r="K1880" s="42" t="s">
        <v>2474</v>
      </c>
      <c r="L1880" s="49"/>
      <c r="M1880" s="50"/>
      <c r="N1880" s="51">
        <v>44187</v>
      </c>
      <c r="O1880" s="51" t="s">
        <v>2249</v>
      </c>
      <c r="P1880" s="67">
        <v>8144.2</v>
      </c>
      <c r="Q1880" s="53">
        <v>1</v>
      </c>
      <c r="R1880" s="68">
        <f t="shared" si="47"/>
        <v>8144.2</v>
      </c>
      <c r="S1880" s="70">
        <v>202303</v>
      </c>
      <c r="T1880" s="44" t="s">
        <v>2475</v>
      </c>
      <c r="U1880" s="44"/>
      <c r="V1880" s="235"/>
      <c r="W1880" s="235"/>
      <c r="X1880" s="73"/>
      <c r="Y1880" s="73"/>
    </row>
    <row r="1881" s="10" customFormat="1" customHeight="1" spans="1:25">
      <c r="A1881" s="42" t="s">
        <v>61</v>
      </c>
      <c r="B1881" s="61" t="s">
        <v>62</v>
      </c>
      <c r="C1881" s="43" t="s">
        <v>63</v>
      </c>
      <c r="D1881" s="60" t="s">
        <v>75</v>
      </c>
      <c r="E1881" s="44" t="s">
        <v>2440</v>
      </c>
      <c r="F1881" s="42" t="s">
        <v>2441</v>
      </c>
      <c r="G1881" s="66" t="s">
        <v>67</v>
      </c>
      <c r="H1881" s="45" t="s">
        <v>2470</v>
      </c>
      <c r="I1881" s="47" t="e">
        <f>VLOOKUP(H1881,'合同综合查询数据（3月返）'!$A:$A,1,FALSE)</f>
        <v>#N/A</v>
      </c>
      <c r="J1881" s="66" t="s">
        <v>69</v>
      </c>
      <c r="K1881" s="42" t="s">
        <v>2474</v>
      </c>
      <c r="L1881" s="49"/>
      <c r="M1881" s="50"/>
      <c r="N1881" s="51">
        <v>44530</v>
      </c>
      <c r="O1881" s="51" t="s">
        <v>2249</v>
      </c>
      <c r="P1881" s="67">
        <v>8144.2</v>
      </c>
      <c r="Q1881" s="53">
        <v>-1</v>
      </c>
      <c r="R1881" s="68">
        <f t="shared" si="47"/>
        <v>-8144.2</v>
      </c>
      <c r="S1881" s="70">
        <v>202303</v>
      </c>
      <c r="T1881" s="44" t="s">
        <v>1833</v>
      </c>
      <c r="U1881" s="44"/>
      <c r="V1881" s="235"/>
      <c r="W1881" s="235"/>
      <c r="X1881" s="73"/>
      <c r="Y1881" s="73"/>
    </row>
    <row r="1882" s="10" customFormat="1" customHeight="1" spans="1:25">
      <c r="A1882" s="42" t="s">
        <v>61</v>
      </c>
      <c r="B1882" s="61" t="s">
        <v>62</v>
      </c>
      <c r="C1882" s="43" t="s">
        <v>63</v>
      </c>
      <c r="D1882" s="60" t="s">
        <v>75</v>
      </c>
      <c r="E1882" s="44" t="s">
        <v>2440</v>
      </c>
      <c r="F1882" s="42" t="s">
        <v>2441</v>
      </c>
      <c r="G1882" s="66" t="s">
        <v>67</v>
      </c>
      <c r="H1882" s="45" t="s">
        <v>2470</v>
      </c>
      <c r="I1882" s="47" t="e">
        <f>VLOOKUP(H1882,'合同综合查询数据（3月返）'!$A:$A,1,FALSE)</f>
        <v>#N/A</v>
      </c>
      <c r="J1882" s="66" t="s">
        <v>69</v>
      </c>
      <c r="K1882" s="42" t="s">
        <v>2476</v>
      </c>
      <c r="L1882" s="49"/>
      <c r="M1882" s="50"/>
      <c r="N1882" s="51">
        <v>44279</v>
      </c>
      <c r="O1882" s="51" t="s">
        <v>71</v>
      </c>
      <c r="P1882" s="67">
        <v>390</v>
      </c>
      <c r="Q1882" s="53">
        <v>8</v>
      </c>
      <c r="R1882" s="68">
        <f t="shared" si="47"/>
        <v>3120</v>
      </c>
      <c r="S1882" s="70">
        <v>202303</v>
      </c>
      <c r="T1882" s="44" t="s">
        <v>2477</v>
      </c>
      <c r="U1882" s="44"/>
      <c r="V1882" s="235"/>
      <c r="W1882" s="235"/>
      <c r="X1882" s="73"/>
      <c r="Y1882" s="73"/>
    </row>
    <row r="1883" s="10" customFormat="1" customHeight="1" spans="1:25">
      <c r="A1883" s="42" t="s">
        <v>61</v>
      </c>
      <c r="B1883" s="61" t="s">
        <v>62</v>
      </c>
      <c r="C1883" s="43" t="s">
        <v>63</v>
      </c>
      <c r="D1883" s="60" t="s">
        <v>75</v>
      </c>
      <c r="E1883" s="44" t="s">
        <v>2440</v>
      </c>
      <c r="F1883" s="42" t="s">
        <v>2441</v>
      </c>
      <c r="G1883" s="66" t="s">
        <v>67</v>
      </c>
      <c r="H1883" s="45" t="s">
        <v>2470</v>
      </c>
      <c r="I1883" s="47" t="e">
        <f>VLOOKUP(H1883,'合同综合查询数据（3月返）'!$A:$A,1,FALSE)</f>
        <v>#N/A</v>
      </c>
      <c r="J1883" s="66" t="s">
        <v>69</v>
      </c>
      <c r="K1883" s="42" t="s">
        <v>2478</v>
      </c>
      <c r="L1883" s="49"/>
      <c r="M1883" s="50"/>
      <c r="N1883" s="51">
        <v>44317</v>
      </c>
      <c r="O1883" s="51" t="s">
        <v>71</v>
      </c>
      <c r="P1883" s="67">
        <v>494</v>
      </c>
      <c r="Q1883" s="53">
        <v>124.61</v>
      </c>
      <c r="R1883" s="68">
        <f t="shared" si="47"/>
        <v>61557.34</v>
      </c>
      <c r="S1883" s="70">
        <v>202303</v>
      </c>
      <c r="T1883" s="44" t="s">
        <v>2479</v>
      </c>
      <c r="U1883" s="44"/>
      <c r="V1883" s="235"/>
      <c r="W1883" s="235"/>
      <c r="X1883" s="73"/>
      <c r="Y1883" s="73"/>
    </row>
    <row r="1884" s="10" customFormat="1" customHeight="1" spans="1:25">
      <c r="A1884" s="42" t="s">
        <v>61</v>
      </c>
      <c r="B1884" s="61" t="s">
        <v>62</v>
      </c>
      <c r="C1884" s="43" t="s">
        <v>63</v>
      </c>
      <c r="D1884" s="60" t="s">
        <v>75</v>
      </c>
      <c r="E1884" s="44" t="s">
        <v>2440</v>
      </c>
      <c r="F1884" s="42" t="s">
        <v>2441</v>
      </c>
      <c r="G1884" s="66" t="s">
        <v>67</v>
      </c>
      <c r="H1884" s="45" t="s">
        <v>2470</v>
      </c>
      <c r="I1884" s="47" t="e">
        <f>VLOOKUP(H1884,'合同综合查询数据（3月返）'!$A:$A,1,FALSE)</f>
        <v>#N/A</v>
      </c>
      <c r="J1884" s="66" t="s">
        <v>69</v>
      </c>
      <c r="K1884" s="42" t="s">
        <v>2478</v>
      </c>
      <c r="L1884" s="49"/>
      <c r="M1884" s="50"/>
      <c r="N1884" s="51">
        <v>44317</v>
      </c>
      <c r="O1884" s="51" t="s">
        <v>71</v>
      </c>
      <c r="P1884" s="67">
        <v>494</v>
      </c>
      <c r="Q1884" s="53">
        <v>124.61</v>
      </c>
      <c r="R1884" s="68">
        <f t="shared" si="47"/>
        <v>61557.34</v>
      </c>
      <c r="S1884" s="70">
        <v>202303</v>
      </c>
      <c r="T1884" s="44" t="s">
        <v>2480</v>
      </c>
      <c r="U1884" s="44"/>
      <c r="V1884" s="235"/>
      <c r="W1884" s="235"/>
      <c r="X1884" s="73"/>
      <c r="Y1884" s="73"/>
    </row>
    <row r="1885" s="10" customFormat="1" customHeight="1" spans="1:25">
      <c r="A1885" s="42" t="s">
        <v>61</v>
      </c>
      <c r="B1885" s="61" t="s">
        <v>62</v>
      </c>
      <c r="C1885" s="43" t="s">
        <v>63</v>
      </c>
      <c r="D1885" s="60" t="s">
        <v>75</v>
      </c>
      <c r="E1885" s="44" t="s">
        <v>2440</v>
      </c>
      <c r="F1885" s="42" t="s">
        <v>2441</v>
      </c>
      <c r="G1885" s="66" t="s">
        <v>88</v>
      </c>
      <c r="H1885" s="45" t="s">
        <v>2470</v>
      </c>
      <c r="I1885" s="47" t="e">
        <f>VLOOKUP(H1885,'合同综合查询数据（3月返）'!$A:$A,1,FALSE)</f>
        <v>#N/A</v>
      </c>
      <c r="J1885" s="66" t="s">
        <v>90</v>
      </c>
      <c r="K1885" s="42" t="s">
        <v>2478</v>
      </c>
      <c r="L1885" s="49"/>
      <c r="M1885" s="50" t="s">
        <v>2481</v>
      </c>
      <c r="N1885" s="51">
        <v>44317</v>
      </c>
      <c r="O1885" s="51" t="s">
        <v>1320</v>
      </c>
      <c r="P1885" s="67">
        <v>8000</v>
      </c>
      <c r="Q1885" s="53">
        <v>1</v>
      </c>
      <c r="R1885" s="68">
        <f t="shared" si="47"/>
        <v>8000</v>
      </c>
      <c r="S1885" s="70">
        <v>202303</v>
      </c>
      <c r="T1885" s="44" t="s">
        <v>2482</v>
      </c>
      <c r="U1885" s="44"/>
      <c r="V1885" s="235"/>
      <c r="W1885" s="235"/>
      <c r="X1885" s="73"/>
      <c r="Y1885" s="73"/>
    </row>
    <row r="1886" s="10" customFormat="1" customHeight="1" spans="1:25">
      <c r="A1886" s="42" t="s">
        <v>61</v>
      </c>
      <c r="B1886" s="61" t="s">
        <v>62</v>
      </c>
      <c r="C1886" s="43" t="s">
        <v>63</v>
      </c>
      <c r="D1886" s="60" t="s">
        <v>75</v>
      </c>
      <c r="E1886" s="44" t="s">
        <v>2440</v>
      </c>
      <c r="F1886" s="42" t="s">
        <v>2441</v>
      </c>
      <c r="G1886" s="66" t="s">
        <v>67</v>
      </c>
      <c r="H1886" s="45" t="s">
        <v>2470</v>
      </c>
      <c r="I1886" s="47" t="e">
        <f>VLOOKUP(H1886,'合同综合查询数据（3月返）'!$A:$A,1,FALSE)</f>
        <v>#N/A</v>
      </c>
      <c r="J1886" s="66" t="s">
        <v>69</v>
      </c>
      <c r="K1886" s="42" t="s">
        <v>2483</v>
      </c>
      <c r="L1886" s="49"/>
      <c r="M1886" s="50"/>
      <c r="N1886" s="51">
        <v>44317</v>
      </c>
      <c r="O1886" s="51" t="s">
        <v>71</v>
      </c>
      <c r="P1886" s="67">
        <v>440</v>
      </c>
      <c r="Q1886" s="53">
        <v>76</v>
      </c>
      <c r="R1886" s="68">
        <f t="shared" si="47"/>
        <v>33440</v>
      </c>
      <c r="S1886" s="70">
        <v>202303</v>
      </c>
      <c r="T1886" s="44" t="s">
        <v>2484</v>
      </c>
      <c r="U1886" s="44"/>
      <c r="V1886" s="235"/>
      <c r="W1886" s="235"/>
      <c r="X1886" s="73"/>
      <c r="Y1886" s="73"/>
    </row>
    <row r="1887" s="10" customFormat="1" customHeight="1" spans="1:25">
      <c r="A1887" s="42" t="s">
        <v>61</v>
      </c>
      <c r="B1887" s="61" t="s">
        <v>62</v>
      </c>
      <c r="C1887" s="43" t="s">
        <v>63</v>
      </c>
      <c r="D1887" s="60" t="s">
        <v>75</v>
      </c>
      <c r="E1887" s="44" t="s">
        <v>2440</v>
      </c>
      <c r="F1887" s="42" t="s">
        <v>2441</v>
      </c>
      <c r="G1887" s="66" t="s">
        <v>67</v>
      </c>
      <c r="H1887" s="45" t="s">
        <v>2470</v>
      </c>
      <c r="I1887" s="47" t="e">
        <f>VLOOKUP(H1887,'合同综合查询数据（3月返）'!$A:$A,1,FALSE)</f>
        <v>#N/A</v>
      </c>
      <c r="J1887" s="66" t="s">
        <v>69</v>
      </c>
      <c r="K1887" s="42" t="s">
        <v>2483</v>
      </c>
      <c r="L1887" s="49"/>
      <c r="M1887" s="50"/>
      <c r="N1887" s="51">
        <v>44317</v>
      </c>
      <c r="O1887" s="51" t="s">
        <v>71</v>
      </c>
      <c r="P1887" s="67">
        <v>440</v>
      </c>
      <c r="Q1887" s="53">
        <v>51</v>
      </c>
      <c r="R1887" s="68">
        <f t="shared" si="47"/>
        <v>22440</v>
      </c>
      <c r="S1887" s="70">
        <v>202303</v>
      </c>
      <c r="T1887" s="44" t="s">
        <v>2484</v>
      </c>
      <c r="U1887" s="44"/>
      <c r="V1887" s="235"/>
      <c r="W1887" s="235"/>
      <c r="X1887" s="73"/>
      <c r="Y1887" s="73"/>
    </row>
    <row r="1888" s="10" customFormat="1" customHeight="1" spans="1:25">
      <c r="A1888" s="42" t="s">
        <v>61</v>
      </c>
      <c r="B1888" s="61" t="s">
        <v>62</v>
      </c>
      <c r="C1888" s="43" t="s">
        <v>63</v>
      </c>
      <c r="D1888" s="60" t="s">
        <v>75</v>
      </c>
      <c r="E1888" s="44" t="s">
        <v>2440</v>
      </c>
      <c r="F1888" s="42" t="s">
        <v>2441</v>
      </c>
      <c r="G1888" s="66" t="s">
        <v>67</v>
      </c>
      <c r="H1888" s="45" t="s">
        <v>2470</v>
      </c>
      <c r="I1888" s="47" t="e">
        <f>VLOOKUP(H1888,'合同综合查询数据（3月返）'!$A:$A,1,FALSE)</f>
        <v>#N/A</v>
      </c>
      <c r="J1888" s="66" t="s">
        <v>69</v>
      </c>
      <c r="K1888" s="42" t="s">
        <v>2485</v>
      </c>
      <c r="L1888" s="49"/>
      <c r="M1888" s="50"/>
      <c r="N1888" s="51">
        <v>44317</v>
      </c>
      <c r="O1888" s="51" t="s">
        <v>71</v>
      </c>
      <c r="P1888" s="67">
        <v>440</v>
      </c>
      <c r="Q1888" s="53">
        <v>47</v>
      </c>
      <c r="R1888" s="68">
        <f t="shared" si="47"/>
        <v>20680</v>
      </c>
      <c r="S1888" s="70">
        <v>202303</v>
      </c>
      <c r="T1888" s="44" t="s">
        <v>2486</v>
      </c>
      <c r="U1888" s="44"/>
      <c r="V1888" s="235"/>
      <c r="W1888" s="235"/>
      <c r="X1888" s="73"/>
      <c r="Y1888" s="73"/>
    </row>
    <row r="1889" s="10" customFormat="1" customHeight="1" spans="1:25">
      <c r="A1889" s="42" t="s">
        <v>61</v>
      </c>
      <c r="B1889" s="61" t="s">
        <v>62</v>
      </c>
      <c r="C1889" s="43" t="s">
        <v>63</v>
      </c>
      <c r="D1889" s="60" t="s">
        <v>75</v>
      </c>
      <c r="E1889" s="44" t="s">
        <v>2440</v>
      </c>
      <c r="F1889" s="42" t="s">
        <v>2441</v>
      </c>
      <c r="G1889" s="66" t="s">
        <v>67</v>
      </c>
      <c r="H1889" s="45" t="s">
        <v>2470</v>
      </c>
      <c r="I1889" s="47" t="e">
        <f>VLOOKUP(H1889,'合同综合查询数据（3月返）'!$A:$A,1,FALSE)</f>
        <v>#N/A</v>
      </c>
      <c r="J1889" s="66" t="s">
        <v>69</v>
      </c>
      <c r="K1889" s="42" t="s">
        <v>2485</v>
      </c>
      <c r="L1889" s="49"/>
      <c r="M1889" s="50"/>
      <c r="N1889" s="51">
        <v>44317</v>
      </c>
      <c r="O1889" s="51" t="s">
        <v>71</v>
      </c>
      <c r="P1889" s="67">
        <v>440</v>
      </c>
      <c r="Q1889" s="53">
        <v>49</v>
      </c>
      <c r="R1889" s="68">
        <f t="shared" si="47"/>
        <v>21560</v>
      </c>
      <c r="S1889" s="70">
        <v>202303</v>
      </c>
      <c r="T1889" s="44" t="s">
        <v>2486</v>
      </c>
      <c r="U1889" s="44"/>
      <c r="V1889" s="235"/>
      <c r="W1889" s="235"/>
      <c r="X1889" s="73"/>
      <c r="Y1889" s="73"/>
    </row>
    <row r="1890" s="10" customFormat="1" customHeight="1" spans="1:25">
      <c r="A1890" s="42" t="s">
        <v>61</v>
      </c>
      <c r="B1890" s="61" t="s">
        <v>62</v>
      </c>
      <c r="C1890" s="43" t="s">
        <v>63</v>
      </c>
      <c r="D1890" s="60" t="s">
        <v>75</v>
      </c>
      <c r="E1890" s="44" t="s">
        <v>2440</v>
      </c>
      <c r="F1890" s="42" t="s">
        <v>2441</v>
      </c>
      <c r="G1890" s="66" t="s">
        <v>67</v>
      </c>
      <c r="H1890" s="45" t="s">
        <v>2470</v>
      </c>
      <c r="I1890" s="47" t="e">
        <f>VLOOKUP(H1890,'合同综合查询数据（3月返）'!$A:$A,1,FALSE)</f>
        <v>#N/A</v>
      </c>
      <c r="J1890" s="66" t="s">
        <v>69</v>
      </c>
      <c r="K1890" s="42" t="s">
        <v>2487</v>
      </c>
      <c r="L1890" s="49"/>
      <c r="M1890" s="50"/>
      <c r="N1890" s="51">
        <v>44317</v>
      </c>
      <c r="O1890" s="51" t="s">
        <v>71</v>
      </c>
      <c r="P1890" s="67">
        <v>440</v>
      </c>
      <c r="Q1890" s="53">
        <v>81.5</v>
      </c>
      <c r="R1890" s="68">
        <f t="shared" si="47"/>
        <v>35860</v>
      </c>
      <c r="S1890" s="70">
        <v>202303</v>
      </c>
      <c r="T1890" s="44" t="s">
        <v>2488</v>
      </c>
      <c r="U1890" s="44"/>
      <c r="V1890" s="235"/>
      <c r="W1890" s="235"/>
      <c r="X1890" s="73"/>
      <c r="Y1890" s="73"/>
    </row>
    <row r="1891" s="10" customFormat="1" customHeight="1" spans="1:25">
      <c r="A1891" s="42" t="s">
        <v>61</v>
      </c>
      <c r="B1891" s="61" t="s">
        <v>62</v>
      </c>
      <c r="C1891" s="43" t="s">
        <v>63</v>
      </c>
      <c r="D1891" s="60" t="s">
        <v>75</v>
      </c>
      <c r="E1891" s="44" t="s">
        <v>2440</v>
      </c>
      <c r="F1891" s="42" t="s">
        <v>2441</v>
      </c>
      <c r="G1891" s="66" t="s">
        <v>67</v>
      </c>
      <c r="H1891" s="45" t="s">
        <v>2470</v>
      </c>
      <c r="I1891" s="47" t="e">
        <f>VLOOKUP(H1891,'合同综合查询数据（3月返）'!$A:$A,1,FALSE)</f>
        <v>#N/A</v>
      </c>
      <c r="J1891" s="66" t="s">
        <v>69</v>
      </c>
      <c r="K1891" s="42" t="s">
        <v>2489</v>
      </c>
      <c r="L1891" s="49"/>
      <c r="M1891" s="50"/>
      <c r="N1891" s="51">
        <v>44317</v>
      </c>
      <c r="O1891" s="51" t="s">
        <v>71</v>
      </c>
      <c r="P1891" s="67">
        <v>1320</v>
      </c>
      <c r="Q1891" s="53">
        <v>5</v>
      </c>
      <c r="R1891" s="68">
        <f t="shared" si="47"/>
        <v>6600</v>
      </c>
      <c r="S1891" s="70">
        <v>202303</v>
      </c>
      <c r="T1891" s="44" t="s">
        <v>2490</v>
      </c>
      <c r="U1891" s="44"/>
      <c r="V1891" s="235"/>
      <c r="W1891" s="235"/>
      <c r="X1891" s="73"/>
      <c r="Y1891" s="73"/>
    </row>
    <row r="1892" s="10" customFormat="1" customHeight="1" spans="1:25">
      <c r="A1892" s="42" t="s">
        <v>61</v>
      </c>
      <c r="B1892" s="61" t="s">
        <v>62</v>
      </c>
      <c r="C1892" s="43" t="s">
        <v>63</v>
      </c>
      <c r="D1892" s="60" t="s">
        <v>75</v>
      </c>
      <c r="E1892" s="44" t="s">
        <v>2440</v>
      </c>
      <c r="F1892" s="42" t="s">
        <v>2441</v>
      </c>
      <c r="G1892" s="66" t="s">
        <v>67</v>
      </c>
      <c r="H1892" s="45" t="s">
        <v>2470</v>
      </c>
      <c r="I1892" s="47" t="e">
        <f>VLOOKUP(H1892,'合同综合查询数据（3月返）'!$A:$A,1,FALSE)</f>
        <v>#N/A</v>
      </c>
      <c r="J1892" s="66" t="s">
        <v>69</v>
      </c>
      <c r="K1892" s="42" t="s">
        <v>2487</v>
      </c>
      <c r="L1892" s="49"/>
      <c r="M1892" s="50"/>
      <c r="N1892" s="51">
        <v>44317</v>
      </c>
      <c r="O1892" s="51" t="s">
        <v>71</v>
      </c>
      <c r="P1892" s="67">
        <v>440</v>
      </c>
      <c r="Q1892" s="53">
        <v>78.3</v>
      </c>
      <c r="R1892" s="68">
        <f t="shared" si="47"/>
        <v>34452</v>
      </c>
      <c r="S1892" s="70">
        <v>202303</v>
      </c>
      <c r="T1892" s="44" t="s">
        <v>2488</v>
      </c>
      <c r="U1892" s="44"/>
      <c r="V1892" s="235"/>
      <c r="W1892" s="235"/>
      <c r="X1892" s="73"/>
      <c r="Y1892" s="73"/>
    </row>
    <row r="1893" s="10" customFormat="1" customHeight="1" spans="1:25">
      <c r="A1893" s="42" t="s">
        <v>61</v>
      </c>
      <c r="B1893" s="61" t="s">
        <v>62</v>
      </c>
      <c r="C1893" s="43" t="s">
        <v>63</v>
      </c>
      <c r="D1893" s="60" t="s">
        <v>75</v>
      </c>
      <c r="E1893" s="44" t="s">
        <v>2440</v>
      </c>
      <c r="F1893" s="42" t="s">
        <v>2441</v>
      </c>
      <c r="G1893" s="66" t="s">
        <v>67</v>
      </c>
      <c r="H1893" s="45" t="s">
        <v>2470</v>
      </c>
      <c r="I1893" s="47" t="e">
        <f>VLOOKUP(H1893,'合同综合查询数据（3月返）'!$A:$A,1,FALSE)</f>
        <v>#N/A</v>
      </c>
      <c r="J1893" s="66" t="s">
        <v>69</v>
      </c>
      <c r="K1893" s="42" t="s">
        <v>2489</v>
      </c>
      <c r="L1893" s="49"/>
      <c r="M1893" s="50"/>
      <c r="N1893" s="51">
        <v>44317</v>
      </c>
      <c r="O1893" s="51" t="s">
        <v>71</v>
      </c>
      <c r="P1893" s="67">
        <v>1320</v>
      </c>
      <c r="Q1893" s="53">
        <v>6.2</v>
      </c>
      <c r="R1893" s="68">
        <f t="shared" si="47"/>
        <v>8184</v>
      </c>
      <c r="S1893" s="70">
        <v>202303</v>
      </c>
      <c r="T1893" s="44" t="s">
        <v>2490</v>
      </c>
      <c r="U1893" s="44"/>
      <c r="V1893" s="235"/>
      <c r="W1893" s="235"/>
      <c r="X1893" s="73"/>
      <c r="Y1893" s="73"/>
    </row>
    <row r="1894" s="10" customFormat="1" customHeight="1" spans="1:25">
      <c r="A1894" s="42" t="s">
        <v>61</v>
      </c>
      <c r="B1894" s="61" t="s">
        <v>62</v>
      </c>
      <c r="C1894" s="43" t="s">
        <v>63</v>
      </c>
      <c r="D1894" s="60" t="s">
        <v>75</v>
      </c>
      <c r="E1894" s="44" t="s">
        <v>2440</v>
      </c>
      <c r="F1894" s="42" t="s">
        <v>2441</v>
      </c>
      <c r="G1894" s="66" t="s">
        <v>67</v>
      </c>
      <c r="H1894" s="45" t="s">
        <v>2470</v>
      </c>
      <c r="I1894" s="47" t="e">
        <f>VLOOKUP(H1894,'合同综合查询数据（3月返）'!$A:$A,1,FALSE)</f>
        <v>#N/A</v>
      </c>
      <c r="J1894" s="66" t="s">
        <v>69</v>
      </c>
      <c r="K1894" s="42" t="s">
        <v>2491</v>
      </c>
      <c r="L1894" s="49"/>
      <c r="M1894" s="50"/>
      <c r="N1894" s="51">
        <v>44317</v>
      </c>
      <c r="O1894" s="51" t="s">
        <v>71</v>
      </c>
      <c r="P1894" s="67">
        <v>440</v>
      </c>
      <c r="Q1894" s="53">
        <v>63</v>
      </c>
      <c r="R1894" s="68">
        <f t="shared" si="47"/>
        <v>27720</v>
      </c>
      <c r="S1894" s="70">
        <v>202303</v>
      </c>
      <c r="T1894" s="44" t="s">
        <v>2492</v>
      </c>
      <c r="U1894" s="44"/>
      <c r="V1894" s="235"/>
      <c r="W1894" s="235"/>
      <c r="X1894" s="73"/>
      <c r="Y1894" s="73"/>
    </row>
    <row r="1895" s="10" customFormat="1" customHeight="1" spans="1:25">
      <c r="A1895" s="42" t="s">
        <v>61</v>
      </c>
      <c r="B1895" s="61" t="s">
        <v>62</v>
      </c>
      <c r="C1895" s="43" t="s">
        <v>63</v>
      </c>
      <c r="D1895" s="60" t="s">
        <v>75</v>
      </c>
      <c r="E1895" s="44" t="s">
        <v>2440</v>
      </c>
      <c r="F1895" s="42" t="s">
        <v>2441</v>
      </c>
      <c r="G1895" s="66" t="s">
        <v>67</v>
      </c>
      <c r="H1895" s="45" t="s">
        <v>2470</v>
      </c>
      <c r="I1895" s="47" t="e">
        <f>VLOOKUP(H1895,'合同综合查询数据（3月返）'!$A:$A,1,FALSE)</f>
        <v>#N/A</v>
      </c>
      <c r="J1895" s="66" t="s">
        <v>69</v>
      </c>
      <c r="K1895" s="42" t="s">
        <v>2493</v>
      </c>
      <c r="L1895" s="49"/>
      <c r="M1895" s="50"/>
      <c r="N1895" s="51">
        <v>44317</v>
      </c>
      <c r="O1895" s="51" t="s">
        <v>71</v>
      </c>
      <c r="P1895" s="67">
        <v>1320</v>
      </c>
      <c r="Q1895" s="53">
        <v>5</v>
      </c>
      <c r="R1895" s="68">
        <f t="shared" si="47"/>
        <v>6600</v>
      </c>
      <c r="S1895" s="70">
        <v>202303</v>
      </c>
      <c r="T1895" s="44" t="s">
        <v>2494</v>
      </c>
      <c r="U1895" s="44"/>
      <c r="V1895" s="235"/>
      <c r="W1895" s="235"/>
      <c r="X1895" s="73"/>
      <c r="Y1895" s="73"/>
    </row>
    <row r="1896" s="10" customFormat="1" customHeight="1" spans="1:25">
      <c r="A1896" s="42" t="s">
        <v>61</v>
      </c>
      <c r="B1896" s="61" t="s">
        <v>62</v>
      </c>
      <c r="C1896" s="43" t="s">
        <v>63</v>
      </c>
      <c r="D1896" s="60" t="s">
        <v>75</v>
      </c>
      <c r="E1896" s="44" t="s">
        <v>2440</v>
      </c>
      <c r="F1896" s="42" t="s">
        <v>2441</v>
      </c>
      <c r="G1896" s="66" t="s">
        <v>67</v>
      </c>
      <c r="H1896" s="45" t="s">
        <v>2470</v>
      </c>
      <c r="I1896" s="47" t="e">
        <f>VLOOKUP(H1896,'合同综合查询数据（3月返）'!$A:$A,1,FALSE)</f>
        <v>#N/A</v>
      </c>
      <c r="J1896" s="66" t="s">
        <v>69</v>
      </c>
      <c r="K1896" s="42" t="s">
        <v>2491</v>
      </c>
      <c r="L1896" s="49"/>
      <c r="M1896" s="50"/>
      <c r="N1896" s="51">
        <v>44317</v>
      </c>
      <c r="O1896" s="51" t="s">
        <v>71</v>
      </c>
      <c r="P1896" s="67">
        <v>440</v>
      </c>
      <c r="Q1896" s="53">
        <v>73</v>
      </c>
      <c r="R1896" s="68">
        <f t="shared" si="47"/>
        <v>32120</v>
      </c>
      <c r="S1896" s="70">
        <v>202303</v>
      </c>
      <c r="T1896" s="44" t="s">
        <v>2492</v>
      </c>
      <c r="U1896" s="44"/>
      <c r="V1896" s="235"/>
      <c r="W1896" s="235"/>
      <c r="X1896" s="73"/>
      <c r="Y1896" s="73"/>
    </row>
    <row r="1897" s="10" customFormat="1" customHeight="1" spans="1:25">
      <c r="A1897" s="42" t="s">
        <v>61</v>
      </c>
      <c r="B1897" s="61" t="s">
        <v>62</v>
      </c>
      <c r="C1897" s="43" t="s">
        <v>63</v>
      </c>
      <c r="D1897" s="60" t="s">
        <v>75</v>
      </c>
      <c r="E1897" s="44" t="s">
        <v>2440</v>
      </c>
      <c r="F1897" s="42" t="s">
        <v>2441</v>
      </c>
      <c r="G1897" s="66" t="s">
        <v>67</v>
      </c>
      <c r="H1897" s="45" t="s">
        <v>2470</v>
      </c>
      <c r="I1897" s="47" t="e">
        <f>VLOOKUP(H1897,'合同综合查询数据（3月返）'!$A:$A,1,FALSE)</f>
        <v>#N/A</v>
      </c>
      <c r="J1897" s="66" t="s">
        <v>69</v>
      </c>
      <c r="K1897" s="42" t="s">
        <v>2493</v>
      </c>
      <c r="L1897" s="49"/>
      <c r="M1897" s="50"/>
      <c r="N1897" s="51">
        <v>44317</v>
      </c>
      <c r="O1897" s="51" t="s">
        <v>71</v>
      </c>
      <c r="P1897" s="67">
        <v>1320</v>
      </c>
      <c r="Q1897" s="53">
        <v>6.2</v>
      </c>
      <c r="R1897" s="68">
        <f t="shared" si="47"/>
        <v>8184</v>
      </c>
      <c r="S1897" s="70">
        <v>202303</v>
      </c>
      <c r="T1897" s="44" t="s">
        <v>2494</v>
      </c>
      <c r="U1897" s="44"/>
      <c r="V1897" s="235"/>
      <c r="W1897" s="235"/>
      <c r="X1897" s="73"/>
      <c r="Y1897" s="73"/>
    </row>
    <row r="1898" s="10" customFormat="1" customHeight="1" spans="1:25">
      <c r="A1898" s="42" t="s">
        <v>61</v>
      </c>
      <c r="B1898" s="61" t="s">
        <v>62</v>
      </c>
      <c r="C1898" s="43" t="s">
        <v>63</v>
      </c>
      <c r="D1898" s="60" t="s">
        <v>75</v>
      </c>
      <c r="E1898" s="44" t="s">
        <v>2440</v>
      </c>
      <c r="F1898" s="42" t="s">
        <v>2441</v>
      </c>
      <c r="G1898" s="66" t="s">
        <v>67</v>
      </c>
      <c r="H1898" s="45" t="s">
        <v>2470</v>
      </c>
      <c r="I1898" s="47" t="e">
        <f>VLOOKUP(H1898,'合同综合查询数据（3月返）'!$A:$A,1,FALSE)</f>
        <v>#N/A</v>
      </c>
      <c r="J1898" s="66" t="s">
        <v>69</v>
      </c>
      <c r="K1898" s="42" t="s">
        <v>2495</v>
      </c>
      <c r="L1898" s="49"/>
      <c r="M1898" s="50"/>
      <c r="N1898" s="51">
        <v>44340</v>
      </c>
      <c r="O1898" s="51" t="s">
        <v>71</v>
      </c>
      <c r="P1898" s="67">
        <v>432</v>
      </c>
      <c r="Q1898" s="53">
        <v>3</v>
      </c>
      <c r="R1898" s="68">
        <f t="shared" si="47"/>
        <v>1296</v>
      </c>
      <c r="S1898" s="70">
        <v>202303</v>
      </c>
      <c r="T1898" s="44" t="s">
        <v>2496</v>
      </c>
      <c r="U1898" s="44"/>
      <c r="V1898" s="235"/>
      <c r="W1898" s="235"/>
      <c r="X1898" s="73"/>
      <c r="Y1898" s="73"/>
    </row>
    <row r="1899" s="10" customFormat="1" customHeight="1" spans="1:25">
      <c r="A1899" s="42" t="s">
        <v>61</v>
      </c>
      <c r="B1899" s="61" t="s">
        <v>62</v>
      </c>
      <c r="C1899" s="43" t="s">
        <v>63</v>
      </c>
      <c r="D1899" s="60" t="s">
        <v>75</v>
      </c>
      <c r="E1899" s="44" t="s">
        <v>2440</v>
      </c>
      <c r="F1899" s="42" t="s">
        <v>2441</v>
      </c>
      <c r="G1899" s="66" t="s">
        <v>67</v>
      </c>
      <c r="H1899" s="45" t="s">
        <v>2470</v>
      </c>
      <c r="I1899" s="47" t="e">
        <f>VLOOKUP(H1899,'合同综合查询数据（3月返）'!$A:$A,1,FALSE)</f>
        <v>#N/A</v>
      </c>
      <c r="J1899" s="66" t="s">
        <v>69</v>
      </c>
      <c r="K1899" s="42" t="s">
        <v>2495</v>
      </c>
      <c r="L1899" s="49"/>
      <c r="M1899" s="50"/>
      <c r="N1899" s="51">
        <v>44340</v>
      </c>
      <c r="O1899" s="51" t="s">
        <v>71</v>
      </c>
      <c r="P1899" s="67">
        <v>432</v>
      </c>
      <c r="Q1899" s="53">
        <v>1.2</v>
      </c>
      <c r="R1899" s="68">
        <f t="shared" si="47"/>
        <v>518.4</v>
      </c>
      <c r="S1899" s="70">
        <v>202303</v>
      </c>
      <c r="T1899" s="44" t="s">
        <v>2496</v>
      </c>
      <c r="U1899" s="44"/>
      <c r="V1899" s="235"/>
      <c r="W1899" s="235"/>
      <c r="X1899" s="73"/>
      <c r="Y1899" s="73"/>
    </row>
    <row r="1900" s="10" customFormat="1" customHeight="1" spans="1:25">
      <c r="A1900" s="42" t="s">
        <v>61</v>
      </c>
      <c r="B1900" s="61" t="s">
        <v>62</v>
      </c>
      <c r="C1900" s="43" t="s">
        <v>63</v>
      </c>
      <c r="D1900" s="60" t="s">
        <v>75</v>
      </c>
      <c r="E1900" s="44" t="s">
        <v>2440</v>
      </c>
      <c r="F1900" s="42" t="s">
        <v>2441</v>
      </c>
      <c r="G1900" s="66" t="s">
        <v>78</v>
      </c>
      <c r="H1900" s="45" t="s">
        <v>2470</v>
      </c>
      <c r="I1900" s="47" t="e">
        <f>VLOOKUP(H1900,'合同综合查询数据（3月返）'!$A:$A,1,FALSE)</f>
        <v>#N/A</v>
      </c>
      <c r="J1900" s="66" t="s">
        <v>2497</v>
      </c>
      <c r="K1900" s="42" t="s">
        <v>2498</v>
      </c>
      <c r="L1900" s="49"/>
      <c r="M1900" s="50"/>
      <c r="N1900" s="51">
        <v>44340</v>
      </c>
      <c r="O1900" s="51"/>
      <c r="P1900" s="67">
        <v>1851</v>
      </c>
      <c r="Q1900" s="53">
        <v>1</v>
      </c>
      <c r="R1900" s="68">
        <f t="shared" si="47"/>
        <v>1851</v>
      </c>
      <c r="S1900" s="70">
        <v>202303</v>
      </c>
      <c r="T1900" s="44" t="s">
        <v>2499</v>
      </c>
      <c r="U1900" s="44"/>
      <c r="V1900" s="235"/>
      <c r="W1900" s="235"/>
      <c r="X1900" s="73"/>
      <c r="Y1900" s="73"/>
    </row>
    <row r="1901" s="10" customFormat="1" customHeight="1" spans="1:25">
      <c r="A1901" s="42" t="s">
        <v>61</v>
      </c>
      <c r="B1901" s="61" t="s">
        <v>62</v>
      </c>
      <c r="C1901" s="43" t="s">
        <v>63</v>
      </c>
      <c r="D1901" s="60" t="s">
        <v>75</v>
      </c>
      <c r="E1901" s="44" t="s">
        <v>2440</v>
      </c>
      <c r="F1901" s="42" t="s">
        <v>2441</v>
      </c>
      <c r="G1901" s="66" t="s">
        <v>67</v>
      </c>
      <c r="H1901" s="45" t="s">
        <v>2470</v>
      </c>
      <c r="I1901" s="47" t="e">
        <f>VLOOKUP(H1901,'合同综合查询数据（3月返）'!$A:$A,1,FALSE)</f>
        <v>#N/A</v>
      </c>
      <c r="J1901" s="66" t="s">
        <v>69</v>
      </c>
      <c r="K1901" s="42" t="s">
        <v>2495</v>
      </c>
      <c r="L1901" s="49"/>
      <c r="M1901" s="50"/>
      <c r="N1901" s="51">
        <v>44592</v>
      </c>
      <c r="O1901" s="51" t="s">
        <v>71</v>
      </c>
      <c r="P1901" s="67">
        <v>432</v>
      </c>
      <c r="Q1901" s="53">
        <v>-3</v>
      </c>
      <c r="R1901" s="68">
        <f t="shared" si="47"/>
        <v>-1296</v>
      </c>
      <c r="S1901" s="70">
        <v>202303</v>
      </c>
      <c r="T1901" s="44" t="s">
        <v>2496</v>
      </c>
      <c r="U1901" s="44"/>
      <c r="V1901" s="235"/>
      <c r="W1901" s="235"/>
      <c r="X1901" s="73"/>
      <c r="Y1901" s="73"/>
    </row>
    <row r="1902" s="10" customFormat="1" customHeight="1" spans="1:25">
      <c r="A1902" s="42" t="s">
        <v>61</v>
      </c>
      <c r="B1902" s="61" t="s">
        <v>62</v>
      </c>
      <c r="C1902" s="43" t="s">
        <v>63</v>
      </c>
      <c r="D1902" s="60" t="s">
        <v>75</v>
      </c>
      <c r="E1902" s="44" t="s">
        <v>2440</v>
      </c>
      <c r="F1902" s="42" t="s">
        <v>2441</v>
      </c>
      <c r="G1902" s="66" t="s">
        <v>67</v>
      </c>
      <c r="H1902" s="45" t="s">
        <v>2470</v>
      </c>
      <c r="I1902" s="47" t="e">
        <f>VLOOKUP(H1902,'合同综合查询数据（3月返）'!$A:$A,1,FALSE)</f>
        <v>#N/A</v>
      </c>
      <c r="J1902" s="66" t="s">
        <v>69</v>
      </c>
      <c r="K1902" s="42" t="s">
        <v>2495</v>
      </c>
      <c r="L1902" s="49"/>
      <c r="M1902" s="50"/>
      <c r="N1902" s="51">
        <v>44592</v>
      </c>
      <c r="O1902" s="51" t="s">
        <v>71</v>
      </c>
      <c r="P1902" s="67">
        <v>432</v>
      </c>
      <c r="Q1902" s="53">
        <v>-1.2</v>
      </c>
      <c r="R1902" s="68">
        <f t="shared" si="47"/>
        <v>-518.4</v>
      </c>
      <c r="S1902" s="70">
        <v>202303</v>
      </c>
      <c r="T1902" s="44" t="s">
        <v>2496</v>
      </c>
      <c r="U1902" s="44"/>
      <c r="V1902" s="235"/>
      <c r="W1902" s="235"/>
      <c r="X1902" s="73"/>
      <c r="Y1902" s="73"/>
    </row>
    <row r="1903" s="10" customFormat="1" customHeight="1" spans="1:25">
      <c r="A1903" s="42" t="s">
        <v>61</v>
      </c>
      <c r="B1903" s="61" t="s">
        <v>62</v>
      </c>
      <c r="C1903" s="43" t="s">
        <v>63</v>
      </c>
      <c r="D1903" s="60" t="s">
        <v>75</v>
      </c>
      <c r="E1903" s="44" t="s">
        <v>2440</v>
      </c>
      <c r="F1903" s="42" t="s">
        <v>2441</v>
      </c>
      <c r="G1903" s="66" t="s">
        <v>78</v>
      </c>
      <c r="H1903" s="45" t="s">
        <v>2470</v>
      </c>
      <c r="I1903" s="47" t="e">
        <f>VLOOKUP(H1903,'合同综合查询数据（3月返）'!$A:$A,1,FALSE)</f>
        <v>#N/A</v>
      </c>
      <c r="J1903" s="66" t="s">
        <v>2497</v>
      </c>
      <c r="K1903" s="42" t="s">
        <v>2498</v>
      </c>
      <c r="L1903" s="49"/>
      <c r="M1903" s="50"/>
      <c r="N1903" s="51">
        <v>44592</v>
      </c>
      <c r="O1903" s="51"/>
      <c r="P1903" s="67">
        <v>1851</v>
      </c>
      <c r="Q1903" s="53">
        <v>-1</v>
      </c>
      <c r="R1903" s="68">
        <f t="shared" si="47"/>
        <v>-1851</v>
      </c>
      <c r="S1903" s="70">
        <v>202303</v>
      </c>
      <c r="T1903" s="44" t="s">
        <v>2500</v>
      </c>
      <c r="U1903" s="44"/>
      <c r="V1903" s="235"/>
      <c r="W1903" s="235"/>
      <c r="X1903" s="73"/>
      <c r="Y1903" s="73"/>
    </row>
    <row r="1904" s="10" customFormat="1" customHeight="1" spans="1:25">
      <c r="A1904" s="42" t="s">
        <v>61</v>
      </c>
      <c r="B1904" s="61" t="s">
        <v>62</v>
      </c>
      <c r="C1904" s="43" t="s">
        <v>63</v>
      </c>
      <c r="D1904" s="60" t="s">
        <v>75</v>
      </c>
      <c r="E1904" s="44" t="s">
        <v>2440</v>
      </c>
      <c r="F1904" s="42" t="s">
        <v>2441</v>
      </c>
      <c r="G1904" s="66" t="s">
        <v>67</v>
      </c>
      <c r="H1904" s="45" t="s">
        <v>2470</v>
      </c>
      <c r="I1904" s="47" t="e">
        <f>VLOOKUP(H1904,'合同综合查询数据（3月返）'!$A:$A,1,FALSE)</f>
        <v>#N/A</v>
      </c>
      <c r="J1904" s="66" t="s">
        <v>69</v>
      </c>
      <c r="K1904" s="42" t="s">
        <v>2501</v>
      </c>
      <c r="L1904" s="49"/>
      <c r="M1904" s="50"/>
      <c r="N1904" s="51">
        <v>44340</v>
      </c>
      <c r="O1904" s="51" t="s">
        <v>71</v>
      </c>
      <c r="P1904" s="67">
        <v>432</v>
      </c>
      <c r="Q1904" s="53">
        <v>49</v>
      </c>
      <c r="R1904" s="68">
        <f t="shared" si="47"/>
        <v>21168</v>
      </c>
      <c r="S1904" s="70">
        <v>202303</v>
      </c>
      <c r="T1904" s="44" t="s">
        <v>2502</v>
      </c>
      <c r="U1904" s="44"/>
      <c r="V1904" s="235"/>
      <c r="W1904" s="235"/>
      <c r="X1904" s="73"/>
      <c r="Y1904" s="73"/>
    </row>
    <row r="1905" s="10" customFormat="1" customHeight="1" spans="1:25">
      <c r="A1905" s="42" t="s">
        <v>61</v>
      </c>
      <c r="B1905" s="61" t="s">
        <v>62</v>
      </c>
      <c r="C1905" s="43" t="s">
        <v>63</v>
      </c>
      <c r="D1905" s="60" t="s">
        <v>75</v>
      </c>
      <c r="E1905" s="44" t="s">
        <v>2440</v>
      </c>
      <c r="F1905" s="42" t="s">
        <v>2441</v>
      </c>
      <c r="G1905" s="66" t="s">
        <v>67</v>
      </c>
      <c r="H1905" s="45" t="s">
        <v>2470</v>
      </c>
      <c r="I1905" s="47" t="e">
        <f>VLOOKUP(H1905,'合同综合查询数据（3月返）'!$A:$A,1,FALSE)</f>
        <v>#N/A</v>
      </c>
      <c r="J1905" s="66" t="s">
        <v>69</v>
      </c>
      <c r="K1905" s="42" t="s">
        <v>2501</v>
      </c>
      <c r="L1905" s="49"/>
      <c r="M1905" s="50"/>
      <c r="N1905" s="51">
        <v>44340</v>
      </c>
      <c r="O1905" s="51" t="s">
        <v>71</v>
      </c>
      <c r="P1905" s="67">
        <v>432</v>
      </c>
      <c r="Q1905" s="53">
        <v>58.8</v>
      </c>
      <c r="R1905" s="68">
        <f t="shared" si="47"/>
        <v>25401.6</v>
      </c>
      <c r="S1905" s="70">
        <v>202303</v>
      </c>
      <c r="T1905" s="44" t="s">
        <v>2502</v>
      </c>
      <c r="U1905" s="44"/>
      <c r="V1905" s="235"/>
      <c r="W1905" s="235"/>
      <c r="X1905" s="73"/>
      <c r="Y1905" s="73"/>
    </row>
    <row r="1906" s="10" customFormat="1" customHeight="1" spans="1:25">
      <c r="A1906" s="42" t="s">
        <v>61</v>
      </c>
      <c r="B1906" s="61" t="s">
        <v>62</v>
      </c>
      <c r="C1906" s="43" t="s">
        <v>63</v>
      </c>
      <c r="D1906" s="60" t="s">
        <v>75</v>
      </c>
      <c r="E1906" s="44" t="s">
        <v>2440</v>
      </c>
      <c r="F1906" s="42" t="s">
        <v>2441</v>
      </c>
      <c r="G1906" s="66" t="s">
        <v>67</v>
      </c>
      <c r="H1906" s="45" t="s">
        <v>2470</v>
      </c>
      <c r="I1906" s="47" t="e">
        <f>VLOOKUP(H1906,'合同综合查询数据（3月返）'!$A:$A,1,FALSE)</f>
        <v>#N/A</v>
      </c>
      <c r="J1906" s="66" t="s">
        <v>69</v>
      </c>
      <c r="K1906" s="42" t="s">
        <v>2503</v>
      </c>
      <c r="L1906" s="49"/>
      <c r="M1906" s="50"/>
      <c r="N1906" s="51">
        <v>44340</v>
      </c>
      <c r="O1906" s="51" t="s">
        <v>71</v>
      </c>
      <c r="P1906" s="67">
        <v>432</v>
      </c>
      <c r="Q1906" s="53">
        <v>35</v>
      </c>
      <c r="R1906" s="68">
        <f t="shared" si="47"/>
        <v>15120</v>
      </c>
      <c r="S1906" s="70">
        <v>202303</v>
      </c>
      <c r="T1906" s="44" t="s">
        <v>2502</v>
      </c>
      <c r="U1906" s="44"/>
      <c r="V1906" s="235"/>
      <c r="W1906" s="235"/>
      <c r="X1906" s="73"/>
      <c r="Y1906" s="73"/>
    </row>
    <row r="1907" s="10" customFormat="1" customHeight="1" spans="1:25">
      <c r="A1907" s="42" t="s">
        <v>61</v>
      </c>
      <c r="B1907" s="61" t="s">
        <v>62</v>
      </c>
      <c r="C1907" s="43" t="s">
        <v>63</v>
      </c>
      <c r="D1907" s="60" t="s">
        <v>75</v>
      </c>
      <c r="E1907" s="44" t="s">
        <v>2440</v>
      </c>
      <c r="F1907" s="42" t="s">
        <v>2441</v>
      </c>
      <c r="G1907" s="66" t="s">
        <v>67</v>
      </c>
      <c r="H1907" s="45" t="s">
        <v>2470</v>
      </c>
      <c r="I1907" s="47" t="e">
        <f>VLOOKUP(H1907,'合同综合查询数据（3月返）'!$A:$A,1,FALSE)</f>
        <v>#N/A</v>
      </c>
      <c r="J1907" s="66" t="s">
        <v>69</v>
      </c>
      <c r="K1907" s="42" t="s">
        <v>2503</v>
      </c>
      <c r="L1907" s="49"/>
      <c r="M1907" s="50"/>
      <c r="N1907" s="51">
        <v>44530</v>
      </c>
      <c r="O1907" s="51" t="s">
        <v>71</v>
      </c>
      <c r="P1907" s="67">
        <v>432</v>
      </c>
      <c r="Q1907" s="53">
        <v>-35</v>
      </c>
      <c r="R1907" s="68">
        <f t="shared" si="47"/>
        <v>-15120</v>
      </c>
      <c r="S1907" s="70">
        <v>202303</v>
      </c>
      <c r="T1907" s="44" t="s">
        <v>1833</v>
      </c>
      <c r="U1907" s="44"/>
      <c r="V1907" s="235"/>
      <c r="W1907" s="235"/>
      <c r="X1907" s="73"/>
      <c r="Y1907" s="73"/>
    </row>
    <row r="1908" s="10" customFormat="1" customHeight="1" spans="1:25">
      <c r="A1908" s="42" t="s">
        <v>61</v>
      </c>
      <c r="B1908" s="61" t="s">
        <v>62</v>
      </c>
      <c r="C1908" s="43" t="s">
        <v>63</v>
      </c>
      <c r="D1908" s="60" t="s">
        <v>75</v>
      </c>
      <c r="E1908" s="44" t="s">
        <v>2440</v>
      </c>
      <c r="F1908" s="42" t="s">
        <v>2441</v>
      </c>
      <c r="G1908" s="66" t="s">
        <v>67</v>
      </c>
      <c r="H1908" s="45" t="s">
        <v>2470</v>
      </c>
      <c r="I1908" s="47" t="e">
        <f>VLOOKUP(H1908,'合同综合查询数据（3月返）'!$A:$A,1,FALSE)</f>
        <v>#N/A</v>
      </c>
      <c r="J1908" s="66" t="s">
        <v>69</v>
      </c>
      <c r="K1908" s="42" t="s">
        <v>2503</v>
      </c>
      <c r="L1908" s="49"/>
      <c r="M1908" s="50"/>
      <c r="N1908" s="51">
        <v>44340</v>
      </c>
      <c r="O1908" s="51" t="s">
        <v>71</v>
      </c>
      <c r="P1908" s="67">
        <v>432</v>
      </c>
      <c r="Q1908" s="53">
        <v>59</v>
      </c>
      <c r="R1908" s="68">
        <f t="shared" si="47"/>
        <v>25488</v>
      </c>
      <c r="S1908" s="70">
        <v>202303</v>
      </c>
      <c r="T1908" s="44" t="s">
        <v>2502</v>
      </c>
      <c r="U1908" s="44"/>
      <c r="V1908" s="235"/>
      <c r="W1908" s="235"/>
      <c r="X1908" s="73"/>
      <c r="Y1908" s="73"/>
    </row>
    <row r="1909" s="10" customFormat="1" customHeight="1" spans="1:25">
      <c r="A1909" s="42" t="s">
        <v>61</v>
      </c>
      <c r="B1909" s="61" t="s">
        <v>62</v>
      </c>
      <c r="C1909" s="43" t="s">
        <v>63</v>
      </c>
      <c r="D1909" s="60" t="s">
        <v>75</v>
      </c>
      <c r="E1909" s="44" t="s">
        <v>2440</v>
      </c>
      <c r="F1909" s="42" t="s">
        <v>2441</v>
      </c>
      <c r="G1909" s="66" t="s">
        <v>67</v>
      </c>
      <c r="H1909" s="45" t="s">
        <v>2470</v>
      </c>
      <c r="I1909" s="47" t="e">
        <f>VLOOKUP(H1909,'合同综合查询数据（3月返）'!$A:$A,1,FALSE)</f>
        <v>#N/A</v>
      </c>
      <c r="J1909" s="66" t="s">
        <v>69</v>
      </c>
      <c r="K1909" s="42" t="s">
        <v>2503</v>
      </c>
      <c r="L1909" s="49"/>
      <c r="M1909" s="50"/>
      <c r="N1909" s="51">
        <v>44530</v>
      </c>
      <c r="O1909" s="51" t="s">
        <v>71</v>
      </c>
      <c r="P1909" s="67">
        <v>432</v>
      </c>
      <c r="Q1909" s="53">
        <v>-59</v>
      </c>
      <c r="R1909" s="68">
        <f t="shared" si="47"/>
        <v>-25488</v>
      </c>
      <c r="S1909" s="70">
        <v>202303</v>
      </c>
      <c r="T1909" s="44" t="s">
        <v>1833</v>
      </c>
      <c r="U1909" s="44"/>
      <c r="V1909" s="235"/>
      <c r="W1909" s="235"/>
      <c r="X1909" s="73"/>
      <c r="Y1909" s="73"/>
    </row>
    <row r="1910" s="10" customFormat="1" customHeight="1" spans="1:25">
      <c r="A1910" s="42" t="s">
        <v>61</v>
      </c>
      <c r="B1910" s="61" t="s">
        <v>62</v>
      </c>
      <c r="C1910" s="43" t="s">
        <v>63</v>
      </c>
      <c r="D1910" s="60" t="s">
        <v>75</v>
      </c>
      <c r="E1910" s="44" t="s">
        <v>2440</v>
      </c>
      <c r="F1910" s="42" t="s">
        <v>2441</v>
      </c>
      <c r="G1910" s="66" t="s">
        <v>67</v>
      </c>
      <c r="H1910" s="45" t="s">
        <v>2470</v>
      </c>
      <c r="I1910" s="47" t="e">
        <f>VLOOKUP(H1910,'合同综合查询数据（3月返）'!$A:$A,1,FALSE)</f>
        <v>#N/A</v>
      </c>
      <c r="J1910" s="66" t="s">
        <v>69</v>
      </c>
      <c r="K1910" s="42" t="s">
        <v>2504</v>
      </c>
      <c r="L1910" s="49"/>
      <c r="M1910" s="50"/>
      <c r="N1910" s="51">
        <v>44340</v>
      </c>
      <c r="O1910" s="51" t="s">
        <v>71</v>
      </c>
      <c r="P1910" s="67">
        <v>432</v>
      </c>
      <c r="Q1910" s="53">
        <v>19.8</v>
      </c>
      <c r="R1910" s="68">
        <f t="shared" si="47"/>
        <v>8553.6</v>
      </c>
      <c r="S1910" s="70">
        <v>202303</v>
      </c>
      <c r="T1910" s="44" t="s">
        <v>2502</v>
      </c>
      <c r="U1910" s="44"/>
      <c r="V1910" s="235"/>
      <c r="W1910" s="235"/>
      <c r="X1910" s="73"/>
      <c r="Y1910" s="73"/>
    </row>
    <row r="1911" s="10" customFormat="1" customHeight="1" spans="1:25">
      <c r="A1911" s="42" t="s">
        <v>61</v>
      </c>
      <c r="B1911" s="61" t="s">
        <v>62</v>
      </c>
      <c r="C1911" s="43" t="s">
        <v>63</v>
      </c>
      <c r="D1911" s="60" t="s">
        <v>75</v>
      </c>
      <c r="E1911" s="44" t="s">
        <v>2440</v>
      </c>
      <c r="F1911" s="42" t="s">
        <v>2441</v>
      </c>
      <c r="G1911" s="66" t="s">
        <v>67</v>
      </c>
      <c r="H1911" s="45" t="s">
        <v>2470</v>
      </c>
      <c r="I1911" s="47" t="e">
        <f>VLOOKUP(H1911,'合同综合查询数据（3月返）'!$A:$A,1,FALSE)</f>
        <v>#N/A</v>
      </c>
      <c r="J1911" s="66" t="s">
        <v>69</v>
      </c>
      <c r="K1911" s="42" t="s">
        <v>2504</v>
      </c>
      <c r="L1911" s="49"/>
      <c r="M1911" s="50"/>
      <c r="N1911" s="51">
        <v>44340</v>
      </c>
      <c r="O1911" s="51" t="s">
        <v>71</v>
      </c>
      <c r="P1911" s="67">
        <v>432</v>
      </c>
      <c r="Q1911" s="53">
        <v>18.3</v>
      </c>
      <c r="R1911" s="68">
        <f t="shared" si="47"/>
        <v>7905.6</v>
      </c>
      <c r="S1911" s="70">
        <v>202303</v>
      </c>
      <c r="T1911" s="44" t="s">
        <v>2502</v>
      </c>
      <c r="U1911" s="44"/>
      <c r="V1911" s="235"/>
      <c r="W1911" s="235"/>
      <c r="X1911" s="73"/>
      <c r="Y1911" s="73"/>
    </row>
    <row r="1912" s="10" customFormat="1" customHeight="1" spans="1:25">
      <c r="A1912" s="42" t="s">
        <v>61</v>
      </c>
      <c r="B1912" s="61" t="s">
        <v>62</v>
      </c>
      <c r="C1912" s="43" t="s">
        <v>63</v>
      </c>
      <c r="D1912" s="60" t="s">
        <v>75</v>
      </c>
      <c r="E1912" s="44" t="s">
        <v>2440</v>
      </c>
      <c r="F1912" s="42" t="s">
        <v>2441</v>
      </c>
      <c r="G1912" s="66" t="s">
        <v>78</v>
      </c>
      <c r="H1912" s="45" t="s">
        <v>2470</v>
      </c>
      <c r="I1912" s="47" t="e">
        <f>VLOOKUP(H1912,'合同综合查询数据（3月返）'!$A:$A,1,FALSE)</f>
        <v>#N/A</v>
      </c>
      <c r="J1912" s="66" t="s">
        <v>2497</v>
      </c>
      <c r="K1912" s="42" t="s">
        <v>2505</v>
      </c>
      <c r="L1912" s="49"/>
      <c r="M1912" s="50"/>
      <c r="N1912" s="51">
        <v>44340</v>
      </c>
      <c r="O1912" s="51"/>
      <c r="P1912" s="67">
        <v>3702</v>
      </c>
      <c r="Q1912" s="53">
        <v>1</v>
      </c>
      <c r="R1912" s="68">
        <f t="shared" si="47"/>
        <v>3702</v>
      </c>
      <c r="S1912" s="70">
        <v>202303</v>
      </c>
      <c r="T1912" s="44" t="s">
        <v>2506</v>
      </c>
      <c r="U1912" s="44"/>
      <c r="V1912" s="235"/>
      <c r="W1912" s="235"/>
      <c r="X1912" s="73"/>
      <c r="Y1912" s="73"/>
    </row>
    <row r="1913" s="10" customFormat="1" customHeight="1" spans="1:25">
      <c r="A1913" s="42" t="s">
        <v>61</v>
      </c>
      <c r="B1913" s="61" t="s">
        <v>62</v>
      </c>
      <c r="C1913" s="43" t="s">
        <v>63</v>
      </c>
      <c r="D1913" s="60" t="s">
        <v>75</v>
      </c>
      <c r="E1913" s="44" t="s">
        <v>2440</v>
      </c>
      <c r="F1913" s="42" t="s">
        <v>2441</v>
      </c>
      <c r="G1913" s="66" t="s">
        <v>67</v>
      </c>
      <c r="H1913" s="45" t="s">
        <v>2470</v>
      </c>
      <c r="I1913" s="47" t="e">
        <f>VLOOKUP(H1913,'合同综合查询数据（3月返）'!$A:$A,1,FALSE)</f>
        <v>#N/A</v>
      </c>
      <c r="J1913" s="66" t="s">
        <v>69</v>
      </c>
      <c r="K1913" s="42" t="s">
        <v>2507</v>
      </c>
      <c r="L1913" s="49"/>
      <c r="M1913" s="50"/>
      <c r="N1913" s="51">
        <v>44340</v>
      </c>
      <c r="O1913" s="51" t="s">
        <v>71</v>
      </c>
      <c r="P1913" s="67">
        <v>432</v>
      </c>
      <c r="Q1913" s="53">
        <v>37</v>
      </c>
      <c r="R1913" s="68">
        <f t="shared" si="47"/>
        <v>15984</v>
      </c>
      <c r="S1913" s="70">
        <v>202303</v>
      </c>
      <c r="T1913" s="44" t="s">
        <v>2508</v>
      </c>
      <c r="U1913" s="44"/>
      <c r="V1913" s="235"/>
      <c r="W1913" s="235"/>
      <c r="X1913" s="73"/>
      <c r="Y1913" s="73"/>
    </row>
    <row r="1914" s="10" customFormat="1" customHeight="1" spans="1:25">
      <c r="A1914" s="42" t="s">
        <v>61</v>
      </c>
      <c r="B1914" s="61" t="s">
        <v>62</v>
      </c>
      <c r="C1914" s="43" t="s">
        <v>63</v>
      </c>
      <c r="D1914" s="60" t="s">
        <v>75</v>
      </c>
      <c r="E1914" s="44" t="s">
        <v>2440</v>
      </c>
      <c r="F1914" s="42" t="s">
        <v>2441</v>
      </c>
      <c r="G1914" s="66" t="s">
        <v>67</v>
      </c>
      <c r="H1914" s="45" t="s">
        <v>2470</v>
      </c>
      <c r="I1914" s="47" t="e">
        <f>VLOOKUP(H1914,'合同综合查询数据（3月返）'!$A:$A,1,FALSE)</f>
        <v>#N/A</v>
      </c>
      <c r="J1914" s="66" t="s">
        <v>69</v>
      </c>
      <c r="K1914" s="42" t="s">
        <v>2507</v>
      </c>
      <c r="L1914" s="49"/>
      <c r="M1914" s="50"/>
      <c r="N1914" s="51">
        <v>44340</v>
      </c>
      <c r="O1914" s="51" t="s">
        <v>71</v>
      </c>
      <c r="P1914" s="67">
        <v>432</v>
      </c>
      <c r="Q1914" s="53">
        <v>58</v>
      </c>
      <c r="R1914" s="68">
        <f t="shared" si="47"/>
        <v>25056</v>
      </c>
      <c r="S1914" s="70">
        <v>202303</v>
      </c>
      <c r="T1914" s="44" t="s">
        <v>2508</v>
      </c>
      <c r="U1914" s="44"/>
      <c r="V1914" s="235"/>
      <c r="W1914" s="235"/>
      <c r="X1914" s="73"/>
      <c r="Y1914" s="73"/>
    </row>
    <row r="1915" s="10" customFormat="1" customHeight="1" spans="1:25">
      <c r="A1915" s="42" t="s">
        <v>61</v>
      </c>
      <c r="B1915" s="61" t="s">
        <v>62</v>
      </c>
      <c r="C1915" s="43" t="s">
        <v>63</v>
      </c>
      <c r="D1915" s="60" t="s">
        <v>75</v>
      </c>
      <c r="E1915" s="44" t="s">
        <v>2440</v>
      </c>
      <c r="F1915" s="42" t="s">
        <v>2441</v>
      </c>
      <c r="G1915" s="66" t="s">
        <v>78</v>
      </c>
      <c r="H1915" s="45" t="s">
        <v>2470</v>
      </c>
      <c r="I1915" s="47" t="e">
        <f>VLOOKUP(H1915,'合同综合查询数据（3月返）'!$A:$A,1,FALSE)</f>
        <v>#N/A</v>
      </c>
      <c r="J1915" s="66" t="s">
        <v>2497</v>
      </c>
      <c r="K1915" s="42" t="s">
        <v>2509</v>
      </c>
      <c r="L1915" s="49"/>
      <c r="M1915" s="50"/>
      <c r="N1915" s="51">
        <v>44340</v>
      </c>
      <c r="O1915" s="51"/>
      <c r="P1915" s="67">
        <v>740</v>
      </c>
      <c r="Q1915" s="53">
        <v>1</v>
      </c>
      <c r="R1915" s="68">
        <f t="shared" si="47"/>
        <v>740</v>
      </c>
      <c r="S1915" s="70">
        <v>202303</v>
      </c>
      <c r="T1915" s="44" t="s">
        <v>2510</v>
      </c>
      <c r="U1915" s="44"/>
      <c r="V1915" s="235"/>
      <c r="W1915" s="235"/>
      <c r="X1915" s="73"/>
      <c r="Y1915" s="73"/>
    </row>
    <row r="1916" s="10" customFormat="1" customHeight="1" spans="1:25">
      <c r="A1916" s="42" t="s">
        <v>61</v>
      </c>
      <c r="B1916" s="61" t="s">
        <v>62</v>
      </c>
      <c r="C1916" s="43" t="s">
        <v>63</v>
      </c>
      <c r="D1916" s="60" t="s">
        <v>75</v>
      </c>
      <c r="E1916" s="44" t="s">
        <v>2440</v>
      </c>
      <c r="F1916" s="42" t="s">
        <v>2441</v>
      </c>
      <c r="G1916" s="66" t="s">
        <v>67</v>
      </c>
      <c r="H1916" s="45" t="s">
        <v>2511</v>
      </c>
      <c r="I1916" s="47" t="e">
        <f>VLOOKUP(H1916,'合同综合查询数据（3月返）'!$A:$A,1,FALSE)</f>
        <v>#N/A</v>
      </c>
      <c r="J1916" s="66" t="s">
        <v>69</v>
      </c>
      <c r="K1916" s="42" t="s">
        <v>2512</v>
      </c>
      <c r="L1916" s="49"/>
      <c r="M1916" s="50"/>
      <c r="N1916" s="51">
        <v>44537</v>
      </c>
      <c r="O1916" s="51" t="s">
        <v>71</v>
      </c>
      <c r="P1916" s="67">
        <v>396</v>
      </c>
      <c r="Q1916" s="53">
        <v>20</v>
      </c>
      <c r="R1916" s="68">
        <f t="shared" si="47"/>
        <v>7920</v>
      </c>
      <c r="S1916" s="70">
        <v>202303</v>
      </c>
      <c r="T1916" s="44" t="s">
        <v>2512</v>
      </c>
      <c r="U1916" s="44"/>
      <c r="V1916" s="235"/>
      <c r="W1916" s="235"/>
      <c r="X1916" s="73"/>
      <c r="Y1916" s="73"/>
    </row>
    <row r="1917" s="10" customFormat="1" customHeight="1" spans="1:25">
      <c r="A1917" s="42" t="s">
        <v>61</v>
      </c>
      <c r="B1917" s="61" t="s">
        <v>62</v>
      </c>
      <c r="C1917" s="43" t="s">
        <v>63</v>
      </c>
      <c r="D1917" s="60" t="s">
        <v>75</v>
      </c>
      <c r="E1917" s="44" t="s">
        <v>2440</v>
      </c>
      <c r="F1917" s="42" t="s">
        <v>2441</v>
      </c>
      <c r="G1917" s="66" t="s">
        <v>67</v>
      </c>
      <c r="H1917" s="45" t="s">
        <v>2511</v>
      </c>
      <c r="I1917" s="47" t="e">
        <f>VLOOKUP(H1917,'合同综合查询数据（3月返）'!$A:$A,1,FALSE)</f>
        <v>#N/A</v>
      </c>
      <c r="J1917" s="66" t="s">
        <v>69</v>
      </c>
      <c r="K1917" s="42" t="s">
        <v>2513</v>
      </c>
      <c r="L1917" s="49"/>
      <c r="M1917" s="50"/>
      <c r="N1917" s="51">
        <v>44537</v>
      </c>
      <c r="O1917" s="51" t="s">
        <v>71</v>
      </c>
      <c r="P1917" s="67">
        <v>396</v>
      </c>
      <c r="Q1917" s="53">
        <v>2.9</v>
      </c>
      <c r="R1917" s="68">
        <f t="shared" si="47"/>
        <v>1148.4</v>
      </c>
      <c r="S1917" s="70">
        <v>202303</v>
      </c>
      <c r="T1917" s="44" t="s">
        <v>2513</v>
      </c>
      <c r="U1917" s="44"/>
      <c r="V1917" s="235"/>
      <c r="W1917" s="235"/>
      <c r="X1917" s="73"/>
      <c r="Y1917" s="73"/>
    </row>
    <row r="1918" s="10" customFormat="1" customHeight="1" spans="1:25">
      <c r="A1918" s="42" t="s">
        <v>61</v>
      </c>
      <c r="B1918" s="61" t="s">
        <v>62</v>
      </c>
      <c r="C1918" s="43" t="s">
        <v>63</v>
      </c>
      <c r="D1918" s="60" t="s">
        <v>75</v>
      </c>
      <c r="E1918" s="44" t="s">
        <v>2440</v>
      </c>
      <c r="F1918" s="42" t="s">
        <v>2441</v>
      </c>
      <c r="G1918" s="66" t="s">
        <v>67</v>
      </c>
      <c r="H1918" s="45" t="s">
        <v>2511</v>
      </c>
      <c r="I1918" s="47" t="e">
        <f>VLOOKUP(H1918,'合同综合查询数据（3月返）'!$A:$A,1,FALSE)</f>
        <v>#N/A</v>
      </c>
      <c r="J1918" s="66" t="s">
        <v>69</v>
      </c>
      <c r="K1918" s="42" t="s">
        <v>2514</v>
      </c>
      <c r="L1918" s="49"/>
      <c r="M1918" s="50"/>
      <c r="N1918" s="51">
        <v>44457</v>
      </c>
      <c r="O1918" s="51" t="s">
        <v>71</v>
      </c>
      <c r="P1918" s="67">
        <v>396</v>
      </c>
      <c r="Q1918" s="53">
        <v>2.3</v>
      </c>
      <c r="R1918" s="68">
        <f t="shared" si="47"/>
        <v>910.8</v>
      </c>
      <c r="S1918" s="70">
        <v>202303</v>
      </c>
      <c r="T1918" s="44" t="s">
        <v>2514</v>
      </c>
      <c r="U1918" s="44"/>
      <c r="V1918" s="235"/>
      <c r="W1918" s="235"/>
      <c r="X1918" s="73"/>
      <c r="Y1918" s="73"/>
    </row>
    <row r="1919" s="10" customFormat="1" customHeight="1" spans="1:25">
      <c r="A1919" s="42" t="s">
        <v>61</v>
      </c>
      <c r="B1919" s="61" t="s">
        <v>62</v>
      </c>
      <c r="C1919" s="43" t="s">
        <v>63</v>
      </c>
      <c r="D1919" s="60" t="s">
        <v>75</v>
      </c>
      <c r="E1919" s="44" t="s">
        <v>2440</v>
      </c>
      <c r="F1919" s="42" t="s">
        <v>2441</v>
      </c>
      <c r="G1919" s="66" t="s">
        <v>67</v>
      </c>
      <c r="H1919" s="45" t="s">
        <v>2511</v>
      </c>
      <c r="I1919" s="47" t="e">
        <f>VLOOKUP(H1919,'合同综合查询数据（3月返）'!$A:$A,1,FALSE)</f>
        <v>#N/A</v>
      </c>
      <c r="J1919" s="66" t="s">
        <v>69</v>
      </c>
      <c r="K1919" s="42" t="s">
        <v>2514</v>
      </c>
      <c r="L1919" s="49"/>
      <c r="M1919" s="50"/>
      <c r="N1919" s="51">
        <v>44957</v>
      </c>
      <c r="O1919" s="51" t="s">
        <v>71</v>
      </c>
      <c r="P1919" s="67">
        <v>396</v>
      </c>
      <c r="Q1919" s="53">
        <v>-2.3</v>
      </c>
      <c r="R1919" s="68">
        <f t="shared" si="47"/>
        <v>-910.8</v>
      </c>
      <c r="S1919" s="70">
        <v>202303</v>
      </c>
      <c r="T1919" s="44" t="s">
        <v>2515</v>
      </c>
      <c r="U1919" s="44"/>
      <c r="V1919" s="235"/>
      <c r="W1919" s="235"/>
      <c r="X1919" s="73"/>
      <c r="Y1919" s="73"/>
    </row>
    <row r="1920" s="10" customFormat="1" customHeight="1" spans="1:25">
      <c r="A1920" s="42" t="s">
        <v>61</v>
      </c>
      <c r="B1920" s="61" t="s">
        <v>62</v>
      </c>
      <c r="C1920" s="43" t="s">
        <v>63</v>
      </c>
      <c r="D1920" s="60" t="s">
        <v>75</v>
      </c>
      <c r="E1920" s="44" t="s">
        <v>2440</v>
      </c>
      <c r="F1920" s="42" t="s">
        <v>2441</v>
      </c>
      <c r="G1920" s="66" t="s">
        <v>67</v>
      </c>
      <c r="H1920" s="45" t="s">
        <v>2511</v>
      </c>
      <c r="I1920" s="47" t="e">
        <f>VLOOKUP(H1920,'合同综合查询数据（3月返）'!$A:$A,1,FALSE)</f>
        <v>#N/A</v>
      </c>
      <c r="J1920" s="66" t="s">
        <v>69</v>
      </c>
      <c r="K1920" s="42" t="s">
        <v>2516</v>
      </c>
      <c r="L1920" s="49"/>
      <c r="M1920" s="50"/>
      <c r="N1920" s="51">
        <v>44575</v>
      </c>
      <c r="O1920" s="51" t="s">
        <v>71</v>
      </c>
      <c r="P1920" s="67">
        <v>396</v>
      </c>
      <c r="Q1920" s="53">
        <v>12.93</v>
      </c>
      <c r="R1920" s="68">
        <f t="shared" si="47"/>
        <v>5120.28</v>
      </c>
      <c r="S1920" s="70">
        <v>202303</v>
      </c>
      <c r="T1920" s="44" t="s">
        <v>2516</v>
      </c>
      <c r="U1920" s="44"/>
      <c r="V1920" s="235"/>
      <c r="W1920" s="235"/>
      <c r="X1920" s="73"/>
      <c r="Y1920" s="73"/>
    </row>
    <row r="1921" s="10" customFormat="1" customHeight="1" spans="1:25">
      <c r="A1921" s="42" t="s">
        <v>61</v>
      </c>
      <c r="B1921" s="61" t="s">
        <v>62</v>
      </c>
      <c r="C1921" s="43" t="s">
        <v>63</v>
      </c>
      <c r="D1921" s="60" t="s">
        <v>75</v>
      </c>
      <c r="E1921" s="44" t="s">
        <v>2440</v>
      </c>
      <c r="F1921" s="42" t="s">
        <v>2441</v>
      </c>
      <c r="G1921" s="66" t="s">
        <v>67</v>
      </c>
      <c r="H1921" s="45" t="s">
        <v>2511</v>
      </c>
      <c r="I1921" s="47" t="e">
        <f>VLOOKUP(H1921,'合同综合查询数据（3月返）'!$A:$A,1,FALSE)</f>
        <v>#N/A</v>
      </c>
      <c r="J1921" s="66" t="s">
        <v>69</v>
      </c>
      <c r="K1921" s="42" t="s">
        <v>2517</v>
      </c>
      <c r="L1921" s="49"/>
      <c r="M1921" s="50"/>
      <c r="N1921" s="51">
        <v>44575</v>
      </c>
      <c r="O1921" s="51" t="s">
        <v>71</v>
      </c>
      <c r="P1921" s="67">
        <v>396</v>
      </c>
      <c r="Q1921" s="53">
        <v>11.6</v>
      </c>
      <c r="R1921" s="68">
        <f t="shared" si="47"/>
        <v>4593.6</v>
      </c>
      <c r="S1921" s="70">
        <v>202303</v>
      </c>
      <c r="T1921" s="247" t="s">
        <v>2516</v>
      </c>
      <c r="U1921" s="44"/>
      <c r="V1921" s="235"/>
      <c r="W1921" s="235"/>
      <c r="X1921" s="73"/>
      <c r="Y1921" s="73"/>
    </row>
    <row r="1922" s="10" customFormat="1" customHeight="1" spans="1:25">
      <c r="A1922" s="42" t="s">
        <v>61</v>
      </c>
      <c r="B1922" s="61" t="s">
        <v>62</v>
      </c>
      <c r="C1922" s="43" t="s">
        <v>63</v>
      </c>
      <c r="D1922" s="60" t="s">
        <v>75</v>
      </c>
      <c r="E1922" s="44" t="s">
        <v>2440</v>
      </c>
      <c r="F1922" s="42" t="s">
        <v>2441</v>
      </c>
      <c r="G1922" s="66" t="s">
        <v>67</v>
      </c>
      <c r="H1922" s="45" t="s">
        <v>2511</v>
      </c>
      <c r="I1922" s="47" t="e">
        <f>VLOOKUP(H1922,'合同综合查询数据（3月返）'!$A:$A,1,FALSE)</f>
        <v>#N/A</v>
      </c>
      <c r="J1922" s="66" t="s">
        <v>69</v>
      </c>
      <c r="K1922" s="42" t="s">
        <v>2518</v>
      </c>
      <c r="L1922" s="49"/>
      <c r="M1922" s="50"/>
      <c r="N1922" s="51">
        <v>44593</v>
      </c>
      <c r="O1922" s="51" t="s">
        <v>71</v>
      </c>
      <c r="P1922" s="67">
        <v>339.34</v>
      </c>
      <c r="Q1922" s="53">
        <v>128</v>
      </c>
      <c r="R1922" s="68">
        <f t="shared" si="47"/>
        <v>43435.52</v>
      </c>
      <c r="S1922" s="70">
        <v>202303</v>
      </c>
      <c r="T1922" s="247" t="s">
        <v>2519</v>
      </c>
      <c r="U1922" s="44"/>
      <c r="V1922" s="235"/>
      <c r="W1922" s="235"/>
      <c r="X1922" s="73"/>
      <c r="Y1922" s="73"/>
    </row>
    <row r="1923" s="10" customFormat="1" customHeight="1" spans="1:25">
      <c r="A1923" s="42" t="s">
        <v>61</v>
      </c>
      <c r="B1923" s="61" t="s">
        <v>62</v>
      </c>
      <c r="C1923" s="43" t="s">
        <v>63</v>
      </c>
      <c r="D1923" s="60" t="s">
        <v>75</v>
      </c>
      <c r="E1923" s="44" t="s">
        <v>2440</v>
      </c>
      <c r="F1923" s="42" t="s">
        <v>2441</v>
      </c>
      <c r="G1923" s="66" t="s">
        <v>67</v>
      </c>
      <c r="H1923" s="45" t="s">
        <v>2511</v>
      </c>
      <c r="I1923" s="47" t="e">
        <f>VLOOKUP(H1923,'合同综合查询数据（3月返）'!$A:$A,1,FALSE)</f>
        <v>#N/A</v>
      </c>
      <c r="J1923" s="66" t="s">
        <v>69</v>
      </c>
      <c r="K1923" s="42" t="s">
        <v>2520</v>
      </c>
      <c r="L1923" s="49"/>
      <c r="M1923" s="50"/>
      <c r="N1923" s="51">
        <v>44593</v>
      </c>
      <c r="O1923" s="51" t="s">
        <v>71</v>
      </c>
      <c r="P1923" s="67">
        <v>1357.36</v>
      </c>
      <c r="Q1923" s="53">
        <v>2</v>
      </c>
      <c r="R1923" s="68">
        <f t="shared" si="47"/>
        <v>2714.72</v>
      </c>
      <c r="S1923" s="70">
        <v>202303</v>
      </c>
      <c r="T1923" s="247" t="s">
        <v>2521</v>
      </c>
      <c r="U1923" s="44"/>
      <c r="V1923" s="235"/>
      <c r="W1923" s="235"/>
      <c r="X1923" s="73"/>
      <c r="Y1923" s="73"/>
    </row>
    <row r="1924" s="10" customFormat="1" customHeight="1" spans="1:25">
      <c r="A1924" s="42" t="s">
        <v>61</v>
      </c>
      <c r="B1924" s="61" t="s">
        <v>62</v>
      </c>
      <c r="C1924" s="43" t="s">
        <v>63</v>
      </c>
      <c r="D1924" s="60" t="s">
        <v>75</v>
      </c>
      <c r="E1924" s="44" t="s">
        <v>2440</v>
      </c>
      <c r="F1924" s="42" t="s">
        <v>2441</v>
      </c>
      <c r="G1924" s="66" t="s">
        <v>67</v>
      </c>
      <c r="H1924" s="45" t="s">
        <v>2511</v>
      </c>
      <c r="I1924" s="47" t="e">
        <f>VLOOKUP(H1924,'合同综合查询数据（3月返）'!$A:$A,1,FALSE)</f>
        <v>#N/A</v>
      </c>
      <c r="J1924" s="66" t="s">
        <v>69</v>
      </c>
      <c r="K1924" s="42" t="s">
        <v>2522</v>
      </c>
      <c r="L1924" s="49"/>
      <c r="M1924" s="50"/>
      <c r="N1924" s="51">
        <v>44593</v>
      </c>
      <c r="O1924" s="51" t="s">
        <v>71</v>
      </c>
      <c r="P1924" s="67">
        <v>339.34</v>
      </c>
      <c r="Q1924" s="53">
        <v>167</v>
      </c>
      <c r="R1924" s="68">
        <f t="shared" si="47"/>
        <v>56669.78</v>
      </c>
      <c r="S1924" s="70">
        <v>202303</v>
      </c>
      <c r="T1924" s="247" t="s">
        <v>2523</v>
      </c>
      <c r="U1924" s="44"/>
      <c r="V1924" s="235"/>
      <c r="W1924" s="235"/>
      <c r="X1924" s="73"/>
      <c r="Y1924" s="73"/>
    </row>
    <row r="1925" s="10" customFormat="1" customHeight="1" spans="1:25">
      <c r="A1925" s="42" t="s">
        <v>61</v>
      </c>
      <c r="B1925" s="61" t="s">
        <v>62</v>
      </c>
      <c r="C1925" s="43" t="s">
        <v>63</v>
      </c>
      <c r="D1925" s="60" t="s">
        <v>75</v>
      </c>
      <c r="E1925" s="44" t="s">
        <v>2440</v>
      </c>
      <c r="F1925" s="42" t="s">
        <v>2441</v>
      </c>
      <c r="G1925" s="66" t="s">
        <v>67</v>
      </c>
      <c r="H1925" s="45" t="s">
        <v>2511</v>
      </c>
      <c r="I1925" s="47" t="e">
        <f>VLOOKUP(H1925,'合同综合查询数据（3月返）'!$A:$A,1,FALSE)</f>
        <v>#N/A</v>
      </c>
      <c r="J1925" s="66" t="s">
        <v>69</v>
      </c>
      <c r="K1925" s="42" t="s">
        <v>2524</v>
      </c>
      <c r="L1925" s="49"/>
      <c r="M1925" s="50"/>
      <c r="N1925" s="51">
        <v>44593</v>
      </c>
      <c r="O1925" s="51" t="s">
        <v>71</v>
      </c>
      <c r="P1925" s="67">
        <v>1357.36</v>
      </c>
      <c r="Q1925" s="53">
        <v>2</v>
      </c>
      <c r="R1925" s="68">
        <f t="shared" si="47"/>
        <v>2714.72</v>
      </c>
      <c r="S1925" s="70">
        <v>202303</v>
      </c>
      <c r="T1925" s="247" t="s">
        <v>2525</v>
      </c>
      <c r="U1925" s="44"/>
      <c r="V1925" s="235"/>
      <c r="W1925" s="235"/>
      <c r="X1925" s="73"/>
      <c r="Y1925" s="73"/>
    </row>
    <row r="1926" s="9" customFormat="1" customHeight="1" spans="1:25">
      <c r="A1926" s="16" t="s">
        <v>61</v>
      </c>
      <c r="B1926" s="98" t="s">
        <v>62</v>
      </c>
      <c r="C1926" s="17" t="s">
        <v>63</v>
      </c>
      <c r="D1926" s="96" t="s">
        <v>75</v>
      </c>
      <c r="E1926" s="18" t="s">
        <v>2440</v>
      </c>
      <c r="F1926" s="16" t="s">
        <v>2441</v>
      </c>
      <c r="G1926" s="99" t="s">
        <v>302</v>
      </c>
      <c r="H1926" s="19" t="s">
        <v>2526</v>
      </c>
      <c r="I1926" s="23" t="e">
        <f>VLOOKUP(H1926,'合同综合查询数据（3月返）'!$A:$A,1,FALSE)</f>
        <v>#N/A</v>
      </c>
      <c r="J1926" s="99" t="s">
        <v>302</v>
      </c>
      <c r="K1926" s="16"/>
      <c r="L1926" s="25"/>
      <c r="M1926" s="26"/>
      <c r="N1926" s="28">
        <v>43983</v>
      </c>
      <c r="O1926" s="28" t="s">
        <v>2447</v>
      </c>
      <c r="P1926" s="239">
        <v>6613902</v>
      </c>
      <c r="Q1926" s="35">
        <v>1</v>
      </c>
      <c r="R1926" s="120">
        <f t="shared" si="47"/>
        <v>6613902</v>
      </c>
      <c r="S1926" s="117">
        <v>202303</v>
      </c>
      <c r="T1926" s="18" t="s">
        <v>2527</v>
      </c>
      <c r="U1926" s="18"/>
      <c r="V1926" s="243"/>
      <c r="W1926" s="243"/>
      <c r="X1926" s="118">
        <v>44662</v>
      </c>
      <c r="Y1926" s="118">
        <v>45508</v>
      </c>
    </row>
    <row r="1927" s="9" customFormat="1" customHeight="1" spans="1:25">
      <c r="A1927" s="16" t="s">
        <v>61</v>
      </c>
      <c r="B1927" s="98" t="s">
        <v>62</v>
      </c>
      <c r="C1927" s="17" t="s">
        <v>63</v>
      </c>
      <c r="D1927" s="96" t="s">
        <v>75</v>
      </c>
      <c r="E1927" s="18" t="s">
        <v>2440</v>
      </c>
      <c r="F1927" s="16" t="s">
        <v>2441</v>
      </c>
      <c r="G1927" s="99" t="s">
        <v>302</v>
      </c>
      <c r="H1927" s="19" t="s">
        <v>2526</v>
      </c>
      <c r="I1927" s="23" t="e">
        <f>VLOOKUP(H1927,'合同综合查询数据（3月返）'!$A:$A,1,FALSE)</f>
        <v>#N/A</v>
      </c>
      <c r="J1927" s="99" t="s">
        <v>302</v>
      </c>
      <c r="K1927" s="16"/>
      <c r="L1927" s="25"/>
      <c r="M1927" s="26"/>
      <c r="N1927" s="28">
        <v>44661</v>
      </c>
      <c r="O1927" s="28" t="s">
        <v>2447</v>
      </c>
      <c r="P1927" s="239">
        <f>515*308/1.06*1.09</f>
        <v>163109.245283019</v>
      </c>
      <c r="Q1927" s="35"/>
      <c r="R1927" s="120">
        <f>ROUND(P1927*-1,2)</f>
        <v>-163109.25</v>
      </c>
      <c r="S1927" s="117">
        <v>202303</v>
      </c>
      <c r="T1927" s="18" t="s">
        <v>2528</v>
      </c>
      <c r="U1927" s="18"/>
      <c r="V1927" s="243"/>
      <c r="W1927" s="243"/>
      <c r="X1927" s="118">
        <v>44662</v>
      </c>
      <c r="Y1927" s="118">
        <v>45508</v>
      </c>
    </row>
    <row r="1928" s="9" customFormat="1" customHeight="1" spans="1:25">
      <c r="A1928" s="16" t="s">
        <v>61</v>
      </c>
      <c r="B1928" s="98" t="s">
        <v>62</v>
      </c>
      <c r="C1928" s="17" t="s">
        <v>63</v>
      </c>
      <c r="D1928" s="96" t="s">
        <v>75</v>
      </c>
      <c r="E1928" s="18" t="s">
        <v>2440</v>
      </c>
      <c r="F1928" s="16" t="s">
        <v>2441</v>
      </c>
      <c r="G1928" s="99" t="s">
        <v>67</v>
      </c>
      <c r="H1928" s="19" t="s">
        <v>2529</v>
      </c>
      <c r="I1928" s="23" t="e">
        <f>VLOOKUP(H1928,'合同综合查询数据（3月返）'!$A:$A,1,FALSE)</f>
        <v>#N/A</v>
      </c>
      <c r="J1928" s="99" t="s">
        <v>69</v>
      </c>
      <c r="K1928" s="16" t="s">
        <v>63</v>
      </c>
      <c r="L1928" s="25"/>
      <c r="M1928" s="26"/>
      <c r="N1928" s="28">
        <v>43891</v>
      </c>
      <c r="O1928" s="28" t="s">
        <v>71</v>
      </c>
      <c r="P1928" s="239">
        <v>400</v>
      </c>
      <c r="Q1928" s="35">
        <v>43.6</v>
      </c>
      <c r="R1928" s="120">
        <f t="shared" ref="R1928:R1977" si="48">ROUND(P1928*Q1928,2)</f>
        <v>17440</v>
      </c>
      <c r="S1928" s="117">
        <v>202303</v>
      </c>
      <c r="T1928" s="18" t="s">
        <v>2530</v>
      </c>
      <c r="U1928" s="18"/>
      <c r="V1928" s="243"/>
      <c r="W1928" s="243"/>
      <c r="X1928" s="118">
        <v>44593</v>
      </c>
      <c r="Y1928" s="118">
        <v>45107</v>
      </c>
    </row>
    <row r="1929" s="9" customFormat="1" customHeight="1" spans="1:25">
      <c r="A1929" s="16" t="s">
        <v>61</v>
      </c>
      <c r="B1929" s="98" t="s">
        <v>62</v>
      </c>
      <c r="C1929" s="17" t="s">
        <v>63</v>
      </c>
      <c r="D1929" s="96" t="s">
        <v>75</v>
      </c>
      <c r="E1929" s="18" t="s">
        <v>2440</v>
      </c>
      <c r="F1929" s="16" t="s">
        <v>2441</v>
      </c>
      <c r="G1929" s="99" t="s">
        <v>67</v>
      </c>
      <c r="H1929" s="19" t="s">
        <v>2529</v>
      </c>
      <c r="I1929" s="23" t="e">
        <f>VLOOKUP(H1929,'合同综合查询数据（3月返）'!$A:$A,1,FALSE)</f>
        <v>#N/A</v>
      </c>
      <c r="J1929" s="99" t="s">
        <v>69</v>
      </c>
      <c r="K1929" s="16" t="s">
        <v>63</v>
      </c>
      <c r="L1929" s="25"/>
      <c r="M1929" s="26"/>
      <c r="N1929" s="28">
        <v>43891</v>
      </c>
      <c r="O1929" s="28" t="s">
        <v>71</v>
      </c>
      <c r="P1929" s="239">
        <v>400</v>
      </c>
      <c r="Q1929" s="35">
        <v>24.8</v>
      </c>
      <c r="R1929" s="120">
        <f t="shared" si="48"/>
        <v>9920</v>
      </c>
      <c r="S1929" s="117">
        <v>202303</v>
      </c>
      <c r="T1929" s="18" t="s">
        <v>2530</v>
      </c>
      <c r="U1929" s="18"/>
      <c r="V1929" s="243"/>
      <c r="W1929" s="243"/>
      <c r="X1929" s="118">
        <v>44593</v>
      </c>
      <c r="Y1929" s="118">
        <v>45107</v>
      </c>
    </row>
    <row r="1930" s="9" customFormat="1" customHeight="1" spans="1:25">
      <c r="A1930" s="16" t="s">
        <v>61</v>
      </c>
      <c r="B1930" s="98" t="s">
        <v>62</v>
      </c>
      <c r="C1930" s="17" t="s">
        <v>63</v>
      </c>
      <c r="D1930" s="96" t="s">
        <v>75</v>
      </c>
      <c r="E1930" s="18" t="s">
        <v>2440</v>
      </c>
      <c r="F1930" s="16" t="s">
        <v>2441</v>
      </c>
      <c r="G1930" s="99" t="s">
        <v>67</v>
      </c>
      <c r="H1930" s="19" t="s">
        <v>2529</v>
      </c>
      <c r="I1930" s="23" t="e">
        <f>VLOOKUP(H1930,'合同综合查询数据（3月返）'!$A:$A,1,FALSE)</f>
        <v>#N/A</v>
      </c>
      <c r="J1930" s="99" t="s">
        <v>69</v>
      </c>
      <c r="K1930" s="16" t="s">
        <v>63</v>
      </c>
      <c r="L1930" s="25"/>
      <c r="M1930" s="26"/>
      <c r="N1930" s="28">
        <v>43891</v>
      </c>
      <c r="O1930" s="28" t="s">
        <v>71</v>
      </c>
      <c r="P1930" s="239">
        <v>400</v>
      </c>
      <c r="Q1930" s="35">
        <v>56.9</v>
      </c>
      <c r="R1930" s="120">
        <f t="shared" si="48"/>
        <v>22760</v>
      </c>
      <c r="S1930" s="117">
        <v>202303</v>
      </c>
      <c r="T1930" s="18" t="s">
        <v>2531</v>
      </c>
      <c r="U1930" s="18"/>
      <c r="V1930" s="243"/>
      <c r="W1930" s="243"/>
      <c r="X1930" s="118">
        <v>44593</v>
      </c>
      <c r="Y1930" s="118">
        <v>45107</v>
      </c>
    </row>
    <row r="1931" s="9" customFormat="1" customHeight="1" spans="1:25">
      <c r="A1931" s="16" t="s">
        <v>61</v>
      </c>
      <c r="B1931" s="98" t="s">
        <v>62</v>
      </c>
      <c r="C1931" s="17" t="s">
        <v>63</v>
      </c>
      <c r="D1931" s="96" t="s">
        <v>75</v>
      </c>
      <c r="E1931" s="18" t="s">
        <v>2440</v>
      </c>
      <c r="F1931" s="16" t="s">
        <v>2441</v>
      </c>
      <c r="G1931" s="99" t="s">
        <v>67</v>
      </c>
      <c r="H1931" s="19" t="s">
        <v>2529</v>
      </c>
      <c r="I1931" s="23" t="e">
        <f>VLOOKUP(H1931,'合同综合查询数据（3月返）'!$A:$A,1,FALSE)</f>
        <v>#N/A</v>
      </c>
      <c r="J1931" s="99" t="s">
        <v>69</v>
      </c>
      <c r="K1931" s="16" t="s">
        <v>63</v>
      </c>
      <c r="L1931" s="25"/>
      <c r="M1931" s="26"/>
      <c r="N1931" s="28">
        <v>43891</v>
      </c>
      <c r="O1931" s="28" t="s">
        <v>71</v>
      </c>
      <c r="P1931" s="239">
        <v>400</v>
      </c>
      <c r="Q1931" s="35">
        <v>61</v>
      </c>
      <c r="R1931" s="120">
        <f t="shared" si="48"/>
        <v>24400</v>
      </c>
      <c r="S1931" s="117">
        <v>202303</v>
      </c>
      <c r="T1931" s="18" t="s">
        <v>2531</v>
      </c>
      <c r="U1931" s="18"/>
      <c r="V1931" s="243"/>
      <c r="W1931" s="243"/>
      <c r="X1931" s="118">
        <v>44593</v>
      </c>
      <c r="Y1931" s="118">
        <v>45107</v>
      </c>
    </row>
    <row r="1932" s="9" customFormat="1" customHeight="1" spans="1:25">
      <c r="A1932" s="16" t="s">
        <v>61</v>
      </c>
      <c r="B1932" s="98" t="s">
        <v>62</v>
      </c>
      <c r="C1932" s="17" t="s">
        <v>63</v>
      </c>
      <c r="D1932" s="96" t="s">
        <v>75</v>
      </c>
      <c r="E1932" s="18" t="s">
        <v>2440</v>
      </c>
      <c r="F1932" s="16" t="s">
        <v>2441</v>
      </c>
      <c r="G1932" s="99" t="s">
        <v>67</v>
      </c>
      <c r="H1932" s="19" t="s">
        <v>2529</v>
      </c>
      <c r="I1932" s="23" t="e">
        <f>VLOOKUP(H1932,'合同综合查询数据（3月返）'!$A:$A,1,FALSE)</f>
        <v>#N/A</v>
      </c>
      <c r="J1932" s="99" t="s">
        <v>69</v>
      </c>
      <c r="K1932" s="16" t="s">
        <v>63</v>
      </c>
      <c r="L1932" s="25"/>
      <c r="M1932" s="26"/>
      <c r="N1932" s="28">
        <v>43891</v>
      </c>
      <c r="O1932" s="28" t="s">
        <v>71</v>
      </c>
      <c r="P1932" s="239">
        <v>400</v>
      </c>
      <c r="Q1932" s="35">
        <v>8.29</v>
      </c>
      <c r="R1932" s="120">
        <f t="shared" si="48"/>
        <v>3316</v>
      </c>
      <c r="S1932" s="117">
        <v>202303</v>
      </c>
      <c r="T1932" s="18" t="s">
        <v>2532</v>
      </c>
      <c r="U1932" s="18"/>
      <c r="V1932" s="243"/>
      <c r="W1932" s="243"/>
      <c r="X1932" s="118">
        <v>44593</v>
      </c>
      <c r="Y1932" s="118">
        <v>45107</v>
      </c>
    </row>
    <row r="1933" s="9" customFormat="1" customHeight="1" spans="1:25">
      <c r="A1933" s="16" t="s">
        <v>61</v>
      </c>
      <c r="B1933" s="98" t="s">
        <v>62</v>
      </c>
      <c r="C1933" s="17" t="s">
        <v>63</v>
      </c>
      <c r="D1933" s="96" t="s">
        <v>75</v>
      </c>
      <c r="E1933" s="18" t="s">
        <v>2440</v>
      </c>
      <c r="F1933" s="16" t="s">
        <v>2441</v>
      </c>
      <c r="G1933" s="99" t="s">
        <v>67</v>
      </c>
      <c r="H1933" s="19" t="s">
        <v>2529</v>
      </c>
      <c r="I1933" s="23" t="e">
        <f>VLOOKUP(H1933,'合同综合查询数据（3月返）'!$A:$A,1,FALSE)</f>
        <v>#N/A</v>
      </c>
      <c r="J1933" s="99" t="s">
        <v>69</v>
      </c>
      <c r="K1933" s="16" t="s">
        <v>63</v>
      </c>
      <c r="L1933" s="25"/>
      <c r="M1933" s="26"/>
      <c r="N1933" s="28">
        <v>43891</v>
      </c>
      <c r="O1933" s="28" t="s">
        <v>71</v>
      </c>
      <c r="P1933" s="239">
        <v>400</v>
      </c>
      <c r="Q1933" s="35">
        <v>8.22</v>
      </c>
      <c r="R1933" s="120">
        <f t="shared" si="48"/>
        <v>3288</v>
      </c>
      <c r="S1933" s="117">
        <v>202303</v>
      </c>
      <c r="T1933" s="18" t="s">
        <v>2532</v>
      </c>
      <c r="U1933" s="18"/>
      <c r="V1933" s="243"/>
      <c r="W1933" s="243"/>
      <c r="X1933" s="118">
        <v>44593</v>
      </c>
      <c r="Y1933" s="118">
        <v>45107</v>
      </c>
    </row>
    <row r="1934" s="9" customFormat="1" customHeight="1" spans="1:25">
      <c r="A1934" s="16" t="s">
        <v>61</v>
      </c>
      <c r="B1934" s="98" t="s">
        <v>62</v>
      </c>
      <c r="C1934" s="17" t="s">
        <v>63</v>
      </c>
      <c r="D1934" s="96" t="s">
        <v>75</v>
      </c>
      <c r="E1934" s="18" t="s">
        <v>2440</v>
      </c>
      <c r="F1934" s="16" t="s">
        <v>2441</v>
      </c>
      <c r="G1934" s="99" t="s">
        <v>67</v>
      </c>
      <c r="H1934" s="19" t="s">
        <v>2529</v>
      </c>
      <c r="I1934" s="23" t="e">
        <f>VLOOKUP(H1934,'合同综合查询数据（3月返）'!$A:$A,1,FALSE)</f>
        <v>#N/A</v>
      </c>
      <c r="J1934" s="99" t="s">
        <v>69</v>
      </c>
      <c r="K1934" s="16" t="s">
        <v>63</v>
      </c>
      <c r="L1934" s="25"/>
      <c r="M1934" s="26"/>
      <c r="N1934" s="28">
        <v>43891</v>
      </c>
      <c r="O1934" s="28" t="s">
        <v>71</v>
      </c>
      <c r="P1934" s="239">
        <v>400</v>
      </c>
      <c r="Q1934" s="35">
        <v>11.4</v>
      </c>
      <c r="R1934" s="120">
        <f t="shared" si="48"/>
        <v>4560</v>
      </c>
      <c r="S1934" s="117">
        <v>202303</v>
      </c>
      <c r="T1934" s="18" t="s">
        <v>2533</v>
      </c>
      <c r="U1934" s="18"/>
      <c r="V1934" s="243"/>
      <c r="W1934" s="243"/>
      <c r="X1934" s="118">
        <v>44593</v>
      </c>
      <c r="Y1934" s="118">
        <v>45107</v>
      </c>
    </row>
    <row r="1935" s="9" customFormat="1" customHeight="1" spans="1:25">
      <c r="A1935" s="16" t="s">
        <v>61</v>
      </c>
      <c r="B1935" s="98" t="s">
        <v>62</v>
      </c>
      <c r="C1935" s="17" t="s">
        <v>63</v>
      </c>
      <c r="D1935" s="96" t="s">
        <v>75</v>
      </c>
      <c r="E1935" s="18" t="s">
        <v>2440</v>
      </c>
      <c r="F1935" s="16" t="s">
        <v>2441</v>
      </c>
      <c r="G1935" s="99" t="s">
        <v>67</v>
      </c>
      <c r="H1935" s="19" t="s">
        <v>2529</v>
      </c>
      <c r="I1935" s="23" t="e">
        <f>VLOOKUP(H1935,'合同综合查询数据（3月返）'!$A:$A,1,FALSE)</f>
        <v>#N/A</v>
      </c>
      <c r="J1935" s="99" t="s">
        <v>69</v>
      </c>
      <c r="K1935" s="16" t="s">
        <v>63</v>
      </c>
      <c r="L1935" s="25"/>
      <c r="M1935" s="26"/>
      <c r="N1935" s="28">
        <v>43891</v>
      </c>
      <c r="O1935" s="28" t="s">
        <v>71</v>
      </c>
      <c r="P1935" s="239">
        <v>400</v>
      </c>
      <c r="Q1935" s="35">
        <v>5.56</v>
      </c>
      <c r="R1935" s="120">
        <f t="shared" si="48"/>
        <v>2224</v>
      </c>
      <c r="S1935" s="117">
        <v>202303</v>
      </c>
      <c r="T1935" s="18" t="s">
        <v>2533</v>
      </c>
      <c r="U1935" s="18"/>
      <c r="V1935" s="243"/>
      <c r="W1935" s="243"/>
      <c r="X1935" s="118">
        <v>44593</v>
      </c>
      <c r="Y1935" s="118">
        <v>45107</v>
      </c>
    </row>
    <row r="1936" s="9" customFormat="1" customHeight="1" spans="1:25">
      <c r="A1936" s="16" t="s">
        <v>61</v>
      </c>
      <c r="B1936" s="98" t="s">
        <v>62</v>
      </c>
      <c r="C1936" s="17" t="s">
        <v>63</v>
      </c>
      <c r="D1936" s="96" t="s">
        <v>75</v>
      </c>
      <c r="E1936" s="18" t="s">
        <v>2440</v>
      </c>
      <c r="F1936" s="16" t="s">
        <v>2441</v>
      </c>
      <c r="G1936" s="99" t="s">
        <v>67</v>
      </c>
      <c r="H1936" s="19" t="s">
        <v>2529</v>
      </c>
      <c r="I1936" s="23" t="e">
        <f>VLOOKUP(H1936,'合同综合查询数据（3月返）'!$A:$A,1,FALSE)</f>
        <v>#N/A</v>
      </c>
      <c r="J1936" s="99" t="s">
        <v>69</v>
      </c>
      <c r="K1936" s="16" t="s">
        <v>63</v>
      </c>
      <c r="L1936" s="25"/>
      <c r="M1936" s="26"/>
      <c r="N1936" s="28">
        <v>44985</v>
      </c>
      <c r="O1936" s="28" t="s">
        <v>71</v>
      </c>
      <c r="P1936" s="239">
        <v>400</v>
      </c>
      <c r="Q1936" s="35">
        <v>-11.4</v>
      </c>
      <c r="R1936" s="120">
        <f t="shared" si="48"/>
        <v>-4560</v>
      </c>
      <c r="S1936" s="117">
        <v>202303</v>
      </c>
      <c r="T1936" s="18" t="s">
        <v>2534</v>
      </c>
      <c r="U1936" s="18"/>
      <c r="V1936" s="243"/>
      <c r="W1936" s="243"/>
      <c r="X1936" s="118">
        <v>44593</v>
      </c>
      <c r="Y1936" s="118">
        <v>45107</v>
      </c>
    </row>
    <row r="1937" s="9" customFormat="1" customHeight="1" spans="1:25">
      <c r="A1937" s="16" t="s">
        <v>61</v>
      </c>
      <c r="B1937" s="98" t="s">
        <v>62</v>
      </c>
      <c r="C1937" s="17" t="s">
        <v>63</v>
      </c>
      <c r="D1937" s="96" t="s">
        <v>75</v>
      </c>
      <c r="E1937" s="18" t="s">
        <v>2440</v>
      </c>
      <c r="F1937" s="16" t="s">
        <v>2441</v>
      </c>
      <c r="G1937" s="99" t="s">
        <v>67</v>
      </c>
      <c r="H1937" s="19" t="s">
        <v>2529</v>
      </c>
      <c r="I1937" s="23" t="e">
        <f>VLOOKUP(H1937,'合同综合查询数据（3月返）'!$A:$A,1,FALSE)</f>
        <v>#N/A</v>
      </c>
      <c r="J1937" s="99" t="s">
        <v>69</v>
      </c>
      <c r="K1937" s="16" t="s">
        <v>63</v>
      </c>
      <c r="L1937" s="25"/>
      <c r="M1937" s="26"/>
      <c r="N1937" s="28">
        <v>44985</v>
      </c>
      <c r="O1937" s="28" t="s">
        <v>71</v>
      </c>
      <c r="P1937" s="239">
        <v>400</v>
      </c>
      <c r="Q1937" s="35">
        <v>-5.56</v>
      </c>
      <c r="R1937" s="120">
        <f t="shared" si="48"/>
        <v>-2224</v>
      </c>
      <c r="S1937" s="117">
        <v>202303</v>
      </c>
      <c r="T1937" s="18" t="s">
        <v>2534</v>
      </c>
      <c r="U1937" s="18"/>
      <c r="V1937" s="243"/>
      <c r="W1937" s="243"/>
      <c r="X1937" s="118">
        <v>44593</v>
      </c>
      <c r="Y1937" s="118">
        <v>45107</v>
      </c>
    </row>
    <row r="1938" s="9" customFormat="1" customHeight="1" spans="1:25">
      <c r="A1938" s="16" t="s">
        <v>61</v>
      </c>
      <c r="B1938" s="98" t="s">
        <v>62</v>
      </c>
      <c r="C1938" s="17" t="s">
        <v>63</v>
      </c>
      <c r="D1938" s="96" t="s">
        <v>75</v>
      </c>
      <c r="E1938" s="18" t="s">
        <v>2440</v>
      </c>
      <c r="F1938" s="16" t="s">
        <v>2441</v>
      </c>
      <c r="G1938" s="99" t="s">
        <v>88</v>
      </c>
      <c r="H1938" s="19" t="s">
        <v>2529</v>
      </c>
      <c r="I1938" s="23" t="e">
        <f>VLOOKUP(H1938,'合同综合查询数据（3月返）'!$A:$A,1,FALSE)</f>
        <v>#N/A</v>
      </c>
      <c r="J1938" s="99" t="s">
        <v>90</v>
      </c>
      <c r="K1938" s="16" t="s">
        <v>744</v>
      </c>
      <c r="L1938" s="25"/>
      <c r="M1938" s="26" t="s">
        <v>2535</v>
      </c>
      <c r="N1938" s="28">
        <v>43936</v>
      </c>
      <c r="O1938" s="28" t="s">
        <v>624</v>
      </c>
      <c r="P1938" s="239">
        <v>8583.33</v>
      </c>
      <c r="Q1938" s="35">
        <v>1</v>
      </c>
      <c r="R1938" s="120">
        <f t="shared" si="48"/>
        <v>8583.33</v>
      </c>
      <c r="S1938" s="117">
        <v>202303</v>
      </c>
      <c r="T1938" s="18" t="s">
        <v>2536</v>
      </c>
      <c r="U1938" s="18"/>
      <c r="V1938" s="243"/>
      <c r="W1938" s="243"/>
      <c r="X1938" s="118">
        <v>44593</v>
      </c>
      <c r="Y1938" s="118">
        <v>45107</v>
      </c>
    </row>
    <row r="1939" s="9" customFormat="1" customHeight="1" spans="1:25">
      <c r="A1939" s="16" t="s">
        <v>61</v>
      </c>
      <c r="B1939" s="98" t="s">
        <v>62</v>
      </c>
      <c r="C1939" s="17" t="s">
        <v>63</v>
      </c>
      <c r="D1939" s="96" t="s">
        <v>75</v>
      </c>
      <c r="E1939" s="18" t="s">
        <v>2440</v>
      </c>
      <c r="F1939" s="16" t="s">
        <v>2441</v>
      </c>
      <c r="G1939" s="99" t="s">
        <v>67</v>
      </c>
      <c r="H1939" s="19" t="s">
        <v>2529</v>
      </c>
      <c r="I1939" s="23" t="e">
        <f>VLOOKUP(H1939,'合同综合查询数据（3月返）'!$A:$A,1,FALSE)</f>
        <v>#N/A</v>
      </c>
      <c r="J1939" s="99" t="s">
        <v>69</v>
      </c>
      <c r="K1939" s="16" t="s">
        <v>2537</v>
      </c>
      <c r="L1939" s="25"/>
      <c r="M1939" s="26"/>
      <c r="N1939" s="28">
        <v>43983</v>
      </c>
      <c r="O1939" s="28" t="s">
        <v>2249</v>
      </c>
      <c r="P1939" s="239">
        <v>12016.67</v>
      </c>
      <c r="Q1939" s="35">
        <v>1</v>
      </c>
      <c r="R1939" s="120">
        <f t="shared" si="48"/>
        <v>12016.67</v>
      </c>
      <c r="S1939" s="117">
        <v>202303</v>
      </c>
      <c r="T1939" s="18" t="s">
        <v>2538</v>
      </c>
      <c r="U1939" s="18"/>
      <c r="V1939" s="243"/>
      <c r="W1939" s="243"/>
      <c r="X1939" s="118">
        <v>44593</v>
      </c>
      <c r="Y1939" s="118">
        <v>45107</v>
      </c>
    </row>
    <row r="1940" s="9" customFormat="1" customHeight="1" spans="1:25">
      <c r="A1940" s="16" t="s">
        <v>61</v>
      </c>
      <c r="B1940" s="98" t="s">
        <v>62</v>
      </c>
      <c r="C1940" s="17" t="s">
        <v>63</v>
      </c>
      <c r="D1940" s="96" t="s">
        <v>75</v>
      </c>
      <c r="E1940" s="18" t="s">
        <v>2440</v>
      </c>
      <c r="F1940" s="16" t="s">
        <v>2441</v>
      </c>
      <c r="G1940" s="99" t="s">
        <v>67</v>
      </c>
      <c r="H1940" s="19" t="s">
        <v>2529</v>
      </c>
      <c r="I1940" s="23" t="e">
        <f>VLOOKUP(H1940,'合同综合查询数据（3月返）'!$A:$A,1,FALSE)</f>
        <v>#N/A</v>
      </c>
      <c r="J1940" s="99" t="s">
        <v>69</v>
      </c>
      <c r="K1940" s="16" t="s">
        <v>2539</v>
      </c>
      <c r="L1940" s="25"/>
      <c r="M1940" s="26"/>
      <c r="N1940" s="28">
        <v>40360</v>
      </c>
      <c r="O1940" s="28" t="s">
        <v>71</v>
      </c>
      <c r="P1940" s="239">
        <v>412.04</v>
      </c>
      <c r="Q1940" s="35">
        <v>46</v>
      </c>
      <c r="R1940" s="120">
        <f t="shared" si="48"/>
        <v>18953.84</v>
      </c>
      <c r="S1940" s="117">
        <v>202303</v>
      </c>
      <c r="T1940" s="18" t="s">
        <v>2540</v>
      </c>
      <c r="U1940" s="18"/>
      <c r="V1940" s="243"/>
      <c r="W1940" s="243"/>
      <c r="X1940" s="118">
        <v>44593</v>
      </c>
      <c r="Y1940" s="118">
        <v>45107</v>
      </c>
    </row>
    <row r="1941" s="9" customFormat="1" customHeight="1" spans="1:25">
      <c r="A1941" s="16" t="s">
        <v>61</v>
      </c>
      <c r="B1941" s="98" t="s">
        <v>62</v>
      </c>
      <c r="C1941" s="17" t="s">
        <v>63</v>
      </c>
      <c r="D1941" s="96" t="s">
        <v>75</v>
      </c>
      <c r="E1941" s="18" t="s">
        <v>2440</v>
      </c>
      <c r="F1941" s="16" t="s">
        <v>2441</v>
      </c>
      <c r="G1941" s="99" t="s">
        <v>67</v>
      </c>
      <c r="H1941" s="19" t="s">
        <v>2529</v>
      </c>
      <c r="I1941" s="23" t="e">
        <f>VLOOKUP(H1941,'合同综合查询数据（3月返）'!$A:$A,1,FALSE)</f>
        <v>#N/A</v>
      </c>
      <c r="J1941" s="99" t="s">
        <v>69</v>
      </c>
      <c r="K1941" s="16" t="s">
        <v>2539</v>
      </c>
      <c r="L1941" s="25"/>
      <c r="M1941" s="26"/>
      <c r="N1941" s="28">
        <v>44895</v>
      </c>
      <c r="O1941" s="28" t="s">
        <v>71</v>
      </c>
      <c r="P1941" s="239">
        <v>412.04</v>
      </c>
      <c r="Q1941" s="35">
        <v>-46</v>
      </c>
      <c r="R1941" s="120">
        <f t="shared" si="48"/>
        <v>-18953.84</v>
      </c>
      <c r="S1941" s="117">
        <v>202303</v>
      </c>
      <c r="T1941" s="18" t="s">
        <v>2541</v>
      </c>
      <c r="U1941" s="18"/>
      <c r="V1941" s="243"/>
      <c r="W1941" s="243"/>
      <c r="X1941" s="118">
        <v>44593</v>
      </c>
      <c r="Y1941" s="118">
        <v>45107</v>
      </c>
    </row>
    <row r="1942" s="9" customFormat="1" customHeight="1" spans="1:25">
      <c r="A1942" s="16" t="s">
        <v>61</v>
      </c>
      <c r="B1942" s="98" t="s">
        <v>62</v>
      </c>
      <c r="C1942" s="17" t="s">
        <v>63</v>
      </c>
      <c r="D1942" s="96" t="s">
        <v>75</v>
      </c>
      <c r="E1942" s="18" t="s">
        <v>2440</v>
      </c>
      <c r="F1942" s="16" t="s">
        <v>2441</v>
      </c>
      <c r="G1942" s="99" t="s">
        <v>67</v>
      </c>
      <c r="H1942" s="19" t="s">
        <v>2529</v>
      </c>
      <c r="I1942" s="23" t="e">
        <f>VLOOKUP(H1942,'合同综合查询数据（3月返）'!$A:$A,1,FALSE)</f>
        <v>#N/A</v>
      </c>
      <c r="J1942" s="99" t="s">
        <v>69</v>
      </c>
      <c r="K1942" s="16" t="s">
        <v>2542</v>
      </c>
      <c r="L1942" s="25"/>
      <c r="M1942" s="26"/>
      <c r="N1942" s="28">
        <v>40817</v>
      </c>
      <c r="O1942" s="28" t="s">
        <v>71</v>
      </c>
      <c r="P1942" s="239">
        <v>412.04</v>
      </c>
      <c r="Q1942" s="35">
        <v>48</v>
      </c>
      <c r="R1942" s="120">
        <f t="shared" si="48"/>
        <v>19777.92</v>
      </c>
      <c r="S1942" s="117">
        <v>202303</v>
      </c>
      <c r="T1942" s="18" t="s">
        <v>2540</v>
      </c>
      <c r="U1942" s="18"/>
      <c r="V1942" s="243"/>
      <c r="W1942" s="243"/>
      <c r="X1942" s="118">
        <v>44593</v>
      </c>
      <c r="Y1942" s="118">
        <v>45107</v>
      </c>
    </row>
    <row r="1943" s="9" customFormat="1" customHeight="1" spans="1:25">
      <c r="A1943" s="16" t="s">
        <v>61</v>
      </c>
      <c r="B1943" s="98" t="s">
        <v>62</v>
      </c>
      <c r="C1943" s="17" t="s">
        <v>63</v>
      </c>
      <c r="D1943" s="96" t="s">
        <v>75</v>
      </c>
      <c r="E1943" s="18" t="s">
        <v>2440</v>
      </c>
      <c r="F1943" s="16" t="s">
        <v>2441</v>
      </c>
      <c r="G1943" s="99" t="s">
        <v>67</v>
      </c>
      <c r="H1943" s="19" t="s">
        <v>2529</v>
      </c>
      <c r="I1943" s="23" t="e">
        <f>VLOOKUP(H1943,'合同综合查询数据（3月返）'!$A:$A,1,FALSE)</f>
        <v>#N/A</v>
      </c>
      <c r="J1943" s="99" t="s">
        <v>69</v>
      </c>
      <c r="K1943" s="16" t="s">
        <v>2543</v>
      </c>
      <c r="L1943" s="25"/>
      <c r="M1943" s="26"/>
      <c r="N1943" s="28">
        <v>42444</v>
      </c>
      <c r="O1943" s="28" t="s">
        <v>71</v>
      </c>
      <c r="P1943" s="239">
        <v>412.04</v>
      </c>
      <c r="Q1943" s="35">
        <v>36</v>
      </c>
      <c r="R1943" s="120">
        <f t="shared" si="48"/>
        <v>14833.44</v>
      </c>
      <c r="S1943" s="117">
        <v>202303</v>
      </c>
      <c r="T1943" s="18" t="s">
        <v>2540</v>
      </c>
      <c r="U1943" s="18"/>
      <c r="V1943" s="243"/>
      <c r="W1943" s="243"/>
      <c r="X1943" s="118">
        <v>44593</v>
      </c>
      <c r="Y1943" s="118">
        <v>45107</v>
      </c>
    </row>
    <row r="1944" s="9" customFormat="1" customHeight="1" spans="1:25">
      <c r="A1944" s="16" t="s">
        <v>61</v>
      </c>
      <c r="B1944" s="98" t="s">
        <v>62</v>
      </c>
      <c r="C1944" s="17" t="s">
        <v>63</v>
      </c>
      <c r="D1944" s="96" t="s">
        <v>75</v>
      </c>
      <c r="E1944" s="18" t="s">
        <v>2440</v>
      </c>
      <c r="F1944" s="16" t="s">
        <v>2441</v>
      </c>
      <c r="G1944" s="99" t="s">
        <v>67</v>
      </c>
      <c r="H1944" s="19" t="s">
        <v>2529</v>
      </c>
      <c r="I1944" s="23" t="e">
        <f>VLOOKUP(H1944,'合同综合查询数据（3月返）'!$A:$A,1,FALSE)</f>
        <v>#N/A</v>
      </c>
      <c r="J1944" s="99" t="s">
        <v>69</v>
      </c>
      <c r="K1944" s="16" t="s">
        <v>2544</v>
      </c>
      <c r="L1944" s="25"/>
      <c r="M1944" s="26"/>
      <c r="N1944" s="28">
        <v>42826</v>
      </c>
      <c r="O1944" s="28" t="s">
        <v>71</v>
      </c>
      <c r="P1944" s="239">
        <v>412.04</v>
      </c>
      <c r="Q1944" s="35">
        <v>3.2</v>
      </c>
      <c r="R1944" s="120">
        <f t="shared" si="48"/>
        <v>1318.53</v>
      </c>
      <c r="S1944" s="117">
        <v>202303</v>
      </c>
      <c r="T1944" s="18" t="s">
        <v>2540</v>
      </c>
      <c r="U1944" s="18"/>
      <c r="V1944" s="243"/>
      <c r="W1944" s="243"/>
      <c r="X1944" s="118">
        <v>44593</v>
      </c>
      <c r="Y1944" s="118">
        <v>45107</v>
      </c>
    </row>
    <row r="1945" s="9" customFormat="1" customHeight="1" spans="1:25">
      <c r="A1945" s="16" t="s">
        <v>61</v>
      </c>
      <c r="B1945" s="98" t="s">
        <v>62</v>
      </c>
      <c r="C1945" s="17" t="s">
        <v>63</v>
      </c>
      <c r="D1945" s="96" t="s">
        <v>75</v>
      </c>
      <c r="E1945" s="18" t="s">
        <v>2440</v>
      </c>
      <c r="F1945" s="16" t="s">
        <v>2441</v>
      </c>
      <c r="G1945" s="99" t="s">
        <v>67</v>
      </c>
      <c r="H1945" s="19" t="s">
        <v>2529</v>
      </c>
      <c r="I1945" s="23" t="e">
        <f>VLOOKUP(H1945,'合同综合查询数据（3月返）'!$A:$A,1,FALSE)</f>
        <v>#N/A</v>
      </c>
      <c r="J1945" s="99" t="s">
        <v>69</v>
      </c>
      <c r="K1945" s="16" t="s">
        <v>2545</v>
      </c>
      <c r="L1945" s="25"/>
      <c r="M1945" s="26"/>
      <c r="N1945" s="28">
        <v>42856</v>
      </c>
      <c r="O1945" s="28" t="s">
        <v>71</v>
      </c>
      <c r="P1945" s="239">
        <v>412.04</v>
      </c>
      <c r="Q1945" s="35">
        <v>2.8</v>
      </c>
      <c r="R1945" s="120">
        <f t="shared" si="48"/>
        <v>1153.71</v>
      </c>
      <c r="S1945" s="117">
        <v>202303</v>
      </c>
      <c r="T1945" s="18" t="s">
        <v>2540</v>
      </c>
      <c r="U1945" s="18"/>
      <c r="V1945" s="243"/>
      <c r="W1945" s="243"/>
      <c r="X1945" s="118">
        <v>44593</v>
      </c>
      <c r="Y1945" s="118">
        <v>45107</v>
      </c>
    </row>
    <row r="1946" s="9" customFormat="1" customHeight="1" spans="1:25">
      <c r="A1946" s="16" t="s">
        <v>61</v>
      </c>
      <c r="B1946" s="98" t="s">
        <v>62</v>
      </c>
      <c r="C1946" s="17" t="s">
        <v>63</v>
      </c>
      <c r="D1946" s="96" t="s">
        <v>75</v>
      </c>
      <c r="E1946" s="18" t="s">
        <v>2440</v>
      </c>
      <c r="F1946" s="16" t="s">
        <v>2441</v>
      </c>
      <c r="G1946" s="99" t="s">
        <v>67</v>
      </c>
      <c r="H1946" s="19" t="s">
        <v>2529</v>
      </c>
      <c r="I1946" s="23" t="e">
        <f>VLOOKUP(H1946,'合同综合查询数据（3月返）'!$A:$A,1,FALSE)</f>
        <v>#N/A</v>
      </c>
      <c r="J1946" s="99" t="s">
        <v>69</v>
      </c>
      <c r="K1946" s="16" t="s">
        <v>2546</v>
      </c>
      <c r="L1946" s="25"/>
      <c r="M1946" s="26"/>
      <c r="N1946" s="28">
        <v>43862</v>
      </c>
      <c r="O1946" s="28" t="s">
        <v>2249</v>
      </c>
      <c r="P1946" s="239">
        <v>30849.06</v>
      </c>
      <c r="Q1946" s="35">
        <v>1</v>
      </c>
      <c r="R1946" s="120">
        <f t="shared" si="48"/>
        <v>30849.06</v>
      </c>
      <c r="S1946" s="117">
        <v>202303</v>
      </c>
      <c r="T1946" s="18" t="s">
        <v>2547</v>
      </c>
      <c r="U1946" s="18"/>
      <c r="V1946" s="243"/>
      <c r="W1946" s="243"/>
      <c r="X1946" s="118">
        <v>44593</v>
      </c>
      <c r="Y1946" s="118">
        <v>45107</v>
      </c>
    </row>
    <row r="1947" s="9" customFormat="1" customHeight="1" spans="1:25">
      <c r="A1947" s="16" t="s">
        <v>61</v>
      </c>
      <c r="B1947" s="98" t="s">
        <v>62</v>
      </c>
      <c r="C1947" s="17" t="s">
        <v>63</v>
      </c>
      <c r="D1947" s="96" t="s">
        <v>75</v>
      </c>
      <c r="E1947" s="18" t="s">
        <v>2440</v>
      </c>
      <c r="F1947" s="16" t="s">
        <v>2441</v>
      </c>
      <c r="G1947" s="99" t="s">
        <v>67</v>
      </c>
      <c r="H1947" s="19" t="s">
        <v>2548</v>
      </c>
      <c r="I1947" s="23" t="e">
        <f>VLOOKUP(H1947,'合同综合查询数据（3月返）'!$A:$A,1,FALSE)</f>
        <v>#N/A</v>
      </c>
      <c r="J1947" s="99" t="s">
        <v>69</v>
      </c>
      <c r="K1947" s="16" t="s">
        <v>2549</v>
      </c>
      <c r="L1947" s="25"/>
      <c r="M1947" s="26"/>
      <c r="N1947" s="28">
        <v>44662</v>
      </c>
      <c r="O1947" s="28" t="s">
        <v>2249</v>
      </c>
      <c r="P1947" s="239">
        <v>396</v>
      </c>
      <c r="Q1947" s="35">
        <v>47</v>
      </c>
      <c r="R1947" s="120">
        <f t="shared" si="48"/>
        <v>18612</v>
      </c>
      <c r="S1947" s="117">
        <v>202303</v>
      </c>
      <c r="T1947" s="248" t="s">
        <v>2549</v>
      </c>
      <c r="U1947" s="18"/>
      <c r="V1947" s="243"/>
      <c r="W1947" s="243"/>
      <c r="X1947" s="118">
        <v>44652</v>
      </c>
      <c r="Y1947" s="118">
        <v>45138</v>
      </c>
    </row>
    <row r="1948" s="9" customFormat="1" customHeight="1" spans="1:25">
      <c r="A1948" s="16" t="s">
        <v>61</v>
      </c>
      <c r="B1948" s="98" t="s">
        <v>62</v>
      </c>
      <c r="C1948" s="17" t="s">
        <v>63</v>
      </c>
      <c r="D1948" s="96" t="s">
        <v>75</v>
      </c>
      <c r="E1948" s="18" t="s">
        <v>2440</v>
      </c>
      <c r="F1948" s="16" t="s">
        <v>2441</v>
      </c>
      <c r="G1948" s="99" t="s">
        <v>67</v>
      </c>
      <c r="H1948" s="19" t="s">
        <v>2548</v>
      </c>
      <c r="I1948" s="23" t="e">
        <f>VLOOKUP(H1948,'合同综合查询数据（3月返）'!$A:$A,1,FALSE)</f>
        <v>#N/A</v>
      </c>
      <c r="J1948" s="99" t="s">
        <v>69</v>
      </c>
      <c r="K1948" s="16" t="s">
        <v>2550</v>
      </c>
      <c r="L1948" s="16"/>
      <c r="M1948" s="26"/>
      <c r="N1948" s="28">
        <v>44652</v>
      </c>
      <c r="O1948" s="28" t="s">
        <v>71</v>
      </c>
      <c r="P1948" s="239">
        <v>1320</v>
      </c>
      <c r="Q1948" s="35">
        <v>3.5</v>
      </c>
      <c r="R1948" s="120">
        <f t="shared" si="48"/>
        <v>4620</v>
      </c>
      <c r="S1948" s="117">
        <v>202303</v>
      </c>
      <c r="T1948" s="248" t="s">
        <v>2551</v>
      </c>
      <c r="U1948" s="18"/>
      <c r="V1948" s="243"/>
      <c r="W1948" s="243"/>
      <c r="X1948" s="118">
        <v>44652</v>
      </c>
      <c r="Y1948" s="118">
        <v>45138</v>
      </c>
    </row>
    <row r="1949" s="9" customFormat="1" customHeight="1" spans="1:25">
      <c r="A1949" s="16" t="s">
        <v>61</v>
      </c>
      <c r="B1949" s="98" t="s">
        <v>62</v>
      </c>
      <c r="C1949" s="17" t="s">
        <v>63</v>
      </c>
      <c r="D1949" s="96" t="s">
        <v>75</v>
      </c>
      <c r="E1949" s="18" t="s">
        <v>2440</v>
      </c>
      <c r="F1949" s="16" t="s">
        <v>2441</v>
      </c>
      <c r="G1949" s="99" t="s">
        <v>67</v>
      </c>
      <c r="H1949" s="19" t="s">
        <v>2548</v>
      </c>
      <c r="I1949" s="23" t="e">
        <f>VLOOKUP(H1949,'合同综合查询数据（3月返）'!$A:$A,1,FALSE)</f>
        <v>#N/A</v>
      </c>
      <c r="J1949" s="99" t="s">
        <v>69</v>
      </c>
      <c r="K1949" s="16" t="s">
        <v>2552</v>
      </c>
      <c r="L1949" s="16"/>
      <c r="M1949" s="26"/>
      <c r="N1949" s="28">
        <v>44652</v>
      </c>
      <c r="O1949" s="28" t="s">
        <v>71</v>
      </c>
      <c r="P1949" s="239">
        <v>440</v>
      </c>
      <c r="Q1949" s="35">
        <v>2.9</v>
      </c>
      <c r="R1949" s="120">
        <f t="shared" si="48"/>
        <v>1276</v>
      </c>
      <c r="S1949" s="117">
        <v>202303</v>
      </c>
      <c r="T1949" s="248" t="s">
        <v>2553</v>
      </c>
      <c r="U1949" s="18"/>
      <c r="V1949" s="243"/>
      <c r="W1949" s="243"/>
      <c r="X1949" s="118">
        <v>44652</v>
      </c>
      <c r="Y1949" s="118">
        <v>45138</v>
      </c>
    </row>
    <row r="1950" s="9" customFormat="1" customHeight="1" spans="1:25">
      <c r="A1950" s="16" t="s">
        <v>61</v>
      </c>
      <c r="B1950" s="98" t="s">
        <v>62</v>
      </c>
      <c r="C1950" s="17" t="s">
        <v>63</v>
      </c>
      <c r="D1950" s="96" t="s">
        <v>75</v>
      </c>
      <c r="E1950" s="18" t="s">
        <v>2440</v>
      </c>
      <c r="F1950" s="16" t="s">
        <v>2441</v>
      </c>
      <c r="G1950" s="99" t="s">
        <v>67</v>
      </c>
      <c r="H1950" s="19" t="s">
        <v>2548</v>
      </c>
      <c r="I1950" s="23" t="e">
        <f>VLOOKUP(H1950,'合同综合查询数据（3月返）'!$A:$A,1,FALSE)</f>
        <v>#N/A</v>
      </c>
      <c r="J1950" s="99" t="s">
        <v>69</v>
      </c>
      <c r="K1950" s="94" t="s">
        <v>2554</v>
      </c>
      <c r="L1950" s="25"/>
      <c r="M1950" s="26"/>
      <c r="N1950" s="28">
        <v>44743</v>
      </c>
      <c r="O1950" s="28" t="s">
        <v>71</v>
      </c>
      <c r="P1950" s="239">
        <v>3427.67</v>
      </c>
      <c r="Q1950" s="35">
        <v>1</v>
      </c>
      <c r="R1950" s="120">
        <f t="shared" si="48"/>
        <v>3427.67</v>
      </c>
      <c r="S1950" s="117">
        <v>202303</v>
      </c>
      <c r="T1950" s="97" t="s">
        <v>2555</v>
      </c>
      <c r="U1950" s="18"/>
      <c r="V1950" s="243"/>
      <c r="W1950" s="243"/>
      <c r="X1950" s="118">
        <v>44652</v>
      </c>
      <c r="Y1950" s="118">
        <v>45138</v>
      </c>
    </row>
    <row r="1951" s="9" customFormat="1" customHeight="1" spans="1:25">
      <c r="A1951" s="16" t="s">
        <v>61</v>
      </c>
      <c r="B1951" s="98" t="s">
        <v>62</v>
      </c>
      <c r="C1951" s="17" t="s">
        <v>63</v>
      </c>
      <c r="D1951" s="96" t="s">
        <v>75</v>
      </c>
      <c r="E1951" s="18" t="s">
        <v>2440</v>
      </c>
      <c r="F1951" s="16" t="s">
        <v>2441</v>
      </c>
      <c r="G1951" s="99" t="s">
        <v>67</v>
      </c>
      <c r="H1951" s="19" t="s">
        <v>2548</v>
      </c>
      <c r="I1951" s="23" t="e">
        <f>VLOOKUP(H1951,'合同综合查询数据（3月返）'!$A:$A,1,FALSE)</f>
        <v>#N/A</v>
      </c>
      <c r="J1951" s="99" t="s">
        <v>69</v>
      </c>
      <c r="K1951" s="16" t="s">
        <v>2556</v>
      </c>
      <c r="L1951" s="25"/>
      <c r="M1951" s="26"/>
      <c r="N1951" s="28">
        <v>44743</v>
      </c>
      <c r="O1951" s="28" t="s">
        <v>71</v>
      </c>
      <c r="P1951" s="239">
        <v>3427.67</v>
      </c>
      <c r="Q1951" s="35">
        <v>1</v>
      </c>
      <c r="R1951" s="120">
        <f t="shared" si="48"/>
        <v>3427.67</v>
      </c>
      <c r="S1951" s="117">
        <v>202303</v>
      </c>
      <c r="T1951" s="248" t="s">
        <v>2557</v>
      </c>
      <c r="U1951" s="18"/>
      <c r="V1951" s="243"/>
      <c r="W1951" s="243"/>
      <c r="X1951" s="118">
        <v>44652</v>
      </c>
      <c r="Y1951" s="118">
        <v>45138</v>
      </c>
    </row>
    <row r="1952" s="9" customFormat="1" customHeight="1" spans="1:25">
      <c r="A1952" s="16" t="s">
        <v>61</v>
      </c>
      <c r="B1952" s="98" t="s">
        <v>62</v>
      </c>
      <c r="C1952" s="17" t="s">
        <v>63</v>
      </c>
      <c r="D1952" s="96" t="s">
        <v>75</v>
      </c>
      <c r="E1952" s="18" t="s">
        <v>2440</v>
      </c>
      <c r="F1952" s="16" t="s">
        <v>2441</v>
      </c>
      <c r="G1952" s="99" t="s">
        <v>302</v>
      </c>
      <c r="H1952" s="19" t="s">
        <v>2558</v>
      </c>
      <c r="I1952" s="23" t="e">
        <f>VLOOKUP(H1952,'合同综合查询数据（3月返）'!$A:$A,1,FALSE)</f>
        <v>#N/A</v>
      </c>
      <c r="J1952" s="99" t="s">
        <v>302</v>
      </c>
      <c r="K1952" s="16" t="s">
        <v>2559</v>
      </c>
      <c r="L1952" s="25"/>
      <c r="M1952" s="26"/>
      <c r="N1952" s="28">
        <v>44696</v>
      </c>
      <c r="O1952" s="28" t="s">
        <v>2560</v>
      </c>
      <c r="P1952" s="239">
        <v>394426.9</v>
      </c>
      <c r="Q1952" s="35">
        <v>1</v>
      </c>
      <c r="R1952" s="120">
        <f t="shared" si="48"/>
        <v>394426.9</v>
      </c>
      <c r="S1952" s="117">
        <v>202303</v>
      </c>
      <c r="T1952" s="248" t="s">
        <v>2561</v>
      </c>
      <c r="U1952" s="18"/>
      <c r="V1952" s="243"/>
      <c r="W1952" s="243"/>
      <c r="X1952" s="118">
        <v>44696</v>
      </c>
      <c r="Y1952" s="118">
        <v>45508</v>
      </c>
    </row>
    <row r="1953" s="9" customFormat="1" customHeight="1" spans="1:25">
      <c r="A1953" s="98" t="s">
        <v>61</v>
      </c>
      <c r="B1953" s="98" t="s">
        <v>62</v>
      </c>
      <c r="C1953" s="129" t="s">
        <v>217</v>
      </c>
      <c r="D1953" s="96" t="s">
        <v>64</v>
      </c>
      <c r="E1953" s="147" t="s">
        <v>2440</v>
      </c>
      <c r="F1953" s="98" t="s">
        <v>2562</v>
      </c>
      <c r="G1953" s="99" t="s">
        <v>88</v>
      </c>
      <c r="H1953" s="19" t="s">
        <v>2563</v>
      </c>
      <c r="I1953" s="23" t="e">
        <f>VLOOKUP(H1953,'合同综合查询数据（3月返）'!$A:$A,1,FALSE)</f>
        <v>#N/A</v>
      </c>
      <c r="J1953" s="99" t="s">
        <v>774</v>
      </c>
      <c r="K1953" s="98" t="s">
        <v>775</v>
      </c>
      <c r="L1953" s="148"/>
      <c r="M1953" s="26" t="s">
        <v>776</v>
      </c>
      <c r="N1953" s="28" t="s">
        <v>2564</v>
      </c>
      <c r="O1953" s="28" t="s">
        <v>457</v>
      </c>
      <c r="P1953" s="173">
        <v>4103</v>
      </c>
      <c r="Q1953" s="131">
        <v>50</v>
      </c>
      <c r="R1953" s="120">
        <f t="shared" si="48"/>
        <v>205150</v>
      </c>
      <c r="S1953" s="117">
        <v>202303</v>
      </c>
      <c r="T1953" s="147"/>
      <c r="U1953" s="147"/>
      <c r="V1953" s="133"/>
      <c r="W1953" s="133"/>
      <c r="X1953" s="118">
        <v>44348</v>
      </c>
      <c r="Y1953" s="118">
        <v>45077</v>
      </c>
    </row>
    <row r="1954" s="9" customFormat="1" customHeight="1" spans="1:25">
      <c r="A1954" s="98" t="s">
        <v>61</v>
      </c>
      <c r="B1954" s="98" t="s">
        <v>62</v>
      </c>
      <c r="C1954" s="129" t="s">
        <v>217</v>
      </c>
      <c r="D1954" s="96" t="s">
        <v>64</v>
      </c>
      <c r="E1954" s="147" t="s">
        <v>2440</v>
      </c>
      <c r="F1954" s="98" t="s">
        <v>2565</v>
      </c>
      <c r="G1954" s="99" t="s">
        <v>88</v>
      </c>
      <c r="H1954" s="19" t="s">
        <v>2563</v>
      </c>
      <c r="I1954" s="23" t="e">
        <f>VLOOKUP(H1954,'合同综合查询数据（3月返）'!$A:$A,1,FALSE)</f>
        <v>#N/A</v>
      </c>
      <c r="J1954" s="99" t="s">
        <v>774</v>
      </c>
      <c r="K1954" s="98" t="s">
        <v>775</v>
      </c>
      <c r="L1954" s="148"/>
      <c r="M1954" s="26" t="s">
        <v>776</v>
      </c>
      <c r="N1954" s="28" t="s">
        <v>2564</v>
      </c>
      <c r="O1954" s="28" t="s">
        <v>457</v>
      </c>
      <c r="P1954" s="173">
        <v>4103</v>
      </c>
      <c r="Q1954" s="131">
        <v>477</v>
      </c>
      <c r="R1954" s="120">
        <f t="shared" si="48"/>
        <v>1957131</v>
      </c>
      <c r="S1954" s="117">
        <v>202303</v>
      </c>
      <c r="T1954" s="147"/>
      <c r="U1954" s="147"/>
      <c r="V1954" s="133"/>
      <c r="W1954" s="133"/>
      <c r="X1954" s="118">
        <v>44348</v>
      </c>
      <c r="Y1954" s="118">
        <v>45077</v>
      </c>
    </row>
    <row r="1955" s="9" customFormat="1" customHeight="1" spans="1:25">
      <c r="A1955" s="98" t="s">
        <v>61</v>
      </c>
      <c r="B1955" s="98" t="s">
        <v>62</v>
      </c>
      <c r="C1955" s="129" t="s">
        <v>217</v>
      </c>
      <c r="D1955" s="96" t="s">
        <v>64</v>
      </c>
      <c r="E1955" s="147" t="s">
        <v>2440</v>
      </c>
      <c r="F1955" s="98" t="s">
        <v>2565</v>
      </c>
      <c r="G1955" s="99" t="s">
        <v>88</v>
      </c>
      <c r="H1955" s="19" t="s">
        <v>2563</v>
      </c>
      <c r="I1955" s="23" t="e">
        <f>VLOOKUP(H1955,'合同综合查询数据（3月返）'!$A:$A,1,FALSE)</f>
        <v>#N/A</v>
      </c>
      <c r="J1955" s="99" t="s">
        <v>774</v>
      </c>
      <c r="K1955" s="98" t="s">
        <v>775</v>
      </c>
      <c r="L1955" s="148"/>
      <c r="M1955" s="26" t="s">
        <v>776</v>
      </c>
      <c r="N1955" s="28">
        <v>41925</v>
      </c>
      <c r="O1955" s="28" t="s">
        <v>461</v>
      </c>
      <c r="P1955" s="173">
        <v>8206</v>
      </c>
      <c r="Q1955" s="131">
        <v>4</v>
      </c>
      <c r="R1955" s="120">
        <f t="shared" si="48"/>
        <v>32824</v>
      </c>
      <c r="S1955" s="117">
        <v>202303</v>
      </c>
      <c r="T1955" s="147"/>
      <c r="U1955" s="147"/>
      <c r="V1955" s="133"/>
      <c r="W1955" s="133"/>
      <c r="X1955" s="118">
        <v>44348</v>
      </c>
      <c r="Y1955" s="118">
        <v>45077</v>
      </c>
    </row>
    <row r="1956" s="9" customFormat="1" customHeight="1" spans="1:25">
      <c r="A1956" s="98" t="s">
        <v>61</v>
      </c>
      <c r="B1956" s="98" t="s">
        <v>62</v>
      </c>
      <c r="C1956" s="129" t="s">
        <v>217</v>
      </c>
      <c r="D1956" s="96" t="s">
        <v>64</v>
      </c>
      <c r="E1956" s="147" t="s">
        <v>2440</v>
      </c>
      <c r="F1956" s="98" t="s">
        <v>2566</v>
      </c>
      <c r="G1956" s="99" t="s">
        <v>88</v>
      </c>
      <c r="H1956" s="19" t="s">
        <v>2563</v>
      </c>
      <c r="I1956" s="23" t="e">
        <f>VLOOKUP(H1956,'合同综合查询数据（3月返）'!$A:$A,1,FALSE)</f>
        <v>#N/A</v>
      </c>
      <c r="J1956" s="99" t="s">
        <v>90</v>
      </c>
      <c r="K1956" s="98" t="s">
        <v>775</v>
      </c>
      <c r="L1956" s="148"/>
      <c r="M1956" s="26" t="s">
        <v>776</v>
      </c>
      <c r="N1956" s="28">
        <v>44342</v>
      </c>
      <c r="O1956" s="28" t="s">
        <v>457</v>
      </c>
      <c r="P1956" s="173">
        <v>3998</v>
      </c>
      <c r="Q1956" s="131">
        <v>2</v>
      </c>
      <c r="R1956" s="120">
        <f t="shared" si="48"/>
        <v>7996</v>
      </c>
      <c r="S1956" s="117">
        <v>202303</v>
      </c>
      <c r="T1956" s="147" t="s">
        <v>2567</v>
      </c>
      <c r="U1956" s="147"/>
      <c r="V1956" s="133"/>
      <c r="W1956" s="133"/>
      <c r="X1956" s="118">
        <v>44348</v>
      </c>
      <c r="Y1956" s="118">
        <v>45077</v>
      </c>
    </row>
    <row r="1957" s="9" customFormat="1" customHeight="1" spans="1:25">
      <c r="A1957" s="98" t="s">
        <v>61</v>
      </c>
      <c r="B1957" s="98" t="s">
        <v>62</v>
      </c>
      <c r="C1957" s="129" t="s">
        <v>217</v>
      </c>
      <c r="D1957" s="96" t="s">
        <v>64</v>
      </c>
      <c r="E1957" s="147" t="s">
        <v>2440</v>
      </c>
      <c r="F1957" s="98" t="s">
        <v>2566</v>
      </c>
      <c r="G1957" s="99" t="s">
        <v>88</v>
      </c>
      <c r="H1957" s="19" t="s">
        <v>2563</v>
      </c>
      <c r="I1957" s="23" t="e">
        <f>VLOOKUP(H1957,'合同综合查询数据（3月返）'!$A:$A,1,FALSE)</f>
        <v>#N/A</v>
      </c>
      <c r="J1957" s="99" t="s">
        <v>90</v>
      </c>
      <c r="K1957" s="98" t="s">
        <v>775</v>
      </c>
      <c r="L1957" s="148"/>
      <c r="M1957" s="26" t="s">
        <v>776</v>
      </c>
      <c r="N1957" s="28">
        <v>44347</v>
      </c>
      <c r="O1957" s="28" t="s">
        <v>457</v>
      </c>
      <c r="P1957" s="173">
        <v>3998</v>
      </c>
      <c r="Q1957" s="131">
        <v>2</v>
      </c>
      <c r="R1957" s="120">
        <f t="shared" si="48"/>
        <v>7996</v>
      </c>
      <c r="S1957" s="117">
        <v>202303</v>
      </c>
      <c r="T1957" s="147" t="s">
        <v>2568</v>
      </c>
      <c r="U1957" s="147"/>
      <c r="V1957" s="133"/>
      <c r="W1957" s="133"/>
      <c r="X1957" s="118">
        <v>44348</v>
      </c>
      <c r="Y1957" s="118">
        <v>45077</v>
      </c>
    </row>
    <row r="1958" s="9" customFormat="1" customHeight="1" spans="1:25">
      <c r="A1958" s="98" t="s">
        <v>61</v>
      </c>
      <c r="B1958" s="98" t="s">
        <v>62</v>
      </c>
      <c r="C1958" s="129" t="s">
        <v>217</v>
      </c>
      <c r="D1958" s="96" t="s">
        <v>64</v>
      </c>
      <c r="E1958" s="147" t="s">
        <v>2440</v>
      </c>
      <c r="F1958" s="98" t="s">
        <v>2566</v>
      </c>
      <c r="G1958" s="99" t="s">
        <v>88</v>
      </c>
      <c r="H1958" s="19" t="s">
        <v>2563</v>
      </c>
      <c r="I1958" s="23" t="e">
        <f>VLOOKUP(H1958,'合同综合查询数据（3月返）'!$A:$A,1,FALSE)</f>
        <v>#N/A</v>
      </c>
      <c r="J1958" s="99" t="s">
        <v>90</v>
      </c>
      <c r="K1958" s="98" t="s">
        <v>775</v>
      </c>
      <c r="L1958" s="148"/>
      <c r="M1958" s="26" t="s">
        <v>776</v>
      </c>
      <c r="N1958" s="28">
        <v>44355</v>
      </c>
      <c r="O1958" s="28" t="s">
        <v>457</v>
      </c>
      <c r="P1958" s="173">
        <v>3998</v>
      </c>
      <c r="Q1958" s="131">
        <v>2</v>
      </c>
      <c r="R1958" s="120">
        <f t="shared" si="48"/>
        <v>7996</v>
      </c>
      <c r="S1958" s="117">
        <v>202303</v>
      </c>
      <c r="T1958" s="147" t="s">
        <v>2569</v>
      </c>
      <c r="U1958" s="147"/>
      <c r="V1958" s="133"/>
      <c r="W1958" s="133"/>
      <c r="X1958" s="118">
        <v>44348</v>
      </c>
      <c r="Y1958" s="118">
        <v>45077</v>
      </c>
    </row>
    <row r="1959" s="9" customFormat="1" customHeight="1" spans="1:25">
      <c r="A1959" s="98" t="s">
        <v>61</v>
      </c>
      <c r="B1959" s="98" t="s">
        <v>62</v>
      </c>
      <c r="C1959" s="129" t="s">
        <v>217</v>
      </c>
      <c r="D1959" s="96" t="s">
        <v>64</v>
      </c>
      <c r="E1959" s="147" t="s">
        <v>2440</v>
      </c>
      <c r="F1959" s="98" t="s">
        <v>2566</v>
      </c>
      <c r="G1959" s="99" t="s">
        <v>88</v>
      </c>
      <c r="H1959" s="19" t="s">
        <v>2563</v>
      </c>
      <c r="I1959" s="23" t="e">
        <f>VLOOKUP(H1959,'合同综合查询数据（3月返）'!$A:$A,1,FALSE)</f>
        <v>#N/A</v>
      </c>
      <c r="J1959" s="99" t="s">
        <v>90</v>
      </c>
      <c r="K1959" s="98" t="s">
        <v>775</v>
      </c>
      <c r="L1959" s="148"/>
      <c r="M1959" s="26" t="s">
        <v>776</v>
      </c>
      <c r="N1959" s="28">
        <v>44405</v>
      </c>
      <c r="O1959" s="28" t="s">
        <v>457</v>
      </c>
      <c r="P1959" s="173">
        <v>3998</v>
      </c>
      <c r="Q1959" s="131">
        <v>6</v>
      </c>
      <c r="R1959" s="120">
        <f t="shared" si="48"/>
        <v>23988</v>
      </c>
      <c r="S1959" s="117">
        <v>202303</v>
      </c>
      <c r="T1959" s="147" t="s">
        <v>2570</v>
      </c>
      <c r="U1959" s="147"/>
      <c r="V1959" s="133"/>
      <c r="W1959" s="133"/>
      <c r="X1959" s="118">
        <v>44348</v>
      </c>
      <c r="Y1959" s="118">
        <v>45077</v>
      </c>
    </row>
    <row r="1960" s="9" customFormat="1" customHeight="1" spans="1:25">
      <c r="A1960" s="98" t="s">
        <v>61</v>
      </c>
      <c r="B1960" s="98" t="s">
        <v>62</v>
      </c>
      <c r="C1960" s="129" t="s">
        <v>217</v>
      </c>
      <c r="D1960" s="96" t="s">
        <v>64</v>
      </c>
      <c r="E1960" s="147" t="s">
        <v>2440</v>
      </c>
      <c r="F1960" s="98" t="s">
        <v>2566</v>
      </c>
      <c r="G1960" s="99" t="s">
        <v>88</v>
      </c>
      <c r="H1960" s="19" t="s">
        <v>2563</v>
      </c>
      <c r="I1960" s="23" t="e">
        <f>VLOOKUP(H1960,'合同综合查询数据（3月返）'!$A:$A,1,FALSE)</f>
        <v>#N/A</v>
      </c>
      <c r="J1960" s="99" t="s">
        <v>90</v>
      </c>
      <c r="K1960" s="98" t="s">
        <v>775</v>
      </c>
      <c r="L1960" s="148"/>
      <c r="M1960" s="26" t="s">
        <v>2571</v>
      </c>
      <c r="N1960" s="28">
        <v>44446</v>
      </c>
      <c r="O1960" s="28" t="s">
        <v>457</v>
      </c>
      <c r="P1960" s="173">
        <v>3998</v>
      </c>
      <c r="Q1960" s="131">
        <v>2</v>
      </c>
      <c r="R1960" s="120">
        <f t="shared" si="48"/>
        <v>7996</v>
      </c>
      <c r="S1960" s="117">
        <v>202303</v>
      </c>
      <c r="T1960" s="147" t="s">
        <v>2572</v>
      </c>
      <c r="U1960" s="147"/>
      <c r="V1960" s="133"/>
      <c r="W1960" s="133"/>
      <c r="X1960" s="118">
        <v>44348</v>
      </c>
      <c r="Y1960" s="118">
        <v>45077</v>
      </c>
    </row>
    <row r="1961" s="9" customFormat="1" customHeight="1" spans="1:25">
      <c r="A1961" s="98" t="s">
        <v>61</v>
      </c>
      <c r="B1961" s="98" t="s">
        <v>62</v>
      </c>
      <c r="C1961" s="129" t="s">
        <v>217</v>
      </c>
      <c r="D1961" s="96" t="s">
        <v>64</v>
      </c>
      <c r="E1961" s="147" t="s">
        <v>2440</v>
      </c>
      <c r="F1961" s="98" t="s">
        <v>2566</v>
      </c>
      <c r="G1961" s="99" t="s">
        <v>88</v>
      </c>
      <c r="H1961" s="19" t="s">
        <v>2563</v>
      </c>
      <c r="I1961" s="23" t="e">
        <f>VLOOKUP(H1961,'合同综合查询数据（3月返）'!$A:$A,1,FALSE)</f>
        <v>#N/A</v>
      </c>
      <c r="J1961" s="99" t="s">
        <v>90</v>
      </c>
      <c r="K1961" s="98" t="s">
        <v>775</v>
      </c>
      <c r="L1961" s="148"/>
      <c r="M1961" s="26" t="s">
        <v>776</v>
      </c>
      <c r="N1961" s="28">
        <v>44517</v>
      </c>
      <c r="O1961" s="28" t="s">
        <v>457</v>
      </c>
      <c r="P1961" s="173">
        <v>3998</v>
      </c>
      <c r="Q1961" s="131">
        <v>6</v>
      </c>
      <c r="R1961" s="120">
        <f t="shared" si="48"/>
        <v>23988</v>
      </c>
      <c r="S1961" s="117">
        <v>202303</v>
      </c>
      <c r="T1961" s="147" t="s">
        <v>2573</v>
      </c>
      <c r="U1961" s="147"/>
      <c r="V1961" s="133"/>
      <c r="W1961" s="133"/>
      <c r="X1961" s="118">
        <v>44348</v>
      </c>
      <c r="Y1961" s="118">
        <v>45077</v>
      </c>
    </row>
    <row r="1962" s="9" customFormat="1" customHeight="1" spans="1:25">
      <c r="A1962" s="98" t="s">
        <v>61</v>
      </c>
      <c r="B1962" s="98" t="s">
        <v>62</v>
      </c>
      <c r="C1962" s="129" t="s">
        <v>217</v>
      </c>
      <c r="D1962" s="96" t="s">
        <v>64</v>
      </c>
      <c r="E1962" s="147" t="s">
        <v>2440</v>
      </c>
      <c r="F1962" s="98" t="s">
        <v>2566</v>
      </c>
      <c r="G1962" s="99" t="s">
        <v>88</v>
      </c>
      <c r="H1962" s="19" t="s">
        <v>2563</v>
      </c>
      <c r="I1962" s="23" t="e">
        <f>VLOOKUP(H1962,'合同综合查询数据（3月返）'!$A:$A,1,FALSE)</f>
        <v>#N/A</v>
      </c>
      <c r="J1962" s="99" t="s">
        <v>90</v>
      </c>
      <c r="K1962" s="98" t="s">
        <v>775</v>
      </c>
      <c r="L1962" s="148"/>
      <c r="M1962" s="26" t="s">
        <v>776</v>
      </c>
      <c r="N1962" s="28">
        <v>44532</v>
      </c>
      <c r="O1962" s="28" t="s">
        <v>457</v>
      </c>
      <c r="P1962" s="173">
        <v>3998</v>
      </c>
      <c r="Q1962" s="131">
        <v>2</v>
      </c>
      <c r="R1962" s="120">
        <f t="shared" si="48"/>
        <v>7996</v>
      </c>
      <c r="S1962" s="117">
        <v>202303</v>
      </c>
      <c r="T1962" s="147" t="s">
        <v>2574</v>
      </c>
      <c r="U1962" s="147"/>
      <c r="V1962" s="133"/>
      <c r="W1962" s="133"/>
      <c r="X1962" s="118">
        <v>44348</v>
      </c>
      <c r="Y1962" s="118">
        <v>45077</v>
      </c>
    </row>
    <row r="1963" s="9" customFormat="1" customHeight="1" spans="1:25">
      <c r="A1963" s="98" t="s">
        <v>61</v>
      </c>
      <c r="B1963" s="98" t="s">
        <v>62</v>
      </c>
      <c r="C1963" s="129" t="s">
        <v>217</v>
      </c>
      <c r="D1963" s="96" t="s">
        <v>64</v>
      </c>
      <c r="E1963" s="147" t="s">
        <v>2440</v>
      </c>
      <c r="F1963" s="98" t="s">
        <v>2566</v>
      </c>
      <c r="G1963" s="99" t="s">
        <v>88</v>
      </c>
      <c r="H1963" s="19" t="s">
        <v>2563</v>
      </c>
      <c r="I1963" s="23" t="e">
        <f>VLOOKUP(H1963,'合同综合查询数据（3月返）'!$A:$A,1,FALSE)</f>
        <v>#N/A</v>
      </c>
      <c r="J1963" s="99" t="s">
        <v>90</v>
      </c>
      <c r="K1963" s="98" t="s">
        <v>775</v>
      </c>
      <c r="L1963" s="148"/>
      <c r="M1963" s="26" t="s">
        <v>776</v>
      </c>
      <c r="N1963" s="28">
        <v>44348</v>
      </c>
      <c r="O1963" s="28" t="s">
        <v>457</v>
      </c>
      <c r="P1963" s="173">
        <v>3998</v>
      </c>
      <c r="Q1963" s="131">
        <v>2</v>
      </c>
      <c r="R1963" s="120">
        <f t="shared" si="48"/>
        <v>7996</v>
      </c>
      <c r="S1963" s="117">
        <v>202303</v>
      </c>
      <c r="T1963" s="147" t="s">
        <v>2575</v>
      </c>
      <c r="U1963" s="147"/>
      <c r="V1963" s="133"/>
      <c r="W1963" s="133"/>
      <c r="X1963" s="118">
        <v>44348</v>
      </c>
      <c r="Y1963" s="118">
        <v>45077</v>
      </c>
    </row>
    <row r="1964" s="9" customFormat="1" customHeight="1" spans="1:25">
      <c r="A1964" s="98" t="s">
        <v>61</v>
      </c>
      <c r="B1964" s="98" t="s">
        <v>62</v>
      </c>
      <c r="C1964" s="129" t="s">
        <v>217</v>
      </c>
      <c r="D1964" s="96" t="s">
        <v>64</v>
      </c>
      <c r="E1964" s="147" t="s">
        <v>2440</v>
      </c>
      <c r="F1964" s="98" t="s">
        <v>2566</v>
      </c>
      <c r="G1964" s="99" t="s">
        <v>88</v>
      </c>
      <c r="H1964" s="19" t="s">
        <v>2563</v>
      </c>
      <c r="I1964" s="23" t="e">
        <f>VLOOKUP(H1964,'合同综合查询数据（3月返）'!$A:$A,1,FALSE)</f>
        <v>#N/A</v>
      </c>
      <c r="J1964" s="99" t="s">
        <v>90</v>
      </c>
      <c r="K1964" s="98" t="s">
        <v>775</v>
      </c>
      <c r="L1964" s="148"/>
      <c r="M1964" s="26" t="s">
        <v>776</v>
      </c>
      <c r="N1964" s="28">
        <v>44854</v>
      </c>
      <c r="O1964" s="28" t="s">
        <v>457</v>
      </c>
      <c r="P1964" s="173">
        <v>3998</v>
      </c>
      <c r="Q1964" s="131">
        <v>2</v>
      </c>
      <c r="R1964" s="120">
        <f t="shared" si="48"/>
        <v>7996</v>
      </c>
      <c r="S1964" s="117">
        <v>202303</v>
      </c>
      <c r="T1964" s="147" t="s">
        <v>2576</v>
      </c>
      <c r="U1964" s="147"/>
      <c r="V1964" s="133"/>
      <c r="W1964" s="133"/>
      <c r="X1964" s="118">
        <v>44348</v>
      </c>
      <c r="Y1964" s="118">
        <v>45077</v>
      </c>
    </row>
    <row r="1965" s="9" customFormat="1" customHeight="1" spans="1:25">
      <c r="A1965" s="98" t="s">
        <v>61</v>
      </c>
      <c r="B1965" s="98" t="s">
        <v>62</v>
      </c>
      <c r="C1965" s="129" t="s">
        <v>217</v>
      </c>
      <c r="D1965" s="96" t="s">
        <v>64</v>
      </c>
      <c r="E1965" s="147" t="s">
        <v>2440</v>
      </c>
      <c r="F1965" s="98" t="s">
        <v>2566</v>
      </c>
      <c r="G1965" s="99" t="s">
        <v>88</v>
      </c>
      <c r="H1965" s="19" t="s">
        <v>2563</v>
      </c>
      <c r="I1965" s="23" t="e">
        <f>VLOOKUP(H1965,'合同综合查询数据（3月返）'!$A:$A,1,FALSE)</f>
        <v>#N/A</v>
      </c>
      <c r="J1965" s="99" t="s">
        <v>90</v>
      </c>
      <c r="K1965" s="98" t="s">
        <v>775</v>
      </c>
      <c r="L1965" s="148"/>
      <c r="M1965" s="26" t="s">
        <v>776</v>
      </c>
      <c r="N1965" s="28">
        <v>44862</v>
      </c>
      <c r="O1965" s="28" t="s">
        <v>457</v>
      </c>
      <c r="P1965" s="173">
        <v>3998</v>
      </c>
      <c r="Q1965" s="131">
        <v>-2</v>
      </c>
      <c r="R1965" s="120">
        <f t="shared" si="48"/>
        <v>-7996</v>
      </c>
      <c r="S1965" s="117">
        <v>202303</v>
      </c>
      <c r="T1965" s="147" t="s">
        <v>2577</v>
      </c>
      <c r="U1965" s="147"/>
      <c r="V1965" s="133"/>
      <c r="W1965" s="133"/>
      <c r="X1965" s="118">
        <v>44348</v>
      </c>
      <c r="Y1965" s="118">
        <v>45077</v>
      </c>
    </row>
    <row r="1966" s="9" customFormat="1" customHeight="1" spans="1:25">
      <c r="A1966" s="98" t="s">
        <v>61</v>
      </c>
      <c r="B1966" s="98" t="s">
        <v>62</v>
      </c>
      <c r="C1966" s="129" t="s">
        <v>217</v>
      </c>
      <c r="D1966" s="96" t="s">
        <v>64</v>
      </c>
      <c r="E1966" s="147" t="s">
        <v>2440</v>
      </c>
      <c r="F1966" s="98" t="s">
        <v>2566</v>
      </c>
      <c r="G1966" s="99" t="s">
        <v>88</v>
      </c>
      <c r="H1966" s="19" t="s">
        <v>2563</v>
      </c>
      <c r="I1966" s="23" t="e">
        <f>VLOOKUP(H1966,'合同综合查询数据（3月返）'!$A:$A,1,FALSE)</f>
        <v>#N/A</v>
      </c>
      <c r="J1966" s="99" t="s">
        <v>90</v>
      </c>
      <c r="K1966" s="98" t="s">
        <v>775</v>
      </c>
      <c r="L1966" s="148"/>
      <c r="M1966" s="26" t="s">
        <v>776</v>
      </c>
      <c r="N1966" s="28">
        <v>44873</v>
      </c>
      <c r="O1966" s="28" t="s">
        <v>457</v>
      </c>
      <c r="P1966" s="173">
        <v>3998</v>
      </c>
      <c r="Q1966" s="131">
        <v>2</v>
      </c>
      <c r="R1966" s="120">
        <f t="shared" si="48"/>
        <v>7996</v>
      </c>
      <c r="S1966" s="117">
        <v>202303</v>
      </c>
      <c r="T1966" s="147" t="s">
        <v>2577</v>
      </c>
      <c r="U1966" s="147"/>
      <c r="V1966" s="133"/>
      <c r="W1966" s="133"/>
      <c r="X1966" s="118">
        <v>44348</v>
      </c>
      <c r="Y1966" s="118">
        <v>45077</v>
      </c>
    </row>
    <row r="1967" s="9" customFormat="1" customHeight="1" spans="1:25">
      <c r="A1967" s="98" t="s">
        <v>61</v>
      </c>
      <c r="B1967" s="98" t="s">
        <v>62</v>
      </c>
      <c r="C1967" s="129" t="s">
        <v>217</v>
      </c>
      <c r="D1967" s="96" t="s">
        <v>64</v>
      </c>
      <c r="E1967" s="147" t="s">
        <v>2440</v>
      </c>
      <c r="F1967" s="98" t="s">
        <v>2566</v>
      </c>
      <c r="G1967" s="99" t="s">
        <v>88</v>
      </c>
      <c r="H1967" s="19" t="s">
        <v>2563</v>
      </c>
      <c r="I1967" s="23" t="e">
        <f>VLOOKUP(H1967,'合同综合查询数据（3月返）'!$A:$A,1,FALSE)</f>
        <v>#N/A</v>
      </c>
      <c r="J1967" s="99" t="s">
        <v>90</v>
      </c>
      <c r="K1967" s="98" t="s">
        <v>775</v>
      </c>
      <c r="L1967" s="148"/>
      <c r="M1967" s="26" t="s">
        <v>776</v>
      </c>
      <c r="N1967" s="28">
        <v>44895</v>
      </c>
      <c r="O1967" s="28" t="s">
        <v>457</v>
      </c>
      <c r="P1967" s="173">
        <v>3998</v>
      </c>
      <c r="Q1967" s="131">
        <v>1</v>
      </c>
      <c r="R1967" s="120">
        <f t="shared" si="48"/>
        <v>3998</v>
      </c>
      <c r="S1967" s="117">
        <v>202303</v>
      </c>
      <c r="T1967" s="147" t="s">
        <v>2578</v>
      </c>
      <c r="U1967" s="147"/>
      <c r="V1967" s="133"/>
      <c r="W1967" s="133"/>
      <c r="X1967" s="118">
        <v>44348</v>
      </c>
      <c r="Y1967" s="118">
        <v>45077</v>
      </c>
    </row>
    <row r="1968" s="9" customFormat="1" customHeight="1" spans="1:25">
      <c r="A1968" s="98" t="s">
        <v>61</v>
      </c>
      <c r="B1968" s="98" t="s">
        <v>62</v>
      </c>
      <c r="C1968" s="129" t="s">
        <v>217</v>
      </c>
      <c r="D1968" s="96" t="s">
        <v>64</v>
      </c>
      <c r="E1968" s="147" t="s">
        <v>2440</v>
      </c>
      <c r="F1968" s="98" t="s">
        <v>2566</v>
      </c>
      <c r="G1968" s="99" t="s">
        <v>88</v>
      </c>
      <c r="H1968" s="19" t="s">
        <v>2563</v>
      </c>
      <c r="I1968" s="23" t="e">
        <f>VLOOKUP(H1968,'合同综合查询数据（3月返）'!$A:$A,1,FALSE)</f>
        <v>#N/A</v>
      </c>
      <c r="J1968" s="99" t="s">
        <v>90</v>
      </c>
      <c r="K1968" s="98" t="s">
        <v>775</v>
      </c>
      <c r="L1968" s="148"/>
      <c r="M1968" s="26" t="s">
        <v>776</v>
      </c>
      <c r="N1968" s="28">
        <v>44914</v>
      </c>
      <c r="O1968" s="28" t="s">
        <v>457</v>
      </c>
      <c r="P1968" s="173">
        <v>3998</v>
      </c>
      <c r="Q1968" s="131">
        <v>1</v>
      </c>
      <c r="R1968" s="120">
        <f t="shared" si="48"/>
        <v>3998</v>
      </c>
      <c r="S1968" s="117">
        <v>202303</v>
      </c>
      <c r="T1968" s="147" t="s">
        <v>2579</v>
      </c>
      <c r="U1968" s="147"/>
      <c r="V1968" s="133"/>
      <c r="W1968" s="133"/>
      <c r="X1968" s="118">
        <v>44348</v>
      </c>
      <c r="Y1968" s="118">
        <v>45077</v>
      </c>
    </row>
    <row r="1969" s="10" customFormat="1" customHeight="1" spans="1:25">
      <c r="A1969" s="42" t="s">
        <v>61</v>
      </c>
      <c r="B1969" s="61" t="s">
        <v>62</v>
      </c>
      <c r="C1969" s="43" t="s">
        <v>63</v>
      </c>
      <c r="D1969" s="60" t="s">
        <v>75</v>
      </c>
      <c r="E1969" s="44" t="s">
        <v>2440</v>
      </c>
      <c r="F1969" s="42" t="s">
        <v>2441</v>
      </c>
      <c r="G1969" s="66" t="s">
        <v>88</v>
      </c>
      <c r="H1969" s="45" t="s">
        <v>2580</v>
      </c>
      <c r="I1969" s="47" t="e">
        <f>VLOOKUP(H1969,'合同综合查询数据（3月返）'!$A:$A,1,FALSE)</f>
        <v>#N/A</v>
      </c>
      <c r="J1969" s="66" t="s">
        <v>90</v>
      </c>
      <c r="K1969" s="42" t="s">
        <v>2581</v>
      </c>
      <c r="L1969" s="49"/>
      <c r="M1969" s="50" t="s">
        <v>2535</v>
      </c>
      <c r="N1969" s="51">
        <v>44062</v>
      </c>
      <c r="O1969" s="51" t="s">
        <v>624</v>
      </c>
      <c r="P1969" s="67">
        <v>0</v>
      </c>
      <c r="Q1969" s="53">
        <v>1</v>
      </c>
      <c r="R1969" s="68">
        <f t="shared" si="48"/>
        <v>0</v>
      </c>
      <c r="S1969" s="70">
        <v>202303</v>
      </c>
      <c r="T1969" s="44" t="s">
        <v>2582</v>
      </c>
      <c r="U1969" s="44"/>
      <c r="V1969" s="235"/>
      <c r="W1969" s="235"/>
      <c r="X1969" s="73"/>
      <c r="Y1969" s="73"/>
    </row>
    <row r="1970" s="9" customFormat="1" customHeight="1" spans="1:25">
      <c r="A1970" s="16" t="s">
        <v>61</v>
      </c>
      <c r="B1970" s="96" t="s">
        <v>83</v>
      </c>
      <c r="C1970" s="17" t="s">
        <v>63</v>
      </c>
      <c r="D1970" s="96" t="s">
        <v>75</v>
      </c>
      <c r="E1970" s="18" t="s">
        <v>2440</v>
      </c>
      <c r="F1970" s="16" t="s">
        <v>2441</v>
      </c>
      <c r="G1970" s="99" t="s">
        <v>302</v>
      </c>
      <c r="H1970" s="19" t="s">
        <v>2583</v>
      </c>
      <c r="I1970" s="23" t="e">
        <f>VLOOKUP(H1970,'合同综合查询数据（3月返）'!$A:$A,1,FALSE)</f>
        <v>#N/A</v>
      </c>
      <c r="J1970" s="99" t="s">
        <v>302</v>
      </c>
      <c r="K1970" s="16" t="s">
        <v>2584</v>
      </c>
      <c r="L1970" s="25"/>
      <c r="M1970" s="26"/>
      <c r="N1970" s="28">
        <v>44398</v>
      </c>
      <c r="O1970" s="28" t="s">
        <v>440</v>
      </c>
      <c r="P1970" s="239">
        <v>4200</v>
      </c>
      <c r="Q1970" s="35">
        <v>1</v>
      </c>
      <c r="R1970" s="120">
        <f t="shared" si="48"/>
        <v>4200</v>
      </c>
      <c r="S1970" s="117">
        <v>202303</v>
      </c>
      <c r="T1970" s="18" t="s">
        <v>2585</v>
      </c>
      <c r="U1970" s="18"/>
      <c r="V1970" s="243"/>
      <c r="W1970" s="243"/>
      <c r="X1970" s="118">
        <v>43952</v>
      </c>
      <c r="Y1970" s="118">
        <v>45046</v>
      </c>
    </row>
    <row r="1971" s="9" customFormat="1" customHeight="1" spans="1:25">
      <c r="A1971" s="16" t="s">
        <v>61</v>
      </c>
      <c r="B1971" s="96" t="s">
        <v>83</v>
      </c>
      <c r="C1971" s="17" t="s">
        <v>63</v>
      </c>
      <c r="D1971" s="96" t="s">
        <v>75</v>
      </c>
      <c r="E1971" s="18" t="s">
        <v>2440</v>
      </c>
      <c r="F1971" s="16" t="s">
        <v>2441</v>
      </c>
      <c r="G1971" s="99" t="s">
        <v>302</v>
      </c>
      <c r="H1971" s="19" t="s">
        <v>2583</v>
      </c>
      <c r="I1971" s="23" t="e">
        <f>VLOOKUP(H1971,'合同综合查询数据（3月返）'!$A:$A,1,FALSE)</f>
        <v>#N/A</v>
      </c>
      <c r="J1971" s="99" t="s">
        <v>302</v>
      </c>
      <c r="K1971" s="16" t="s">
        <v>2586</v>
      </c>
      <c r="L1971" s="25"/>
      <c r="M1971" s="26"/>
      <c r="N1971" s="28">
        <v>44398</v>
      </c>
      <c r="O1971" s="28" t="s">
        <v>440</v>
      </c>
      <c r="P1971" s="239">
        <v>4200</v>
      </c>
      <c r="Q1971" s="35">
        <v>1</v>
      </c>
      <c r="R1971" s="120">
        <f t="shared" si="48"/>
        <v>4200</v>
      </c>
      <c r="S1971" s="117">
        <v>202303</v>
      </c>
      <c r="T1971" s="18" t="s">
        <v>2587</v>
      </c>
      <c r="U1971" s="18"/>
      <c r="V1971" s="243"/>
      <c r="W1971" s="243"/>
      <c r="X1971" s="118">
        <v>43952</v>
      </c>
      <c r="Y1971" s="118">
        <v>45046</v>
      </c>
    </row>
    <row r="1972" s="9" customFormat="1" customHeight="1" spans="1:25">
      <c r="A1972" s="16" t="s">
        <v>61</v>
      </c>
      <c r="B1972" s="96" t="s">
        <v>83</v>
      </c>
      <c r="C1972" s="17" t="s">
        <v>63</v>
      </c>
      <c r="D1972" s="96" t="s">
        <v>75</v>
      </c>
      <c r="E1972" s="18" t="s">
        <v>2440</v>
      </c>
      <c r="F1972" s="16" t="s">
        <v>2441</v>
      </c>
      <c r="G1972" s="99" t="s">
        <v>302</v>
      </c>
      <c r="H1972" s="19" t="s">
        <v>2583</v>
      </c>
      <c r="I1972" s="23" t="e">
        <f>VLOOKUP(H1972,'合同综合查询数据（3月返）'!$A:$A,1,FALSE)</f>
        <v>#N/A</v>
      </c>
      <c r="J1972" s="99" t="s">
        <v>302</v>
      </c>
      <c r="K1972" s="16" t="s">
        <v>2588</v>
      </c>
      <c r="L1972" s="25"/>
      <c r="M1972" s="26"/>
      <c r="N1972" s="28">
        <v>44398</v>
      </c>
      <c r="O1972" s="28" t="s">
        <v>440</v>
      </c>
      <c r="P1972" s="239">
        <v>4200</v>
      </c>
      <c r="Q1972" s="35">
        <v>1</v>
      </c>
      <c r="R1972" s="120">
        <f t="shared" si="48"/>
        <v>4200</v>
      </c>
      <c r="S1972" s="117">
        <v>202303</v>
      </c>
      <c r="T1972" s="18" t="s">
        <v>2589</v>
      </c>
      <c r="U1972" s="18"/>
      <c r="V1972" s="243"/>
      <c r="W1972" s="243"/>
      <c r="X1972" s="118">
        <v>43952</v>
      </c>
      <c r="Y1972" s="118">
        <v>45046</v>
      </c>
    </row>
    <row r="1973" s="9" customFormat="1" customHeight="1" spans="1:25">
      <c r="A1973" s="16" t="s">
        <v>61</v>
      </c>
      <c r="B1973" s="96" t="s">
        <v>83</v>
      </c>
      <c r="C1973" s="17" t="s">
        <v>63</v>
      </c>
      <c r="D1973" s="96" t="s">
        <v>75</v>
      </c>
      <c r="E1973" s="18" t="s">
        <v>2440</v>
      </c>
      <c r="F1973" s="16" t="s">
        <v>2441</v>
      </c>
      <c r="G1973" s="99" t="s">
        <v>302</v>
      </c>
      <c r="H1973" s="19" t="s">
        <v>2583</v>
      </c>
      <c r="I1973" s="23" t="e">
        <f>VLOOKUP(H1973,'合同综合查询数据（3月返）'!$A:$A,1,FALSE)</f>
        <v>#N/A</v>
      </c>
      <c r="J1973" s="99" t="s">
        <v>302</v>
      </c>
      <c r="K1973" s="16" t="s">
        <v>2590</v>
      </c>
      <c r="L1973" s="25"/>
      <c r="M1973" s="26"/>
      <c r="N1973" s="28">
        <v>44398</v>
      </c>
      <c r="O1973" s="28" t="s">
        <v>440</v>
      </c>
      <c r="P1973" s="239">
        <v>4200</v>
      </c>
      <c r="Q1973" s="35">
        <v>1</v>
      </c>
      <c r="R1973" s="120">
        <f t="shared" si="48"/>
        <v>4200</v>
      </c>
      <c r="S1973" s="117">
        <v>202303</v>
      </c>
      <c r="T1973" s="18" t="s">
        <v>2591</v>
      </c>
      <c r="U1973" s="18"/>
      <c r="V1973" s="243"/>
      <c r="W1973" s="243"/>
      <c r="X1973" s="118">
        <v>43952</v>
      </c>
      <c r="Y1973" s="118">
        <v>45046</v>
      </c>
    </row>
    <row r="1974" s="9" customFormat="1" customHeight="1" spans="1:25">
      <c r="A1974" s="16" t="s">
        <v>61</v>
      </c>
      <c r="B1974" s="98" t="s">
        <v>62</v>
      </c>
      <c r="C1974" s="17" t="s">
        <v>63</v>
      </c>
      <c r="D1974" s="96" t="s">
        <v>75</v>
      </c>
      <c r="E1974" s="18" t="s">
        <v>2440</v>
      </c>
      <c r="F1974" s="16" t="s">
        <v>2441</v>
      </c>
      <c r="G1974" s="99" t="s">
        <v>67</v>
      </c>
      <c r="H1974" s="19" t="s">
        <v>2453</v>
      </c>
      <c r="I1974" s="23" t="e">
        <f>VLOOKUP(H1974,'合同综合查询数据（3月返）'!$A:$A,1,FALSE)</f>
        <v>#N/A</v>
      </c>
      <c r="J1974" s="99" t="s">
        <v>69</v>
      </c>
      <c r="K1974" s="16" t="s">
        <v>2592</v>
      </c>
      <c r="L1974" s="25"/>
      <c r="M1974" s="26"/>
      <c r="N1974" s="28">
        <v>43959</v>
      </c>
      <c r="O1974" s="28" t="s">
        <v>71</v>
      </c>
      <c r="P1974" s="239">
        <v>440</v>
      </c>
      <c r="Q1974" s="35">
        <v>3.2</v>
      </c>
      <c r="R1974" s="120">
        <f t="shared" si="48"/>
        <v>1408</v>
      </c>
      <c r="S1974" s="117">
        <v>202303</v>
      </c>
      <c r="T1974" s="18" t="s">
        <v>2593</v>
      </c>
      <c r="U1974" s="18"/>
      <c r="V1974" s="243"/>
      <c r="W1974" s="243"/>
      <c r="X1974" s="118">
        <v>43952</v>
      </c>
      <c r="Y1974" s="118">
        <v>45046</v>
      </c>
    </row>
    <row r="1975" s="9" customFormat="1" customHeight="1" spans="1:25">
      <c r="A1975" s="16" t="s">
        <v>61</v>
      </c>
      <c r="B1975" s="98" t="s">
        <v>62</v>
      </c>
      <c r="C1975" s="17" t="s">
        <v>63</v>
      </c>
      <c r="D1975" s="96" t="s">
        <v>75</v>
      </c>
      <c r="E1975" s="18" t="s">
        <v>2440</v>
      </c>
      <c r="F1975" s="16" t="s">
        <v>2441</v>
      </c>
      <c r="G1975" s="99" t="s">
        <v>67</v>
      </c>
      <c r="H1975" s="19" t="s">
        <v>2453</v>
      </c>
      <c r="I1975" s="23" t="e">
        <f>VLOOKUP(H1975,'合同综合查询数据（3月返）'!$A:$A,1,FALSE)</f>
        <v>#N/A</v>
      </c>
      <c r="J1975" s="99" t="s">
        <v>69</v>
      </c>
      <c r="K1975" s="16" t="s">
        <v>2594</v>
      </c>
      <c r="L1975" s="25"/>
      <c r="M1975" s="26"/>
      <c r="N1975" s="28">
        <v>43959</v>
      </c>
      <c r="O1975" s="28" t="s">
        <v>71</v>
      </c>
      <c r="P1975" s="239">
        <v>1320</v>
      </c>
      <c r="Q1975" s="35">
        <v>6.2</v>
      </c>
      <c r="R1975" s="120">
        <f t="shared" si="48"/>
        <v>8184</v>
      </c>
      <c r="S1975" s="117">
        <v>202303</v>
      </c>
      <c r="T1975" s="18" t="s">
        <v>2593</v>
      </c>
      <c r="U1975" s="18"/>
      <c r="V1975" s="243"/>
      <c r="W1975" s="243"/>
      <c r="X1975" s="118">
        <v>43952</v>
      </c>
      <c r="Y1975" s="118">
        <v>45046</v>
      </c>
    </row>
    <row r="1976" s="9" customFormat="1" customHeight="1" spans="1:25">
      <c r="A1976" s="16" t="s">
        <v>61</v>
      </c>
      <c r="B1976" s="98" t="s">
        <v>62</v>
      </c>
      <c r="C1976" s="17" t="s">
        <v>63</v>
      </c>
      <c r="D1976" s="96" t="s">
        <v>75</v>
      </c>
      <c r="E1976" s="18" t="s">
        <v>2440</v>
      </c>
      <c r="F1976" s="16" t="s">
        <v>2441</v>
      </c>
      <c r="G1976" s="99" t="s">
        <v>67</v>
      </c>
      <c r="H1976" s="19" t="s">
        <v>2453</v>
      </c>
      <c r="I1976" s="23" t="e">
        <f>VLOOKUP(H1976,'合同综合查询数据（3月返）'!$A:$A,1,FALSE)</f>
        <v>#N/A</v>
      </c>
      <c r="J1976" s="99" t="s">
        <v>69</v>
      </c>
      <c r="K1976" s="16" t="s">
        <v>2595</v>
      </c>
      <c r="L1976" s="25"/>
      <c r="M1976" s="26"/>
      <c r="N1976" s="28">
        <v>43959</v>
      </c>
      <c r="O1976" s="28" t="s">
        <v>71</v>
      </c>
      <c r="P1976" s="239">
        <v>1320</v>
      </c>
      <c r="Q1976" s="35">
        <v>6.2</v>
      </c>
      <c r="R1976" s="120">
        <f t="shared" si="48"/>
        <v>8184</v>
      </c>
      <c r="S1976" s="117">
        <v>202303</v>
      </c>
      <c r="T1976" s="18" t="s">
        <v>2596</v>
      </c>
      <c r="U1976" s="18"/>
      <c r="V1976" s="243"/>
      <c r="W1976" s="243"/>
      <c r="X1976" s="118">
        <v>43952</v>
      </c>
      <c r="Y1976" s="118">
        <v>45046</v>
      </c>
    </row>
    <row r="1977" s="9" customFormat="1" customHeight="1" spans="1:25">
      <c r="A1977" s="16" t="s">
        <v>61</v>
      </c>
      <c r="B1977" s="98" t="s">
        <v>62</v>
      </c>
      <c r="C1977" s="17" t="s">
        <v>63</v>
      </c>
      <c r="D1977" s="96" t="s">
        <v>75</v>
      </c>
      <c r="E1977" s="18" t="s">
        <v>2440</v>
      </c>
      <c r="F1977" s="16" t="s">
        <v>2441</v>
      </c>
      <c r="G1977" s="99" t="s">
        <v>67</v>
      </c>
      <c r="H1977" s="19" t="s">
        <v>2453</v>
      </c>
      <c r="I1977" s="23" t="e">
        <f>VLOOKUP(H1977,'合同综合查询数据（3月返）'!$A:$A,1,FALSE)</f>
        <v>#N/A</v>
      </c>
      <c r="J1977" s="99" t="s">
        <v>69</v>
      </c>
      <c r="K1977" s="16" t="s">
        <v>2597</v>
      </c>
      <c r="L1977" s="25"/>
      <c r="M1977" s="26"/>
      <c r="N1977" s="28">
        <v>43959</v>
      </c>
      <c r="O1977" s="28" t="s">
        <v>71</v>
      </c>
      <c r="P1977" s="239">
        <v>440</v>
      </c>
      <c r="Q1977" s="35">
        <v>5</v>
      </c>
      <c r="R1977" s="120">
        <f t="shared" si="48"/>
        <v>2200</v>
      </c>
      <c r="S1977" s="117">
        <v>202303</v>
      </c>
      <c r="T1977" s="18" t="s">
        <v>2596</v>
      </c>
      <c r="U1977" s="18"/>
      <c r="V1977" s="243"/>
      <c r="W1977" s="243"/>
      <c r="X1977" s="118">
        <v>43952</v>
      </c>
      <c r="Y1977" s="118">
        <v>45046</v>
      </c>
    </row>
    <row r="1978" s="9" customFormat="1" customHeight="1" spans="1:25">
      <c r="A1978" s="16" t="s">
        <v>61</v>
      </c>
      <c r="B1978" s="98" t="s">
        <v>62</v>
      </c>
      <c r="C1978" s="17" t="s">
        <v>63</v>
      </c>
      <c r="D1978" s="96" t="s">
        <v>75</v>
      </c>
      <c r="E1978" s="18" t="s">
        <v>2440</v>
      </c>
      <c r="F1978" s="16" t="s">
        <v>2441</v>
      </c>
      <c r="G1978" s="99" t="s">
        <v>67</v>
      </c>
      <c r="H1978" s="19" t="s">
        <v>2453</v>
      </c>
      <c r="I1978" s="23" t="e">
        <f>VLOOKUP(H1978,'合同综合查询数据（3月返）'!$A:$A,1,FALSE)</f>
        <v>#N/A</v>
      </c>
      <c r="J1978" s="99" t="s">
        <v>69</v>
      </c>
      <c r="K1978" s="16" t="s">
        <v>2598</v>
      </c>
      <c r="L1978" s="25"/>
      <c r="M1978" s="26"/>
      <c r="N1978" s="28">
        <v>44058</v>
      </c>
      <c r="O1978" s="28" t="s">
        <v>71</v>
      </c>
      <c r="P1978" s="239">
        <f>400*1.1</f>
        <v>440</v>
      </c>
      <c r="Q1978" s="35">
        <v>39.83</v>
      </c>
      <c r="R1978" s="120">
        <f>ROUND(P1978*Q1978,2)-0.2</f>
        <v>17525</v>
      </c>
      <c r="S1978" s="117">
        <v>202303</v>
      </c>
      <c r="T1978" s="18" t="s">
        <v>2599</v>
      </c>
      <c r="U1978" s="18"/>
      <c r="V1978" s="243"/>
      <c r="W1978" s="243"/>
      <c r="X1978" s="118">
        <v>43952</v>
      </c>
      <c r="Y1978" s="118">
        <v>45046</v>
      </c>
    </row>
    <row r="1979" s="9" customFormat="1" customHeight="1" spans="1:25">
      <c r="A1979" s="16" t="s">
        <v>61</v>
      </c>
      <c r="B1979" s="98" t="s">
        <v>62</v>
      </c>
      <c r="C1979" s="17" t="s">
        <v>63</v>
      </c>
      <c r="D1979" s="96" t="s">
        <v>75</v>
      </c>
      <c r="E1979" s="18" t="s">
        <v>2440</v>
      </c>
      <c r="F1979" s="16" t="s">
        <v>2441</v>
      </c>
      <c r="G1979" s="99" t="s">
        <v>67</v>
      </c>
      <c r="H1979" s="19" t="s">
        <v>2453</v>
      </c>
      <c r="I1979" s="23" t="e">
        <f>VLOOKUP(H1979,'合同综合查询数据（3月返）'!$A:$A,1,FALSE)</f>
        <v>#N/A</v>
      </c>
      <c r="J1979" s="99" t="s">
        <v>69</v>
      </c>
      <c r="K1979" s="16" t="s">
        <v>2598</v>
      </c>
      <c r="L1979" s="25"/>
      <c r="M1979" s="26"/>
      <c r="N1979" s="28">
        <v>44058</v>
      </c>
      <c r="O1979" s="28" t="s">
        <v>71</v>
      </c>
      <c r="P1979" s="239">
        <f>1200*1.1</f>
        <v>1320</v>
      </c>
      <c r="Q1979" s="35">
        <v>5</v>
      </c>
      <c r="R1979" s="120">
        <f>ROUND(P1979*Q1979,2)</f>
        <v>6600</v>
      </c>
      <c r="S1979" s="117">
        <v>202303</v>
      </c>
      <c r="T1979" s="18" t="s">
        <v>2600</v>
      </c>
      <c r="U1979" s="18"/>
      <c r="V1979" s="243"/>
      <c r="W1979" s="243"/>
      <c r="X1979" s="118">
        <v>43952</v>
      </c>
      <c r="Y1979" s="118">
        <v>45046</v>
      </c>
    </row>
    <row r="1980" s="9" customFormat="1" customHeight="1" spans="1:25">
      <c r="A1980" s="16" t="s">
        <v>61</v>
      </c>
      <c r="B1980" s="98" t="s">
        <v>62</v>
      </c>
      <c r="C1980" s="17" t="s">
        <v>63</v>
      </c>
      <c r="D1980" s="96" t="s">
        <v>75</v>
      </c>
      <c r="E1980" s="18" t="s">
        <v>2440</v>
      </c>
      <c r="F1980" s="16" t="s">
        <v>2441</v>
      </c>
      <c r="G1980" s="99" t="s">
        <v>67</v>
      </c>
      <c r="H1980" s="19" t="s">
        <v>2453</v>
      </c>
      <c r="I1980" s="23" t="e">
        <f>VLOOKUP(H1980,'合同综合查询数据（3月返）'!$A:$A,1,FALSE)</f>
        <v>#N/A</v>
      </c>
      <c r="J1980" s="99" t="s">
        <v>69</v>
      </c>
      <c r="K1980" s="16" t="s">
        <v>2598</v>
      </c>
      <c r="L1980" s="25"/>
      <c r="M1980" s="26"/>
      <c r="N1980" s="28">
        <v>44058</v>
      </c>
      <c r="O1980" s="28" t="s">
        <v>71</v>
      </c>
      <c r="P1980" s="239">
        <f>400*1.1</f>
        <v>440</v>
      </c>
      <c r="Q1980" s="35">
        <v>35.16</v>
      </c>
      <c r="R1980" s="120">
        <f>ROUND(P1980*Q1980,2)-0.4</f>
        <v>15470</v>
      </c>
      <c r="S1980" s="117">
        <v>202303</v>
      </c>
      <c r="T1980" s="18" t="s">
        <v>2601</v>
      </c>
      <c r="U1980" s="18"/>
      <c r="V1980" s="243"/>
      <c r="W1980" s="243"/>
      <c r="X1980" s="118">
        <v>43952</v>
      </c>
      <c r="Y1980" s="118">
        <v>45046</v>
      </c>
    </row>
    <row r="1981" s="9" customFormat="1" customHeight="1" spans="1:25">
      <c r="A1981" s="16" t="s">
        <v>61</v>
      </c>
      <c r="B1981" s="98" t="s">
        <v>62</v>
      </c>
      <c r="C1981" s="17" t="s">
        <v>63</v>
      </c>
      <c r="D1981" s="96" t="s">
        <v>75</v>
      </c>
      <c r="E1981" s="18" t="s">
        <v>2440</v>
      </c>
      <c r="F1981" s="16" t="s">
        <v>2441</v>
      </c>
      <c r="G1981" s="99" t="s">
        <v>67</v>
      </c>
      <c r="H1981" s="19" t="s">
        <v>2453</v>
      </c>
      <c r="I1981" s="23" t="e">
        <f>VLOOKUP(H1981,'合同综合查询数据（3月返）'!$A:$A,1,FALSE)</f>
        <v>#N/A</v>
      </c>
      <c r="J1981" s="99" t="s">
        <v>69</v>
      </c>
      <c r="K1981" s="16" t="s">
        <v>2598</v>
      </c>
      <c r="L1981" s="25"/>
      <c r="M1981" s="26"/>
      <c r="N1981" s="28">
        <v>44058</v>
      </c>
      <c r="O1981" s="28" t="s">
        <v>71</v>
      </c>
      <c r="P1981" s="239">
        <f>1200*1.1</f>
        <v>1320</v>
      </c>
      <c r="Q1981" s="35">
        <v>6.2</v>
      </c>
      <c r="R1981" s="120">
        <f t="shared" ref="R1981:R1991" si="49">ROUND(P1981*Q1981,2)</f>
        <v>8184</v>
      </c>
      <c r="S1981" s="117">
        <v>202303</v>
      </c>
      <c r="T1981" s="18" t="s">
        <v>2602</v>
      </c>
      <c r="U1981" s="18"/>
      <c r="V1981" s="243"/>
      <c r="W1981" s="243"/>
      <c r="X1981" s="118">
        <v>43952</v>
      </c>
      <c r="Y1981" s="118">
        <v>45046</v>
      </c>
    </row>
    <row r="1982" s="9" customFormat="1" customHeight="1" spans="1:25">
      <c r="A1982" s="16" t="s">
        <v>61</v>
      </c>
      <c r="B1982" s="98" t="s">
        <v>62</v>
      </c>
      <c r="C1982" s="17" t="s">
        <v>63</v>
      </c>
      <c r="D1982" s="96" t="s">
        <v>75</v>
      </c>
      <c r="E1982" s="18" t="s">
        <v>2440</v>
      </c>
      <c r="F1982" s="16" t="s">
        <v>2441</v>
      </c>
      <c r="G1982" s="99" t="s">
        <v>67</v>
      </c>
      <c r="H1982" s="19" t="s">
        <v>2453</v>
      </c>
      <c r="I1982" s="23" t="e">
        <f>VLOOKUP(H1982,'合同综合查询数据（3月返）'!$A:$A,1,FALSE)</f>
        <v>#N/A</v>
      </c>
      <c r="J1982" s="99" t="s">
        <v>69</v>
      </c>
      <c r="K1982" s="16" t="s">
        <v>2603</v>
      </c>
      <c r="L1982" s="25"/>
      <c r="M1982" s="26"/>
      <c r="N1982" s="28">
        <v>44125</v>
      </c>
      <c r="O1982" s="28" t="s">
        <v>71</v>
      </c>
      <c r="P1982" s="239">
        <f>400*1.1</f>
        <v>440</v>
      </c>
      <c r="Q1982" s="35">
        <v>77</v>
      </c>
      <c r="R1982" s="120">
        <f t="shared" si="49"/>
        <v>33880</v>
      </c>
      <c r="S1982" s="117">
        <v>202303</v>
      </c>
      <c r="T1982" s="18" t="s">
        <v>2604</v>
      </c>
      <c r="U1982" s="18"/>
      <c r="V1982" s="243"/>
      <c r="W1982" s="243"/>
      <c r="X1982" s="118">
        <v>43952</v>
      </c>
      <c r="Y1982" s="118">
        <v>45046</v>
      </c>
    </row>
    <row r="1983" s="9" customFormat="1" customHeight="1" spans="1:25">
      <c r="A1983" s="16" t="s">
        <v>61</v>
      </c>
      <c r="B1983" s="98" t="s">
        <v>62</v>
      </c>
      <c r="C1983" s="17" t="s">
        <v>63</v>
      </c>
      <c r="D1983" s="96" t="s">
        <v>75</v>
      </c>
      <c r="E1983" s="18" t="s">
        <v>2440</v>
      </c>
      <c r="F1983" s="16" t="s">
        <v>2441</v>
      </c>
      <c r="G1983" s="99" t="s">
        <v>67</v>
      </c>
      <c r="H1983" s="19" t="s">
        <v>2453</v>
      </c>
      <c r="I1983" s="23" t="e">
        <f>VLOOKUP(H1983,'合同综合查询数据（3月返）'!$A:$A,1,FALSE)</f>
        <v>#N/A</v>
      </c>
      <c r="J1983" s="99" t="s">
        <v>69</v>
      </c>
      <c r="K1983" s="16" t="s">
        <v>2603</v>
      </c>
      <c r="L1983" s="25"/>
      <c r="M1983" s="26"/>
      <c r="N1983" s="28">
        <v>44125</v>
      </c>
      <c r="O1983" s="28" t="s">
        <v>71</v>
      </c>
      <c r="P1983" s="239">
        <f>1200*1.1</f>
        <v>1320</v>
      </c>
      <c r="Q1983" s="35">
        <v>6.2</v>
      </c>
      <c r="R1983" s="120">
        <f t="shared" si="49"/>
        <v>8184</v>
      </c>
      <c r="S1983" s="117">
        <v>202303</v>
      </c>
      <c r="T1983" s="18" t="s">
        <v>2605</v>
      </c>
      <c r="U1983" s="18"/>
      <c r="V1983" s="243"/>
      <c r="W1983" s="243"/>
      <c r="X1983" s="118">
        <v>43952</v>
      </c>
      <c r="Y1983" s="118">
        <v>45046</v>
      </c>
    </row>
    <row r="1984" s="9" customFormat="1" customHeight="1" spans="1:25">
      <c r="A1984" s="16" t="s">
        <v>61</v>
      </c>
      <c r="B1984" s="98" t="s">
        <v>62</v>
      </c>
      <c r="C1984" s="17" t="s">
        <v>63</v>
      </c>
      <c r="D1984" s="96" t="s">
        <v>75</v>
      </c>
      <c r="E1984" s="18" t="s">
        <v>2440</v>
      </c>
      <c r="F1984" s="16" t="s">
        <v>2441</v>
      </c>
      <c r="G1984" s="99" t="s">
        <v>67</v>
      </c>
      <c r="H1984" s="19" t="s">
        <v>2453</v>
      </c>
      <c r="I1984" s="23" t="e">
        <f>VLOOKUP(H1984,'合同综合查询数据（3月返）'!$A:$A,1,FALSE)</f>
        <v>#N/A</v>
      </c>
      <c r="J1984" s="99" t="s">
        <v>69</v>
      </c>
      <c r="K1984" s="16" t="s">
        <v>2606</v>
      </c>
      <c r="L1984" s="25"/>
      <c r="M1984" s="26"/>
      <c r="N1984" s="28">
        <v>44125</v>
      </c>
      <c r="O1984" s="28" t="s">
        <v>71</v>
      </c>
      <c r="P1984" s="239">
        <f>400*1.1</f>
        <v>440</v>
      </c>
      <c r="Q1984" s="35">
        <v>76.5</v>
      </c>
      <c r="R1984" s="120">
        <f t="shared" si="49"/>
        <v>33660</v>
      </c>
      <c r="S1984" s="117">
        <v>202303</v>
      </c>
      <c r="T1984" s="18" t="s">
        <v>2607</v>
      </c>
      <c r="U1984" s="18"/>
      <c r="V1984" s="243"/>
      <c r="W1984" s="243"/>
      <c r="X1984" s="118">
        <v>43952</v>
      </c>
      <c r="Y1984" s="118">
        <v>45046</v>
      </c>
    </row>
    <row r="1985" s="9" customFormat="1" customHeight="1" spans="1:25">
      <c r="A1985" s="16" t="s">
        <v>61</v>
      </c>
      <c r="B1985" s="98" t="s">
        <v>62</v>
      </c>
      <c r="C1985" s="17" t="s">
        <v>63</v>
      </c>
      <c r="D1985" s="96" t="s">
        <v>75</v>
      </c>
      <c r="E1985" s="18" t="s">
        <v>2440</v>
      </c>
      <c r="F1985" s="16" t="s">
        <v>2441</v>
      </c>
      <c r="G1985" s="99" t="s">
        <v>67</v>
      </c>
      <c r="H1985" s="19" t="s">
        <v>2453</v>
      </c>
      <c r="I1985" s="23" t="e">
        <f>VLOOKUP(H1985,'合同综合查询数据（3月返）'!$A:$A,1,FALSE)</f>
        <v>#N/A</v>
      </c>
      <c r="J1985" s="99" t="s">
        <v>69</v>
      </c>
      <c r="K1985" s="16" t="s">
        <v>2606</v>
      </c>
      <c r="L1985" s="25"/>
      <c r="M1985" s="26"/>
      <c r="N1985" s="28">
        <v>44125</v>
      </c>
      <c r="O1985" s="28" t="s">
        <v>71</v>
      </c>
      <c r="P1985" s="239">
        <f>1200*1.1</f>
        <v>1320</v>
      </c>
      <c r="Q1985" s="35">
        <v>5</v>
      </c>
      <c r="R1985" s="120">
        <f t="shared" si="49"/>
        <v>6600</v>
      </c>
      <c r="S1985" s="117">
        <v>202303</v>
      </c>
      <c r="T1985" s="18" t="s">
        <v>2608</v>
      </c>
      <c r="U1985" s="18"/>
      <c r="V1985" s="243"/>
      <c r="W1985" s="243"/>
      <c r="X1985" s="118">
        <v>43952</v>
      </c>
      <c r="Y1985" s="118">
        <v>45046</v>
      </c>
    </row>
    <row r="1986" s="9" customFormat="1" customHeight="1" spans="1:25">
      <c r="A1986" s="16" t="s">
        <v>61</v>
      </c>
      <c r="B1986" s="98" t="s">
        <v>62</v>
      </c>
      <c r="C1986" s="17" t="s">
        <v>63</v>
      </c>
      <c r="D1986" s="96" t="s">
        <v>75</v>
      </c>
      <c r="E1986" s="18" t="s">
        <v>2440</v>
      </c>
      <c r="F1986" s="16" t="s">
        <v>2441</v>
      </c>
      <c r="G1986" s="99" t="s">
        <v>67</v>
      </c>
      <c r="H1986" s="19" t="s">
        <v>2453</v>
      </c>
      <c r="I1986" s="23" t="e">
        <f>VLOOKUP(H1986,'合同综合查询数据（3月返）'!$A:$A,1,FALSE)</f>
        <v>#N/A</v>
      </c>
      <c r="J1986" s="99" t="s">
        <v>69</v>
      </c>
      <c r="K1986" s="16" t="s">
        <v>2609</v>
      </c>
      <c r="L1986" s="25"/>
      <c r="M1986" s="26"/>
      <c r="N1986" s="28">
        <v>44039</v>
      </c>
      <c r="O1986" s="28" t="s">
        <v>71</v>
      </c>
      <c r="P1986" s="239">
        <v>33558</v>
      </c>
      <c r="Q1986" s="35">
        <v>1</v>
      </c>
      <c r="R1986" s="120">
        <f t="shared" si="49"/>
        <v>33558</v>
      </c>
      <c r="S1986" s="117">
        <v>202303</v>
      </c>
      <c r="T1986" s="18" t="s">
        <v>2610</v>
      </c>
      <c r="U1986" s="18"/>
      <c r="V1986" s="243"/>
      <c r="W1986" s="243"/>
      <c r="X1986" s="118">
        <v>43952</v>
      </c>
      <c r="Y1986" s="118">
        <v>45046</v>
      </c>
    </row>
    <row r="1987" s="9" customFormat="1" customHeight="1" spans="1:25">
      <c r="A1987" s="16" t="s">
        <v>61</v>
      </c>
      <c r="B1987" s="98" t="s">
        <v>62</v>
      </c>
      <c r="C1987" s="17" t="s">
        <v>63</v>
      </c>
      <c r="D1987" s="96" t="s">
        <v>75</v>
      </c>
      <c r="E1987" s="18" t="s">
        <v>2440</v>
      </c>
      <c r="F1987" s="16" t="s">
        <v>2441</v>
      </c>
      <c r="G1987" s="99" t="s">
        <v>67</v>
      </c>
      <c r="H1987" s="19" t="s">
        <v>2453</v>
      </c>
      <c r="I1987" s="23" t="e">
        <f>VLOOKUP(H1987,'合同综合查询数据（3月返）'!$A:$A,1,FALSE)</f>
        <v>#N/A</v>
      </c>
      <c r="J1987" s="99" t="s">
        <v>69</v>
      </c>
      <c r="K1987" s="16" t="s">
        <v>2609</v>
      </c>
      <c r="L1987" s="25"/>
      <c r="M1987" s="26"/>
      <c r="N1987" s="28">
        <v>44418</v>
      </c>
      <c r="O1987" s="28" t="s">
        <v>71</v>
      </c>
      <c r="P1987" s="239">
        <v>33558</v>
      </c>
      <c r="Q1987" s="35">
        <v>-1</v>
      </c>
      <c r="R1987" s="120">
        <f t="shared" si="49"/>
        <v>-33558</v>
      </c>
      <c r="S1987" s="117">
        <v>202303</v>
      </c>
      <c r="T1987" s="18" t="s">
        <v>2444</v>
      </c>
      <c r="U1987" s="18"/>
      <c r="V1987" s="243"/>
      <c r="W1987" s="243"/>
      <c r="X1987" s="118">
        <v>43952</v>
      </c>
      <c r="Y1987" s="118">
        <v>45046</v>
      </c>
    </row>
    <row r="1988" s="9" customFormat="1" customHeight="1" spans="1:25">
      <c r="A1988" s="16" t="s">
        <v>61</v>
      </c>
      <c r="B1988" s="98" t="s">
        <v>62</v>
      </c>
      <c r="C1988" s="17" t="s">
        <v>63</v>
      </c>
      <c r="D1988" s="96" t="s">
        <v>75</v>
      </c>
      <c r="E1988" s="18" t="s">
        <v>2440</v>
      </c>
      <c r="F1988" s="16" t="s">
        <v>2441</v>
      </c>
      <c r="G1988" s="99" t="s">
        <v>67</v>
      </c>
      <c r="H1988" s="19" t="s">
        <v>2453</v>
      </c>
      <c r="I1988" s="23" t="e">
        <f>VLOOKUP(H1988,'合同综合查询数据（3月返）'!$A:$A,1,FALSE)</f>
        <v>#N/A</v>
      </c>
      <c r="J1988" s="99" t="s">
        <v>69</v>
      </c>
      <c r="K1988" s="16" t="s">
        <v>2611</v>
      </c>
      <c r="L1988" s="25"/>
      <c r="M1988" s="26"/>
      <c r="N1988" s="28">
        <v>43992</v>
      </c>
      <c r="O1988" s="28" t="s">
        <v>71</v>
      </c>
      <c r="P1988" s="239">
        <v>26839</v>
      </c>
      <c r="Q1988" s="35">
        <v>1</v>
      </c>
      <c r="R1988" s="120">
        <f t="shared" si="49"/>
        <v>26839</v>
      </c>
      <c r="S1988" s="117">
        <v>202303</v>
      </c>
      <c r="T1988" s="18" t="s">
        <v>2612</v>
      </c>
      <c r="U1988" s="18"/>
      <c r="V1988" s="243"/>
      <c r="W1988" s="243"/>
      <c r="X1988" s="118">
        <v>43952</v>
      </c>
      <c r="Y1988" s="118">
        <v>45046</v>
      </c>
    </row>
    <row r="1989" s="9" customFormat="1" customHeight="1" spans="1:25">
      <c r="A1989" s="16" t="s">
        <v>61</v>
      </c>
      <c r="B1989" s="98" t="s">
        <v>62</v>
      </c>
      <c r="C1989" s="17" t="s">
        <v>63</v>
      </c>
      <c r="D1989" s="96" t="s">
        <v>75</v>
      </c>
      <c r="E1989" s="18" t="s">
        <v>2440</v>
      </c>
      <c r="F1989" s="16" t="s">
        <v>2441</v>
      </c>
      <c r="G1989" s="99" t="s">
        <v>67</v>
      </c>
      <c r="H1989" s="19" t="s">
        <v>2453</v>
      </c>
      <c r="I1989" s="23" t="e">
        <f>VLOOKUP(H1989,'合同综合查询数据（3月返）'!$A:$A,1,FALSE)</f>
        <v>#N/A</v>
      </c>
      <c r="J1989" s="99" t="s">
        <v>69</v>
      </c>
      <c r="K1989" s="16" t="s">
        <v>2611</v>
      </c>
      <c r="L1989" s="25"/>
      <c r="M1989" s="26"/>
      <c r="N1989" s="28">
        <v>44040</v>
      </c>
      <c r="O1989" s="28" t="s">
        <v>71</v>
      </c>
      <c r="P1989" s="239">
        <v>27826</v>
      </c>
      <c r="Q1989" s="35">
        <v>1</v>
      </c>
      <c r="R1989" s="120">
        <f t="shared" si="49"/>
        <v>27826</v>
      </c>
      <c r="S1989" s="117">
        <v>202303</v>
      </c>
      <c r="T1989" s="18" t="s">
        <v>2613</v>
      </c>
      <c r="U1989" s="18"/>
      <c r="V1989" s="243"/>
      <c r="W1989" s="243"/>
      <c r="X1989" s="118">
        <v>43952</v>
      </c>
      <c r="Y1989" s="118">
        <v>45046</v>
      </c>
    </row>
    <row r="1990" s="9" customFormat="1" customHeight="1" spans="1:25">
      <c r="A1990" s="16" t="s">
        <v>61</v>
      </c>
      <c r="B1990" s="98" t="s">
        <v>62</v>
      </c>
      <c r="C1990" s="17" t="s">
        <v>63</v>
      </c>
      <c r="D1990" s="96" t="s">
        <v>75</v>
      </c>
      <c r="E1990" s="18" t="s">
        <v>2440</v>
      </c>
      <c r="F1990" s="16" t="s">
        <v>2441</v>
      </c>
      <c r="G1990" s="99" t="s">
        <v>67</v>
      </c>
      <c r="H1990" s="19" t="s">
        <v>2453</v>
      </c>
      <c r="I1990" s="23" t="e">
        <f>VLOOKUP(H1990,'合同综合查询数据（3月返）'!$A:$A,1,FALSE)</f>
        <v>#N/A</v>
      </c>
      <c r="J1990" s="99" t="s">
        <v>69</v>
      </c>
      <c r="K1990" s="16" t="s">
        <v>2611</v>
      </c>
      <c r="L1990" s="25"/>
      <c r="M1990" s="26"/>
      <c r="N1990" s="28">
        <v>44607</v>
      </c>
      <c r="O1990" s="28" t="s">
        <v>71</v>
      </c>
      <c r="P1990" s="239">
        <v>26839</v>
      </c>
      <c r="Q1990" s="35">
        <v>-1</v>
      </c>
      <c r="R1990" s="120">
        <f t="shared" si="49"/>
        <v>-26839</v>
      </c>
      <c r="S1990" s="117">
        <v>202303</v>
      </c>
      <c r="T1990" s="18" t="s">
        <v>2614</v>
      </c>
      <c r="U1990" s="240"/>
      <c r="V1990" s="240"/>
      <c r="W1990" s="240"/>
      <c r="X1990" s="118">
        <v>43952</v>
      </c>
      <c r="Y1990" s="118">
        <v>45046</v>
      </c>
    </row>
    <row r="1991" s="9" customFormat="1" customHeight="1" spans="1:25">
      <c r="A1991" s="16" t="s">
        <v>61</v>
      </c>
      <c r="B1991" s="98" t="s">
        <v>62</v>
      </c>
      <c r="C1991" s="17" t="s">
        <v>63</v>
      </c>
      <c r="D1991" s="96" t="s">
        <v>75</v>
      </c>
      <c r="E1991" s="18" t="s">
        <v>2440</v>
      </c>
      <c r="F1991" s="16" t="s">
        <v>2441</v>
      </c>
      <c r="G1991" s="99" t="s">
        <v>67</v>
      </c>
      <c r="H1991" s="19" t="s">
        <v>2453</v>
      </c>
      <c r="I1991" s="23" t="e">
        <f>VLOOKUP(H1991,'合同综合查询数据（3月返）'!$A:$A,1,FALSE)</f>
        <v>#N/A</v>
      </c>
      <c r="J1991" s="99" t="s">
        <v>69</v>
      </c>
      <c r="K1991" s="16" t="s">
        <v>2611</v>
      </c>
      <c r="L1991" s="25"/>
      <c r="M1991" s="26"/>
      <c r="N1991" s="28">
        <v>44607</v>
      </c>
      <c r="O1991" s="28" t="s">
        <v>71</v>
      </c>
      <c r="P1991" s="239">
        <v>27826</v>
      </c>
      <c r="Q1991" s="35">
        <v>-1</v>
      </c>
      <c r="R1991" s="120">
        <f t="shared" si="49"/>
        <v>-27826</v>
      </c>
      <c r="S1991" s="117">
        <v>202303</v>
      </c>
      <c r="T1991" s="18" t="s">
        <v>2615</v>
      </c>
      <c r="U1991" s="240"/>
      <c r="V1991" s="240"/>
      <c r="W1991" s="240"/>
      <c r="X1991" s="118">
        <v>43952</v>
      </c>
      <c r="Y1991" s="118">
        <v>45046</v>
      </c>
    </row>
    <row r="1992" s="9" customFormat="1" customHeight="1" spans="1:25">
      <c r="A1992" s="16" t="s">
        <v>61</v>
      </c>
      <c r="B1992" s="98" t="s">
        <v>62</v>
      </c>
      <c r="C1992" s="17" t="s">
        <v>63</v>
      </c>
      <c r="D1992" s="96" t="s">
        <v>75</v>
      </c>
      <c r="E1992" s="18" t="s">
        <v>2440</v>
      </c>
      <c r="F1992" s="16" t="s">
        <v>2441</v>
      </c>
      <c r="G1992" s="99" t="s">
        <v>67</v>
      </c>
      <c r="H1992" s="19" t="s">
        <v>2453</v>
      </c>
      <c r="I1992" s="23" t="e">
        <f>VLOOKUP(H1992,'合同综合查询数据（3月返）'!$A:$A,1,FALSE)</f>
        <v>#N/A</v>
      </c>
      <c r="J1992" s="99" t="s">
        <v>69</v>
      </c>
      <c r="K1992" s="16" t="s">
        <v>2616</v>
      </c>
      <c r="L1992" s="25"/>
      <c r="M1992" s="26"/>
      <c r="N1992" s="28">
        <v>44114</v>
      </c>
      <c r="O1992" s="28" t="s">
        <v>71</v>
      </c>
      <c r="P1992" s="239">
        <f>ROUND(360/1.06*1.2*1.09,2)</f>
        <v>444.23</v>
      </c>
      <c r="Q1992" s="35">
        <v>75</v>
      </c>
      <c r="R1992" s="120">
        <f>ROUND(P1992*Q1992,2)-0.25</f>
        <v>33317</v>
      </c>
      <c r="S1992" s="117">
        <v>202303</v>
      </c>
      <c r="T1992" s="18" t="s">
        <v>2617</v>
      </c>
      <c r="U1992" s="18"/>
      <c r="V1992" s="243"/>
      <c r="W1992" s="243"/>
      <c r="X1992" s="118">
        <v>43952</v>
      </c>
      <c r="Y1992" s="118">
        <v>45046</v>
      </c>
    </row>
    <row r="1993" s="9" customFormat="1" customHeight="1" spans="1:25">
      <c r="A1993" s="16" t="s">
        <v>61</v>
      </c>
      <c r="B1993" s="98" t="s">
        <v>62</v>
      </c>
      <c r="C1993" s="17" t="s">
        <v>63</v>
      </c>
      <c r="D1993" s="96" t="s">
        <v>75</v>
      </c>
      <c r="E1993" s="18" t="s">
        <v>2440</v>
      </c>
      <c r="F1993" s="16" t="s">
        <v>2441</v>
      </c>
      <c r="G1993" s="99" t="s">
        <v>67</v>
      </c>
      <c r="H1993" s="19" t="s">
        <v>2453</v>
      </c>
      <c r="I1993" s="23" t="e">
        <f>VLOOKUP(H1993,'合同综合查询数据（3月返）'!$A:$A,1,FALSE)</f>
        <v>#N/A</v>
      </c>
      <c r="J1993" s="99" t="s">
        <v>69</v>
      </c>
      <c r="K1993" s="16" t="s">
        <v>2616</v>
      </c>
      <c r="L1993" s="25"/>
      <c r="M1993" s="26"/>
      <c r="N1993" s="28">
        <v>44114</v>
      </c>
      <c r="O1993" s="28" t="s">
        <v>71</v>
      </c>
      <c r="P1993" s="239">
        <f>ROUND(360/1.06*1.2*1.09,2)</f>
        <v>444.23</v>
      </c>
      <c r="Q1993" s="35">
        <v>70</v>
      </c>
      <c r="R1993" s="120">
        <f>ROUND(P1993*Q1993,2)-0.1</f>
        <v>31096</v>
      </c>
      <c r="S1993" s="117">
        <v>202303</v>
      </c>
      <c r="T1993" s="18" t="s">
        <v>2618</v>
      </c>
      <c r="U1993" s="18"/>
      <c r="V1993" s="243"/>
      <c r="W1993" s="243"/>
      <c r="X1993" s="118">
        <v>43952</v>
      </c>
      <c r="Y1993" s="118">
        <v>45046</v>
      </c>
    </row>
    <row r="1994" s="9" customFormat="1" customHeight="1" spans="1:25">
      <c r="A1994" s="16" t="s">
        <v>61</v>
      </c>
      <c r="B1994" s="98" t="s">
        <v>62</v>
      </c>
      <c r="C1994" s="17" t="s">
        <v>63</v>
      </c>
      <c r="D1994" s="96" t="s">
        <v>75</v>
      </c>
      <c r="E1994" s="18" t="s">
        <v>2440</v>
      </c>
      <c r="F1994" s="16" t="s">
        <v>2441</v>
      </c>
      <c r="G1994" s="99" t="s">
        <v>67</v>
      </c>
      <c r="H1994" s="19" t="s">
        <v>2453</v>
      </c>
      <c r="I1994" s="23" t="e">
        <f>VLOOKUP(H1994,'合同综合查询数据（3月返）'!$A:$A,1,FALSE)</f>
        <v>#N/A</v>
      </c>
      <c r="J1994" s="99" t="s">
        <v>69</v>
      </c>
      <c r="K1994" s="16"/>
      <c r="L1994" s="25"/>
      <c r="M1994" s="26"/>
      <c r="N1994" s="28">
        <v>44136</v>
      </c>
      <c r="O1994" s="28" t="s">
        <v>71</v>
      </c>
      <c r="P1994" s="239">
        <v>100</v>
      </c>
      <c r="Q1994" s="35">
        <v>1</v>
      </c>
      <c r="R1994" s="120">
        <f>ROUND(P1994*Q1994,2)</f>
        <v>100</v>
      </c>
      <c r="S1994" s="117">
        <v>202303</v>
      </c>
      <c r="T1994" s="18" t="s">
        <v>2619</v>
      </c>
      <c r="U1994" s="18"/>
      <c r="V1994" s="243"/>
      <c r="W1994" s="243"/>
      <c r="X1994" s="118">
        <v>43952</v>
      </c>
      <c r="Y1994" s="118">
        <v>45046</v>
      </c>
    </row>
    <row r="1995" s="9" customFormat="1" customHeight="1" spans="1:25">
      <c r="A1995" s="16" t="s">
        <v>61</v>
      </c>
      <c r="B1995" s="98" t="s">
        <v>62</v>
      </c>
      <c r="C1995" s="17" t="s">
        <v>63</v>
      </c>
      <c r="D1995" s="96" t="s">
        <v>75</v>
      </c>
      <c r="E1995" s="18" t="s">
        <v>2440</v>
      </c>
      <c r="F1995" s="16" t="s">
        <v>2441</v>
      </c>
      <c r="G1995" s="99" t="s">
        <v>67</v>
      </c>
      <c r="H1995" s="19" t="s">
        <v>2453</v>
      </c>
      <c r="I1995" s="23" t="e">
        <f>VLOOKUP(H1995,'合同综合查询数据（3月返）'!$A:$A,1,FALSE)</f>
        <v>#N/A</v>
      </c>
      <c r="J1995" s="99" t="s">
        <v>69</v>
      </c>
      <c r="K1995" s="16"/>
      <c r="L1995" s="25"/>
      <c r="M1995" s="26"/>
      <c r="N1995" s="28">
        <v>44136</v>
      </c>
      <c r="O1995" s="28" t="s">
        <v>71</v>
      </c>
      <c r="P1995" s="239">
        <v>100</v>
      </c>
      <c r="Q1995" s="35">
        <v>59</v>
      </c>
      <c r="R1995" s="120">
        <f>ROUND(P1995*Q1995,2)</f>
        <v>5900</v>
      </c>
      <c r="S1995" s="117">
        <v>202303</v>
      </c>
      <c r="T1995" s="18" t="s">
        <v>2620</v>
      </c>
      <c r="U1995" s="18"/>
      <c r="V1995" s="243"/>
      <c r="W1995" s="243"/>
      <c r="X1995" s="118">
        <v>43952</v>
      </c>
      <c r="Y1995" s="118">
        <v>45046</v>
      </c>
    </row>
    <row r="1996" s="9" customFormat="1" customHeight="1" spans="1:25">
      <c r="A1996" s="16" t="s">
        <v>61</v>
      </c>
      <c r="B1996" s="98" t="s">
        <v>62</v>
      </c>
      <c r="C1996" s="17" t="s">
        <v>63</v>
      </c>
      <c r="D1996" s="96" t="s">
        <v>75</v>
      </c>
      <c r="E1996" s="18" t="s">
        <v>2440</v>
      </c>
      <c r="F1996" s="16" t="s">
        <v>2441</v>
      </c>
      <c r="G1996" s="99" t="s">
        <v>67</v>
      </c>
      <c r="H1996" s="19" t="s">
        <v>2621</v>
      </c>
      <c r="I1996" s="23" t="e">
        <f>VLOOKUP(H1996,'合同综合查询数据（3月返）'!$A:$A,1,FALSE)</f>
        <v>#N/A</v>
      </c>
      <c r="J1996" s="99" t="s">
        <v>69</v>
      </c>
      <c r="K1996" s="16" t="s">
        <v>2622</v>
      </c>
      <c r="L1996" s="25"/>
      <c r="M1996" s="26"/>
      <c r="N1996" s="28">
        <v>41170</v>
      </c>
      <c r="O1996" s="28" t="s">
        <v>71</v>
      </c>
      <c r="P1996" s="239">
        <v>440</v>
      </c>
      <c r="Q1996" s="35">
        <v>15</v>
      </c>
      <c r="R1996" s="120">
        <f>ROUND(P1996*Q1996,2)</f>
        <v>6600</v>
      </c>
      <c r="S1996" s="117">
        <v>202303</v>
      </c>
      <c r="T1996" s="18" t="s">
        <v>2623</v>
      </c>
      <c r="U1996" s="18"/>
      <c r="V1996" s="243"/>
      <c r="W1996" s="243"/>
      <c r="X1996" s="118">
        <v>43967</v>
      </c>
      <c r="Y1996" s="118">
        <v>45061</v>
      </c>
    </row>
    <row r="1997" s="9" customFormat="1" customHeight="1" spans="1:25">
      <c r="A1997" s="16" t="s">
        <v>61</v>
      </c>
      <c r="B1997" s="98" t="s">
        <v>62</v>
      </c>
      <c r="C1997" s="17" t="s">
        <v>63</v>
      </c>
      <c r="D1997" s="96" t="s">
        <v>75</v>
      </c>
      <c r="E1997" s="18" t="s">
        <v>2440</v>
      </c>
      <c r="F1997" s="16" t="s">
        <v>2441</v>
      </c>
      <c r="G1997" s="99" t="s">
        <v>67</v>
      </c>
      <c r="H1997" s="19" t="s">
        <v>2621</v>
      </c>
      <c r="I1997" s="23" t="e">
        <f>VLOOKUP(H1997,'合同综合查询数据（3月返）'!$A:$A,1,FALSE)</f>
        <v>#N/A</v>
      </c>
      <c r="J1997" s="99" t="s">
        <v>69</v>
      </c>
      <c r="K1997" s="16" t="s">
        <v>2624</v>
      </c>
      <c r="L1997" s="25"/>
      <c r="M1997" s="26"/>
      <c r="N1997" s="28">
        <v>41170</v>
      </c>
      <c r="O1997" s="28" t="s">
        <v>71</v>
      </c>
      <c r="P1997" s="239">
        <v>880</v>
      </c>
      <c r="Q1997" s="35">
        <v>0.5</v>
      </c>
      <c r="R1997" s="120">
        <f>ROUND(P1997*1,2)</f>
        <v>880</v>
      </c>
      <c r="S1997" s="117">
        <v>202303</v>
      </c>
      <c r="T1997" s="18" t="s">
        <v>2625</v>
      </c>
      <c r="U1997" s="18"/>
      <c r="V1997" s="243"/>
      <c r="W1997" s="243"/>
      <c r="X1997" s="118">
        <v>43967</v>
      </c>
      <c r="Y1997" s="118">
        <v>45061</v>
      </c>
    </row>
    <row r="1998" s="9" customFormat="1" customHeight="1" spans="1:25">
      <c r="A1998" s="16" t="s">
        <v>61</v>
      </c>
      <c r="B1998" s="98" t="s">
        <v>62</v>
      </c>
      <c r="C1998" s="17" t="s">
        <v>63</v>
      </c>
      <c r="D1998" s="96" t="s">
        <v>75</v>
      </c>
      <c r="E1998" s="18" t="s">
        <v>2440</v>
      </c>
      <c r="F1998" s="16" t="s">
        <v>2441</v>
      </c>
      <c r="G1998" s="99" t="s">
        <v>67</v>
      </c>
      <c r="H1998" s="19" t="s">
        <v>2621</v>
      </c>
      <c r="I1998" s="23" t="e">
        <f>VLOOKUP(H1998,'合同综合查询数据（3月返）'!$A:$A,1,FALSE)</f>
        <v>#N/A</v>
      </c>
      <c r="J1998" s="99" t="s">
        <v>69</v>
      </c>
      <c r="K1998" s="16" t="s">
        <v>2626</v>
      </c>
      <c r="L1998" s="25"/>
      <c r="M1998" s="26"/>
      <c r="N1998" s="28">
        <v>40360</v>
      </c>
      <c r="O1998" s="28" t="s">
        <v>71</v>
      </c>
      <c r="P1998" s="239">
        <v>440</v>
      </c>
      <c r="Q1998" s="35">
        <v>26.5</v>
      </c>
      <c r="R1998" s="120">
        <f t="shared" ref="R1998:R2019" si="50">ROUND(P1998*Q1998,2)</f>
        <v>11660</v>
      </c>
      <c r="S1998" s="117">
        <v>202303</v>
      </c>
      <c r="T1998" s="18" t="s">
        <v>2627</v>
      </c>
      <c r="U1998" s="18"/>
      <c r="V1998" s="243"/>
      <c r="W1998" s="243"/>
      <c r="X1998" s="118">
        <v>43967</v>
      </c>
      <c r="Y1998" s="118">
        <v>45061</v>
      </c>
    </row>
    <row r="1999" s="9" customFormat="1" customHeight="1" spans="1:25">
      <c r="A1999" s="16" t="s">
        <v>61</v>
      </c>
      <c r="B1999" s="98" t="s">
        <v>62</v>
      </c>
      <c r="C1999" s="17" t="s">
        <v>63</v>
      </c>
      <c r="D1999" s="96" t="s">
        <v>75</v>
      </c>
      <c r="E1999" s="18" t="s">
        <v>2440</v>
      </c>
      <c r="F1999" s="16" t="s">
        <v>2441</v>
      </c>
      <c r="G1999" s="99" t="s">
        <v>67</v>
      </c>
      <c r="H1999" s="19" t="s">
        <v>2621</v>
      </c>
      <c r="I1999" s="23" t="e">
        <f>VLOOKUP(H1999,'合同综合查询数据（3月返）'!$A:$A,1,FALSE)</f>
        <v>#N/A</v>
      </c>
      <c r="J1999" s="99" t="s">
        <v>69</v>
      </c>
      <c r="K1999" s="16" t="s">
        <v>2628</v>
      </c>
      <c r="L1999" s="25"/>
      <c r="M1999" s="26"/>
      <c r="N1999" s="28">
        <v>40360</v>
      </c>
      <c r="O1999" s="28" t="s">
        <v>71</v>
      </c>
      <c r="P1999" s="239">
        <v>880</v>
      </c>
      <c r="Q1999" s="35">
        <v>2.5</v>
      </c>
      <c r="R1999" s="120">
        <f t="shared" si="50"/>
        <v>2200</v>
      </c>
      <c r="S1999" s="117">
        <v>202303</v>
      </c>
      <c r="T1999" s="18" t="s">
        <v>2629</v>
      </c>
      <c r="U1999" s="18"/>
      <c r="V1999" s="243"/>
      <c r="W1999" s="243"/>
      <c r="X1999" s="118">
        <v>43967</v>
      </c>
      <c r="Y1999" s="118">
        <v>45061</v>
      </c>
    </row>
    <row r="2000" s="9" customFormat="1" customHeight="1" spans="1:25">
      <c r="A2000" s="16" t="s">
        <v>61</v>
      </c>
      <c r="B2000" s="98" t="s">
        <v>62</v>
      </c>
      <c r="C2000" s="17" t="s">
        <v>63</v>
      </c>
      <c r="D2000" s="96" t="s">
        <v>75</v>
      </c>
      <c r="E2000" s="18" t="s">
        <v>2440</v>
      </c>
      <c r="F2000" s="16" t="s">
        <v>2441</v>
      </c>
      <c r="G2000" s="99" t="s">
        <v>67</v>
      </c>
      <c r="H2000" s="19" t="s">
        <v>2621</v>
      </c>
      <c r="I2000" s="23" t="e">
        <f>VLOOKUP(H2000,'合同综合查询数据（3月返）'!$A:$A,1,FALSE)</f>
        <v>#N/A</v>
      </c>
      <c r="J2000" s="99" t="s">
        <v>69</v>
      </c>
      <c r="K2000" s="16" t="s">
        <v>2630</v>
      </c>
      <c r="L2000" s="25"/>
      <c r="M2000" s="26"/>
      <c r="N2000" s="28">
        <v>40373</v>
      </c>
      <c r="O2000" s="28" t="s">
        <v>71</v>
      </c>
      <c r="P2000" s="239">
        <v>440</v>
      </c>
      <c r="Q2000" s="35">
        <v>13.5</v>
      </c>
      <c r="R2000" s="120">
        <f t="shared" si="50"/>
        <v>5940</v>
      </c>
      <c r="S2000" s="117">
        <v>202303</v>
      </c>
      <c r="T2000" s="18" t="s">
        <v>2631</v>
      </c>
      <c r="U2000" s="18"/>
      <c r="V2000" s="243"/>
      <c r="W2000" s="243"/>
      <c r="X2000" s="118">
        <v>43967</v>
      </c>
      <c r="Y2000" s="118">
        <v>45061</v>
      </c>
    </row>
    <row r="2001" s="9" customFormat="1" customHeight="1" spans="1:25">
      <c r="A2001" s="16" t="s">
        <v>61</v>
      </c>
      <c r="B2001" s="98" t="s">
        <v>62</v>
      </c>
      <c r="C2001" s="17" t="s">
        <v>63</v>
      </c>
      <c r="D2001" s="96" t="s">
        <v>75</v>
      </c>
      <c r="E2001" s="18" t="s">
        <v>2440</v>
      </c>
      <c r="F2001" s="16" t="s">
        <v>2441</v>
      </c>
      <c r="G2001" s="99" t="s">
        <v>67</v>
      </c>
      <c r="H2001" s="19" t="s">
        <v>2621</v>
      </c>
      <c r="I2001" s="23" t="e">
        <f>VLOOKUP(H2001,'合同综合查询数据（3月返）'!$A:$A,1,FALSE)</f>
        <v>#N/A</v>
      </c>
      <c r="J2001" s="99" t="s">
        <v>69</v>
      </c>
      <c r="K2001" s="16" t="s">
        <v>2632</v>
      </c>
      <c r="L2001" s="25"/>
      <c r="M2001" s="26"/>
      <c r="N2001" s="28">
        <v>40371</v>
      </c>
      <c r="O2001" s="28" t="s">
        <v>71</v>
      </c>
      <c r="P2001" s="239">
        <v>440</v>
      </c>
      <c r="Q2001" s="35">
        <v>38.4</v>
      </c>
      <c r="R2001" s="120">
        <f t="shared" si="50"/>
        <v>16896</v>
      </c>
      <c r="S2001" s="117">
        <v>202303</v>
      </c>
      <c r="T2001" s="18" t="s">
        <v>2633</v>
      </c>
      <c r="U2001" s="18"/>
      <c r="V2001" s="243"/>
      <c r="W2001" s="243"/>
      <c r="X2001" s="118">
        <v>43967</v>
      </c>
      <c r="Y2001" s="118">
        <v>45061</v>
      </c>
    </row>
    <row r="2002" s="9" customFormat="1" customHeight="1" spans="1:25">
      <c r="A2002" s="16" t="s">
        <v>61</v>
      </c>
      <c r="B2002" s="98" t="s">
        <v>62</v>
      </c>
      <c r="C2002" s="17" t="s">
        <v>63</v>
      </c>
      <c r="D2002" s="96" t="s">
        <v>75</v>
      </c>
      <c r="E2002" s="18" t="s">
        <v>2440</v>
      </c>
      <c r="F2002" s="16" t="s">
        <v>2441</v>
      </c>
      <c r="G2002" s="99" t="s">
        <v>67</v>
      </c>
      <c r="H2002" s="19" t="s">
        <v>2621</v>
      </c>
      <c r="I2002" s="23" t="e">
        <f>VLOOKUP(H2002,'合同综合查询数据（3月返）'!$A:$A,1,FALSE)</f>
        <v>#N/A</v>
      </c>
      <c r="J2002" s="99" t="s">
        <v>69</v>
      </c>
      <c r="K2002" s="16" t="s">
        <v>2634</v>
      </c>
      <c r="L2002" s="25"/>
      <c r="M2002" s="26"/>
      <c r="N2002" s="28">
        <v>39325</v>
      </c>
      <c r="O2002" s="28" t="s">
        <v>71</v>
      </c>
      <c r="P2002" s="239">
        <v>440</v>
      </c>
      <c r="Q2002" s="35">
        <v>33</v>
      </c>
      <c r="R2002" s="120">
        <f t="shared" si="50"/>
        <v>14520</v>
      </c>
      <c r="S2002" s="117">
        <v>202303</v>
      </c>
      <c r="T2002" s="18" t="s">
        <v>2635</v>
      </c>
      <c r="U2002" s="18"/>
      <c r="V2002" s="243"/>
      <c r="W2002" s="243"/>
      <c r="X2002" s="118">
        <v>43967</v>
      </c>
      <c r="Y2002" s="118">
        <v>45061</v>
      </c>
    </row>
    <row r="2003" s="9" customFormat="1" customHeight="1" spans="1:25">
      <c r="A2003" s="16" t="s">
        <v>61</v>
      </c>
      <c r="B2003" s="98" t="s">
        <v>62</v>
      </c>
      <c r="C2003" s="17" t="s">
        <v>63</v>
      </c>
      <c r="D2003" s="96" t="s">
        <v>75</v>
      </c>
      <c r="E2003" s="18" t="s">
        <v>2440</v>
      </c>
      <c r="F2003" s="16" t="s">
        <v>2441</v>
      </c>
      <c r="G2003" s="99" t="s">
        <v>67</v>
      </c>
      <c r="H2003" s="19" t="s">
        <v>2621</v>
      </c>
      <c r="I2003" s="23" t="e">
        <f>VLOOKUP(H2003,'合同综合查询数据（3月返）'!$A:$A,1,FALSE)</f>
        <v>#N/A</v>
      </c>
      <c r="J2003" s="99" t="s">
        <v>69</v>
      </c>
      <c r="K2003" s="16" t="s">
        <v>2634</v>
      </c>
      <c r="L2003" s="25"/>
      <c r="M2003" s="26"/>
      <c r="N2003" s="28">
        <v>43982</v>
      </c>
      <c r="O2003" s="28" t="s">
        <v>71</v>
      </c>
      <c r="P2003" s="239">
        <v>440</v>
      </c>
      <c r="Q2003" s="35">
        <v>-33</v>
      </c>
      <c r="R2003" s="120">
        <f t="shared" si="50"/>
        <v>-14520</v>
      </c>
      <c r="S2003" s="117">
        <v>202303</v>
      </c>
      <c r="T2003" s="18" t="s">
        <v>2636</v>
      </c>
      <c r="U2003" s="18"/>
      <c r="V2003" s="243"/>
      <c r="W2003" s="243"/>
      <c r="X2003" s="118">
        <v>43967</v>
      </c>
      <c r="Y2003" s="118">
        <v>45061</v>
      </c>
    </row>
    <row r="2004" s="9" customFormat="1" customHeight="1" spans="1:25">
      <c r="A2004" s="16" t="s">
        <v>61</v>
      </c>
      <c r="B2004" s="98" t="s">
        <v>62</v>
      </c>
      <c r="C2004" s="17" t="s">
        <v>63</v>
      </c>
      <c r="D2004" s="96" t="s">
        <v>75</v>
      </c>
      <c r="E2004" s="18" t="s">
        <v>2440</v>
      </c>
      <c r="F2004" s="16" t="s">
        <v>2441</v>
      </c>
      <c r="G2004" s="99" t="s">
        <v>67</v>
      </c>
      <c r="H2004" s="19" t="s">
        <v>2621</v>
      </c>
      <c r="I2004" s="23" t="e">
        <f>VLOOKUP(H2004,'合同综合查询数据（3月返）'!$A:$A,1,FALSE)</f>
        <v>#N/A</v>
      </c>
      <c r="J2004" s="99" t="s">
        <v>69</v>
      </c>
      <c r="K2004" s="16" t="s">
        <v>2637</v>
      </c>
      <c r="L2004" s="25"/>
      <c r="M2004" s="26"/>
      <c r="N2004" s="28">
        <v>40817</v>
      </c>
      <c r="O2004" s="28" t="s">
        <v>71</v>
      </c>
      <c r="P2004" s="239">
        <v>440</v>
      </c>
      <c r="Q2004" s="35">
        <v>69</v>
      </c>
      <c r="R2004" s="120">
        <f t="shared" si="50"/>
        <v>30360</v>
      </c>
      <c r="S2004" s="117">
        <v>202303</v>
      </c>
      <c r="T2004" s="18" t="s">
        <v>2638</v>
      </c>
      <c r="U2004" s="18"/>
      <c r="V2004" s="243"/>
      <c r="W2004" s="243"/>
      <c r="X2004" s="118">
        <v>43967</v>
      </c>
      <c r="Y2004" s="118">
        <v>45061</v>
      </c>
    </row>
    <row r="2005" s="9" customFormat="1" customHeight="1" spans="1:25">
      <c r="A2005" s="16" t="s">
        <v>61</v>
      </c>
      <c r="B2005" s="98" t="s">
        <v>62</v>
      </c>
      <c r="C2005" s="17" t="s">
        <v>63</v>
      </c>
      <c r="D2005" s="96" t="s">
        <v>75</v>
      </c>
      <c r="E2005" s="18" t="s">
        <v>2440</v>
      </c>
      <c r="F2005" s="16" t="s">
        <v>2441</v>
      </c>
      <c r="G2005" s="99" t="s">
        <v>67</v>
      </c>
      <c r="H2005" s="19" t="s">
        <v>2621</v>
      </c>
      <c r="I2005" s="23" t="e">
        <f>VLOOKUP(H2005,'合同综合查询数据（3月返）'!$A:$A,1,FALSE)</f>
        <v>#N/A</v>
      </c>
      <c r="J2005" s="99" t="s">
        <v>69</v>
      </c>
      <c r="K2005" s="16" t="s">
        <v>2639</v>
      </c>
      <c r="L2005" s="25"/>
      <c r="M2005" s="26"/>
      <c r="N2005" s="28">
        <v>40817</v>
      </c>
      <c r="O2005" s="28" t="s">
        <v>71</v>
      </c>
      <c r="P2005" s="239">
        <v>440</v>
      </c>
      <c r="Q2005" s="35">
        <v>72</v>
      </c>
      <c r="R2005" s="120">
        <f t="shared" si="50"/>
        <v>31680</v>
      </c>
      <c r="S2005" s="117">
        <v>202303</v>
      </c>
      <c r="T2005" s="18" t="s">
        <v>2640</v>
      </c>
      <c r="U2005" s="18"/>
      <c r="V2005" s="243"/>
      <c r="W2005" s="243"/>
      <c r="X2005" s="118">
        <v>43967</v>
      </c>
      <c r="Y2005" s="118">
        <v>45061</v>
      </c>
    </row>
    <row r="2006" s="9" customFormat="1" customHeight="1" spans="1:25">
      <c r="A2006" s="16" t="s">
        <v>61</v>
      </c>
      <c r="B2006" s="98" t="s">
        <v>62</v>
      </c>
      <c r="C2006" s="17" t="s">
        <v>63</v>
      </c>
      <c r="D2006" s="96" t="s">
        <v>75</v>
      </c>
      <c r="E2006" s="18" t="s">
        <v>2440</v>
      </c>
      <c r="F2006" s="16" t="s">
        <v>2441</v>
      </c>
      <c r="G2006" s="99" t="s">
        <v>67</v>
      </c>
      <c r="H2006" s="19" t="s">
        <v>2621</v>
      </c>
      <c r="I2006" s="23" t="e">
        <f>VLOOKUP(H2006,'合同综合查询数据（3月返）'!$A:$A,1,FALSE)</f>
        <v>#N/A</v>
      </c>
      <c r="J2006" s="99" t="s">
        <v>69</v>
      </c>
      <c r="K2006" s="16" t="s">
        <v>2641</v>
      </c>
      <c r="L2006" s="25"/>
      <c r="M2006" s="26"/>
      <c r="N2006" s="28">
        <v>40817</v>
      </c>
      <c r="O2006" s="28" t="s">
        <v>71</v>
      </c>
      <c r="P2006" s="239">
        <v>440</v>
      </c>
      <c r="Q2006" s="35">
        <v>57</v>
      </c>
      <c r="R2006" s="120">
        <f t="shared" si="50"/>
        <v>25080</v>
      </c>
      <c r="S2006" s="117">
        <v>202303</v>
      </c>
      <c r="T2006" s="18" t="s">
        <v>2642</v>
      </c>
      <c r="U2006" s="18"/>
      <c r="V2006" s="243"/>
      <c r="W2006" s="243"/>
      <c r="X2006" s="118">
        <v>43967</v>
      </c>
      <c r="Y2006" s="118">
        <v>45061</v>
      </c>
    </row>
    <row r="2007" s="9" customFormat="1" customHeight="1" spans="1:25">
      <c r="A2007" s="16" t="s">
        <v>61</v>
      </c>
      <c r="B2007" s="98" t="s">
        <v>62</v>
      </c>
      <c r="C2007" s="17" t="s">
        <v>63</v>
      </c>
      <c r="D2007" s="96" t="s">
        <v>75</v>
      </c>
      <c r="E2007" s="18" t="s">
        <v>2440</v>
      </c>
      <c r="F2007" s="16" t="s">
        <v>2441</v>
      </c>
      <c r="G2007" s="99" t="s">
        <v>67</v>
      </c>
      <c r="H2007" s="19" t="s">
        <v>2621</v>
      </c>
      <c r="I2007" s="23" t="e">
        <f>VLOOKUP(H2007,'合同综合查询数据（3月返）'!$A:$A,1,FALSE)</f>
        <v>#N/A</v>
      </c>
      <c r="J2007" s="99" t="s">
        <v>69</v>
      </c>
      <c r="K2007" s="16" t="s">
        <v>2643</v>
      </c>
      <c r="L2007" s="25"/>
      <c r="M2007" s="26"/>
      <c r="N2007" s="28">
        <v>43804</v>
      </c>
      <c r="O2007" s="28" t="s">
        <v>71</v>
      </c>
      <c r="P2007" s="239">
        <v>440</v>
      </c>
      <c r="Q2007" s="35">
        <v>34.1</v>
      </c>
      <c r="R2007" s="120">
        <f t="shared" si="50"/>
        <v>15004</v>
      </c>
      <c r="S2007" s="117">
        <v>202303</v>
      </c>
      <c r="T2007" s="18" t="s">
        <v>2644</v>
      </c>
      <c r="U2007" s="18"/>
      <c r="V2007" s="243"/>
      <c r="W2007" s="243"/>
      <c r="X2007" s="118">
        <v>43967</v>
      </c>
      <c r="Y2007" s="118">
        <v>45061</v>
      </c>
    </row>
    <row r="2008" s="9" customFormat="1" customHeight="1" spans="1:25">
      <c r="A2008" s="16" t="s">
        <v>61</v>
      </c>
      <c r="B2008" s="98" t="s">
        <v>62</v>
      </c>
      <c r="C2008" s="17" t="s">
        <v>63</v>
      </c>
      <c r="D2008" s="96" t="s">
        <v>75</v>
      </c>
      <c r="E2008" s="18" t="s">
        <v>2440</v>
      </c>
      <c r="F2008" s="16" t="s">
        <v>2441</v>
      </c>
      <c r="G2008" s="99" t="s">
        <v>67</v>
      </c>
      <c r="H2008" s="19" t="s">
        <v>2621</v>
      </c>
      <c r="I2008" s="23" t="e">
        <f>VLOOKUP(H2008,'合同综合查询数据（3月返）'!$A:$A,1,FALSE)</f>
        <v>#N/A</v>
      </c>
      <c r="J2008" s="99" t="s">
        <v>69</v>
      </c>
      <c r="K2008" s="16" t="s">
        <v>2645</v>
      </c>
      <c r="L2008" s="25"/>
      <c r="M2008" s="26"/>
      <c r="N2008" s="28">
        <v>43804</v>
      </c>
      <c r="O2008" s="28" t="s">
        <v>71</v>
      </c>
      <c r="P2008" s="239">
        <v>440</v>
      </c>
      <c r="Q2008" s="35">
        <v>9.1</v>
      </c>
      <c r="R2008" s="120">
        <f t="shared" si="50"/>
        <v>4004</v>
      </c>
      <c r="S2008" s="117">
        <v>202303</v>
      </c>
      <c r="T2008" s="18" t="s">
        <v>2646</v>
      </c>
      <c r="U2008" s="18"/>
      <c r="V2008" s="243"/>
      <c r="W2008" s="243"/>
      <c r="X2008" s="118">
        <v>43967</v>
      </c>
      <c r="Y2008" s="118">
        <v>45061</v>
      </c>
    </row>
    <row r="2009" s="9" customFormat="1" customHeight="1" spans="1:25">
      <c r="A2009" s="16" t="s">
        <v>61</v>
      </c>
      <c r="B2009" s="98" t="s">
        <v>62</v>
      </c>
      <c r="C2009" s="17" t="s">
        <v>63</v>
      </c>
      <c r="D2009" s="96" t="s">
        <v>75</v>
      </c>
      <c r="E2009" s="18" t="s">
        <v>2440</v>
      </c>
      <c r="F2009" s="16" t="s">
        <v>2441</v>
      </c>
      <c r="G2009" s="99" t="s">
        <v>67</v>
      </c>
      <c r="H2009" s="19" t="s">
        <v>2621</v>
      </c>
      <c r="I2009" s="23" t="e">
        <f>VLOOKUP(H2009,'合同综合查询数据（3月返）'!$A:$A,1,FALSE)</f>
        <v>#N/A</v>
      </c>
      <c r="J2009" s="99" t="s">
        <v>69</v>
      </c>
      <c r="K2009" s="16" t="s">
        <v>2647</v>
      </c>
      <c r="L2009" s="25"/>
      <c r="M2009" s="26"/>
      <c r="N2009" s="28">
        <v>43780</v>
      </c>
      <c r="O2009" s="28" t="s">
        <v>71</v>
      </c>
      <c r="P2009" s="239">
        <v>440</v>
      </c>
      <c r="Q2009" s="35">
        <v>25.95</v>
      </c>
      <c r="R2009" s="120">
        <f t="shared" si="50"/>
        <v>11418</v>
      </c>
      <c r="S2009" s="117">
        <v>202303</v>
      </c>
      <c r="T2009" s="18" t="s">
        <v>2648</v>
      </c>
      <c r="U2009" s="18"/>
      <c r="V2009" s="243"/>
      <c r="W2009" s="243"/>
      <c r="X2009" s="118">
        <v>43967</v>
      </c>
      <c r="Y2009" s="118">
        <v>45061</v>
      </c>
    </row>
    <row r="2010" s="9" customFormat="1" customHeight="1" spans="1:25">
      <c r="A2010" s="16" t="s">
        <v>61</v>
      </c>
      <c r="B2010" s="98" t="s">
        <v>62</v>
      </c>
      <c r="C2010" s="17" t="s">
        <v>63</v>
      </c>
      <c r="D2010" s="96" t="s">
        <v>75</v>
      </c>
      <c r="E2010" s="18" t="s">
        <v>2440</v>
      </c>
      <c r="F2010" s="16" t="s">
        <v>2441</v>
      </c>
      <c r="G2010" s="99" t="s">
        <v>67</v>
      </c>
      <c r="H2010" s="19" t="s">
        <v>2621</v>
      </c>
      <c r="I2010" s="23" t="e">
        <f>VLOOKUP(H2010,'合同综合查询数据（3月返）'!$A:$A,1,FALSE)</f>
        <v>#N/A</v>
      </c>
      <c r="J2010" s="99" t="s">
        <v>69</v>
      </c>
      <c r="K2010" s="16" t="s">
        <v>2649</v>
      </c>
      <c r="L2010" s="25"/>
      <c r="M2010" s="26"/>
      <c r="N2010" s="28">
        <v>43770</v>
      </c>
      <c r="O2010" s="28" t="s">
        <v>71</v>
      </c>
      <c r="P2010" s="239">
        <v>440</v>
      </c>
      <c r="Q2010" s="35">
        <v>10.84</v>
      </c>
      <c r="R2010" s="120">
        <f t="shared" si="50"/>
        <v>4769.6</v>
      </c>
      <c r="S2010" s="117">
        <v>202303</v>
      </c>
      <c r="T2010" s="18" t="s">
        <v>2650</v>
      </c>
      <c r="U2010" s="18"/>
      <c r="V2010" s="243"/>
      <c r="W2010" s="243"/>
      <c r="X2010" s="118">
        <v>43967</v>
      </c>
      <c r="Y2010" s="118">
        <v>45061</v>
      </c>
    </row>
    <row r="2011" s="9" customFormat="1" customHeight="1" spans="1:25">
      <c r="A2011" s="16" t="s">
        <v>61</v>
      </c>
      <c r="B2011" s="98" t="s">
        <v>62</v>
      </c>
      <c r="C2011" s="17" t="s">
        <v>63</v>
      </c>
      <c r="D2011" s="96" t="s">
        <v>75</v>
      </c>
      <c r="E2011" s="18" t="s">
        <v>2440</v>
      </c>
      <c r="F2011" s="16" t="s">
        <v>2441</v>
      </c>
      <c r="G2011" s="99" t="s">
        <v>67</v>
      </c>
      <c r="H2011" s="19" t="s">
        <v>2621</v>
      </c>
      <c r="I2011" s="23" t="e">
        <f>VLOOKUP(H2011,'合同综合查询数据（3月返）'!$A:$A,1,FALSE)</f>
        <v>#N/A</v>
      </c>
      <c r="J2011" s="99" t="s">
        <v>69</v>
      </c>
      <c r="K2011" s="16" t="s">
        <v>2643</v>
      </c>
      <c r="L2011" s="25"/>
      <c r="M2011" s="26"/>
      <c r="N2011" s="28">
        <v>44058</v>
      </c>
      <c r="O2011" s="28" t="s">
        <v>71</v>
      </c>
      <c r="P2011" s="239">
        <v>440</v>
      </c>
      <c r="Q2011" s="35">
        <v>-34.1</v>
      </c>
      <c r="R2011" s="120">
        <f t="shared" si="50"/>
        <v>-15004</v>
      </c>
      <c r="S2011" s="117">
        <v>202303</v>
      </c>
      <c r="T2011" s="18" t="s">
        <v>2651</v>
      </c>
      <c r="U2011" s="18"/>
      <c r="V2011" s="243"/>
      <c r="W2011" s="243"/>
      <c r="X2011" s="118">
        <v>43967</v>
      </c>
      <c r="Y2011" s="118">
        <v>45061</v>
      </c>
    </row>
    <row r="2012" s="9" customFormat="1" customHeight="1" spans="1:25">
      <c r="A2012" s="16" t="s">
        <v>61</v>
      </c>
      <c r="B2012" s="98" t="s">
        <v>62</v>
      </c>
      <c r="C2012" s="17" t="s">
        <v>63</v>
      </c>
      <c r="D2012" s="96" t="s">
        <v>75</v>
      </c>
      <c r="E2012" s="18" t="s">
        <v>2440</v>
      </c>
      <c r="F2012" s="16" t="s">
        <v>2441</v>
      </c>
      <c r="G2012" s="99" t="s">
        <v>67</v>
      </c>
      <c r="H2012" s="19" t="s">
        <v>2621</v>
      </c>
      <c r="I2012" s="23" t="e">
        <f>VLOOKUP(H2012,'合同综合查询数据（3月返）'!$A:$A,1,FALSE)</f>
        <v>#N/A</v>
      </c>
      <c r="J2012" s="99" t="s">
        <v>69</v>
      </c>
      <c r="K2012" s="16" t="s">
        <v>2645</v>
      </c>
      <c r="L2012" s="25"/>
      <c r="M2012" s="26"/>
      <c r="N2012" s="28">
        <v>44058</v>
      </c>
      <c r="O2012" s="28" t="s">
        <v>71</v>
      </c>
      <c r="P2012" s="239">
        <v>440</v>
      </c>
      <c r="Q2012" s="35">
        <v>-9.1</v>
      </c>
      <c r="R2012" s="120">
        <f t="shared" si="50"/>
        <v>-4004</v>
      </c>
      <c r="S2012" s="117">
        <v>202303</v>
      </c>
      <c r="T2012" s="18" t="s">
        <v>2652</v>
      </c>
      <c r="U2012" s="18"/>
      <c r="V2012" s="243"/>
      <c r="W2012" s="243"/>
      <c r="X2012" s="118">
        <v>43967</v>
      </c>
      <c r="Y2012" s="118">
        <v>45061</v>
      </c>
    </row>
    <row r="2013" s="9" customFormat="1" customHeight="1" spans="1:25">
      <c r="A2013" s="16" t="s">
        <v>61</v>
      </c>
      <c r="B2013" s="98" t="s">
        <v>62</v>
      </c>
      <c r="C2013" s="17" t="s">
        <v>63</v>
      </c>
      <c r="D2013" s="96" t="s">
        <v>75</v>
      </c>
      <c r="E2013" s="18" t="s">
        <v>2440</v>
      </c>
      <c r="F2013" s="16" t="s">
        <v>2441</v>
      </c>
      <c r="G2013" s="99" t="s">
        <v>67</v>
      </c>
      <c r="H2013" s="19" t="s">
        <v>2621</v>
      </c>
      <c r="I2013" s="23" t="e">
        <f>VLOOKUP(H2013,'合同综合查询数据（3月返）'!$A:$A,1,FALSE)</f>
        <v>#N/A</v>
      </c>
      <c r="J2013" s="99" t="s">
        <v>69</v>
      </c>
      <c r="K2013" s="16" t="s">
        <v>2647</v>
      </c>
      <c r="L2013" s="25"/>
      <c r="M2013" s="26"/>
      <c r="N2013" s="28">
        <v>44058</v>
      </c>
      <c r="O2013" s="28" t="s">
        <v>71</v>
      </c>
      <c r="P2013" s="239">
        <v>440</v>
      </c>
      <c r="Q2013" s="35">
        <v>-25.95</v>
      </c>
      <c r="R2013" s="120">
        <f t="shared" si="50"/>
        <v>-11418</v>
      </c>
      <c r="S2013" s="117">
        <v>202303</v>
      </c>
      <c r="T2013" s="18" t="s">
        <v>2653</v>
      </c>
      <c r="U2013" s="18"/>
      <c r="V2013" s="243"/>
      <c r="W2013" s="243"/>
      <c r="X2013" s="118">
        <v>43967</v>
      </c>
      <c r="Y2013" s="118">
        <v>45061</v>
      </c>
    </row>
    <row r="2014" s="9" customFormat="1" customHeight="1" spans="1:25">
      <c r="A2014" s="16" t="s">
        <v>61</v>
      </c>
      <c r="B2014" s="98" t="s">
        <v>62</v>
      </c>
      <c r="C2014" s="17" t="s">
        <v>63</v>
      </c>
      <c r="D2014" s="96" t="s">
        <v>75</v>
      </c>
      <c r="E2014" s="18" t="s">
        <v>2440</v>
      </c>
      <c r="F2014" s="16" t="s">
        <v>2441</v>
      </c>
      <c r="G2014" s="99" t="s">
        <v>67</v>
      </c>
      <c r="H2014" s="19" t="s">
        <v>2621</v>
      </c>
      <c r="I2014" s="23" t="e">
        <f>VLOOKUP(H2014,'合同综合查询数据（3月返）'!$A:$A,1,FALSE)</f>
        <v>#N/A</v>
      </c>
      <c r="J2014" s="99" t="s">
        <v>69</v>
      </c>
      <c r="K2014" s="16" t="s">
        <v>2649</v>
      </c>
      <c r="L2014" s="25"/>
      <c r="M2014" s="26"/>
      <c r="N2014" s="28">
        <v>44058</v>
      </c>
      <c r="O2014" s="28" t="s">
        <v>71</v>
      </c>
      <c r="P2014" s="239">
        <v>440</v>
      </c>
      <c r="Q2014" s="35">
        <v>-10.84</v>
      </c>
      <c r="R2014" s="120">
        <f t="shared" si="50"/>
        <v>-4769.6</v>
      </c>
      <c r="S2014" s="117">
        <v>202303</v>
      </c>
      <c r="T2014" s="18" t="s">
        <v>2654</v>
      </c>
      <c r="U2014" s="18"/>
      <c r="V2014" s="243"/>
      <c r="W2014" s="243"/>
      <c r="X2014" s="118">
        <v>43967</v>
      </c>
      <c r="Y2014" s="118">
        <v>45061</v>
      </c>
    </row>
    <row r="2015" s="9" customFormat="1" customHeight="1" spans="1:25">
      <c r="A2015" s="16" t="s">
        <v>61</v>
      </c>
      <c r="B2015" s="98" t="s">
        <v>62</v>
      </c>
      <c r="C2015" s="17" t="s">
        <v>63</v>
      </c>
      <c r="D2015" s="96" t="s">
        <v>75</v>
      </c>
      <c r="E2015" s="18" t="s">
        <v>2440</v>
      </c>
      <c r="F2015" s="16" t="s">
        <v>2441</v>
      </c>
      <c r="G2015" s="99" t="s">
        <v>67</v>
      </c>
      <c r="H2015" s="19" t="s">
        <v>2621</v>
      </c>
      <c r="I2015" s="23" t="e">
        <f>VLOOKUP(H2015,'合同综合查询数据（3月返）'!$A:$A,1,FALSE)</f>
        <v>#N/A</v>
      </c>
      <c r="J2015" s="99" t="s">
        <v>69</v>
      </c>
      <c r="K2015" s="16" t="s">
        <v>2655</v>
      </c>
      <c r="L2015" s="25"/>
      <c r="M2015" s="26"/>
      <c r="N2015" s="28">
        <v>43824</v>
      </c>
      <c r="O2015" s="28" t="s">
        <v>71</v>
      </c>
      <c r="P2015" s="239">
        <v>440</v>
      </c>
      <c r="Q2015" s="35">
        <v>17.8</v>
      </c>
      <c r="R2015" s="120">
        <f t="shared" si="50"/>
        <v>7832</v>
      </c>
      <c r="S2015" s="117">
        <v>202303</v>
      </c>
      <c r="T2015" s="18" t="s">
        <v>2656</v>
      </c>
      <c r="U2015" s="18"/>
      <c r="V2015" s="243"/>
      <c r="W2015" s="243"/>
      <c r="X2015" s="118">
        <v>43967</v>
      </c>
      <c r="Y2015" s="118">
        <v>45061</v>
      </c>
    </row>
    <row r="2016" s="9" customFormat="1" customHeight="1" spans="1:25">
      <c r="A2016" s="16" t="s">
        <v>61</v>
      </c>
      <c r="B2016" s="98" t="s">
        <v>62</v>
      </c>
      <c r="C2016" s="17" t="s">
        <v>63</v>
      </c>
      <c r="D2016" s="96" t="s">
        <v>75</v>
      </c>
      <c r="E2016" s="18" t="s">
        <v>2440</v>
      </c>
      <c r="F2016" s="16" t="s">
        <v>2441</v>
      </c>
      <c r="G2016" s="99" t="s">
        <v>67</v>
      </c>
      <c r="H2016" s="19" t="s">
        <v>2621</v>
      </c>
      <c r="I2016" s="23" t="e">
        <f>VLOOKUP(H2016,'合同综合查询数据（3月返）'!$A:$A,1,FALSE)</f>
        <v>#N/A</v>
      </c>
      <c r="J2016" s="99" t="s">
        <v>69</v>
      </c>
      <c r="K2016" s="16" t="s">
        <v>2657</v>
      </c>
      <c r="L2016" s="25"/>
      <c r="M2016" s="26"/>
      <c r="N2016" s="28">
        <v>43824</v>
      </c>
      <c r="O2016" s="28" t="s">
        <v>71</v>
      </c>
      <c r="P2016" s="239">
        <v>440</v>
      </c>
      <c r="Q2016" s="35">
        <v>36.7</v>
      </c>
      <c r="R2016" s="120">
        <f t="shared" si="50"/>
        <v>16148</v>
      </c>
      <c r="S2016" s="117">
        <v>202303</v>
      </c>
      <c r="T2016" s="18" t="s">
        <v>2658</v>
      </c>
      <c r="U2016" s="18"/>
      <c r="V2016" s="243"/>
      <c r="W2016" s="243"/>
      <c r="X2016" s="118">
        <v>43967</v>
      </c>
      <c r="Y2016" s="118">
        <v>45061</v>
      </c>
    </row>
    <row r="2017" s="9" customFormat="1" customHeight="1" spans="1:25">
      <c r="A2017" s="16" t="s">
        <v>61</v>
      </c>
      <c r="B2017" s="98" t="s">
        <v>62</v>
      </c>
      <c r="C2017" s="17" t="s">
        <v>63</v>
      </c>
      <c r="D2017" s="96" t="s">
        <v>75</v>
      </c>
      <c r="E2017" s="18" t="s">
        <v>2440</v>
      </c>
      <c r="F2017" s="16" t="s">
        <v>2441</v>
      </c>
      <c r="G2017" s="99" t="s">
        <v>67</v>
      </c>
      <c r="H2017" s="19" t="s">
        <v>2621</v>
      </c>
      <c r="I2017" s="23" t="e">
        <f>VLOOKUP(H2017,'合同综合查询数据（3月返）'!$A:$A,1,FALSE)</f>
        <v>#N/A</v>
      </c>
      <c r="J2017" s="99" t="s">
        <v>69</v>
      </c>
      <c r="K2017" s="16" t="s">
        <v>2659</v>
      </c>
      <c r="L2017" s="25"/>
      <c r="M2017" s="26"/>
      <c r="N2017" s="28">
        <v>43824</v>
      </c>
      <c r="O2017" s="28" t="s">
        <v>71</v>
      </c>
      <c r="P2017" s="239">
        <v>440</v>
      </c>
      <c r="Q2017" s="35">
        <v>5.7</v>
      </c>
      <c r="R2017" s="120">
        <f t="shared" si="50"/>
        <v>2508</v>
      </c>
      <c r="S2017" s="117">
        <v>202303</v>
      </c>
      <c r="T2017" s="18" t="s">
        <v>2660</v>
      </c>
      <c r="U2017" s="18"/>
      <c r="V2017" s="243"/>
      <c r="W2017" s="243"/>
      <c r="X2017" s="118">
        <v>43967</v>
      </c>
      <c r="Y2017" s="118">
        <v>45061</v>
      </c>
    </row>
    <row r="2018" s="9" customFormat="1" customHeight="1" spans="1:25">
      <c r="A2018" s="16" t="s">
        <v>61</v>
      </c>
      <c r="B2018" s="98" t="s">
        <v>62</v>
      </c>
      <c r="C2018" s="17" t="s">
        <v>63</v>
      </c>
      <c r="D2018" s="96" t="s">
        <v>75</v>
      </c>
      <c r="E2018" s="18" t="s">
        <v>2440</v>
      </c>
      <c r="F2018" s="16" t="s">
        <v>2441</v>
      </c>
      <c r="G2018" s="99" t="s">
        <v>67</v>
      </c>
      <c r="H2018" s="19" t="s">
        <v>2621</v>
      </c>
      <c r="I2018" s="23" t="e">
        <f>VLOOKUP(H2018,'合同综合查询数据（3月返）'!$A:$A,1,FALSE)</f>
        <v>#N/A</v>
      </c>
      <c r="J2018" s="99" t="s">
        <v>69</v>
      </c>
      <c r="K2018" s="16" t="s">
        <v>2661</v>
      </c>
      <c r="L2018" s="25"/>
      <c r="M2018" s="26"/>
      <c r="N2018" s="28">
        <v>43824</v>
      </c>
      <c r="O2018" s="28" t="s">
        <v>71</v>
      </c>
      <c r="P2018" s="239">
        <v>440</v>
      </c>
      <c r="Q2018" s="35">
        <v>11.2</v>
      </c>
      <c r="R2018" s="120">
        <f t="shared" si="50"/>
        <v>4928</v>
      </c>
      <c r="S2018" s="117">
        <v>202303</v>
      </c>
      <c r="T2018" s="18" t="s">
        <v>2662</v>
      </c>
      <c r="U2018" s="18"/>
      <c r="V2018" s="243"/>
      <c r="W2018" s="243"/>
      <c r="X2018" s="118">
        <v>43967</v>
      </c>
      <c r="Y2018" s="118">
        <v>45061</v>
      </c>
    </row>
    <row r="2019" s="9" customFormat="1" customHeight="1" spans="1:25">
      <c r="A2019" s="16" t="s">
        <v>61</v>
      </c>
      <c r="B2019" s="98" t="s">
        <v>62</v>
      </c>
      <c r="C2019" s="17" t="s">
        <v>63</v>
      </c>
      <c r="D2019" s="96" t="s">
        <v>75</v>
      </c>
      <c r="E2019" s="18" t="s">
        <v>2440</v>
      </c>
      <c r="F2019" s="16" t="s">
        <v>2441</v>
      </c>
      <c r="G2019" s="99" t="s">
        <v>302</v>
      </c>
      <c r="H2019" s="19" t="s">
        <v>2663</v>
      </c>
      <c r="I2019" s="23" t="e">
        <f>VLOOKUP(H2019,'合同综合查询数据（3月返）'!$A:$A,1,FALSE)</f>
        <v>#N/A</v>
      </c>
      <c r="J2019" s="99" t="s">
        <v>302</v>
      </c>
      <c r="K2019" s="16" t="s">
        <v>2664</v>
      </c>
      <c r="L2019" s="25"/>
      <c r="M2019" s="26"/>
      <c r="N2019" s="28">
        <v>43986</v>
      </c>
      <c r="O2019" s="28" t="s">
        <v>2665</v>
      </c>
      <c r="P2019" s="239">
        <v>3000</v>
      </c>
      <c r="Q2019" s="35">
        <v>1</v>
      </c>
      <c r="R2019" s="120">
        <f t="shared" si="50"/>
        <v>3000</v>
      </c>
      <c r="S2019" s="117">
        <v>202303</v>
      </c>
      <c r="T2019" s="18" t="s">
        <v>2666</v>
      </c>
      <c r="U2019" s="18"/>
      <c r="V2019" s="243"/>
      <c r="W2019" s="243"/>
      <c r="X2019" s="118">
        <v>43983</v>
      </c>
      <c r="Y2019" s="118">
        <v>45077</v>
      </c>
    </row>
    <row r="2020" s="9" customFormat="1" customHeight="1" spans="1:25">
      <c r="A2020" s="16" t="s">
        <v>61</v>
      </c>
      <c r="B2020" s="98" t="s">
        <v>62</v>
      </c>
      <c r="C2020" s="17" t="s">
        <v>63</v>
      </c>
      <c r="D2020" s="96" t="s">
        <v>75</v>
      </c>
      <c r="E2020" s="18" t="s">
        <v>2440</v>
      </c>
      <c r="F2020" s="16" t="s">
        <v>2441</v>
      </c>
      <c r="G2020" s="99" t="s">
        <v>67</v>
      </c>
      <c r="H2020" s="19" t="s">
        <v>2667</v>
      </c>
      <c r="I2020" s="23" t="e">
        <f>VLOOKUP(H2020,'合同综合查询数据（3月返）'!$A:$A,1,FALSE)</f>
        <v>#N/A</v>
      </c>
      <c r="J2020" s="99" t="s">
        <v>69</v>
      </c>
      <c r="K2020" s="16" t="s">
        <v>2668</v>
      </c>
      <c r="L2020" s="25"/>
      <c r="M2020" s="26"/>
      <c r="N2020" s="28">
        <v>44682</v>
      </c>
      <c r="O2020" s="28" t="s">
        <v>1759</v>
      </c>
      <c r="P2020" s="239">
        <f>R2020/Q2020</f>
        <v>380</v>
      </c>
      <c r="Q2020" s="35">
        <v>195</v>
      </c>
      <c r="R2020" s="120">
        <v>74100</v>
      </c>
      <c r="S2020" s="117">
        <v>202303</v>
      </c>
      <c r="T2020" s="18" t="s">
        <v>2669</v>
      </c>
      <c r="U2020" s="18"/>
      <c r="V2020" s="243"/>
      <c r="W2020" s="243"/>
      <c r="X2020" s="118">
        <v>44835</v>
      </c>
      <c r="Y2020" s="118">
        <v>45199</v>
      </c>
    </row>
    <row r="2021" s="9" customFormat="1" customHeight="1" spans="1:25">
      <c r="A2021" s="16" t="s">
        <v>61</v>
      </c>
      <c r="B2021" s="98" t="s">
        <v>62</v>
      </c>
      <c r="C2021" s="17" t="s">
        <v>63</v>
      </c>
      <c r="D2021" s="96" t="s">
        <v>75</v>
      </c>
      <c r="E2021" s="18" t="s">
        <v>2440</v>
      </c>
      <c r="F2021" s="16" t="s">
        <v>2441</v>
      </c>
      <c r="G2021" s="99" t="s">
        <v>67</v>
      </c>
      <c r="H2021" s="19" t="s">
        <v>2667</v>
      </c>
      <c r="I2021" s="23" t="e">
        <f>VLOOKUP(H2021,'合同综合查询数据（3月返）'!$A:$A,1,FALSE)</f>
        <v>#N/A</v>
      </c>
      <c r="J2021" s="99" t="s">
        <v>69</v>
      </c>
      <c r="K2021" s="16" t="s">
        <v>2670</v>
      </c>
      <c r="L2021" s="25"/>
      <c r="M2021" s="26"/>
      <c r="N2021" s="28">
        <v>44713</v>
      </c>
      <c r="O2021" s="28" t="s">
        <v>1759</v>
      </c>
      <c r="P2021" s="239">
        <f>R2021/Q2021</f>
        <v>380</v>
      </c>
      <c r="Q2021" s="35">
        <v>349</v>
      </c>
      <c r="R2021" s="120">
        <v>132620</v>
      </c>
      <c r="S2021" s="117">
        <v>202303</v>
      </c>
      <c r="T2021" s="18" t="s">
        <v>2671</v>
      </c>
      <c r="U2021" s="18"/>
      <c r="V2021" s="243"/>
      <c r="W2021" s="243"/>
      <c r="X2021" s="118">
        <v>44835</v>
      </c>
      <c r="Y2021" s="118">
        <v>45199</v>
      </c>
    </row>
    <row r="2022" s="9" customFormat="1" customHeight="1" spans="1:25">
      <c r="A2022" s="16" t="s">
        <v>61</v>
      </c>
      <c r="B2022" s="98" t="s">
        <v>62</v>
      </c>
      <c r="C2022" s="17" t="s">
        <v>63</v>
      </c>
      <c r="D2022" s="96" t="s">
        <v>75</v>
      </c>
      <c r="E2022" s="18" t="s">
        <v>2440</v>
      </c>
      <c r="F2022" s="16" t="s">
        <v>2441</v>
      </c>
      <c r="G2022" s="99" t="s">
        <v>67</v>
      </c>
      <c r="H2022" s="19" t="s">
        <v>2667</v>
      </c>
      <c r="I2022" s="23" t="e">
        <f>VLOOKUP(H2022,'合同综合查询数据（3月返）'!$A:$A,1,FALSE)</f>
        <v>#N/A</v>
      </c>
      <c r="J2022" s="99" t="s">
        <v>69</v>
      </c>
      <c r="K2022" s="16" t="s">
        <v>2672</v>
      </c>
      <c r="L2022" s="25"/>
      <c r="M2022" s="26"/>
      <c r="N2022" s="28">
        <v>44713</v>
      </c>
      <c r="O2022" s="28" t="s">
        <v>1759</v>
      </c>
      <c r="P2022" s="239">
        <f>R2022/Q2022</f>
        <v>399.895172413793</v>
      </c>
      <c r="Q2022" s="35">
        <v>232</v>
      </c>
      <c r="R2022" s="120">
        <v>92775.68</v>
      </c>
      <c r="S2022" s="117">
        <v>202303</v>
      </c>
      <c r="T2022" s="18" t="s">
        <v>2673</v>
      </c>
      <c r="U2022" s="18"/>
      <c r="V2022" s="243"/>
      <c r="W2022" s="243"/>
      <c r="X2022" s="118">
        <v>44835</v>
      </c>
      <c r="Y2022" s="118">
        <v>45199</v>
      </c>
    </row>
    <row r="2023" s="9" customFormat="1" customHeight="1" spans="1:25">
      <c r="A2023" s="16" t="s">
        <v>61</v>
      </c>
      <c r="B2023" s="98" t="s">
        <v>62</v>
      </c>
      <c r="C2023" s="17" t="s">
        <v>63</v>
      </c>
      <c r="D2023" s="96" t="s">
        <v>75</v>
      </c>
      <c r="E2023" s="18" t="s">
        <v>2440</v>
      </c>
      <c r="F2023" s="16" t="s">
        <v>2441</v>
      </c>
      <c r="G2023" s="99" t="s">
        <v>67</v>
      </c>
      <c r="H2023" s="19" t="s">
        <v>2667</v>
      </c>
      <c r="I2023" s="23" t="e">
        <f>VLOOKUP(H2023,'合同综合查询数据（3月返）'!$A:$A,1,FALSE)</f>
        <v>#N/A</v>
      </c>
      <c r="J2023" s="99" t="s">
        <v>69</v>
      </c>
      <c r="K2023" s="16" t="s">
        <v>2674</v>
      </c>
      <c r="L2023" s="25"/>
      <c r="M2023" s="26"/>
      <c r="N2023" s="28">
        <v>44743</v>
      </c>
      <c r="O2023" s="28" t="s">
        <v>1759</v>
      </c>
      <c r="P2023" s="239">
        <f>R2023/Q2023</f>
        <v>380</v>
      </c>
      <c r="Q2023" s="35">
        <v>482</v>
      </c>
      <c r="R2023" s="120">
        <v>183160</v>
      </c>
      <c r="S2023" s="117">
        <v>202303</v>
      </c>
      <c r="T2023" s="18" t="s">
        <v>2675</v>
      </c>
      <c r="U2023" s="18"/>
      <c r="V2023" s="243"/>
      <c r="W2023" s="243"/>
      <c r="X2023" s="118">
        <v>44835</v>
      </c>
      <c r="Y2023" s="118">
        <v>45199</v>
      </c>
    </row>
    <row r="2024" s="9" customFormat="1" customHeight="1" spans="1:25">
      <c r="A2024" s="16" t="s">
        <v>61</v>
      </c>
      <c r="B2024" s="98" t="s">
        <v>62</v>
      </c>
      <c r="C2024" s="17" t="s">
        <v>63</v>
      </c>
      <c r="D2024" s="96" t="s">
        <v>75</v>
      </c>
      <c r="E2024" s="18" t="s">
        <v>2440</v>
      </c>
      <c r="F2024" s="16" t="s">
        <v>2441</v>
      </c>
      <c r="G2024" s="99" t="s">
        <v>67</v>
      </c>
      <c r="H2024" s="19" t="s">
        <v>2667</v>
      </c>
      <c r="I2024" s="23" t="e">
        <f>VLOOKUP(H2024,'合同综合查询数据（3月返）'!$A:$A,1,FALSE)</f>
        <v>#N/A</v>
      </c>
      <c r="J2024" s="99" t="s">
        <v>69</v>
      </c>
      <c r="K2024" s="16" t="s">
        <v>2676</v>
      </c>
      <c r="L2024" s="25"/>
      <c r="M2024" s="26"/>
      <c r="N2024" s="28">
        <v>44743</v>
      </c>
      <c r="O2024" s="28" t="s">
        <v>1759</v>
      </c>
      <c r="P2024" s="239">
        <f>R2024/Q2024</f>
        <v>380</v>
      </c>
      <c r="Q2024" s="35">
        <v>208</v>
      </c>
      <c r="R2024" s="120">
        <v>79040</v>
      </c>
      <c r="S2024" s="117">
        <v>202303</v>
      </c>
      <c r="T2024" s="18" t="s">
        <v>2677</v>
      </c>
      <c r="U2024" s="18"/>
      <c r="V2024" s="243"/>
      <c r="W2024" s="243"/>
      <c r="X2024" s="118">
        <v>44835</v>
      </c>
      <c r="Y2024" s="118">
        <v>45199</v>
      </c>
    </row>
    <row r="2025" s="10" customFormat="1" customHeight="1" spans="1:25">
      <c r="A2025" s="42" t="s">
        <v>61</v>
      </c>
      <c r="B2025" s="61" t="s">
        <v>62</v>
      </c>
      <c r="C2025" s="43" t="s">
        <v>63</v>
      </c>
      <c r="D2025" s="60" t="s">
        <v>75</v>
      </c>
      <c r="E2025" s="44" t="s">
        <v>2440</v>
      </c>
      <c r="F2025" s="42" t="s">
        <v>2441</v>
      </c>
      <c r="G2025" s="66" t="s">
        <v>67</v>
      </c>
      <c r="H2025" s="45" t="s">
        <v>2678</v>
      </c>
      <c r="I2025" s="47" t="e">
        <f>VLOOKUP(H2025,'合同综合查询数据（3月返）'!$A:$A,1,FALSE)</f>
        <v>#N/A</v>
      </c>
      <c r="J2025" s="66" t="s">
        <v>69</v>
      </c>
      <c r="K2025" s="42" t="s">
        <v>2679</v>
      </c>
      <c r="L2025" s="49"/>
      <c r="M2025" s="50"/>
      <c r="N2025" s="51">
        <v>44743</v>
      </c>
      <c r="O2025" s="51" t="s">
        <v>71</v>
      </c>
      <c r="P2025" s="67">
        <v>400</v>
      </c>
      <c r="Q2025" s="53">
        <v>5</v>
      </c>
      <c r="R2025" s="68">
        <f t="shared" ref="R2025:R2032" si="51">ROUND(P2025*Q2025,2)</f>
        <v>2000</v>
      </c>
      <c r="S2025" s="70">
        <v>202303</v>
      </c>
      <c r="T2025" s="44" t="s">
        <v>2679</v>
      </c>
      <c r="U2025" s="44"/>
      <c r="V2025" s="235"/>
      <c r="W2025" s="235"/>
      <c r="X2025" s="73"/>
      <c r="Y2025" s="73"/>
    </row>
    <row r="2026" s="10" customFormat="1" customHeight="1" spans="1:25">
      <c r="A2026" s="42" t="s">
        <v>61</v>
      </c>
      <c r="B2026" s="61" t="s">
        <v>62</v>
      </c>
      <c r="C2026" s="43" t="s">
        <v>63</v>
      </c>
      <c r="D2026" s="60" t="s">
        <v>75</v>
      </c>
      <c r="E2026" s="44" t="s">
        <v>2440</v>
      </c>
      <c r="F2026" s="42" t="s">
        <v>2441</v>
      </c>
      <c r="G2026" s="66" t="s">
        <v>67</v>
      </c>
      <c r="H2026" s="45" t="s">
        <v>2678</v>
      </c>
      <c r="I2026" s="47" t="e">
        <f>VLOOKUP(H2026,'合同综合查询数据（3月返）'!$A:$A,1,FALSE)</f>
        <v>#N/A</v>
      </c>
      <c r="J2026" s="66" t="s">
        <v>69</v>
      </c>
      <c r="K2026" s="42" t="s">
        <v>2680</v>
      </c>
      <c r="L2026" s="49"/>
      <c r="M2026" s="50"/>
      <c r="N2026" s="51">
        <v>44743</v>
      </c>
      <c r="O2026" s="51" t="s">
        <v>71</v>
      </c>
      <c r="P2026" s="67">
        <v>1500</v>
      </c>
      <c r="Q2026" s="53">
        <v>1</v>
      </c>
      <c r="R2026" s="68">
        <f t="shared" si="51"/>
        <v>1500</v>
      </c>
      <c r="S2026" s="70">
        <v>202303</v>
      </c>
      <c r="T2026" s="44" t="s">
        <v>2680</v>
      </c>
      <c r="U2026" s="44"/>
      <c r="V2026" s="235"/>
      <c r="W2026" s="235"/>
      <c r="X2026" s="73"/>
      <c r="Y2026" s="73"/>
    </row>
    <row r="2027" s="9" customFormat="1" customHeight="1" spans="1:25">
      <c r="A2027" s="16" t="s">
        <v>61</v>
      </c>
      <c r="B2027" s="98" t="s">
        <v>62</v>
      </c>
      <c r="C2027" s="17" t="s">
        <v>63</v>
      </c>
      <c r="D2027" s="96" t="s">
        <v>75</v>
      </c>
      <c r="E2027" s="18" t="s">
        <v>2440</v>
      </c>
      <c r="F2027" s="16" t="s">
        <v>2441</v>
      </c>
      <c r="G2027" s="99" t="s">
        <v>302</v>
      </c>
      <c r="H2027" s="19" t="s">
        <v>2681</v>
      </c>
      <c r="I2027" s="23" t="e">
        <f>VLOOKUP(H2027,'合同综合查询数据（3月返）'!$A:$A,1,FALSE)</f>
        <v>#N/A</v>
      </c>
      <c r="J2027" s="99" t="s">
        <v>302</v>
      </c>
      <c r="K2027" s="16" t="s">
        <v>2682</v>
      </c>
      <c r="L2027" s="25"/>
      <c r="M2027" s="26"/>
      <c r="N2027" s="28">
        <v>44760</v>
      </c>
      <c r="O2027" s="28" t="s">
        <v>2560</v>
      </c>
      <c r="P2027" s="239">
        <v>2243119.59</v>
      </c>
      <c r="Q2027" s="35">
        <v>1</v>
      </c>
      <c r="R2027" s="120">
        <f t="shared" si="51"/>
        <v>2243119.59</v>
      </c>
      <c r="S2027" s="117">
        <v>202303</v>
      </c>
      <c r="T2027" s="18" t="s">
        <v>2683</v>
      </c>
      <c r="U2027" s="18"/>
      <c r="V2027" s="243"/>
      <c r="W2027" s="243"/>
      <c r="X2027" s="118">
        <v>44760</v>
      </c>
      <c r="Y2027" s="118">
        <v>45508</v>
      </c>
    </row>
    <row r="2028" s="9" customFormat="1" customHeight="1" spans="1:25">
      <c r="A2028" s="16" t="s">
        <v>61</v>
      </c>
      <c r="B2028" s="98" t="s">
        <v>62</v>
      </c>
      <c r="C2028" s="17" t="s">
        <v>63</v>
      </c>
      <c r="D2028" s="96" t="s">
        <v>75</v>
      </c>
      <c r="E2028" s="18" t="s">
        <v>2440</v>
      </c>
      <c r="F2028" s="16" t="s">
        <v>2441</v>
      </c>
      <c r="G2028" s="99" t="s">
        <v>67</v>
      </c>
      <c r="H2028" s="19" t="s">
        <v>2667</v>
      </c>
      <c r="I2028" s="23" t="e">
        <f>VLOOKUP(H2028,'合同综合查询数据（3月返）'!$A:$A,1,FALSE)</f>
        <v>#N/A</v>
      </c>
      <c r="J2028" s="99" t="s">
        <v>69</v>
      </c>
      <c r="K2028" s="16" t="s">
        <v>2684</v>
      </c>
      <c r="L2028" s="25"/>
      <c r="M2028" s="26"/>
      <c r="N2028" s="28">
        <v>44760</v>
      </c>
      <c r="O2028" s="28" t="s">
        <v>71</v>
      </c>
      <c r="P2028" s="239">
        <v>8184</v>
      </c>
      <c r="Q2028" s="35">
        <v>1</v>
      </c>
      <c r="R2028" s="120">
        <f t="shared" si="51"/>
        <v>8184</v>
      </c>
      <c r="S2028" s="117">
        <v>202303</v>
      </c>
      <c r="T2028" s="18" t="s">
        <v>2685</v>
      </c>
      <c r="U2028" s="18"/>
      <c r="V2028" s="243"/>
      <c r="W2028" s="243"/>
      <c r="X2028" s="118">
        <v>44835</v>
      </c>
      <c r="Y2028" s="118">
        <v>45199</v>
      </c>
    </row>
    <row r="2029" s="9" customFormat="1" customHeight="1" spans="1:25">
      <c r="A2029" s="16" t="s">
        <v>61</v>
      </c>
      <c r="B2029" s="98" t="s">
        <v>62</v>
      </c>
      <c r="C2029" s="17" t="s">
        <v>63</v>
      </c>
      <c r="D2029" s="96" t="s">
        <v>75</v>
      </c>
      <c r="E2029" s="18" t="s">
        <v>2440</v>
      </c>
      <c r="F2029" s="16" t="s">
        <v>2441</v>
      </c>
      <c r="G2029" s="99" t="s">
        <v>67</v>
      </c>
      <c r="H2029" s="19" t="s">
        <v>2667</v>
      </c>
      <c r="I2029" s="23" t="e">
        <f>VLOOKUP(H2029,'合同综合查询数据（3月返）'!$A:$A,1,FALSE)</f>
        <v>#N/A</v>
      </c>
      <c r="J2029" s="99" t="s">
        <v>69</v>
      </c>
      <c r="K2029" s="16" t="s">
        <v>2686</v>
      </c>
      <c r="L2029" s="25"/>
      <c r="M2029" s="26"/>
      <c r="N2029" s="28">
        <v>44760</v>
      </c>
      <c r="O2029" s="28" t="s">
        <v>71</v>
      </c>
      <c r="P2029" s="239">
        <v>19360</v>
      </c>
      <c r="Q2029" s="35">
        <v>1</v>
      </c>
      <c r="R2029" s="120">
        <f t="shared" si="51"/>
        <v>19360</v>
      </c>
      <c r="S2029" s="117">
        <v>202303</v>
      </c>
      <c r="T2029" s="18" t="s">
        <v>2687</v>
      </c>
      <c r="U2029" s="18"/>
      <c r="V2029" s="243"/>
      <c r="W2029" s="243"/>
      <c r="X2029" s="118">
        <v>44835</v>
      </c>
      <c r="Y2029" s="118">
        <v>45199</v>
      </c>
    </row>
    <row r="2030" s="9" customFormat="1" customHeight="1" spans="1:25">
      <c r="A2030" s="16" t="s">
        <v>61</v>
      </c>
      <c r="B2030" s="98" t="s">
        <v>62</v>
      </c>
      <c r="C2030" s="17" t="s">
        <v>63</v>
      </c>
      <c r="D2030" s="96" t="s">
        <v>75</v>
      </c>
      <c r="E2030" s="18" t="s">
        <v>2440</v>
      </c>
      <c r="F2030" s="16" t="s">
        <v>2441</v>
      </c>
      <c r="G2030" s="99" t="s">
        <v>67</v>
      </c>
      <c r="H2030" s="19" t="s">
        <v>2667</v>
      </c>
      <c r="I2030" s="23" t="e">
        <f>VLOOKUP(H2030,'合同综合查询数据（3月返）'!$A:$A,1,FALSE)</f>
        <v>#N/A</v>
      </c>
      <c r="J2030" s="99" t="s">
        <v>69</v>
      </c>
      <c r="K2030" s="16" t="s">
        <v>2688</v>
      </c>
      <c r="L2030" s="25"/>
      <c r="M2030" s="26"/>
      <c r="N2030" s="28">
        <v>44760</v>
      </c>
      <c r="O2030" s="28" t="s">
        <v>71</v>
      </c>
      <c r="P2030" s="239">
        <v>8032.18</v>
      </c>
      <c r="Q2030" s="35">
        <v>1</v>
      </c>
      <c r="R2030" s="120">
        <f t="shared" si="51"/>
        <v>8032.18</v>
      </c>
      <c r="S2030" s="117">
        <v>202303</v>
      </c>
      <c r="T2030" s="18" t="s">
        <v>2689</v>
      </c>
      <c r="U2030" s="18"/>
      <c r="V2030" s="243"/>
      <c r="W2030" s="243"/>
      <c r="X2030" s="118">
        <v>44835</v>
      </c>
      <c r="Y2030" s="118">
        <v>45199</v>
      </c>
    </row>
    <row r="2031" s="9" customFormat="1" customHeight="1" spans="1:25">
      <c r="A2031" s="16" t="s">
        <v>61</v>
      </c>
      <c r="B2031" s="98" t="s">
        <v>62</v>
      </c>
      <c r="C2031" s="17" t="s">
        <v>63</v>
      </c>
      <c r="D2031" s="96" t="s">
        <v>75</v>
      </c>
      <c r="E2031" s="18" t="s">
        <v>2440</v>
      </c>
      <c r="F2031" s="16" t="s">
        <v>2441</v>
      </c>
      <c r="G2031" s="99" t="s">
        <v>67</v>
      </c>
      <c r="H2031" s="19" t="s">
        <v>2667</v>
      </c>
      <c r="I2031" s="23" t="e">
        <f>VLOOKUP(H2031,'合同综合查询数据（3月返）'!$A:$A,1,FALSE)</f>
        <v>#N/A</v>
      </c>
      <c r="J2031" s="99" t="s">
        <v>69</v>
      </c>
      <c r="K2031" s="16" t="s">
        <v>2690</v>
      </c>
      <c r="L2031" s="25"/>
      <c r="M2031" s="26"/>
      <c r="N2031" s="28">
        <v>44760</v>
      </c>
      <c r="O2031" s="28" t="s">
        <v>71</v>
      </c>
      <c r="P2031" s="239">
        <v>11414.15</v>
      </c>
      <c r="Q2031" s="35">
        <v>1</v>
      </c>
      <c r="R2031" s="120">
        <f t="shared" si="51"/>
        <v>11414.15</v>
      </c>
      <c r="S2031" s="117">
        <v>202303</v>
      </c>
      <c r="T2031" s="18" t="s">
        <v>2691</v>
      </c>
      <c r="U2031" s="18"/>
      <c r="V2031" s="243"/>
      <c r="W2031" s="243"/>
      <c r="X2031" s="118">
        <v>44835</v>
      </c>
      <c r="Y2031" s="118">
        <v>45199</v>
      </c>
    </row>
    <row r="2032" s="9" customFormat="1" customHeight="1" spans="1:25">
      <c r="A2032" s="16" t="s">
        <v>61</v>
      </c>
      <c r="B2032" s="98" t="s">
        <v>62</v>
      </c>
      <c r="C2032" s="17" t="s">
        <v>63</v>
      </c>
      <c r="D2032" s="96" t="s">
        <v>75</v>
      </c>
      <c r="E2032" s="18" t="s">
        <v>2440</v>
      </c>
      <c r="F2032" s="16" t="s">
        <v>2441</v>
      </c>
      <c r="G2032" s="99" t="s">
        <v>302</v>
      </c>
      <c r="H2032" s="19" t="s">
        <v>2681</v>
      </c>
      <c r="I2032" s="23" t="e">
        <f>VLOOKUP(H2032,'合同综合查询数据（3月返）'!$A:$A,1,FALSE)</f>
        <v>#N/A</v>
      </c>
      <c r="J2032" s="99" t="s">
        <v>302</v>
      </c>
      <c r="K2032" s="16" t="s">
        <v>2692</v>
      </c>
      <c r="L2032" s="25"/>
      <c r="M2032" s="26"/>
      <c r="N2032" s="28">
        <v>44788</v>
      </c>
      <c r="O2032" s="249" t="s">
        <v>2693</v>
      </c>
      <c r="P2032" s="239">
        <v>268101.92</v>
      </c>
      <c r="Q2032" s="35">
        <v>1</v>
      </c>
      <c r="R2032" s="120">
        <f t="shared" si="51"/>
        <v>268101.92</v>
      </c>
      <c r="S2032" s="117">
        <v>202303</v>
      </c>
      <c r="T2032" s="18" t="s">
        <v>2694</v>
      </c>
      <c r="U2032" s="18"/>
      <c r="V2032" s="243"/>
      <c r="W2032" s="243"/>
      <c r="X2032" s="118">
        <v>44760</v>
      </c>
      <c r="Y2032" s="118">
        <v>45508</v>
      </c>
    </row>
    <row r="2033" s="9" customFormat="1" customHeight="1" spans="1:25">
      <c r="A2033" s="16" t="s">
        <v>61</v>
      </c>
      <c r="B2033" s="98" t="s">
        <v>62</v>
      </c>
      <c r="C2033" s="17" t="s">
        <v>63</v>
      </c>
      <c r="D2033" s="96" t="s">
        <v>75</v>
      </c>
      <c r="E2033" s="18" t="s">
        <v>2440</v>
      </c>
      <c r="F2033" s="16" t="s">
        <v>2441</v>
      </c>
      <c r="G2033" s="99" t="s">
        <v>67</v>
      </c>
      <c r="H2033" s="19" t="s">
        <v>2667</v>
      </c>
      <c r="I2033" s="23" t="e">
        <f>VLOOKUP(H2033,'合同综合查询数据（3月返）'!$A:$A,1,FALSE)</f>
        <v>#N/A</v>
      </c>
      <c r="J2033" s="99" t="s">
        <v>69</v>
      </c>
      <c r="K2033" s="16" t="s">
        <v>2695</v>
      </c>
      <c r="L2033" s="25"/>
      <c r="M2033" s="26"/>
      <c r="N2033" s="28">
        <v>44774</v>
      </c>
      <c r="O2033" s="28" t="s">
        <v>2249</v>
      </c>
      <c r="P2033" s="239">
        <f>R2033/Q2033</f>
        <v>758.658490566038</v>
      </c>
      <c r="Q2033" s="35">
        <v>5.3</v>
      </c>
      <c r="R2033" s="120">
        <v>4020.89</v>
      </c>
      <c r="S2033" s="117">
        <v>202303</v>
      </c>
      <c r="T2033" s="18" t="s">
        <v>2696</v>
      </c>
      <c r="U2033" s="18"/>
      <c r="V2033" s="243"/>
      <c r="W2033" s="243"/>
      <c r="X2033" s="118">
        <v>44835</v>
      </c>
      <c r="Y2033" s="118">
        <v>45199</v>
      </c>
    </row>
    <row r="2034" s="9" customFormat="1" customHeight="1" spans="1:25">
      <c r="A2034" s="16" t="s">
        <v>61</v>
      </c>
      <c r="B2034" s="98" t="s">
        <v>62</v>
      </c>
      <c r="C2034" s="17" t="s">
        <v>63</v>
      </c>
      <c r="D2034" s="96" t="s">
        <v>75</v>
      </c>
      <c r="E2034" s="18" t="s">
        <v>2440</v>
      </c>
      <c r="F2034" s="16" t="s">
        <v>2441</v>
      </c>
      <c r="G2034" s="99" t="s">
        <v>67</v>
      </c>
      <c r="H2034" s="19" t="s">
        <v>2697</v>
      </c>
      <c r="I2034" s="23" t="e">
        <f>VLOOKUP(H2034,'合同综合查询数据（3月返）'!$A:$A,1,FALSE)</f>
        <v>#N/A</v>
      </c>
      <c r="J2034" s="99" t="s">
        <v>69</v>
      </c>
      <c r="K2034" s="16" t="s">
        <v>2698</v>
      </c>
      <c r="L2034" s="25"/>
      <c r="M2034" s="26"/>
      <c r="N2034" s="28">
        <v>44812</v>
      </c>
      <c r="O2034" s="28" t="s">
        <v>2249</v>
      </c>
      <c r="P2034" s="239">
        <v>399.895115681234</v>
      </c>
      <c r="Q2034" s="35">
        <v>77.8</v>
      </c>
      <c r="R2034" s="120">
        <f>ROUND(P2034*Q2034,2)</f>
        <v>31111.84</v>
      </c>
      <c r="S2034" s="117">
        <v>202303</v>
      </c>
      <c r="T2034" s="18" t="s">
        <v>2698</v>
      </c>
      <c r="U2034" s="18"/>
      <c r="V2034" s="243"/>
      <c r="W2034" s="243"/>
      <c r="X2034" s="118">
        <v>44812</v>
      </c>
      <c r="Y2034" s="118">
        <v>45260</v>
      </c>
    </row>
    <row r="2035" s="9" customFormat="1" customHeight="1" spans="1:25">
      <c r="A2035" s="16" t="s">
        <v>61</v>
      </c>
      <c r="B2035" s="98" t="s">
        <v>62</v>
      </c>
      <c r="C2035" s="17" t="s">
        <v>63</v>
      </c>
      <c r="D2035" s="96" t="s">
        <v>75</v>
      </c>
      <c r="E2035" s="18" t="s">
        <v>2440</v>
      </c>
      <c r="F2035" s="16" t="s">
        <v>2441</v>
      </c>
      <c r="G2035" s="99" t="s">
        <v>67</v>
      </c>
      <c r="H2035" s="19" t="s">
        <v>2697</v>
      </c>
      <c r="I2035" s="23" t="e">
        <f>VLOOKUP(H2035,'合同综合查询数据（3月返）'!$A:$A,1,FALSE)</f>
        <v>#N/A</v>
      </c>
      <c r="J2035" s="99" t="s">
        <v>69</v>
      </c>
      <c r="K2035" s="16" t="s">
        <v>2699</v>
      </c>
      <c r="L2035" s="25"/>
      <c r="M2035" s="26"/>
      <c r="N2035" s="28">
        <v>44812</v>
      </c>
      <c r="O2035" s="28" t="s">
        <v>2249</v>
      </c>
      <c r="P2035" s="239">
        <v>418.308522212149</v>
      </c>
      <c r="Q2035" s="35">
        <v>110.3</v>
      </c>
      <c r="R2035" s="120">
        <f>ROUND(P2035*Q2035,2)</f>
        <v>46139.43</v>
      </c>
      <c r="S2035" s="117">
        <v>202303</v>
      </c>
      <c r="T2035" s="18" t="s">
        <v>2699</v>
      </c>
      <c r="U2035" s="18"/>
      <c r="V2035" s="243"/>
      <c r="W2035" s="243"/>
      <c r="X2035" s="118">
        <v>44812</v>
      </c>
      <c r="Y2035" s="118">
        <v>45260</v>
      </c>
    </row>
    <row r="2036" s="9" customFormat="1" customHeight="1" spans="1:25">
      <c r="A2036" s="16" t="s">
        <v>61</v>
      </c>
      <c r="B2036" s="98" t="s">
        <v>62</v>
      </c>
      <c r="C2036" s="17" t="s">
        <v>63</v>
      </c>
      <c r="D2036" s="96" t="s">
        <v>75</v>
      </c>
      <c r="E2036" s="18" t="s">
        <v>2440</v>
      </c>
      <c r="F2036" s="16" t="s">
        <v>2441</v>
      </c>
      <c r="G2036" s="99" t="s">
        <v>67</v>
      </c>
      <c r="H2036" s="19" t="s">
        <v>2697</v>
      </c>
      <c r="I2036" s="23" t="e">
        <f>VLOOKUP(H2036,'合同综合查询数据（3月返）'!$A:$A,1,FALSE)</f>
        <v>#N/A</v>
      </c>
      <c r="J2036" s="99" t="s">
        <v>69</v>
      </c>
      <c r="K2036" s="16" t="s">
        <v>2700</v>
      </c>
      <c r="L2036" s="25"/>
      <c r="M2036" s="26"/>
      <c r="N2036" s="28">
        <v>44812</v>
      </c>
      <c r="O2036" s="28" t="s">
        <v>71</v>
      </c>
      <c r="P2036" s="239">
        <v>1320</v>
      </c>
      <c r="Q2036" s="35">
        <v>5.7</v>
      </c>
      <c r="R2036" s="120">
        <f>ROUND(P2036*Q2036,2)</f>
        <v>7524</v>
      </c>
      <c r="S2036" s="117">
        <v>202303</v>
      </c>
      <c r="T2036" s="248" t="s">
        <v>2700</v>
      </c>
      <c r="U2036" s="123"/>
      <c r="V2036" s="250"/>
      <c r="W2036" s="250"/>
      <c r="X2036" s="118">
        <v>44812</v>
      </c>
      <c r="Y2036" s="118">
        <v>45260</v>
      </c>
    </row>
    <row r="2037" s="9" customFormat="1" customHeight="1" spans="1:25">
      <c r="A2037" s="16" t="s">
        <v>61</v>
      </c>
      <c r="B2037" s="98" t="s">
        <v>62</v>
      </c>
      <c r="C2037" s="17" t="s">
        <v>63</v>
      </c>
      <c r="D2037" s="96" t="s">
        <v>75</v>
      </c>
      <c r="E2037" s="18" t="s">
        <v>2440</v>
      </c>
      <c r="F2037" s="16" t="s">
        <v>2441</v>
      </c>
      <c r="G2037" s="99" t="s">
        <v>67</v>
      </c>
      <c r="H2037" s="19" t="s">
        <v>2697</v>
      </c>
      <c r="I2037" s="23" t="e">
        <f>VLOOKUP(H2037,'合同综合查询数据（3月返）'!$A:$A,1,FALSE)</f>
        <v>#N/A</v>
      </c>
      <c r="J2037" s="99" t="s">
        <v>69</v>
      </c>
      <c r="K2037" s="16" t="s">
        <v>2701</v>
      </c>
      <c r="L2037" s="25"/>
      <c r="M2037" s="26"/>
      <c r="N2037" s="28">
        <v>44819</v>
      </c>
      <c r="O2037" s="28" t="s">
        <v>1759</v>
      </c>
      <c r="P2037" s="239">
        <v>342.767280951583</v>
      </c>
      <c r="Q2037" s="35">
        <v>596.9</v>
      </c>
      <c r="R2037" s="120">
        <f>ROUND(P2037*Q2037,2)+10283.02</f>
        <v>214880.81</v>
      </c>
      <c r="S2037" s="117">
        <v>202303</v>
      </c>
      <c r="T2037" s="18" t="s">
        <v>2702</v>
      </c>
      <c r="U2037" s="18"/>
      <c r="V2037" s="243"/>
      <c r="W2037" s="243"/>
      <c r="X2037" s="118">
        <v>44812</v>
      </c>
      <c r="Y2037" s="118">
        <v>45260</v>
      </c>
    </row>
    <row r="2038" s="9" customFormat="1" customHeight="1" spans="1:25">
      <c r="A2038" s="16" t="s">
        <v>61</v>
      </c>
      <c r="B2038" s="98" t="s">
        <v>62</v>
      </c>
      <c r="C2038" s="17" t="s">
        <v>63</v>
      </c>
      <c r="D2038" s="96" t="s">
        <v>75</v>
      </c>
      <c r="E2038" s="18" t="s">
        <v>2440</v>
      </c>
      <c r="F2038" s="16" t="s">
        <v>2441</v>
      </c>
      <c r="G2038" s="99" t="s">
        <v>67</v>
      </c>
      <c r="H2038" s="19" t="s">
        <v>2697</v>
      </c>
      <c r="I2038" s="23" t="e">
        <f>VLOOKUP(H2038,'合同综合查询数据（3月返）'!$A:$A,1,FALSE)</f>
        <v>#N/A</v>
      </c>
      <c r="J2038" s="99" t="s">
        <v>69</v>
      </c>
      <c r="K2038" s="16" t="s">
        <v>2703</v>
      </c>
      <c r="L2038" s="25"/>
      <c r="M2038" s="26"/>
      <c r="N2038" s="28">
        <v>44819</v>
      </c>
      <c r="O2038" s="28" t="s">
        <v>1759</v>
      </c>
      <c r="P2038" s="239">
        <v>342.767319749216</v>
      </c>
      <c r="Q2038" s="35">
        <v>127.6</v>
      </c>
      <c r="R2038" s="120">
        <f>ROUND(P2038*Q2038,2)</f>
        <v>43737.11</v>
      </c>
      <c r="S2038" s="117">
        <v>202303</v>
      </c>
      <c r="T2038" s="18" t="s">
        <v>2703</v>
      </c>
      <c r="U2038" s="18"/>
      <c r="V2038" s="243"/>
      <c r="W2038" s="243"/>
      <c r="X2038" s="118">
        <v>44812</v>
      </c>
      <c r="Y2038" s="118">
        <v>45260</v>
      </c>
    </row>
    <row r="2039" s="9" customFormat="1" customHeight="1" spans="1:25">
      <c r="A2039" s="16" t="s">
        <v>61</v>
      </c>
      <c r="B2039" s="98" t="s">
        <v>62</v>
      </c>
      <c r="C2039" s="17" t="s">
        <v>63</v>
      </c>
      <c r="D2039" s="96" t="s">
        <v>75</v>
      </c>
      <c r="E2039" s="18" t="s">
        <v>2440</v>
      </c>
      <c r="F2039" s="16" t="s">
        <v>2441</v>
      </c>
      <c r="G2039" s="99" t="s">
        <v>67</v>
      </c>
      <c r="H2039" s="19" t="s">
        <v>2697</v>
      </c>
      <c r="I2039" s="23" t="e">
        <f>VLOOKUP(H2039,'合同综合查询数据（3月返）'!$A:$A,1,FALSE)</f>
        <v>#N/A</v>
      </c>
      <c r="J2039" s="99" t="s">
        <v>69</v>
      </c>
      <c r="K2039" s="16" t="s">
        <v>2704</v>
      </c>
      <c r="L2039" s="25"/>
      <c r="M2039" s="26"/>
      <c r="N2039" s="28">
        <v>44819</v>
      </c>
      <c r="O2039" s="28" t="s">
        <v>1759</v>
      </c>
      <c r="P2039" s="239">
        <v>342.767293997965</v>
      </c>
      <c r="Q2039" s="35">
        <v>196.6</v>
      </c>
      <c r="R2039" s="120">
        <f>ROUND(P2039*Q2039,2)</f>
        <v>67388.05</v>
      </c>
      <c r="S2039" s="117">
        <v>202303</v>
      </c>
      <c r="T2039" s="18" t="s">
        <v>2704</v>
      </c>
      <c r="U2039" s="18"/>
      <c r="V2039" s="243"/>
      <c r="W2039" s="243"/>
      <c r="X2039" s="118">
        <v>44812</v>
      </c>
      <c r="Y2039" s="118">
        <v>45260</v>
      </c>
    </row>
    <row r="2040" s="9" customFormat="1" customHeight="1" spans="1:25">
      <c r="A2040" s="16" t="s">
        <v>61</v>
      </c>
      <c r="B2040" s="98" t="s">
        <v>62</v>
      </c>
      <c r="C2040" s="17" t="s">
        <v>63</v>
      </c>
      <c r="D2040" s="96" t="s">
        <v>75</v>
      </c>
      <c r="E2040" s="18" t="s">
        <v>2440</v>
      </c>
      <c r="F2040" s="16" t="s">
        <v>2441</v>
      </c>
      <c r="G2040" s="99" t="s">
        <v>67</v>
      </c>
      <c r="H2040" s="19" t="s">
        <v>2697</v>
      </c>
      <c r="I2040" s="23" t="e">
        <f>VLOOKUP(H2040,'合同综合查询数据（3月返）'!$A:$A,1,FALSE)</f>
        <v>#N/A</v>
      </c>
      <c r="J2040" s="99" t="s">
        <v>69</v>
      </c>
      <c r="K2040" s="16" t="s">
        <v>2705</v>
      </c>
      <c r="L2040" s="25"/>
      <c r="M2040" s="26"/>
      <c r="N2040" s="28">
        <v>44812</v>
      </c>
      <c r="O2040" s="28" t="s">
        <v>1759</v>
      </c>
      <c r="P2040" s="239">
        <v>342.767391304348</v>
      </c>
      <c r="Q2040" s="35">
        <v>59.8</v>
      </c>
      <c r="R2040" s="120">
        <f>ROUND(P2040*Q2040,2)</f>
        <v>20497.49</v>
      </c>
      <c r="S2040" s="117">
        <v>202303</v>
      </c>
      <c r="T2040" s="18" t="s">
        <v>2705</v>
      </c>
      <c r="U2040" s="18"/>
      <c r="V2040" s="243"/>
      <c r="W2040" s="243"/>
      <c r="X2040" s="118">
        <v>44812</v>
      </c>
      <c r="Y2040" s="118">
        <v>45260</v>
      </c>
    </row>
    <row r="2041" s="9" customFormat="1" customHeight="1" spans="1:25">
      <c r="A2041" s="16" t="s">
        <v>61</v>
      </c>
      <c r="B2041" s="98" t="s">
        <v>62</v>
      </c>
      <c r="C2041" s="17" t="s">
        <v>63</v>
      </c>
      <c r="D2041" s="96" t="s">
        <v>75</v>
      </c>
      <c r="E2041" s="18" t="s">
        <v>2440</v>
      </c>
      <c r="F2041" s="16" t="s">
        <v>2441</v>
      </c>
      <c r="G2041" s="99" t="s">
        <v>67</v>
      </c>
      <c r="H2041" s="19" t="s">
        <v>2697</v>
      </c>
      <c r="I2041" s="23" t="e">
        <f>VLOOKUP(H2041,'合同综合查询数据（3月返）'!$A:$A,1,FALSE)</f>
        <v>#N/A</v>
      </c>
      <c r="J2041" s="99" t="s">
        <v>69</v>
      </c>
      <c r="K2041" s="16" t="s">
        <v>2706</v>
      </c>
      <c r="L2041" s="25"/>
      <c r="M2041" s="26"/>
      <c r="N2041" s="28">
        <v>44842</v>
      </c>
      <c r="O2041" s="28" t="s">
        <v>1759</v>
      </c>
      <c r="P2041" s="239">
        <v>361.512220916569</v>
      </c>
      <c r="Q2041" s="35">
        <v>425.5</v>
      </c>
      <c r="R2041" s="120">
        <f>ROUND(P2041*Q2041,2)+27421.38</f>
        <v>181244.83</v>
      </c>
      <c r="S2041" s="117">
        <v>202303</v>
      </c>
      <c r="T2041" s="248" t="s">
        <v>2707</v>
      </c>
      <c r="U2041" s="123"/>
      <c r="V2041" s="250"/>
      <c r="W2041" s="250"/>
      <c r="X2041" s="118">
        <v>44812</v>
      </c>
      <c r="Y2041" s="118">
        <v>45260</v>
      </c>
    </row>
    <row r="2042" s="9" customFormat="1" customHeight="1" spans="1:25">
      <c r="A2042" s="16" t="s">
        <v>61</v>
      </c>
      <c r="B2042" s="98" t="s">
        <v>62</v>
      </c>
      <c r="C2042" s="17" t="s">
        <v>63</v>
      </c>
      <c r="D2042" s="96" t="s">
        <v>75</v>
      </c>
      <c r="E2042" s="18" t="s">
        <v>2440</v>
      </c>
      <c r="F2042" s="16" t="s">
        <v>2441</v>
      </c>
      <c r="G2042" s="99" t="s">
        <v>67</v>
      </c>
      <c r="H2042" s="19" t="s">
        <v>2697</v>
      </c>
      <c r="I2042" s="23" t="e">
        <f>VLOOKUP(H2042,'合同综合查询数据（3月返）'!$A:$A,1,FALSE)</f>
        <v>#N/A</v>
      </c>
      <c r="J2042" s="99" t="s">
        <v>69</v>
      </c>
      <c r="K2042" s="16" t="s">
        <v>2708</v>
      </c>
      <c r="L2042" s="25"/>
      <c r="M2042" s="26"/>
      <c r="N2042" s="28">
        <v>44842</v>
      </c>
      <c r="O2042" s="28" t="s">
        <v>1759</v>
      </c>
      <c r="P2042" s="239">
        <v>9140.46</v>
      </c>
      <c r="Q2042" s="35">
        <v>1</v>
      </c>
      <c r="R2042" s="120">
        <f t="shared" ref="R2042:R2069" si="52">ROUND(P2042*Q2042,2)</f>
        <v>9140.46</v>
      </c>
      <c r="S2042" s="117">
        <v>202303</v>
      </c>
      <c r="T2042" s="248" t="s">
        <v>2708</v>
      </c>
      <c r="U2042" s="123"/>
      <c r="V2042" s="250"/>
      <c r="W2042" s="250"/>
      <c r="X2042" s="118">
        <v>44812</v>
      </c>
      <c r="Y2042" s="118">
        <v>45260</v>
      </c>
    </row>
    <row r="2043" s="9" customFormat="1" customHeight="1" spans="1:25">
      <c r="A2043" s="16" t="s">
        <v>61</v>
      </c>
      <c r="B2043" s="98" t="s">
        <v>62</v>
      </c>
      <c r="C2043" s="17" t="s">
        <v>63</v>
      </c>
      <c r="D2043" s="96" t="s">
        <v>75</v>
      </c>
      <c r="E2043" s="18" t="s">
        <v>2440</v>
      </c>
      <c r="F2043" s="16" t="s">
        <v>2441</v>
      </c>
      <c r="G2043" s="99" t="s">
        <v>67</v>
      </c>
      <c r="H2043" s="19" t="s">
        <v>2697</v>
      </c>
      <c r="I2043" s="23" t="e">
        <f>VLOOKUP(H2043,'合同综合查询数据（3月返）'!$A:$A,1,FALSE)</f>
        <v>#N/A</v>
      </c>
      <c r="J2043" s="99" t="s">
        <v>69</v>
      </c>
      <c r="K2043" s="16" t="s">
        <v>2709</v>
      </c>
      <c r="L2043" s="25"/>
      <c r="M2043" s="26"/>
      <c r="N2043" s="28">
        <v>44842</v>
      </c>
      <c r="O2043" s="28" t="s">
        <v>71</v>
      </c>
      <c r="P2043" s="239">
        <v>399.895294117647</v>
      </c>
      <c r="Q2043" s="35">
        <v>34</v>
      </c>
      <c r="R2043" s="120">
        <f t="shared" si="52"/>
        <v>13596.44</v>
      </c>
      <c r="S2043" s="117">
        <v>202303</v>
      </c>
      <c r="T2043" s="18" t="s">
        <v>2709</v>
      </c>
      <c r="U2043" s="18"/>
      <c r="V2043" s="243"/>
      <c r="W2043" s="243"/>
      <c r="X2043" s="118">
        <v>44812</v>
      </c>
      <c r="Y2043" s="118">
        <v>45260</v>
      </c>
    </row>
    <row r="2044" s="9" customFormat="1" customHeight="1" spans="1:25">
      <c r="A2044" s="16" t="s">
        <v>61</v>
      </c>
      <c r="B2044" s="98" t="s">
        <v>62</v>
      </c>
      <c r="C2044" s="17" t="s">
        <v>63</v>
      </c>
      <c r="D2044" s="96" t="s">
        <v>75</v>
      </c>
      <c r="E2044" s="18" t="s">
        <v>2440</v>
      </c>
      <c r="F2044" s="16" t="s">
        <v>2441</v>
      </c>
      <c r="G2044" s="99" t="s">
        <v>67</v>
      </c>
      <c r="H2044" s="19" t="s">
        <v>2697</v>
      </c>
      <c r="I2044" s="23" t="e">
        <f>VLOOKUP(H2044,'合同综合查询数据（3月返）'!$A:$A,1,FALSE)</f>
        <v>#N/A</v>
      </c>
      <c r="J2044" s="99" t="s">
        <v>69</v>
      </c>
      <c r="K2044" s="16" t="s">
        <v>2680</v>
      </c>
      <c r="L2044" s="25"/>
      <c r="M2044" s="26"/>
      <c r="N2044" s="28">
        <v>44842</v>
      </c>
      <c r="O2044" s="28" t="s">
        <v>71</v>
      </c>
      <c r="P2044" s="239">
        <v>399.894736842105</v>
      </c>
      <c r="Q2044" s="35">
        <v>3.8</v>
      </c>
      <c r="R2044" s="120">
        <f t="shared" si="52"/>
        <v>1519.6</v>
      </c>
      <c r="S2044" s="117">
        <v>202303</v>
      </c>
      <c r="T2044" s="18" t="s">
        <v>2680</v>
      </c>
      <c r="U2044" s="18"/>
      <c r="V2044" s="243"/>
      <c r="W2044" s="243"/>
      <c r="X2044" s="118">
        <v>44812</v>
      </c>
      <c r="Y2044" s="118">
        <v>45260</v>
      </c>
    </row>
    <row r="2045" s="9" customFormat="1" customHeight="1" spans="1:25">
      <c r="A2045" s="94" t="s">
        <v>61</v>
      </c>
      <c r="B2045" s="98" t="s">
        <v>62</v>
      </c>
      <c r="C2045" s="94" t="s">
        <v>217</v>
      </c>
      <c r="D2045" s="96" t="s">
        <v>85</v>
      </c>
      <c r="E2045" s="18" t="s">
        <v>2710</v>
      </c>
      <c r="F2045" s="16" t="s">
        <v>2711</v>
      </c>
      <c r="G2045" s="109" t="s">
        <v>88</v>
      </c>
      <c r="H2045" s="100" t="s">
        <v>2712</v>
      </c>
      <c r="I2045" s="23" t="str">
        <f>VLOOKUP(H2045,'合同综合查询数据（3月返）'!$A:$A,1,FALSE)</f>
        <v>182315IDC00074</v>
      </c>
      <c r="J2045" s="152" t="s">
        <v>456</v>
      </c>
      <c r="K2045" s="109" t="s">
        <v>2713</v>
      </c>
      <c r="L2045" s="109"/>
      <c r="M2045" s="26" t="s">
        <v>2714</v>
      </c>
      <c r="N2045" s="28">
        <v>44774</v>
      </c>
      <c r="O2045" s="109" t="s">
        <v>461</v>
      </c>
      <c r="P2045" s="110">
        <v>8200</v>
      </c>
      <c r="Q2045" s="110">
        <v>23</v>
      </c>
      <c r="R2045" s="120">
        <f t="shared" si="52"/>
        <v>188600</v>
      </c>
      <c r="S2045" s="233">
        <v>202303</v>
      </c>
      <c r="T2045" s="121" t="s">
        <v>2715</v>
      </c>
      <c r="U2045" s="108"/>
      <c r="V2045" s="122"/>
      <c r="W2045" s="122"/>
      <c r="X2045" s="118">
        <v>44774</v>
      </c>
      <c r="Y2045" s="118">
        <v>46599</v>
      </c>
    </row>
    <row r="2046" s="9" customFormat="1" customHeight="1" spans="1:25">
      <c r="A2046" s="94" t="s">
        <v>61</v>
      </c>
      <c r="B2046" s="98" t="s">
        <v>62</v>
      </c>
      <c r="C2046" s="94" t="s">
        <v>217</v>
      </c>
      <c r="D2046" s="96" t="s">
        <v>85</v>
      </c>
      <c r="E2046" s="18" t="s">
        <v>2710</v>
      </c>
      <c r="F2046" s="16" t="s">
        <v>2711</v>
      </c>
      <c r="G2046" s="109" t="s">
        <v>88</v>
      </c>
      <c r="H2046" s="100" t="s">
        <v>2712</v>
      </c>
      <c r="I2046" s="23" t="str">
        <f>VLOOKUP(H2046,'合同综合查询数据（3月返）'!$A:$A,1,FALSE)</f>
        <v>182315IDC00074</v>
      </c>
      <c r="J2046" s="152" t="s">
        <v>90</v>
      </c>
      <c r="K2046" s="109" t="s">
        <v>2713</v>
      </c>
      <c r="L2046" s="109"/>
      <c r="M2046" s="26" t="s">
        <v>2714</v>
      </c>
      <c r="N2046" s="28">
        <v>44774</v>
      </c>
      <c r="O2046" s="109" t="s">
        <v>545</v>
      </c>
      <c r="P2046" s="110">
        <v>0</v>
      </c>
      <c r="Q2046" s="110">
        <v>2</v>
      </c>
      <c r="R2046" s="120">
        <f t="shared" si="52"/>
        <v>0</v>
      </c>
      <c r="S2046" s="233">
        <v>202303</v>
      </c>
      <c r="T2046" s="121" t="s">
        <v>2716</v>
      </c>
      <c r="U2046" s="108"/>
      <c r="V2046" s="122"/>
      <c r="W2046" s="122"/>
      <c r="X2046" s="118">
        <v>44774</v>
      </c>
      <c r="Y2046" s="118">
        <v>46599</v>
      </c>
    </row>
    <row r="2047" s="9" customFormat="1" customHeight="1" spans="1:25">
      <c r="A2047" s="94" t="s">
        <v>61</v>
      </c>
      <c r="B2047" s="98" t="s">
        <v>62</v>
      </c>
      <c r="C2047" s="94" t="s">
        <v>217</v>
      </c>
      <c r="D2047" s="96" t="s">
        <v>85</v>
      </c>
      <c r="E2047" s="18" t="s">
        <v>2710</v>
      </c>
      <c r="F2047" s="16" t="s">
        <v>2711</v>
      </c>
      <c r="G2047" s="109" t="s">
        <v>88</v>
      </c>
      <c r="H2047" s="100" t="s">
        <v>2712</v>
      </c>
      <c r="I2047" s="23" t="str">
        <f>VLOOKUP(H2047,'合同综合查询数据（3月返）'!$A:$A,1,FALSE)</f>
        <v>182315IDC00074</v>
      </c>
      <c r="J2047" s="152" t="s">
        <v>456</v>
      </c>
      <c r="K2047" s="109" t="s">
        <v>2713</v>
      </c>
      <c r="L2047" s="109"/>
      <c r="M2047" s="26" t="s">
        <v>2714</v>
      </c>
      <c r="N2047" s="28">
        <v>44774</v>
      </c>
      <c r="O2047" s="109" t="s">
        <v>457</v>
      </c>
      <c r="P2047" s="110">
        <v>4100</v>
      </c>
      <c r="Q2047" s="110">
        <v>1</v>
      </c>
      <c r="R2047" s="120">
        <f t="shared" si="52"/>
        <v>4100</v>
      </c>
      <c r="S2047" s="233">
        <v>202303</v>
      </c>
      <c r="T2047" s="121" t="s">
        <v>2717</v>
      </c>
      <c r="U2047" s="108"/>
      <c r="V2047" s="122"/>
      <c r="W2047" s="122"/>
      <c r="X2047" s="118">
        <v>44774</v>
      </c>
      <c r="Y2047" s="118">
        <v>46599</v>
      </c>
    </row>
    <row r="2048" s="9" customFormat="1" customHeight="1" spans="1:25">
      <c r="A2048" s="94" t="s">
        <v>61</v>
      </c>
      <c r="B2048" s="98" t="s">
        <v>62</v>
      </c>
      <c r="C2048" s="94" t="s">
        <v>217</v>
      </c>
      <c r="D2048" s="96" t="s">
        <v>85</v>
      </c>
      <c r="E2048" s="18" t="s">
        <v>2710</v>
      </c>
      <c r="F2048" s="16" t="s">
        <v>2711</v>
      </c>
      <c r="G2048" s="109" t="s">
        <v>88</v>
      </c>
      <c r="H2048" s="100" t="s">
        <v>2712</v>
      </c>
      <c r="I2048" s="23" t="str">
        <f>VLOOKUP(H2048,'合同综合查询数据（3月返）'!$A:$A,1,FALSE)</f>
        <v>182315IDC00074</v>
      </c>
      <c r="J2048" s="152" t="s">
        <v>456</v>
      </c>
      <c r="K2048" s="109" t="s">
        <v>2713</v>
      </c>
      <c r="L2048" s="109"/>
      <c r="M2048" s="26" t="s">
        <v>2714</v>
      </c>
      <c r="N2048" s="28">
        <v>44781</v>
      </c>
      <c r="O2048" s="109" t="s">
        <v>461</v>
      </c>
      <c r="P2048" s="110">
        <v>8200</v>
      </c>
      <c r="Q2048" s="110">
        <f>38-12</f>
        <v>26</v>
      </c>
      <c r="R2048" s="120">
        <f t="shared" si="52"/>
        <v>213200</v>
      </c>
      <c r="S2048" s="233">
        <v>202303</v>
      </c>
      <c r="T2048" s="121" t="s">
        <v>2718</v>
      </c>
      <c r="U2048" s="108"/>
      <c r="V2048" s="122"/>
      <c r="W2048" s="122"/>
      <c r="X2048" s="118">
        <v>44774</v>
      </c>
      <c r="Y2048" s="118">
        <v>46599</v>
      </c>
    </row>
    <row r="2049" s="9" customFormat="1" customHeight="1" spans="1:25">
      <c r="A2049" s="94" t="s">
        <v>61</v>
      </c>
      <c r="B2049" s="98" t="s">
        <v>62</v>
      </c>
      <c r="C2049" s="94" t="s">
        <v>217</v>
      </c>
      <c r="D2049" s="96" t="s">
        <v>85</v>
      </c>
      <c r="E2049" s="18" t="s">
        <v>2710</v>
      </c>
      <c r="F2049" s="16" t="s">
        <v>2711</v>
      </c>
      <c r="G2049" s="109" t="s">
        <v>88</v>
      </c>
      <c r="H2049" s="100" t="s">
        <v>2712</v>
      </c>
      <c r="I2049" s="23" t="str">
        <f>VLOOKUP(H2049,'合同综合查询数据（3月返）'!$A:$A,1,FALSE)</f>
        <v>182315IDC00074</v>
      </c>
      <c r="J2049" s="152" t="s">
        <v>456</v>
      </c>
      <c r="K2049" s="109" t="s">
        <v>2713</v>
      </c>
      <c r="L2049" s="109"/>
      <c r="M2049" s="26" t="s">
        <v>2714</v>
      </c>
      <c r="N2049" s="28">
        <v>44781</v>
      </c>
      <c r="O2049" s="109" t="s">
        <v>574</v>
      </c>
      <c r="P2049" s="110">
        <v>15841</v>
      </c>
      <c r="Q2049" s="110">
        <v>12</v>
      </c>
      <c r="R2049" s="120">
        <f t="shared" si="52"/>
        <v>190092</v>
      </c>
      <c r="S2049" s="233">
        <v>202303</v>
      </c>
      <c r="T2049" s="121" t="s">
        <v>2719</v>
      </c>
      <c r="U2049" s="108"/>
      <c r="V2049" s="122"/>
      <c r="W2049" s="122"/>
      <c r="X2049" s="118">
        <v>44774</v>
      </c>
      <c r="Y2049" s="118">
        <v>46599</v>
      </c>
    </row>
    <row r="2050" s="9" customFormat="1" customHeight="1" spans="1:25">
      <c r="A2050" s="94" t="s">
        <v>61</v>
      </c>
      <c r="B2050" s="98" t="s">
        <v>62</v>
      </c>
      <c r="C2050" s="94" t="s">
        <v>217</v>
      </c>
      <c r="D2050" s="96" t="s">
        <v>85</v>
      </c>
      <c r="E2050" s="18" t="s">
        <v>2710</v>
      </c>
      <c r="F2050" s="16" t="s">
        <v>2711</v>
      </c>
      <c r="G2050" s="109" t="s">
        <v>88</v>
      </c>
      <c r="H2050" s="100" t="s">
        <v>2712</v>
      </c>
      <c r="I2050" s="23" t="str">
        <f>VLOOKUP(H2050,'合同综合查询数据（3月返）'!$A:$A,1,FALSE)</f>
        <v>182315IDC00074</v>
      </c>
      <c r="J2050" s="152" t="s">
        <v>456</v>
      </c>
      <c r="K2050" s="109" t="s">
        <v>2713</v>
      </c>
      <c r="L2050" s="109"/>
      <c r="M2050" s="26" t="s">
        <v>2714</v>
      </c>
      <c r="N2050" s="28">
        <v>44788</v>
      </c>
      <c r="O2050" s="109" t="s">
        <v>461</v>
      </c>
      <c r="P2050" s="110">
        <v>8200</v>
      </c>
      <c r="Q2050" s="110">
        <v>8</v>
      </c>
      <c r="R2050" s="120">
        <f t="shared" si="52"/>
        <v>65600</v>
      </c>
      <c r="S2050" s="233">
        <v>202303</v>
      </c>
      <c r="T2050" s="121" t="s">
        <v>2720</v>
      </c>
      <c r="U2050" s="108"/>
      <c r="V2050" s="122"/>
      <c r="W2050" s="122"/>
      <c r="X2050" s="118">
        <v>44774</v>
      </c>
      <c r="Y2050" s="118">
        <v>46599</v>
      </c>
    </row>
    <row r="2051" s="9" customFormat="1" customHeight="1" spans="1:25">
      <c r="A2051" s="94" t="s">
        <v>61</v>
      </c>
      <c r="B2051" s="98" t="s">
        <v>62</v>
      </c>
      <c r="C2051" s="94" t="s">
        <v>217</v>
      </c>
      <c r="D2051" s="96" t="s">
        <v>85</v>
      </c>
      <c r="E2051" s="18" t="s">
        <v>2710</v>
      </c>
      <c r="F2051" s="16" t="s">
        <v>2711</v>
      </c>
      <c r="G2051" s="109" t="s">
        <v>88</v>
      </c>
      <c r="H2051" s="100" t="s">
        <v>2712</v>
      </c>
      <c r="I2051" s="23" t="str">
        <f>VLOOKUP(H2051,'合同综合查询数据（3月返）'!$A:$A,1,FALSE)</f>
        <v>182315IDC00074</v>
      </c>
      <c r="J2051" s="152" t="s">
        <v>456</v>
      </c>
      <c r="K2051" s="109" t="s">
        <v>2713</v>
      </c>
      <c r="L2051" s="109"/>
      <c r="M2051" s="26" t="s">
        <v>2714</v>
      </c>
      <c r="N2051" s="28">
        <v>44791</v>
      </c>
      <c r="O2051" s="109" t="s">
        <v>461</v>
      </c>
      <c r="P2051" s="110">
        <v>8200</v>
      </c>
      <c r="Q2051" s="110">
        <v>20</v>
      </c>
      <c r="R2051" s="120">
        <f t="shared" si="52"/>
        <v>164000</v>
      </c>
      <c r="S2051" s="233">
        <v>202303</v>
      </c>
      <c r="T2051" s="121" t="s">
        <v>2721</v>
      </c>
      <c r="U2051" s="108"/>
      <c r="V2051" s="122"/>
      <c r="W2051" s="122"/>
      <c r="X2051" s="118">
        <v>44774</v>
      </c>
      <c r="Y2051" s="118">
        <v>46599</v>
      </c>
    </row>
    <row r="2052" s="9" customFormat="1" customHeight="1" spans="1:25">
      <c r="A2052" s="94" t="s">
        <v>61</v>
      </c>
      <c r="B2052" s="98" t="s">
        <v>62</v>
      </c>
      <c r="C2052" s="94" t="s">
        <v>217</v>
      </c>
      <c r="D2052" s="96" t="s">
        <v>85</v>
      </c>
      <c r="E2052" s="18" t="s">
        <v>2710</v>
      </c>
      <c r="F2052" s="16" t="s">
        <v>2711</v>
      </c>
      <c r="G2052" s="109" t="s">
        <v>88</v>
      </c>
      <c r="H2052" s="100" t="s">
        <v>2712</v>
      </c>
      <c r="I2052" s="23" t="str">
        <f>VLOOKUP(H2052,'合同综合查询数据（3月返）'!$A:$A,1,FALSE)</f>
        <v>182315IDC00074</v>
      </c>
      <c r="J2052" s="99" t="s">
        <v>90</v>
      </c>
      <c r="K2052" s="109" t="s">
        <v>2713</v>
      </c>
      <c r="L2052" s="109"/>
      <c r="M2052" s="26" t="s">
        <v>2714</v>
      </c>
      <c r="N2052" s="28">
        <v>44825</v>
      </c>
      <c r="O2052" s="109" t="s">
        <v>461</v>
      </c>
      <c r="P2052" s="110">
        <v>8200</v>
      </c>
      <c r="Q2052" s="110">
        <v>5</v>
      </c>
      <c r="R2052" s="120">
        <f t="shared" si="52"/>
        <v>41000</v>
      </c>
      <c r="S2052" s="233">
        <v>202303</v>
      </c>
      <c r="T2052" s="121" t="s">
        <v>2722</v>
      </c>
      <c r="U2052" s="108"/>
      <c r="V2052" s="122"/>
      <c r="W2052" s="122"/>
      <c r="X2052" s="118">
        <v>44774</v>
      </c>
      <c r="Y2052" s="118">
        <v>46599</v>
      </c>
    </row>
    <row r="2053" s="9" customFormat="1" customHeight="1" spans="1:25">
      <c r="A2053" s="94" t="s">
        <v>61</v>
      </c>
      <c r="B2053" s="98" t="s">
        <v>62</v>
      </c>
      <c r="C2053" s="94" t="s">
        <v>217</v>
      </c>
      <c r="D2053" s="96" t="s">
        <v>85</v>
      </c>
      <c r="E2053" s="18" t="s">
        <v>2710</v>
      </c>
      <c r="F2053" s="16" t="s">
        <v>2711</v>
      </c>
      <c r="G2053" s="109" t="s">
        <v>88</v>
      </c>
      <c r="H2053" s="100" t="s">
        <v>2712</v>
      </c>
      <c r="I2053" s="23" t="str">
        <f>VLOOKUP(H2053,'合同综合查询数据（3月返）'!$A:$A,1,FALSE)</f>
        <v>182315IDC00074</v>
      </c>
      <c r="J2053" s="99" t="s">
        <v>90</v>
      </c>
      <c r="K2053" s="109" t="s">
        <v>2713</v>
      </c>
      <c r="L2053" s="109"/>
      <c r="M2053" s="26" t="s">
        <v>2714</v>
      </c>
      <c r="N2053" s="28">
        <v>44843</v>
      </c>
      <c r="O2053" s="109" t="s">
        <v>461</v>
      </c>
      <c r="P2053" s="110">
        <v>8200</v>
      </c>
      <c r="Q2053" s="110">
        <v>2</v>
      </c>
      <c r="R2053" s="120">
        <f t="shared" si="52"/>
        <v>16400</v>
      </c>
      <c r="S2053" s="233">
        <v>202303</v>
      </c>
      <c r="T2053" s="121" t="s">
        <v>2723</v>
      </c>
      <c r="U2053" s="108"/>
      <c r="V2053" s="122"/>
      <c r="W2053" s="122"/>
      <c r="X2053" s="118">
        <v>44774</v>
      </c>
      <c r="Y2053" s="118">
        <v>46599</v>
      </c>
    </row>
    <row r="2054" s="9" customFormat="1" customHeight="1" spans="1:25">
      <c r="A2054" s="94" t="s">
        <v>61</v>
      </c>
      <c r="B2054" s="98" t="s">
        <v>62</v>
      </c>
      <c r="C2054" s="94" t="s">
        <v>217</v>
      </c>
      <c r="D2054" s="96" t="s">
        <v>85</v>
      </c>
      <c r="E2054" s="18" t="s">
        <v>2710</v>
      </c>
      <c r="F2054" s="16" t="s">
        <v>2711</v>
      </c>
      <c r="G2054" s="109" t="s">
        <v>88</v>
      </c>
      <c r="H2054" s="100" t="s">
        <v>2712</v>
      </c>
      <c r="I2054" s="23" t="str">
        <f>VLOOKUP(H2054,'合同综合查询数据（3月返）'!$A:$A,1,FALSE)</f>
        <v>182315IDC00074</v>
      </c>
      <c r="J2054" s="99" t="s">
        <v>90</v>
      </c>
      <c r="K2054" s="109" t="s">
        <v>2713</v>
      </c>
      <c r="L2054" s="109"/>
      <c r="M2054" s="26" t="s">
        <v>2714</v>
      </c>
      <c r="N2054" s="28">
        <v>44845</v>
      </c>
      <c r="O2054" s="109" t="s">
        <v>461</v>
      </c>
      <c r="P2054" s="110">
        <v>8200</v>
      </c>
      <c r="Q2054" s="110">
        <v>4</v>
      </c>
      <c r="R2054" s="120">
        <f t="shared" si="52"/>
        <v>32800</v>
      </c>
      <c r="S2054" s="233">
        <v>202303</v>
      </c>
      <c r="T2054" s="121" t="s">
        <v>2724</v>
      </c>
      <c r="U2054" s="108"/>
      <c r="V2054" s="122"/>
      <c r="W2054" s="122"/>
      <c r="X2054" s="118">
        <v>44774</v>
      </c>
      <c r="Y2054" s="118">
        <v>46599</v>
      </c>
    </row>
    <row r="2055" s="9" customFormat="1" customHeight="1" spans="1:25">
      <c r="A2055" s="94" t="s">
        <v>61</v>
      </c>
      <c r="B2055" s="98" t="s">
        <v>62</v>
      </c>
      <c r="C2055" s="94" t="s">
        <v>217</v>
      </c>
      <c r="D2055" s="96" t="s">
        <v>85</v>
      </c>
      <c r="E2055" s="18" t="s">
        <v>2710</v>
      </c>
      <c r="F2055" s="16" t="s">
        <v>2711</v>
      </c>
      <c r="G2055" s="109" t="s">
        <v>88</v>
      </c>
      <c r="H2055" s="100" t="s">
        <v>2712</v>
      </c>
      <c r="I2055" s="23" t="str">
        <f>VLOOKUP(H2055,'合同综合查询数据（3月返）'!$A:$A,1,FALSE)</f>
        <v>182315IDC00074</v>
      </c>
      <c r="J2055" s="99" t="s">
        <v>90</v>
      </c>
      <c r="K2055" s="109" t="s">
        <v>2713</v>
      </c>
      <c r="L2055" s="109"/>
      <c r="M2055" s="26" t="s">
        <v>2714</v>
      </c>
      <c r="N2055" s="28">
        <v>44858</v>
      </c>
      <c r="O2055" s="109" t="s">
        <v>461</v>
      </c>
      <c r="P2055" s="110">
        <v>8200</v>
      </c>
      <c r="Q2055" s="110">
        <v>2</v>
      </c>
      <c r="R2055" s="120">
        <f t="shared" si="52"/>
        <v>16400</v>
      </c>
      <c r="S2055" s="233">
        <v>202303</v>
      </c>
      <c r="T2055" s="121" t="s">
        <v>2725</v>
      </c>
      <c r="U2055" s="108"/>
      <c r="V2055" s="122"/>
      <c r="W2055" s="122"/>
      <c r="X2055" s="118">
        <v>44774</v>
      </c>
      <c r="Y2055" s="118">
        <v>46599</v>
      </c>
    </row>
    <row r="2056" s="9" customFormat="1" customHeight="1" spans="1:25">
      <c r="A2056" s="94" t="s">
        <v>61</v>
      </c>
      <c r="B2056" s="98" t="s">
        <v>62</v>
      </c>
      <c r="C2056" s="94" t="s">
        <v>217</v>
      </c>
      <c r="D2056" s="96" t="s">
        <v>85</v>
      </c>
      <c r="E2056" s="18" t="s">
        <v>2710</v>
      </c>
      <c r="F2056" s="16" t="s">
        <v>2711</v>
      </c>
      <c r="G2056" s="109" t="s">
        <v>88</v>
      </c>
      <c r="H2056" s="100" t="s">
        <v>2712</v>
      </c>
      <c r="I2056" s="23" t="str">
        <f>VLOOKUP(H2056,'合同综合查询数据（3月返）'!$A:$A,1,FALSE)</f>
        <v>182315IDC00074</v>
      </c>
      <c r="J2056" s="99" t="s">
        <v>90</v>
      </c>
      <c r="K2056" s="109" t="s">
        <v>2713</v>
      </c>
      <c r="L2056" s="109"/>
      <c r="M2056" s="26" t="s">
        <v>2714</v>
      </c>
      <c r="N2056" s="28">
        <v>44865</v>
      </c>
      <c r="O2056" s="109" t="s">
        <v>461</v>
      </c>
      <c r="P2056" s="110">
        <v>8200</v>
      </c>
      <c r="Q2056" s="110">
        <v>6</v>
      </c>
      <c r="R2056" s="120">
        <f t="shared" si="52"/>
        <v>49200</v>
      </c>
      <c r="S2056" s="233">
        <v>202303</v>
      </c>
      <c r="T2056" s="121" t="s">
        <v>2726</v>
      </c>
      <c r="U2056" s="108"/>
      <c r="V2056" s="122"/>
      <c r="W2056" s="122"/>
      <c r="X2056" s="118">
        <v>44774</v>
      </c>
      <c r="Y2056" s="118">
        <v>46599</v>
      </c>
    </row>
    <row r="2057" s="9" customFormat="1" customHeight="1" spans="1:25">
      <c r="A2057" s="94" t="s">
        <v>61</v>
      </c>
      <c r="B2057" s="98" t="s">
        <v>62</v>
      </c>
      <c r="C2057" s="94" t="s">
        <v>217</v>
      </c>
      <c r="D2057" s="96" t="s">
        <v>85</v>
      </c>
      <c r="E2057" s="18" t="s">
        <v>2710</v>
      </c>
      <c r="F2057" s="16" t="s">
        <v>2711</v>
      </c>
      <c r="G2057" s="109" t="s">
        <v>88</v>
      </c>
      <c r="H2057" s="100" t="s">
        <v>2712</v>
      </c>
      <c r="I2057" s="23" t="str">
        <f>VLOOKUP(H2057,'合同综合查询数据（3月返）'!$A:$A,1,FALSE)</f>
        <v>182315IDC00074</v>
      </c>
      <c r="J2057" s="99" t="s">
        <v>90</v>
      </c>
      <c r="K2057" s="109" t="s">
        <v>2713</v>
      </c>
      <c r="L2057" s="109"/>
      <c r="M2057" s="26" t="s">
        <v>2714</v>
      </c>
      <c r="N2057" s="28">
        <v>44831</v>
      </c>
      <c r="O2057" s="109" t="s">
        <v>461</v>
      </c>
      <c r="P2057" s="110">
        <v>8200</v>
      </c>
      <c r="Q2057" s="110">
        <v>12</v>
      </c>
      <c r="R2057" s="120">
        <f t="shared" si="52"/>
        <v>98400</v>
      </c>
      <c r="S2057" s="233">
        <v>202303</v>
      </c>
      <c r="T2057" s="157" t="s">
        <v>2727</v>
      </c>
      <c r="U2057" s="108"/>
      <c r="V2057" s="122"/>
      <c r="W2057" s="122"/>
      <c r="X2057" s="118">
        <v>44774</v>
      </c>
      <c r="Y2057" s="118">
        <v>46599</v>
      </c>
    </row>
    <row r="2058" s="9" customFormat="1" customHeight="1" spans="1:25">
      <c r="A2058" s="94" t="s">
        <v>61</v>
      </c>
      <c r="B2058" s="98" t="s">
        <v>62</v>
      </c>
      <c r="C2058" s="94" t="s">
        <v>217</v>
      </c>
      <c r="D2058" s="96" t="s">
        <v>85</v>
      </c>
      <c r="E2058" s="18" t="s">
        <v>2710</v>
      </c>
      <c r="F2058" s="16" t="s">
        <v>2711</v>
      </c>
      <c r="G2058" s="109" t="s">
        <v>88</v>
      </c>
      <c r="H2058" s="100" t="s">
        <v>2712</v>
      </c>
      <c r="I2058" s="23" t="str">
        <f>VLOOKUP(H2058,'合同综合查询数据（3月返）'!$A:$A,1,FALSE)</f>
        <v>182315IDC00074</v>
      </c>
      <c r="J2058" s="99" t="s">
        <v>90</v>
      </c>
      <c r="K2058" s="109" t="s">
        <v>2713</v>
      </c>
      <c r="L2058" s="109"/>
      <c r="M2058" s="26" t="s">
        <v>2714</v>
      </c>
      <c r="N2058" s="28">
        <v>44866</v>
      </c>
      <c r="O2058" s="109" t="s">
        <v>461</v>
      </c>
      <c r="P2058" s="110">
        <v>8200</v>
      </c>
      <c r="Q2058" s="110">
        <v>2</v>
      </c>
      <c r="R2058" s="120">
        <f t="shared" si="52"/>
        <v>16400</v>
      </c>
      <c r="S2058" s="233">
        <v>202303</v>
      </c>
      <c r="T2058" s="157" t="s">
        <v>2728</v>
      </c>
      <c r="U2058" s="108"/>
      <c r="V2058" s="122"/>
      <c r="W2058" s="122"/>
      <c r="X2058" s="118">
        <v>44774</v>
      </c>
      <c r="Y2058" s="118">
        <v>46599</v>
      </c>
    </row>
    <row r="2059" s="9" customFormat="1" customHeight="1" spans="1:25">
      <c r="A2059" s="94" t="s">
        <v>61</v>
      </c>
      <c r="B2059" s="98" t="s">
        <v>62</v>
      </c>
      <c r="C2059" s="94" t="s">
        <v>217</v>
      </c>
      <c r="D2059" s="96" t="s">
        <v>85</v>
      </c>
      <c r="E2059" s="18" t="s">
        <v>2710</v>
      </c>
      <c r="F2059" s="16" t="s">
        <v>2711</v>
      </c>
      <c r="G2059" s="109" t="s">
        <v>88</v>
      </c>
      <c r="H2059" s="100" t="s">
        <v>2712</v>
      </c>
      <c r="I2059" s="23" t="str">
        <f>VLOOKUP(H2059,'合同综合查询数据（3月返）'!$A:$A,1,FALSE)</f>
        <v>182315IDC00074</v>
      </c>
      <c r="J2059" s="99" t="s">
        <v>90</v>
      </c>
      <c r="K2059" s="109" t="s">
        <v>2713</v>
      </c>
      <c r="L2059" s="109"/>
      <c r="M2059" s="26" t="s">
        <v>2714</v>
      </c>
      <c r="N2059" s="28">
        <v>44872</v>
      </c>
      <c r="O2059" s="109" t="s">
        <v>461</v>
      </c>
      <c r="P2059" s="110">
        <v>8200</v>
      </c>
      <c r="Q2059" s="110">
        <v>4</v>
      </c>
      <c r="R2059" s="120">
        <f t="shared" si="52"/>
        <v>32800</v>
      </c>
      <c r="S2059" s="233">
        <v>202303</v>
      </c>
      <c r="T2059" s="157" t="s">
        <v>2729</v>
      </c>
      <c r="U2059" s="108"/>
      <c r="V2059" s="122"/>
      <c r="W2059" s="122"/>
      <c r="X2059" s="118">
        <v>44774</v>
      </c>
      <c r="Y2059" s="118">
        <v>46599</v>
      </c>
    </row>
    <row r="2060" s="9" customFormat="1" customHeight="1" spans="1:25">
      <c r="A2060" s="94" t="s">
        <v>61</v>
      </c>
      <c r="B2060" s="98" t="s">
        <v>62</v>
      </c>
      <c r="C2060" s="94" t="s">
        <v>217</v>
      </c>
      <c r="D2060" s="96" t="s">
        <v>85</v>
      </c>
      <c r="E2060" s="18" t="s">
        <v>2710</v>
      </c>
      <c r="F2060" s="16" t="s">
        <v>2711</v>
      </c>
      <c r="G2060" s="109" t="s">
        <v>88</v>
      </c>
      <c r="H2060" s="100" t="s">
        <v>2712</v>
      </c>
      <c r="I2060" s="23" t="str">
        <f>VLOOKUP(H2060,'合同综合查询数据（3月返）'!$A:$A,1,FALSE)</f>
        <v>182315IDC00074</v>
      </c>
      <c r="J2060" s="99" t="s">
        <v>90</v>
      </c>
      <c r="K2060" s="109" t="s">
        <v>2713</v>
      </c>
      <c r="L2060" s="109"/>
      <c r="M2060" s="26" t="s">
        <v>2714</v>
      </c>
      <c r="N2060" s="28">
        <v>44880</v>
      </c>
      <c r="O2060" s="109" t="s">
        <v>461</v>
      </c>
      <c r="P2060" s="110">
        <v>8200</v>
      </c>
      <c r="Q2060" s="110">
        <v>8</v>
      </c>
      <c r="R2060" s="120">
        <f t="shared" si="52"/>
        <v>65600</v>
      </c>
      <c r="S2060" s="233">
        <v>202303</v>
      </c>
      <c r="T2060" s="157" t="s">
        <v>2730</v>
      </c>
      <c r="U2060" s="108"/>
      <c r="V2060" s="122"/>
      <c r="W2060" s="122"/>
      <c r="X2060" s="118">
        <v>44774</v>
      </c>
      <c r="Y2060" s="118">
        <v>46599</v>
      </c>
    </row>
    <row r="2061" s="9" customFormat="1" customHeight="1" spans="1:25">
      <c r="A2061" s="94" t="s">
        <v>61</v>
      </c>
      <c r="B2061" s="98" t="s">
        <v>62</v>
      </c>
      <c r="C2061" s="94" t="s">
        <v>217</v>
      </c>
      <c r="D2061" s="96" t="s">
        <v>85</v>
      </c>
      <c r="E2061" s="18" t="s">
        <v>2710</v>
      </c>
      <c r="F2061" s="16" t="s">
        <v>2711</v>
      </c>
      <c r="G2061" s="109" t="s">
        <v>88</v>
      </c>
      <c r="H2061" s="100" t="s">
        <v>2712</v>
      </c>
      <c r="I2061" s="23" t="str">
        <f>VLOOKUP(H2061,'合同综合查询数据（3月返）'!$A:$A,1,FALSE)</f>
        <v>182315IDC00074</v>
      </c>
      <c r="J2061" s="99" t="s">
        <v>90</v>
      </c>
      <c r="K2061" s="109" t="s">
        <v>2713</v>
      </c>
      <c r="L2061" s="109"/>
      <c r="M2061" s="26" t="s">
        <v>2731</v>
      </c>
      <c r="N2061" s="28">
        <v>44914</v>
      </c>
      <c r="O2061" s="109" t="s">
        <v>461</v>
      </c>
      <c r="P2061" s="110">
        <v>8200</v>
      </c>
      <c r="Q2061" s="110">
        <v>22</v>
      </c>
      <c r="R2061" s="120">
        <f t="shared" si="52"/>
        <v>180400</v>
      </c>
      <c r="S2061" s="233">
        <v>202303</v>
      </c>
      <c r="T2061" s="157" t="s">
        <v>2732</v>
      </c>
      <c r="U2061" s="108"/>
      <c r="V2061" s="122"/>
      <c r="W2061" s="122"/>
      <c r="X2061" s="118">
        <v>44774</v>
      </c>
      <c r="Y2061" s="118">
        <v>46599</v>
      </c>
    </row>
    <row r="2062" s="9" customFormat="1" customHeight="1" spans="1:25">
      <c r="A2062" s="94" t="s">
        <v>61</v>
      </c>
      <c r="B2062" s="98" t="s">
        <v>62</v>
      </c>
      <c r="C2062" s="94" t="s">
        <v>217</v>
      </c>
      <c r="D2062" s="96" t="s">
        <v>85</v>
      </c>
      <c r="E2062" s="18" t="s">
        <v>2710</v>
      </c>
      <c r="F2062" s="16" t="s">
        <v>2711</v>
      </c>
      <c r="G2062" s="109" t="s">
        <v>88</v>
      </c>
      <c r="H2062" s="100" t="s">
        <v>2712</v>
      </c>
      <c r="I2062" s="23" t="str">
        <f>VLOOKUP(H2062,'合同综合查询数据（3月返）'!$A:$A,1,FALSE)</f>
        <v>182315IDC00074</v>
      </c>
      <c r="J2062" s="99" t="s">
        <v>90</v>
      </c>
      <c r="K2062" s="109" t="s">
        <v>2713</v>
      </c>
      <c r="L2062" s="109"/>
      <c r="M2062" s="26" t="s">
        <v>2731</v>
      </c>
      <c r="N2062" s="28">
        <v>44921</v>
      </c>
      <c r="O2062" s="109" t="s">
        <v>461</v>
      </c>
      <c r="P2062" s="110">
        <v>8200</v>
      </c>
      <c r="Q2062" s="110">
        <v>10</v>
      </c>
      <c r="R2062" s="120">
        <f t="shared" si="52"/>
        <v>82000</v>
      </c>
      <c r="S2062" s="233">
        <v>202303</v>
      </c>
      <c r="T2062" s="157" t="s">
        <v>2733</v>
      </c>
      <c r="U2062" s="108"/>
      <c r="V2062" s="122"/>
      <c r="W2062" s="122"/>
      <c r="X2062" s="118">
        <v>44774</v>
      </c>
      <c r="Y2062" s="118">
        <v>46599</v>
      </c>
    </row>
    <row r="2063" s="9" customFormat="1" customHeight="1" spans="1:25">
      <c r="A2063" s="94" t="s">
        <v>61</v>
      </c>
      <c r="B2063" s="98" t="s">
        <v>62</v>
      </c>
      <c r="C2063" s="94" t="s">
        <v>217</v>
      </c>
      <c r="D2063" s="96" t="s">
        <v>85</v>
      </c>
      <c r="E2063" s="18" t="s">
        <v>2710</v>
      </c>
      <c r="F2063" s="16" t="s">
        <v>2711</v>
      </c>
      <c r="G2063" s="109" t="s">
        <v>88</v>
      </c>
      <c r="H2063" s="100" t="s">
        <v>2712</v>
      </c>
      <c r="I2063" s="23" t="str">
        <f>VLOOKUP(H2063,'合同综合查询数据（3月返）'!$A:$A,1,FALSE)</f>
        <v>182315IDC00074</v>
      </c>
      <c r="J2063" s="99" t="s">
        <v>90</v>
      </c>
      <c r="K2063" s="109" t="s">
        <v>2713</v>
      </c>
      <c r="L2063" s="109"/>
      <c r="M2063" s="26" t="s">
        <v>2714</v>
      </c>
      <c r="N2063" s="28">
        <v>44936</v>
      </c>
      <c r="O2063" s="109" t="s">
        <v>461</v>
      </c>
      <c r="P2063" s="110">
        <v>8200</v>
      </c>
      <c r="Q2063" s="110">
        <v>18</v>
      </c>
      <c r="R2063" s="120">
        <f t="shared" si="52"/>
        <v>147600</v>
      </c>
      <c r="S2063" s="233">
        <v>202303</v>
      </c>
      <c r="T2063" s="157" t="s">
        <v>2734</v>
      </c>
      <c r="U2063" s="108"/>
      <c r="V2063" s="122"/>
      <c r="W2063" s="122"/>
      <c r="X2063" s="118">
        <v>44774</v>
      </c>
      <c r="Y2063" s="118">
        <v>46599</v>
      </c>
    </row>
    <row r="2064" s="9" customFormat="1" customHeight="1" spans="1:25">
      <c r="A2064" s="94" t="s">
        <v>61</v>
      </c>
      <c r="B2064" s="98" t="s">
        <v>62</v>
      </c>
      <c r="C2064" s="94" t="s">
        <v>217</v>
      </c>
      <c r="D2064" s="96" t="s">
        <v>85</v>
      </c>
      <c r="E2064" s="18" t="s">
        <v>2710</v>
      </c>
      <c r="F2064" s="16" t="s">
        <v>2711</v>
      </c>
      <c r="G2064" s="109" t="s">
        <v>88</v>
      </c>
      <c r="H2064" s="100" t="s">
        <v>2712</v>
      </c>
      <c r="I2064" s="23" t="str">
        <f>VLOOKUP(H2064,'合同综合查询数据（3月返）'!$A:$A,1,FALSE)</f>
        <v>182315IDC00074</v>
      </c>
      <c r="J2064" s="99" t="s">
        <v>90</v>
      </c>
      <c r="K2064" s="109" t="s">
        <v>2713</v>
      </c>
      <c r="L2064" s="109"/>
      <c r="M2064" s="26" t="s">
        <v>2714</v>
      </c>
      <c r="N2064" s="28">
        <v>44955</v>
      </c>
      <c r="O2064" s="109" t="s">
        <v>457</v>
      </c>
      <c r="P2064" s="110">
        <v>4100</v>
      </c>
      <c r="Q2064" s="110">
        <v>1</v>
      </c>
      <c r="R2064" s="120">
        <f t="shared" si="52"/>
        <v>4100</v>
      </c>
      <c r="S2064" s="233">
        <v>202303</v>
      </c>
      <c r="T2064" s="157" t="s">
        <v>2735</v>
      </c>
      <c r="U2064" s="108"/>
      <c r="V2064" s="122"/>
      <c r="W2064" s="122"/>
      <c r="X2064" s="118">
        <v>44774</v>
      </c>
      <c r="Y2064" s="118">
        <v>46599</v>
      </c>
    </row>
    <row r="2065" s="9" customFormat="1" customHeight="1" spans="1:25">
      <c r="A2065" s="94" t="s">
        <v>61</v>
      </c>
      <c r="B2065" s="98" t="s">
        <v>62</v>
      </c>
      <c r="C2065" s="94" t="s">
        <v>217</v>
      </c>
      <c r="D2065" s="96" t="s">
        <v>85</v>
      </c>
      <c r="E2065" s="18" t="s">
        <v>2710</v>
      </c>
      <c r="F2065" s="16" t="s">
        <v>2711</v>
      </c>
      <c r="G2065" s="109" t="s">
        <v>88</v>
      </c>
      <c r="H2065" s="100" t="s">
        <v>2712</v>
      </c>
      <c r="I2065" s="23" t="str">
        <f>VLOOKUP(H2065,'合同综合查询数据（3月返）'!$A:$A,1,FALSE)</f>
        <v>182315IDC00074</v>
      </c>
      <c r="J2065" s="99" t="s">
        <v>90</v>
      </c>
      <c r="K2065" s="109" t="s">
        <v>2713</v>
      </c>
      <c r="L2065" s="109"/>
      <c r="M2065" s="26" t="s">
        <v>2714</v>
      </c>
      <c r="N2065" s="28">
        <v>44956</v>
      </c>
      <c r="O2065" s="109" t="s">
        <v>461</v>
      </c>
      <c r="P2065" s="110">
        <v>8200</v>
      </c>
      <c r="Q2065" s="110">
        <v>16</v>
      </c>
      <c r="R2065" s="120">
        <f t="shared" si="52"/>
        <v>131200</v>
      </c>
      <c r="S2065" s="233">
        <v>202303</v>
      </c>
      <c r="T2065" s="157" t="s">
        <v>2736</v>
      </c>
      <c r="U2065" s="108"/>
      <c r="V2065" s="122"/>
      <c r="W2065" s="122"/>
      <c r="X2065" s="118">
        <v>44774</v>
      </c>
      <c r="Y2065" s="118">
        <v>46599</v>
      </c>
    </row>
    <row r="2066" s="9" customFormat="1" customHeight="1" spans="1:25">
      <c r="A2066" s="94" t="s">
        <v>61</v>
      </c>
      <c r="B2066" s="98" t="s">
        <v>62</v>
      </c>
      <c r="C2066" s="94" t="s">
        <v>217</v>
      </c>
      <c r="D2066" s="96" t="s">
        <v>85</v>
      </c>
      <c r="E2066" s="18" t="s">
        <v>2710</v>
      </c>
      <c r="F2066" s="16" t="s">
        <v>2711</v>
      </c>
      <c r="G2066" s="109" t="s">
        <v>88</v>
      </c>
      <c r="H2066" s="100" t="s">
        <v>2712</v>
      </c>
      <c r="I2066" s="23" t="str">
        <f>VLOOKUP(H2066,'合同综合查询数据（3月返）'!$A:$A,1,FALSE)</f>
        <v>182315IDC00074</v>
      </c>
      <c r="J2066" s="99" t="s">
        <v>90</v>
      </c>
      <c r="K2066" s="109" t="s">
        <v>2713</v>
      </c>
      <c r="L2066" s="109"/>
      <c r="M2066" s="26" t="s">
        <v>2714</v>
      </c>
      <c r="N2066" s="28">
        <v>44963</v>
      </c>
      <c r="O2066" s="109" t="s">
        <v>461</v>
      </c>
      <c r="P2066" s="110">
        <v>8200</v>
      </c>
      <c r="Q2066" s="110">
        <v>16</v>
      </c>
      <c r="R2066" s="120">
        <f t="shared" si="52"/>
        <v>131200</v>
      </c>
      <c r="S2066" s="233">
        <v>202303</v>
      </c>
      <c r="T2066" s="157" t="s">
        <v>2737</v>
      </c>
      <c r="U2066" s="108"/>
      <c r="V2066" s="122"/>
      <c r="W2066" s="122"/>
      <c r="X2066" s="118">
        <v>44774</v>
      </c>
      <c r="Y2066" s="118">
        <v>46599</v>
      </c>
    </row>
    <row r="2067" s="9" customFormat="1" customHeight="1" spans="1:25">
      <c r="A2067" s="94" t="s">
        <v>61</v>
      </c>
      <c r="B2067" s="98" t="s">
        <v>62</v>
      </c>
      <c r="C2067" s="94" t="s">
        <v>217</v>
      </c>
      <c r="D2067" s="96" t="s">
        <v>85</v>
      </c>
      <c r="E2067" s="18" t="s">
        <v>2710</v>
      </c>
      <c r="F2067" s="16" t="s">
        <v>2711</v>
      </c>
      <c r="G2067" s="109" t="s">
        <v>88</v>
      </c>
      <c r="H2067" s="100" t="s">
        <v>2712</v>
      </c>
      <c r="I2067" s="23" t="str">
        <f>VLOOKUP(H2067,'合同综合查询数据（3月返）'!$A:$A,1,FALSE)</f>
        <v>182315IDC00074</v>
      </c>
      <c r="J2067" s="99" t="s">
        <v>90</v>
      </c>
      <c r="K2067" s="109" t="s">
        <v>2713</v>
      </c>
      <c r="L2067" s="109"/>
      <c r="M2067" s="26" t="s">
        <v>2714</v>
      </c>
      <c r="N2067" s="28">
        <v>44964</v>
      </c>
      <c r="O2067" s="109" t="s">
        <v>461</v>
      </c>
      <c r="P2067" s="110">
        <v>8200</v>
      </c>
      <c r="Q2067" s="110">
        <v>8</v>
      </c>
      <c r="R2067" s="120">
        <f t="shared" si="52"/>
        <v>65600</v>
      </c>
      <c r="S2067" s="233">
        <v>202303</v>
      </c>
      <c r="T2067" s="157" t="s">
        <v>2738</v>
      </c>
      <c r="U2067" s="108"/>
      <c r="V2067" s="122"/>
      <c r="W2067" s="122"/>
      <c r="X2067" s="118">
        <v>44774</v>
      </c>
      <c r="Y2067" s="118">
        <v>46599</v>
      </c>
    </row>
    <row r="2068" s="9" customFormat="1" customHeight="1" spans="1:25">
      <c r="A2068" s="94" t="s">
        <v>61</v>
      </c>
      <c r="B2068" s="98" t="s">
        <v>62</v>
      </c>
      <c r="C2068" s="94" t="s">
        <v>217</v>
      </c>
      <c r="D2068" s="96" t="s">
        <v>85</v>
      </c>
      <c r="E2068" s="18" t="s">
        <v>2710</v>
      </c>
      <c r="F2068" s="16" t="s">
        <v>2711</v>
      </c>
      <c r="G2068" s="109" t="s">
        <v>88</v>
      </c>
      <c r="H2068" s="100" t="s">
        <v>2712</v>
      </c>
      <c r="I2068" s="23" t="str">
        <f>VLOOKUP(H2068,'合同综合查询数据（3月返）'!$A:$A,1,FALSE)</f>
        <v>182315IDC00074</v>
      </c>
      <c r="J2068" s="99" t="s">
        <v>90</v>
      </c>
      <c r="K2068" s="109" t="s">
        <v>2713</v>
      </c>
      <c r="L2068" s="109"/>
      <c r="M2068" s="26" t="s">
        <v>2714</v>
      </c>
      <c r="N2068" s="28">
        <v>44970</v>
      </c>
      <c r="O2068" s="109" t="s">
        <v>461</v>
      </c>
      <c r="P2068" s="110">
        <v>8200</v>
      </c>
      <c r="Q2068" s="110">
        <v>9</v>
      </c>
      <c r="R2068" s="120">
        <f t="shared" si="52"/>
        <v>73800</v>
      </c>
      <c r="S2068" s="233">
        <v>202303</v>
      </c>
      <c r="T2068" s="157" t="s">
        <v>2739</v>
      </c>
      <c r="U2068" s="108"/>
      <c r="V2068" s="122"/>
      <c r="W2068" s="122"/>
      <c r="X2068" s="118">
        <v>44774</v>
      </c>
      <c r="Y2068" s="118">
        <v>46599</v>
      </c>
    </row>
    <row r="2069" s="9" customFormat="1" customHeight="1" spans="1:25">
      <c r="A2069" s="94" t="s">
        <v>61</v>
      </c>
      <c r="B2069" s="98" t="s">
        <v>62</v>
      </c>
      <c r="C2069" s="94" t="s">
        <v>217</v>
      </c>
      <c r="D2069" s="96" t="s">
        <v>85</v>
      </c>
      <c r="E2069" s="18" t="s">
        <v>2710</v>
      </c>
      <c r="F2069" s="16" t="s">
        <v>2711</v>
      </c>
      <c r="G2069" s="109" t="s">
        <v>88</v>
      </c>
      <c r="H2069" s="100" t="s">
        <v>2712</v>
      </c>
      <c r="I2069" s="23" t="str">
        <f>VLOOKUP(H2069,'合同综合查询数据（3月返）'!$A:$A,1,FALSE)</f>
        <v>182315IDC00074</v>
      </c>
      <c r="J2069" s="99" t="s">
        <v>90</v>
      </c>
      <c r="K2069" s="109" t="s">
        <v>2713</v>
      </c>
      <c r="L2069" s="109"/>
      <c r="M2069" s="26" t="s">
        <v>2714</v>
      </c>
      <c r="N2069" s="28">
        <v>44970</v>
      </c>
      <c r="O2069" s="109" t="s">
        <v>461</v>
      </c>
      <c r="P2069" s="110">
        <v>8200</v>
      </c>
      <c r="Q2069" s="110">
        <v>1</v>
      </c>
      <c r="R2069" s="120">
        <f t="shared" si="52"/>
        <v>8200</v>
      </c>
      <c r="S2069" s="233">
        <v>202303</v>
      </c>
      <c r="T2069" s="157" t="s">
        <v>2740</v>
      </c>
      <c r="U2069" s="108"/>
      <c r="V2069" s="122"/>
      <c r="W2069" s="122"/>
      <c r="X2069" s="118">
        <v>44774</v>
      </c>
      <c r="Y2069" s="118">
        <v>46599</v>
      </c>
    </row>
    <row r="2070" s="9" customFormat="1" customHeight="1" spans="1:25">
      <c r="A2070" s="94" t="s">
        <v>61</v>
      </c>
      <c r="B2070" s="98" t="s">
        <v>62</v>
      </c>
      <c r="C2070" s="94" t="s">
        <v>217</v>
      </c>
      <c r="D2070" s="96" t="s">
        <v>85</v>
      </c>
      <c r="E2070" s="18" t="s">
        <v>2710</v>
      </c>
      <c r="F2070" s="16" t="s">
        <v>2711</v>
      </c>
      <c r="G2070" s="109" t="s">
        <v>88</v>
      </c>
      <c r="H2070" s="100" t="s">
        <v>2712</v>
      </c>
      <c r="I2070" s="23" t="str">
        <f>VLOOKUP(H2070,'合同综合查询数据（3月返）'!$A:$A,1,FALSE)</f>
        <v>182315IDC00074</v>
      </c>
      <c r="J2070" s="99" t="s">
        <v>90</v>
      </c>
      <c r="K2070" s="109" t="s">
        <v>2713</v>
      </c>
      <c r="L2070" s="109"/>
      <c r="M2070" s="26" t="s">
        <v>2714</v>
      </c>
      <c r="N2070" s="28">
        <v>44970</v>
      </c>
      <c r="O2070" s="109" t="s">
        <v>461</v>
      </c>
      <c r="P2070" s="110">
        <v>8200</v>
      </c>
      <c r="Q2070" s="110">
        <v>1</v>
      </c>
      <c r="R2070" s="120">
        <f>ROUND(P2070*Q2070*15/28,2)-2342.86</f>
        <v>2050</v>
      </c>
      <c r="S2070" s="117">
        <v>202302</v>
      </c>
      <c r="T2070" s="157" t="s">
        <v>2741</v>
      </c>
      <c r="U2070" s="108"/>
      <c r="V2070" s="122"/>
      <c r="W2070" s="122"/>
      <c r="X2070" s="118">
        <v>44774</v>
      </c>
      <c r="Y2070" s="118">
        <v>46599</v>
      </c>
    </row>
    <row r="2071" s="9" customFormat="1" customHeight="1" spans="1:25">
      <c r="A2071" s="94" t="s">
        <v>61</v>
      </c>
      <c r="B2071" s="98" t="s">
        <v>62</v>
      </c>
      <c r="C2071" s="94" t="s">
        <v>217</v>
      </c>
      <c r="D2071" s="96" t="s">
        <v>85</v>
      </c>
      <c r="E2071" s="18" t="s">
        <v>2710</v>
      </c>
      <c r="F2071" s="16" t="s">
        <v>2711</v>
      </c>
      <c r="G2071" s="109" t="s">
        <v>88</v>
      </c>
      <c r="H2071" s="100" t="s">
        <v>2712</v>
      </c>
      <c r="I2071" s="23" t="str">
        <f>VLOOKUP(H2071,'合同综合查询数据（3月返）'!$A:$A,1,FALSE)</f>
        <v>182315IDC00074</v>
      </c>
      <c r="J2071" s="99" t="s">
        <v>90</v>
      </c>
      <c r="K2071" s="109" t="s">
        <v>2713</v>
      </c>
      <c r="L2071" s="109"/>
      <c r="M2071" s="26" t="s">
        <v>2714</v>
      </c>
      <c r="N2071" s="28">
        <v>44971</v>
      </c>
      <c r="O2071" s="109" t="s">
        <v>461</v>
      </c>
      <c r="P2071" s="110">
        <v>8200</v>
      </c>
      <c r="Q2071" s="110">
        <v>2</v>
      </c>
      <c r="R2071" s="120">
        <f t="shared" ref="R2071:R2081" si="53">ROUND(P2071*Q2071,2)</f>
        <v>16400</v>
      </c>
      <c r="S2071" s="233">
        <v>202303</v>
      </c>
      <c r="T2071" s="157" t="s">
        <v>2742</v>
      </c>
      <c r="U2071" s="108"/>
      <c r="V2071" s="122"/>
      <c r="W2071" s="122"/>
      <c r="X2071" s="118">
        <v>44774</v>
      </c>
      <c r="Y2071" s="118">
        <v>46599</v>
      </c>
    </row>
    <row r="2072" s="9" customFormat="1" customHeight="1" spans="1:25">
      <c r="A2072" s="94" t="s">
        <v>61</v>
      </c>
      <c r="B2072" s="98" t="s">
        <v>62</v>
      </c>
      <c r="C2072" s="94" t="s">
        <v>217</v>
      </c>
      <c r="D2072" s="96" t="s">
        <v>85</v>
      </c>
      <c r="E2072" s="18" t="s">
        <v>2710</v>
      </c>
      <c r="F2072" s="16" t="s">
        <v>2711</v>
      </c>
      <c r="G2072" s="109" t="s">
        <v>88</v>
      </c>
      <c r="H2072" s="100" t="s">
        <v>2712</v>
      </c>
      <c r="I2072" s="23" t="str">
        <f>VLOOKUP(H2072,'合同综合查询数据（3月返）'!$A:$A,1,FALSE)</f>
        <v>182315IDC00074</v>
      </c>
      <c r="J2072" s="99" t="s">
        <v>90</v>
      </c>
      <c r="K2072" s="109" t="s">
        <v>2713</v>
      </c>
      <c r="L2072" s="109"/>
      <c r="M2072" s="26" t="s">
        <v>2714</v>
      </c>
      <c r="N2072" s="28">
        <v>44977</v>
      </c>
      <c r="O2072" s="109" t="s">
        <v>461</v>
      </c>
      <c r="P2072" s="110">
        <v>8200</v>
      </c>
      <c r="Q2072" s="110">
        <v>2</v>
      </c>
      <c r="R2072" s="120">
        <f t="shared" si="53"/>
        <v>16400</v>
      </c>
      <c r="S2072" s="233">
        <v>202303</v>
      </c>
      <c r="T2072" s="157" t="s">
        <v>2743</v>
      </c>
      <c r="U2072" s="108"/>
      <c r="V2072" s="122"/>
      <c r="W2072" s="122"/>
      <c r="X2072" s="118">
        <v>44774</v>
      </c>
      <c r="Y2072" s="118">
        <v>46599</v>
      </c>
    </row>
    <row r="2073" s="9" customFormat="1" customHeight="1" spans="1:25">
      <c r="A2073" s="94" t="s">
        <v>61</v>
      </c>
      <c r="B2073" s="98" t="s">
        <v>62</v>
      </c>
      <c r="C2073" s="94" t="s">
        <v>217</v>
      </c>
      <c r="D2073" s="96" t="s">
        <v>85</v>
      </c>
      <c r="E2073" s="18" t="s">
        <v>2710</v>
      </c>
      <c r="F2073" s="16" t="s">
        <v>2711</v>
      </c>
      <c r="G2073" s="109" t="s">
        <v>88</v>
      </c>
      <c r="H2073" s="100" t="s">
        <v>2712</v>
      </c>
      <c r="I2073" s="23" t="str">
        <f>VLOOKUP(H2073,'合同综合查询数据（3月返）'!$A:$A,1,FALSE)</f>
        <v>182315IDC00074</v>
      </c>
      <c r="J2073" s="99" t="s">
        <v>90</v>
      </c>
      <c r="K2073" s="109" t="s">
        <v>2713</v>
      </c>
      <c r="L2073" s="109"/>
      <c r="M2073" s="26" t="s">
        <v>2714</v>
      </c>
      <c r="N2073" s="28">
        <v>44979</v>
      </c>
      <c r="O2073" s="109" t="s">
        <v>461</v>
      </c>
      <c r="P2073" s="110">
        <v>8200</v>
      </c>
      <c r="Q2073" s="110">
        <v>2</v>
      </c>
      <c r="R2073" s="120">
        <f t="shared" si="53"/>
        <v>16400</v>
      </c>
      <c r="S2073" s="233">
        <v>202303</v>
      </c>
      <c r="T2073" s="157" t="s">
        <v>2744</v>
      </c>
      <c r="U2073" s="108"/>
      <c r="V2073" s="122"/>
      <c r="W2073" s="122"/>
      <c r="X2073" s="118">
        <v>44774</v>
      </c>
      <c r="Y2073" s="118">
        <v>46599</v>
      </c>
    </row>
    <row r="2074" s="9" customFormat="1" customHeight="1" spans="1:25">
      <c r="A2074" s="94" t="s">
        <v>61</v>
      </c>
      <c r="B2074" s="98" t="s">
        <v>62</v>
      </c>
      <c r="C2074" s="94" t="s">
        <v>217</v>
      </c>
      <c r="D2074" s="96" t="s">
        <v>85</v>
      </c>
      <c r="E2074" s="18" t="s">
        <v>2710</v>
      </c>
      <c r="F2074" s="16" t="s">
        <v>2711</v>
      </c>
      <c r="G2074" s="109" t="s">
        <v>88</v>
      </c>
      <c r="H2074" s="100" t="s">
        <v>2712</v>
      </c>
      <c r="I2074" s="23" t="str">
        <f>VLOOKUP(H2074,'合同综合查询数据（3月返）'!$A:$A,1,FALSE)</f>
        <v>182315IDC00074</v>
      </c>
      <c r="J2074" s="99" t="s">
        <v>90</v>
      </c>
      <c r="K2074" s="109" t="s">
        <v>2713</v>
      </c>
      <c r="L2074" s="109"/>
      <c r="M2074" s="26" t="s">
        <v>2714</v>
      </c>
      <c r="N2074" s="28">
        <v>44985</v>
      </c>
      <c r="O2074" s="109" t="s">
        <v>461</v>
      </c>
      <c r="P2074" s="110">
        <v>8200</v>
      </c>
      <c r="Q2074" s="110">
        <v>2</v>
      </c>
      <c r="R2074" s="120">
        <f t="shared" si="53"/>
        <v>16400</v>
      </c>
      <c r="S2074" s="233">
        <v>202303</v>
      </c>
      <c r="T2074" s="157" t="s">
        <v>2745</v>
      </c>
      <c r="U2074" s="108"/>
      <c r="V2074" s="122"/>
      <c r="W2074" s="122"/>
      <c r="X2074" s="118">
        <v>44774</v>
      </c>
      <c r="Y2074" s="118">
        <v>46599</v>
      </c>
    </row>
    <row r="2075" s="79" customFormat="1" customHeight="1" spans="1:25">
      <c r="A2075" s="94" t="s">
        <v>401</v>
      </c>
      <c r="B2075" s="98" t="s">
        <v>62</v>
      </c>
      <c r="C2075" s="96" t="s">
        <v>217</v>
      </c>
      <c r="D2075" s="96" t="s">
        <v>566</v>
      </c>
      <c r="E2075" s="23" t="s">
        <v>567</v>
      </c>
      <c r="F2075" s="94" t="s">
        <v>568</v>
      </c>
      <c r="G2075" s="109" t="s">
        <v>88</v>
      </c>
      <c r="H2075" s="100" t="s">
        <v>676</v>
      </c>
      <c r="I2075" s="23" t="e">
        <f>VLOOKUP(H2075,'合同综合查询数据（3月返）'!$A:$A,1,FALSE)</f>
        <v>#N/A</v>
      </c>
      <c r="J2075" s="152" t="s">
        <v>126</v>
      </c>
      <c r="K2075" s="109" t="s">
        <v>677</v>
      </c>
      <c r="L2075" s="99" t="s">
        <v>678</v>
      </c>
      <c r="M2075" s="26" t="s">
        <v>679</v>
      </c>
      <c r="N2075" s="28">
        <v>44737</v>
      </c>
      <c r="O2075" s="28" t="s">
        <v>457</v>
      </c>
      <c r="P2075" s="110">
        <v>4000</v>
      </c>
      <c r="Q2075" s="120">
        <v>1</v>
      </c>
      <c r="R2075" s="120">
        <f t="shared" si="53"/>
        <v>4000</v>
      </c>
      <c r="S2075" s="117">
        <v>202303</v>
      </c>
      <c r="T2075" s="38" t="s">
        <v>2746</v>
      </c>
      <c r="U2075" s="38"/>
      <c r="V2075" s="122"/>
      <c r="W2075" s="122"/>
      <c r="X2075" s="118">
        <v>44044</v>
      </c>
      <c r="Y2075" s="118">
        <v>45199</v>
      </c>
    </row>
    <row r="2076" s="79" customFormat="1" customHeight="1" spans="1:25">
      <c r="A2076" s="94" t="s">
        <v>401</v>
      </c>
      <c r="B2076" s="98" t="s">
        <v>62</v>
      </c>
      <c r="C2076" s="96" t="s">
        <v>217</v>
      </c>
      <c r="D2076" s="96" t="s">
        <v>566</v>
      </c>
      <c r="E2076" s="23" t="s">
        <v>567</v>
      </c>
      <c r="F2076" s="94" t="s">
        <v>568</v>
      </c>
      <c r="G2076" s="109" t="s">
        <v>88</v>
      </c>
      <c r="H2076" s="100" t="s">
        <v>676</v>
      </c>
      <c r="I2076" s="23" t="e">
        <f>VLOOKUP(H2076,'合同综合查询数据（3月返）'!$A:$A,1,FALSE)</f>
        <v>#N/A</v>
      </c>
      <c r="J2076" s="152" t="s">
        <v>126</v>
      </c>
      <c r="K2076" s="109" t="s">
        <v>677</v>
      </c>
      <c r="L2076" s="99" t="s">
        <v>678</v>
      </c>
      <c r="M2076" s="26" t="s">
        <v>683</v>
      </c>
      <c r="N2076" s="28">
        <v>44866</v>
      </c>
      <c r="O2076" s="28" t="s">
        <v>457</v>
      </c>
      <c r="P2076" s="110">
        <v>3700</v>
      </c>
      <c r="Q2076" s="120">
        <v>13</v>
      </c>
      <c r="R2076" s="120">
        <f t="shared" si="53"/>
        <v>48100</v>
      </c>
      <c r="S2076" s="117">
        <v>202303</v>
      </c>
      <c r="T2076" s="38" t="s">
        <v>2747</v>
      </c>
      <c r="U2076" s="38"/>
      <c r="V2076" s="122"/>
      <c r="W2076" s="122"/>
      <c r="X2076" s="118">
        <v>44044</v>
      </c>
      <c r="Y2076" s="118">
        <v>45199</v>
      </c>
    </row>
    <row r="2077" s="79" customFormat="1" customHeight="1" spans="1:25">
      <c r="A2077" s="94" t="s">
        <v>401</v>
      </c>
      <c r="B2077" s="98" t="s">
        <v>62</v>
      </c>
      <c r="C2077" s="96" t="s">
        <v>217</v>
      </c>
      <c r="D2077" s="96" t="s">
        <v>566</v>
      </c>
      <c r="E2077" s="23" t="s">
        <v>567</v>
      </c>
      <c r="F2077" s="94" t="s">
        <v>568</v>
      </c>
      <c r="G2077" s="109" t="s">
        <v>88</v>
      </c>
      <c r="H2077" s="100" t="s">
        <v>676</v>
      </c>
      <c r="I2077" s="23" t="e">
        <f>VLOOKUP(H2077,'合同综合查询数据（3月返）'!$A:$A,1,FALSE)</f>
        <v>#N/A</v>
      </c>
      <c r="J2077" s="152" t="s">
        <v>126</v>
      </c>
      <c r="K2077" s="109" t="s">
        <v>677</v>
      </c>
      <c r="L2077" s="99" t="s">
        <v>678</v>
      </c>
      <c r="M2077" s="26" t="s">
        <v>683</v>
      </c>
      <c r="N2077" s="28">
        <v>44874</v>
      </c>
      <c r="O2077" s="28" t="s">
        <v>457</v>
      </c>
      <c r="P2077" s="110">
        <v>3700</v>
      </c>
      <c r="Q2077" s="120">
        <v>1</v>
      </c>
      <c r="R2077" s="120">
        <f t="shared" si="53"/>
        <v>3700</v>
      </c>
      <c r="S2077" s="117">
        <v>202303</v>
      </c>
      <c r="T2077" s="38" t="s">
        <v>2748</v>
      </c>
      <c r="U2077" s="38"/>
      <c r="V2077" s="122"/>
      <c r="W2077" s="122"/>
      <c r="X2077" s="118">
        <v>44044</v>
      </c>
      <c r="Y2077" s="118">
        <v>45199</v>
      </c>
    </row>
    <row r="2078" s="79" customFormat="1" customHeight="1" spans="1:25">
      <c r="A2078" s="94" t="s">
        <v>401</v>
      </c>
      <c r="B2078" s="98" t="s">
        <v>62</v>
      </c>
      <c r="C2078" s="96" t="s">
        <v>217</v>
      </c>
      <c r="D2078" s="96" t="s">
        <v>566</v>
      </c>
      <c r="E2078" s="23" t="s">
        <v>567</v>
      </c>
      <c r="F2078" s="94" t="s">
        <v>568</v>
      </c>
      <c r="G2078" s="109" t="s">
        <v>88</v>
      </c>
      <c r="H2078" s="100" t="s">
        <v>676</v>
      </c>
      <c r="I2078" s="23" t="e">
        <f>VLOOKUP(H2078,'合同综合查询数据（3月返）'!$A:$A,1,FALSE)</f>
        <v>#N/A</v>
      </c>
      <c r="J2078" s="152" t="s">
        <v>126</v>
      </c>
      <c r="K2078" s="109" t="s">
        <v>677</v>
      </c>
      <c r="L2078" s="99" t="s">
        <v>678</v>
      </c>
      <c r="M2078" s="26" t="s">
        <v>679</v>
      </c>
      <c r="N2078" s="28">
        <v>44957</v>
      </c>
      <c r="O2078" s="28" t="s">
        <v>457</v>
      </c>
      <c r="P2078" s="110">
        <v>4000</v>
      </c>
      <c r="Q2078" s="120">
        <v>-3</v>
      </c>
      <c r="R2078" s="120">
        <f t="shared" si="53"/>
        <v>-12000</v>
      </c>
      <c r="S2078" s="117">
        <v>202303</v>
      </c>
      <c r="T2078" s="38" t="s">
        <v>2749</v>
      </c>
      <c r="U2078" s="38"/>
      <c r="V2078" s="122"/>
      <c r="W2078" s="122"/>
      <c r="X2078" s="118">
        <v>44044</v>
      </c>
      <c r="Y2078" s="118">
        <v>45199</v>
      </c>
    </row>
    <row r="2079" s="79" customFormat="1" customHeight="1" spans="1:25">
      <c r="A2079" s="94" t="s">
        <v>403</v>
      </c>
      <c r="B2079" s="98" t="s">
        <v>62</v>
      </c>
      <c r="C2079" s="96" t="s">
        <v>217</v>
      </c>
      <c r="D2079" s="96" t="s">
        <v>566</v>
      </c>
      <c r="E2079" s="23" t="s">
        <v>567</v>
      </c>
      <c r="F2079" s="94" t="s">
        <v>568</v>
      </c>
      <c r="G2079" s="109" t="s">
        <v>31</v>
      </c>
      <c r="H2079" s="100" t="s">
        <v>676</v>
      </c>
      <c r="I2079" s="23" t="e">
        <f>VLOOKUP(H2079,'合同综合查询数据（3月返）'!$A:$A,1,FALSE)</f>
        <v>#N/A</v>
      </c>
      <c r="J2079" s="152" t="s">
        <v>33</v>
      </c>
      <c r="K2079" s="109" t="s">
        <v>677</v>
      </c>
      <c r="L2079" s="99" t="s">
        <v>687</v>
      </c>
      <c r="M2079" s="26" t="s">
        <v>683</v>
      </c>
      <c r="N2079" s="28">
        <v>44874</v>
      </c>
      <c r="O2079" s="28"/>
      <c r="P2079" s="110">
        <v>50</v>
      </c>
      <c r="Q2079" s="120">
        <v>64</v>
      </c>
      <c r="R2079" s="120">
        <f t="shared" si="53"/>
        <v>3200</v>
      </c>
      <c r="S2079" s="117">
        <v>202303</v>
      </c>
      <c r="T2079" s="38" t="s">
        <v>2750</v>
      </c>
      <c r="U2079" s="158"/>
      <c r="V2079" s="122"/>
      <c r="W2079" s="122"/>
      <c r="X2079" s="118">
        <v>44044</v>
      </c>
      <c r="Y2079" s="118">
        <v>45199</v>
      </c>
    </row>
    <row r="2080" s="79" customFormat="1" customHeight="1" spans="1:25">
      <c r="A2080" s="94" t="s">
        <v>399</v>
      </c>
      <c r="B2080" s="98" t="s">
        <v>62</v>
      </c>
      <c r="C2080" s="96" t="s">
        <v>217</v>
      </c>
      <c r="D2080" s="96" t="s">
        <v>566</v>
      </c>
      <c r="E2080" s="23" t="s">
        <v>567</v>
      </c>
      <c r="F2080" s="94" t="s">
        <v>568</v>
      </c>
      <c r="G2080" s="109" t="s">
        <v>31</v>
      </c>
      <c r="H2080" s="100" t="s">
        <v>676</v>
      </c>
      <c r="I2080" s="23" t="e">
        <f>VLOOKUP(H2080,'合同综合查询数据（3月返）'!$A:$A,1,FALSE)</f>
        <v>#N/A</v>
      </c>
      <c r="J2080" s="152" t="s">
        <v>33</v>
      </c>
      <c r="K2080" s="109" t="s">
        <v>677</v>
      </c>
      <c r="L2080" s="99" t="s">
        <v>690</v>
      </c>
      <c r="M2080" s="26" t="s">
        <v>683</v>
      </c>
      <c r="N2080" s="28">
        <v>44874</v>
      </c>
      <c r="O2080" s="28"/>
      <c r="P2080" s="110">
        <v>30</v>
      </c>
      <c r="Q2080" s="120">
        <v>128</v>
      </c>
      <c r="R2080" s="120">
        <f t="shared" si="53"/>
        <v>3840</v>
      </c>
      <c r="S2080" s="117">
        <v>202303</v>
      </c>
      <c r="T2080" s="38" t="s">
        <v>2751</v>
      </c>
      <c r="U2080" s="158"/>
      <c r="V2080" s="122"/>
      <c r="W2080" s="122"/>
      <c r="X2080" s="118">
        <v>44044</v>
      </c>
      <c r="Y2080" s="118">
        <v>45199</v>
      </c>
    </row>
    <row r="2081" s="81" customFormat="1" customHeight="1" spans="1:25">
      <c r="A2081" s="62" t="s">
        <v>399</v>
      </c>
      <c r="B2081" s="61" t="s">
        <v>62</v>
      </c>
      <c r="C2081" s="60" t="s">
        <v>217</v>
      </c>
      <c r="D2081" s="60" t="s">
        <v>566</v>
      </c>
      <c r="E2081" s="47" t="s">
        <v>567</v>
      </c>
      <c r="F2081" s="62" t="s">
        <v>568</v>
      </c>
      <c r="G2081" s="138" t="s">
        <v>31</v>
      </c>
      <c r="H2081" s="137" t="s">
        <v>2752</v>
      </c>
      <c r="I2081" s="47" t="e">
        <f>VLOOKUP(H2081,'合同综合查询数据（3月返）'!$A:$A,1,FALSE)</f>
        <v>#N/A</v>
      </c>
      <c r="J2081" s="65" t="s">
        <v>33</v>
      </c>
      <c r="K2081" s="138" t="s">
        <v>677</v>
      </c>
      <c r="L2081" s="66" t="s">
        <v>690</v>
      </c>
      <c r="M2081" s="50" t="s">
        <v>679</v>
      </c>
      <c r="N2081" s="51">
        <v>44964</v>
      </c>
      <c r="O2081" s="51"/>
      <c r="P2081" s="141">
        <v>30</v>
      </c>
      <c r="Q2081" s="68">
        <v>80</v>
      </c>
      <c r="R2081" s="68">
        <f t="shared" si="53"/>
        <v>2400</v>
      </c>
      <c r="S2081" s="70">
        <v>202303</v>
      </c>
      <c r="T2081" s="56" t="s">
        <v>2753</v>
      </c>
      <c r="U2081" s="166"/>
      <c r="V2081" s="146"/>
      <c r="W2081" s="146"/>
      <c r="X2081" s="73"/>
      <c r="Y2081" s="73"/>
    </row>
    <row r="2082" s="81" customFormat="1" customHeight="1" spans="1:25">
      <c r="A2082" s="62" t="s">
        <v>399</v>
      </c>
      <c r="B2082" s="61" t="s">
        <v>62</v>
      </c>
      <c r="C2082" s="60" t="s">
        <v>217</v>
      </c>
      <c r="D2082" s="60" t="s">
        <v>566</v>
      </c>
      <c r="E2082" s="47" t="s">
        <v>567</v>
      </c>
      <c r="F2082" s="62" t="s">
        <v>568</v>
      </c>
      <c r="G2082" s="138" t="s">
        <v>31</v>
      </c>
      <c r="H2082" s="137" t="s">
        <v>2752</v>
      </c>
      <c r="I2082" s="47" t="e">
        <f>VLOOKUP(H2082,'合同综合查询数据（3月返）'!$A:$A,1,FALSE)</f>
        <v>#N/A</v>
      </c>
      <c r="J2082" s="65" t="s">
        <v>33</v>
      </c>
      <c r="K2082" s="138" t="s">
        <v>677</v>
      </c>
      <c r="L2082" s="66" t="s">
        <v>690</v>
      </c>
      <c r="M2082" s="50" t="s">
        <v>679</v>
      </c>
      <c r="N2082" s="51">
        <v>44964</v>
      </c>
      <c r="O2082" s="51"/>
      <c r="P2082" s="141">
        <v>30</v>
      </c>
      <c r="Q2082" s="68">
        <v>80</v>
      </c>
      <c r="R2082" s="68">
        <f>ROUND(P2082*Q2082*22/28,2)</f>
        <v>1885.71</v>
      </c>
      <c r="S2082" s="70">
        <v>202302</v>
      </c>
      <c r="T2082" s="56" t="s">
        <v>2754</v>
      </c>
      <c r="U2082" s="166"/>
      <c r="V2082" s="146"/>
      <c r="W2082" s="146"/>
      <c r="X2082" s="73"/>
      <c r="Y2082" s="73"/>
    </row>
    <row r="2083" s="9" customFormat="1" customHeight="1" spans="1:25">
      <c r="A2083" s="16" t="s">
        <v>61</v>
      </c>
      <c r="B2083" s="98" t="s">
        <v>62</v>
      </c>
      <c r="C2083" s="17" t="s">
        <v>63</v>
      </c>
      <c r="D2083" s="96" t="s">
        <v>75</v>
      </c>
      <c r="E2083" s="18" t="s">
        <v>2440</v>
      </c>
      <c r="F2083" s="16" t="s">
        <v>2441</v>
      </c>
      <c r="G2083" s="99" t="s">
        <v>67</v>
      </c>
      <c r="H2083" s="19" t="s">
        <v>2755</v>
      </c>
      <c r="I2083" s="23" t="str">
        <f>VLOOKUP(H2083,'合同综合查询数据（3月返）'!$A:$A,1,FALSE)</f>
        <v>182315IDC00031</v>
      </c>
      <c r="J2083" s="99" t="s">
        <v>69</v>
      </c>
      <c r="K2083" s="16" t="s">
        <v>2756</v>
      </c>
      <c r="L2083" s="25"/>
      <c r="M2083" s="26"/>
      <c r="N2083" s="28">
        <v>44866</v>
      </c>
      <c r="O2083" s="28" t="s">
        <v>71</v>
      </c>
      <c r="P2083" s="239">
        <v>6398.4</v>
      </c>
      <c r="Q2083" s="35">
        <v>1</v>
      </c>
      <c r="R2083" s="120">
        <f t="shared" ref="R2083:R2103" si="54">ROUND(P2083*Q2083,2)</f>
        <v>6398.4</v>
      </c>
      <c r="S2083" s="117">
        <v>202303</v>
      </c>
      <c r="T2083" s="248" t="s">
        <v>2757</v>
      </c>
      <c r="U2083" s="123"/>
      <c r="V2083" s="250"/>
      <c r="W2083" s="250"/>
      <c r="X2083" s="118">
        <v>44743</v>
      </c>
      <c r="Y2083" s="118">
        <v>45291</v>
      </c>
    </row>
    <row r="2084" s="9" customFormat="1" customHeight="1" spans="1:25">
      <c r="A2084" s="16" t="s">
        <v>61</v>
      </c>
      <c r="B2084" s="98" t="s">
        <v>62</v>
      </c>
      <c r="C2084" s="17" t="s">
        <v>63</v>
      </c>
      <c r="D2084" s="96" t="s">
        <v>75</v>
      </c>
      <c r="E2084" s="18" t="s">
        <v>2440</v>
      </c>
      <c r="F2084" s="16" t="s">
        <v>2441</v>
      </c>
      <c r="G2084" s="99" t="s">
        <v>302</v>
      </c>
      <c r="H2084" s="19" t="s">
        <v>2758</v>
      </c>
      <c r="I2084" s="23" t="str">
        <f>VLOOKUP(H2084,'合同综合查询数据（3月返）'!$A:$A,1,FALSE)</f>
        <v>182315IDC00043</v>
      </c>
      <c r="J2084" s="99" t="s">
        <v>302</v>
      </c>
      <c r="K2084" s="251" t="s">
        <v>2759</v>
      </c>
      <c r="L2084" s="25"/>
      <c r="M2084" s="26"/>
      <c r="N2084" s="252" t="s">
        <v>2760</v>
      </c>
      <c r="O2084" s="28" t="s">
        <v>2761</v>
      </c>
      <c r="P2084" s="239">
        <f>692836.04+571201.32</f>
        <v>1264037.36</v>
      </c>
      <c r="Q2084" s="35">
        <v>1</v>
      </c>
      <c r="R2084" s="120">
        <f t="shared" si="54"/>
        <v>1264037.36</v>
      </c>
      <c r="S2084" s="117">
        <v>202303</v>
      </c>
      <c r="T2084" s="248" t="s">
        <v>2762</v>
      </c>
      <c r="U2084" s="123"/>
      <c r="V2084" s="250"/>
      <c r="W2084" s="250"/>
      <c r="X2084" s="118">
        <v>43682</v>
      </c>
      <c r="Y2084" s="118">
        <v>45508</v>
      </c>
    </row>
    <row r="2085" s="9" customFormat="1" customHeight="1" spans="1:25">
      <c r="A2085" s="16" t="s">
        <v>61</v>
      </c>
      <c r="B2085" s="98" t="s">
        <v>62</v>
      </c>
      <c r="C2085" s="17" t="s">
        <v>63</v>
      </c>
      <c r="D2085" s="96" t="s">
        <v>75</v>
      </c>
      <c r="E2085" s="18" t="s">
        <v>2440</v>
      </c>
      <c r="F2085" s="16" t="s">
        <v>2441</v>
      </c>
      <c r="G2085" s="99" t="s">
        <v>67</v>
      </c>
      <c r="H2085" s="19" t="s">
        <v>2755</v>
      </c>
      <c r="I2085" s="23" t="str">
        <f>VLOOKUP(H2085,'合同综合查询数据（3月返）'!$A:$A,1,FALSE)</f>
        <v>182315IDC00031</v>
      </c>
      <c r="J2085" s="99" t="s">
        <v>69</v>
      </c>
      <c r="K2085" s="16" t="s">
        <v>2763</v>
      </c>
      <c r="L2085" s="25"/>
      <c r="M2085" s="26"/>
      <c r="N2085" s="28">
        <v>44774</v>
      </c>
      <c r="O2085" s="28" t="s">
        <v>1759</v>
      </c>
      <c r="P2085" s="239">
        <v>10000</v>
      </c>
      <c r="Q2085" s="35">
        <v>1</v>
      </c>
      <c r="R2085" s="120">
        <f t="shared" si="54"/>
        <v>10000</v>
      </c>
      <c r="S2085" s="117">
        <v>202303</v>
      </c>
      <c r="T2085" s="18" t="s">
        <v>2763</v>
      </c>
      <c r="U2085" s="123"/>
      <c r="V2085" s="250"/>
      <c r="W2085" s="250"/>
      <c r="X2085" s="118">
        <v>44743</v>
      </c>
      <c r="Y2085" s="118">
        <v>45291</v>
      </c>
    </row>
    <row r="2086" s="9" customFormat="1" customHeight="1" spans="1:25">
      <c r="A2086" s="16" t="s">
        <v>61</v>
      </c>
      <c r="B2086" s="98" t="s">
        <v>62</v>
      </c>
      <c r="C2086" s="17" t="s">
        <v>63</v>
      </c>
      <c r="D2086" s="96" t="s">
        <v>75</v>
      </c>
      <c r="E2086" s="18" t="s">
        <v>2440</v>
      </c>
      <c r="F2086" s="16" t="s">
        <v>2441</v>
      </c>
      <c r="G2086" s="99" t="s">
        <v>67</v>
      </c>
      <c r="H2086" s="19" t="s">
        <v>2755</v>
      </c>
      <c r="I2086" s="23" t="str">
        <f>VLOOKUP(H2086,'合同综合查询数据（3月返）'!$A:$A,1,FALSE)</f>
        <v>182315IDC00031</v>
      </c>
      <c r="J2086" s="99" t="s">
        <v>69</v>
      </c>
      <c r="K2086" s="16" t="s">
        <v>2764</v>
      </c>
      <c r="L2086" s="25"/>
      <c r="M2086" s="26"/>
      <c r="N2086" s="28">
        <v>44805</v>
      </c>
      <c r="O2086" s="28" t="s">
        <v>1759</v>
      </c>
      <c r="P2086" s="239">
        <v>6000</v>
      </c>
      <c r="Q2086" s="35">
        <v>1</v>
      </c>
      <c r="R2086" s="120">
        <f t="shared" si="54"/>
        <v>6000</v>
      </c>
      <c r="S2086" s="117">
        <v>202303</v>
      </c>
      <c r="T2086" s="18" t="s">
        <v>2764</v>
      </c>
      <c r="U2086" s="123"/>
      <c r="V2086" s="250"/>
      <c r="W2086" s="250"/>
      <c r="X2086" s="118">
        <v>44743</v>
      </c>
      <c r="Y2086" s="118">
        <v>45291</v>
      </c>
    </row>
    <row r="2087" s="9" customFormat="1" customHeight="1" spans="1:25">
      <c r="A2087" s="16" t="s">
        <v>61</v>
      </c>
      <c r="B2087" s="98" t="s">
        <v>62</v>
      </c>
      <c r="C2087" s="17" t="s">
        <v>63</v>
      </c>
      <c r="D2087" s="96" t="s">
        <v>75</v>
      </c>
      <c r="E2087" s="18" t="s">
        <v>2440</v>
      </c>
      <c r="F2087" s="16" t="s">
        <v>2441</v>
      </c>
      <c r="G2087" s="99" t="s">
        <v>88</v>
      </c>
      <c r="H2087" s="19" t="s">
        <v>2755</v>
      </c>
      <c r="I2087" s="23" t="str">
        <f>VLOOKUP(H2087,'合同综合查询数据（3月返）'!$A:$A,1,FALSE)</f>
        <v>182315IDC00031</v>
      </c>
      <c r="J2087" s="99" t="s">
        <v>90</v>
      </c>
      <c r="K2087" s="16" t="s">
        <v>2765</v>
      </c>
      <c r="L2087" s="25"/>
      <c r="M2087" s="26" t="s">
        <v>2766</v>
      </c>
      <c r="N2087" s="28">
        <v>44774</v>
      </c>
      <c r="O2087" s="28" t="s">
        <v>92</v>
      </c>
      <c r="P2087" s="239">
        <v>8000</v>
      </c>
      <c r="Q2087" s="35">
        <v>3</v>
      </c>
      <c r="R2087" s="120">
        <f t="shared" si="54"/>
        <v>24000</v>
      </c>
      <c r="S2087" s="117">
        <v>202303</v>
      </c>
      <c r="T2087" s="18" t="s">
        <v>2767</v>
      </c>
      <c r="U2087" s="123"/>
      <c r="V2087" s="250"/>
      <c r="W2087" s="250"/>
      <c r="X2087" s="118">
        <v>44743</v>
      </c>
      <c r="Y2087" s="118">
        <v>45291</v>
      </c>
    </row>
    <row r="2088" s="9" customFormat="1" customHeight="1" spans="1:25">
      <c r="A2088" s="16" t="s">
        <v>61</v>
      </c>
      <c r="B2088" s="98" t="s">
        <v>62</v>
      </c>
      <c r="C2088" s="17" t="s">
        <v>63</v>
      </c>
      <c r="D2088" s="96" t="s">
        <v>75</v>
      </c>
      <c r="E2088" s="18" t="s">
        <v>2440</v>
      </c>
      <c r="F2088" s="16" t="s">
        <v>2441</v>
      </c>
      <c r="G2088" s="99" t="s">
        <v>88</v>
      </c>
      <c r="H2088" s="19" t="s">
        <v>2755</v>
      </c>
      <c r="I2088" s="23" t="str">
        <f>VLOOKUP(H2088,'合同综合查询数据（3月返）'!$A:$A,1,FALSE)</f>
        <v>182315IDC00031</v>
      </c>
      <c r="J2088" s="99" t="s">
        <v>90</v>
      </c>
      <c r="K2088" s="16" t="s">
        <v>2765</v>
      </c>
      <c r="L2088" s="25"/>
      <c r="M2088" s="26" t="s">
        <v>2768</v>
      </c>
      <c r="N2088" s="28">
        <v>44774</v>
      </c>
      <c r="O2088" s="28" t="s">
        <v>92</v>
      </c>
      <c r="P2088" s="239">
        <v>8000</v>
      </c>
      <c r="Q2088" s="35">
        <v>1</v>
      </c>
      <c r="R2088" s="120">
        <f t="shared" si="54"/>
        <v>8000</v>
      </c>
      <c r="S2088" s="117">
        <v>202303</v>
      </c>
      <c r="T2088" s="18" t="s">
        <v>2769</v>
      </c>
      <c r="U2088" s="123"/>
      <c r="V2088" s="250"/>
      <c r="W2088" s="250"/>
      <c r="X2088" s="118">
        <v>44743</v>
      </c>
      <c r="Y2088" s="118">
        <v>45291</v>
      </c>
    </row>
    <row r="2089" s="9" customFormat="1" customHeight="1" spans="1:25">
      <c r="A2089" s="16" t="s">
        <v>61</v>
      </c>
      <c r="B2089" s="98" t="s">
        <v>62</v>
      </c>
      <c r="C2089" s="17" t="s">
        <v>63</v>
      </c>
      <c r="D2089" s="96" t="s">
        <v>75</v>
      </c>
      <c r="E2089" s="18" t="s">
        <v>2440</v>
      </c>
      <c r="F2089" s="16" t="s">
        <v>2441</v>
      </c>
      <c r="G2089" s="99" t="s">
        <v>88</v>
      </c>
      <c r="H2089" s="19" t="s">
        <v>2755</v>
      </c>
      <c r="I2089" s="23" t="str">
        <f>VLOOKUP(H2089,'合同综合查询数据（3月返）'!$A:$A,1,FALSE)</f>
        <v>182315IDC00031</v>
      </c>
      <c r="J2089" s="99" t="s">
        <v>90</v>
      </c>
      <c r="K2089" s="16" t="s">
        <v>2765</v>
      </c>
      <c r="L2089" s="25"/>
      <c r="M2089" s="26" t="s">
        <v>2770</v>
      </c>
      <c r="N2089" s="28">
        <v>44774</v>
      </c>
      <c r="O2089" s="28" t="s">
        <v>92</v>
      </c>
      <c r="P2089" s="239">
        <v>8000</v>
      </c>
      <c r="Q2089" s="35">
        <v>3</v>
      </c>
      <c r="R2089" s="120">
        <f t="shared" si="54"/>
        <v>24000</v>
      </c>
      <c r="S2089" s="117">
        <v>202303</v>
      </c>
      <c r="T2089" s="18" t="s">
        <v>2771</v>
      </c>
      <c r="U2089" s="123"/>
      <c r="V2089" s="250"/>
      <c r="W2089" s="250"/>
      <c r="X2089" s="118">
        <v>44743</v>
      </c>
      <c r="Y2089" s="118">
        <v>45291</v>
      </c>
    </row>
    <row r="2090" s="9" customFormat="1" customHeight="1" spans="1:25">
      <c r="A2090" s="16" t="s">
        <v>61</v>
      </c>
      <c r="B2090" s="98" t="s">
        <v>62</v>
      </c>
      <c r="C2090" s="17" t="s">
        <v>63</v>
      </c>
      <c r="D2090" s="96" t="s">
        <v>75</v>
      </c>
      <c r="E2090" s="18" t="s">
        <v>2440</v>
      </c>
      <c r="F2090" s="16" t="s">
        <v>2441</v>
      </c>
      <c r="G2090" s="99" t="s">
        <v>88</v>
      </c>
      <c r="H2090" s="19" t="s">
        <v>2755</v>
      </c>
      <c r="I2090" s="23" t="str">
        <f>VLOOKUP(H2090,'合同综合查询数据（3月返）'!$A:$A,1,FALSE)</f>
        <v>182315IDC00031</v>
      </c>
      <c r="J2090" s="99" t="s">
        <v>90</v>
      </c>
      <c r="K2090" s="16" t="s">
        <v>2772</v>
      </c>
      <c r="L2090" s="25"/>
      <c r="M2090" s="26" t="s">
        <v>2773</v>
      </c>
      <c r="N2090" s="28">
        <v>44743</v>
      </c>
      <c r="O2090" s="28" t="s">
        <v>92</v>
      </c>
      <c r="P2090" s="239">
        <v>8000</v>
      </c>
      <c r="Q2090" s="35">
        <v>1</v>
      </c>
      <c r="R2090" s="120">
        <f t="shared" si="54"/>
        <v>8000</v>
      </c>
      <c r="S2090" s="117">
        <v>202303</v>
      </c>
      <c r="T2090" s="18" t="s">
        <v>2774</v>
      </c>
      <c r="U2090" s="123"/>
      <c r="V2090" s="250"/>
      <c r="W2090" s="250"/>
      <c r="X2090" s="118">
        <v>44743</v>
      </c>
      <c r="Y2090" s="118">
        <v>45291</v>
      </c>
    </row>
    <row r="2091" s="9" customFormat="1" customHeight="1" spans="1:25">
      <c r="A2091" s="16" t="s">
        <v>61</v>
      </c>
      <c r="B2091" s="98" t="s">
        <v>62</v>
      </c>
      <c r="C2091" s="17" t="s">
        <v>63</v>
      </c>
      <c r="D2091" s="96" t="s">
        <v>75</v>
      </c>
      <c r="E2091" s="18" t="s">
        <v>2440</v>
      </c>
      <c r="F2091" s="16" t="s">
        <v>2441</v>
      </c>
      <c r="G2091" s="99" t="s">
        <v>88</v>
      </c>
      <c r="H2091" s="19" t="s">
        <v>2755</v>
      </c>
      <c r="I2091" s="23" t="str">
        <f>VLOOKUP(H2091,'合同综合查询数据（3月返）'!$A:$A,1,FALSE)</f>
        <v>182315IDC00031</v>
      </c>
      <c r="J2091" s="99" t="s">
        <v>90</v>
      </c>
      <c r="K2091" s="16" t="s">
        <v>2772</v>
      </c>
      <c r="L2091" s="25"/>
      <c r="M2091" s="26" t="s">
        <v>2775</v>
      </c>
      <c r="N2091" s="28">
        <v>44743</v>
      </c>
      <c r="O2091" s="28" t="s">
        <v>92</v>
      </c>
      <c r="P2091" s="239">
        <v>8000</v>
      </c>
      <c r="Q2091" s="35">
        <v>3</v>
      </c>
      <c r="R2091" s="120">
        <f t="shared" si="54"/>
        <v>24000</v>
      </c>
      <c r="S2091" s="117">
        <v>202303</v>
      </c>
      <c r="T2091" s="18" t="s">
        <v>2776</v>
      </c>
      <c r="U2091" s="123"/>
      <c r="V2091" s="250"/>
      <c r="W2091" s="250"/>
      <c r="X2091" s="118">
        <v>44743</v>
      </c>
      <c r="Y2091" s="118">
        <v>45291</v>
      </c>
    </row>
    <row r="2092" s="9" customFormat="1" customHeight="1" spans="1:25">
      <c r="A2092" s="16" t="s">
        <v>61</v>
      </c>
      <c r="B2092" s="98" t="s">
        <v>62</v>
      </c>
      <c r="C2092" s="17" t="s">
        <v>63</v>
      </c>
      <c r="D2092" s="96" t="s">
        <v>75</v>
      </c>
      <c r="E2092" s="18" t="s">
        <v>2440</v>
      </c>
      <c r="F2092" s="16" t="s">
        <v>2441</v>
      </c>
      <c r="G2092" s="99" t="s">
        <v>88</v>
      </c>
      <c r="H2092" s="19" t="s">
        <v>2755</v>
      </c>
      <c r="I2092" s="23" t="str">
        <f>VLOOKUP(H2092,'合同综合查询数据（3月返）'!$A:$A,1,FALSE)</f>
        <v>182315IDC00031</v>
      </c>
      <c r="J2092" s="99" t="s">
        <v>90</v>
      </c>
      <c r="K2092" s="16" t="s">
        <v>2772</v>
      </c>
      <c r="L2092" s="25"/>
      <c r="M2092" s="26" t="s">
        <v>2777</v>
      </c>
      <c r="N2092" s="28">
        <v>44743</v>
      </c>
      <c r="O2092" s="28" t="s">
        <v>92</v>
      </c>
      <c r="P2092" s="239">
        <v>8000</v>
      </c>
      <c r="Q2092" s="35">
        <v>1</v>
      </c>
      <c r="R2092" s="120">
        <f t="shared" si="54"/>
        <v>8000</v>
      </c>
      <c r="S2092" s="117">
        <v>202303</v>
      </c>
      <c r="T2092" s="18" t="s">
        <v>2778</v>
      </c>
      <c r="U2092" s="123"/>
      <c r="V2092" s="250"/>
      <c r="W2092" s="250"/>
      <c r="X2092" s="118">
        <v>44743</v>
      </c>
      <c r="Y2092" s="118">
        <v>45291</v>
      </c>
    </row>
    <row r="2093" s="9" customFormat="1" customHeight="1" spans="1:25">
      <c r="A2093" s="16" t="s">
        <v>61</v>
      </c>
      <c r="B2093" s="98" t="s">
        <v>62</v>
      </c>
      <c r="C2093" s="17" t="s">
        <v>63</v>
      </c>
      <c r="D2093" s="96" t="s">
        <v>75</v>
      </c>
      <c r="E2093" s="18" t="s">
        <v>2440</v>
      </c>
      <c r="F2093" s="16" t="s">
        <v>2441</v>
      </c>
      <c r="G2093" s="99" t="s">
        <v>302</v>
      </c>
      <c r="H2093" s="19" t="s">
        <v>2758</v>
      </c>
      <c r="I2093" s="23" t="str">
        <f>VLOOKUP(H2093,'合同综合查询数据（3月返）'!$A:$A,1,FALSE)</f>
        <v>182315IDC00043</v>
      </c>
      <c r="J2093" s="99" t="s">
        <v>302</v>
      </c>
      <c r="K2093" s="16" t="s">
        <v>2779</v>
      </c>
      <c r="L2093" s="25"/>
      <c r="M2093" s="26"/>
      <c r="N2093" s="28">
        <v>44866</v>
      </c>
      <c r="O2093" s="28" t="s">
        <v>2780</v>
      </c>
      <c r="P2093" s="239">
        <v>2455324.62</v>
      </c>
      <c r="Q2093" s="35">
        <v>1</v>
      </c>
      <c r="R2093" s="120">
        <f t="shared" si="54"/>
        <v>2455324.62</v>
      </c>
      <c r="S2093" s="117">
        <v>202303</v>
      </c>
      <c r="T2093" s="18" t="s">
        <v>2781</v>
      </c>
      <c r="U2093" s="123"/>
      <c r="V2093" s="250"/>
      <c r="W2093" s="250"/>
      <c r="X2093" s="118">
        <v>43682</v>
      </c>
      <c r="Y2093" s="118">
        <v>45508</v>
      </c>
    </row>
    <row r="2094" s="10" customFormat="1" customHeight="1" spans="1:25">
      <c r="A2094" s="42" t="s">
        <v>61</v>
      </c>
      <c r="B2094" s="61" t="s">
        <v>62</v>
      </c>
      <c r="C2094" s="43" t="s">
        <v>63</v>
      </c>
      <c r="D2094" s="60" t="s">
        <v>75</v>
      </c>
      <c r="E2094" s="44" t="s">
        <v>2440</v>
      </c>
      <c r="F2094" s="42" t="s">
        <v>2441</v>
      </c>
      <c r="G2094" s="66" t="s">
        <v>67</v>
      </c>
      <c r="H2094" s="45" t="s">
        <v>2782</v>
      </c>
      <c r="I2094" s="47" t="e">
        <f>VLOOKUP(H2094,'合同综合查询数据（3月返）'!$A:$A,1,FALSE)</f>
        <v>#N/A</v>
      </c>
      <c r="J2094" s="66" t="s">
        <v>69</v>
      </c>
      <c r="K2094" s="42" t="s">
        <v>2783</v>
      </c>
      <c r="L2094" s="49"/>
      <c r="M2094" s="50"/>
      <c r="N2094" s="51">
        <v>44896</v>
      </c>
      <c r="O2094" s="51" t="s">
        <v>71</v>
      </c>
      <c r="P2094" s="67">
        <v>2000</v>
      </c>
      <c r="Q2094" s="53">
        <v>1</v>
      </c>
      <c r="R2094" s="68">
        <f t="shared" si="54"/>
        <v>2000</v>
      </c>
      <c r="S2094" s="70">
        <v>202303</v>
      </c>
      <c r="T2094" s="247" t="s">
        <v>2784</v>
      </c>
      <c r="U2094" s="182"/>
      <c r="V2094" s="254"/>
      <c r="W2094" s="254"/>
      <c r="X2094" s="73"/>
      <c r="Y2094" s="73"/>
    </row>
    <row r="2095" s="79" customFormat="1" customHeight="1" spans="1:25">
      <c r="A2095" s="98" t="s">
        <v>403</v>
      </c>
      <c r="B2095" s="98" t="s">
        <v>62</v>
      </c>
      <c r="C2095" s="98" t="s">
        <v>217</v>
      </c>
      <c r="D2095" s="98" t="s">
        <v>566</v>
      </c>
      <c r="E2095" s="147" t="s">
        <v>905</v>
      </c>
      <c r="F2095" s="98" t="s">
        <v>906</v>
      </c>
      <c r="G2095" s="151" t="s">
        <v>88</v>
      </c>
      <c r="H2095" s="19" t="s">
        <v>1201</v>
      </c>
      <c r="I2095" s="23" t="e">
        <f>VLOOKUP(H2095,'合同综合查询数据（3月返）'!$A:$A,1,FALSE)</f>
        <v>#N/A</v>
      </c>
      <c r="J2095" s="24" t="s">
        <v>90</v>
      </c>
      <c r="K2095" s="188" t="s">
        <v>2785</v>
      </c>
      <c r="L2095" s="153"/>
      <c r="M2095" s="26" t="s">
        <v>909</v>
      </c>
      <c r="N2095" s="154">
        <v>44875</v>
      </c>
      <c r="O2095" s="155" t="s">
        <v>457</v>
      </c>
      <c r="P2095" s="156">
        <v>5900</v>
      </c>
      <c r="Q2095" s="156">
        <v>1</v>
      </c>
      <c r="R2095" s="120">
        <f t="shared" si="54"/>
        <v>5900</v>
      </c>
      <c r="S2095" s="117">
        <v>202303</v>
      </c>
      <c r="T2095" s="177" t="s">
        <v>2786</v>
      </c>
      <c r="U2095" s="133"/>
      <c r="V2095" s="133"/>
      <c r="W2095" s="133"/>
      <c r="X2095" s="118">
        <v>44844</v>
      </c>
      <c r="Y2095" s="118">
        <v>47036</v>
      </c>
    </row>
    <row r="2096" s="79" customFormat="1" customHeight="1" spans="1:25">
      <c r="A2096" s="98" t="s">
        <v>403</v>
      </c>
      <c r="B2096" s="98" t="s">
        <v>62</v>
      </c>
      <c r="C2096" s="98" t="s">
        <v>217</v>
      </c>
      <c r="D2096" s="98" t="s">
        <v>566</v>
      </c>
      <c r="E2096" s="147" t="s">
        <v>905</v>
      </c>
      <c r="F2096" s="98" t="s">
        <v>906</v>
      </c>
      <c r="G2096" s="151" t="s">
        <v>88</v>
      </c>
      <c r="H2096" s="19" t="s">
        <v>1201</v>
      </c>
      <c r="I2096" s="23" t="e">
        <f>VLOOKUP(H2096,'合同综合查询数据（3月返）'!$A:$A,1,FALSE)</f>
        <v>#N/A</v>
      </c>
      <c r="J2096" s="24" t="s">
        <v>90</v>
      </c>
      <c r="K2096" s="188" t="s">
        <v>2785</v>
      </c>
      <c r="L2096" s="153"/>
      <c r="M2096" s="26" t="s">
        <v>909</v>
      </c>
      <c r="N2096" s="154">
        <v>44875</v>
      </c>
      <c r="O2096" s="155" t="s">
        <v>461</v>
      </c>
      <c r="P2096" s="156">
        <v>8595</v>
      </c>
      <c r="Q2096" s="156">
        <v>87</v>
      </c>
      <c r="R2096" s="120">
        <f t="shared" si="54"/>
        <v>747765</v>
      </c>
      <c r="S2096" s="117">
        <v>202303</v>
      </c>
      <c r="T2096" s="177" t="s">
        <v>2787</v>
      </c>
      <c r="U2096" s="133"/>
      <c r="V2096" s="133"/>
      <c r="W2096" s="133"/>
      <c r="X2096" s="118">
        <v>44844</v>
      </c>
      <c r="Y2096" s="118">
        <v>47036</v>
      </c>
    </row>
    <row r="2097" s="79" customFormat="1" customHeight="1" spans="1:25">
      <c r="A2097" s="98" t="s">
        <v>403</v>
      </c>
      <c r="B2097" s="98" t="s">
        <v>62</v>
      </c>
      <c r="C2097" s="98" t="s">
        <v>217</v>
      </c>
      <c r="D2097" s="98" t="s">
        <v>566</v>
      </c>
      <c r="E2097" s="147" t="s">
        <v>905</v>
      </c>
      <c r="F2097" s="98" t="s">
        <v>906</v>
      </c>
      <c r="G2097" s="151" t="s">
        <v>88</v>
      </c>
      <c r="H2097" s="19" t="s">
        <v>1201</v>
      </c>
      <c r="I2097" s="23" t="e">
        <f>VLOOKUP(H2097,'合同综合查询数据（3月返）'!$A:$A,1,FALSE)</f>
        <v>#N/A</v>
      </c>
      <c r="J2097" s="24" t="s">
        <v>90</v>
      </c>
      <c r="K2097" s="188" t="s">
        <v>2785</v>
      </c>
      <c r="L2097" s="153"/>
      <c r="M2097" s="26" t="s">
        <v>909</v>
      </c>
      <c r="N2097" s="154">
        <v>44875</v>
      </c>
      <c r="O2097" s="155" t="s">
        <v>457</v>
      </c>
      <c r="P2097" s="156">
        <v>5900</v>
      </c>
      <c r="Q2097" s="156">
        <v>1</v>
      </c>
      <c r="R2097" s="120">
        <f t="shared" si="54"/>
        <v>5900</v>
      </c>
      <c r="S2097" s="117">
        <v>202303</v>
      </c>
      <c r="T2097" s="177" t="s">
        <v>2788</v>
      </c>
      <c r="U2097" s="133"/>
      <c r="V2097" s="133"/>
      <c r="W2097" s="133"/>
      <c r="X2097" s="118">
        <v>44844</v>
      </c>
      <c r="Y2097" s="118">
        <v>47036</v>
      </c>
    </row>
    <row r="2098" s="79" customFormat="1" customHeight="1" spans="1:25">
      <c r="A2098" s="98" t="s">
        <v>403</v>
      </c>
      <c r="B2098" s="98" t="s">
        <v>62</v>
      </c>
      <c r="C2098" s="98" t="s">
        <v>217</v>
      </c>
      <c r="D2098" s="98" t="s">
        <v>566</v>
      </c>
      <c r="E2098" s="147" t="s">
        <v>905</v>
      </c>
      <c r="F2098" s="98" t="s">
        <v>906</v>
      </c>
      <c r="G2098" s="151" t="s">
        <v>88</v>
      </c>
      <c r="H2098" s="19" t="s">
        <v>1201</v>
      </c>
      <c r="I2098" s="23" t="e">
        <f>VLOOKUP(H2098,'合同综合查询数据（3月返）'!$A:$A,1,FALSE)</f>
        <v>#N/A</v>
      </c>
      <c r="J2098" s="24" t="s">
        <v>90</v>
      </c>
      <c r="K2098" s="188" t="s">
        <v>2785</v>
      </c>
      <c r="L2098" s="153"/>
      <c r="M2098" s="26" t="s">
        <v>909</v>
      </c>
      <c r="N2098" s="154">
        <v>44935</v>
      </c>
      <c r="O2098" s="155" t="s">
        <v>461</v>
      </c>
      <c r="P2098" s="156">
        <v>8595</v>
      </c>
      <c r="Q2098" s="156">
        <v>14</v>
      </c>
      <c r="R2098" s="120">
        <f t="shared" si="54"/>
        <v>120330</v>
      </c>
      <c r="S2098" s="117">
        <v>202303</v>
      </c>
      <c r="T2098" s="177" t="s">
        <v>2789</v>
      </c>
      <c r="U2098" s="133"/>
      <c r="V2098" s="133"/>
      <c r="W2098" s="133"/>
      <c r="X2098" s="118">
        <v>44844</v>
      </c>
      <c r="Y2098" s="118">
        <v>47036</v>
      </c>
    </row>
    <row r="2099" s="79" customFormat="1" customHeight="1" spans="1:25">
      <c r="A2099" s="98" t="s">
        <v>403</v>
      </c>
      <c r="B2099" s="98" t="s">
        <v>62</v>
      </c>
      <c r="C2099" s="98" t="s">
        <v>217</v>
      </c>
      <c r="D2099" s="98" t="s">
        <v>566</v>
      </c>
      <c r="E2099" s="147" t="s">
        <v>905</v>
      </c>
      <c r="F2099" s="98" t="s">
        <v>906</v>
      </c>
      <c r="G2099" s="151" t="s">
        <v>88</v>
      </c>
      <c r="H2099" s="19" t="s">
        <v>1201</v>
      </c>
      <c r="I2099" s="23" t="e">
        <f>VLOOKUP(H2099,'合同综合查询数据（3月返）'!$A:$A,1,FALSE)</f>
        <v>#N/A</v>
      </c>
      <c r="J2099" s="24" t="s">
        <v>90</v>
      </c>
      <c r="K2099" s="188" t="s">
        <v>2785</v>
      </c>
      <c r="L2099" s="153"/>
      <c r="M2099" s="26" t="s">
        <v>909</v>
      </c>
      <c r="N2099" s="154">
        <v>44965</v>
      </c>
      <c r="O2099" s="155" t="s">
        <v>461</v>
      </c>
      <c r="P2099" s="156">
        <v>8595</v>
      </c>
      <c r="Q2099" s="156">
        <v>6</v>
      </c>
      <c r="R2099" s="120">
        <f t="shared" si="54"/>
        <v>51570</v>
      </c>
      <c r="S2099" s="117">
        <v>202303</v>
      </c>
      <c r="T2099" s="177" t="s">
        <v>2790</v>
      </c>
      <c r="U2099" s="133"/>
      <c r="V2099" s="133"/>
      <c r="W2099" s="133"/>
      <c r="X2099" s="118">
        <v>44844</v>
      </c>
      <c r="Y2099" s="118">
        <v>47036</v>
      </c>
    </row>
    <row r="2100" s="79" customFormat="1" customHeight="1" spans="1:25">
      <c r="A2100" s="98" t="s">
        <v>403</v>
      </c>
      <c r="B2100" s="98" t="s">
        <v>62</v>
      </c>
      <c r="C2100" s="98" t="s">
        <v>217</v>
      </c>
      <c r="D2100" s="98" t="s">
        <v>566</v>
      </c>
      <c r="E2100" s="147" t="s">
        <v>905</v>
      </c>
      <c r="F2100" s="98" t="s">
        <v>906</v>
      </c>
      <c r="G2100" s="151" t="s">
        <v>88</v>
      </c>
      <c r="H2100" s="19" t="s">
        <v>1201</v>
      </c>
      <c r="I2100" s="23" t="e">
        <f>VLOOKUP(H2100,'合同综合查询数据（3月返）'!$A:$A,1,FALSE)</f>
        <v>#N/A</v>
      </c>
      <c r="J2100" s="24" t="s">
        <v>90</v>
      </c>
      <c r="K2100" s="188" t="s">
        <v>2785</v>
      </c>
      <c r="L2100" s="153"/>
      <c r="M2100" s="26" t="s">
        <v>909</v>
      </c>
      <c r="N2100" s="154">
        <v>44967</v>
      </c>
      <c r="O2100" s="155" t="s">
        <v>461</v>
      </c>
      <c r="P2100" s="156">
        <v>8595</v>
      </c>
      <c r="Q2100" s="156">
        <v>12</v>
      </c>
      <c r="R2100" s="120">
        <f t="shared" si="54"/>
        <v>103140</v>
      </c>
      <c r="S2100" s="117">
        <v>202303</v>
      </c>
      <c r="T2100" s="177" t="s">
        <v>2791</v>
      </c>
      <c r="U2100" s="133"/>
      <c r="V2100" s="133"/>
      <c r="W2100" s="133"/>
      <c r="X2100" s="118">
        <v>44844</v>
      </c>
      <c r="Y2100" s="118">
        <v>47036</v>
      </c>
    </row>
    <row r="2101" s="79" customFormat="1" customHeight="1" spans="1:25">
      <c r="A2101" s="98" t="s">
        <v>403</v>
      </c>
      <c r="B2101" s="98" t="s">
        <v>62</v>
      </c>
      <c r="C2101" s="98" t="s">
        <v>217</v>
      </c>
      <c r="D2101" s="98" t="s">
        <v>566</v>
      </c>
      <c r="E2101" s="147" t="s">
        <v>905</v>
      </c>
      <c r="F2101" s="98" t="s">
        <v>906</v>
      </c>
      <c r="G2101" s="151" t="s">
        <v>88</v>
      </c>
      <c r="H2101" s="19" t="s">
        <v>1201</v>
      </c>
      <c r="I2101" s="23" t="e">
        <f>VLOOKUP(H2101,'合同综合查询数据（3月返）'!$A:$A,1,FALSE)</f>
        <v>#N/A</v>
      </c>
      <c r="J2101" s="24" t="s">
        <v>90</v>
      </c>
      <c r="K2101" s="188" t="s">
        <v>2785</v>
      </c>
      <c r="L2101" s="153"/>
      <c r="M2101" s="26" t="s">
        <v>909</v>
      </c>
      <c r="N2101" s="154">
        <v>44971</v>
      </c>
      <c r="O2101" s="155" t="s">
        <v>461</v>
      </c>
      <c r="P2101" s="156">
        <v>8595</v>
      </c>
      <c r="Q2101" s="156">
        <v>9</v>
      </c>
      <c r="R2101" s="120">
        <f t="shared" si="54"/>
        <v>77355</v>
      </c>
      <c r="S2101" s="117">
        <v>202303</v>
      </c>
      <c r="T2101" s="177" t="s">
        <v>2792</v>
      </c>
      <c r="U2101" s="133"/>
      <c r="V2101" s="133"/>
      <c r="W2101" s="133"/>
      <c r="X2101" s="118">
        <v>44844</v>
      </c>
      <c r="Y2101" s="118">
        <v>47036</v>
      </c>
    </row>
    <row r="2102" s="79" customFormat="1" customHeight="1" spans="1:25">
      <c r="A2102" s="98" t="s">
        <v>403</v>
      </c>
      <c r="B2102" s="98" t="s">
        <v>62</v>
      </c>
      <c r="C2102" s="98" t="s">
        <v>217</v>
      </c>
      <c r="D2102" s="98" t="s">
        <v>566</v>
      </c>
      <c r="E2102" s="147" t="s">
        <v>905</v>
      </c>
      <c r="F2102" s="98" t="s">
        <v>906</v>
      </c>
      <c r="G2102" s="151" t="s">
        <v>88</v>
      </c>
      <c r="H2102" s="19" t="s">
        <v>1201</v>
      </c>
      <c r="I2102" s="23" t="e">
        <f>VLOOKUP(H2102,'合同综合查询数据（3月返）'!$A:$A,1,FALSE)</f>
        <v>#N/A</v>
      </c>
      <c r="J2102" s="24" t="s">
        <v>90</v>
      </c>
      <c r="K2102" s="188" t="s">
        <v>2785</v>
      </c>
      <c r="L2102" s="153"/>
      <c r="M2102" s="26" t="s">
        <v>909</v>
      </c>
      <c r="N2102" s="154">
        <v>44973</v>
      </c>
      <c r="O2102" s="155" t="s">
        <v>461</v>
      </c>
      <c r="P2102" s="156">
        <v>8595</v>
      </c>
      <c r="Q2102" s="156">
        <v>18</v>
      </c>
      <c r="R2102" s="120">
        <f t="shared" si="54"/>
        <v>154710</v>
      </c>
      <c r="S2102" s="117">
        <v>202303</v>
      </c>
      <c r="T2102" s="177" t="s">
        <v>2793</v>
      </c>
      <c r="U2102" s="133"/>
      <c r="V2102" s="133"/>
      <c r="W2102" s="133"/>
      <c r="X2102" s="118">
        <v>44844</v>
      </c>
      <c r="Y2102" s="118">
        <v>47036</v>
      </c>
    </row>
    <row r="2103" s="79" customFormat="1" customHeight="1" spans="1:25">
      <c r="A2103" s="98" t="s">
        <v>403</v>
      </c>
      <c r="B2103" s="98" t="s">
        <v>62</v>
      </c>
      <c r="C2103" s="98" t="s">
        <v>217</v>
      </c>
      <c r="D2103" s="98" t="s">
        <v>566</v>
      </c>
      <c r="E2103" s="147" t="s">
        <v>905</v>
      </c>
      <c r="F2103" s="98" t="s">
        <v>906</v>
      </c>
      <c r="G2103" s="151" t="s">
        <v>88</v>
      </c>
      <c r="H2103" s="19" t="s">
        <v>1201</v>
      </c>
      <c r="I2103" s="23" t="e">
        <f>VLOOKUP(H2103,'合同综合查询数据（3月返）'!$A:$A,1,FALSE)</f>
        <v>#N/A</v>
      </c>
      <c r="J2103" s="24" t="s">
        <v>90</v>
      </c>
      <c r="K2103" s="188" t="s">
        <v>2785</v>
      </c>
      <c r="L2103" s="153"/>
      <c r="M2103" s="26" t="s">
        <v>909</v>
      </c>
      <c r="N2103" s="154">
        <v>44986</v>
      </c>
      <c r="O2103" s="155" t="s">
        <v>461</v>
      </c>
      <c r="P2103" s="156">
        <v>8595</v>
      </c>
      <c r="Q2103" s="156">
        <v>11</v>
      </c>
      <c r="R2103" s="120">
        <f t="shared" si="54"/>
        <v>94545</v>
      </c>
      <c r="S2103" s="117">
        <v>202303</v>
      </c>
      <c r="T2103" s="255" t="s">
        <v>2794</v>
      </c>
      <c r="U2103" s="133"/>
      <c r="V2103" s="133"/>
      <c r="W2103" s="133"/>
      <c r="X2103" s="118">
        <v>44844</v>
      </c>
      <c r="Y2103" s="118">
        <v>47036</v>
      </c>
    </row>
    <row r="2104" s="79" customFormat="1" customHeight="1" spans="1:25">
      <c r="A2104" s="98" t="s">
        <v>403</v>
      </c>
      <c r="B2104" s="98" t="s">
        <v>62</v>
      </c>
      <c r="C2104" s="98" t="s">
        <v>217</v>
      </c>
      <c r="D2104" s="98" t="s">
        <v>566</v>
      </c>
      <c r="E2104" s="147" t="s">
        <v>905</v>
      </c>
      <c r="F2104" s="98" t="s">
        <v>906</v>
      </c>
      <c r="G2104" s="151" t="s">
        <v>88</v>
      </c>
      <c r="H2104" s="19" t="s">
        <v>1201</v>
      </c>
      <c r="I2104" s="23" t="e">
        <f>VLOOKUP(H2104,'合同综合查询数据（3月返）'!$A:$A,1,FALSE)</f>
        <v>#N/A</v>
      </c>
      <c r="J2104" s="24" t="s">
        <v>90</v>
      </c>
      <c r="K2104" s="188" t="s">
        <v>2785</v>
      </c>
      <c r="L2104" s="153"/>
      <c r="M2104" s="26" t="s">
        <v>909</v>
      </c>
      <c r="N2104" s="154">
        <v>44994</v>
      </c>
      <c r="O2104" s="155" t="s">
        <v>461</v>
      </c>
      <c r="P2104" s="156">
        <v>8595</v>
      </c>
      <c r="Q2104" s="156">
        <v>4</v>
      </c>
      <c r="R2104" s="120">
        <f>ROUND(P2104*Q2104*23/31,2)</f>
        <v>25507.74</v>
      </c>
      <c r="S2104" s="117">
        <v>202303</v>
      </c>
      <c r="T2104" s="255" t="s">
        <v>2795</v>
      </c>
      <c r="U2104" s="133"/>
      <c r="V2104" s="133"/>
      <c r="W2104" s="133"/>
      <c r="X2104" s="118">
        <v>44844</v>
      </c>
      <c r="Y2104" s="118">
        <v>47036</v>
      </c>
    </row>
    <row r="2105" s="79" customFormat="1" customHeight="1" spans="1:25">
      <c r="A2105" s="98" t="s">
        <v>403</v>
      </c>
      <c r="B2105" s="98" t="s">
        <v>62</v>
      </c>
      <c r="C2105" s="98" t="s">
        <v>217</v>
      </c>
      <c r="D2105" s="98" t="s">
        <v>566</v>
      </c>
      <c r="E2105" s="147" t="s">
        <v>905</v>
      </c>
      <c r="F2105" s="98" t="s">
        <v>906</v>
      </c>
      <c r="G2105" s="151" t="s">
        <v>88</v>
      </c>
      <c r="H2105" s="19" t="s">
        <v>1201</v>
      </c>
      <c r="I2105" s="23" t="e">
        <f>VLOOKUP(H2105,'合同综合查询数据（3月返）'!$A:$A,1,FALSE)</f>
        <v>#N/A</v>
      </c>
      <c r="J2105" s="24" t="s">
        <v>90</v>
      </c>
      <c r="K2105" s="188" t="s">
        <v>2785</v>
      </c>
      <c r="L2105" s="153"/>
      <c r="M2105" s="26" t="s">
        <v>909</v>
      </c>
      <c r="N2105" s="154">
        <v>44998</v>
      </c>
      <c r="O2105" s="155" t="s">
        <v>461</v>
      </c>
      <c r="P2105" s="156">
        <v>8595</v>
      </c>
      <c r="Q2105" s="156">
        <v>30</v>
      </c>
      <c r="R2105" s="120">
        <f>ROUND(P2105*Q2105*19/31,2)</f>
        <v>158037.1</v>
      </c>
      <c r="S2105" s="117">
        <v>202303</v>
      </c>
      <c r="T2105" s="255" t="s">
        <v>2796</v>
      </c>
      <c r="U2105" s="133"/>
      <c r="V2105" s="133"/>
      <c r="W2105" s="133"/>
      <c r="X2105" s="118">
        <v>44844</v>
      </c>
      <c r="Y2105" s="118">
        <v>47036</v>
      </c>
    </row>
    <row r="2106" s="79" customFormat="1" customHeight="1" spans="1:25">
      <c r="A2106" s="98" t="s">
        <v>403</v>
      </c>
      <c r="B2106" s="98" t="s">
        <v>62</v>
      </c>
      <c r="C2106" s="98" t="s">
        <v>217</v>
      </c>
      <c r="D2106" s="98" t="s">
        <v>566</v>
      </c>
      <c r="E2106" s="147" t="s">
        <v>905</v>
      </c>
      <c r="F2106" s="98" t="s">
        <v>906</v>
      </c>
      <c r="G2106" s="151" t="s">
        <v>88</v>
      </c>
      <c r="H2106" s="19" t="s">
        <v>1201</v>
      </c>
      <c r="I2106" s="23" t="e">
        <f>VLOOKUP(H2106,'合同综合查询数据（3月返）'!$A:$A,1,FALSE)</f>
        <v>#N/A</v>
      </c>
      <c r="J2106" s="24" t="s">
        <v>90</v>
      </c>
      <c r="K2106" s="188" t="s">
        <v>2785</v>
      </c>
      <c r="L2106" s="153"/>
      <c r="M2106" s="26" t="s">
        <v>909</v>
      </c>
      <c r="N2106" s="154">
        <v>45000</v>
      </c>
      <c r="O2106" s="155" t="s">
        <v>461</v>
      </c>
      <c r="P2106" s="156">
        <v>8595</v>
      </c>
      <c r="Q2106" s="156">
        <v>3</v>
      </c>
      <c r="R2106" s="120">
        <f>ROUND(P2106*Q2106*17/31,2)</f>
        <v>14140.16</v>
      </c>
      <c r="S2106" s="117">
        <v>202303</v>
      </c>
      <c r="T2106" s="255" t="s">
        <v>2797</v>
      </c>
      <c r="U2106" s="133"/>
      <c r="V2106" s="133"/>
      <c r="W2106" s="133"/>
      <c r="X2106" s="118">
        <v>44844</v>
      </c>
      <c r="Y2106" s="118">
        <v>47036</v>
      </c>
    </row>
    <row r="2107" s="79" customFormat="1" customHeight="1" spans="1:25">
      <c r="A2107" s="98" t="s">
        <v>403</v>
      </c>
      <c r="B2107" s="98" t="s">
        <v>62</v>
      </c>
      <c r="C2107" s="98" t="s">
        <v>217</v>
      </c>
      <c r="D2107" s="98" t="s">
        <v>566</v>
      </c>
      <c r="E2107" s="147" t="s">
        <v>905</v>
      </c>
      <c r="F2107" s="98" t="s">
        <v>906</v>
      </c>
      <c r="G2107" s="151" t="s">
        <v>88</v>
      </c>
      <c r="H2107" s="19" t="s">
        <v>1201</v>
      </c>
      <c r="I2107" s="23" t="e">
        <f>VLOOKUP(H2107,'合同综合查询数据（3月返）'!$A:$A,1,FALSE)</f>
        <v>#N/A</v>
      </c>
      <c r="J2107" s="24" t="s">
        <v>90</v>
      </c>
      <c r="K2107" s="188" t="s">
        <v>2785</v>
      </c>
      <c r="L2107" s="153"/>
      <c r="M2107" s="26" t="s">
        <v>909</v>
      </c>
      <c r="N2107" s="154">
        <v>44875</v>
      </c>
      <c r="O2107" s="155" t="s">
        <v>461</v>
      </c>
      <c r="P2107" s="156">
        <v>-8595</v>
      </c>
      <c r="Q2107" s="156"/>
      <c r="R2107" s="120">
        <f>ROUND(P2107*24,2)</f>
        <v>-206280</v>
      </c>
      <c r="S2107" s="117">
        <v>202303</v>
      </c>
      <c r="T2107" s="177" t="s">
        <v>2798</v>
      </c>
      <c r="U2107" s="133"/>
      <c r="V2107" s="133"/>
      <c r="W2107" s="133"/>
      <c r="X2107" s="118">
        <v>44844</v>
      </c>
      <c r="Y2107" s="118">
        <v>47036</v>
      </c>
    </row>
    <row r="2108" s="79" customFormat="1" customHeight="1" spans="1:25">
      <c r="A2108" s="98" t="s">
        <v>403</v>
      </c>
      <c r="B2108" s="98" t="s">
        <v>62</v>
      </c>
      <c r="C2108" s="98" t="s">
        <v>217</v>
      </c>
      <c r="D2108" s="98" t="s">
        <v>566</v>
      </c>
      <c r="E2108" s="147" t="s">
        <v>905</v>
      </c>
      <c r="F2108" s="98" t="s">
        <v>906</v>
      </c>
      <c r="G2108" s="151" t="s">
        <v>88</v>
      </c>
      <c r="H2108" s="19" t="s">
        <v>1201</v>
      </c>
      <c r="I2108" s="23" t="e">
        <f>VLOOKUP(H2108,'合同综合查询数据（3月返）'!$A:$A,1,FALSE)</f>
        <v>#N/A</v>
      </c>
      <c r="J2108" s="24" t="s">
        <v>312</v>
      </c>
      <c r="K2108" s="188" t="s">
        <v>2799</v>
      </c>
      <c r="L2108" s="153"/>
      <c r="M2108" s="26" t="s">
        <v>909</v>
      </c>
      <c r="N2108" s="154"/>
      <c r="O2108" s="155"/>
      <c r="P2108" s="156">
        <v>300</v>
      </c>
      <c r="Q2108" s="156">
        <v>900</v>
      </c>
      <c r="R2108" s="120">
        <f t="shared" ref="R2108:R2118" si="55">ROUND(P2108*Q2108,2)</f>
        <v>270000</v>
      </c>
      <c r="S2108" s="117">
        <v>202303</v>
      </c>
      <c r="T2108" s="177" t="s">
        <v>2800</v>
      </c>
      <c r="U2108" s="133"/>
      <c r="V2108" s="133"/>
      <c r="W2108" s="133"/>
      <c r="X2108" s="118">
        <v>44844</v>
      </c>
      <c r="Y2108" s="118">
        <v>47036</v>
      </c>
    </row>
    <row r="2109" s="81" customFormat="1" customHeight="1" spans="1:25">
      <c r="A2109" s="61" t="s">
        <v>61</v>
      </c>
      <c r="B2109" s="61" t="s">
        <v>62</v>
      </c>
      <c r="C2109" s="61" t="s">
        <v>217</v>
      </c>
      <c r="D2109" s="60" t="s">
        <v>64</v>
      </c>
      <c r="E2109" s="160" t="s">
        <v>2801</v>
      </c>
      <c r="F2109" s="61" t="s">
        <v>2802</v>
      </c>
      <c r="G2109" s="161" t="s">
        <v>88</v>
      </c>
      <c r="H2109" s="45" t="s">
        <v>2803</v>
      </c>
      <c r="I2109" s="47" t="e">
        <f>VLOOKUP(H2109,'合同综合查询数据（3月返）'!$A:$A,1,FALSE)</f>
        <v>#N/A</v>
      </c>
      <c r="J2109" s="48" t="s">
        <v>90</v>
      </c>
      <c r="K2109" s="253" t="s">
        <v>2804</v>
      </c>
      <c r="L2109" s="164"/>
      <c r="M2109" s="50" t="s">
        <v>2805</v>
      </c>
      <c r="N2109" s="165">
        <v>44877</v>
      </c>
      <c r="O2109" s="172" t="s">
        <v>461</v>
      </c>
      <c r="P2109" s="171">
        <v>9267.6</v>
      </c>
      <c r="Q2109" s="171">
        <v>101</v>
      </c>
      <c r="R2109" s="68">
        <f t="shared" si="55"/>
        <v>936027.6</v>
      </c>
      <c r="S2109" s="70">
        <v>202303</v>
      </c>
      <c r="T2109" s="256" t="s">
        <v>2806</v>
      </c>
      <c r="U2109" s="143"/>
      <c r="V2109" s="143"/>
      <c r="W2109" s="143"/>
      <c r="X2109" s="73"/>
      <c r="Y2109" s="73"/>
    </row>
    <row r="2110" s="81" customFormat="1" customHeight="1" spans="1:25">
      <c r="A2110" s="61" t="s">
        <v>61</v>
      </c>
      <c r="B2110" s="61" t="s">
        <v>62</v>
      </c>
      <c r="C2110" s="61" t="s">
        <v>217</v>
      </c>
      <c r="D2110" s="60" t="s">
        <v>64</v>
      </c>
      <c r="E2110" s="160" t="s">
        <v>2801</v>
      </c>
      <c r="F2110" s="61" t="s">
        <v>2802</v>
      </c>
      <c r="G2110" s="161" t="s">
        <v>88</v>
      </c>
      <c r="H2110" s="45" t="s">
        <v>2803</v>
      </c>
      <c r="I2110" s="47" t="e">
        <f>VLOOKUP(H2110,'合同综合查询数据（3月返）'!$A:$A,1,FALSE)</f>
        <v>#N/A</v>
      </c>
      <c r="J2110" s="48" t="s">
        <v>90</v>
      </c>
      <c r="K2110" s="253" t="s">
        <v>2804</v>
      </c>
      <c r="L2110" s="164"/>
      <c r="M2110" s="50" t="s">
        <v>2805</v>
      </c>
      <c r="N2110" s="165">
        <v>44877</v>
      </c>
      <c r="O2110" s="172" t="s">
        <v>574</v>
      </c>
      <c r="P2110" s="171">
        <v>25275.26</v>
      </c>
      <c r="Q2110" s="171">
        <v>2</v>
      </c>
      <c r="R2110" s="68">
        <f t="shared" si="55"/>
        <v>50550.52</v>
      </c>
      <c r="S2110" s="70">
        <v>202303</v>
      </c>
      <c r="T2110" s="256" t="s">
        <v>2807</v>
      </c>
      <c r="U2110" s="143"/>
      <c r="V2110" s="143"/>
      <c r="W2110" s="143"/>
      <c r="X2110" s="73"/>
      <c r="Y2110" s="73"/>
    </row>
    <row r="2111" s="81" customFormat="1" customHeight="1" spans="1:25">
      <c r="A2111" s="61" t="s">
        <v>61</v>
      </c>
      <c r="B2111" s="61" t="s">
        <v>62</v>
      </c>
      <c r="C2111" s="61" t="s">
        <v>217</v>
      </c>
      <c r="D2111" s="60" t="s">
        <v>64</v>
      </c>
      <c r="E2111" s="160" t="s">
        <v>2801</v>
      </c>
      <c r="F2111" s="61" t="s">
        <v>2802</v>
      </c>
      <c r="G2111" s="161" t="s">
        <v>88</v>
      </c>
      <c r="H2111" s="45" t="s">
        <v>2803</v>
      </c>
      <c r="I2111" s="47" t="e">
        <f>VLOOKUP(H2111,'合同综合查询数据（3月返）'!$A:$A,1,FALSE)</f>
        <v>#N/A</v>
      </c>
      <c r="J2111" s="48" t="s">
        <v>90</v>
      </c>
      <c r="K2111" s="253" t="s">
        <v>2804</v>
      </c>
      <c r="L2111" s="164"/>
      <c r="M2111" s="50" t="s">
        <v>2805</v>
      </c>
      <c r="N2111" s="165">
        <v>44877</v>
      </c>
      <c r="O2111" s="172" t="s">
        <v>540</v>
      </c>
      <c r="P2111" s="171">
        <v>31594.08</v>
      </c>
      <c r="Q2111" s="171">
        <v>4</v>
      </c>
      <c r="R2111" s="68">
        <f t="shared" si="55"/>
        <v>126376.32</v>
      </c>
      <c r="S2111" s="70">
        <v>202303</v>
      </c>
      <c r="T2111" s="256" t="s">
        <v>2808</v>
      </c>
      <c r="U2111" s="143"/>
      <c r="V2111" s="143"/>
      <c r="W2111" s="143"/>
      <c r="X2111" s="73"/>
      <c r="Y2111" s="73"/>
    </row>
    <row r="2112" s="81" customFormat="1" customHeight="1" spans="1:25">
      <c r="A2112" s="61" t="s">
        <v>61</v>
      </c>
      <c r="B2112" s="61" t="s">
        <v>62</v>
      </c>
      <c r="C2112" s="61" t="s">
        <v>217</v>
      </c>
      <c r="D2112" s="60" t="s">
        <v>64</v>
      </c>
      <c r="E2112" s="160" t="s">
        <v>2801</v>
      </c>
      <c r="F2112" s="61" t="s">
        <v>2802</v>
      </c>
      <c r="G2112" s="161" t="s">
        <v>88</v>
      </c>
      <c r="H2112" s="45" t="s">
        <v>2803</v>
      </c>
      <c r="I2112" s="47" t="e">
        <f>VLOOKUP(H2112,'合同综合查询数据（3月返）'!$A:$A,1,FALSE)</f>
        <v>#N/A</v>
      </c>
      <c r="J2112" s="48" t="s">
        <v>90</v>
      </c>
      <c r="K2112" s="253" t="s">
        <v>2804</v>
      </c>
      <c r="L2112" s="164"/>
      <c r="M2112" s="50" t="s">
        <v>2805</v>
      </c>
      <c r="N2112" s="165">
        <v>44877</v>
      </c>
      <c r="O2112" s="172" t="s">
        <v>461</v>
      </c>
      <c r="P2112" s="171">
        <v>9267.6</v>
      </c>
      <c r="Q2112" s="171">
        <v>4</v>
      </c>
      <c r="R2112" s="68">
        <f t="shared" si="55"/>
        <v>37070.4</v>
      </c>
      <c r="S2112" s="70">
        <v>202303</v>
      </c>
      <c r="T2112" s="256" t="s">
        <v>2809</v>
      </c>
      <c r="U2112" s="143"/>
      <c r="V2112" s="143"/>
      <c r="W2112" s="143"/>
      <c r="X2112" s="73"/>
      <c r="Y2112" s="73"/>
    </row>
    <row r="2113" s="81" customFormat="1" customHeight="1" spans="1:25">
      <c r="A2113" s="61" t="s">
        <v>61</v>
      </c>
      <c r="B2113" s="61" t="s">
        <v>62</v>
      </c>
      <c r="C2113" s="61" t="s">
        <v>217</v>
      </c>
      <c r="D2113" s="60" t="s">
        <v>64</v>
      </c>
      <c r="E2113" s="160" t="s">
        <v>2801</v>
      </c>
      <c r="F2113" s="61" t="s">
        <v>2802</v>
      </c>
      <c r="G2113" s="161" t="s">
        <v>88</v>
      </c>
      <c r="H2113" s="45" t="s">
        <v>2803</v>
      </c>
      <c r="I2113" s="47" t="e">
        <f>VLOOKUP(H2113,'合同综合查询数据（3月返）'!$A:$A,1,FALSE)</f>
        <v>#N/A</v>
      </c>
      <c r="J2113" s="48" t="s">
        <v>90</v>
      </c>
      <c r="K2113" s="253" t="s">
        <v>2804</v>
      </c>
      <c r="L2113" s="164"/>
      <c r="M2113" s="50" t="s">
        <v>2805</v>
      </c>
      <c r="N2113" s="165">
        <v>44881</v>
      </c>
      <c r="O2113" s="172" t="s">
        <v>461</v>
      </c>
      <c r="P2113" s="171">
        <v>9267.6</v>
      </c>
      <c r="Q2113" s="171">
        <v>-7</v>
      </c>
      <c r="R2113" s="68">
        <f t="shared" si="55"/>
        <v>-64873.2</v>
      </c>
      <c r="S2113" s="70">
        <v>202303</v>
      </c>
      <c r="T2113" s="256" t="s">
        <v>2810</v>
      </c>
      <c r="U2113" s="143"/>
      <c r="V2113" s="143"/>
      <c r="W2113" s="143"/>
      <c r="X2113" s="73"/>
      <c r="Y2113" s="73"/>
    </row>
    <row r="2114" s="81" customFormat="1" customHeight="1" spans="1:25">
      <c r="A2114" s="61" t="s">
        <v>61</v>
      </c>
      <c r="B2114" s="61" t="s">
        <v>62</v>
      </c>
      <c r="C2114" s="61" t="s">
        <v>217</v>
      </c>
      <c r="D2114" s="60" t="s">
        <v>64</v>
      </c>
      <c r="E2114" s="160" t="s">
        <v>2801</v>
      </c>
      <c r="F2114" s="61" t="s">
        <v>2802</v>
      </c>
      <c r="G2114" s="161" t="s">
        <v>88</v>
      </c>
      <c r="H2114" s="45" t="s">
        <v>2803</v>
      </c>
      <c r="I2114" s="47" t="e">
        <f>VLOOKUP(H2114,'合同综合查询数据（3月返）'!$A:$A,1,FALSE)</f>
        <v>#N/A</v>
      </c>
      <c r="J2114" s="48" t="s">
        <v>90</v>
      </c>
      <c r="K2114" s="253" t="s">
        <v>2804</v>
      </c>
      <c r="L2114" s="164"/>
      <c r="M2114" s="50" t="s">
        <v>2805</v>
      </c>
      <c r="N2114" s="165">
        <v>44924</v>
      </c>
      <c r="O2114" s="172" t="s">
        <v>461</v>
      </c>
      <c r="P2114" s="171">
        <v>9267.6</v>
      </c>
      <c r="Q2114" s="171">
        <v>2</v>
      </c>
      <c r="R2114" s="68">
        <f t="shared" si="55"/>
        <v>18535.2</v>
      </c>
      <c r="S2114" s="70">
        <v>202303</v>
      </c>
      <c r="T2114" s="256" t="s">
        <v>2811</v>
      </c>
      <c r="U2114" s="143"/>
      <c r="V2114" s="143"/>
      <c r="W2114" s="143"/>
      <c r="X2114" s="73"/>
      <c r="Y2114" s="73"/>
    </row>
    <row r="2115" s="81" customFormat="1" customHeight="1" spans="1:25">
      <c r="A2115" s="61" t="s">
        <v>61</v>
      </c>
      <c r="B2115" s="61" t="s">
        <v>62</v>
      </c>
      <c r="C2115" s="61" t="s">
        <v>217</v>
      </c>
      <c r="D2115" s="60" t="s">
        <v>64</v>
      </c>
      <c r="E2115" s="160" t="s">
        <v>2801</v>
      </c>
      <c r="F2115" s="61" t="s">
        <v>2802</v>
      </c>
      <c r="G2115" s="161" t="s">
        <v>88</v>
      </c>
      <c r="H2115" s="45" t="s">
        <v>2803</v>
      </c>
      <c r="I2115" s="47" t="e">
        <f>VLOOKUP(H2115,'合同综合查询数据（3月返）'!$A:$A,1,FALSE)</f>
        <v>#N/A</v>
      </c>
      <c r="J2115" s="48" t="s">
        <v>90</v>
      </c>
      <c r="K2115" s="253" t="s">
        <v>2804</v>
      </c>
      <c r="L2115" s="164"/>
      <c r="M2115" s="50" t="s">
        <v>2805</v>
      </c>
      <c r="N2115" s="165">
        <v>44935</v>
      </c>
      <c r="O2115" s="172" t="s">
        <v>461</v>
      </c>
      <c r="P2115" s="171">
        <v>9267.6</v>
      </c>
      <c r="Q2115" s="171">
        <v>2</v>
      </c>
      <c r="R2115" s="68">
        <f t="shared" si="55"/>
        <v>18535.2</v>
      </c>
      <c r="S2115" s="70">
        <v>202303</v>
      </c>
      <c r="T2115" s="256" t="s">
        <v>2812</v>
      </c>
      <c r="U2115" s="143"/>
      <c r="V2115" s="143"/>
      <c r="W2115" s="143"/>
      <c r="X2115" s="73"/>
      <c r="Y2115" s="73"/>
    </row>
    <row r="2116" s="81" customFormat="1" customHeight="1" spans="1:25">
      <c r="A2116" s="61" t="s">
        <v>61</v>
      </c>
      <c r="B2116" s="61" t="s">
        <v>62</v>
      </c>
      <c r="C2116" s="61" t="s">
        <v>217</v>
      </c>
      <c r="D2116" s="60" t="s">
        <v>64</v>
      </c>
      <c r="E2116" s="160" t="s">
        <v>2801</v>
      </c>
      <c r="F2116" s="61" t="s">
        <v>2802</v>
      </c>
      <c r="G2116" s="161" t="s">
        <v>88</v>
      </c>
      <c r="H2116" s="45" t="s">
        <v>2803</v>
      </c>
      <c r="I2116" s="47" t="e">
        <f>VLOOKUP(H2116,'合同综合查询数据（3月返）'!$A:$A,1,FALSE)</f>
        <v>#N/A</v>
      </c>
      <c r="J2116" s="48" t="s">
        <v>90</v>
      </c>
      <c r="K2116" s="253" t="s">
        <v>2804</v>
      </c>
      <c r="L2116" s="164"/>
      <c r="M2116" s="50" t="s">
        <v>2805</v>
      </c>
      <c r="N2116" s="165">
        <v>44974</v>
      </c>
      <c r="O2116" s="172" t="s">
        <v>461</v>
      </c>
      <c r="P2116" s="171">
        <v>9267.6</v>
      </c>
      <c r="Q2116" s="171">
        <v>2</v>
      </c>
      <c r="R2116" s="68">
        <f t="shared" si="55"/>
        <v>18535.2</v>
      </c>
      <c r="S2116" s="70">
        <v>202303</v>
      </c>
      <c r="T2116" s="256" t="s">
        <v>2813</v>
      </c>
      <c r="U2116" s="143"/>
      <c r="V2116" s="143"/>
      <c r="W2116" s="143"/>
      <c r="X2116" s="73"/>
      <c r="Y2116" s="73"/>
    </row>
    <row r="2117" s="81" customFormat="1" customHeight="1" spans="1:25">
      <c r="A2117" s="61" t="s">
        <v>61</v>
      </c>
      <c r="B2117" s="61" t="s">
        <v>62</v>
      </c>
      <c r="C2117" s="61" t="s">
        <v>217</v>
      </c>
      <c r="D2117" s="60" t="s">
        <v>64</v>
      </c>
      <c r="E2117" s="160" t="s">
        <v>2801</v>
      </c>
      <c r="F2117" s="61" t="s">
        <v>2802</v>
      </c>
      <c r="G2117" s="161" t="s">
        <v>88</v>
      </c>
      <c r="H2117" s="45" t="s">
        <v>2803</v>
      </c>
      <c r="I2117" s="47" t="e">
        <f>VLOOKUP(H2117,'合同综合查询数据（3月返）'!$A:$A,1,FALSE)</f>
        <v>#N/A</v>
      </c>
      <c r="J2117" s="48" t="s">
        <v>90</v>
      </c>
      <c r="K2117" s="253" t="s">
        <v>2804</v>
      </c>
      <c r="L2117" s="164"/>
      <c r="M2117" s="50" t="s">
        <v>2805</v>
      </c>
      <c r="N2117" s="165">
        <v>44977</v>
      </c>
      <c r="O2117" s="172" t="s">
        <v>461</v>
      </c>
      <c r="P2117" s="171">
        <v>9267.6</v>
      </c>
      <c r="Q2117" s="171">
        <v>1</v>
      </c>
      <c r="R2117" s="68">
        <f t="shared" si="55"/>
        <v>9267.6</v>
      </c>
      <c r="S2117" s="70">
        <v>202303</v>
      </c>
      <c r="T2117" s="256" t="s">
        <v>2814</v>
      </c>
      <c r="U2117" s="143"/>
      <c r="V2117" s="143"/>
      <c r="W2117" s="143"/>
      <c r="X2117" s="73"/>
      <c r="Y2117" s="73"/>
    </row>
    <row r="2118" s="81" customFormat="1" customHeight="1" spans="1:25">
      <c r="A2118" s="61" t="s">
        <v>61</v>
      </c>
      <c r="B2118" s="61" t="s">
        <v>62</v>
      </c>
      <c r="C2118" s="61" t="s">
        <v>217</v>
      </c>
      <c r="D2118" s="60" t="s">
        <v>64</v>
      </c>
      <c r="E2118" s="160" t="s">
        <v>2801</v>
      </c>
      <c r="F2118" s="61" t="s">
        <v>2802</v>
      </c>
      <c r="G2118" s="161" t="s">
        <v>88</v>
      </c>
      <c r="H2118" s="45" t="s">
        <v>2803</v>
      </c>
      <c r="I2118" s="47" t="e">
        <f>VLOOKUP(H2118,'合同综合查询数据（3月返）'!$A:$A,1,FALSE)</f>
        <v>#N/A</v>
      </c>
      <c r="J2118" s="48" t="s">
        <v>90</v>
      </c>
      <c r="K2118" s="253" t="s">
        <v>2804</v>
      </c>
      <c r="L2118" s="164"/>
      <c r="M2118" s="50" t="s">
        <v>2805</v>
      </c>
      <c r="N2118" s="165">
        <v>44981</v>
      </c>
      <c r="O2118" s="172" t="s">
        <v>461</v>
      </c>
      <c r="P2118" s="171">
        <v>9267.6</v>
      </c>
      <c r="Q2118" s="171">
        <v>4</v>
      </c>
      <c r="R2118" s="68">
        <f t="shared" si="55"/>
        <v>37070.4</v>
      </c>
      <c r="S2118" s="70">
        <v>202303</v>
      </c>
      <c r="T2118" s="256" t="s">
        <v>2815</v>
      </c>
      <c r="U2118" s="143"/>
      <c r="V2118" s="143"/>
      <c r="W2118" s="143"/>
      <c r="X2118" s="73"/>
      <c r="Y2118" s="73"/>
    </row>
    <row r="2119" s="81" customFormat="1" customHeight="1" spans="1:25">
      <c r="A2119" s="61" t="s">
        <v>61</v>
      </c>
      <c r="B2119" s="61" t="s">
        <v>62</v>
      </c>
      <c r="C2119" s="61" t="s">
        <v>217</v>
      </c>
      <c r="D2119" s="60" t="s">
        <v>64</v>
      </c>
      <c r="E2119" s="160" t="s">
        <v>2801</v>
      </c>
      <c r="F2119" s="61" t="s">
        <v>2802</v>
      </c>
      <c r="G2119" s="161" t="s">
        <v>88</v>
      </c>
      <c r="H2119" s="45" t="s">
        <v>2803</v>
      </c>
      <c r="I2119" s="47" t="e">
        <f>VLOOKUP(H2119,'合同综合查询数据（3月返）'!$A:$A,1,FALSE)</f>
        <v>#N/A</v>
      </c>
      <c r="J2119" s="48" t="s">
        <v>90</v>
      </c>
      <c r="K2119" s="253" t="s">
        <v>2804</v>
      </c>
      <c r="L2119" s="164"/>
      <c r="M2119" s="50" t="s">
        <v>2805</v>
      </c>
      <c r="N2119" s="165">
        <v>44999</v>
      </c>
      <c r="O2119" s="172" t="s">
        <v>461</v>
      </c>
      <c r="P2119" s="171">
        <v>9267.6</v>
      </c>
      <c r="Q2119" s="171">
        <v>1</v>
      </c>
      <c r="R2119" s="68">
        <f>ROUND(P2119*Q2119*18/31,2)</f>
        <v>5381.19</v>
      </c>
      <c r="S2119" s="70">
        <v>202303</v>
      </c>
      <c r="T2119" s="257" t="s">
        <v>2816</v>
      </c>
      <c r="U2119" s="143"/>
      <c r="V2119" s="143"/>
      <c r="W2119" s="143"/>
      <c r="X2119" s="73"/>
      <c r="Y2119" s="73"/>
    </row>
    <row r="2120" s="81" customFormat="1" customHeight="1" spans="1:25">
      <c r="A2120" s="61" t="s">
        <v>61</v>
      </c>
      <c r="B2120" s="61" t="s">
        <v>62</v>
      </c>
      <c r="C2120" s="61" t="s">
        <v>217</v>
      </c>
      <c r="D2120" s="60" t="s">
        <v>64</v>
      </c>
      <c r="E2120" s="160" t="s">
        <v>2801</v>
      </c>
      <c r="F2120" s="61" t="s">
        <v>2802</v>
      </c>
      <c r="G2120" s="161" t="s">
        <v>88</v>
      </c>
      <c r="H2120" s="45" t="s">
        <v>2803</v>
      </c>
      <c r="I2120" s="47" t="e">
        <f>VLOOKUP(H2120,'合同综合查询数据（3月返）'!$A:$A,1,FALSE)</f>
        <v>#N/A</v>
      </c>
      <c r="J2120" s="48" t="s">
        <v>90</v>
      </c>
      <c r="K2120" s="253" t="s">
        <v>2804</v>
      </c>
      <c r="L2120" s="164"/>
      <c r="M2120" s="50" t="s">
        <v>2805</v>
      </c>
      <c r="N2120" s="165">
        <v>45003</v>
      </c>
      <c r="O2120" s="172" t="s">
        <v>461</v>
      </c>
      <c r="P2120" s="171">
        <v>9267.6</v>
      </c>
      <c r="Q2120" s="171">
        <v>3</v>
      </c>
      <c r="R2120" s="68">
        <f>ROUND(P2120*Q2120*14/31,2)</f>
        <v>12556.1</v>
      </c>
      <c r="S2120" s="70">
        <v>202303</v>
      </c>
      <c r="T2120" s="257" t="s">
        <v>2817</v>
      </c>
      <c r="U2120" s="143"/>
      <c r="V2120" s="143"/>
      <c r="W2120" s="143"/>
      <c r="X2120" s="73"/>
      <c r="Y2120" s="73"/>
    </row>
    <row r="2121" s="9" customFormat="1" customHeight="1" spans="1:25">
      <c r="A2121" s="104" t="s">
        <v>109</v>
      </c>
      <c r="B2121" s="95" t="s">
        <v>26</v>
      </c>
      <c r="C2121" s="94" t="s">
        <v>39</v>
      </c>
      <c r="D2121" s="95" t="s">
        <v>28</v>
      </c>
      <c r="E2121" s="105" t="s">
        <v>2818</v>
      </c>
      <c r="F2121" s="96" t="s">
        <v>2819</v>
      </c>
      <c r="G2121" s="96" t="s">
        <v>31</v>
      </c>
      <c r="H2121" s="19" t="s">
        <v>2820</v>
      </c>
      <c r="I2121" s="23" t="str">
        <f>VLOOKUP(H2121,'合同综合查询数据（3月返）'!$A:$A,1,FALSE)</f>
        <v>182315IDC00105</v>
      </c>
      <c r="J2121" s="24" t="s">
        <v>33</v>
      </c>
      <c r="K2121" s="96" t="s">
        <v>40</v>
      </c>
      <c r="L2121" s="114" t="s">
        <v>2821</v>
      </c>
      <c r="M2121" s="26" t="s">
        <v>2822</v>
      </c>
      <c r="N2121" s="106">
        <v>44927</v>
      </c>
      <c r="O2121" s="106" t="s">
        <v>37</v>
      </c>
      <c r="P2121" s="107">
        <v>0</v>
      </c>
      <c r="Q2121" s="116">
        <v>64</v>
      </c>
      <c r="R2121" s="119">
        <f>ROUND(P2121*Q2121,2)</f>
        <v>0</v>
      </c>
      <c r="S2121" s="117">
        <v>202303</v>
      </c>
      <c r="T2121" s="127" t="s">
        <v>2823</v>
      </c>
      <c r="U2121" s="258"/>
      <c r="V2121" s="123"/>
      <c r="W2121" s="123"/>
      <c r="X2121" s="118"/>
      <c r="Y2121" s="118"/>
    </row>
    <row r="2122" s="9" customFormat="1" customHeight="1" spans="1:25">
      <c r="A2122" s="104" t="s">
        <v>109</v>
      </c>
      <c r="B2122" s="95" t="s">
        <v>26</v>
      </c>
      <c r="C2122" s="94" t="s">
        <v>39</v>
      </c>
      <c r="D2122" s="95" t="s">
        <v>28</v>
      </c>
      <c r="E2122" s="105" t="s">
        <v>2818</v>
      </c>
      <c r="F2122" s="96" t="s">
        <v>2819</v>
      </c>
      <c r="G2122" s="96" t="s">
        <v>78</v>
      </c>
      <c r="H2122" s="19" t="s">
        <v>2820</v>
      </c>
      <c r="I2122" s="23" t="str">
        <f>VLOOKUP(H2122,'合同综合查询数据（3月返）'!$A:$A,1,FALSE)</f>
        <v>182315IDC00105</v>
      </c>
      <c r="J2122" s="96" t="s">
        <v>2824</v>
      </c>
      <c r="K2122" s="96" t="s">
        <v>40</v>
      </c>
      <c r="L2122" s="114" t="s">
        <v>2821</v>
      </c>
      <c r="M2122" s="26" t="s">
        <v>2822</v>
      </c>
      <c r="N2122" s="106">
        <v>44927</v>
      </c>
      <c r="O2122" s="106" t="s">
        <v>2825</v>
      </c>
      <c r="P2122" s="107">
        <v>97.63</v>
      </c>
      <c r="Q2122" s="120">
        <v>2</v>
      </c>
      <c r="R2122" s="120">
        <f>ROUND(P2122*Q2122*31,2)</f>
        <v>6053.06</v>
      </c>
      <c r="S2122" s="117">
        <v>202303</v>
      </c>
      <c r="T2122" s="127" t="s">
        <v>2826</v>
      </c>
      <c r="U2122" s="258"/>
      <c r="V2122" s="123"/>
      <c r="W2122" s="123"/>
      <c r="X2122" s="118"/>
      <c r="Y2122" s="118"/>
    </row>
    <row r="2123" s="9" customFormat="1" customHeight="1" spans="1:25">
      <c r="A2123" s="104" t="s">
        <v>109</v>
      </c>
      <c r="B2123" s="95" t="s">
        <v>26</v>
      </c>
      <c r="C2123" s="94" t="s">
        <v>39</v>
      </c>
      <c r="D2123" s="95" t="s">
        <v>28</v>
      </c>
      <c r="E2123" s="105" t="s">
        <v>2818</v>
      </c>
      <c r="F2123" s="96" t="s">
        <v>2819</v>
      </c>
      <c r="G2123" s="96" t="s">
        <v>78</v>
      </c>
      <c r="H2123" s="19" t="s">
        <v>2820</v>
      </c>
      <c r="I2123" s="23" t="str">
        <f>VLOOKUP(H2123,'合同综合查询数据（3月返）'!$A:$A,1,FALSE)</f>
        <v>182315IDC00105</v>
      </c>
      <c r="J2123" s="96" t="s">
        <v>2824</v>
      </c>
      <c r="K2123" s="96" t="s">
        <v>40</v>
      </c>
      <c r="L2123" s="114" t="s">
        <v>2821</v>
      </c>
      <c r="M2123" s="26" t="s">
        <v>2822</v>
      </c>
      <c r="N2123" s="106">
        <v>44927</v>
      </c>
      <c r="O2123" s="106" t="s">
        <v>2825</v>
      </c>
      <c r="P2123" s="107">
        <v>69.7</v>
      </c>
      <c r="Q2123" s="120">
        <v>14</v>
      </c>
      <c r="R2123" s="120">
        <f>ROUND(P2123*Q2123*31,2)</f>
        <v>30249.8</v>
      </c>
      <c r="S2123" s="117">
        <v>202303</v>
      </c>
      <c r="T2123" s="127" t="s">
        <v>2827</v>
      </c>
      <c r="U2123" s="258"/>
      <c r="V2123" s="123"/>
      <c r="W2123" s="123"/>
      <c r="X2123" s="118"/>
      <c r="Y2123" s="118"/>
    </row>
    <row r="2124" s="9" customFormat="1" customHeight="1" spans="1:25">
      <c r="A2124" s="104" t="s">
        <v>109</v>
      </c>
      <c r="B2124" s="95" t="s">
        <v>26</v>
      </c>
      <c r="C2124" s="94" t="s">
        <v>2828</v>
      </c>
      <c r="D2124" s="95" t="s">
        <v>28</v>
      </c>
      <c r="E2124" s="105" t="s">
        <v>2818</v>
      </c>
      <c r="F2124" s="96" t="s">
        <v>2819</v>
      </c>
      <c r="G2124" s="96" t="s">
        <v>31</v>
      </c>
      <c r="H2124" s="19" t="s">
        <v>2820</v>
      </c>
      <c r="I2124" s="23" t="str">
        <f>VLOOKUP(H2124,'合同综合查询数据（3月返）'!$A:$A,1,FALSE)</f>
        <v>182315IDC00105</v>
      </c>
      <c r="J2124" s="24" t="s">
        <v>33</v>
      </c>
      <c r="K2124" s="96" t="s">
        <v>2829</v>
      </c>
      <c r="L2124" s="114" t="s">
        <v>2830</v>
      </c>
      <c r="M2124" s="26" t="s">
        <v>2831</v>
      </c>
      <c r="N2124" s="106">
        <v>44927</v>
      </c>
      <c r="O2124" s="106" t="s">
        <v>37</v>
      </c>
      <c r="P2124" s="107">
        <v>0</v>
      </c>
      <c r="Q2124" s="107">
        <v>64</v>
      </c>
      <c r="R2124" s="119">
        <f>ROUND(P2124*Q2124,2)</f>
        <v>0</v>
      </c>
      <c r="S2124" s="117">
        <v>202303</v>
      </c>
      <c r="T2124" s="127" t="s">
        <v>2832</v>
      </c>
      <c r="U2124" s="258"/>
      <c r="V2124" s="123"/>
      <c r="W2124" s="123"/>
      <c r="X2124" s="118"/>
      <c r="Y2124" s="118"/>
    </row>
    <row r="2125" s="9" customFormat="1" customHeight="1" spans="1:25">
      <c r="A2125" s="104" t="s">
        <v>109</v>
      </c>
      <c r="B2125" s="95" t="s">
        <v>26</v>
      </c>
      <c r="C2125" s="94" t="s">
        <v>2828</v>
      </c>
      <c r="D2125" s="95" t="s">
        <v>28</v>
      </c>
      <c r="E2125" s="105" t="s">
        <v>2818</v>
      </c>
      <c r="F2125" s="96" t="s">
        <v>2819</v>
      </c>
      <c r="G2125" s="96" t="s">
        <v>78</v>
      </c>
      <c r="H2125" s="19" t="s">
        <v>2820</v>
      </c>
      <c r="I2125" s="23" t="str">
        <f>VLOOKUP(H2125,'合同综合查询数据（3月返）'!$A:$A,1,FALSE)</f>
        <v>182315IDC00105</v>
      </c>
      <c r="J2125" s="96" t="s">
        <v>2824</v>
      </c>
      <c r="K2125" s="96" t="s">
        <v>2829</v>
      </c>
      <c r="L2125" s="114" t="s">
        <v>2830</v>
      </c>
      <c r="M2125" s="26" t="s">
        <v>2831</v>
      </c>
      <c r="N2125" s="106">
        <v>44927</v>
      </c>
      <c r="O2125" s="106" t="s">
        <v>2825</v>
      </c>
      <c r="P2125" s="107">
        <v>97.63</v>
      </c>
      <c r="Q2125" s="120">
        <v>2</v>
      </c>
      <c r="R2125" s="120">
        <f>ROUND(P2125*Q2125*31,2)</f>
        <v>6053.06</v>
      </c>
      <c r="S2125" s="117">
        <v>202303</v>
      </c>
      <c r="T2125" s="127" t="s">
        <v>2826</v>
      </c>
      <c r="U2125" s="258"/>
      <c r="V2125" s="123"/>
      <c r="W2125" s="123"/>
      <c r="X2125" s="118"/>
      <c r="Y2125" s="118"/>
    </row>
    <row r="2126" s="9" customFormat="1" customHeight="1" spans="1:25">
      <c r="A2126" s="104" t="s">
        <v>109</v>
      </c>
      <c r="B2126" s="95" t="s">
        <v>26</v>
      </c>
      <c r="C2126" s="94" t="s">
        <v>2828</v>
      </c>
      <c r="D2126" s="95" t="s">
        <v>28</v>
      </c>
      <c r="E2126" s="105" t="s">
        <v>2818</v>
      </c>
      <c r="F2126" s="96" t="s">
        <v>2819</v>
      </c>
      <c r="G2126" s="96" t="s">
        <v>78</v>
      </c>
      <c r="H2126" s="19" t="s">
        <v>2820</v>
      </c>
      <c r="I2126" s="23" t="str">
        <f>VLOOKUP(H2126,'合同综合查询数据（3月返）'!$A:$A,1,FALSE)</f>
        <v>182315IDC00105</v>
      </c>
      <c r="J2126" s="96" t="s">
        <v>2824</v>
      </c>
      <c r="K2126" s="96" t="s">
        <v>2829</v>
      </c>
      <c r="L2126" s="114" t="s">
        <v>2830</v>
      </c>
      <c r="M2126" s="26" t="s">
        <v>2831</v>
      </c>
      <c r="N2126" s="106">
        <v>44927</v>
      </c>
      <c r="O2126" s="106" t="s">
        <v>2825</v>
      </c>
      <c r="P2126" s="107">
        <v>69.7</v>
      </c>
      <c r="Q2126" s="120">
        <v>18</v>
      </c>
      <c r="R2126" s="120">
        <f>ROUND(P2126*Q2126*31,2)</f>
        <v>38892.6</v>
      </c>
      <c r="S2126" s="117">
        <v>202303</v>
      </c>
      <c r="T2126" s="127" t="s">
        <v>2827</v>
      </c>
      <c r="U2126" s="258"/>
      <c r="V2126" s="123"/>
      <c r="W2126" s="123"/>
      <c r="X2126" s="118"/>
      <c r="Y2126" s="118"/>
    </row>
    <row r="2127" s="9" customFormat="1" customHeight="1" spans="1:25">
      <c r="A2127" s="104" t="s">
        <v>109</v>
      </c>
      <c r="B2127" s="95" t="s">
        <v>26</v>
      </c>
      <c r="C2127" s="94" t="s">
        <v>2833</v>
      </c>
      <c r="D2127" s="95" t="s">
        <v>28</v>
      </c>
      <c r="E2127" s="105" t="s">
        <v>2818</v>
      </c>
      <c r="F2127" s="96" t="s">
        <v>2819</v>
      </c>
      <c r="G2127" s="96" t="s">
        <v>31</v>
      </c>
      <c r="H2127" s="19" t="s">
        <v>2820</v>
      </c>
      <c r="I2127" s="23" t="str">
        <f>VLOOKUP(H2127,'合同综合查询数据（3月返）'!$A:$A,1,FALSE)</f>
        <v>182315IDC00105</v>
      </c>
      <c r="J2127" s="24" t="s">
        <v>33</v>
      </c>
      <c r="K2127" s="96" t="s">
        <v>2834</v>
      </c>
      <c r="L2127" s="114" t="s">
        <v>2835</v>
      </c>
      <c r="M2127" s="26" t="s">
        <v>2836</v>
      </c>
      <c r="N2127" s="106">
        <v>44927</v>
      </c>
      <c r="O2127" s="106" t="s">
        <v>37</v>
      </c>
      <c r="P2127" s="107">
        <v>0</v>
      </c>
      <c r="Q2127" s="116">
        <v>64</v>
      </c>
      <c r="R2127" s="119">
        <f>ROUND(P2127*Q2127,2)</f>
        <v>0</v>
      </c>
      <c r="S2127" s="117">
        <v>202303</v>
      </c>
      <c r="T2127" s="127" t="s">
        <v>2837</v>
      </c>
      <c r="U2127" s="258"/>
      <c r="V2127" s="123"/>
      <c r="W2127" s="123"/>
      <c r="X2127" s="118"/>
      <c r="Y2127" s="118"/>
    </row>
    <row r="2128" s="9" customFormat="1" customHeight="1" spans="1:25">
      <c r="A2128" s="104" t="s">
        <v>109</v>
      </c>
      <c r="B2128" s="95" t="s">
        <v>26</v>
      </c>
      <c r="C2128" s="94" t="s">
        <v>2833</v>
      </c>
      <c r="D2128" s="95" t="s">
        <v>28</v>
      </c>
      <c r="E2128" s="105" t="s">
        <v>2818</v>
      </c>
      <c r="F2128" s="96" t="s">
        <v>2819</v>
      </c>
      <c r="G2128" s="96" t="s">
        <v>78</v>
      </c>
      <c r="H2128" s="19" t="s">
        <v>2820</v>
      </c>
      <c r="I2128" s="23" t="str">
        <f>VLOOKUP(H2128,'合同综合查询数据（3月返）'!$A:$A,1,FALSE)</f>
        <v>182315IDC00105</v>
      </c>
      <c r="J2128" s="96" t="s">
        <v>2824</v>
      </c>
      <c r="K2128" s="96" t="s">
        <v>2834</v>
      </c>
      <c r="L2128" s="114" t="s">
        <v>2835</v>
      </c>
      <c r="M2128" s="26" t="s">
        <v>2836</v>
      </c>
      <c r="N2128" s="106">
        <v>44927</v>
      </c>
      <c r="O2128" s="106" t="s">
        <v>2825</v>
      </c>
      <c r="P2128" s="107">
        <v>97.63</v>
      </c>
      <c r="Q2128" s="120">
        <v>2</v>
      </c>
      <c r="R2128" s="120">
        <f>ROUND(P2128*Q2128*31,2)</f>
        <v>6053.06</v>
      </c>
      <c r="S2128" s="117">
        <v>202303</v>
      </c>
      <c r="T2128" s="127" t="s">
        <v>2826</v>
      </c>
      <c r="U2128" s="258"/>
      <c r="V2128" s="123"/>
      <c r="W2128" s="123"/>
      <c r="X2128" s="118"/>
      <c r="Y2128" s="118"/>
    </row>
    <row r="2129" s="9" customFormat="1" customHeight="1" spans="1:25">
      <c r="A2129" s="104" t="s">
        <v>109</v>
      </c>
      <c r="B2129" s="95" t="s">
        <v>26</v>
      </c>
      <c r="C2129" s="94" t="s">
        <v>2833</v>
      </c>
      <c r="D2129" s="95" t="s">
        <v>28</v>
      </c>
      <c r="E2129" s="105" t="s">
        <v>2818</v>
      </c>
      <c r="F2129" s="96" t="s">
        <v>2819</v>
      </c>
      <c r="G2129" s="96" t="s">
        <v>78</v>
      </c>
      <c r="H2129" s="19" t="s">
        <v>2820</v>
      </c>
      <c r="I2129" s="23" t="str">
        <f>VLOOKUP(H2129,'合同综合查询数据（3月返）'!$A:$A,1,FALSE)</f>
        <v>182315IDC00105</v>
      </c>
      <c r="J2129" s="96" t="s">
        <v>2824</v>
      </c>
      <c r="K2129" s="96" t="s">
        <v>2834</v>
      </c>
      <c r="L2129" s="114" t="s">
        <v>2835</v>
      </c>
      <c r="M2129" s="26" t="s">
        <v>2836</v>
      </c>
      <c r="N2129" s="106">
        <v>44927</v>
      </c>
      <c r="O2129" s="106" t="s">
        <v>2825</v>
      </c>
      <c r="P2129" s="107">
        <v>69.7</v>
      </c>
      <c r="Q2129" s="120">
        <v>9</v>
      </c>
      <c r="R2129" s="120">
        <f>ROUND(P2129*Q2129*31,2)</f>
        <v>19446.3</v>
      </c>
      <c r="S2129" s="117">
        <v>202303</v>
      </c>
      <c r="T2129" s="127" t="s">
        <v>2827</v>
      </c>
      <c r="U2129" s="258"/>
      <c r="V2129" s="123"/>
      <c r="W2129" s="123"/>
      <c r="X2129" s="118"/>
      <c r="Y2129" s="118"/>
    </row>
    <row r="2130" s="9" customFormat="1" customHeight="1" spans="1:25">
      <c r="A2130" s="104" t="s">
        <v>109</v>
      </c>
      <c r="B2130" s="95" t="s">
        <v>26</v>
      </c>
      <c r="C2130" s="94" t="s">
        <v>2833</v>
      </c>
      <c r="D2130" s="95" t="s">
        <v>28</v>
      </c>
      <c r="E2130" s="105" t="s">
        <v>2818</v>
      </c>
      <c r="F2130" s="96" t="s">
        <v>2819</v>
      </c>
      <c r="G2130" s="96" t="s">
        <v>78</v>
      </c>
      <c r="H2130" s="19" t="s">
        <v>2820</v>
      </c>
      <c r="I2130" s="23" t="str">
        <f>VLOOKUP(H2130,'合同综合查询数据（3月返）'!$A:$A,1,FALSE)</f>
        <v>182315IDC00105</v>
      </c>
      <c r="J2130" s="96" t="s">
        <v>2824</v>
      </c>
      <c r="K2130" s="96" t="s">
        <v>2834</v>
      </c>
      <c r="L2130" s="114" t="s">
        <v>2835</v>
      </c>
      <c r="M2130" s="26" t="s">
        <v>2836</v>
      </c>
      <c r="N2130" s="106">
        <v>44958</v>
      </c>
      <c r="O2130" s="106" t="s">
        <v>2825</v>
      </c>
      <c r="P2130" s="107">
        <v>69.7</v>
      </c>
      <c r="Q2130" s="120">
        <v>8</v>
      </c>
      <c r="R2130" s="120">
        <f>ROUND(P2130*Q2130*31,2)</f>
        <v>17285.6</v>
      </c>
      <c r="S2130" s="117">
        <v>202303</v>
      </c>
      <c r="T2130" s="127" t="s">
        <v>2838</v>
      </c>
      <c r="U2130" s="258"/>
      <c r="V2130" s="123"/>
      <c r="W2130" s="123"/>
      <c r="X2130" s="118"/>
      <c r="Y2130" s="118"/>
    </row>
    <row r="2131" s="10" customFormat="1" customHeight="1" spans="1:25">
      <c r="A2131" s="61" t="s">
        <v>403</v>
      </c>
      <c r="B2131" s="60" t="s">
        <v>62</v>
      </c>
      <c r="C2131" s="61" t="s">
        <v>130</v>
      </c>
      <c r="D2131" s="61" t="s">
        <v>881</v>
      </c>
      <c r="E2131" s="160" t="s">
        <v>882</v>
      </c>
      <c r="F2131" s="61" t="s">
        <v>883</v>
      </c>
      <c r="G2131" s="161" t="s">
        <v>88</v>
      </c>
      <c r="H2131" s="45" t="s">
        <v>2839</v>
      </c>
      <c r="I2131" s="47" t="e">
        <f>VLOOKUP(H2131,'合同综合查询数据（3月返）'!$A:$A,1,FALSE)</f>
        <v>#N/A</v>
      </c>
      <c r="J2131" s="135" t="s">
        <v>126</v>
      </c>
      <c r="K2131" s="135"/>
      <c r="L2131" s="164" t="s">
        <v>2840</v>
      </c>
      <c r="M2131" s="50" t="s">
        <v>2841</v>
      </c>
      <c r="N2131" s="165">
        <v>44927</v>
      </c>
      <c r="O2131" s="172" t="s">
        <v>92</v>
      </c>
      <c r="P2131" s="196">
        <v>4000</v>
      </c>
      <c r="Q2131" s="237">
        <v>4</v>
      </c>
      <c r="R2131" s="68">
        <f t="shared" ref="R2131:R2146" si="56">ROUND(P2131*Q2131,2)</f>
        <v>16000</v>
      </c>
      <c r="S2131" s="70">
        <v>202303</v>
      </c>
      <c r="T2131" s="170" t="s">
        <v>2842</v>
      </c>
      <c r="U2131" s="170"/>
      <c r="V2131" s="259"/>
      <c r="W2131" s="259"/>
      <c r="X2131" s="73"/>
      <c r="Y2131" s="73"/>
    </row>
    <row r="2132" s="10" customFormat="1" customHeight="1" spans="1:25">
      <c r="A2132" s="61" t="s">
        <v>403</v>
      </c>
      <c r="B2132" s="60" t="s">
        <v>62</v>
      </c>
      <c r="C2132" s="61" t="s">
        <v>130</v>
      </c>
      <c r="D2132" s="61" t="s">
        <v>881</v>
      </c>
      <c r="E2132" s="160" t="s">
        <v>882</v>
      </c>
      <c r="F2132" s="61" t="s">
        <v>883</v>
      </c>
      <c r="G2132" s="161" t="s">
        <v>31</v>
      </c>
      <c r="H2132" s="45" t="s">
        <v>2839</v>
      </c>
      <c r="I2132" s="47" t="e">
        <f>VLOOKUP(H2132,'合同综合查询数据（3月返）'!$A:$A,1,FALSE)</f>
        <v>#N/A</v>
      </c>
      <c r="J2132" s="135" t="s">
        <v>33</v>
      </c>
      <c r="K2132" s="135"/>
      <c r="L2132" s="164" t="s">
        <v>2840</v>
      </c>
      <c r="M2132" s="50" t="s">
        <v>2841</v>
      </c>
      <c r="N2132" s="165">
        <v>44927</v>
      </c>
      <c r="O2132" s="172"/>
      <c r="P2132" s="196">
        <v>0</v>
      </c>
      <c r="Q2132" s="237">
        <v>288</v>
      </c>
      <c r="R2132" s="68">
        <f t="shared" si="56"/>
        <v>0</v>
      </c>
      <c r="S2132" s="70">
        <v>202303</v>
      </c>
      <c r="T2132" s="170" t="s">
        <v>2843</v>
      </c>
      <c r="U2132" s="170"/>
      <c r="V2132" s="259"/>
      <c r="W2132" s="259"/>
      <c r="X2132" s="73"/>
      <c r="Y2132" s="73"/>
    </row>
    <row r="2133" s="10" customFormat="1" customHeight="1" spans="1:25">
      <c r="A2133" s="42" t="s">
        <v>61</v>
      </c>
      <c r="B2133" s="61" t="s">
        <v>62</v>
      </c>
      <c r="C2133" s="43" t="s">
        <v>63</v>
      </c>
      <c r="D2133" s="60" t="s">
        <v>75</v>
      </c>
      <c r="E2133" s="44" t="s">
        <v>2440</v>
      </c>
      <c r="F2133" s="42" t="s">
        <v>2441</v>
      </c>
      <c r="G2133" s="66" t="s">
        <v>67</v>
      </c>
      <c r="H2133" s="45" t="s">
        <v>2844</v>
      </c>
      <c r="I2133" s="47" t="e">
        <f>VLOOKUP(H2133,'合同综合查询数据（3月返）'!$A:$A,1,FALSE)</f>
        <v>#N/A</v>
      </c>
      <c r="J2133" s="66" t="s">
        <v>69</v>
      </c>
      <c r="K2133" s="42" t="s">
        <v>2845</v>
      </c>
      <c r="L2133" s="49"/>
      <c r="M2133" s="50"/>
      <c r="N2133" s="51">
        <v>44939</v>
      </c>
      <c r="O2133" s="51" t="s">
        <v>2249</v>
      </c>
      <c r="P2133" s="67">
        <v>400</v>
      </c>
      <c r="Q2133" s="53">
        <v>110</v>
      </c>
      <c r="R2133" s="68">
        <f t="shared" si="56"/>
        <v>44000</v>
      </c>
      <c r="S2133" s="70">
        <v>202303</v>
      </c>
      <c r="T2133" s="247" t="s">
        <v>2846</v>
      </c>
      <c r="U2133" s="44"/>
      <c r="V2133" s="235"/>
      <c r="W2133" s="235"/>
      <c r="X2133" s="73"/>
      <c r="Y2133" s="73"/>
    </row>
    <row r="2134" s="10" customFormat="1" customHeight="1" spans="1:25">
      <c r="A2134" s="42" t="s">
        <v>61</v>
      </c>
      <c r="B2134" s="61" t="s">
        <v>62</v>
      </c>
      <c r="C2134" s="43" t="s">
        <v>63</v>
      </c>
      <c r="D2134" s="60" t="s">
        <v>75</v>
      </c>
      <c r="E2134" s="44" t="s">
        <v>2440</v>
      </c>
      <c r="F2134" s="42" t="s">
        <v>2441</v>
      </c>
      <c r="G2134" s="66" t="s">
        <v>67</v>
      </c>
      <c r="H2134" s="45" t="s">
        <v>2844</v>
      </c>
      <c r="I2134" s="47" t="e">
        <f>VLOOKUP(H2134,'合同综合查询数据（3月返）'!$A:$A,1,FALSE)</f>
        <v>#N/A</v>
      </c>
      <c r="J2134" s="66" t="s">
        <v>69</v>
      </c>
      <c r="K2134" s="42" t="s">
        <v>2847</v>
      </c>
      <c r="L2134" s="49"/>
      <c r="M2134" s="50"/>
      <c r="N2134" s="51">
        <v>44927</v>
      </c>
      <c r="O2134" s="51" t="s">
        <v>2249</v>
      </c>
      <c r="P2134" s="67">
        <v>400</v>
      </c>
      <c r="Q2134" s="53">
        <v>200</v>
      </c>
      <c r="R2134" s="68">
        <f t="shared" si="56"/>
        <v>80000</v>
      </c>
      <c r="S2134" s="70">
        <v>202303</v>
      </c>
      <c r="T2134" s="247" t="s">
        <v>2848</v>
      </c>
      <c r="U2134" s="44"/>
      <c r="V2134" s="235"/>
      <c r="W2134" s="235"/>
      <c r="X2134" s="73"/>
      <c r="Y2134" s="73"/>
    </row>
    <row r="2135" s="9" customFormat="1" customHeight="1" spans="1:25">
      <c r="A2135" s="98" t="s">
        <v>399</v>
      </c>
      <c r="B2135" s="96" t="s">
        <v>62</v>
      </c>
      <c r="C2135" s="94" t="s">
        <v>217</v>
      </c>
      <c r="D2135" s="96" t="s">
        <v>566</v>
      </c>
      <c r="E2135" s="23" t="s">
        <v>2849</v>
      </c>
      <c r="F2135" s="94" t="s">
        <v>2850</v>
      </c>
      <c r="G2135" s="151" t="s">
        <v>88</v>
      </c>
      <c r="H2135" s="100" t="s">
        <v>2851</v>
      </c>
      <c r="I2135" s="23" t="e">
        <f>VLOOKUP(H2135,'合同综合查询数据（3月返）'!$A:$A,1,FALSE)</f>
        <v>#N/A</v>
      </c>
      <c r="J2135" s="129" t="s">
        <v>126</v>
      </c>
      <c r="K2135" s="109" t="s">
        <v>2852</v>
      </c>
      <c r="L2135" s="153" t="s">
        <v>2850</v>
      </c>
      <c r="M2135" s="26" t="s">
        <v>2853</v>
      </c>
      <c r="N2135" s="154">
        <v>44927</v>
      </c>
      <c r="O2135" s="155" t="s">
        <v>92</v>
      </c>
      <c r="P2135" s="156">
        <v>4300</v>
      </c>
      <c r="Q2135" s="107">
        <v>1</v>
      </c>
      <c r="R2135" s="120">
        <f t="shared" si="56"/>
        <v>4300</v>
      </c>
      <c r="S2135" s="117">
        <v>202303</v>
      </c>
      <c r="T2135" s="157" t="s">
        <v>2854</v>
      </c>
      <c r="U2135" s="157"/>
      <c r="V2135" s="122"/>
      <c r="W2135" s="122"/>
      <c r="X2135" s="118">
        <v>44905</v>
      </c>
      <c r="Y2135" s="118">
        <v>45269</v>
      </c>
    </row>
    <row r="2136" s="9" customFormat="1" customHeight="1" spans="1:25">
      <c r="A2136" s="98" t="s">
        <v>399</v>
      </c>
      <c r="B2136" s="96" t="s">
        <v>62</v>
      </c>
      <c r="C2136" s="94" t="s">
        <v>217</v>
      </c>
      <c r="D2136" s="96" t="s">
        <v>566</v>
      </c>
      <c r="E2136" s="23" t="s">
        <v>2849</v>
      </c>
      <c r="F2136" s="94" t="s">
        <v>2850</v>
      </c>
      <c r="G2136" s="151" t="s">
        <v>31</v>
      </c>
      <c r="H2136" s="100" t="s">
        <v>2851</v>
      </c>
      <c r="I2136" s="23" t="e">
        <f>VLOOKUP(H2136,'合同综合查询数据（3月返）'!$A:$A,1,FALSE)</f>
        <v>#N/A</v>
      </c>
      <c r="J2136" s="129" t="s">
        <v>33</v>
      </c>
      <c r="K2136" s="109" t="s">
        <v>2852</v>
      </c>
      <c r="L2136" s="153" t="s">
        <v>2850</v>
      </c>
      <c r="M2136" s="26" t="s">
        <v>2853</v>
      </c>
      <c r="N2136" s="154">
        <v>44927</v>
      </c>
      <c r="O2136" s="155"/>
      <c r="P2136" s="156">
        <v>0</v>
      </c>
      <c r="Q2136" s="107">
        <v>32</v>
      </c>
      <c r="R2136" s="120">
        <f t="shared" si="56"/>
        <v>0</v>
      </c>
      <c r="S2136" s="117">
        <v>202303</v>
      </c>
      <c r="T2136" s="157" t="s">
        <v>2855</v>
      </c>
      <c r="U2136" s="157"/>
      <c r="V2136" s="122"/>
      <c r="W2136" s="122"/>
      <c r="X2136" s="118">
        <v>44905</v>
      </c>
      <c r="Y2136" s="118">
        <v>45269</v>
      </c>
    </row>
    <row r="2137" s="10" customFormat="1" customHeight="1" spans="1:25">
      <c r="A2137" s="60" t="s">
        <v>399</v>
      </c>
      <c r="B2137" s="61" t="s">
        <v>62</v>
      </c>
      <c r="C2137" s="60" t="s">
        <v>217</v>
      </c>
      <c r="D2137" s="60" t="s">
        <v>566</v>
      </c>
      <c r="E2137" s="63" t="s">
        <v>2220</v>
      </c>
      <c r="F2137" s="62" t="s">
        <v>2221</v>
      </c>
      <c r="G2137" s="161" t="s">
        <v>31</v>
      </c>
      <c r="H2137" s="45" t="s">
        <v>2222</v>
      </c>
      <c r="I2137" s="47" t="e">
        <f>VLOOKUP(H2137,'合同综合查询数据（3月返）'!$A:$A,1,FALSE)</f>
        <v>#N/A</v>
      </c>
      <c r="J2137" s="62" t="s">
        <v>33</v>
      </c>
      <c r="K2137" s="62" t="s">
        <v>2236</v>
      </c>
      <c r="L2137" s="66" t="s">
        <v>2237</v>
      </c>
      <c r="M2137" s="50" t="s">
        <v>2856</v>
      </c>
      <c r="N2137" s="165">
        <v>43580</v>
      </c>
      <c r="O2137" s="172"/>
      <c r="P2137" s="124">
        <v>0</v>
      </c>
      <c r="Q2137" s="112">
        <v>256</v>
      </c>
      <c r="R2137" s="68">
        <f t="shared" si="56"/>
        <v>0</v>
      </c>
      <c r="S2137" s="70">
        <v>202303</v>
      </c>
      <c r="T2137" s="170" t="s">
        <v>2857</v>
      </c>
      <c r="U2137" s="170"/>
      <c r="V2137" s="146"/>
      <c r="W2137" s="146"/>
      <c r="X2137" s="73"/>
      <c r="Y2137" s="73"/>
    </row>
    <row r="2138" s="10" customFormat="1" customHeight="1" spans="1:25">
      <c r="A2138" s="60" t="s">
        <v>399</v>
      </c>
      <c r="B2138" s="61" t="s">
        <v>62</v>
      </c>
      <c r="C2138" s="60" t="s">
        <v>217</v>
      </c>
      <c r="D2138" s="60" t="s">
        <v>566</v>
      </c>
      <c r="E2138" s="63" t="s">
        <v>2220</v>
      </c>
      <c r="F2138" s="62" t="s">
        <v>2221</v>
      </c>
      <c r="G2138" s="161" t="s">
        <v>31</v>
      </c>
      <c r="H2138" s="45" t="s">
        <v>2222</v>
      </c>
      <c r="I2138" s="47" t="e">
        <f>VLOOKUP(H2138,'合同综合查询数据（3月返）'!$A:$A,1,FALSE)</f>
        <v>#N/A</v>
      </c>
      <c r="J2138" s="62" t="s">
        <v>33</v>
      </c>
      <c r="K2138" s="62" t="s">
        <v>2236</v>
      </c>
      <c r="L2138" s="66" t="s">
        <v>2237</v>
      </c>
      <c r="M2138" s="50" t="s">
        <v>2856</v>
      </c>
      <c r="N2138" s="165">
        <v>43580</v>
      </c>
      <c r="O2138" s="172"/>
      <c r="P2138" s="124">
        <v>0</v>
      </c>
      <c r="Q2138" s="112">
        <v>288</v>
      </c>
      <c r="R2138" s="68">
        <f t="shared" si="56"/>
        <v>0</v>
      </c>
      <c r="S2138" s="70">
        <v>202303</v>
      </c>
      <c r="T2138" s="170" t="s">
        <v>2858</v>
      </c>
      <c r="U2138" s="170"/>
      <c r="V2138" s="146"/>
      <c r="W2138" s="146"/>
      <c r="X2138" s="73"/>
      <c r="Y2138" s="73"/>
    </row>
    <row r="2139" s="10" customFormat="1" customHeight="1" spans="1:25">
      <c r="A2139" s="60" t="s">
        <v>399</v>
      </c>
      <c r="B2139" s="61" t="s">
        <v>62</v>
      </c>
      <c r="C2139" s="60" t="s">
        <v>217</v>
      </c>
      <c r="D2139" s="60" t="s">
        <v>566</v>
      </c>
      <c r="E2139" s="63" t="s">
        <v>2220</v>
      </c>
      <c r="F2139" s="62" t="s">
        <v>2221</v>
      </c>
      <c r="G2139" s="161" t="s">
        <v>31</v>
      </c>
      <c r="H2139" s="45" t="s">
        <v>2222</v>
      </c>
      <c r="I2139" s="47" t="e">
        <f>VLOOKUP(H2139,'合同综合查询数据（3月返）'!$A:$A,1,FALSE)</f>
        <v>#N/A</v>
      </c>
      <c r="J2139" s="62" t="s">
        <v>33</v>
      </c>
      <c r="K2139" s="62" t="s">
        <v>2236</v>
      </c>
      <c r="L2139" s="66" t="s">
        <v>2237</v>
      </c>
      <c r="M2139" s="50" t="s">
        <v>2856</v>
      </c>
      <c r="N2139" s="165">
        <v>44773</v>
      </c>
      <c r="O2139" s="172"/>
      <c r="P2139" s="124">
        <v>0</v>
      </c>
      <c r="Q2139" s="112">
        <v>-288</v>
      </c>
      <c r="R2139" s="68">
        <f t="shared" si="56"/>
        <v>0</v>
      </c>
      <c r="S2139" s="70">
        <v>202303</v>
      </c>
      <c r="T2139" s="170" t="s">
        <v>2859</v>
      </c>
      <c r="U2139" s="170"/>
      <c r="V2139" s="146"/>
      <c r="W2139" s="146"/>
      <c r="X2139" s="73"/>
      <c r="Y2139" s="73"/>
    </row>
    <row r="2140" s="10" customFormat="1" customHeight="1" spans="1:25">
      <c r="A2140" s="60" t="s">
        <v>399</v>
      </c>
      <c r="B2140" s="61" t="s">
        <v>62</v>
      </c>
      <c r="C2140" s="60" t="s">
        <v>217</v>
      </c>
      <c r="D2140" s="60" t="s">
        <v>566</v>
      </c>
      <c r="E2140" s="63" t="s">
        <v>2220</v>
      </c>
      <c r="F2140" s="62" t="s">
        <v>2221</v>
      </c>
      <c r="G2140" s="161" t="s">
        <v>31</v>
      </c>
      <c r="H2140" s="45" t="s">
        <v>2222</v>
      </c>
      <c r="I2140" s="47" t="e">
        <f>VLOOKUP(H2140,'合同综合查询数据（3月返）'!$A:$A,1,FALSE)</f>
        <v>#N/A</v>
      </c>
      <c r="J2140" s="62" t="s">
        <v>33</v>
      </c>
      <c r="K2140" s="62" t="s">
        <v>2236</v>
      </c>
      <c r="L2140" s="66" t="s">
        <v>2237</v>
      </c>
      <c r="M2140" s="50" t="s">
        <v>2856</v>
      </c>
      <c r="N2140" s="165">
        <v>43678</v>
      </c>
      <c r="O2140" s="172"/>
      <c r="P2140" s="124">
        <v>0</v>
      </c>
      <c r="Q2140" s="112">
        <v>128</v>
      </c>
      <c r="R2140" s="68">
        <f t="shared" si="56"/>
        <v>0</v>
      </c>
      <c r="S2140" s="70">
        <v>202303</v>
      </c>
      <c r="T2140" s="170" t="s">
        <v>2860</v>
      </c>
      <c r="U2140" s="170"/>
      <c r="V2140" s="146"/>
      <c r="W2140" s="146"/>
      <c r="X2140" s="73"/>
      <c r="Y2140" s="73"/>
    </row>
    <row r="2141" s="10" customFormat="1" customHeight="1" spans="1:25">
      <c r="A2141" s="60" t="s">
        <v>399</v>
      </c>
      <c r="B2141" s="61" t="s">
        <v>62</v>
      </c>
      <c r="C2141" s="60" t="s">
        <v>217</v>
      </c>
      <c r="D2141" s="60" t="s">
        <v>566</v>
      </c>
      <c r="E2141" s="63" t="s">
        <v>2220</v>
      </c>
      <c r="F2141" s="62" t="s">
        <v>2221</v>
      </c>
      <c r="G2141" s="161" t="s">
        <v>31</v>
      </c>
      <c r="H2141" s="45" t="s">
        <v>2222</v>
      </c>
      <c r="I2141" s="47" t="e">
        <f>VLOOKUP(H2141,'合同综合查询数据（3月返）'!$A:$A,1,FALSE)</f>
        <v>#N/A</v>
      </c>
      <c r="J2141" s="62" t="s">
        <v>33</v>
      </c>
      <c r="K2141" s="62" t="s">
        <v>2236</v>
      </c>
      <c r="L2141" s="66" t="s">
        <v>2237</v>
      </c>
      <c r="M2141" s="50" t="s">
        <v>2856</v>
      </c>
      <c r="N2141" s="165">
        <v>43678</v>
      </c>
      <c r="O2141" s="172"/>
      <c r="P2141" s="124">
        <v>0</v>
      </c>
      <c r="Q2141" s="112">
        <v>256</v>
      </c>
      <c r="R2141" s="68">
        <f t="shared" si="56"/>
        <v>0</v>
      </c>
      <c r="S2141" s="70">
        <v>202303</v>
      </c>
      <c r="T2141" s="170" t="s">
        <v>2861</v>
      </c>
      <c r="U2141" s="170"/>
      <c r="V2141" s="146"/>
      <c r="W2141" s="146"/>
      <c r="X2141" s="73"/>
      <c r="Y2141" s="73"/>
    </row>
    <row r="2142" s="10" customFormat="1" customHeight="1" spans="1:25">
      <c r="A2142" s="60" t="s">
        <v>399</v>
      </c>
      <c r="B2142" s="61" t="s">
        <v>62</v>
      </c>
      <c r="C2142" s="60" t="s">
        <v>217</v>
      </c>
      <c r="D2142" s="60" t="s">
        <v>566</v>
      </c>
      <c r="E2142" s="63" t="s">
        <v>2220</v>
      </c>
      <c r="F2142" s="62" t="s">
        <v>2221</v>
      </c>
      <c r="G2142" s="161" t="s">
        <v>31</v>
      </c>
      <c r="H2142" s="45" t="s">
        <v>2222</v>
      </c>
      <c r="I2142" s="47" t="e">
        <f>VLOOKUP(H2142,'合同综合查询数据（3月返）'!$A:$A,1,FALSE)</f>
        <v>#N/A</v>
      </c>
      <c r="J2142" s="62" t="s">
        <v>33</v>
      </c>
      <c r="K2142" s="62" t="s">
        <v>2236</v>
      </c>
      <c r="L2142" s="66" t="s">
        <v>2237</v>
      </c>
      <c r="M2142" s="50" t="s">
        <v>2856</v>
      </c>
      <c r="N2142" s="165">
        <v>44773</v>
      </c>
      <c r="O2142" s="172"/>
      <c r="P2142" s="124">
        <v>0</v>
      </c>
      <c r="Q2142" s="112">
        <v>-256</v>
      </c>
      <c r="R2142" s="68">
        <f t="shared" si="56"/>
        <v>0</v>
      </c>
      <c r="S2142" s="70">
        <v>202303</v>
      </c>
      <c r="T2142" s="170" t="s">
        <v>2862</v>
      </c>
      <c r="U2142" s="170"/>
      <c r="V2142" s="146"/>
      <c r="W2142" s="146"/>
      <c r="X2142" s="73"/>
      <c r="Y2142" s="73"/>
    </row>
    <row r="2143" s="10" customFormat="1" customHeight="1" spans="1:25">
      <c r="A2143" s="60" t="s">
        <v>399</v>
      </c>
      <c r="B2143" s="61" t="s">
        <v>62</v>
      </c>
      <c r="C2143" s="60" t="s">
        <v>217</v>
      </c>
      <c r="D2143" s="60" t="s">
        <v>566</v>
      </c>
      <c r="E2143" s="63" t="s">
        <v>2220</v>
      </c>
      <c r="F2143" s="62" t="s">
        <v>2221</v>
      </c>
      <c r="G2143" s="161" t="s">
        <v>31</v>
      </c>
      <c r="H2143" s="45" t="s">
        <v>2222</v>
      </c>
      <c r="I2143" s="47" t="e">
        <f>VLOOKUP(H2143,'合同综合查询数据（3月返）'!$A:$A,1,FALSE)</f>
        <v>#N/A</v>
      </c>
      <c r="J2143" s="62" t="s">
        <v>33</v>
      </c>
      <c r="K2143" s="62" t="s">
        <v>2236</v>
      </c>
      <c r="L2143" s="66" t="s">
        <v>2237</v>
      </c>
      <c r="M2143" s="50" t="s">
        <v>2856</v>
      </c>
      <c r="N2143" s="165">
        <v>44573</v>
      </c>
      <c r="O2143" s="172"/>
      <c r="P2143" s="124">
        <v>0</v>
      </c>
      <c r="Q2143" s="112">
        <v>128</v>
      </c>
      <c r="R2143" s="68">
        <f t="shared" si="56"/>
        <v>0</v>
      </c>
      <c r="S2143" s="70">
        <v>202303</v>
      </c>
      <c r="T2143" s="170" t="s">
        <v>2863</v>
      </c>
      <c r="U2143" s="170"/>
      <c r="V2143" s="146"/>
      <c r="W2143" s="146"/>
      <c r="X2143" s="73"/>
      <c r="Y2143" s="73"/>
    </row>
    <row r="2144" s="9" customFormat="1" customHeight="1" spans="1:25">
      <c r="A2144" s="16" t="s">
        <v>61</v>
      </c>
      <c r="B2144" s="98" t="s">
        <v>62</v>
      </c>
      <c r="C2144" s="17" t="s">
        <v>63</v>
      </c>
      <c r="D2144" s="96" t="s">
        <v>75</v>
      </c>
      <c r="E2144" s="18" t="s">
        <v>2314</v>
      </c>
      <c r="F2144" s="16" t="s">
        <v>2315</v>
      </c>
      <c r="G2144" s="99" t="s">
        <v>302</v>
      </c>
      <c r="H2144" s="19" t="s">
        <v>2864</v>
      </c>
      <c r="I2144" s="23" t="e">
        <f>VLOOKUP(H2144,'合同综合查询数据（3月返）'!$A:$A,1,FALSE)</f>
        <v>#N/A</v>
      </c>
      <c r="J2144" s="99" t="s">
        <v>302</v>
      </c>
      <c r="K2144" s="16" t="s">
        <v>2865</v>
      </c>
      <c r="L2144" s="25"/>
      <c r="M2144" s="26"/>
      <c r="N2144" s="28">
        <v>44874</v>
      </c>
      <c r="O2144" s="28" t="s">
        <v>2866</v>
      </c>
      <c r="P2144" s="239">
        <v>97670.59</v>
      </c>
      <c r="Q2144" s="35">
        <v>1</v>
      </c>
      <c r="R2144" s="120">
        <f t="shared" si="56"/>
        <v>97670.59</v>
      </c>
      <c r="S2144" s="117">
        <v>202303</v>
      </c>
      <c r="T2144" s="18" t="s">
        <v>2867</v>
      </c>
      <c r="U2144" s="123"/>
      <c r="V2144" s="123"/>
      <c r="W2144" s="123"/>
      <c r="X2144" s="118">
        <v>44824</v>
      </c>
      <c r="Y2144" s="118">
        <v>46691</v>
      </c>
    </row>
    <row r="2145" s="9" customFormat="1" customHeight="1" spans="1:25">
      <c r="A2145" s="16" t="s">
        <v>61</v>
      </c>
      <c r="B2145" s="98" t="s">
        <v>62</v>
      </c>
      <c r="C2145" s="17" t="s">
        <v>63</v>
      </c>
      <c r="D2145" s="96" t="s">
        <v>75</v>
      </c>
      <c r="E2145" s="18" t="s">
        <v>2314</v>
      </c>
      <c r="F2145" s="16" t="s">
        <v>2315</v>
      </c>
      <c r="G2145" s="99" t="s">
        <v>302</v>
      </c>
      <c r="H2145" s="19" t="s">
        <v>2864</v>
      </c>
      <c r="I2145" s="23" t="e">
        <f>VLOOKUP(H2145,'合同综合查询数据（3月返）'!$A:$A,1,FALSE)</f>
        <v>#N/A</v>
      </c>
      <c r="J2145" s="99" t="s">
        <v>302</v>
      </c>
      <c r="K2145" s="16" t="s">
        <v>2868</v>
      </c>
      <c r="L2145" s="25"/>
      <c r="M2145" s="26"/>
      <c r="N2145" s="28">
        <v>44824</v>
      </c>
      <c r="O2145" s="28" t="s">
        <v>2866</v>
      </c>
      <c r="P2145" s="239">
        <v>62682.35</v>
      </c>
      <c r="Q2145" s="35">
        <v>1</v>
      </c>
      <c r="R2145" s="120">
        <f t="shared" si="56"/>
        <v>62682.35</v>
      </c>
      <c r="S2145" s="117">
        <v>202303</v>
      </c>
      <c r="T2145" s="18" t="s">
        <v>2869</v>
      </c>
      <c r="U2145" s="123"/>
      <c r="V2145" s="123"/>
      <c r="W2145" s="123"/>
      <c r="X2145" s="118">
        <v>44824</v>
      </c>
      <c r="Y2145" s="118">
        <v>46691</v>
      </c>
    </row>
    <row r="2146" s="9" customFormat="1" customHeight="1" spans="1:25">
      <c r="A2146" s="104" t="s">
        <v>109</v>
      </c>
      <c r="B2146" s="95" t="s">
        <v>26</v>
      </c>
      <c r="C2146" s="96" t="s">
        <v>50</v>
      </c>
      <c r="D2146" s="95" t="s">
        <v>28</v>
      </c>
      <c r="E2146" s="105" t="s">
        <v>2818</v>
      </c>
      <c r="F2146" s="96" t="s">
        <v>2819</v>
      </c>
      <c r="G2146" s="96" t="s">
        <v>31</v>
      </c>
      <c r="H2146" s="19" t="s">
        <v>2820</v>
      </c>
      <c r="I2146" s="23" t="str">
        <f>VLOOKUP(H2146,'合同综合查询数据（3月返）'!$A:$A,1,FALSE)</f>
        <v>182315IDC00105</v>
      </c>
      <c r="J2146" s="24" t="s">
        <v>33</v>
      </c>
      <c r="K2146" s="96" t="s">
        <v>50</v>
      </c>
      <c r="L2146" s="114" t="s">
        <v>2870</v>
      </c>
      <c r="M2146" s="26" t="s">
        <v>2871</v>
      </c>
      <c r="N2146" s="106">
        <v>44958</v>
      </c>
      <c r="O2146" s="106" t="s">
        <v>37</v>
      </c>
      <c r="P2146" s="107">
        <v>0</v>
      </c>
      <c r="Q2146" s="120">
        <v>64</v>
      </c>
      <c r="R2146" s="119">
        <f t="shared" si="56"/>
        <v>0</v>
      </c>
      <c r="S2146" s="117">
        <v>202303</v>
      </c>
      <c r="T2146" s="127" t="s">
        <v>2872</v>
      </c>
      <c r="U2146" s="260"/>
      <c r="V2146" s="118"/>
      <c r="W2146" s="118"/>
      <c r="X2146" s="118"/>
      <c r="Y2146" s="118"/>
    </row>
    <row r="2147" s="9" customFormat="1" customHeight="1" spans="1:25">
      <c r="A2147" s="104" t="s">
        <v>109</v>
      </c>
      <c r="B2147" s="95" t="s">
        <v>26</v>
      </c>
      <c r="C2147" s="96" t="s">
        <v>50</v>
      </c>
      <c r="D2147" s="95" t="s">
        <v>28</v>
      </c>
      <c r="E2147" s="105" t="s">
        <v>2818</v>
      </c>
      <c r="F2147" s="96" t="s">
        <v>2819</v>
      </c>
      <c r="G2147" s="96" t="s">
        <v>78</v>
      </c>
      <c r="H2147" s="19" t="s">
        <v>2820</v>
      </c>
      <c r="I2147" s="23" t="str">
        <f>VLOOKUP(H2147,'合同综合查询数据（3月返）'!$A:$A,1,FALSE)</f>
        <v>182315IDC00105</v>
      </c>
      <c r="J2147" s="96" t="s">
        <v>2824</v>
      </c>
      <c r="K2147" s="96" t="s">
        <v>50</v>
      </c>
      <c r="L2147" s="114" t="s">
        <v>2870</v>
      </c>
      <c r="M2147" s="26" t="s">
        <v>2871</v>
      </c>
      <c r="N2147" s="106">
        <v>44958</v>
      </c>
      <c r="O2147" s="106" t="s">
        <v>2825</v>
      </c>
      <c r="P2147" s="107">
        <v>97.63</v>
      </c>
      <c r="Q2147" s="120">
        <v>2</v>
      </c>
      <c r="R2147" s="120">
        <f>ROUND(P2147*Q2147*31,2)</f>
        <v>6053.06</v>
      </c>
      <c r="S2147" s="117">
        <v>202303</v>
      </c>
      <c r="T2147" s="127" t="s">
        <v>2873</v>
      </c>
      <c r="U2147" s="258"/>
      <c r="V2147" s="123"/>
      <c r="W2147" s="123"/>
      <c r="X2147" s="118"/>
      <c r="Y2147" s="118"/>
    </row>
    <row r="2148" s="9" customFormat="1" customHeight="1" spans="1:25">
      <c r="A2148" s="104" t="s">
        <v>109</v>
      </c>
      <c r="B2148" s="95" t="s">
        <v>26</v>
      </c>
      <c r="C2148" s="96" t="s">
        <v>50</v>
      </c>
      <c r="D2148" s="95" t="s">
        <v>28</v>
      </c>
      <c r="E2148" s="105" t="s">
        <v>2818</v>
      </c>
      <c r="F2148" s="96" t="s">
        <v>2819</v>
      </c>
      <c r="G2148" s="96" t="s">
        <v>78</v>
      </c>
      <c r="H2148" s="19" t="s">
        <v>2820</v>
      </c>
      <c r="I2148" s="23" t="str">
        <f>VLOOKUP(H2148,'合同综合查询数据（3月返）'!$A:$A,1,FALSE)</f>
        <v>182315IDC00105</v>
      </c>
      <c r="J2148" s="96" t="s">
        <v>2824</v>
      </c>
      <c r="K2148" s="96" t="s">
        <v>50</v>
      </c>
      <c r="L2148" s="114" t="s">
        <v>2870</v>
      </c>
      <c r="M2148" s="26" t="s">
        <v>2871</v>
      </c>
      <c r="N2148" s="106">
        <v>44958</v>
      </c>
      <c r="O2148" s="106" t="s">
        <v>2825</v>
      </c>
      <c r="P2148" s="107">
        <v>69.7</v>
      </c>
      <c r="Q2148" s="120">
        <v>19</v>
      </c>
      <c r="R2148" s="120">
        <f>ROUND(P2148*Q2148*31,2)</f>
        <v>41053.3</v>
      </c>
      <c r="S2148" s="117">
        <v>202303</v>
      </c>
      <c r="T2148" s="127" t="s">
        <v>2874</v>
      </c>
      <c r="U2148" s="258"/>
      <c r="V2148" s="123"/>
      <c r="W2148" s="123"/>
      <c r="X2148" s="118"/>
      <c r="Y2148" s="118"/>
    </row>
    <row r="2149" s="10" customFormat="1" customHeight="1" spans="1:25">
      <c r="A2149" s="61" t="s">
        <v>401</v>
      </c>
      <c r="B2149" s="60" t="s">
        <v>62</v>
      </c>
      <c r="C2149" s="61" t="s">
        <v>130</v>
      </c>
      <c r="D2149" s="61" t="s">
        <v>881</v>
      </c>
      <c r="E2149" s="160" t="s">
        <v>1871</v>
      </c>
      <c r="F2149" s="61" t="s">
        <v>1872</v>
      </c>
      <c r="G2149" s="161" t="s">
        <v>88</v>
      </c>
      <c r="H2149" s="45" t="s">
        <v>2875</v>
      </c>
      <c r="I2149" s="47" t="e">
        <f>VLOOKUP(H2149,'合同综合查询数据（3月返）'!$A:$A,1,FALSE)</f>
        <v>#N/A</v>
      </c>
      <c r="J2149" s="135" t="s">
        <v>126</v>
      </c>
      <c r="K2149" s="164"/>
      <c r="L2149" s="164" t="s">
        <v>2876</v>
      </c>
      <c r="M2149" s="50" t="s">
        <v>2877</v>
      </c>
      <c r="N2149" s="219">
        <v>44958</v>
      </c>
      <c r="O2149" s="234" t="s">
        <v>127</v>
      </c>
      <c r="P2149" s="196">
        <v>0</v>
      </c>
      <c r="Q2149" s="237">
        <v>3</v>
      </c>
      <c r="R2149" s="68">
        <f t="shared" ref="R2149:R2159" si="57">ROUND(P2149*Q2149,2)</f>
        <v>0</v>
      </c>
      <c r="S2149" s="70">
        <v>202303</v>
      </c>
      <c r="T2149" s="170" t="s">
        <v>2878</v>
      </c>
      <c r="U2149" s="261"/>
      <c r="V2149" s="73"/>
      <c r="W2149" s="73"/>
      <c r="X2149" s="73"/>
      <c r="Y2149" s="73"/>
    </row>
    <row r="2150" s="10" customFormat="1" customHeight="1" spans="1:25">
      <c r="A2150" s="61" t="s">
        <v>401</v>
      </c>
      <c r="B2150" s="60" t="s">
        <v>62</v>
      </c>
      <c r="C2150" s="61" t="s">
        <v>130</v>
      </c>
      <c r="D2150" s="61" t="s">
        <v>881</v>
      </c>
      <c r="E2150" s="160" t="s">
        <v>1871</v>
      </c>
      <c r="F2150" s="61" t="s">
        <v>1872</v>
      </c>
      <c r="G2150" s="161" t="s">
        <v>31</v>
      </c>
      <c r="H2150" s="45" t="s">
        <v>2875</v>
      </c>
      <c r="I2150" s="47" t="e">
        <f>VLOOKUP(H2150,'合同综合查询数据（3月返）'!$A:$A,1,FALSE)</f>
        <v>#N/A</v>
      </c>
      <c r="J2150" s="135" t="s">
        <v>33</v>
      </c>
      <c r="K2150" s="135"/>
      <c r="L2150" s="66" t="s">
        <v>2876</v>
      </c>
      <c r="M2150" s="50" t="s">
        <v>2877</v>
      </c>
      <c r="N2150" s="165">
        <v>44958</v>
      </c>
      <c r="O2150" s="172"/>
      <c r="P2150" s="196">
        <v>0</v>
      </c>
      <c r="Q2150" s="196">
        <v>160</v>
      </c>
      <c r="R2150" s="68">
        <f t="shared" si="57"/>
        <v>0</v>
      </c>
      <c r="S2150" s="70">
        <v>202303</v>
      </c>
      <c r="T2150" s="170" t="s">
        <v>2879</v>
      </c>
      <c r="U2150" s="58"/>
      <c r="V2150" s="182"/>
      <c r="W2150" s="182"/>
      <c r="X2150" s="73"/>
      <c r="Y2150" s="73"/>
    </row>
    <row r="2151" s="10" customFormat="1" customHeight="1" spans="1:25">
      <c r="A2151" s="62" t="s">
        <v>403</v>
      </c>
      <c r="B2151" s="61" t="s">
        <v>62</v>
      </c>
      <c r="C2151" s="60" t="s">
        <v>217</v>
      </c>
      <c r="D2151" s="60" t="s">
        <v>566</v>
      </c>
      <c r="E2151" s="47" t="s">
        <v>2880</v>
      </c>
      <c r="F2151" s="62" t="s">
        <v>2881</v>
      </c>
      <c r="G2151" s="62" t="s">
        <v>88</v>
      </c>
      <c r="H2151" s="45" t="s">
        <v>2882</v>
      </c>
      <c r="I2151" s="47" t="e">
        <f>VLOOKUP(H2151,'合同综合查询数据（3月返）'!$A:$A,1,FALSE)</f>
        <v>#N/A</v>
      </c>
      <c r="J2151" s="65" t="s">
        <v>126</v>
      </c>
      <c r="K2151" s="62" t="s">
        <v>2883</v>
      </c>
      <c r="L2151" s="66" t="s">
        <v>2884</v>
      </c>
      <c r="M2151" s="62" t="s">
        <v>2885</v>
      </c>
      <c r="N2151" s="178">
        <v>44971</v>
      </c>
      <c r="O2151" s="62" t="s">
        <v>2283</v>
      </c>
      <c r="P2151" s="124">
        <v>0</v>
      </c>
      <c r="Q2151" s="112">
        <v>1</v>
      </c>
      <c r="R2151" s="69">
        <f t="shared" si="57"/>
        <v>0</v>
      </c>
      <c r="S2151" s="70">
        <v>202303</v>
      </c>
      <c r="T2151" s="72" t="s">
        <v>2886</v>
      </c>
      <c r="U2151" s="72"/>
      <c r="V2151" s="183"/>
      <c r="W2151" s="183"/>
      <c r="X2151" s="73"/>
      <c r="Y2151" s="73"/>
    </row>
    <row r="2152" s="10" customFormat="1" customHeight="1" spans="1:25">
      <c r="A2152" s="62" t="s">
        <v>403</v>
      </c>
      <c r="B2152" s="61" t="s">
        <v>62</v>
      </c>
      <c r="C2152" s="60" t="s">
        <v>217</v>
      </c>
      <c r="D2152" s="60" t="s">
        <v>566</v>
      </c>
      <c r="E2152" s="47" t="s">
        <v>2880</v>
      </c>
      <c r="F2152" s="62" t="s">
        <v>2881</v>
      </c>
      <c r="G2152" s="62" t="s">
        <v>31</v>
      </c>
      <c r="H2152" s="45" t="s">
        <v>2882</v>
      </c>
      <c r="I2152" s="47" t="e">
        <f>VLOOKUP(H2152,'合同综合查询数据（3月返）'!$A:$A,1,FALSE)</f>
        <v>#N/A</v>
      </c>
      <c r="J2152" s="65" t="s">
        <v>33</v>
      </c>
      <c r="K2152" s="62" t="s">
        <v>2883</v>
      </c>
      <c r="L2152" s="66" t="s">
        <v>2884</v>
      </c>
      <c r="M2152" s="62" t="s">
        <v>2885</v>
      </c>
      <c r="N2152" s="178">
        <v>44971</v>
      </c>
      <c r="O2152" s="62"/>
      <c r="P2152" s="124">
        <v>0</v>
      </c>
      <c r="Q2152" s="112">
        <v>160</v>
      </c>
      <c r="R2152" s="69">
        <f t="shared" si="57"/>
        <v>0</v>
      </c>
      <c r="S2152" s="70">
        <v>202303</v>
      </c>
      <c r="T2152" s="72" t="s">
        <v>2887</v>
      </c>
      <c r="U2152" s="72"/>
      <c r="V2152" s="183"/>
      <c r="W2152" s="183"/>
      <c r="X2152" s="73"/>
      <c r="Y2152" s="73"/>
    </row>
    <row r="2153" s="10" customFormat="1" customHeight="1" spans="1:25">
      <c r="A2153" s="62" t="s">
        <v>399</v>
      </c>
      <c r="B2153" s="61" t="s">
        <v>62</v>
      </c>
      <c r="C2153" s="60" t="s">
        <v>217</v>
      </c>
      <c r="D2153" s="60" t="s">
        <v>566</v>
      </c>
      <c r="E2153" s="47" t="s">
        <v>2888</v>
      </c>
      <c r="F2153" s="62" t="s">
        <v>2889</v>
      </c>
      <c r="G2153" s="62" t="s">
        <v>31</v>
      </c>
      <c r="H2153" s="45" t="s">
        <v>2890</v>
      </c>
      <c r="I2153" s="47" t="e">
        <f>VLOOKUP(H2153,'合同综合查询数据（3月返）'!$A:$A,1,FALSE)</f>
        <v>#N/A</v>
      </c>
      <c r="J2153" s="65" t="s">
        <v>33</v>
      </c>
      <c r="K2153" s="62" t="s">
        <v>2883</v>
      </c>
      <c r="L2153" s="66" t="s">
        <v>2891</v>
      </c>
      <c r="M2153" s="62" t="s">
        <v>2885</v>
      </c>
      <c r="N2153" s="178">
        <v>44958</v>
      </c>
      <c r="O2153" s="62"/>
      <c r="P2153" s="124">
        <v>0</v>
      </c>
      <c r="Q2153" s="112">
        <v>160</v>
      </c>
      <c r="R2153" s="69">
        <f t="shared" si="57"/>
        <v>0</v>
      </c>
      <c r="S2153" s="70">
        <v>202303</v>
      </c>
      <c r="T2153" s="72" t="s">
        <v>2892</v>
      </c>
      <c r="U2153" s="72"/>
      <c r="V2153" s="183"/>
      <c r="W2153" s="183"/>
      <c r="X2153" s="73"/>
      <c r="Y2153" s="73"/>
    </row>
    <row r="2154" s="10" customFormat="1" customHeight="1" spans="1:25">
      <c r="A2154" s="62" t="s">
        <v>401</v>
      </c>
      <c r="B2154" s="61" t="s">
        <v>62</v>
      </c>
      <c r="C2154" s="60" t="s">
        <v>217</v>
      </c>
      <c r="D2154" s="60" t="s">
        <v>566</v>
      </c>
      <c r="E2154" s="47" t="s">
        <v>2893</v>
      </c>
      <c r="F2154" s="62" t="s">
        <v>2894</v>
      </c>
      <c r="G2154" s="62" t="s">
        <v>31</v>
      </c>
      <c r="H2154" s="45" t="s">
        <v>2895</v>
      </c>
      <c r="I2154" s="47" t="e">
        <f>VLOOKUP(H2154,'合同综合查询数据（3月返）'!$A:$A,1,FALSE)</f>
        <v>#N/A</v>
      </c>
      <c r="J2154" s="65" t="s">
        <v>33</v>
      </c>
      <c r="K2154" s="62" t="s">
        <v>2883</v>
      </c>
      <c r="L2154" s="66" t="s">
        <v>2896</v>
      </c>
      <c r="M2154" s="62" t="s">
        <v>2885</v>
      </c>
      <c r="N2154" s="178">
        <v>44958</v>
      </c>
      <c r="O2154" s="62"/>
      <c r="P2154" s="124">
        <v>0</v>
      </c>
      <c r="Q2154" s="112">
        <v>160</v>
      </c>
      <c r="R2154" s="69">
        <f t="shared" si="57"/>
        <v>0</v>
      </c>
      <c r="S2154" s="70">
        <v>202303</v>
      </c>
      <c r="T2154" s="72" t="s">
        <v>2897</v>
      </c>
      <c r="U2154" s="72"/>
      <c r="V2154" s="183"/>
      <c r="W2154" s="183"/>
      <c r="X2154" s="73"/>
      <c r="Y2154" s="73"/>
    </row>
    <row r="2155" s="10" customFormat="1" customHeight="1" spans="1:25">
      <c r="A2155" s="62" t="s">
        <v>399</v>
      </c>
      <c r="B2155" s="61" t="s">
        <v>62</v>
      </c>
      <c r="C2155" s="60" t="s">
        <v>130</v>
      </c>
      <c r="D2155" s="61" t="s">
        <v>881</v>
      </c>
      <c r="E2155" s="47" t="s">
        <v>2898</v>
      </c>
      <c r="F2155" s="62" t="s">
        <v>2899</v>
      </c>
      <c r="G2155" s="62" t="s">
        <v>31</v>
      </c>
      <c r="H2155" s="45" t="s">
        <v>2900</v>
      </c>
      <c r="I2155" s="47" t="e">
        <f>VLOOKUP(H2155,'合同综合查询数据（3月返）'!$A:$A,1,FALSE)</f>
        <v>#N/A</v>
      </c>
      <c r="J2155" s="65" t="s">
        <v>33</v>
      </c>
      <c r="K2155" s="62" t="s">
        <v>2901</v>
      </c>
      <c r="L2155" s="66" t="s">
        <v>2902</v>
      </c>
      <c r="M2155" s="62" t="s">
        <v>2903</v>
      </c>
      <c r="N2155" s="178">
        <v>44967</v>
      </c>
      <c r="O2155" s="62"/>
      <c r="P2155" s="124">
        <v>0</v>
      </c>
      <c r="Q2155" s="112">
        <v>1536</v>
      </c>
      <c r="R2155" s="69">
        <f t="shared" si="57"/>
        <v>0</v>
      </c>
      <c r="S2155" s="70">
        <v>202303</v>
      </c>
      <c r="T2155" s="72" t="s">
        <v>2904</v>
      </c>
      <c r="U2155" s="72"/>
      <c r="V2155" s="183"/>
      <c r="W2155" s="183"/>
      <c r="X2155" s="73"/>
      <c r="Y2155" s="73"/>
    </row>
    <row r="2156" s="9" customFormat="1" customHeight="1" spans="1:25">
      <c r="A2156" s="96" t="s">
        <v>129</v>
      </c>
      <c r="B2156" s="95" t="s">
        <v>26</v>
      </c>
      <c r="C2156" s="94" t="s">
        <v>130</v>
      </c>
      <c r="D2156" s="95" t="s">
        <v>28</v>
      </c>
      <c r="E2156" s="23" t="s">
        <v>119</v>
      </c>
      <c r="F2156" s="94" t="s">
        <v>120</v>
      </c>
      <c r="G2156" s="96" t="s">
        <v>31</v>
      </c>
      <c r="H2156" s="19" t="s">
        <v>238</v>
      </c>
      <c r="I2156" s="23" t="e">
        <f>VLOOKUP(H2156,'合同综合查询数据（3月返）'!$A:$A,1,FALSE)</f>
        <v>#N/A</v>
      </c>
      <c r="J2156" s="24" t="s">
        <v>33</v>
      </c>
      <c r="K2156" s="94" t="s">
        <v>132</v>
      </c>
      <c r="L2156" s="94" t="s">
        <v>2905</v>
      </c>
      <c r="M2156" s="94" t="s">
        <v>2906</v>
      </c>
      <c r="N2156" s="106">
        <v>44987</v>
      </c>
      <c r="O2156" s="94" t="s">
        <v>37</v>
      </c>
      <c r="P2156" s="107">
        <v>0</v>
      </c>
      <c r="Q2156" s="116">
        <v>1</v>
      </c>
      <c r="R2156" s="119">
        <f t="shared" si="57"/>
        <v>0</v>
      </c>
      <c r="S2156" s="117">
        <v>202303</v>
      </c>
      <c r="T2156" s="97" t="s">
        <v>2907</v>
      </c>
      <c r="U2156" s="97"/>
      <c r="V2156" s="97"/>
      <c r="W2156" s="97"/>
      <c r="X2156" s="118">
        <v>44805</v>
      </c>
      <c r="Y2156" s="118">
        <v>45016</v>
      </c>
    </row>
    <row r="2157" s="9" customFormat="1" customHeight="1" spans="1:25">
      <c r="A2157" s="96" t="s">
        <v>129</v>
      </c>
      <c r="B2157" s="95" t="s">
        <v>26</v>
      </c>
      <c r="C2157" s="94" t="s">
        <v>130</v>
      </c>
      <c r="D2157" s="95" t="s">
        <v>28</v>
      </c>
      <c r="E2157" s="23" t="s">
        <v>119</v>
      </c>
      <c r="F2157" s="94" t="s">
        <v>120</v>
      </c>
      <c r="G2157" s="96" t="s">
        <v>31</v>
      </c>
      <c r="H2157" s="19" t="s">
        <v>238</v>
      </c>
      <c r="I2157" s="23" t="e">
        <f>VLOOKUP(H2157,'合同综合查询数据（3月返）'!$A:$A,1,FALSE)</f>
        <v>#N/A</v>
      </c>
      <c r="J2157" s="24" t="s">
        <v>33</v>
      </c>
      <c r="K2157" s="94" t="s">
        <v>132</v>
      </c>
      <c r="L2157" s="94" t="s">
        <v>2908</v>
      </c>
      <c r="M2157" s="94" t="s">
        <v>2906</v>
      </c>
      <c r="N2157" s="106">
        <v>44987</v>
      </c>
      <c r="O2157" s="94" t="s">
        <v>37</v>
      </c>
      <c r="P2157" s="107">
        <v>0</v>
      </c>
      <c r="Q2157" s="116">
        <v>1</v>
      </c>
      <c r="R2157" s="119">
        <f t="shared" si="57"/>
        <v>0</v>
      </c>
      <c r="S2157" s="117">
        <v>202303</v>
      </c>
      <c r="T2157" s="97" t="s">
        <v>2909</v>
      </c>
      <c r="U2157" s="97"/>
      <c r="V2157" s="97"/>
      <c r="W2157" s="97"/>
      <c r="X2157" s="118">
        <v>44805</v>
      </c>
      <c r="Y2157" s="118">
        <v>45016</v>
      </c>
    </row>
    <row r="2158" s="9" customFormat="1" customHeight="1" spans="1:25">
      <c r="A2158" s="96" t="s">
        <v>129</v>
      </c>
      <c r="B2158" s="95" t="s">
        <v>26</v>
      </c>
      <c r="C2158" s="94" t="s">
        <v>130</v>
      </c>
      <c r="D2158" s="95" t="s">
        <v>28</v>
      </c>
      <c r="E2158" s="23" t="s">
        <v>119</v>
      </c>
      <c r="F2158" s="94" t="s">
        <v>120</v>
      </c>
      <c r="G2158" s="96" t="s">
        <v>31</v>
      </c>
      <c r="H2158" s="97" t="s">
        <v>296</v>
      </c>
      <c r="I2158" s="23" t="e">
        <f>VLOOKUP(H2158,'合同综合查询数据（3月返）'!$A:$A,1,FALSE)</f>
        <v>#N/A</v>
      </c>
      <c r="J2158" s="24" t="s">
        <v>33</v>
      </c>
      <c r="K2158" s="94" t="s">
        <v>132</v>
      </c>
      <c r="L2158" s="94" t="s">
        <v>2910</v>
      </c>
      <c r="M2158" s="94" t="s">
        <v>2906</v>
      </c>
      <c r="N2158" s="106">
        <v>44987</v>
      </c>
      <c r="O2158" s="94" t="s">
        <v>37</v>
      </c>
      <c r="P2158" s="107">
        <v>0</v>
      </c>
      <c r="Q2158" s="116">
        <v>1</v>
      </c>
      <c r="R2158" s="119">
        <f t="shared" si="57"/>
        <v>0</v>
      </c>
      <c r="S2158" s="117">
        <v>202303</v>
      </c>
      <c r="T2158" s="97" t="s">
        <v>2911</v>
      </c>
      <c r="U2158" s="97"/>
      <c r="V2158" s="97"/>
      <c r="W2158" s="97"/>
      <c r="X2158" s="118">
        <v>44835</v>
      </c>
      <c r="Y2158" s="118">
        <v>45016</v>
      </c>
    </row>
    <row r="2159" s="9" customFormat="1" ht="14.5" customHeight="1" spans="1:25">
      <c r="A2159" s="104" t="s">
        <v>109</v>
      </c>
      <c r="B2159" s="95" t="s">
        <v>26</v>
      </c>
      <c r="C2159" s="96" t="s">
        <v>2912</v>
      </c>
      <c r="D2159" s="95" t="s">
        <v>28</v>
      </c>
      <c r="E2159" s="105" t="s">
        <v>2818</v>
      </c>
      <c r="F2159" s="96" t="s">
        <v>2819</v>
      </c>
      <c r="G2159" s="96" t="s">
        <v>31</v>
      </c>
      <c r="H2159" s="19" t="s">
        <v>2820</v>
      </c>
      <c r="I2159" s="23" t="str">
        <f>VLOOKUP(H2159,'合同综合查询数据（3月返）'!$A:$A,1,FALSE)</f>
        <v>182315IDC00105</v>
      </c>
      <c r="J2159" s="24" t="s">
        <v>33</v>
      </c>
      <c r="K2159" s="94" t="s">
        <v>2912</v>
      </c>
      <c r="L2159" s="99" t="s">
        <v>2913</v>
      </c>
      <c r="M2159" s="94" t="s">
        <v>2914</v>
      </c>
      <c r="N2159" s="210">
        <v>44987</v>
      </c>
      <c r="O2159" s="106" t="s">
        <v>37</v>
      </c>
      <c r="P2159" s="107">
        <v>0</v>
      </c>
      <c r="Q2159" s="116">
        <v>64</v>
      </c>
      <c r="R2159" s="119">
        <f t="shared" si="57"/>
        <v>0</v>
      </c>
      <c r="S2159" s="117">
        <v>202303</v>
      </c>
      <c r="T2159" s="127" t="s">
        <v>2915</v>
      </c>
      <c r="X2159" s="262"/>
      <c r="Y2159" s="262"/>
    </row>
    <row r="2160" s="9" customFormat="1" customHeight="1" spans="1:25">
      <c r="A2160" s="104" t="s">
        <v>109</v>
      </c>
      <c r="B2160" s="95" t="s">
        <v>26</v>
      </c>
      <c r="C2160" s="96" t="s">
        <v>2912</v>
      </c>
      <c r="D2160" s="95" t="s">
        <v>28</v>
      </c>
      <c r="E2160" s="105" t="s">
        <v>2818</v>
      </c>
      <c r="F2160" s="96" t="s">
        <v>2819</v>
      </c>
      <c r="G2160" s="96" t="s">
        <v>78</v>
      </c>
      <c r="H2160" s="19" t="s">
        <v>2820</v>
      </c>
      <c r="I2160" s="23" t="str">
        <f>VLOOKUP(H2160,'合同综合查询数据（3月返）'!$A:$A,1,FALSE)</f>
        <v>182315IDC00105</v>
      </c>
      <c r="J2160" s="96" t="s">
        <v>2824</v>
      </c>
      <c r="K2160" s="94" t="s">
        <v>2912</v>
      </c>
      <c r="L2160" s="99" t="s">
        <v>2913</v>
      </c>
      <c r="M2160" s="94" t="s">
        <v>2914</v>
      </c>
      <c r="N2160" s="210">
        <v>44987</v>
      </c>
      <c r="O2160" s="106" t="s">
        <v>2825</v>
      </c>
      <c r="P2160" s="107">
        <v>97.63</v>
      </c>
      <c r="Q2160" s="120">
        <v>2</v>
      </c>
      <c r="R2160" s="120">
        <f>ROUND(P2160*Q2160*30,2)</f>
        <v>5857.8</v>
      </c>
      <c r="S2160" s="117">
        <v>202303</v>
      </c>
      <c r="T2160" s="127" t="s">
        <v>2916</v>
      </c>
      <c r="X2160" s="262"/>
      <c r="Y2160" s="262"/>
    </row>
    <row r="2161" s="9" customFormat="1" customHeight="1" spans="1:25">
      <c r="A2161" s="104" t="s">
        <v>109</v>
      </c>
      <c r="B2161" s="95" t="s">
        <v>26</v>
      </c>
      <c r="C2161" s="96" t="s">
        <v>2912</v>
      </c>
      <c r="D2161" s="95" t="s">
        <v>28</v>
      </c>
      <c r="E2161" s="105" t="s">
        <v>2818</v>
      </c>
      <c r="F2161" s="96" t="s">
        <v>2819</v>
      </c>
      <c r="G2161" s="96" t="s">
        <v>78</v>
      </c>
      <c r="H2161" s="19" t="s">
        <v>2820</v>
      </c>
      <c r="I2161" s="23" t="str">
        <f>VLOOKUP(H2161,'合同综合查询数据（3月返）'!$A:$A,1,FALSE)</f>
        <v>182315IDC00105</v>
      </c>
      <c r="J2161" s="96" t="s">
        <v>2824</v>
      </c>
      <c r="K2161" s="94" t="s">
        <v>2912</v>
      </c>
      <c r="L2161" s="99" t="s">
        <v>2913</v>
      </c>
      <c r="M2161" s="94" t="s">
        <v>2914</v>
      </c>
      <c r="N2161" s="210">
        <v>44987</v>
      </c>
      <c r="O2161" s="106" t="s">
        <v>2825</v>
      </c>
      <c r="P2161" s="107">
        <v>69.7</v>
      </c>
      <c r="Q2161" s="120">
        <v>10</v>
      </c>
      <c r="R2161" s="120">
        <f>ROUND(P2161*Q2161*30,2)</f>
        <v>20910</v>
      </c>
      <c r="S2161" s="117">
        <v>202303</v>
      </c>
      <c r="T2161" s="127" t="s">
        <v>2917</v>
      </c>
      <c r="X2161" s="262"/>
      <c r="Y2161" s="262"/>
    </row>
    <row r="2162" s="81" customFormat="1" customHeight="1" spans="1:31">
      <c r="A2162" s="61" t="s">
        <v>403</v>
      </c>
      <c r="B2162" s="61" t="s">
        <v>62</v>
      </c>
      <c r="C2162" s="61" t="s">
        <v>217</v>
      </c>
      <c r="D2162" s="61" t="s">
        <v>566</v>
      </c>
      <c r="E2162" s="160" t="s">
        <v>1043</v>
      </c>
      <c r="F2162" s="61" t="s">
        <v>906</v>
      </c>
      <c r="G2162" s="66" t="s">
        <v>67</v>
      </c>
      <c r="H2162" s="45" t="s">
        <v>2918</v>
      </c>
      <c r="I2162" s="47" t="e">
        <f>VLOOKUP(H2162,'合同综合查询数据（3月返）'!$A:$A,1,FALSE)</f>
        <v>#N/A</v>
      </c>
      <c r="J2162" s="66" t="s">
        <v>69</v>
      </c>
      <c r="K2162" s="135" t="s">
        <v>2919</v>
      </c>
      <c r="L2162" s="164"/>
      <c r="M2162" s="50"/>
      <c r="N2162" s="178">
        <v>44882</v>
      </c>
      <c r="O2162" s="163" t="s">
        <v>71</v>
      </c>
      <c r="P2162" s="144">
        <v>300</v>
      </c>
      <c r="Q2162" s="69">
        <v>2</v>
      </c>
      <c r="R2162" s="68">
        <f>ROUND(P2162*Q2162*14/30,2)</f>
        <v>280</v>
      </c>
      <c r="S2162" s="70">
        <v>202211</v>
      </c>
      <c r="T2162" s="168" t="s">
        <v>2920</v>
      </c>
      <c r="U2162" s="169"/>
      <c r="V2162" s="143"/>
      <c r="W2162" s="143"/>
      <c r="X2162" s="73"/>
      <c r="Y2162" s="73"/>
      <c r="Z2162" s="10"/>
      <c r="AA2162" s="10"/>
      <c r="AB2162" s="10"/>
      <c r="AC2162" s="10"/>
      <c r="AD2162" s="10"/>
      <c r="AE2162" s="10"/>
    </row>
    <row r="2163" s="81" customFormat="1" customHeight="1" spans="1:31">
      <c r="A2163" s="61" t="s">
        <v>403</v>
      </c>
      <c r="B2163" s="61" t="s">
        <v>62</v>
      </c>
      <c r="C2163" s="61" t="s">
        <v>217</v>
      </c>
      <c r="D2163" s="61" t="s">
        <v>566</v>
      </c>
      <c r="E2163" s="160" t="s">
        <v>1043</v>
      </c>
      <c r="F2163" s="61" t="s">
        <v>906</v>
      </c>
      <c r="G2163" s="66" t="s">
        <v>67</v>
      </c>
      <c r="H2163" s="45" t="s">
        <v>2918</v>
      </c>
      <c r="I2163" s="47" t="e">
        <f>VLOOKUP(H2163,'合同综合查询数据（3月返）'!$A:$A,1,FALSE)</f>
        <v>#N/A</v>
      </c>
      <c r="J2163" s="66" t="s">
        <v>69</v>
      </c>
      <c r="K2163" s="135" t="s">
        <v>2919</v>
      </c>
      <c r="L2163" s="164"/>
      <c r="M2163" s="50"/>
      <c r="N2163" s="178">
        <v>44882</v>
      </c>
      <c r="O2163" s="163" t="s">
        <v>71</v>
      </c>
      <c r="P2163" s="144">
        <v>300</v>
      </c>
      <c r="Q2163" s="69">
        <v>2</v>
      </c>
      <c r="R2163" s="68">
        <f>ROUND(P2163*Q2163,2)</f>
        <v>600</v>
      </c>
      <c r="S2163" s="70">
        <v>202212</v>
      </c>
      <c r="T2163" s="168" t="s">
        <v>2921</v>
      </c>
      <c r="U2163" s="169"/>
      <c r="V2163" s="143"/>
      <c r="W2163" s="143"/>
      <c r="X2163" s="73"/>
      <c r="Y2163" s="73"/>
      <c r="Z2163" s="10"/>
      <c r="AA2163" s="10"/>
      <c r="AB2163" s="10"/>
      <c r="AC2163" s="10"/>
      <c r="AD2163" s="10"/>
      <c r="AE2163" s="10"/>
    </row>
    <row r="2164" s="81" customFormat="1" customHeight="1" spans="1:31">
      <c r="A2164" s="61" t="s">
        <v>403</v>
      </c>
      <c r="B2164" s="61" t="s">
        <v>62</v>
      </c>
      <c r="C2164" s="61" t="s">
        <v>217</v>
      </c>
      <c r="D2164" s="61" t="s">
        <v>566</v>
      </c>
      <c r="E2164" s="160" t="s">
        <v>1043</v>
      </c>
      <c r="F2164" s="61" t="s">
        <v>906</v>
      </c>
      <c r="G2164" s="66" t="s">
        <v>67</v>
      </c>
      <c r="H2164" s="45" t="s">
        <v>2918</v>
      </c>
      <c r="I2164" s="47" t="e">
        <f>VLOOKUP(H2164,'合同综合查询数据（3月返）'!$A:$A,1,FALSE)</f>
        <v>#N/A</v>
      </c>
      <c r="J2164" s="66" t="s">
        <v>69</v>
      </c>
      <c r="K2164" s="135" t="s">
        <v>2919</v>
      </c>
      <c r="L2164" s="164"/>
      <c r="M2164" s="50"/>
      <c r="N2164" s="178">
        <v>44882</v>
      </c>
      <c r="O2164" s="163" t="s">
        <v>71</v>
      </c>
      <c r="P2164" s="144">
        <v>300</v>
      </c>
      <c r="Q2164" s="69">
        <v>2</v>
      </c>
      <c r="R2164" s="68">
        <f>ROUND(P2164*Q2164,2)</f>
        <v>600</v>
      </c>
      <c r="S2164" s="70">
        <v>202301</v>
      </c>
      <c r="T2164" s="168" t="s">
        <v>2922</v>
      </c>
      <c r="U2164" s="169"/>
      <c r="V2164" s="143"/>
      <c r="W2164" s="143"/>
      <c r="X2164" s="73"/>
      <c r="Y2164" s="73"/>
      <c r="Z2164" s="10"/>
      <c r="AA2164" s="10"/>
      <c r="AB2164" s="10"/>
      <c r="AC2164" s="10"/>
      <c r="AD2164" s="10"/>
      <c r="AE2164" s="10"/>
    </row>
    <row r="2165" s="81" customFormat="1" customHeight="1" spans="1:31">
      <c r="A2165" s="61" t="s">
        <v>403</v>
      </c>
      <c r="B2165" s="61" t="s">
        <v>62</v>
      </c>
      <c r="C2165" s="61" t="s">
        <v>217</v>
      </c>
      <c r="D2165" s="61" t="s">
        <v>566</v>
      </c>
      <c r="E2165" s="160" t="s">
        <v>1043</v>
      </c>
      <c r="F2165" s="61" t="s">
        <v>906</v>
      </c>
      <c r="G2165" s="66" t="s">
        <v>67</v>
      </c>
      <c r="H2165" s="45" t="s">
        <v>2918</v>
      </c>
      <c r="I2165" s="47" t="e">
        <f>VLOOKUP(H2165,'合同综合查询数据（3月返）'!$A:$A,1,FALSE)</f>
        <v>#N/A</v>
      </c>
      <c r="J2165" s="66" t="s">
        <v>69</v>
      </c>
      <c r="K2165" s="135" t="s">
        <v>2919</v>
      </c>
      <c r="L2165" s="164"/>
      <c r="M2165" s="50"/>
      <c r="N2165" s="178">
        <v>44882</v>
      </c>
      <c r="O2165" s="163" t="s">
        <v>71</v>
      </c>
      <c r="P2165" s="144">
        <v>300</v>
      </c>
      <c r="Q2165" s="69">
        <v>2</v>
      </c>
      <c r="R2165" s="68">
        <f>ROUND(P2165*Q2165,2)</f>
        <v>600</v>
      </c>
      <c r="S2165" s="70">
        <v>202302</v>
      </c>
      <c r="T2165" s="168" t="s">
        <v>2923</v>
      </c>
      <c r="U2165" s="169"/>
      <c r="V2165" s="143"/>
      <c r="W2165" s="143"/>
      <c r="X2165" s="73"/>
      <c r="Y2165" s="73"/>
      <c r="Z2165" s="10"/>
      <c r="AA2165" s="10"/>
      <c r="AB2165" s="10"/>
      <c r="AC2165" s="10"/>
      <c r="AD2165" s="10"/>
      <c r="AE2165" s="10"/>
    </row>
    <row r="2166" s="81" customFormat="1" customHeight="1" spans="1:31">
      <c r="A2166" s="61" t="s">
        <v>403</v>
      </c>
      <c r="B2166" s="61" t="s">
        <v>62</v>
      </c>
      <c r="C2166" s="61" t="s">
        <v>217</v>
      </c>
      <c r="D2166" s="61" t="s">
        <v>566</v>
      </c>
      <c r="E2166" s="160" t="s">
        <v>1043</v>
      </c>
      <c r="F2166" s="61" t="s">
        <v>906</v>
      </c>
      <c r="G2166" s="66" t="s">
        <v>67</v>
      </c>
      <c r="H2166" s="45" t="s">
        <v>2918</v>
      </c>
      <c r="I2166" s="47" t="e">
        <f>VLOOKUP(H2166,'合同综合查询数据（3月返）'!$A:$A,1,FALSE)</f>
        <v>#N/A</v>
      </c>
      <c r="J2166" s="66" t="s">
        <v>69</v>
      </c>
      <c r="K2166" s="135" t="s">
        <v>2919</v>
      </c>
      <c r="L2166" s="164"/>
      <c r="M2166" s="50"/>
      <c r="N2166" s="178">
        <v>44882</v>
      </c>
      <c r="O2166" s="163" t="s">
        <v>71</v>
      </c>
      <c r="P2166" s="144">
        <v>300</v>
      </c>
      <c r="Q2166" s="69">
        <v>2</v>
      </c>
      <c r="R2166" s="68">
        <f>ROUND(P2166*Q2166,2)</f>
        <v>600</v>
      </c>
      <c r="S2166" s="70">
        <v>202303</v>
      </c>
      <c r="T2166" s="168" t="s">
        <v>2924</v>
      </c>
      <c r="U2166" s="169"/>
      <c r="V2166" s="143"/>
      <c r="W2166" s="143"/>
      <c r="X2166" s="73"/>
      <c r="Y2166" s="73"/>
      <c r="Z2166" s="10"/>
      <c r="AA2166" s="10"/>
      <c r="AB2166" s="10"/>
      <c r="AC2166" s="10"/>
      <c r="AD2166" s="10"/>
      <c r="AE2166" s="10"/>
    </row>
    <row r="2167" s="81" customFormat="1" customHeight="1" spans="1:31">
      <c r="A2167" s="61" t="s">
        <v>403</v>
      </c>
      <c r="B2167" s="61" t="s">
        <v>62</v>
      </c>
      <c r="C2167" s="61" t="s">
        <v>217</v>
      </c>
      <c r="D2167" s="61" t="s">
        <v>566</v>
      </c>
      <c r="E2167" s="160" t="s">
        <v>1043</v>
      </c>
      <c r="F2167" s="61" t="s">
        <v>906</v>
      </c>
      <c r="G2167" s="66" t="s">
        <v>67</v>
      </c>
      <c r="H2167" s="45" t="s">
        <v>2918</v>
      </c>
      <c r="I2167" s="47" t="e">
        <f>VLOOKUP(H2167,'合同综合查询数据（3月返）'!$A:$A,1,FALSE)</f>
        <v>#N/A</v>
      </c>
      <c r="J2167" s="66" t="s">
        <v>69</v>
      </c>
      <c r="K2167" s="135" t="s">
        <v>2925</v>
      </c>
      <c r="L2167" s="164"/>
      <c r="M2167" s="50"/>
      <c r="N2167" s="178">
        <v>44718</v>
      </c>
      <c r="O2167" s="163" t="s">
        <v>71</v>
      </c>
      <c r="P2167" s="144">
        <v>300</v>
      </c>
      <c r="Q2167" s="69">
        <v>2</v>
      </c>
      <c r="R2167" s="68">
        <f>ROUND(P2167*Q2167*25/30,2)</f>
        <v>500</v>
      </c>
      <c r="S2167" s="70">
        <v>202206</v>
      </c>
      <c r="T2167" s="168" t="s">
        <v>2926</v>
      </c>
      <c r="U2167" s="169"/>
      <c r="V2167" s="143"/>
      <c r="W2167" s="143"/>
      <c r="X2167" s="73"/>
      <c r="Y2167" s="73"/>
      <c r="Z2167" s="10"/>
      <c r="AA2167" s="10"/>
      <c r="AB2167" s="10"/>
      <c r="AC2167" s="10"/>
      <c r="AD2167" s="10"/>
      <c r="AE2167" s="10"/>
    </row>
    <row r="2168" s="81" customFormat="1" customHeight="1" spans="1:31">
      <c r="A2168" s="61" t="s">
        <v>403</v>
      </c>
      <c r="B2168" s="61" t="s">
        <v>62</v>
      </c>
      <c r="C2168" s="61" t="s">
        <v>217</v>
      </c>
      <c r="D2168" s="61" t="s">
        <v>566</v>
      </c>
      <c r="E2168" s="160" t="s">
        <v>1043</v>
      </c>
      <c r="F2168" s="61" t="s">
        <v>906</v>
      </c>
      <c r="G2168" s="66" t="s">
        <v>67</v>
      </c>
      <c r="H2168" s="45" t="s">
        <v>2918</v>
      </c>
      <c r="I2168" s="47" t="e">
        <f>VLOOKUP(H2168,'合同综合查询数据（3月返）'!$A:$A,1,FALSE)</f>
        <v>#N/A</v>
      </c>
      <c r="J2168" s="66" t="s">
        <v>69</v>
      </c>
      <c r="K2168" s="135" t="s">
        <v>2925</v>
      </c>
      <c r="L2168" s="164"/>
      <c r="M2168" s="50"/>
      <c r="N2168" s="178">
        <v>44718</v>
      </c>
      <c r="O2168" s="163" t="s">
        <v>71</v>
      </c>
      <c r="P2168" s="144">
        <v>300</v>
      </c>
      <c r="Q2168" s="69">
        <v>2</v>
      </c>
      <c r="R2168" s="68">
        <f t="shared" ref="R2168:R2182" si="58">ROUND(P2168*Q2168,2)</f>
        <v>600</v>
      </c>
      <c r="S2168" s="70">
        <v>202207</v>
      </c>
      <c r="T2168" s="168" t="s">
        <v>2927</v>
      </c>
      <c r="U2168" s="169"/>
      <c r="V2168" s="143"/>
      <c r="W2168" s="143"/>
      <c r="X2168" s="73"/>
      <c r="Y2168" s="73"/>
      <c r="Z2168" s="10"/>
      <c r="AA2168" s="10"/>
      <c r="AB2168" s="10"/>
      <c r="AC2168" s="10"/>
      <c r="AD2168" s="10"/>
      <c r="AE2168" s="10"/>
    </row>
    <row r="2169" s="81" customFormat="1" customHeight="1" spans="1:31">
      <c r="A2169" s="61" t="s">
        <v>403</v>
      </c>
      <c r="B2169" s="61" t="s">
        <v>62</v>
      </c>
      <c r="C2169" s="61" t="s">
        <v>217</v>
      </c>
      <c r="D2169" s="61" t="s">
        <v>566</v>
      </c>
      <c r="E2169" s="160" t="s">
        <v>1043</v>
      </c>
      <c r="F2169" s="61" t="s">
        <v>906</v>
      </c>
      <c r="G2169" s="66" t="s">
        <v>67</v>
      </c>
      <c r="H2169" s="45" t="s">
        <v>2918</v>
      </c>
      <c r="I2169" s="47" t="e">
        <f>VLOOKUP(H2169,'合同综合查询数据（3月返）'!$A:$A,1,FALSE)</f>
        <v>#N/A</v>
      </c>
      <c r="J2169" s="66" t="s">
        <v>69</v>
      </c>
      <c r="K2169" s="135" t="s">
        <v>2925</v>
      </c>
      <c r="L2169" s="164"/>
      <c r="M2169" s="50"/>
      <c r="N2169" s="178">
        <v>44718</v>
      </c>
      <c r="O2169" s="163" t="s">
        <v>71</v>
      </c>
      <c r="P2169" s="144">
        <v>300</v>
      </c>
      <c r="Q2169" s="69">
        <v>2</v>
      </c>
      <c r="R2169" s="68">
        <f t="shared" si="58"/>
        <v>600</v>
      </c>
      <c r="S2169" s="70">
        <v>202208</v>
      </c>
      <c r="T2169" s="168" t="s">
        <v>2928</v>
      </c>
      <c r="U2169" s="169"/>
      <c r="V2169" s="143"/>
      <c r="W2169" s="143"/>
      <c r="X2169" s="73"/>
      <c r="Y2169" s="73"/>
      <c r="Z2169" s="10"/>
      <c r="AA2169" s="10"/>
      <c r="AB2169" s="10"/>
      <c r="AC2169" s="10"/>
      <c r="AD2169" s="10"/>
      <c r="AE2169" s="10"/>
    </row>
    <row r="2170" s="81" customFormat="1" customHeight="1" spans="1:31">
      <c r="A2170" s="61" t="s">
        <v>403</v>
      </c>
      <c r="B2170" s="61" t="s">
        <v>62</v>
      </c>
      <c r="C2170" s="61" t="s">
        <v>217</v>
      </c>
      <c r="D2170" s="61" t="s">
        <v>566</v>
      </c>
      <c r="E2170" s="160" t="s">
        <v>1043</v>
      </c>
      <c r="F2170" s="61" t="s">
        <v>906</v>
      </c>
      <c r="G2170" s="66" t="s">
        <v>67</v>
      </c>
      <c r="H2170" s="45" t="s">
        <v>2918</v>
      </c>
      <c r="I2170" s="47" t="e">
        <f>VLOOKUP(H2170,'合同综合查询数据（3月返）'!$A:$A,1,FALSE)</f>
        <v>#N/A</v>
      </c>
      <c r="J2170" s="66" t="s">
        <v>69</v>
      </c>
      <c r="K2170" s="135" t="s">
        <v>2925</v>
      </c>
      <c r="L2170" s="164"/>
      <c r="M2170" s="50"/>
      <c r="N2170" s="178">
        <v>44718</v>
      </c>
      <c r="O2170" s="163" t="s">
        <v>71</v>
      </c>
      <c r="P2170" s="144">
        <v>300</v>
      </c>
      <c r="Q2170" s="69">
        <v>2</v>
      </c>
      <c r="R2170" s="68">
        <f t="shared" si="58"/>
        <v>600</v>
      </c>
      <c r="S2170" s="70">
        <v>202209</v>
      </c>
      <c r="T2170" s="168" t="s">
        <v>2929</v>
      </c>
      <c r="U2170" s="169"/>
      <c r="V2170" s="143"/>
      <c r="W2170" s="143"/>
      <c r="X2170" s="73"/>
      <c r="Y2170" s="73"/>
      <c r="Z2170" s="10"/>
      <c r="AA2170" s="10"/>
      <c r="AB2170" s="10"/>
      <c r="AC2170" s="10"/>
      <c r="AD2170" s="10"/>
      <c r="AE2170" s="10"/>
    </row>
    <row r="2171" s="81" customFormat="1" customHeight="1" spans="1:31">
      <c r="A2171" s="61" t="s">
        <v>403</v>
      </c>
      <c r="B2171" s="61" t="s">
        <v>62</v>
      </c>
      <c r="C2171" s="61" t="s">
        <v>217</v>
      </c>
      <c r="D2171" s="61" t="s">
        <v>566</v>
      </c>
      <c r="E2171" s="160" t="s">
        <v>1043</v>
      </c>
      <c r="F2171" s="61" t="s">
        <v>906</v>
      </c>
      <c r="G2171" s="66" t="s">
        <v>67</v>
      </c>
      <c r="H2171" s="45" t="s">
        <v>2918</v>
      </c>
      <c r="I2171" s="47" t="e">
        <f>VLOOKUP(H2171,'合同综合查询数据（3月返）'!$A:$A,1,FALSE)</f>
        <v>#N/A</v>
      </c>
      <c r="J2171" s="66" t="s">
        <v>69</v>
      </c>
      <c r="K2171" s="135" t="s">
        <v>2925</v>
      </c>
      <c r="L2171" s="164"/>
      <c r="M2171" s="50"/>
      <c r="N2171" s="178">
        <v>44718</v>
      </c>
      <c r="O2171" s="163" t="s">
        <v>71</v>
      </c>
      <c r="P2171" s="144">
        <v>300</v>
      </c>
      <c r="Q2171" s="69">
        <v>2</v>
      </c>
      <c r="R2171" s="68">
        <f t="shared" si="58"/>
        <v>600</v>
      </c>
      <c r="S2171" s="70">
        <v>202210</v>
      </c>
      <c r="T2171" s="168" t="s">
        <v>2930</v>
      </c>
      <c r="U2171" s="169"/>
      <c r="V2171" s="143"/>
      <c r="W2171" s="143"/>
      <c r="X2171" s="73"/>
      <c r="Y2171" s="73"/>
      <c r="Z2171" s="10"/>
      <c r="AA2171" s="10"/>
      <c r="AB2171" s="10"/>
      <c r="AC2171" s="10"/>
      <c r="AD2171" s="10"/>
      <c r="AE2171" s="10"/>
    </row>
    <row r="2172" s="81" customFormat="1" customHeight="1" spans="1:31">
      <c r="A2172" s="61" t="s">
        <v>403</v>
      </c>
      <c r="B2172" s="61" t="s">
        <v>62</v>
      </c>
      <c r="C2172" s="61" t="s">
        <v>217</v>
      </c>
      <c r="D2172" s="61" t="s">
        <v>566</v>
      </c>
      <c r="E2172" s="160" t="s">
        <v>1043</v>
      </c>
      <c r="F2172" s="61" t="s">
        <v>906</v>
      </c>
      <c r="G2172" s="66" t="s">
        <v>67</v>
      </c>
      <c r="H2172" s="45" t="s">
        <v>2918</v>
      </c>
      <c r="I2172" s="47" t="e">
        <f>VLOOKUP(H2172,'合同综合查询数据（3月返）'!$A:$A,1,FALSE)</f>
        <v>#N/A</v>
      </c>
      <c r="J2172" s="66" t="s">
        <v>69</v>
      </c>
      <c r="K2172" s="135" t="s">
        <v>2925</v>
      </c>
      <c r="L2172" s="164"/>
      <c r="M2172" s="50"/>
      <c r="N2172" s="178">
        <v>44718</v>
      </c>
      <c r="O2172" s="163" t="s">
        <v>71</v>
      </c>
      <c r="P2172" s="144">
        <v>300</v>
      </c>
      <c r="Q2172" s="69">
        <v>2</v>
      </c>
      <c r="R2172" s="68">
        <f t="shared" si="58"/>
        <v>600</v>
      </c>
      <c r="S2172" s="70">
        <v>202211</v>
      </c>
      <c r="T2172" s="168" t="s">
        <v>2931</v>
      </c>
      <c r="U2172" s="169"/>
      <c r="V2172" s="143"/>
      <c r="W2172" s="143"/>
      <c r="X2172" s="73"/>
      <c r="Y2172" s="73"/>
      <c r="Z2172" s="10"/>
      <c r="AA2172" s="10"/>
      <c r="AB2172" s="10"/>
      <c r="AC2172" s="10"/>
      <c r="AD2172" s="10"/>
      <c r="AE2172" s="10"/>
    </row>
    <row r="2173" s="81" customFormat="1" customHeight="1" spans="1:31">
      <c r="A2173" s="61" t="s">
        <v>403</v>
      </c>
      <c r="B2173" s="61" t="s">
        <v>62</v>
      </c>
      <c r="C2173" s="61" t="s">
        <v>217</v>
      </c>
      <c r="D2173" s="61" t="s">
        <v>566</v>
      </c>
      <c r="E2173" s="160" t="s">
        <v>1043</v>
      </c>
      <c r="F2173" s="61" t="s">
        <v>906</v>
      </c>
      <c r="G2173" s="66" t="s">
        <v>67</v>
      </c>
      <c r="H2173" s="45" t="s">
        <v>2918</v>
      </c>
      <c r="I2173" s="47" t="e">
        <f>VLOOKUP(H2173,'合同综合查询数据（3月返）'!$A:$A,1,FALSE)</f>
        <v>#N/A</v>
      </c>
      <c r="J2173" s="66" t="s">
        <v>69</v>
      </c>
      <c r="K2173" s="135" t="s">
        <v>2925</v>
      </c>
      <c r="L2173" s="164"/>
      <c r="M2173" s="50"/>
      <c r="N2173" s="178">
        <v>44718</v>
      </c>
      <c r="O2173" s="163" t="s">
        <v>71</v>
      </c>
      <c r="P2173" s="144">
        <v>300</v>
      </c>
      <c r="Q2173" s="69">
        <v>2</v>
      </c>
      <c r="R2173" s="68">
        <f t="shared" si="58"/>
        <v>600</v>
      </c>
      <c r="S2173" s="70">
        <v>202212</v>
      </c>
      <c r="T2173" s="168" t="s">
        <v>2932</v>
      </c>
      <c r="U2173" s="169"/>
      <c r="V2173" s="143"/>
      <c r="W2173" s="143"/>
      <c r="X2173" s="73"/>
      <c r="Y2173" s="73"/>
      <c r="Z2173" s="10"/>
      <c r="AA2173" s="10"/>
      <c r="AB2173" s="10"/>
      <c r="AC2173" s="10"/>
      <c r="AD2173" s="10"/>
      <c r="AE2173" s="10"/>
    </row>
    <row r="2174" s="81" customFormat="1" customHeight="1" spans="1:31">
      <c r="A2174" s="61" t="s">
        <v>403</v>
      </c>
      <c r="B2174" s="61" t="s">
        <v>62</v>
      </c>
      <c r="C2174" s="61" t="s">
        <v>217</v>
      </c>
      <c r="D2174" s="61" t="s">
        <v>566</v>
      </c>
      <c r="E2174" s="160" t="s">
        <v>1043</v>
      </c>
      <c r="F2174" s="61" t="s">
        <v>906</v>
      </c>
      <c r="G2174" s="66" t="s">
        <v>67</v>
      </c>
      <c r="H2174" s="45" t="s">
        <v>2918</v>
      </c>
      <c r="I2174" s="47" t="e">
        <f>VLOOKUP(H2174,'合同综合查询数据（3月返）'!$A:$A,1,FALSE)</f>
        <v>#N/A</v>
      </c>
      <c r="J2174" s="66" t="s">
        <v>69</v>
      </c>
      <c r="K2174" s="135" t="s">
        <v>2925</v>
      </c>
      <c r="L2174" s="164"/>
      <c r="M2174" s="50"/>
      <c r="N2174" s="178">
        <v>44718</v>
      </c>
      <c r="O2174" s="163" t="s">
        <v>71</v>
      </c>
      <c r="P2174" s="144">
        <v>300</v>
      </c>
      <c r="Q2174" s="69">
        <v>2</v>
      </c>
      <c r="R2174" s="68">
        <f t="shared" si="58"/>
        <v>600</v>
      </c>
      <c r="S2174" s="70">
        <v>202301</v>
      </c>
      <c r="T2174" s="168" t="s">
        <v>2933</v>
      </c>
      <c r="U2174" s="169"/>
      <c r="V2174" s="143"/>
      <c r="W2174" s="143"/>
      <c r="X2174" s="73"/>
      <c r="Y2174" s="73"/>
      <c r="Z2174" s="10"/>
      <c r="AA2174" s="10"/>
      <c r="AB2174" s="10"/>
      <c r="AC2174" s="10"/>
      <c r="AD2174" s="10"/>
      <c r="AE2174" s="10"/>
    </row>
    <row r="2175" s="81" customFormat="1" customHeight="1" spans="1:31">
      <c r="A2175" s="61" t="s">
        <v>403</v>
      </c>
      <c r="B2175" s="61" t="s">
        <v>62</v>
      </c>
      <c r="C2175" s="61" t="s">
        <v>217</v>
      </c>
      <c r="D2175" s="61" t="s">
        <v>566</v>
      </c>
      <c r="E2175" s="160" t="s">
        <v>1043</v>
      </c>
      <c r="F2175" s="61" t="s">
        <v>906</v>
      </c>
      <c r="G2175" s="66" t="s">
        <v>67</v>
      </c>
      <c r="H2175" s="45" t="s">
        <v>2918</v>
      </c>
      <c r="I2175" s="47" t="e">
        <f>VLOOKUP(H2175,'合同综合查询数据（3月返）'!$A:$A,1,FALSE)</f>
        <v>#N/A</v>
      </c>
      <c r="J2175" s="66" t="s">
        <v>69</v>
      </c>
      <c r="K2175" s="135" t="s">
        <v>2925</v>
      </c>
      <c r="L2175" s="164"/>
      <c r="M2175" s="50"/>
      <c r="N2175" s="178">
        <v>44718</v>
      </c>
      <c r="O2175" s="163" t="s">
        <v>71</v>
      </c>
      <c r="P2175" s="144">
        <v>300</v>
      </c>
      <c r="Q2175" s="69">
        <v>2</v>
      </c>
      <c r="R2175" s="68">
        <f t="shared" si="58"/>
        <v>600</v>
      </c>
      <c r="S2175" s="70">
        <v>202302</v>
      </c>
      <c r="T2175" s="168" t="s">
        <v>2934</v>
      </c>
      <c r="U2175" s="169"/>
      <c r="V2175" s="143"/>
      <c r="W2175" s="143"/>
      <c r="X2175" s="73"/>
      <c r="Y2175" s="73"/>
      <c r="Z2175" s="10"/>
      <c r="AA2175" s="10"/>
      <c r="AB2175" s="10"/>
      <c r="AC2175" s="10"/>
      <c r="AD2175" s="10"/>
      <c r="AE2175" s="10"/>
    </row>
    <row r="2176" s="81" customFormat="1" customHeight="1" spans="1:31">
      <c r="A2176" s="61" t="s">
        <v>403</v>
      </c>
      <c r="B2176" s="61" t="s">
        <v>62</v>
      </c>
      <c r="C2176" s="61" t="s">
        <v>217</v>
      </c>
      <c r="D2176" s="61" t="s">
        <v>566</v>
      </c>
      <c r="E2176" s="160" t="s">
        <v>1043</v>
      </c>
      <c r="F2176" s="61" t="s">
        <v>906</v>
      </c>
      <c r="G2176" s="66" t="s">
        <v>67</v>
      </c>
      <c r="H2176" s="45" t="s">
        <v>2918</v>
      </c>
      <c r="I2176" s="47" t="e">
        <f>VLOOKUP(H2176,'合同综合查询数据（3月返）'!$A:$A,1,FALSE)</f>
        <v>#N/A</v>
      </c>
      <c r="J2176" s="66" t="s">
        <v>69</v>
      </c>
      <c r="K2176" s="135" t="s">
        <v>2925</v>
      </c>
      <c r="L2176" s="164"/>
      <c r="M2176" s="50"/>
      <c r="N2176" s="178">
        <v>44718</v>
      </c>
      <c r="O2176" s="163" t="s">
        <v>71</v>
      </c>
      <c r="P2176" s="144">
        <v>300</v>
      </c>
      <c r="Q2176" s="69">
        <v>2</v>
      </c>
      <c r="R2176" s="68">
        <f t="shared" si="58"/>
        <v>600</v>
      </c>
      <c r="S2176" s="70">
        <v>202303</v>
      </c>
      <c r="T2176" s="168" t="s">
        <v>2935</v>
      </c>
      <c r="U2176" s="169"/>
      <c r="V2176" s="143"/>
      <c r="W2176" s="143"/>
      <c r="X2176" s="73"/>
      <c r="Y2176" s="73"/>
      <c r="Z2176" s="10"/>
      <c r="AA2176" s="10"/>
      <c r="AB2176" s="10"/>
      <c r="AC2176" s="10"/>
      <c r="AD2176" s="10"/>
      <c r="AE2176" s="10"/>
    </row>
    <row r="2177" s="10" customFormat="1" customHeight="1" spans="1:25">
      <c r="A2177" s="61" t="s">
        <v>399</v>
      </c>
      <c r="B2177" s="60" t="s">
        <v>62</v>
      </c>
      <c r="C2177" s="61" t="s">
        <v>217</v>
      </c>
      <c r="D2177" s="60" t="s">
        <v>566</v>
      </c>
      <c r="E2177" s="160" t="s">
        <v>2206</v>
      </c>
      <c r="F2177" s="61" t="s">
        <v>2207</v>
      </c>
      <c r="G2177" s="161" t="s">
        <v>88</v>
      </c>
      <c r="H2177" s="45" t="s">
        <v>2215</v>
      </c>
      <c r="I2177" s="47" t="e">
        <f>VLOOKUP(H2177,'合同综合查询数据（3月返）'!$A:$A,1,FALSE)</f>
        <v>#N/A</v>
      </c>
      <c r="J2177" s="135" t="s">
        <v>126</v>
      </c>
      <c r="K2177" s="164" t="s">
        <v>2207</v>
      </c>
      <c r="L2177" s="164" t="s">
        <v>2213</v>
      </c>
      <c r="M2177" s="50" t="s">
        <v>2216</v>
      </c>
      <c r="N2177" s="165">
        <v>44835</v>
      </c>
      <c r="O2177" s="172" t="s">
        <v>92</v>
      </c>
      <c r="P2177" s="171">
        <v>5000</v>
      </c>
      <c r="Q2177" s="112">
        <v>3</v>
      </c>
      <c r="R2177" s="68">
        <f t="shared" si="58"/>
        <v>15000</v>
      </c>
      <c r="S2177" s="55">
        <v>202210</v>
      </c>
      <c r="T2177" s="182" t="s">
        <v>2936</v>
      </c>
      <c r="U2177" s="182"/>
      <c r="V2177" s="182"/>
      <c r="W2177" s="182"/>
      <c r="X2177" s="73"/>
      <c r="Y2177" s="73"/>
    </row>
    <row r="2178" s="10" customFormat="1" customHeight="1" spans="1:25">
      <c r="A2178" s="61" t="s">
        <v>399</v>
      </c>
      <c r="B2178" s="60" t="s">
        <v>62</v>
      </c>
      <c r="C2178" s="61" t="s">
        <v>217</v>
      </c>
      <c r="D2178" s="60" t="s">
        <v>566</v>
      </c>
      <c r="E2178" s="160" t="s">
        <v>2206</v>
      </c>
      <c r="F2178" s="61" t="s">
        <v>2207</v>
      </c>
      <c r="G2178" s="161" t="s">
        <v>88</v>
      </c>
      <c r="H2178" s="45" t="s">
        <v>2215</v>
      </c>
      <c r="I2178" s="47" t="e">
        <f>VLOOKUP(H2178,'合同综合查询数据（3月返）'!$A:$A,1,FALSE)</f>
        <v>#N/A</v>
      </c>
      <c r="J2178" s="135" t="s">
        <v>126</v>
      </c>
      <c r="K2178" s="164" t="s">
        <v>2207</v>
      </c>
      <c r="L2178" s="164" t="s">
        <v>2213</v>
      </c>
      <c r="M2178" s="50" t="s">
        <v>2216</v>
      </c>
      <c r="N2178" s="165">
        <v>44835</v>
      </c>
      <c r="O2178" s="172" t="s">
        <v>92</v>
      </c>
      <c r="P2178" s="171">
        <v>5000</v>
      </c>
      <c r="Q2178" s="112">
        <v>3</v>
      </c>
      <c r="R2178" s="68">
        <f t="shared" si="58"/>
        <v>15000</v>
      </c>
      <c r="S2178" s="55">
        <v>202211</v>
      </c>
      <c r="T2178" s="182" t="s">
        <v>2937</v>
      </c>
      <c r="U2178" s="182"/>
      <c r="V2178" s="182"/>
      <c r="W2178" s="182"/>
      <c r="X2178" s="73"/>
      <c r="Y2178" s="73"/>
    </row>
    <row r="2179" s="10" customFormat="1" customHeight="1" spans="1:25">
      <c r="A2179" s="61" t="s">
        <v>399</v>
      </c>
      <c r="B2179" s="60" t="s">
        <v>62</v>
      </c>
      <c r="C2179" s="61" t="s">
        <v>217</v>
      </c>
      <c r="D2179" s="60" t="s">
        <v>566</v>
      </c>
      <c r="E2179" s="160" t="s">
        <v>2206</v>
      </c>
      <c r="F2179" s="61" t="s">
        <v>2207</v>
      </c>
      <c r="G2179" s="161" t="s">
        <v>88</v>
      </c>
      <c r="H2179" s="45" t="s">
        <v>2215</v>
      </c>
      <c r="I2179" s="47" t="e">
        <f>VLOOKUP(H2179,'合同综合查询数据（3月返）'!$A:$A,1,FALSE)</f>
        <v>#N/A</v>
      </c>
      <c r="J2179" s="135" t="s">
        <v>126</v>
      </c>
      <c r="K2179" s="164" t="s">
        <v>2207</v>
      </c>
      <c r="L2179" s="164" t="s">
        <v>2213</v>
      </c>
      <c r="M2179" s="50" t="s">
        <v>2216</v>
      </c>
      <c r="N2179" s="165">
        <v>44835</v>
      </c>
      <c r="O2179" s="172" t="s">
        <v>92</v>
      </c>
      <c r="P2179" s="171">
        <v>5000</v>
      </c>
      <c r="Q2179" s="112">
        <v>3</v>
      </c>
      <c r="R2179" s="68">
        <f t="shared" si="58"/>
        <v>15000</v>
      </c>
      <c r="S2179" s="55">
        <v>202212</v>
      </c>
      <c r="T2179" s="182" t="s">
        <v>2938</v>
      </c>
      <c r="U2179" s="182"/>
      <c r="V2179" s="182"/>
      <c r="W2179" s="182"/>
      <c r="X2179" s="73"/>
      <c r="Y2179" s="73"/>
    </row>
    <row r="2180" s="10" customFormat="1" customHeight="1" spans="1:25">
      <c r="A2180" s="61" t="s">
        <v>399</v>
      </c>
      <c r="B2180" s="60" t="s">
        <v>62</v>
      </c>
      <c r="C2180" s="61" t="s">
        <v>217</v>
      </c>
      <c r="D2180" s="60" t="s">
        <v>566</v>
      </c>
      <c r="E2180" s="160" t="s">
        <v>2206</v>
      </c>
      <c r="F2180" s="61" t="s">
        <v>2207</v>
      </c>
      <c r="G2180" s="161" t="s">
        <v>88</v>
      </c>
      <c r="H2180" s="45" t="s">
        <v>2215</v>
      </c>
      <c r="I2180" s="47" t="e">
        <f>VLOOKUP(H2180,'合同综合查询数据（3月返）'!$A:$A,1,FALSE)</f>
        <v>#N/A</v>
      </c>
      <c r="J2180" s="135" t="s">
        <v>126</v>
      </c>
      <c r="K2180" s="164" t="s">
        <v>2207</v>
      </c>
      <c r="L2180" s="164" t="s">
        <v>2213</v>
      </c>
      <c r="M2180" s="50" t="s">
        <v>2216</v>
      </c>
      <c r="N2180" s="165">
        <v>44835</v>
      </c>
      <c r="O2180" s="172" t="s">
        <v>92</v>
      </c>
      <c r="P2180" s="171">
        <v>5000</v>
      </c>
      <c r="Q2180" s="112">
        <v>3</v>
      </c>
      <c r="R2180" s="68">
        <f t="shared" si="58"/>
        <v>15000</v>
      </c>
      <c r="S2180" s="55">
        <v>202301</v>
      </c>
      <c r="T2180" s="182" t="s">
        <v>2939</v>
      </c>
      <c r="U2180" s="182"/>
      <c r="V2180" s="182"/>
      <c r="W2180" s="182"/>
      <c r="X2180" s="73"/>
      <c r="Y2180" s="73"/>
    </row>
    <row r="2181" s="10" customFormat="1" customHeight="1" spans="1:25">
      <c r="A2181" s="61" t="s">
        <v>399</v>
      </c>
      <c r="B2181" s="60" t="s">
        <v>62</v>
      </c>
      <c r="C2181" s="61" t="s">
        <v>217</v>
      </c>
      <c r="D2181" s="60" t="s">
        <v>566</v>
      </c>
      <c r="E2181" s="160" t="s">
        <v>2206</v>
      </c>
      <c r="F2181" s="61" t="s">
        <v>2207</v>
      </c>
      <c r="G2181" s="161" t="s">
        <v>88</v>
      </c>
      <c r="H2181" s="45" t="s">
        <v>2215</v>
      </c>
      <c r="I2181" s="47" t="e">
        <f>VLOOKUP(H2181,'合同综合查询数据（3月返）'!$A:$A,1,FALSE)</f>
        <v>#N/A</v>
      </c>
      <c r="J2181" s="135" t="s">
        <v>126</v>
      </c>
      <c r="K2181" s="164" t="s">
        <v>2207</v>
      </c>
      <c r="L2181" s="164" t="s">
        <v>2213</v>
      </c>
      <c r="M2181" s="50" t="s">
        <v>2216</v>
      </c>
      <c r="N2181" s="165">
        <v>44835</v>
      </c>
      <c r="O2181" s="172" t="s">
        <v>92</v>
      </c>
      <c r="P2181" s="171">
        <v>5000</v>
      </c>
      <c r="Q2181" s="112">
        <v>3</v>
      </c>
      <c r="R2181" s="68">
        <f t="shared" si="58"/>
        <v>15000</v>
      </c>
      <c r="S2181" s="55">
        <v>202302</v>
      </c>
      <c r="T2181" s="182" t="s">
        <v>2940</v>
      </c>
      <c r="U2181" s="182"/>
      <c r="V2181" s="182"/>
      <c r="W2181" s="182"/>
      <c r="X2181" s="73"/>
      <c r="Y2181" s="73"/>
    </row>
    <row r="2182" s="10" customFormat="1" customHeight="1" spans="1:25">
      <c r="A2182" s="61" t="s">
        <v>399</v>
      </c>
      <c r="B2182" s="60" t="s">
        <v>62</v>
      </c>
      <c r="C2182" s="61" t="s">
        <v>217</v>
      </c>
      <c r="D2182" s="60" t="s">
        <v>566</v>
      </c>
      <c r="E2182" s="160" t="s">
        <v>2206</v>
      </c>
      <c r="F2182" s="61" t="s">
        <v>2207</v>
      </c>
      <c r="G2182" s="161" t="s">
        <v>88</v>
      </c>
      <c r="H2182" s="45" t="s">
        <v>2215</v>
      </c>
      <c r="I2182" s="47" t="e">
        <f>VLOOKUP(H2182,'合同综合查询数据（3月返）'!$A:$A,1,FALSE)</f>
        <v>#N/A</v>
      </c>
      <c r="J2182" s="135" t="s">
        <v>126</v>
      </c>
      <c r="K2182" s="164" t="s">
        <v>2207</v>
      </c>
      <c r="L2182" s="164" t="s">
        <v>2213</v>
      </c>
      <c r="M2182" s="50" t="s">
        <v>2216</v>
      </c>
      <c r="N2182" s="165">
        <v>44942</v>
      </c>
      <c r="O2182" s="172" t="s">
        <v>92</v>
      </c>
      <c r="P2182" s="171">
        <v>5000</v>
      </c>
      <c r="Q2182" s="112">
        <v>3</v>
      </c>
      <c r="R2182" s="68">
        <f t="shared" si="58"/>
        <v>15000</v>
      </c>
      <c r="S2182" s="55">
        <v>202303</v>
      </c>
      <c r="T2182" s="182" t="s">
        <v>2941</v>
      </c>
      <c r="U2182" s="182"/>
      <c r="V2182" s="182"/>
      <c r="W2182" s="182"/>
      <c r="X2182" s="73"/>
      <c r="Y2182" s="73"/>
    </row>
    <row r="2183" s="10" customFormat="1" customHeight="1" spans="1:25">
      <c r="A2183" s="61" t="s">
        <v>399</v>
      </c>
      <c r="B2183" s="60" t="s">
        <v>62</v>
      </c>
      <c r="C2183" s="61" t="s">
        <v>217</v>
      </c>
      <c r="D2183" s="60" t="s">
        <v>566</v>
      </c>
      <c r="E2183" s="160" t="s">
        <v>2206</v>
      </c>
      <c r="F2183" s="61" t="s">
        <v>2207</v>
      </c>
      <c r="G2183" s="161" t="s">
        <v>88</v>
      </c>
      <c r="H2183" s="45" t="s">
        <v>2215</v>
      </c>
      <c r="I2183" s="47" t="e">
        <f>VLOOKUP(H2183,'合同综合查询数据（3月返）'!$A:$A,1,FALSE)</f>
        <v>#N/A</v>
      </c>
      <c r="J2183" s="135" t="s">
        <v>126</v>
      </c>
      <c r="K2183" s="164" t="s">
        <v>2207</v>
      </c>
      <c r="L2183" s="164" t="s">
        <v>2213</v>
      </c>
      <c r="M2183" s="50" t="s">
        <v>2216</v>
      </c>
      <c r="N2183" s="165">
        <v>44942</v>
      </c>
      <c r="O2183" s="172" t="s">
        <v>92</v>
      </c>
      <c r="P2183" s="171">
        <v>5000</v>
      </c>
      <c r="Q2183" s="112">
        <v>3</v>
      </c>
      <c r="R2183" s="68">
        <f>ROUND(P2183*Q2183*16/31,2)</f>
        <v>7741.94</v>
      </c>
      <c r="S2183" s="55">
        <v>202301</v>
      </c>
      <c r="T2183" s="182" t="s">
        <v>2942</v>
      </c>
      <c r="U2183" s="182"/>
      <c r="V2183" s="182"/>
      <c r="W2183" s="182"/>
      <c r="X2183" s="73"/>
      <c r="Y2183" s="73"/>
    </row>
    <row r="2184" s="10" customFormat="1" customHeight="1" spans="1:25">
      <c r="A2184" s="61" t="s">
        <v>399</v>
      </c>
      <c r="B2184" s="60" t="s">
        <v>62</v>
      </c>
      <c r="C2184" s="61" t="s">
        <v>217</v>
      </c>
      <c r="D2184" s="60" t="s">
        <v>566</v>
      </c>
      <c r="E2184" s="160" t="s">
        <v>2206</v>
      </c>
      <c r="F2184" s="61" t="s">
        <v>2207</v>
      </c>
      <c r="G2184" s="161" t="s">
        <v>88</v>
      </c>
      <c r="H2184" s="45" t="s">
        <v>2215</v>
      </c>
      <c r="I2184" s="47" t="e">
        <f>VLOOKUP(H2184,'合同综合查询数据（3月返）'!$A:$A,1,FALSE)</f>
        <v>#N/A</v>
      </c>
      <c r="J2184" s="135" t="s">
        <v>126</v>
      </c>
      <c r="K2184" s="164" t="s">
        <v>2207</v>
      </c>
      <c r="L2184" s="164" t="s">
        <v>2213</v>
      </c>
      <c r="M2184" s="50" t="s">
        <v>2216</v>
      </c>
      <c r="N2184" s="165">
        <v>44942</v>
      </c>
      <c r="O2184" s="172" t="s">
        <v>92</v>
      </c>
      <c r="P2184" s="171">
        <v>5000</v>
      </c>
      <c r="Q2184" s="112">
        <v>3</v>
      </c>
      <c r="R2184" s="68">
        <f>ROUND(P2184*Q2184,2)</f>
        <v>15000</v>
      </c>
      <c r="S2184" s="55">
        <v>202302</v>
      </c>
      <c r="T2184" s="182" t="s">
        <v>2943</v>
      </c>
      <c r="U2184" s="182"/>
      <c r="V2184" s="182"/>
      <c r="W2184" s="182"/>
      <c r="X2184" s="73"/>
      <c r="Y2184" s="73"/>
    </row>
    <row r="2185" s="10" customFormat="1" customHeight="1" spans="1:25">
      <c r="A2185" s="61" t="s">
        <v>399</v>
      </c>
      <c r="B2185" s="60" t="s">
        <v>62</v>
      </c>
      <c r="C2185" s="61" t="s">
        <v>217</v>
      </c>
      <c r="D2185" s="60" t="s">
        <v>566</v>
      </c>
      <c r="E2185" s="160" t="s">
        <v>2206</v>
      </c>
      <c r="F2185" s="61" t="s">
        <v>2207</v>
      </c>
      <c r="G2185" s="161" t="s">
        <v>88</v>
      </c>
      <c r="H2185" s="45" t="s">
        <v>2215</v>
      </c>
      <c r="I2185" s="47" t="e">
        <f>VLOOKUP(H2185,'合同综合查询数据（3月返）'!$A:$A,1,FALSE)</f>
        <v>#N/A</v>
      </c>
      <c r="J2185" s="135" t="s">
        <v>126</v>
      </c>
      <c r="K2185" s="164" t="s">
        <v>2207</v>
      </c>
      <c r="L2185" s="164" t="s">
        <v>2213</v>
      </c>
      <c r="M2185" s="50" t="s">
        <v>2216</v>
      </c>
      <c r="N2185" s="165">
        <v>45005</v>
      </c>
      <c r="O2185" s="172" t="s">
        <v>92</v>
      </c>
      <c r="P2185" s="171">
        <v>5000</v>
      </c>
      <c r="Q2185" s="112">
        <v>3</v>
      </c>
      <c r="R2185" s="68">
        <f>ROUND(P2185*Q2185*12/31,2)</f>
        <v>5806.45</v>
      </c>
      <c r="S2185" s="55">
        <v>202303</v>
      </c>
      <c r="T2185" s="182" t="s">
        <v>2944</v>
      </c>
      <c r="U2185" s="182"/>
      <c r="V2185" s="182"/>
      <c r="W2185" s="182"/>
      <c r="X2185" s="73"/>
      <c r="Y2185" s="73"/>
    </row>
    <row r="2186" s="10" customFormat="1" customHeight="1" spans="1:25">
      <c r="A2186" s="62" t="s">
        <v>399</v>
      </c>
      <c r="B2186" s="61" t="s">
        <v>62</v>
      </c>
      <c r="C2186" s="60" t="s">
        <v>130</v>
      </c>
      <c r="D2186" s="61" t="s">
        <v>881</v>
      </c>
      <c r="E2186" s="47" t="s">
        <v>2898</v>
      </c>
      <c r="F2186" s="62" t="s">
        <v>2899</v>
      </c>
      <c r="G2186" s="62" t="s">
        <v>88</v>
      </c>
      <c r="H2186" s="45" t="s">
        <v>2900</v>
      </c>
      <c r="I2186" s="47" t="e">
        <f>VLOOKUP(H2186,'合同综合查询数据（3月返）'!$A:$A,1,FALSE)</f>
        <v>#N/A</v>
      </c>
      <c r="J2186" s="65" t="s">
        <v>2945</v>
      </c>
      <c r="K2186" s="62" t="s">
        <v>2901</v>
      </c>
      <c r="L2186" s="66" t="s">
        <v>2902</v>
      </c>
      <c r="M2186" s="62" t="s">
        <v>2903</v>
      </c>
      <c r="N2186" s="178">
        <v>45008</v>
      </c>
      <c r="O2186" s="62" t="s">
        <v>2283</v>
      </c>
      <c r="P2186" s="124">
        <v>5900</v>
      </c>
      <c r="Q2186" s="112">
        <v>1</v>
      </c>
      <c r="R2186" s="69">
        <f>ROUND(P2186*Q2186*9/31,2)</f>
        <v>1712.9</v>
      </c>
      <c r="S2186" s="70">
        <v>202303</v>
      </c>
      <c r="T2186" s="72" t="s">
        <v>2946</v>
      </c>
      <c r="U2186" s="72"/>
      <c r="V2186" s="183"/>
      <c r="W2186" s="183"/>
      <c r="X2186" s="73"/>
      <c r="Y2186" s="73"/>
    </row>
    <row r="2187" s="9" customFormat="1" customHeight="1" spans="1:25">
      <c r="A2187" s="94" t="s">
        <v>403</v>
      </c>
      <c r="B2187" s="98" t="s">
        <v>62</v>
      </c>
      <c r="C2187" s="96" t="s">
        <v>217</v>
      </c>
      <c r="D2187" s="98" t="s">
        <v>566</v>
      </c>
      <c r="E2187" s="23" t="s">
        <v>905</v>
      </c>
      <c r="F2187" s="94" t="s">
        <v>906</v>
      </c>
      <c r="G2187" s="94" t="s">
        <v>88</v>
      </c>
      <c r="H2187" s="19" t="s">
        <v>995</v>
      </c>
      <c r="I2187" s="23" t="e">
        <f>VLOOKUP(H2187,'合同综合查询数据（3月返）'!$A:$A,1,FALSE)</f>
        <v>#N/A</v>
      </c>
      <c r="J2187" s="152" t="s">
        <v>312</v>
      </c>
      <c r="K2187" s="94" t="s">
        <v>996</v>
      </c>
      <c r="L2187" s="99"/>
      <c r="M2187" s="94" t="s">
        <v>909</v>
      </c>
      <c r="N2187" s="210"/>
      <c r="O2187" s="94"/>
      <c r="P2187" s="116">
        <v>300</v>
      </c>
      <c r="Q2187" s="107">
        <f>280.95-200</f>
        <v>80.95</v>
      </c>
      <c r="R2187" s="119">
        <f>83075.51-ROUND(200*300,2)</f>
        <v>23075.51</v>
      </c>
      <c r="S2187" s="117">
        <v>202302</v>
      </c>
      <c r="T2187" s="121" t="s">
        <v>2947</v>
      </c>
      <c r="U2187" s="121"/>
      <c r="V2187" s="269"/>
      <c r="W2187" s="269"/>
      <c r="X2187" s="118"/>
      <c r="Y2187" s="118"/>
    </row>
    <row r="2188" s="9" customFormat="1" customHeight="1" spans="1:25">
      <c r="A2188" s="94" t="s">
        <v>403</v>
      </c>
      <c r="B2188" s="98" t="s">
        <v>62</v>
      </c>
      <c r="C2188" s="96" t="s">
        <v>217</v>
      </c>
      <c r="D2188" s="98" t="s">
        <v>566</v>
      </c>
      <c r="E2188" s="23" t="s">
        <v>905</v>
      </c>
      <c r="F2188" s="94" t="s">
        <v>906</v>
      </c>
      <c r="G2188" s="94" t="s">
        <v>88</v>
      </c>
      <c r="H2188" s="19" t="s">
        <v>1116</v>
      </c>
      <c r="I2188" s="23" t="e">
        <f>VLOOKUP(H2188,'合同综合查询数据（3月返）'!$A:$A,1,FALSE)</f>
        <v>#N/A</v>
      </c>
      <c r="J2188" s="152" t="s">
        <v>312</v>
      </c>
      <c r="K2188" s="94" t="s">
        <v>1117</v>
      </c>
      <c r="L2188" s="99"/>
      <c r="M2188" s="94" t="s">
        <v>909</v>
      </c>
      <c r="N2188" s="210"/>
      <c r="O2188" s="94"/>
      <c r="P2188" s="116">
        <v>300</v>
      </c>
      <c r="Q2188" s="107">
        <f>111.99-100</f>
        <v>11.99</v>
      </c>
      <c r="R2188" s="119">
        <f>33597-ROUND(100*300,2)</f>
        <v>3597</v>
      </c>
      <c r="S2188" s="117">
        <v>202302</v>
      </c>
      <c r="T2188" s="121" t="s">
        <v>2948</v>
      </c>
      <c r="U2188" s="121"/>
      <c r="V2188" s="269"/>
      <c r="W2188" s="269"/>
      <c r="X2188" s="118"/>
      <c r="Y2188" s="118"/>
    </row>
    <row r="2189" s="9" customFormat="1" customHeight="1" spans="1:25">
      <c r="A2189" s="94" t="s">
        <v>403</v>
      </c>
      <c r="B2189" s="98" t="s">
        <v>62</v>
      </c>
      <c r="C2189" s="96" t="s">
        <v>217</v>
      </c>
      <c r="D2189" s="98" t="s">
        <v>566</v>
      </c>
      <c r="E2189" s="23" t="s">
        <v>905</v>
      </c>
      <c r="F2189" s="94" t="s">
        <v>906</v>
      </c>
      <c r="G2189" s="94" t="s">
        <v>88</v>
      </c>
      <c r="H2189" s="19" t="s">
        <v>1201</v>
      </c>
      <c r="I2189" s="23" t="e">
        <f>VLOOKUP(H2189,'合同综合查询数据（3月返）'!$A:$A,1,FALSE)</f>
        <v>#N/A</v>
      </c>
      <c r="J2189" s="152" t="s">
        <v>312</v>
      </c>
      <c r="K2189" s="94" t="s">
        <v>2799</v>
      </c>
      <c r="L2189" s="99"/>
      <c r="M2189" s="94" t="s">
        <v>909</v>
      </c>
      <c r="N2189" s="210"/>
      <c r="O2189" s="94"/>
      <c r="P2189" s="116">
        <v>300</v>
      </c>
      <c r="Q2189" s="107">
        <f>882.97-700</f>
        <v>182.97</v>
      </c>
      <c r="R2189" s="119">
        <f>248408.05-ROUND(300*700,2)</f>
        <v>38408.05</v>
      </c>
      <c r="S2189" s="117">
        <v>202302</v>
      </c>
      <c r="T2189" s="121" t="s">
        <v>2949</v>
      </c>
      <c r="U2189" s="121"/>
      <c r="V2189" s="269"/>
      <c r="W2189" s="269"/>
      <c r="X2189" s="118"/>
      <c r="Y2189" s="118"/>
    </row>
    <row r="2190" s="10" customFormat="1" customHeight="1" spans="1:25">
      <c r="A2190" s="60" t="s">
        <v>403</v>
      </c>
      <c r="B2190" s="60" t="s">
        <v>2950</v>
      </c>
      <c r="C2190" s="60" t="s">
        <v>2828</v>
      </c>
      <c r="D2190" s="263" t="s">
        <v>2951</v>
      </c>
      <c r="E2190" s="63" t="s">
        <v>2952</v>
      </c>
      <c r="F2190" s="60" t="s">
        <v>2953</v>
      </c>
      <c r="G2190" s="60" t="s">
        <v>31</v>
      </c>
      <c r="H2190" s="264" t="s">
        <v>2954</v>
      </c>
      <c r="I2190" s="47" t="e">
        <f>VLOOKUP(H2190,'合同综合查询数据（3月返）'!$A:$A,1,FALSE)</f>
        <v>#N/A</v>
      </c>
      <c r="J2190" s="48" t="s">
        <v>1019</v>
      </c>
      <c r="K2190" s="60" t="s">
        <v>2955</v>
      </c>
      <c r="L2190" s="113" t="s">
        <v>2956</v>
      </c>
      <c r="M2190" s="50" t="s">
        <v>2957</v>
      </c>
      <c r="N2190" s="163">
        <v>41408</v>
      </c>
      <c r="O2190" s="60" t="s">
        <v>37</v>
      </c>
      <c r="P2190" s="266">
        <v>0</v>
      </c>
      <c r="Q2190" s="270">
        <v>128</v>
      </c>
      <c r="R2190" s="266">
        <f t="shared" ref="R2190:R2230" si="59">ROUND(P2190*Q2190,2)</f>
        <v>0</v>
      </c>
      <c r="S2190" s="48">
        <v>202303</v>
      </c>
      <c r="T2190" s="125" t="s">
        <v>2958</v>
      </c>
      <c r="U2190" s="58"/>
      <c r="V2190" s="58"/>
      <c r="W2190" s="58"/>
      <c r="X2190" s="271"/>
      <c r="Y2190" s="271"/>
    </row>
    <row r="2191" s="10" customFormat="1" customHeight="1" spans="1:25">
      <c r="A2191" s="60" t="s">
        <v>403</v>
      </c>
      <c r="B2191" s="60" t="s">
        <v>2950</v>
      </c>
      <c r="C2191" s="60" t="s">
        <v>2828</v>
      </c>
      <c r="D2191" s="263" t="s">
        <v>2951</v>
      </c>
      <c r="E2191" s="63" t="s">
        <v>2952</v>
      </c>
      <c r="F2191" s="60" t="s">
        <v>2953</v>
      </c>
      <c r="G2191" s="60" t="s">
        <v>31</v>
      </c>
      <c r="H2191" s="264" t="s">
        <v>2954</v>
      </c>
      <c r="I2191" s="47" t="e">
        <f>VLOOKUP(H2191,'合同综合查询数据（3月返）'!$A:$A,1,FALSE)</f>
        <v>#N/A</v>
      </c>
      <c r="J2191" s="48" t="s">
        <v>1019</v>
      </c>
      <c r="K2191" s="60" t="s">
        <v>2955</v>
      </c>
      <c r="L2191" s="113" t="s">
        <v>2956</v>
      </c>
      <c r="M2191" s="50" t="s">
        <v>2957</v>
      </c>
      <c r="N2191" s="163">
        <v>44347</v>
      </c>
      <c r="O2191" s="60" t="s">
        <v>37</v>
      </c>
      <c r="P2191" s="266">
        <v>0</v>
      </c>
      <c r="Q2191" s="270">
        <v>-128</v>
      </c>
      <c r="R2191" s="266">
        <f t="shared" si="59"/>
        <v>0</v>
      </c>
      <c r="S2191" s="48">
        <v>202303</v>
      </c>
      <c r="T2191" s="125" t="s">
        <v>2959</v>
      </c>
      <c r="U2191" s="58"/>
      <c r="V2191" s="58"/>
      <c r="W2191" s="58"/>
      <c r="X2191" s="271"/>
      <c r="Y2191" s="271"/>
    </row>
    <row r="2192" s="10" customFormat="1" customHeight="1" spans="1:25">
      <c r="A2192" s="60" t="s">
        <v>403</v>
      </c>
      <c r="B2192" s="60" t="s">
        <v>2950</v>
      </c>
      <c r="C2192" s="60" t="s">
        <v>2828</v>
      </c>
      <c r="D2192" s="263" t="s">
        <v>2951</v>
      </c>
      <c r="E2192" s="63" t="s">
        <v>2952</v>
      </c>
      <c r="F2192" s="60" t="s">
        <v>2953</v>
      </c>
      <c r="G2192" s="60" t="s">
        <v>31</v>
      </c>
      <c r="H2192" s="264" t="s">
        <v>2954</v>
      </c>
      <c r="I2192" s="47" t="e">
        <f>VLOOKUP(H2192,'合同综合查询数据（3月返）'!$A:$A,1,FALSE)</f>
        <v>#N/A</v>
      </c>
      <c r="J2192" s="48" t="s">
        <v>1019</v>
      </c>
      <c r="K2192" s="60" t="s">
        <v>2955</v>
      </c>
      <c r="L2192" s="113" t="s">
        <v>2956</v>
      </c>
      <c r="M2192" s="50" t="s">
        <v>2957</v>
      </c>
      <c r="N2192" s="163">
        <v>44284</v>
      </c>
      <c r="O2192" s="60" t="s">
        <v>37</v>
      </c>
      <c r="P2192" s="266">
        <v>0</v>
      </c>
      <c r="Q2192" s="270">
        <v>256</v>
      </c>
      <c r="R2192" s="266">
        <f t="shared" si="59"/>
        <v>0</v>
      </c>
      <c r="S2192" s="48">
        <v>202303</v>
      </c>
      <c r="T2192" s="125" t="s">
        <v>2960</v>
      </c>
      <c r="U2192" s="58"/>
      <c r="V2192" s="58"/>
      <c r="W2192" s="58"/>
      <c r="X2192" s="271"/>
      <c r="Y2192" s="271"/>
    </row>
    <row r="2193" s="10" customFormat="1" customHeight="1" spans="1:25">
      <c r="A2193" s="60" t="s">
        <v>403</v>
      </c>
      <c r="B2193" s="60" t="s">
        <v>2950</v>
      </c>
      <c r="C2193" s="60" t="s">
        <v>2828</v>
      </c>
      <c r="D2193" s="263" t="s">
        <v>2951</v>
      </c>
      <c r="E2193" s="63" t="s">
        <v>2952</v>
      </c>
      <c r="F2193" s="60" t="s">
        <v>2953</v>
      </c>
      <c r="G2193" s="60" t="s">
        <v>31</v>
      </c>
      <c r="H2193" s="264" t="s">
        <v>2954</v>
      </c>
      <c r="I2193" s="47" t="e">
        <f>VLOOKUP(H2193,'合同综合查询数据（3月返）'!$A:$A,1,FALSE)</f>
        <v>#N/A</v>
      </c>
      <c r="J2193" s="48" t="s">
        <v>1019</v>
      </c>
      <c r="K2193" s="60" t="s">
        <v>2955</v>
      </c>
      <c r="L2193" s="113" t="s">
        <v>2956</v>
      </c>
      <c r="M2193" s="50" t="s">
        <v>2957</v>
      </c>
      <c r="N2193" s="163">
        <v>44347</v>
      </c>
      <c r="O2193" s="60" t="s">
        <v>37</v>
      </c>
      <c r="P2193" s="266">
        <v>0</v>
      </c>
      <c r="Q2193" s="270">
        <v>-256</v>
      </c>
      <c r="R2193" s="266">
        <f t="shared" si="59"/>
        <v>0</v>
      </c>
      <c r="S2193" s="48">
        <v>202303</v>
      </c>
      <c r="T2193" s="125" t="s">
        <v>2959</v>
      </c>
      <c r="U2193" s="58"/>
      <c r="V2193" s="58"/>
      <c r="W2193" s="58"/>
      <c r="X2193" s="271"/>
      <c r="Y2193" s="271"/>
    </row>
    <row r="2194" s="10" customFormat="1" customHeight="1" spans="1:25">
      <c r="A2194" s="60" t="s">
        <v>403</v>
      </c>
      <c r="B2194" s="60" t="s">
        <v>2950</v>
      </c>
      <c r="C2194" s="60" t="s">
        <v>2828</v>
      </c>
      <c r="D2194" s="263" t="s">
        <v>2951</v>
      </c>
      <c r="E2194" s="63" t="s">
        <v>2952</v>
      </c>
      <c r="F2194" s="60" t="s">
        <v>2953</v>
      </c>
      <c r="G2194" s="60" t="s">
        <v>88</v>
      </c>
      <c r="H2194" s="264" t="s">
        <v>2954</v>
      </c>
      <c r="I2194" s="47" t="e">
        <f>VLOOKUP(H2194,'合同综合查询数据（3月返）'!$A:$A,1,FALSE)</f>
        <v>#N/A</v>
      </c>
      <c r="J2194" s="48" t="s">
        <v>1033</v>
      </c>
      <c r="K2194" s="60" t="s">
        <v>2955</v>
      </c>
      <c r="L2194" s="113" t="s">
        <v>2956</v>
      </c>
      <c r="M2194" s="50" t="s">
        <v>2957</v>
      </c>
      <c r="N2194" s="163">
        <v>41408</v>
      </c>
      <c r="O2194" s="60" t="s">
        <v>624</v>
      </c>
      <c r="P2194" s="266">
        <v>3333.33</v>
      </c>
      <c r="Q2194" s="270">
        <v>2</v>
      </c>
      <c r="R2194" s="266">
        <f t="shared" si="59"/>
        <v>6666.66</v>
      </c>
      <c r="S2194" s="48">
        <v>202303</v>
      </c>
      <c r="T2194" s="125" t="s">
        <v>2961</v>
      </c>
      <c r="U2194" s="58"/>
      <c r="V2194" s="272"/>
      <c r="W2194" s="272"/>
      <c r="X2194" s="271"/>
      <c r="Y2194" s="271"/>
    </row>
    <row r="2195" s="10" customFormat="1" customHeight="1" spans="1:25">
      <c r="A2195" s="60" t="s">
        <v>403</v>
      </c>
      <c r="B2195" s="60" t="s">
        <v>2950</v>
      </c>
      <c r="C2195" s="60" t="s">
        <v>2828</v>
      </c>
      <c r="D2195" s="263" t="s">
        <v>2951</v>
      </c>
      <c r="E2195" s="63" t="s">
        <v>2952</v>
      </c>
      <c r="F2195" s="60" t="s">
        <v>2953</v>
      </c>
      <c r="G2195" s="60" t="s">
        <v>88</v>
      </c>
      <c r="H2195" s="264" t="s">
        <v>2954</v>
      </c>
      <c r="I2195" s="47" t="e">
        <f>VLOOKUP(H2195,'合同综合查询数据（3月返）'!$A:$A,1,FALSE)</f>
        <v>#N/A</v>
      </c>
      <c r="J2195" s="48" t="s">
        <v>1033</v>
      </c>
      <c r="K2195" s="60" t="s">
        <v>2955</v>
      </c>
      <c r="L2195" s="113" t="s">
        <v>2956</v>
      </c>
      <c r="M2195" s="50" t="s">
        <v>2957</v>
      </c>
      <c r="N2195" s="163">
        <v>41408</v>
      </c>
      <c r="O2195" s="60" t="s">
        <v>624</v>
      </c>
      <c r="P2195" s="266">
        <v>0</v>
      </c>
      <c r="Q2195" s="270">
        <v>1</v>
      </c>
      <c r="R2195" s="266">
        <f t="shared" si="59"/>
        <v>0</v>
      </c>
      <c r="S2195" s="48">
        <v>202303</v>
      </c>
      <c r="T2195" s="125" t="s">
        <v>2962</v>
      </c>
      <c r="U2195" s="58"/>
      <c r="V2195" s="58"/>
      <c r="W2195" s="58"/>
      <c r="X2195" s="271"/>
      <c r="Y2195" s="271"/>
    </row>
    <row r="2196" s="10" customFormat="1" customHeight="1" spans="1:25">
      <c r="A2196" s="60" t="s">
        <v>403</v>
      </c>
      <c r="B2196" s="60" t="s">
        <v>2950</v>
      </c>
      <c r="C2196" s="60" t="s">
        <v>2828</v>
      </c>
      <c r="D2196" s="263" t="s">
        <v>2951</v>
      </c>
      <c r="E2196" s="63" t="s">
        <v>2952</v>
      </c>
      <c r="F2196" s="60" t="s">
        <v>2953</v>
      </c>
      <c r="G2196" s="60" t="s">
        <v>88</v>
      </c>
      <c r="H2196" s="264" t="s">
        <v>2954</v>
      </c>
      <c r="I2196" s="47" t="e">
        <f>VLOOKUP(H2196,'合同综合查询数据（3月返）'!$A:$A,1,FALSE)</f>
        <v>#N/A</v>
      </c>
      <c r="J2196" s="48" t="s">
        <v>1033</v>
      </c>
      <c r="K2196" s="60" t="s">
        <v>2955</v>
      </c>
      <c r="L2196" s="113" t="s">
        <v>2956</v>
      </c>
      <c r="M2196" s="50" t="s">
        <v>2957</v>
      </c>
      <c r="N2196" s="163">
        <v>44347</v>
      </c>
      <c r="O2196" s="60" t="s">
        <v>624</v>
      </c>
      <c r="P2196" s="266">
        <v>3333.33</v>
      </c>
      <c r="Q2196" s="270">
        <v>-2</v>
      </c>
      <c r="R2196" s="266">
        <f t="shared" si="59"/>
        <v>-6666.66</v>
      </c>
      <c r="S2196" s="48">
        <v>202303</v>
      </c>
      <c r="T2196" s="125" t="s">
        <v>2963</v>
      </c>
      <c r="U2196" s="58"/>
      <c r="V2196" s="272"/>
      <c r="W2196" s="272"/>
      <c r="X2196" s="271"/>
      <c r="Y2196" s="271"/>
    </row>
    <row r="2197" s="10" customFormat="1" customHeight="1" spans="1:25">
      <c r="A2197" s="60" t="s">
        <v>403</v>
      </c>
      <c r="B2197" s="60" t="s">
        <v>2950</v>
      </c>
      <c r="C2197" s="60" t="s">
        <v>2828</v>
      </c>
      <c r="D2197" s="263" t="s">
        <v>2951</v>
      </c>
      <c r="E2197" s="63" t="s">
        <v>2952</v>
      </c>
      <c r="F2197" s="60" t="s">
        <v>2953</v>
      </c>
      <c r="G2197" s="60" t="s">
        <v>88</v>
      </c>
      <c r="H2197" s="264" t="s">
        <v>2954</v>
      </c>
      <c r="I2197" s="47" t="e">
        <f>VLOOKUP(H2197,'合同综合查询数据（3月返）'!$A:$A,1,FALSE)</f>
        <v>#N/A</v>
      </c>
      <c r="J2197" s="48" t="s">
        <v>1033</v>
      </c>
      <c r="K2197" s="60" t="s">
        <v>2955</v>
      </c>
      <c r="L2197" s="113" t="s">
        <v>2956</v>
      </c>
      <c r="M2197" s="50" t="s">
        <v>2957</v>
      </c>
      <c r="N2197" s="163">
        <v>44347</v>
      </c>
      <c r="O2197" s="60" t="s">
        <v>624</v>
      </c>
      <c r="P2197" s="266">
        <v>0</v>
      </c>
      <c r="Q2197" s="270">
        <v>-1</v>
      </c>
      <c r="R2197" s="266">
        <f t="shared" si="59"/>
        <v>0</v>
      </c>
      <c r="S2197" s="48">
        <v>202303</v>
      </c>
      <c r="T2197" s="125" t="s">
        <v>2964</v>
      </c>
      <c r="U2197" s="58"/>
      <c r="V2197" s="58"/>
      <c r="W2197" s="58"/>
      <c r="X2197" s="271"/>
      <c r="Y2197" s="271"/>
    </row>
    <row r="2198" s="10" customFormat="1" customHeight="1" spans="1:25">
      <c r="A2198" s="60" t="s">
        <v>403</v>
      </c>
      <c r="B2198" s="60" t="s">
        <v>2950</v>
      </c>
      <c r="C2198" s="60" t="s">
        <v>2828</v>
      </c>
      <c r="D2198" s="263" t="s">
        <v>2951</v>
      </c>
      <c r="E2198" s="63" t="s">
        <v>2952</v>
      </c>
      <c r="F2198" s="60" t="s">
        <v>2953</v>
      </c>
      <c r="G2198" s="60" t="s">
        <v>31</v>
      </c>
      <c r="H2198" s="264" t="s">
        <v>2954</v>
      </c>
      <c r="I2198" s="47" t="e">
        <f>VLOOKUP(H2198,'合同综合查询数据（3月返）'!$A:$A,1,FALSE)</f>
        <v>#N/A</v>
      </c>
      <c r="J2198" s="48" t="s">
        <v>1019</v>
      </c>
      <c r="K2198" s="60" t="s">
        <v>2965</v>
      </c>
      <c r="L2198" s="113" t="s">
        <v>2966</v>
      </c>
      <c r="M2198" s="50" t="s">
        <v>2967</v>
      </c>
      <c r="N2198" s="163">
        <v>42461</v>
      </c>
      <c r="O2198" s="60" t="s">
        <v>37</v>
      </c>
      <c r="P2198" s="266">
        <v>0</v>
      </c>
      <c r="Q2198" s="270">
        <v>64</v>
      </c>
      <c r="R2198" s="266">
        <f t="shared" si="59"/>
        <v>0</v>
      </c>
      <c r="S2198" s="48">
        <v>202303</v>
      </c>
      <c r="T2198" s="125" t="s">
        <v>2968</v>
      </c>
      <c r="U2198" s="58"/>
      <c r="V2198" s="58"/>
      <c r="W2198" s="58"/>
      <c r="X2198" s="271"/>
      <c r="Y2198" s="271"/>
    </row>
    <row r="2199" s="10" customFormat="1" customHeight="1" spans="1:25">
      <c r="A2199" s="60" t="s">
        <v>403</v>
      </c>
      <c r="B2199" s="60" t="s">
        <v>2950</v>
      </c>
      <c r="C2199" s="60" t="s">
        <v>2828</v>
      </c>
      <c r="D2199" s="263" t="s">
        <v>2951</v>
      </c>
      <c r="E2199" s="63" t="s">
        <v>2952</v>
      </c>
      <c r="F2199" s="60" t="s">
        <v>2953</v>
      </c>
      <c r="G2199" s="60" t="s">
        <v>31</v>
      </c>
      <c r="H2199" s="264" t="s">
        <v>2954</v>
      </c>
      <c r="I2199" s="47" t="e">
        <f>VLOOKUP(H2199,'合同综合查询数据（3月返）'!$A:$A,1,FALSE)</f>
        <v>#N/A</v>
      </c>
      <c r="J2199" s="48" t="s">
        <v>1019</v>
      </c>
      <c r="K2199" s="60" t="s">
        <v>2965</v>
      </c>
      <c r="L2199" s="113" t="s">
        <v>2966</v>
      </c>
      <c r="M2199" s="50" t="s">
        <v>2967</v>
      </c>
      <c r="N2199" s="163">
        <v>42461</v>
      </c>
      <c r="O2199" s="60" t="s">
        <v>37</v>
      </c>
      <c r="P2199" s="266">
        <v>50</v>
      </c>
      <c r="Q2199" s="270">
        <v>704</v>
      </c>
      <c r="R2199" s="266">
        <f t="shared" si="59"/>
        <v>35200</v>
      </c>
      <c r="S2199" s="48">
        <v>202303</v>
      </c>
      <c r="T2199" s="125" t="s">
        <v>2969</v>
      </c>
      <c r="U2199" s="58"/>
      <c r="V2199" s="58"/>
      <c r="W2199" s="58"/>
      <c r="X2199" s="271"/>
      <c r="Y2199" s="271"/>
    </row>
    <row r="2200" s="10" customFormat="1" customHeight="1" spans="1:25">
      <c r="A2200" s="60" t="s">
        <v>403</v>
      </c>
      <c r="B2200" s="60" t="s">
        <v>2950</v>
      </c>
      <c r="C2200" s="60" t="s">
        <v>2828</v>
      </c>
      <c r="D2200" s="263" t="s">
        <v>2951</v>
      </c>
      <c r="E2200" s="63" t="s">
        <v>2952</v>
      </c>
      <c r="F2200" s="60" t="s">
        <v>2953</v>
      </c>
      <c r="G2200" s="60" t="s">
        <v>88</v>
      </c>
      <c r="H2200" s="264" t="s">
        <v>2954</v>
      </c>
      <c r="I2200" s="47" t="e">
        <f>VLOOKUP(H2200,'合同综合查询数据（3月返）'!$A:$A,1,FALSE)</f>
        <v>#N/A</v>
      </c>
      <c r="J2200" s="48" t="s">
        <v>1033</v>
      </c>
      <c r="K2200" s="60" t="s">
        <v>2965</v>
      </c>
      <c r="L2200" s="113" t="s">
        <v>2966</v>
      </c>
      <c r="M2200" s="50" t="s">
        <v>2967</v>
      </c>
      <c r="N2200" s="163">
        <v>42461</v>
      </c>
      <c r="O2200" s="60" t="s">
        <v>624</v>
      </c>
      <c r="P2200" s="266">
        <v>3333.33</v>
      </c>
      <c r="Q2200" s="270">
        <v>3</v>
      </c>
      <c r="R2200" s="266">
        <f t="shared" si="59"/>
        <v>9999.99</v>
      </c>
      <c r="S2200" s="48">
        <v>202303</v>
      </c>
      <c r="T2200" s="125" t="s">
        <v>2970</v>
      </c>
      <c r="U2200" s="58"/>
      <c r="V2200" s="58"/>
      <c r="W2200" s="58"/>
      <c r="X2200" s="271"/>
      <c r="Y2200" s="271"/>
    </row>
    <row r="2201" s="10" customFormat="1" customHeight="1" spans="1:25">
      <c r="A2201" s="60" t="s">
        <v>403</v>
      </c>
      <c r="B2201" s="60" t="s">
        <v>2950</v>
      </c>
      <c r="C2201" s="60" t="s">
        <v>2828</v>
      </c>
      <c r="D2201" s="263" t="s">
        <v>2951</v>
      </c>
      <c r="E2201" s="63" t="s">
        <v>2952</v>
      </c>
      <c r="F2201" s="60" t="s">
        <v>2953</v>
      </c>
      <c r="G2201" s="60" t="s">
        <v>88</v>
      </c>
      <c r="H2201" s="264" t="s">
        <v>2954</v>
      </c>
      <c r="I2201" s="47" t="e">
        <f>VLOOKUP(H2201,'合同综合查询数据（3月返）'!$A:$A,1,FALSE)</f>
        <v>#N/A</v>
      </c>
      <c r="J2201" s="48" t="s">
        <v>1033</v>
      </c>
      <c r="K2201" s="60" t="s">
        <v>2965</v>
      </c>
      <c r="L2201" s="113" t="s">
        <v>2966</v>
      </c>
      <c r="M2201" s="50" t="s">
        <v>2967</v>
      </c>
      <c r="N2201" s="163">
        <v>42461</v>
      </c>
      <c r="O2201" s="60" t="s">
        <v>624</v>
      </c>
      <c r="P2201" s="266">
        <v>0</v>
      </c>
      <c r="Q2201" s="270">
        <v>1</v>
      </c>
      <c r="R2201" s="266">
        <f t="shared" si="59"/>
        <v>0</v>
      </c>
      <c r="S2201" s="48">
        <v>202303</v>
      </c>
      <c r="T2201" s="125" t="s">
        <v>2970</v>
      </c>
      <c r="U2201" s="58"/>
      <c r="V2201" s="58"/>
      <c r="W2201" s="58"/>
      <c r="X2201" s="271"/>
      <c r="Y2201" s="271"/>
    </row>
    <row r="2202" s="10" customFormat="1" customHeight="1" spans="1:25">
      <c r="A2202" s="60" t="s">
        <v>403</v>
      </c>
      <c r="B2202" s="60" t="s">
        <v>2950</v>
      </c>
      <c r="C2202" s="60" t="s">
        <v>2828</v>
      </c>
      <c r="D2202" s="263" t="s">
        <v>2951</v>
      </c>
      <c r="E2202" s="63" t="s">
        <v>2952</v>
      </c>
      <c r="F2202" s="60" t="s">
        <v>2953</v>
      </c>
      <c r="G2202" s="60" t="s">
        <v>31</v>
      </c>
      <c r="H2202" s="264" t="s">
        <v>2954</v>
      </c>
      <c r="I2202" s="47" t="e">
        <f>VLOOKUP(H2202,'合同综合查询数据（3月返）'!$A:$A,1,FALSE)</f>
        <v>#N/A</v>
      </c>
      <c r="J2202" s="48" t="s">
        <v>33</v>
      </c>
      <c r="K2202" s="60" t="s">
        <v>2971</v>
      </c>
      <c r="L2202" s="113" t="s">
        <v>2972</v>
      </c>
      <c r="M2202" s="50" t="s">
        <v>2973</v>
      </c>
      <c r="N2202" s="163">
        <v>43480</v>
      </c>
      <c r="O2202" s="60" t="s">
        <v>37</v>
      </c>
      <c r="P2202" s="266">
        <v>0</v>
      </c>
      <c r="Q2202" s="270">
        <v>288</v>
      </c>
      <c r="R2202" s="266">
        <f t="shared" si="59"/>
        <v>0</v>
      </c>
      <c r="S2202" s="48">
        <v>202303</v>
      </c>
      <c r="T2202" s="125" t="s">
        <v>2974</v>
      </c>
      <c r="U2202" s="58"/>
      <c r="V2202" s="58"/>
      <c r="W2202" s="58"/>
      <c r="X2202" s="271"/>
      <c r="Y2202" s="271"/>
    </row>
    <row r="2203" s="10" customFormat="1" customHeight="1" spans="1:25">
      <c r="A2203" s="60" t="s">
        <v>403</v>
      </c>
      <c r="B2203" s="60" t="s">
        <v>2950</v>
      </c>
      <c r="C2203" s="60" t="s">
        <v>2828</v>
      </c>
      <c r="D2203" s="263" t="s">
        <v>2951</v>
      </c>
      <c r="E2203" s="63" t="s">
        <v>2952</v>
      </c>
      <c r="F2203" s="60" t="s">
        <v>2953</v>
      </c>
      <c r="G2203" s="60" t="s">
        <v>31</v>
      </c>
      <c r="H2203" s="264" t="s">
        <v>2954</v>
      </c>
      <c r="I2203" s="47" t="e">
        <f>VLOOKUP(H2203,'合同综合查询数据（3月返）'!$A:$A,1,FALSE)</f>
        <v>#N/A</v>
      </c>
      <c r="J2203" s="48" t="s">
        <v>33</v>
      </c>
      <c r="K2203" s="60" t="s">
        <v>2971</v>
      </c>
      <c r="L2203" s="113" t="s">
        <v>2972</v>
      </c>
      <c r="M2203" s="50" t="s">
        <v>2973</v>
      </c>
      <c r="N2203" s="163">
        <v>43998</v>
      </c>
      <c r="O2203" s="60" t="s">
        <v>37</v>
      </c>
      <c r="P2203" s="266">
        <v>50</v>
      </c>
      <c r="Q2203" s="270">
        <v>256</v>
      </c>
      <c r="R2203" s="266">
        <f t="shared" si="59"/>
        <v>12800</v>
      </c>
      <c r="S2203" s="48">
        <v>202303</v>
      </c>
      <c r="T2203" s="125" t="s">
        <v>2975</v>
      </c>
      <c r="U2203" s="58"/>
      <c r="V2203" s="58"/>
      <c r="W2203" s="58"/>
      <c r="X2203" s="271"/>
      <c r="Y2203" s="271"/>
    </row>
    <row r="2204" s="10" customFormat="1" customHeight="1" spans="1:25">
      <c r="A2204" s="60" t="s">
        <v>403</v>
      </c>
      <c r="B2204" s="60" t="s">
        <v>2950</v>
      </c>
      <c r="C2204" s="60" t="s">
        <v>2828</v>
      </c>
      <c r="D2204" s="263" t="s">
        <v>2951</v>
      </c>
      <c r="E2204" s="63" t="s">
        <v>2952</v>
      </c>
      <c r="F2204" s="60" t="s">
        <v>2953</v>
      </c>
      <c r="G2204" s="60" t="s">
        <v>31</v>
      </c>
      <c r="H2204" s="264" t="s">
        <v>2954</v>
      </c>
      <c r="I2204" s="47" t="e">
        <f>VLOOKUP(H2204,'合同综合查询数据（3月返）'!$A:$A,1,FALSE)</f>
        <v>#N/A</v>
      </c>
      <c r="J2204" s="48" t="s">
        <v>33</v>
      </c>
      <c r="K2204" s="60" t="s">
        <v>2971</v>
      </c>
      <c r="L2204" s="113" t="s">
        <v>2972</v>
      </c>
      <c r="M2204" s="50" t="s">
        <v>2973</v>
      </c>
      <c r="N2204" s="163">
        <v>44176</v>
      </c>
      <c r="O2204" s="60" t="s">
        <v>37</v>
      </c>
      <c r="P2204" s="266">
        <v>50</v>
      </c>
      <c r="Q2204" s="270">
        <v>128</v>
      </c>
      <c r="R2204" s="266">
        <f t="shared" si="59"/>
        <v>6400</v>
      </c>
      <c r="S2204" s="48">
        <v>202303</v>
      </c>
      <c r="T2204" s="125" t="s">
        <v>2976</v>
      </c>
      <c r="U2204" s="58"/>
      <c r="V2204" s="58"/>
      <c r="W2204" s="58"/>
      <c r="X2204" s="271"/>
      <c r="Y2204" s="271"/>
    </row>
    <row r="2205" s="10" customFormat="1" customHeight="1" spans="1:25">
      <c r="A2205" s="60" t="s">
        <v>403</v>
      </c>
      <c r="B2205" s="60" t="s">
        <v>2950</v>
      </c>
      <c r="C2205" s="60" t="s">
        <v>2828</v>
      </c>
      <c r="D2205" s="263" t="s">
        <v>2951</v>
      </c>
      <c r="E2205" s="63" t="s">
        <v>2952</v>
      </c>
      <c r="F2205" s="60" t="s">
        <v>2953</v>
      </c>
      <c r="G2205" s="60" t="s">
        <v>31</v>
      </c>
      <c r="H2205" s="264" t="s">
        <v>2954</v>
      </c>
      <c r="I2205" s="47" t="e">
        <f>VLOOKUP(H2205,'合同综合查询数据（3月返）'!$A:$A,1,FALSE)</f>
        <v>#N/A</v>
      </c>
      <c r="J2205" s="48" t="s">
        <v>33</v>
      </c>
      <c r="K2205" s="60" t="s">
        <v>2971</v>
      </c>
      <c r="L2205" s="113" t="s">
        <v>2972</v>
      </c>
      <c r="M2205" s="50" t="s">
        <v>2973</v>
      </c>
      <c r="N2205" s="51">
        <v>44333</v>
      </c>
      <c r="O2205" s="267" t="s">
        <v>37</v>
      </c>
      <c r="P2205" s="266">
        <v>50</v>
      </c>
      <c r="Q2205" s="270">
        <v>128</v>
      </c>
      <c r="R2205" s="266">
        <f t="shared" si="59"/>
        <v>6400</v>
      </c>
      <c r="S2205" s="48">
        <v>202303</v>
      </c>
      <c r="T2205" s="125" t="s">
        <v>2977</v>
      </c>
      <c r="U2205" s="58"/>
      <c r="V2205" s="58"/>
      <c r="W2205" s="58"/>
      <c r="X2205" s="271"/>
      <c r="Y2205" s="271"/>
    </row>
    <row r="2206" s="10" customFormat="1" customHeight="1" spans="1:25">
      <c r="A2206" s="60" t="s">
        <v>403</v>
      </c>
      <c r="B2206" s="60" t="s">
        <v>2950</v>
      </c>
      <c r="C2206" s="60" t="s">
        <v>2828</v>
      </c>
      <c r="D2206" s="263" t="s">
        <v>2951</v>
      </c>
      <c r="E2206" s="63" t="s">
        <v>2952</v>
      </c>
      <c r="F2206" s="60" t="s">
        <v>2953</v>
      </c>
      <c r="G2206" s="60" t="s">
        <v>31</v>
      </c>
      <c r="H2206" s="264" t="s">
        <v>2954</v>
      </c>
      <c r="I2206" s="47" t="e">
        <f>VLOOKUP(H2206,'合同综合查询数据（3月返）'!$A:$A,1,FALSE)</f>
        <v>#N/A</v>
      </c>
      <c r="J2206" s="48" t="s">
        <v>33</v>
      </c>
      <c r="K2206" s="60" t="s">
        <v>2971</v>
      </c>
      <c r="L2206" s="113" t="s">
        <v>2972</v>
      </c>
      <c r="M2206" s="50" t="s">
        <v>2973</v>
      </c>
      <c r="N2206" s="51">
        <v>44695</v>
      </c>
      <c r="O2206" s="267" t="s">
        <v>37</v>
      </c>
      <c r="P2206" s="266">
        <v>50</v>
      </c>
      <c r="Q2206" s="270">
        <v>256</v>
      </c>
      <c r="R2206" s="266">
        <f t="shared" si="59"/>
        <v>12800</v>
      </c>
      <c r="S2206" s="48">
        <v>202303</v>
      </c>
      <c r="T2206" s="125" t="s">
        <v>2978</v>
      </c>
      <c r="U2206" s="58"/>
      <c r="V2206" s="58"/>
      <c r="W2206" s="58"/>
      <c r="X2206" s="271"/>
      <c r="Y2206" s="271"/>
    </row>
    <row r="2207" s="10" customFormat="1" customHeight="1" spans="1:25">
      <c r="A2207" s="60" t="s">
        <v>403</v>
      </c>
      <c r="B2207" s="60" t="s">
        <v>2950</v>
      </c>
      <c r="C2207" s="60" t="s">
        <v>2828</v>
      </c>
      <c r="D2207" s="263" t="s">
        <v>2951</v>
      </c>
      <c r="E2207" s="63" t="s">
        <v>2952</v>
      </c>
      <c r="F2207" s="60" t="s">
        <v>2953</v>
      </c>
      <c r="G2207" s="60" t="s">
        <v>31</v>
      </c>
      <c r="H2207" s="264" t="s">
        <v>2954</v>
      </c>
      <c r="I2207" s="47" t="e">
        <f>VLOOKUP(H2207,'合同综合查询数据（3月返）'!$A:$A,1,FALSE)</f>
        <v>#N/A</v>
      </c>
      <c r="J2207" s="48" t="s">
        <v>33</v>
      </c>
      <c r="K2207" s="60" t="s">
        <v>2971</v>
      </c>
      <c r="L2207" s="113" t="s">
        <v>2972</v>
      </c>
      <c r="M2207" s="50" t="s">
        <v>2973</v>
      </c>
      <c r="N2207" s="51">
        <v>44905</v>
      </c>
      <c r="O2207" s="267" t="s">
        <v>37</v>
      </c>
      <c r="P2207" s="266">
        <v>50</v>
      </c>
      <c r="Q2207" s="270">
        <v>-128</v>
      </c>
      <c r="R2207" s="266">
        <f t="shared" si="59"/>
        <v>-6400</v>
      </c>
      <c r="S2207" s="48">
        <v>202303</v>
      </c>
      <c r="T2207" s="125" t="s">
        <v>2979</v>
      </c>
      <c r="U2207" s="58"/>
      <c r="V2207" s="58"/>
      <c r="W2207" s="58"/>
      <c r="X2207" s="271"/>
      <c r="Y2207" s="271"/>
    </row>
    <row r="2208" s="10" customFormat="1" customHeight="1" spans="1:25">
      <c r="A2208" s="60" t="s">
        <v>403</v>
      </c>
      <c r="B2208" s="60" t="s">
        <v>2950</v>
      </c>
      <c r="C2208" s="60" t="s">
        <v>2828</v>
      </c>
      <c r="D2208" s="263" t="s">
        <v>2951</v>
      </c>
      <c r="E2208" s="63" t="s">
        <v>2952</v>
      </c>
      <c r="F2208" s="60" t="s">
        <v>2953</v>
      </c>
      <c r="G2208" s="60" t="s">
        <v>88</v>
      </c>
      <c r="H2208" s="264" t="s">
        <v>2954</v>
      </c>
      <c r="I2208" s="47" t="e">
        <f>VLOOKUP(H2208,'合同综合查询数据（3月返）'!$A:$A,1,FALSE)</f>
        <v>#N/A</v>
      </c>
      <c r="J2208" s="48" t="s">
        <v>126</v>
      </c>
      <c r="K2208" s="60" t="s">
        <v>2971</v>
      </c>
      <c r="L2208" s="113" t="s">
        <v>2972</v>
      </c>
      <c r="M2208" s="50" t="s">
        <v>2973</v>
      </c>
      <c r="N2208" s="163">
        <v>43480</v>
      </c>
      <c r="O2208" s="60" t="s">
        <v>92</v>
      </c>
      <c r="P2208" s="266">
        <v>0</v>
      </c>
      <c r="Q2208" s="270">
        <v>5</v>
      </c>
      <c r="R2208" s="266">
        <f t="shared" si="59"/>
        <v>0</v>
      </c>
      <c r="S2208" s="48">
        <v>202303</v>
      </c>
      <c r="T2208" s="125" t="s">
        <v>2980</v>
      </c>
      <c r="U2208" s="58"/>
      <c r="V2208" s="58"/>
      <c r="W2208" s="58"/>
      <c r="X2208" s="271"/>
      <c r="Y2208" s="271"/>
    </row>
    <row r="2209" s="10" customFormat="1" customHeight="1" spans="1:25">
      <c r="A2209" s="60" t="s">
        <v>403</v>
      </c>
      <c r="B2209" s="60" t="s">
        <v>2950</v>
      </c>
      <c r="C2209" s="60" t="s">
        <v>2828</v>
      </c>
      <c r="D2209" s="263" t="s">
        <v>2951</v>
      </c>
      <c r="E2209" s="63" t="s">
        <v>2952</v>
      </c>
      <c r="F2209" s="60" t="s">
        <v>2953</v>
      </c>
      <c r="G2209" s="60" t="s">
        <v>88</v>
      </c>
      <c r="H2209" s="264" t="s">
        <v>2954</v>
      </c>
      <c r="I2209" s="47" t="e">
        <f>VLOOKUP(H2209,'合同综合查询数据（3月返）'!$A:$A,1,FALSE)</f>
        <v>#N/A</v>
      </c>
      <c r="J2209" s="48" t="s">
        <v>126</v>
      </c>
      <c r="K2209" s="60" t="s">
        <v>2971</v>
      </c>
      <c r="L2209" s="113" t="s">
        <v>2972</v>
      </c>
      <c r="M2209" s="50" t="s">
        <v>2973</v>
      </c>
      <c r="N2209" s="163">
        <v>44044</v>
      </c>
      <c r="O2209" s="60" t="s">
        <v>624</v>
      </c>
      <c r="P2209" s="266">
        <v>0</v>
      </c>
      <c r="Q2209" s="270">
        <v>2</v>
      </c>
      <c r="R2209" s="266">
        <f t="shared" si="59"/>
        <v>0</v>
      </c>
      <c r="S2209" s="48">
        <v>202303</v>
      </c>
      <c r="T2209" s="125" t="s">
        <v>2981</v>
      </c>
      <c r="U2209" s="58"/>
      <c r="V2209" s="58"/>
      <c r="W2209" s="58"/>
      <c r="X2209" s="271"/>
      <c r="Y2209" s="271"/>
    </row>
    <row r="2210" s="10" customFormat="1" customHeight="1" spans="1:25">
      <c r="A2210" s="60" t="s">
        <v>403</v>
      </c>
      <c r="B2210" s="60" t="s">
        <v>2950</v>
      </c>
      <c r="C2210" s="60" t="s">
        <v>2828</v>
      </c>
      <c r="D2210" s="263" t="s">
        <v>2951</v>
      </c>
      <c r="E2210" s="63" t="s">
        <v>2952</v>
      </c>
      <c r="F2210" s="60" t="s">
        <v>2953</v>
      </c>
      <c r="G2210" s="60" t="s">
        <v>88</v>
      </c>
      <c r="H2210" s="264" t="s">
        <v>2954</v>
      </c>
      <c r="I2210" s="47" t="e">
        <f>VLOOKUP(H2210,'合同综合查询数据（3月返）'!$A:$A,1,FALSE)</f>
        <v>#N/A</v>
      </c>
      <c r="J2210" s="48" t="s">
        <v>126</v>
      </c>
      <c r="K2210" s="60" t="s">
        <v>2971</v>
      </c>
      <c r="L2210" s="113" t="s">
        <v>2972</v>
      </c>
      <c r="M2210" s="50" t="s">
        <v>2973</v>
      </c>
      <c r="N2210" s="163">
        <v>44176</v>
      </c>
      <c r="O2210" s="60" t="s">
        <v>624</v>
      </c>
      <c r="P2210" s="266">
        <v>0</v>
      </c>
      <c r="Q2210" s="270">
        <v>1</v>
      </c>
      <c r="R2210" s="266">
        <f t="shared" si="59"/>
        <v>0</v>
      </c>
      <c r="S2210" s="48">
        <v>202303</v>
      </c>
      <c r="T2210" s="125" t="s">
        <v>2982</v>
      </c>
      <c r="U2210" s="58"/>
      <c r="V2210" s="58"/>
      <c r="W2210" s="58"/>
      <c r="X2210" s="271"/>
      <c r="Y2210" s="271"/>
    </row>
    <row r="2211" s="10" customFormat="1" customHeight="1" spans="1:25">
      <c r="A2211" s="60" t="s">
        <v>403</v>
      </c>
      <c r="B2211" s="60" t="s">
        <v>2950</v>
      </c>
      <c r="C2211" s="60" t="s">
        <v>2828</v>
      </c>
      <c r="D2211" s="263" t="s">
        <v>2951</v>
      </c>
      <c r="E2211" s="63" t="s">
        <v>2952</v>
      </c>
      <c r="F2211" s="60" t="s">
        <v>2953</v>
      </c>
      <c r="G2211" s="60" t="s">
        <v>88</v>
      </c>
      <c r="H2211" s="264" t="s">
        <v>2954</v>
      </c>
      <c r="I2211" s="47" t="e">
        <f>VLOOKUP(H2211,'合同综合查询数据（3月返）'!$A:$A,1,FALSE)</f>
        <v>#N/A</v>
      </c>
      <c r="J2211" s="48" t="s">
        <v>126</v>
      </c>
      <c r="K2211" s="60" t="s">
        <v>2971</v>
      </c>
      <c r="L2211" s="113" t="s">
        <v>2972</v>
      </c>
      <c r="M2211" s="50" t="s">
        <v>2973</v>
      </c>
      <c r="N2211" s="163">
        <v>44272</v>
      </c>
      <c r="O2211" s="60" t="s">
        <v>624</v>
      </c>
      <c r="P2211" s="266">
        <v>3333.33</v>
      </c>
      <c r="Q2211" s="270">
        <v>1</v>
      </c>
      <c r="R2211" s="266">
        <f t="shared" si="59"/>
        <v>3333.33</v>
      </c>
      <c r="S2211" s="48">
        <v>202303</v>
      </c>
      <c r="T2211" s="125" t="s">
        <v>2983</v>
      </c>
      <c r="U2211" s="58"/>
      <c r="V2211" s="58"/>
      <c r="W2211" s="58"/>
      <c r="X2211" s="271"/>
      <c r="Y2211" s="271"/>
    </row>
    <row r="2212" s="10" customFormat="1" customHeight="1" spans="1:25">
      <c r="A2212" s="60" t="s">
        <v>403</v>
      </c>
      <c r="B2212" s="60" t="s">
        <v>2950</v>
      </c>
      <c r="C2212" s="60" t="s">
        <v>2828</v>
      </c>
      <c r="D2212" s="263" t="s">
        <v>2951</v>
      </c>
      <c r="E2212" s="63" t="s">
        <v>2952</v>
      </c>
      <c r="F2212" s="60" t="s">
        <v>2953</v>
      </c>
      <c r="G2212" s="60" t="s">
        <v>88</v>
      </c>
      <c r="H2212" s="264" t="s">
        <v>2954</v>
      </c>
      <c r="I2212" s="47" t="e">
        <f>VLOOKUP(H2212,'合同综合查询数据（3月返）'!$A:$A,1,FALSE)</f>
        <v>#N/A</v>
      </c>
      <c r="J2212" s="48" t="s">
        <v>126</v>
      </c>
      <c r="K2212" s="60" t="s">
        <v>2971</v>
      </c>
      <c r="L2212" s="113" t="s">
        <v>2972</v>
      </c>
      <c r="M2212" s="50" t="s">
        <v>2973</v>
      </c>
      <c r="N2212" s="51">
        <v>44333</v>
      </c>
      <c r="O2212" s="60" t="s">
        <v>624</v>
      </c>
      <c r="P2212" s="266">
        <v>3333.33</v>
      </c>
      <c r="Q2212" s="270">
        <v>2</v>
      </c>
      <c r="R2212" s="266">
        <f t="shared" si="59"/>
        <v>6666.66</v>
      </c>
      <c r="S2212" s="48">
        <v>202303</v>
      </c>
      <c r="T2212" s="125" t="s">
        <v>2984</v>
      </c>
      <c r="U2212" s="58"/>
      <c r="V2212" s="58"/>
      <c r="W2212" s="58"/>
      <c r="X2212" s="271"/>
      <c r="Y2212" s="271"/>
    </row>
    <row r="2213" s="10" customFormat="1" customHeight="1" spans="1:25">
      <c r="A2213" s="60" t="s">
        <v>403</v>
      </c>
      <c r="B2213" s="60" t="s">
        <v>2950</v>
      </c>
      <c r="C2213" s="60" t="s">
        <v>2828</v>
      </c>
      <c r="D2213" s="263" t="s">
        <v>2951</v>
      </c>
      <c r="E2213" s="63" t="s">
        <v>2952</v>
      </c>
      <c r="F2213" s="60" t="s">
        <v>2953</v>
      </c>
      <c r="G2213" s="60" t="s">
        <v>88</v>
      </c>
      <c r="H2213" s="264" t="s">
        <v>2954</v>
      </c>
      <c r="I2213" s="47" t="e">
        <f>VLOOKUP(H2213,'合同综合查询数据（3月返）'!$A:$A,1,FALSE)</f>
        <v>#N/A</v>
      </c>
      <c r="J2213" s="48" t="s">
        <v>126</v>
      </c>
      <c r="K2213" s="60" t="s">
        <v>2971</v>
      </c>
      <c r="L2213" s="113" t="s">
        <v>2972</v>
      </c>
      <c r="M2213" s="50" t="s">
        <v>2973</v>
      </c>
      <c r="N2213" s="51">
        <v>44695</v>
      </c>
      <c r="O2213" s="60" t="s">
        <v>624</v>
      </c>
      <c r="P2213" s="266">
        <v>3333.33</v>
      </c>
      <c r="Q2213" s="270">
        <v>8</v>
      </c>
      <c r="R2213" s="266">
        <f t="shared" si="59"/>
        <v>26666.64</v>
      </c>
      <c r="S2213" s="48">
        <v>202303</v>
      </c>
      <c r="T2213" s="125" t="s">
        <v>2985</v>
      </c>
      <c r="U2213" s="58"/>
      <c r="V2213" s="58"/>
      <c r="W2213" s="58"/>
      <c r="X2213" s="271"/>
      <c r="Y2213" s="271"/>
    </row>
    <row r="2214" s="10" customFormat="1" customHeight="1" spans="1:25">
      <c r="A2214" s="60" t="s">
        <v>403</v>
      </c>
      <c r="B2214" s="60" t="s">
        <v>2950</v>
      </c>
      <c r="C2214" s="60" t="s">
        <v>2828</v>
      </c>
      <c r="D2214" s="263" t="s">
        <v>2951</v>
      </c>
      <c r="E2214" s="63" t="s">
        <v>2952</v>
      </c>
      <c r="F2214" s="60" t="s">
        <v>2953</v>
      </c>
      <c r="G2214" s="60" t="s">
        <v>31</v>
      </c>
      <c r="H2214" s="264" t="s">
        <v>2954</v>
      </c>
      <c r="I2214" s="47" t="e">
        <f>VLOOKUP(H2214,'合同综合查询数据（3月返）'!$A:$A,1,FALSE)</f>
        <v>#N/A</v>
      </c>
      <c r="J2214" s="48" t="s">
        <v>33</v>
      </c>
      <c r="K2214" s="60" t="s">
        <v>2829</v>
      </c>
      <c r="L2214" s="113" t="s">
        <v>2986</v>
      </c>
      <c r="M2214" s="50" t="s">
        <v>2987</v>
      </c>
      <c r="N2214" s="51">
        <v>44805</v>
      </c>
      <c r="O2214" s="60" t="s">
        <v>37</v>
      </c>
      <c r="P2214" s="266">
        <v>0</v>
      </c>
      <c r="Q2214" s="270">
        <v>288</v>
      </c>
      <c r="R2214" s="266">
        <f t="shared" si="59"/>
        <v>0</v>
      </c>
      <c r="S2214" s="48">
        <v>202303</v>
      </c>
      <c r="T2214" s="125" t="s">
        <v>2988</v>
      </c>
      <c r="U2214" s="58"/>
      <c r="V2214" s="58"/>
      <c r="W2214" s="58"/>
      <c r="X2214" s="271"/>
      <c r="Y2214" s="271"/>
    </row>
    <row r="2215" s="10" customFormat="1" customHeight="1" spans="1:25">
      <c r="A2215" s="60" t="s">
        <v>403</v>
      </c>
      <c r="B2215" s="60" t="s">
        <v>2950</v>
      </c>
      <c r="C2215" s="60" t="s">
        <v>2828</v>
      </c>
      <c r="D2215" s="263" t="s">
        <v>2951</v>
      </c>
      <c r="E2215" s="63" t="s">
        <v>2952</v>
      </c>
      <c r="F2215" s="60" t="s">
        <v>2953</v>
      </c>
      <c r="G2215" s="60" t="s">
        <v>88</v>
      </c>
      <c r="H2215" s="264" t="s">
        <v>2954</v>
      </c>
      <c r="I2215" s="47" t="e">
        <f>VLOOKUP(H2215,'合同综合查询数据（3月返）'!$A:$A,1,FALSE)</f>
        <v>#N/A</v>
      </c>
      <c r="J2215" s="48" t="s">
        <v>126</v>
      </c>
      <c r="K2215" s="60" t="s">
        <v>2829</v>
      </c>
      <c r="L2215" s="113" t="s">
        <v>2986</v>
      </c>
      <c r="M2215" s="50" t="s">
        <v>2987</v>
      </c>
      <c r="N2215" s="51">
        <v>44805</v>
      </c>
      <c r="O2215" s="60" t="s">
        <v>2989</v>
      </c>
      <c r="P2215" s="266">
        <v>4000</v>
      </c>
      <c r="Q2215" s="270">
        <v>8</v>
      </c>
      <c r="R2215" s="266">
        <f t="shared" si="59"/>
        <v>32000</v>
      </c>
      <c r="S2215" s="48">
        <v>202303</v>
      </c>
      <c r="T2215" s="125" t="s">
        <v>2990</v>
      </c>
      <c r="U2215" s="58"/>
      <c r="V2215" s="58"/>
      <c r="W2215" s="58"/>
      <c r="X2215" s="271"/>
      <c r="Y2215" s="271"/>
    </row>
    <row r="2216" s="9" customFormat="1" customHeight="1" spans="1:25">
      <c r="A2216" s="96" t="s">
        <v>403</v>
      </c>
      <c r="B2216" s="96" t="s">
        <v>2950</v>
      </c>
      <c r="C2216" s="96" t="s">
        <v>2828</v>
      </c>
      <c r="D2216" s="265" t="s">
        <v>2951</v>
      </c>
      <c r="E2216" s="105" t="s">
        <v>2991</v>
      </c>
      <c r="F2216" s="96" t="s">
        <v>2992</v>
      </c>
      <c r="G2216" s="96" t="s">
        <v>67</v>
      </c>
      <c r="H2216" s="19" t="s">
        <v>2993</v>
      </c>
      <c r="I2216" s="23" t="e">
        <f>VLOOKUP(H2216,'合同综合查询数据（3月返）'!$A:$A,1,FALSE)</f>
        <v>#N/A</v>
      </c>
      <c r="J2216" s="96" t="s">
        <v>67</v>
      </c>
      <c r="K2216" s="96" t="s">
        <v>2994</v>
      </c>
      <c r="L2216" s="114" t="s">
        <v>2995</v>
      </c>
      <c r="M2216" s="26" t="s">
        <v>2987</v>
      </c>
      <c r="N2216" s="28">
        <v>44811</v>
      </c>
      <c r="O2216" s="96" t="s">
        <v>2996</v>
      </c>
      <c r="P2216" s="268">
        <v>20833.33</v>
      </c>
      <c r="Q2216" s="273">
        <v>2</v>
      </c>
      <c r="R2216" s="268">
        <f t="shared" si="59"/>
        <v>41666.66</v>
      </c>
      <c r="S2216" s="24">
        <v>202303</v>
      </c>
      <c r="T2216" s="127" t="s">
        <v>2997</v>
      </c>
      <c r="U2216" s="40"/>
      <c r="V2216" s="40"/>
      <c r="W2216" s="40"/>
      <c r="X2216" s="274">
        <v>44805</v>
      </c>
      <c r="Y2216" s="274">
        <v>45169</v>
      </c>
    </row>
    <row r="2217" s="10" customFormat="1" customHeight="1" spans="1:25">
      <c r="A2217" s="60" t="s">
        <v>403</v>
      </c>
      <c r="B2217" s="60" t="s">
        <v>2950</v>
      </c>
      <c r="C2217" s="60" t="s">
        <v>2998</v>
      </c>
      <c r="D2217" s="263" t="s">
        <v>2951</v>
      </c>
      <c r="E2217" s="63" t="s">
        <v>2999</v>
      </c>
      <c r="F2217" s="60" t="s">
        <v>3000</v>
      </c>
      <c r="G2217" s="60" t="s">
        <v>88</v>
      </c>
      <c r="H2217" s="45" t="s">
        <v>3001</v>
      </c>
      <c r="I2217" s="47" t="e">
        <f>VLOOKUP(H2217,'合同综合查询数据（3月返）'!$A:$A,1,FALSE)</f>
        <v>#N/A</v>
      </c>
      <c r="J2217" s="48" t="s">
        <v>126</v>
      </c>
      <c r="K2217" s="60" t="s">
        <v>3002</v>
      </c>
      <c r="L2217" s="113"/>
      <c r="M2217" s="50" t="s">
        <v>3003</v>
      </c>
      <c r="N2217" s="163">
        <v>40349</v>
      </c>
      <c r="O2217" s="267" t="s">
        <v>3004</v>
      </c>
      <c r="P2217" s="266">
        <v>4300</v>
      </c>
      <c r="Q2217" s="270">
        <v>35</v>
      </c>
      <c r="R2217" s="266">
        <f t="shared" si="59"/>
        <v>150500</v>
      </c>
      <c r="S2217" s="48">
        <v>202303</v>
      </c>
      <c r="T2217" s="125" t="s">
        <v>3005</v>
      </c>
      <c r="U2217" s="58"/>
      <c r="V2217" s="58"/>
      <c r="W2217" s="58"/>
      <c r="X2217" s="111"/>
      <c r="Y2217" s="111"/>
    </row>
    <row r="2218" s="10" customFormat="1" customHeight="1" spans="1:25">
      <c r="A2218" s="60" t="s">
        <v>403</v>
      </c>
      <c r="B2218" s="60" t="s">
        <v>2950</v>
      </c>
      <c r="C2218" s="60" t="s">
        <v>2998</v>
      </c>
      <c r="D2218" s="263" t="s">
        <v>2951</v>
      </c>
      <c r="E2218" s="63" t="s">
        <v>2999</v>
      </c>
      <c r="F2218" s="60" t="s">
        <v>3000</v>
      </c>
      <c r="G2218" s="60" t="s">
        <v>88</v>
      </c>
      <c r="H2218" s="45" t="s">
        <v>3001</v>
      </c>
      <c r="I2218" s="47" t="e">
        <f>VLOOKUP(H2218,'合同综合查询数据（3月返）'!$A:$A,1,FALSE)</f>
        <v>#N/A</v>
      </c>
      <c r="J2218" s="48" t="s">
        <v>126</v>
      </c>
      <c r="K2218" s="60" t="s">
        <v>3002</v>
      </c>
      <c r="L2218" s="113"/>
      <c r="M2218" s="50" t="s">
        <v>3003</v>
      </c>
      <c r="N2218" s="163">
        <v>43951</v>
      </c>
      <c r="O2218" s="267" t="s">
        <v>3004</v>
      </c>
      <c r="P2218" s="266">
        <v>4300</v>
      </c>
      <c r="Q2218" s="270">
        <v>-17</v>
      </c>
      <c r="R2218" s="266">
        <f t="shared" si="59"/>
        <v>-73100</v>
      </c>
      <c r="S2218" s="48">
        <v>202303</v>
      </c>
      <c r="T2218" s="125" t="s">
        <v>3006</v>
      </c>
      <c r="U2218" s="58"/>
      <c r="V2218" s="58"/>
      <c r="W2218" s="58"/>
      <c r="X2218" s="111"/>
      <c r="Y2218" s="111"/>
    </row>
    <row r="2219" s="10" customFormat="1" customHeight="1" spans="1:25">
      <c r="A2219" s="60" t="s">
        <v>403</v>
      </c>
      <c r="B2219" s="60" t="s">
        <v>2950</v>
      </c>
      <c r="C2219" s="60" t="s">
        <v>2998</v>
      </c>
      <c r="D2219" s="263" t="s">
        <v>2951</v>
      </c>
      <c r="E2219" s="63" t="s">
        <v>2999</v>
      </c>
      <c r="F2219" s="60" t="s">
        <v>3000</v>
      </c>
      <c r="G2219" s="60" t="s">
        <v>88</v>
      </c>
      <c r="H2219" s="45" t="s">
        <v>3001</v>
      </c>
      <c r="I2219" s="47" t="e">
        <f>VLOOKUP(H2219,'合同综合查询数据（3月返）'!$A:$A,1,FALSE)</f>
        <v>#N/A</v>
      </c>
      <c r="J2219" s="48" t="s">
        <v>126</v>
      </c>
      <c r="K2219" s="60" t="s">
        <v>3002</v>
      </c>
      <c r="L2219" s="113"/>
      <c r="M2219" s="50" t="s">
        <v>3003</v>
      </c>
      <c r="N2219" s="163">
        <v>44347</v>
      </c>
      <c r="O2219" s="267" t="s">
        <v>3004</v>
      </c>
      <c r="P2219" s="266">
        <v>4300</v>
      </c>
      <c r="Q2219" s="270">
        <v>-3</v>
      </c>
      <c r="R2219" s="266">
        <f t="shared" si="59"/>
        <v>-12900</v>
      </c>
      <c r="S2219" s="48">
        <v>202303</v>
      </c>
      <c r="T2219" s="125" t="s">
        <v>3007</v>
      </c>
      <c r="U2219" s="58"/>
      <c r="V2219" s="58"/>
      <c r="W2219" s="58"/>
      <c r="X2219" s="111"/>
      <c r="Y2219" s="111"/>
    </row>
    <row r="2220" s="10" customFormat="1" customHeight="1" spans="1:25">
      <c r="A2220" s="60" t="s">
        <v>403</v>
      </c>
      <c r="B2220" s="60" t="s">
        <v>2950</v>
      </c>
      <c r="C2220" s="60" t="s">
        <v>2998</v>
      </c>
      <c r="D2220" s="263" t="s">
        <v>2951</v>
      </c>
      <c r="E2220" s="63" t="s">
        <v>2999</v>
      </c>
      <c r="F2220" s="60" t="s">
        <v>3000</v>
      </c>
      <c r="G2220" s="60" t="s">
        <v>88</v>
      </c>
      <c r="H2220" s="45" t="s">
        <v>3001</v>
      </c>
      <c r="I2220" s="47" t="e">
        <f>VLOOKUP(H2220,'合同综合查询数据（3月返）'!$A:$A,1,FALSE)</f>
        <v>#N/A</v>
      </c>
      <c r="J2220" s="48" t="s">
        <v>126</v>
      </c>
      <c r="K2220" s="60" t="s">
        <v>3002</v>
      </c>
      <c r="L2220" s="113"/>
      <c r="M2220" s="50" t="s">
        <v>3003</v>
      </c>
      <c r="N2220" s="163">
        <v>44592</v>
      </c>
      <c r="O2220" s="267" t="s">
        <v>3004</v>
      </c>
      <c r="P2220" s="266">
        <v>4300</v>
      </c>
      <c r="Q2220" s="270">
        <v>-11</v>
      </c>
      <c r="R2220" s="266">
        <f t="shared" si="59"/>
        <v>-47300</v>
      </c>
      <c r="S2220" s="48">
        <v>202303</v>
      </c>
      <c r="T2220" s="125" t="s">
        <v>3008</v>
      </c>
      <c r="U2220" s="58"/>
      <c r="V2220" s="58"/>
      <c r="W2220" s="58"/>
      <c r="X2220" s="111"/>
      <c r="Y2220" s="111"/>
    </row>
    <row r="2221" s="10" customFormat="1" customHeight="1" spans="1:25">
      <c r="A2221" s="60" t="s">
        <v>403</v>
      </c>
      <c r="B2221" s="60" t="s">
        <v>2950</v>
      </c>
      <c r="C2221" s="60" t="s">
        <v>2998</v>
      </c>
      <c r="D2221" s="263" t="s">
        <v>2951</v>
      </c>
      <c r="E2221" s="63" t="s">
        <v>2999</v>
      </c>
      <c r="F2221" s="60" t="s">
        <v>3000</v>
      </c>
      <c r="G2221" s="60" t="s">
        <v>88</v>
      </c>
      <c r="H2221" s="45" t="s">
        <v>3001</v>
      </c>
      <c r="I2221" s="47" t="e">
        <f>VLOOKUP(H2221,'合同综合查询数据（3月返）'!$A:$A,1,FALSE)</f>
        <v>#N/A</v>
      </c>
      <c r="J2221" s="48" t="s">
        <v>126</v>
      </c>
      <c r="K2221" s="60" t="s">
        <v>3002</v>
      </c>
      <c r="L2221" s="113"/>
      <c r="M2221" s="50" t="s">
        <v>3003</v>
      </c>
      <c r="N2221" s="163">
        <v>44712</v>
      </c>
      <c r="O2221" s="267" t="s">
        <v>3004</v>
      </c>
      <c r="P2221" s="266">
        <v>4300</v>
      </c>
      <c r="Q2221" s="270">
        <v>-2</v>
      </c>
      <c r="R2221" s="266">
        <f t="shared" si="59"/>
        <v>-8600</v>
      </c>
      <c r="S2221" s="48">
        <v>202303</v>
      </c>
      <c r="T2221" s="125" t="s">
        <v>3009</v>
      </c>
      <c r="U2221" s="58"/>
      <c r="V2221" s="58"/>
      <c r="W2221" s="58"/>
      <c r="X2221" s="111"/>
      <c r="Y2221" s="111"/>
    </row>
    <row r="2222" s="10" customFormat="1" customHeight="1" spans="1:25">
      <c r="A2222" s="60" t="s">
        <v>403</v>
      </c>
      <c r="B2222" s="60" t="s">
        <v>2950</v>
      </c>
      <c r="C2222" s="60" t="s">
        <v>2998</v>
      </c>
      <c r="D2222" s="263" t="s">
        <v>2951</v>
      </c>
      <c r="E2222" s="63" t="s">
        <v>2999</v>
      </c>
      <c r="F2222" s="60" t="s">
        <v>3000</v>
      </c>
      <c r="G2222" s="60" t="s">
        <v>31</v>
      </c>
      <c r="H2222" s="45" t="s">
        <v>3001</v>
      </c>
      <c r="I2222" s="47" t="e">
        <f>VLOOKUP(H2222,'合同综合查询数据（3月返）'!$A:$A,1,FALSE)</f>
        <v>#N/A</v>
      </c>
      <c r="J2222" s="48" t="s">
        <v>33</v>
      </c>
      <c r="K2222" s="60" t="s">
        <v>3002</v>
      </c>
      <c r="L2222" s="113"/>
      <c r="M2222" s="50" t="s">
        <v>3003</v>
      </c>
      <c r="N2222" s="163" t="s">
        <v>1225</v>
      </c>
      <c r="O2222" s="48" t="s">
        <v>37</v>
      </c>
      <c r="P2222" s="266">
        <v>0</v>
      </c>
      <c r="Q2222" s="270">
        <v>544</v>
      </c>
      <c r="R2222" s="266">
        <f t="shared" si="59"/>
        <v>0</v>
      </c>
      <c r="S2222" s="48">
        <v>202303</v>
      </c>
      <c r="T2222" s="125" t="s">
        <v>3010</v>
      </c>
      <c r="U2222" s="58"/>
      <c r="V2222" s="58"/>
      <c r="W2222" s="58"/>
      <c r="X2222" s="111"/>
      <c r="Y2222" s="111"/>
    </row>
    <row r="2223" s="10" customFormat="1" customHeight="1" spans="1:25">
      <c r="A2223" s="60" t="s">
        <v>403</v>
      </c>
      <c r="B2223" s="60" t="s">
        <v>2950</v>
      </c>
      <c r="C2223" s="60" t="s">
        <v>2998</v>
      </c>
      <c r="D2223" s="263" t="s">
        <v>2951</v>
      </c>
      <c r="E2223" s="63" t="s">
        <v>2999</v>
      </c>
      <c r="F2223" s="60" t="s">
        <v>3000</v>
      </c>
      <c r="G2223" s="60" t="s">
        <v>88</v>
      </c>
      <c r="H2223" s="45" t="s">
        <v>3001</v>
      </c>
      <c r="I2223" s="47" t="e">
        <f>VLOOKUP(H2223,'合同综合查询数据（3月返）'!$A:$A,1,FALSE)</f>
        <v>#N/A</v>
      </c>
      <c r="J2223" s="48" t="s">
        <v>126</v>
      </c>
      <c r="K2223" s="60" t="s">
        <v>3011</v>
      </c>
      <c r="L2223" s="113" t="s">
        <v>3012</v>
      </c>
      <c r="M2223" s="50" t="s">
        <v>3013</v>
      </c>
      <c r="N2223" s="163"/>
      <c r="O2223" s="267" t="s">
        <v>3004</v>
      </c>
      <c r="P2223" s="266">
        <v>4300</v>
      </c>
      <c r="Q2223" s="270">
        <v>20</v>
      </c>
      <c r="R2223" s="266">
        <f t="shared" si="59"/>
        <v>86000</v>
      </c>
      <c r="S2223" s="48">
        <v>202303</v>
      </c>
      <c r="T2223" s="125" t="s">
        <v>3014</v>
      </c>
      <c r="U2223" s="58"/>
      <c r="V2223" s="58"/>
      <c r="W2223" s="58"/>
      <c r="X2223" s="111"/>
      <c r="Y2223" s="111"/>
    </row>
    <row r="2224" s="10" customFormat="1" customHeight="1" spans="1:25">
      <c r="A2224" s="60" t="s">
        <v>403</v>
      </c>
      <c r="B2224" s="60" t="s">
        <v>2950</v>
      </c>
      <c r="C2224" s="60" t="s">
        <v>2998</v>
      </c>
      <c r="D2224" s="263" t="s">
        <v>2951</v>
      </c>
      <c r="E2224" s="63" t="s">
        <v>2999</v>
      </c>
      <c r="F2224" s="60" t="s">
        <v>3000</v>
      </c>
      <c r="G2224" s="60" t="s">
        <v>88</v>
      </c>
      <c r="H2224" s="45" t="s">
        <v>3001</v>
      </c>
      <c r="I2224" s="47" t="e">
        <f>VLOOKUP(H2224,'合同综合查询数据（3月返）'!$A:$A,1,FALSE)</f>
        <v>#N/A</v>
      </c>
      <c r="J2224" s="48" t="s">
        <v>126</v>
      </c>
      <c r="K2224" s="60" t="s">
        <v>3011</v>
      </c>
      <c r="L2224" s="113" t="s">
        <v>3012</v>
      </c>
      <c r="M2224" s="50" t="s">
        <v>3013</v>
      </c>
      <c r="N2224" s="163">
        <v>44092</v>
      </c>
      <c r="O2224" s="267" t="s">
        <v>3004</v>
      </c>
      <c r="P2224" s="266">
        <v>4300</v>
      </c>
      <c r="Q2224" s="270">
        <v>-9</v>
      </c>
      <c r="R2224" s="266">
        <f t="shared" si="59"/>
        <v>-38700</v>
      </c>
      <c r="S2224" s="48">
        <v>202303</v>
      </c>
      <c r="T2224" s="125" t="s">
        <v>3015</v>
      </c>
      <c r="U2224" s="58"/>
      <c r="V2224" s="58"/>
      <c r="W2224" s="58"/>
      <c r="X2224" s="111"/>
      <c r="Y2224" s="111"/>
    </row>
    <row r="2225" s="10" customFormat="1" customHeight="1" spans="1:25">
      <c r="A2225" s="60" t="s">
        <v>403</v>
      </c>
      <c r="B2225" s="60" t="s">
        <v>2950</v>
      </c>
      <c r="C2225" s="60" t="s">
        <v>2998</v>
      </c>
      <c r="D2225" s="263" t="s">
        <v>2951</v>
      </c>
      <c r="E2225" s="63" t="s">
        <v>2999</v>
      </c>
      <c r="F2225" s="60" t="s">
        <v>3000</v>
      </c>
      <c r="G2225" s="60" t="s">
        <v>88</v>
      </c>
      <c r="H2225" s="45" t="s">
        <v>3001</v>
      </c>
      <c r="I2225" s="47" t="e">
        <f>VLOOKUP(H2225,'合同综合查询数据（3月返）'!$A:$A,1,FALSE)</f>
        <v>#N/A</v>
      </c>
      <c r="J2225" s="48" t="s">
        <v>126</v>
      </c>
      <c r="K2225" s="60" t="s">
        <v>3011</v>
      </c>
      <c r="L2225" s="113" t="s">
        <v>3012</v>
      </c>
      <c r="M2225" s="50" t="s">
        <v>3013</v>
      </c>
      <c r="N2225" s="163">
        <v>44681</v>
      </c>
      <c r="O2225" s="267" t="s">
        <v>3004</v>
      </c>
      <c r="P2225" s="266">
        <v>4300</v>
      </c>
      <c r="Q2225" s="270">
        <v>-3</v>
      </c>
      <c r="R2225" s="266">
        <f t="shared" si="59"/>
        <v>-12900</v>
      </c>
      <c r="S2225" s="48">
        <v>202303</v>
      </c>
      <c r="T2225" s="125" t="s">
        <v>3016</v>
      </c>
      <c r="U2225" s="58"/>
      <c r="V2225" s="58"/>
      <c r="W2225" s="58"/>
      <c r="X2225" s="111"/>
      <c r="Y2225" s="111"/>
    </row>
    <row r="2226" s="10" customFormat="1" customHeight="1" spans="1:25">
      <c r="A2226" s="60" t="s">
        <v>403</v>
      </c>
      <c r="B2226" s="60" t="s">
        <v>2950</v>
      </c>
      <c r="C2226" s="60" t="s">
        <v>2998</v>
      </c>
      <c r="D2226" s="263" t="s">
        <v>2951</v>
      </c>
      <c r="E2226" s="63" t="s">
        <v>2999</v>
      </c>
      <c r="F2226" s="60" t="s">
        <v>3000</v>
      </c>
      <c r="G2226" s="60" t="s">
        <v>88</v>
      </c>
      <c r="H2226" s="45" t="s">
        <v>3001</v>
      </c>
      <c r="I2226" s="47" t="e">
        <f>VLOOKUP(H2226,'合同综合查询数据（3月返）'!$A:$A,1,FALSE)</f>
        <v>#N/A</v>
      </c>
      <c r="J2226" s="48" t="s">
        <v>126</v>
      </c>
      <c r="K2226" s="60" t="s">
        <v>3011</v>
      </c>
      <c r="L2226" s="113" t="s">
        <v>3012</v>
      </c>
      <c r="M2226" s="50" t="s">
        <v>3013</v>
      </c>
      <c r="N2226" s="163">
        <v>44712</v>
      </c>
      <c r="O2226" s="267" t="s">
        <v>3004</v>
      </c>
      <c r="P2226" s="266">
        <v>4300</v>
      </c>
      <c r="Q2226" s="270">
        <v>-8</v>
      </c>
      <c r="R2226" s="266">
        <f t="shared" si="59"/>
        <v>-34400</v>
      </c>
      <c r="S2226" s="48">
        <v>202303</v>
      </c>
      <c r="T2226" s="125" t="s">
        <v>3017</v>
      </c>
      <c r="U2226" s="58"/>
      <c r="V2226" s="58"/>
      <c r="W2226" s="58"/>
      <c r="X2226" s="111"/>
      <c r="Y2226" s="111"/>
    </row>
    <row r="2227" s="10" customFormat="1" customHeight="1" spans="1:25">
      <c r="A2227" s="60" t="s">
        <v>403</v>
      </c>
      <c r="B2227" s="60" t="s">
        <v>2950</v>
      </c>
      <c r="C2227" s="60" t="s">
        <v>2998</v>
      </c>
      <c r="D2227" s="263" t="s">
        <v>2951</v>
      </c>
      <c r="E2227" s="63" t="s">
        <v>2999</v>
      </c>
      <c r="F2227" s="60" t="s">
        <v>3000</v>
      </c>
      <c r="G2227" s="60" t="s">
        <v>31</v>
      </c>
      <c r="H2227" s="45" t="s">
        <v>3001</v>
      </c>
      <c r="I2227" s="47" t="e">
        <f>VLOOKUP(H2227,'合同综合查询数据（3月返）'!$A:$A,1,FALSE)</f>
        <v>#N/A</v>
      </c>
      <c r="J2227" s="48" t="s">
        <v>33</v>
      </c>
      <c r="K2227" s="60" t="s">
        <v>3011</v>
      </c>
      <c r="L2227" s="113" t="s">
        <v>3012</v>
      </c>
      <c r="M2227" s="50" t="s">
        <v>3013</v>
      </c>
      <c r="N2227" s="163" t="s">
        <v>1225</v>
      </c>
      <c r="O2227" s="48" t="s">
        <v>37</v>
      </c>
      <c r="P2227" s="266">
        <v>0</v>
      </c>
      <c r="Q2227" s="270">
        <v>512</v>
      </c>
      <c r="R2227" s="266">
        <f t="shared" si="59"/>
        <v>0</v>
      </c>
      <c r="S2227" s="48">
        <v>202303</v>
      </c>
      <c r="T2227" s="125" t="s">
        <v>3018</v>
      </c>
      <c r="U2227" s="58"/>
      <c r="V2227" s="58"/>
      <c r="W2227" s="58"/>
      <c r="X2227" s="111"/>
      <c r="Y2227" s="111"/>
    </row>
    <row r="2228" s="10" customFormat="1" customHeight="1" spans="1:25">
      <c r="A2228" s="60" t="s">
        <v>403</v>
      </c>
      <c r="B2228" s="60" t="s">
        <v>2950</v>
      </c>
      <c r="C2228" s="60" t="s">
        <v>2998</v>
      </c>
      <c r="D2228" s="263" t="s">
        <v>2951</v>
      </c>
      <c r="E2228" s="63" t="s">
        <v>2999</v>
      </c>
      <c r="F2228" s="60" t="s">
        <v>3000</v>
      </c>
      <c r="G2228" s="60" t="s">
        <v>31</v>
      </c>
      <c r="H2228" s="45" t="s">
        <v>3001</v>
      </c>
      <c r="I2228" s="47" t="e">
        <f>VLOOKUP(H2228,'合同综合查询数据（3月返）'!$A:$A,1,FALSE)</f>
        <v>#N/A</v>
      </c>
      <c r="J2228" s="48" t="s">
        <v>33</v>
      </c>
      <c r="K2228" s="60" t="s">
        <v>3011</v>
      </c>
      <c r="L2228" s="113" t="s">
        <v>3012</v>
      </c>
      <c r="M2228" s="50" t="s">
        <v>3013</v>
      </c>
      <c r="N2228" s="163">
        <v>44712</v>
      </c>
      <c r="O2228" s="48" t="s">
        <v>37</v>
      </c>
      <c r="P2228" s="266">
        <v>0</v>
      </c>
      <c r="Q2228" s="270">
        <v>-512</v>
      </c>
      <c r="R2228" s="266">
        <f t="shared" si="59"/>
        <v>0</v>
      </c>
      <c r="S2228" s="48">
        <v>202303</v>
      </c>
      <c r="T2228" s="125" t="s">
        <v>3019</v>
      </c>
      <c r="U2228" s="58"/>
      <c r="V2228" s="58"/>
      <c r="W2228" s="58"/>
      <c r="X2228" s="111"/>
      <c r="Y2228" s="111"/>
    </row>
    <row r="2229" s="10" customFormat="1" customHeight="1" spans="1:25">
      <c r="A2229" s="60" t="s">
        <v>403</v>
      </c>
      <c r="B2229" s="60" t="s">
        <v>2950</v>
      </c>
      <c r="C2229" s="60" t="s">
        <v>2998</v>
      </c>
      <c r="D2229" s="263" t="s">
        <v>2951</v>
      </c>
      <c r="E2229" s="63" t="s">
        <v>2999</v>
      </c>
      <c r="F2229" s="60" t="s">
        <v>3000</v>
      </c>
      <c r="G2229" s="60" t="s">
        <v>88</v>
      </c>
      <c r="H2229" s="45" t="s">
        <v>3001</v>
      </c>
      <c r="I2229" s="47" t="e">
        <f>VLOOKUP(H2229,'合同综合查询数据（3月返）'!$A:$A,1,FALSE)</f>
        <v>#N/A</v>
      </c>
      <c r="J2229" s="48" t="s">
        <v>126</v>
      </c>
      <c r="K2229" s="60" t="s">
        <v>3020</v>
      </c>
      <c r="L2229" s="113" t="s">
        <v>3021</v>
      </c>
      <c r="M2229" s="50" t="s">
        <v>3022</v>
      </c>
      <c r="N2229" s="163">
        <v>43390</v>
      </c>
      <c r="O2229" s="267" t="s">
        <v>3004</v>
      </c>
      <c r="P2229" s="266">
        <v>4300</v>
      </c>
      <c r="Q2229" s="270">
        <v>8</v>
      </c>
      <c r="R2229" s="266">
        <f t="shared" si="59"/>
        <v>34400</v>
      </c>
      <c r="S2229" s="48">
        <v>202303</v>
      </c>
      <c r="T2229" s="125" t="s">
        <v>3023</v>
      </c>
      <c r="U2229" s="58"/>
      <c r="V2229" s="58"/>
      <c r="W2229" s="58"/>
      <c r="X2229" s="111"/>
      <c r="Y2229" s="111"/>
    </row>
    <row r="2230" s="10" customFormat="1" customHeight="1" spans="1:25">
      <c r="A2230" s="60" t="s">
        <v>403</v>
      </c>
      <c r="B2230" s="60" t="s">
        <v>2950</v>
      </c>
      <c r="C2230" s="60" t="s">
        <v>2998</v>
      </c>
      <c r="D2230" s="263" t="s">
        <v>2951</v>
      </c>
      <c r="E2230" s="63" t="s">
        <v>2999</v>
      </c>
      <c r="F2230" s="60" t="s">
        <v>3000</v>
      </c>
      <c r="G2230" s="60" t="s">
        <v>88</v>
      </c>
      <c r="H2230" s="45" t="s">
        <v>3001</v>
      </c>
      <c r="I2230" s="47" t="e">
        <f>VLOOKUP(H2230,'合同综合查询数据（3月返）'!$A:$A,1,FALSE)</f>
        <v>#N/A</v>
      </c>
      <c r="J2230" s="48" t="s">
        <v>126</v>
      </c>
      <c r="K2230" s="60" t="s">
        <v>3020</v>
      </c>
      <c r="L2230" s="113" t="s">
        <v>3021</v>
      </c>
      <c r="M2230" s="50" t="s">
        <v>3022</v>
      </c>
      <c r="N2230" s="163">
        <v>44712</v>
      </c>
      <c r="O2230" s="267" t="s">
        <v>3004</v>
      </c>
      <c r="P2230" s="266">
        <v>4300</v>
      </c>
      <c r="Q2230" s="270">
        <v>-8</v>
      </c>
      <c r="R2230" s="266">
        <f t="shared" si="59"/>
        <v>-34400</v>
      </c>
      <c r="S2230" s="48">
        <v>202303</v>
      </c>
      <c r="T2230" s="125" t="s">
        <v>3024</v>
      </c>
      <c r="U2230" s="58"/>
      <c r="V2230" s="58"/>
      <c r="W2230" s="58"/>
      <c r="X2230" s="111"/>
      <c r="Y2230" s="111"/>
    </row>
    <row r="2231" s="10" customFormat="1" customHeight="1" spans="1:25">
      <c r="A2231" s="60" t="s">
        <v>403</v>
      </c>
      <c r="B2231" s="60" t="s">
        <v>2950</v>
      </c>
      <c r="C2231" s="60" t="s">
        <v>2998</v>
      </c>
      <c r="D2231" s="263" t="s">
        <v>2951</v>
      </c>
      <c r="E2231" s="63" t="s">
        <v>2999</v>
      </c>
      <c r="F2231" s="60" t="s">
        <v>3000</v>
      </c>
      <c r="G2231" s="60" t="s">
        <v>31</v>
      </c>
      <c r="H2231" s="45" t="s">
        <v>3001</v>
      </c>
      <c r="I2231" s="47" t="e">
        <f>VLOOKUP(H2231,'合同综合查询数据（3月返）'!$A:$A,1,FALSE)</f>
        <v>#N/A</v>
      </c>
      <c r="J2231" s="48" t="s">
        <v>33</v>
      </c>
      <c r="K2231" s="60" t="s">
        <v>3020</v>
      </c>
      <c r="L2231" s="113" t="s">
        <v>3021</v>
      </c>
      <c r="M2231" s="50" t="s">
        <v>3022</v>
      </c>
      <c r="N2231" s="163" t="s">
        <v>1225</v>
      </c>
      <c r="O2231" s="48" t="s">
        <v>37</v>
      </c>
      <c r="P2231" s="266">
        <v>0</v>
      </c>
      <c r="Q2231" s="270">
        <v>288</v>
      </c>
      <c r="R2231" s="266"/>
      <c r="S2231" s="48">
        <v>202303</v>
      </c>
      <c r="T2231" s="125" t="s">
        <v>3025</v>
      </c>
      <c r="U2231" s="58"/>
      <c r="V2231" s="58"/>
      <c r="W2231" s="58"/>
      <c r="X2231" s="111"/>
      <c r="Y2231" s="111"/>
    </row>
    <row r="2232" s="10" customFormat="1" customHeight="1" spans="1:25">
      <c r="A2232" s="60" t="s">
        <v>403</v>
      </c>
      <c r="B2232" s="60" t="s">
        <v>2950</v>
      </c>
      <c r="C2232" s="60" t="s">
        <v>2998</v>
      </c>
      <c r="D2232" s="263" t="s">
        <v>2951</v>
      </c>
      <c r="E2232" s="63" t="s">
        <v>2999</v>
      </c>
      <c r="F2232" s="60" t="s">
        <v>3000</v>
      </c>
      <c r="G2232" s="60" t="s">
        <v>31</v>
      </c>
      <c r="H2232" s="45" t="s">
        <v>3001</v>
      </c>
      <c r="I2232" s="47" t="e">
        <f>VLOOKUP(H2232,'合同综合查询数据（3月返）'!$A:$A,1,FALSE)</f>
        <v>#N/A</v>
      </c>
      <c r="J2232" s="48" t="s">
        <v>33</v>
      </c>
      <c r="K2232" s="60" t="s">
        <v>3020</v>
      </c>
      <c r="L2232" s="113" t="s">
        <v>3021</v>
      </c>
      <c r="M2232" s="50" t="s">
        <v>3022</v>
      </c>
      <c r="N2232" s="163">
        <v>44712</v>
      </c>
      <c r="O2232" s="48" t="s">
        <v>37</v>
      </c>
      <c r="P2232" s="266">
        <v>0</v>
      </c>
      <c r="Q2232" s="270">
        <v>-288</v>
      </c>
      <c r="R2232" s="266"/>
      <c r="S2232" s="48">
        <v>202303</v>
      </c>
      <c r="T2232" s="125" t="s">
        <v>3026</v>
      </c>
      <c r="U2232" s="58"/>
      <c r="V2232" s="58"/>
      <c r="W2232" s="58"/>
      <c r="X2232" s="111"/>
      <c r="Y2232" s="111"/>
    </row>
    <row r="2233" s="10" customFormat="1" customHeight="1" spans="1:25">
      <c r="A2233" s="60" t="s">
        <v>403</v>
      </c>
      <c r="B2233" s="60" t="s">
        <v>2950</v>
      </c>
      <c r="C2233" s="60" t="s">
        <v>2998</v>
      </c>
      <c r="D2233" s="263" t="s">
        <v>2951</v>
      </c>
      <c r="E2233" s="63" t="s">
        <v>2999</v>
      </c>
      <c r="F2233" s="60" t="s">
        <v>3000</v>
      </c>
      <c r="G2233" s="60" t="s">
        <v>88</v>
      </c>
      <c r="H2233" s="45" t="s">
        <v>3001</v>
      </c>
      <c r="I2233" s="47" t="e">
        <f>VLOOKUP(H2233,'合同综合查询数据（3月返）'!$A:$A,1,FALSE)</f>
        <v>#N/A</v>
      </c>
      <c r="J2233" s="48" t="s">
        <v>126</v>
      </c>
      <c r="K2233" s="60" t="s">
        <v>3027</v>
      </c>
      <c r="L2233" s="113" t="s">
        <v>3028</v>
      </c>
      <c r="M2233" s="50" t="s">
        <v>3029</v>
      </c>
      <c r="N2233" s="163"/>
      <c r="O2233" s="267" t="s">
        <v>3004</v>
      </c>
      <c r="P2233" s="266">
        <v>4300</v>
      </c>
      <c r="Q2233" s="270">
        <v>8</v>
      </c>
      <c r="R2233" s="266">
        <f t="shared" ref="R2233:R2296" si="60">ROUND(P2233*Q2233,2)</f>
        <v>34400</v>
      </c>
      <c r="S2233" s="48">
        <v>202303</v>
      </c>
      <c r="T2233" s="125" t="s">
        <v>3030</v>
      </c>
      <c r="U2233" s="58"/>
      <c r="V2233" s="58"/>
      <c r="W2233" s="58"/>
      <c r="X2233" s="111"/>
      <c r="Y2233" s="111"/>
    </row>
    <row r="2234" s="10" customFormat="1" customHeight="1" spans="1:25">
      <c r="A2234" s="60" t="s">
        <v>403</v>
      </c>
      <c r="B2234" s="60" t="s">
        <v>2950</v>
      </c>
      <c r="C2234" s="60" t="s">
        <v>2998</v>
      </c>
      <c r="D2234" s="263" t="s">
        <v>2951</v>
      </c>
      <c r="E2234" s="63" t="s">
        <v>2999</v>
      </c>
      <c r="F2234" s="60" t="s">
        <v>3000</v>
      </c>
      <c r="G2234" s="60" t="s">
        <v>88</v>
      </c>
      <c r="H2234" s="45" t="s">
        <v>3001</v>
      </c>
      <c r="I2234" s="47" t="e">
        <f>VLOOKUP(H2234,'合同综合查询数据（3月返）'!$A:$A,1,FALSE)</f>
        <v>#N/A</v>
      </c>
      <c r="J2234" s="48" t="s">
        <v>126</v>
      </c>
      <c r="K2234" s="60" t="s">
        <v>3027</v>
      </c>
      <c r="L2234" s="113" t="s">
        <v>3028</v>
      </c>
      <c r="M2234" s="50" t="s">
        <v>3029</v>
      </c>
      <c r="N2234" s="163">
        <v>44681</v>
      </c>
      <c r="O2234" s="267" t="s">
        <v>3004</v>
      </c>
      <c r="P2234" s="266">
        <v>4300</v>
      </c>
      <c r="Q2234" s="270">
        <v>-5</v>
      </c>
      <c r="R2234" s="266">
        <f t="shared" si="60"/>
        <v>-21500</v>
      </c>
      <c r="S2234" s="48">
        <v>202303</v>
      </c>
      <c r="T2234" s="125" t="s">
        <v>3031</v>
      </c>
      <c r="U2234" s="58"/>
      <c r="V2234" s="58"/>
      <c r="W2234" s="58"/>
      <c r="X2234" s="111"/>
      <c r="Y2234" s="111"/>
    </row>
    <row r="2235" s="10" customFormat="1" customHeight="1" spans="1:25">
      <c r="A2235" s="60" t="s">
        <v>403</v>
      </c>
      <c r="B2235" s="60" t="s">
        <v>2950</v>
      </c>
      <c r="C2235" s="60" t="s">
        <v>2998</v>
      </c>
      <c r="D2235" s="263" t="s">
        <v>2951</v>
      </c>
      <c r="E2235" s="63" t="s">
        <v>2999</v>
      </c>
      <c r="F2235" s="60" t="s">
        <v>3000</v>
      </c>
      <c r="G2235" s="60" t="s">
        <v>88</v>
      </c>
      <c r="H2235" s="45" t="s">
        <v>3001</v>
      </c>
      <c r="I2235" s="47" t="e">
        <f>VLOOKUP(H2235,'合同综合查询数据（3月返）'!$A:$A,1,FALSE)</f>
        <v>#N/A</v>
      </c>
      <c r="J2235" s="48" t="s">
        <v>126</v>
      </c>
      <c r="K2235" s="60" t="s">
        <v>3027</v>
      </c>
      <c r="L2235" s="113" t="s">
        <v>3028</v>
      </c>
      <c r="M2235" s="50" t="s">
        <v>3029</v>
      </c>
      <c r="N2235" s="163">
        <v>44712</v>
      </c>
      <c r="O2235" s="267" t="s">
        <v>3004</v>
      </c>
      <c r="P2235" s="266">
        <v>4300</v>
      </c>
      <c r="Q2235" s="270">
        <v>-3</v>
      </c>
      <c r="R2235" s="266">
        <f t="shared" si="60"/>
        <v>-12900</v>
      </c>
      <c r="S2235" s="48">
        <v>202303</v>
      </c>
      <c r="T2235" s="125" t="s">
        <v>3032</v>
      </c>
      <c r="U2235" s="58"/>
      <c r="V2235" s="58"/>
      <c r="W2235" s="58"/>
      <c r="X2235" s="111"/>
      <c r="Y2235" s="111"/>
    </row>
    <row r="2236" s="10" customFormat="1" customHeight="1" spans="1:25">
      <c r="A2236" s="60" t="s">
        <v>403</v>
      </c>
      <c r="B2236" s="60" t="s">
        <v>2950</v>
      </c>
      <c r="C2236" s="60" t="s">
        <v>2998</v>
      </c>
      <c r="D2236" s="263" t="s">
        <v>2951</v>
      </c>
      <c r="E2236" s="63" t="s">
        <v>2999</v>
      </c>
      <c r="F2236" s="60" t="s">
        <v>3000</v>
      </c>
      <c r="G2236" s="60" t="s">
        <v>31</v>
      </c>
      <c r="H2236" s="45" t="s">
        <v>3001</v>
      </c>
      <c r="I2236" s="47" t="e">
        <f>VLOOKUP(H2236,'合同综合查询数据（3月返）'!$A:$A,1,FALSE)</f>
        <v>#N/A</v>
      </c>
      <c r="J2236" s="48" t="s">
        <v>33</v>
      </c>
      <c r="K2236" s="60" t="s">
        <v>3027</v>
      </c>
      <c r="L2236" s="113" t="s">
        <v>3028</v>
      </c>
      <c r="M2236" s="50" t="s">
        <v>3029</v>
      </c>
      <c r="N2236" s="163" t="s">
        <v>1225</v>
      </c>
      <c r="O2236" s="48" t="s">
        <v>37</v>
      </c>
      <c r="P2236" s="266">
        <v>0</v>
      </c>
      <c r="Q2236" s="270">
        <v>544</v>
      </c>
      <c r="R2236" s="266">
        <f t="shared" si="60"/>
        <v>0</v>
      </c>
      <c r="S2236" s="48">
        <v>202303</v>
      </c>
      <c r="T2236" s="125" t="s">
        <v>3033</v>
      </c>
      <c r="U2236" s="58"/>
      <c r="V2236" s="58"/>
      <c r="W2236" s="58"/>
      <c r="X2236" s="111"/>
      <c r="Y2236" s="111"/>
    </row>
    <row r="2237" s="10" customFormat="1" customHeight="1" spans="1:25">
      <c r="A2237" s="60" t="s">
        <v>403</v>
      </c>
      <c r="B2237" s="60" t="s">
        <v>2950</v>
      </c>
      <c r="C2237" s="60" t="s">
        <v>2998</v>
      </c>
      <c r="D2237" s="263" t="s">
        <v>2951</v>
      </c>
      <c r="E2237" s="63" t="s">
        <v>2999</v>
      </c>
      <c r="F2237" s="60" t="s">
        <v>3000</v>
      </c>
      <c r="G2237" s="60" t="s">
        <v>31</v>
      </c>
      <c r="H2237" s="45" t="s">
        <v>3001</v>
      </c>
      <c r="I2237" s="47" t="e">
        <f>VLOOKUP(H2237,'合同综合查询数据（3月返）'!$A:$A,1,FALSE)</f>
        <v>#N/A</v>
      </c>
      <c r="J2237" s="48" t="s">
        <v>33</v>
      </c>
      <c r="K2237" s="60" t="s">
        <v>3027</v>
      </c>
      <c r="L2237" s="113" t="s">
        <v>3028</v>
      </c>
      <c r="M2237" s="50" t="s">
        <v>3029</v>
      </c>
      <c r="N2237" s="163">
        <v>44712</v>
      </c>
      <c r="O2237" s="48" t="s">
        <v>37</v>
      </c>
      <c r="P2237" s="266">
        <v>0</v>
      </c>
      <c r="Q2237" s="270">
        <v>-544</v>
      </c>
      <c r="R2237" s="266">
        <f t="shared" si="60"/>
        <v>0</v>
      </c>
      <c r="S2237" s="48">
        <v>202303</v>
      </c>
      <c r="T2237" s="125" t="s">
        <v>3034</v>
      </c>
      <c r="U2237" s="58"/>
      <c r="V2237" s="58"/>
      <c r="W2237" s="58"/>
      <c r="X2237" s="111"/>
      <c r="Y2237" s="111"/>
    </row>
    <row r="2238" s="10" customFormat="1" customHeight="1" spans="1:25">
      <c r="A2238" s="60" t="s">
        <v>403</v>
      </c>
      <c r="B2238" s="60" t="s">
        <v>2950</v>
      </c>
      <c r="C2238" s="60" t="s">
        <v>2998</v>
      </c>
      <c r="D2238" s="263" t="s">
        <v>2951</v>
      </c>
      <c r="E2238" s="63" t="s">
        <v>2999</v>
      </c>
      <c r="F2238" s="60" t="s">
        <v>3000</v>
      </c>
      <c r="G2238" s="60" t="s">
        <v>88</v>
      </c>
      <c r="H2238" s="45" t="s">
        <v>3001</v>
      </c>
      <c r="I2238" s="47" t="e">
        <f>VLOOKUP(H2238,'合同综合查询数据（3月返）'!$A:$A,1,FALSE)</f>
        <v>#N/A</v>
      </c>
      <c r="J2238" s="48" t="s">
        <v>1033</v>
      </c>
      <c r="K2238" s="60" t="s">
        <v>3035</v>
      </c>
      <c r="L2238" s="113" t="s">
        <v>3036</v>
      </c>
      <c r="M2238" s="50" t="s">
        <v>3037</v>
      </c>
      <c r="N2238" s="267">
        <v>40349</v>
      </c>
      <c r="O2238" s="48" t="s">
        <v>3004</v>
      </c>
      <c r="P2238" s="266">
        <v>4300</v>
      </c>
      <c r="Q2238" s="270">
        <v>5</v>
      </c>
      <c r="R2238" s="266">
        <f t="shared" si="60"/>
        <v>21500</v>
      </c>
      <c r="S2238" s="48">
        <v>202303</v>
      </c>
      <c r="T2238" s="125" t="s">
        <v>3038</v>
      </c>
      <c r="U2238" s="58"/>
      <c r="V2238" s="58"/>
      <c r="W2238" s="58"/>
      <c r="X2238" s="111"/>
      <c r="Y2238" s="111"/>
    </row>
    <row r="2239" s="10" customFormat="1" customHeight="1" spans="1:25">
      <c r="A2239" s="60" t="s">
        <v>403</v>
      </c>
      <c r="B2239" s="60" t="s">
        <v>2950</v>
      </c>
      <c r="C2239" s="60" t="s">
        <v>2998</v>
      </c>
      <c r="D2239" s="263" t="s">
        <v>2951</v>
      </c>
      <c r="E2239" s="63" t="s">
        <v>2999</v>
      </c>
      <c r="F2239" s="60" t="s">
        <v>3000</v>
      </c>
      <c r="G2239" s="60" t="s">
        <v>31</v>
      </c>
      <c r="H2239" s="45" t="s">
        <v>3001</v>
      </c>
      <c r="I2239" s="47" t="e">
        <f>VLOOKUP(H2239,'合同综合查询数据（3月返）'!$A:$A,1,FALSE)</f>
        <v>#N/A</v>
      </c>
      <c r="J2239" s="48" t="s">
        <v>1019</v>
      </c>
      <c r="K2239" s="60" t="s">
        <v>3039</v>
      </c>
      <c r="L2239" s="113" t="s">
        <v>3036</v>
      </c>
      <c r="M2239" s="50" t="s">
        <v>3040</v>
      </c>
      <c r="N2239" s="163" t="s">
        <v>1225</v>
      </c>
      <c r="O2239" s="66" t="s">
        <v>37</v>
      </c>
      <c r="P2239" s="266">
        <v>0</v>
      </c>
      <c r="Q2239" s="270">
        <v>1024</v>
      </c>
      <c r="R2239" s="266">
        <f t="shared" si="60"/>
        <v>0</v>
      </c>
      <c r="S2239" s="48">
        <v>202303</v>
      </c>
      <c r="T2239" s="125" t="s">
        <v>3041</v>
      </c>
      <c r="U2239" s="58"/>
      <c r="V2239" s="126"/>
      <c r="W2239" s="275"/>
      <c r="X2239" s="111"/>
      <c r="Y2239" s="111"/>
    </row>
    <row r="2240" s="10" customFormat="1" customHeight="1" spans="1:25">
      <c r="A2240" s="60" t="s">
        <v>403</v>
      </c>
      <c r="B2240" s="60" t="s">
        <v>2950</v>
      </c>
      <c r="C2240" s="60" t="s">
        <v>2998</v>
      </c>
      <c r="D2240" s="263" t="s">
        <v>2951</v>
      </c>
      <c r="E2240" s="63" t="s">
        <v>2999</v>
      </c>
      <c r="F2240" s="60" t="s">
        <v>3000</v>
      </c>
      <c r="G2240" s="60" t="s">
        <v>88</v>
      </c>
      <c r="H2240" s="45" t="s">
        <v>3001</v>
      </c>
      <c r="I2240" s="47" t="e">
        <f>VLOOKUP(H2240,'合同综合查询数据（3月返）'!$A:$A,1,FALSE)</f>
        <v>#N/A</v>
      </c>
      <c r="J2240" s="48" t="s">
        <v>1033</v>
      </c>
      <c r="K2240" s="60" t="s">
        <v>3042</v>
      </c>
      <c r="L2240" s="113" t="s">
        <v>3043</v>
      </c>
      <c r="M2240" s="50" t="s">
        <v>3044</v>
      </c>
      <c r="N2240" s="267">
        <v>41089</v>
      </c>
      <c r="O2240" s="48" t="s">
        <v>3004</v>
      </c>
      <c r="P2240" s="266">
        <v>4300</v>
      </c>
      <c r="Q2240" s="270">
        <v>6</v>
      </c>
      <c r="R2240" s="266">
        <f t="shared" si="60"/>
        <v>25800</v>
      </c>
      <c r="S2240" s="48">
        <v>202303</v>
      </c>
      <c r="T2240" s="125" t="s">
        <v>3045</v>
      </c>
      <c r="U2240" s="58"/>
      <c r="V2240" s="58"/>
      <c r="W2240" s="58"/>
      <c r="X2240" s="111"/>
      <c r="Y2240" s="111"/>
    </row>
    <row r="2241" s="10" customFormat="1" customHeight="1" spans="1:25">
      <c r="A2241" s="60" t="s">
        <v>403</v>
      </c>
      <c r="B2241" s="60" t="s">
        <v>2950</v>
      </c>
      <c r="C2241" s="60" t="s">
        <v>2998</v>
      </c>
      <c r="D2241" s="263" t="s">
        <v>2951</v>
      </c>
      <c r="E2241" s="63" t="s">
        <v>2999</v>
      </c>
      <c r="F2241" s="60" t="s">
        <v>3000</v>
      </c>
      <c r="G2241" s="60" t="s">
        <v>88</v>
      </c>
      <c r="H2241" s="45" t="s">
        <v>3001</v>
      </c>
      <c r="I2241" s="47" t="e">
        <f>VLOOKUP(H2241,'合同综合查询数据（3月返）'!$A:$A,1,FALSE)</f>
        <v>#N/A</v>
      </c>
      <c r="J2241" s="48" t="s">
        <v>1033</v>
      </c>
      <c r="K2241" s="60" t="s">
        <v>3042</v>
      </c>
      <c r="L2241" s="113" t="s">
        <v>3043</v>
      </c>
      <c r="M2241" s="50" t="s">
        <v>3044</v>
      </c>
      <c r="N2241" s="267">
        <v>44418</v>
      </c>
      <c r="O2241" s="48" t="s">
        <v>3004</v>
      </c>
      <c r="P2241" s="266">
        <v>4300</v>
      </c>
      <c r="Q2241" s="270">
        <v>-6</v>
      </c>
      <c r="R2241" s="266">
        <f t="shared" si="60"/>
        <v>-25800</v>
      </c>
      <c r="S2241" s="48">
        <v>202303</v>
      </c>
      <c r="T2241" s="125" t="s">
        <v>3046</v>
      </c>
      <c r="U2241" s="58"/>
      <c r="V2241" s="58"/>
      <c r="W2241" s="58"/>
      <c r="X2241" s="111"/>
      <c r="Y2241" s="111"/>
    </row>
    <row r="2242" s="10" customFormat="1" customHeight="1" spans="1:25">
      <c r="A2242" s="60" t="s">
        <v>403</v>
      </c>
      <c r="B2242" s="60" t="s">
        <v>2950</v>
      </c>
      <c r="C2242" s="60" t="s">
        <v>2998</v>
      </c>
      <c r="D2242" s="263" t="s">
        <v>2951</v>
      </c>
      <c r="E2242" s="63" t="s">
        <v>2999</v>
      </c>
      <c r="F2242" s="60" t="s">
        <v>3000</v>
      </c>
      <c r="G2242" s="60" t="s">
        <v>88</v>
      </c>
      <c r="H2242" s="45" t="s">
        <v>3001</v>
      </c>
      <c r="I2242" s="47" t="e">
        <f>VLOOKUP(H2242,'合同综合查询数据（3月返）'!$A:$A,1,FALSE)</f>
        <v>#N/A</v>
      </c>
      <c r="J2242" s="48" t="s">
        <v>1033</v>
      </c>
      <c r="K2242" s="60" t="s">
        <v>3042</v>
      </c>
      <c r="L2242" s="113" t="s">
        <v>3043</v>
      </c>
      <c r="M2242" s="50" t="s">
        <v>3047</v>
      </c>
      <c r="N2242" s="267">
        <v>44427</v>
      </c>
      <c r="O2242" s="48" t="s">
        <v>3004</v>
      </c>
      <c r="P2242" s="266">
        <v>4300</v>
      </c>
      <c r="Q2242" s="270">
        <v>5</v>
      </c>
      <c r="R2242" s="266">
        <f t="shared" si="60"/>
        <v>21500</v>
      </c>
      <c r="S2242" s="48">
        <v>202303</v>
      </c>
      <c r="T2242" s="125" t="s">
        <v>3048</v>
      </c>
      <c r="U2242" s="58"/>
      <c r="V2242" s="58"/>
      <c r="W2242" s="58"/>
      <c r="X2242" s="111"/>
      <c r="Y2242" s="111"/>
    </row>
    <row r="2243" s="10" customFormat="1" customHeight="1" spans="1:25">
      <c r="A2243" s="60" t="s">
        <v>403</v>
      </c>
      <c r="B2243" s="60" t="s">
        <v>2950</v>
      </c>
      <c r="C2243" s="60" t="s">
        <v>2998</v>
      </c>
      <c r="D2243" s="263" t="s">
        <v>2951</v>
      </c>
      <c r="E2243" s="63" t="s">
        <v>2999</v>
      </c>
      <c r="F2243" s="60" t="s">
        <v>3000</v>
      </c>
      <c r="G2243" s="60" t="s">
        <v>88</v>
      </c>
      <c r="H2243" s="45" t="s">
        <v>3001</v>
      </c>
      <c r="I2243" s="47" t="e">
        <f>VLOOKUP(H2243,'合同综合查询数据（3月返）'!$A:$A,1,FALSE)</f>
        <v>#N/A</v>
      </c>
      <c r="J2243" s="48" t="s">
        <v>1033</v>
      </c>
      <c r="K2243" s="60" t="s">
        <v>3042</v>
      </c>
      <c r="L2243" s="113" t="s">
        <v>3043</v>
      </c>
      <c r="M2243" s="50" t="s">
        <v>3047</v>
      </c>
      <c r="N2243" s="267">
        <v>44895</v>
      </c>
      <c r="O2243" s="48" t="s">
        <v>3004</v>
      </c>
      <c r="P2243" s="266">
        <v>4300</v>
      </c>
      <c r="Q2243" s="270">
        <v>-5</v>
      </c>
      <c r="R2243" s="266">
        <f t="shared" si="60"/>
        <v>-21500</v>
      </c>
      <c r="S2243" s="48">
        <v>202303</v>
      </c>
      <c r="T2243" s="125" t="s">
        <v>3049</v>
      </c>
      <c r="U2243" s="58"/>
      <c r="V2243" s="58"/>
      <c r="W2243" s="58"/>
      <c r="X2243" s="111"/>
      <c r="Y2243" s="111"/>
    </row>
    <row r="2244" s="10" customFormat="1" customHeight="1" spans="1:25">
      <c r="A2244" s="60" t="s">
        <v>403</v>
      </c>
      <c r="B2244" s="60" t="s">
        <v>2950</v>
      </c>
      <c r="C2244" s="60" t="s">
        <v>2998</v>
      </c>
      <c r="D2244" s="263" t="s">
        <v>2951</v>
      </c>
      <c r="E2244" s="63" t="s">
        <v>2999</v>
      </c>
      <c r="F2244" s="60" t="s">
        <v>3000</v>
      </c>
      <c r="G2244" s="60" t="s">
        <v>31</v>
      </c>
      <c r="H2244" s="45" t="s">
        <v>3001</v>
      </c>
      <c r="I2244" s="47" t="e">
        <f>VLOOKUP(H2244,'合同综合查询数据（3月返）'!$A:$A,1,FALSE)</f>
        <v>#N/A</v>
      </c>
      <c r="J2244" s="48" t="s">
        <v>1019</v>
      </c>
      <c r="K2244" s="60" t="s">
        <v>3042</v>
      </c>
      <c r="L2244" s="113" t="s">
        <v>3043</v>
      </c>
      <c r="M2244" s="50" t="s">
        <v>3050</v>
      </c>
      <c r="N2244" s="163" t="s">
        <v>1225</v>
      </c>
      <c r="O2244" s="66" t="s">
        <v>37</v>
      </c>
      <c r="P2244" s="266">
        <v>0</v>
      </c>
      <c r="Q2244" s="270">
        <v>768</v>
      </c>
      <c r="R2244" s="266">
        <f t="shared" si="60"/>
        <v>0</v>
      </c>
      <c r="S2244" s="48">
        <v>202303</v>
      </c>
      <c r="T2244" s="125" t="s">
        <v>3051</v>
      </c>
      <c r="U2244" s="58"/>
      <c r="V2244" s="126"/>
      <c r="W2244" s="126"/>
      <c r="X2244" s="111"/>
      <c r="Y2244" s="111"/>
    </row>
    <row r="2245" s="10" customFormat="1" customHeight="1" spans="1:25">
      <c r="A2245" s="60" t="s">
        <v>403</v>
      </c>
      <c r="B2245" s="60" t="s">
        <v>2950</v>
      </c>
      <c r="C2245" s="60" t="s">
        <v>2998</v>
      </c>
      <c r="D2245" s="263" t="s">
        <v>2951</v>
      </c>
      <c r="E2245" s="63" t="s">
        <v>2999</v>
      </c>
      <c r="F2245" s="60" t="s">
        <v>3000</v>
      </c>
      <c r="G2245" s="60" t="s">
        <v>31</v>
      </c>
      <c r="H2245" s="45" t="s">
        <v>3001</v>
      </c>
      <c r="I2245" s="47" t="e">
        <f>VLOOKUP(H2245,'合同综合查询数据（3月返）'!$A:$A,1,FALSE)</f>
        <v>#N/A</v>
      </c>
      <c r="J2245" s="48" t="s">
        <v>1019</v>
      </c>
      <c r="K2245" s="60" t="s">
        <v>3042</v>
      </c>
      <c r="L2245" s="113" t="s">
        <v>3043</v>
      </c>
      <c r="M2245" s="50" t="s">
        <v>3050</v>
      </c>
      <c r="N2245" s="267">
        <v>44895</v>
      </c>
      <c r="O2245" s="66" t="s">
        <v>37</v>
      </c>
      <c r="P2245" s="266">
        <v>0</v>
      </c>
      <c r="Q2245" s="270">
        <v>-768</v>
      </c>
      <c r="R2245" s="266">
        <f t="shared" si="60"/>
        <v>0</v>
      </c>
      <c r="S2245" s="48">
        <v>202303</v>
      </c>
      <c r="T2245" s="125" t="s">
        <v>3049</v>
      </c>
      <c r="U2245" s="58"/>
      <c r="V2245" s="126"/>
      <c r="W2245" s="126"/>
      <c r="X2245" s="271"/>
      <c r="Y2245" s="271"/>
    </row>
    <row r="2246" s="10" customFormat="1" customHeight="1" spans="1:25">
      <c r="A2246" s="60" t="s">
        <v>403</v>
      </c>
      <c r="B2246" s="60" t="s">
        <v>2950</v>
      </c>
      <c r="C2246" s="60" t="s">
        <v>2998</v>
      </c>
      <c r="D2246" s="263" t="s">
        <v>2951</v>
      </c>
      <c r="E2246" s="63" t="s">
        <v>2999</v>
      </c>
      <c r="F2246" s="60" t="s">
        <v>3000</v>
      </c>
      <c r="G2246" s="60" t="s">
        <v>88</v>
      </c>
      <c r="H2246" s="45" t="s">
        <v>3001</v>
      </c>
      <c r="I2246" s="47" t="e">
        <f>VLOOKUP(H2246,'合同综合查询数据（3月返）'!$A:$A,1,FALSE)</f>
        <v>#N/A</v>
      </c>
      <c r="J2246" s="48" t="s">
        <v>126</v>
      </c>
      <c r="K2246" s="60" t="s">
        <v>3052</v>
      </c>
      <c r="L2246" s="113"/>
      <c r="M2246" s="50" t="s">
        <v>3053</v>
      </c>
      <c r="N2246" s="163"/>
      <c r="O2246" s="66" t="s">
        <v>3004</v>
      </c>
      <c r="P2246" s="266">
        <v>4300</v>
      </c>
      <c r="Q2246" s="270">
        <v>23</v>
      </c>
      <c r="R2246" s="266">
        <f t="shared" si="60"/>
        <v>98900</v>
      </c>
      <c r="S2246" s="48">
        <v>202303</v>
      </c>
      <c r="T2246" s="125"/>
      <c r="U2246" s="58"/>
      <c r="V2246" s="58"/>
      <c r="W2246" s="58"/>
      <c r="X2246" s="111"/>
      <c r="Y2246" s="111"/>
    </row>
    <row r="2247" s="10" customFormat="1" customHeight="1" spans="1:25">
      <c r="A2247" s="60" t="s">
        <v>403</v>
      </c>
      <c r="B2247" s="60" t="s">
        <v>2950</v>
      </c>
      <c r="C2247" s="60" t="s">
        <v>2998</v>
      </c>
      <c r="D2247" s="263" t="s">
        <v>2951</v>
      </c>
      <c r="E2247" s="63" t="s">
        <v>2999</v>
      </c>
      <c r="F2247" s="60" t="s">
        <v>3000</v>
      </c>
      <c r="G2247" s="60" t="s">
        <v>88</v>
      </c>
      <c r="H2247" s="45" t="s">
        <v>3001</v>
      </c>
      <c r="I2247" s="47" t="e">
        <f>VLOOKUP(H2247,'合同综合查询数据（3月返）'!$A:$A,1,FALSE)</f>
        <v>#N/A</v>
      </c>
      <c r="J2247" s="48" t="s">
        <v>126</v>
      </c>
      <c r="K2247" s="60" t="s">
        <v>3052</v>
      </c>
      <c r="L2247" s="113"/>
      <c r="M2247" s="50" t="s">
        <v>3053</v>
      </c>
      <c r="N2247" s="163">
        <v>43670</v>
      </c>
      <c r="O2247" s="267" t="s">
        <v>3004</v>
      </c>
      <c r="P2247" s="266">
        <v>4300</v>
      </c>
      <c r="Q2247" s="270">
        <v>1</v>
      </c>
      <c r="R2247" s="266">
        <f t="shared" si="60"/>
        <v>4300</v>
      </c>
      <c r="S2247" s="48">
        <v>202303</v>
      </c>
      <c r="T2247" s="125" t="s">
        <v>3054</v>
      </c>
      <c r="U2247" s="58"/>
      <c r="V2247" s="58"/>
      <c r="W2247" s="58"/>
      <c r="X2247" s="111"/>
      <c r="Y2247" s="111"/>
    </row>
    <row r="2248" s="10" customFormat="1" customHeight="1" spans="1:25">
      <c r="A2248" s="60" t="s">
        <v>403</v>
      </c>
      <c r="B2248" s="60" t="s">
        <v>2950</v>
      </c>
      <c r="C2248" s="60" t="s">
        <v>2998</v>
      </c>
      <c r="D2248" s="263" t="s">
        <v>2951</v>
      </c>
      <c r="E2248" s="63" t="s">
        <v>2999</v>
      </c>
      <c r="F2248" s="60" t="s">
        <v>3000</v>
      </c>
      <c r="G2248" s="60" t="s">
        <v>88</v>
      </c>
      <c r="H2248" s="45" t="s">
        <v>3001</v>
      </c>
      <c r="I2248" s="47" t="e">
        <f>VLOOKUP(H2248,'合同综合查询数据（3月返）'!$A:$A,1,FALSE)</f>
        <v>#N/A</v>
      </c>
      <c r="J2248" s="48" t="s">
        <v>126</v>
      </c>
      <c r="K2248" s="60" t="s">
        <v>3052</v>
      </c>
      <c r="L2248" s="113"/>
      <c r="M2248" s="50" t="s">
        <v>3053</v>
      </c>
      <c r="N2248" s="267">
        <v>43669</v>
      </c>
      <c r="O2248" s="48" t="s">
        <v>3004</v>
      </c>
      <c r="P2248" s="266">
        <v>4300</v>
      </c>
      <c r="Q2248" s="270">
        <v>-6</v>
      </c>
      <c r="R2248" s="266">
        <f t="shared" si="60"/>
        <v>-25800</v>
      </c>
      <c r="S2248" s="48">
        <v>202303</v>
      </c>
      <c r="T2248" s="125" t="s">
        <v>3055</v>
      </c>
      <c r="U2248" s="58"/>
      <c r="V2248" s="58"/>
      <c r="W2248" s="58"/>
      <c r="X2248" s="111"/>
      <c r="Y2248" s="111"/>
    </row>
    <row r="2249" s="10" customFormat="1" customHeight="1" spans="1:25">
      <c r="A2249" s="60" t="s">
        <v>403</v>
      </c>
      <c r="B2249" s="60" t="s">
        <v>2950</v>
      </c>
      <c r="C2249" s="60" t="s">
        <v>2998</v>
      </c>
      <c r="D2249" s="263" t="s">
        <v>2951</v>
      </c>
      <c r="E2249" s="63" t="s">
        <v>2999</v>
      </c>
      <c r="F2249" s="60" t="s">
        <v>3000</v>
      </c>
      <c r="G2249" s="60" t="s">
        <v>88</v>
      </c>
      <c r="H2249" s="45" t="s">
        <v>3001</v>
      </c>
      <c r="I2249" s="47" t="e">
        <f>VLOOKUP(H2249,'合同综合查询数据（3月返）'!$A:$A,1,FALSE)</f>
        <v>#N/A</v>
      </c>
      <c r="J2249" s="48" t="s">
        <v>126</v>
      </c>
      <c r="K2249" s="60" t="s">
        <v>3052</v>
      </c>
      <c r="L2249" s="113"/>
      <c r="M2249" s="50" t="s">
        <v>3053</v>
      </c>
      <c r="N2249" s="163"/>
      <c r="O2249" s="66" t="s">
        <v>3004</v>
      </c>
      <c r="P2249" s="266">
        <v>4300</v>
      </c>
      <c r="Q2249" s="270">
        <v>4</v>
      </c>
      <c r="R2249" s="266">
        <f t="shared" si="60"/>
        <v>17200</v>
      </c>
      <c r="S2249" s="48">
        <v>202303</v>
      </c>
      <c r="T2249" s="125" t="s">
        <v>3056</v>
      </c>
      <c r="U2249" s="58"/>
      <c r="V2249" s="58"/>
      <c r="W2249" s="58"/>
      <c r="X2249" s="111"/>
      <c r="Y2249" s="111"/>
    </row>
    <row r="2250" s="10" customFormat="1" customHeight="1" spans="1:25">
      <c r="A2250" s="60" t="s">
        <v>403</v>
      </c>
      <c r="B2250" s="60" t="s">
        <v>2950</v>
      </c>
      <c r="C2250" s="60" t="s">
        <v>2998</v>
      </c>
      <c r="D2250" s="263" t="s">
        <v>2951</v>
      </c>
      <c r="E2250" s="63" t="s">
        <v>2999</v>
      </c>
      <c r="F2250" s="60" t="s">
        <v>3000</v>
      </c>
      <c r="G2250" s="60" t="s">
        <v>88</v>
      </c>
      <c r="H2250" s="45" t="s">
        <v>3001</v>
      </c>
      <c r="I2250" s="47" t="e">
        <f>VLOOKUP(H2250,'合同综合查询数据（3月返）'!$A:$A,1,FALSE)</f>
        <v>#N/A</v>
      </c>
      <c r="J2250" s="48" t="s">
        <v>126</v>
      </c>
      <c r="K2250" s="60" t="s">
        <v>3052</v>
      </c>
      <c r="L2250" s="113"/>
      <c r="M2250" s="50" t="s">
        <v>3053</v>
      </c>
      <c r="N2250" s="163">
        <v>43799</v>
      </c>
      <c r="O2250" s="66" t="s">
        <v>3004</v>
      </c>
      <c r="P2250" s="266">
        <v>4300</v>
      </c>
      <c r="Q2250" s="270">
        <v>-10</v>
      </c>
      <c r="R2250" s="266">
        <f t="shared" si="60"/>
        <v>-43000</v>
      </c>
      <c r="S2250" s="48">
        <v>202303</v>
      </c>
      <c r="T2250" s="125" t="s">
        <v>3057</v>
      </c>
      <c r="U2250" s="58"/>
      <c r="V2250" s="58"/>
      <c r="W2250" s="58"/>
      <c r="X2250" s="111"/>
      <c r="Y2250" s="111"/>
    </row>
    <row r="2251" s="10" customFormat="1" customHeight="1" spans="1:25">
      <c r="A2251" s="60" t="s">
        <v>403</v>
      </c>
      <c r="B2251" s="60" t="s">
        <v>2950</v>
      </c>
      <c r="C2251" s="60" t="s">
        <v>2998</v>
      </c>
      <c r="D2251" s="263" t="s">
        <v>2951</v>
      </c>
      <c r="E2251" s="63" t="s">
        <v>2999</v>
      </c>
      <c r="F2251" s="60" t="s">
        <v>3000</v>
      </c>
      <c r="G2251" s="60" t="s">
        <v>88</v>
      </c>
      <c r="H2251" s="45" t="s">
        <v>3001</v>
      </c>
      <c r="I2251" s="47" t="e">
        <f>VLOOKUP(H2251,'合同综合查询数据（3月返）'!$A:$A,1,FALSE)</f>
        <v>#N/A</v>
      </c>
      <c r="J2251" s="48" t="s">
        <v>126</v>
      </c>
      <c r="K2251" s="60" t="s">
        <v>3052</v>
      </c>
      <c r="L2251" s="113"/>
      <c r="M2251" s="50" t="s">
        <v>3053</v>
      </c>
      <c r="N2251" s="163">
        <v>43931</v>
      </c>
      <c r="O2251" s="66" t="s">
        <v>3004</v>
      </c>
      <c r="P2251" s="266">
        <v>4300</v>
      </c>
      <c r="Q2251" s="270">
        <v>-3</v>
      </c>
      <c r="R2251" s="266">
        <f t="shared" si="60"/>
        <v>-12900</v>
      </c>
      <c r="S2251" s="48">
        <v>202303</v>
      </c>
      <c r="T2251" s="125" t="s">
        <v>3058</v>
      </c>
      <c r="U2251" s="58"/>
      <c r="V2251" s="58"/>
      <c r="W2251" s="58"/>
      <c r="X2251" s="111"/>
      <c r="Y2251" s="111"/>
    </row>
    <row r="2252" s="10" customFormat="1" customHeight="1" spans="1:25">
      <c r="A2252" s="60" t="s">
        <v>403</v>
      </c>
      <c r="B2252" s="60" t="s">
        <v>2950</v>
      </c>
      <c r="C2252" s="60" t="s">
        <v>2998</v>
      </c>
      <c r="D2252" s="263" t="s">
        <v>2951</v>
      </c>
      <c r="E2252" s="63" t="s">
        <v>2999</v>
      </c>
      <c r="F2252" s="60" t="s">
        <v>3000</v>
      </c>
      <c r="G2252" s="60" t="s">
        <v>88</v>
      </c>
      <c r="H2252" s="45" t="s">
        <v>3001</v>
      </c>
      <c r="I2252" s="47" t="e">
        <f>VLOOKUP(H2252,'合同综合查询数据（3月返）'!$A:$A,1,FALSE)</f>
        <v>#N/A</v>
      </c>
      <c r="J2252" s="48" t="s">
        <v>126</v>
      </c>
      <c r="K2252" s="60" t="s">
        <v>3052</v>
      </c>
      <c r="L2252" s="113"/>
      <c r="M2252" s="50" t="s">
        <v>3053</v>
      </c>
      <c r="N2252" s="163">
        <v>44286</v>
      </c>
      <c r="O2252" s="66" t="s">
        <v>3004</v>
      </c>
      <c r="P2252" s="266">
        <v>4300</v>
      </c>
      <c r="Q2252" s="270">
        <v>-3</v>
      </c>
      <c r="R2252" s="266">
        <f t="shared" si="60"/>
        <v>-12900</v>
      </c>
      <c r="S2252" s="48">
        <v>202303</v>
      </c>
      <c r="T2252" s="125" t="s">
        <v>3059</v>
      </c>
      <c r="U2252" s="58"/>
      <c r="V2252" s="58"/>
      <c r="W2252" s="58"/>
      <c r="X2252" s="111"/>
      <c r="Y2252" s="111"/>
    </row>
    <row r="2253" s="10" customFormat="1" customHeight="1" spans="1:25">
      <c r="A2253" s="60" t="s">
        <v>403</v>
      </c>
      <c r="B2253" s="60" t="s">
        <v>2950</v>
      </c>
      <c r="C2253" s="60" t="s">
        <v>2998</v>
      </c>
      <c r="D2253" s="263" t="s">
        <v>2951</v>
      </c>
      <c r="E2253" s="63" t="s">
        <v>2999</v>
      </c>
      <c r="F2253" s="60" t="s">
        <v>3000</v>
      </c>
      <c r="G2253" s="60" t="s">
        <v>88</v>
      </c>
      <c r="H2253" s="45" t="s">
        <v>3001</v>
      </c>
      <c r="I2253" s="47" t="e">
        <f>VLOOKUP(H2253,'合同综合查询数据（3月返）'!$A:$A,1,FALSE)</f>
        <v>#N/A</v>
      </c>
      <c r="J2253" s="48" t="s">
        <v>126</v>
      </c>
      <c r="K2253" s="60" t="s">
        <v>3060</v>
      </c>
      <c r="L2253" s="60" t="s">
        <v>3060</v>
      </c>
      <c r="M2253" s="50" t="s">
        <v>3053</v>
      </c>
      <c r="N2253" s="163">
        <v>44303</v>
      </c>
      <c r="O2253" s="66" t="s">
        <v>92</v>
      </c>
      <c r="P2253" s="266">
        <v>4300</v>
      </c>
      <c r="Q2253" s="270">
        <v>2</v>
      </c>
      <c r="R2253" s="266">
        <f t="shared" si="60"/>
        <v>8600</v>
      </c>
      <c r="S2253" s="48">
        <v>202303</v>
      </c>
      <c r="T2253" s="125" t="s">
        <v>3061</v>
      </c>
      <c r="U2253" s="58"/>
      <c r="V2253" s="58"/>
      <c r="W2253" s="58"/>
      <c r="X2253" s="111"/>
      <c r="Y2253" s="111"/>
    </row>
    <row r="2254" s="10" customFormat="1" customHeight="1" spans="1:25">
      <c r="A2254" s="60" t="s">
        <v>403</v>
      </c>
      <c r="B2254" s="60" t="s">
        <v>2950</v>
      </c>
      <c r="C2254" s="60" t="s">
        <v>2998</v>
      </c>
      <c r="D2254" s="263" t="s">
        <v>2951</v>
      </c>
      <c r="E2254" s="63" t="s">
        <v>2999</v>
      </c>
      <c r="F2254" s="60" t="s">
        <v>3000</v>
      </c>
      <c r="G2254" s="60" t="s">
        <v>88</v>
      </c>
      <c r="H2254" s="45" t="s">
        <v>3001</v>
      </c>
      <c r="I2254" s="47" t="e">
        <f>VLOOKUP(H2254,'合同综合查询数据（3月返）'!$A:$A,1,FALSE)</f>
        <v>#N/A</v>
      </c>
      <c r="J2254" s="48" t="s">
        <v>126</v>
      </c>
      <c r="K2254" s="60" t="s">
        <v>3060</v>
      </c>
      <c r="L2254" s="60" t="s">
        <v>3060</v>
      </c>
      <c r="M2254" s="50" t="s">
        <v>3053</v>
      </c>
      <c r="N2254" s="163">
        <v>44573</v>
      </c>
      <c r="O2254" s="267" t="s">
        <v>3004</v>
      </c>
      <c r="P2254" s="266">
        <v>4300</v>
      </c>
      <c r="Q2254" s="270">
        <v>1</v>
      </c>
      <c r="R2254" s="266">
        <f t="shared" si="60"/>
        <v>4300</v>
      </c>
      <c r="S2254" s="48">
        <v>202303</v>
      </c>
      <c r="T2254" s="125" t="s">
        <v>3062</v>
      </c>
      <c r="U2254" s="58"/>
      <c r="V2254" s="58"/>
      <c r="W2254" s="58"/>
      <c r="X2254" s="111"/>
      <c r="Y2254" s="111"/>
    </row>
    <row r="2255" s="10" customFormat="1" customHeight="1" spans="1:25">
      <c r="A2255" s="60" t="s">
        <v>403</v>
      </c>
      <c r="B2255" s="60" t="s">
        <v>2950</v>
      </c>
      <c r="C2255" s="60" t="s">
        <v>2998</v>
      </c>
      <c r="D2255" s="263" t="s">
        <v>2951</v>
      </c>
      <c r="E2255" s="63" t="s">
        <v>2999</v>
      </c>
      <c r="F2255" s="60" t="s">
        <v>3000</v>
      </c>
      <c r="G2255" s="60" t="s">
        <v>31</v>
      </c>
      <c r="H2255" s="45" t="s">
        <v>3001</v>
      </c>
      <c r="I2255" s="47" t="e">
        <f>VLOOKUP(H2255,'合同综合查询数据（3月返）'!$A:$A,1,FALSE)</f>
        <v>#N/A</v>
      </c>
      <c r="J2255" s="48" t="s">
        <v>33</v>
      </c>
      <c r="K2255" s="60" t="s">
        <v>3060</v>
      </c>
      <c r="L2255" s="60" t="s">
        <v>3060</v>
      </c>
      <c r="M2255" s="50" t="s">
        <v>3053</v>
      </c>
      <c r="N2255" s="163" t="s">
        <v>1225</v>
      </c>
      <c r="O2255" s="48" t="s">
        <v>37</v>
      </c>
      <c r="P2255" s="266">
        <v>0</v>
      </c>
      <c r="Q2255" s="270">
        <v>288</v>
      </c>
      <c r="R2255" s="266">
        <f t="shared" si="60"/>
        <v>0</v>
      </c>
      <c r="S2255" s="48">
        <v>202303</v>
      </c>
      <c r="T2255" s="125" t="s">
        <v>3063</v>
      </c>
      <c r="U2255" s="58"/>
      <c r="V2255" s="58"/>
      <c r="W2255" s="126"/>
      <c r="X2255" s="111"/>
      <c r="Y2255" s="111"/>
    </row>
    <row r="2256" s="10" customFormat="1" customHeight="1" spans="1:25">
      <c r="A2256" s="60" t="s">
        <v>403</v>
      </c>
      <c r="B2256" s="60" t="s">
        <v>2950</v>
      </c>
      <c r="C2256" s="60" t="s">
        <v>2998</v>
      </c>
      <c r="D2256" s="263" t="s">
        <v>2951</v>
      </c>
      <c r="E2256" s="63" t="s">
        <v>2999</v>
      </c>
      <c r="F2256" s="60" t="s">
        <v>3000</v>
      </c>
      <c r="G2256" s="60" t="s">
        <v>31</v>
      </c>
      <c r="H2256" s="45" t="s">
        <v>3001</v>
      </c>
      <c r="I2256" s="47" t="e">
        <f>VLOOKUP(H2256,'合同综合查询数据（3月返）'!$A:$A,1,FALSE)</f>
        <v>#N/A</v>
      </c>
      <c r="J2256" s="48" t="s">
        <v>33</v>
      </c>
      <c r="K2256" s="60" t="s">
        <v>3060</v>
      </c>
      <c r="L2256" s="60" t="s">
        <v>3060</v>
      </c>
      <c r="M2256" s="50" t="s">
        <v>3053</v>
      </c>
      <c r="N2256" s="163" t="s">
        <v>1225</v>
      </c>
      <c r="O2256" s="48" t="s">
        <v>37</v>
      </c>
      <c r="P2256" s="266">
        <v>0</v>
      </c>
      <c r="Q2256" s="270">
        <v>384</v>
      </c>
      <c r="R2256" s="266">
        <f t="shared" si="60"/>
        <v>0</v>
      </c>
      <c r="S2256" s="48">
        <v>202303</v>
      </c>
      <c r="T2256" s="125" t="s">
        <v>3064</v>
      </c>
      <c r="U2256" s="58"/>
      <c r="V2256" s="126"/>
      <c r="W2256" s="126"/>
      <c r="X2256" s="111"/>
      <c r="Y2256" s="111"/>
    </row>
    <row r="2257" s="10" customFormat="1" customHeight="1" spans="1:25">
      <c r="A2257" s="60" t="s">
        <v>403</v>
      </c>
      <c r="B2257" s="60" t="s">
        <v>2950</v>
      </c>
      <c r="C2257" s="60" t="s">
        <v>2998</v>
      </c>
      <c r="D2257" s="263" t="s">
        <v>2951</v>
      </c>
      <c r="E2257" s="63" t="s">
        <v>2999</v>
      </c>
      <c r="F2257" s="60" t="s">
        <v>3000</v>
      </c>
      <c r="G2257" s="60" t="s">
        <v>31</v>
      </c>
      <c r="H2257" s="45" t="s">
        <v>3001</v>
      </c>
      <c r="I2257" s="47" t="e">
        <f>VLOOKUP(H2257,'合同综合查询数据（3月返）'!$A:$A,1,FALSE)</f>
        <v>#N/A</v>
      </c>
      <c r="J2257" s="48" t="s">
        <v>33</v>
      </c>
      <c r="K2257" s="60" t="s">
        <v>3060</v>
      </c>
      <c r="L2257" s="60" t="s">
        <v>3060</v>
      </c>
      <c r="M2257" s="50" t="s">
        <v>3053</v>
      </c>
      <c r="N2257" s="163">
        <v>44303</v>
      </c>
      <c r="O2257" s="48" t="s">
        <v>37</v>
      </c>
      <c r="P2257" s="266">
        <v>0</v>
      </c>
      <c r="Q2257" s="270">
        <v>256</v>
      </c>
      <c r="R2257" s="266">
        <f t="shared" si="60"/>
        <v>0</v>
      </c>
      <c r="S2257" s="48">
        <v>202303</v>
      </c>
      <c r="T2257" s="125" t="s">
        <v>3065</v>
      </c>
      <c r="U2257" s="58"/>
      <c r="V2257" s="58"/>
      <c r="W2257" s="58"/>
      <c r="X2257" s="111"/>
      <c r="Y2257" s="111"/>
    </row>
    <row r="2258" s="10" customFormat="1" customHeight="1" spans="1:25">
      <c r="A2258" s="60" t="s">
        <v>403</v>
      </c>
      <c r="B2258" s="60" t="s">
        <v>2950</v>
      </c>
      <c r="C2258" s="60" t="s">
        <v>2998</v>
      </c>
      <c r="D2258" s="263" t="s">
        <v>2951</v>
      </c>
      <c r="E2258" s="63" t="s">
        <v>2999</v>
      </c>
      <c r="F2258" s="60" t="s">
        <v>3000</v>
      </c>
      <c r="G2258" s="60" t="s">
        <v>31</v>
      </c>
      <c r="H2258" s="45" t="s">
        <v>3001</v>
      </c>
      <c r="I2258" s="47" t="e">
        <f>VLOOKUP(H2258,'合同综合查询数据（3月返）'!$A:$A,1,FALSE)</f>
        <v>#N/A</v>
      </c>
      <c r="J2258" s="48" t="s">
        <v>33</v>
      </c>
      <c r="K2258" s="60" t="s">
        <v>3060</v>
      </c>
      <c r="L2258" s="60" t="s">
        <v>3060</v>
      </c>
      <c r="M2258" s="50" t="s">
        <v>3053</v>
      </c>
      <c r="N2258" s="163">
        <v>44580</v>
      </c>
      <c r="O2258" s="48" t="s">
        <v>37</v>
      </c>
      <c r="P2258" s="266">
        <v>0</v>
      </c>
      <c r="Q2258" s="270">
        <v>128</v>
      </c>
      <c r="R2258" s="266">
        <f t="shared" si="60"/>
        <v>0</v>
      </c>
      <c r="S2258" s="48">
        <v>202303</v>
      </c>
      <c r="T2258" s="125" t="s">
        <v>3066</v>
      </c>
      <c r="U2258" s="58"/>
      <c r="V2258" s="58"/>
      <c r="W2258" s="58"/>
      <c r="X2258" s="111"/>
      <c r="Y2258" s="111"/>
    </row>
    <row r="2259" s="10" customFormat="1" customHeight="1" spans="1:25">
      <c r="A2259" s="60" t="s">
        <v>403</v>
      </c>
      <c r="B2259" s="60" t="s">
        <v>2950</v>
      </c>
      <c r="C2259" s="60" t="s">
        <v>2998</v>
      </c>
      <c r="D2259" s="263" t="s">
        <v>2951</v>
      </c>
      <c r="E2259" s="63" t="s">
        <v>2999</v>
      </c>
      <c r="F2259" s="60" t="s">
        <v>3000</v>
      </c>
      <c r="G2259" s="60" t="s">
        <v>31</v>
      </c>
      <c r="H2259" s="45" t="s">
        <v>3001</v>
      </c>
      <c r="I2259" s="47" t="e">
        <f>VLOOKUP(H2259,'合同综合查询数据（3月返）'!$A:$A,1,FALSE)</f>
        <v>#N/A</v>
      </c>
      <c r="J2259" s="48" t="s">
        <v>451</v>
      </c>
      <c r="K2259" s="113"/>
      <c r="L2259" s="113" t="s">
        <v>3067</v>
      </c>
      <c r="M2259" s="50" t="s">
        <v>3068</v>
      </c>
      <c r="N2259" s="267">
        <v>44505</v>
      </c>
      <c r="O2259" s="48" t="s">
        <v>37</v>
      </c>
      <c r="P2259" s="266">
        <v>0</v>
      </c>
      <c r="Q2259" s="270">
        <v>512</v>
      </c>
      <c r="R2259" s="266">
        <f t="shared" si="60"/>
        <v>0</v>
      </c>
      <c r="S2259" s="48">
        <v>202303</v>
      </c>
      <c r="T2259" s="125" t="s">
        <v>3069</v>
      </c>
      <c r="U2259" s="58"/>
      <c r="V2259" s="58"/>
      <c r="W2259" s="58"/>
      <c r="X2259" s="111"/>
      <c r="Y2259" s="111"/>
    </row>
    <row r="2260" s="10" customFormat="1" customHeight="1" spans="1:25">
      <c r="A2260" s="60" t="s">
        <v>403</v>
      </c>
      <c r="B2260" s="60" t="s">
        <v>2950</v>
      </c>
      <c r="C2260" s="60" t="s">
        <v>2998</v>
      </c>
      <c r="D2260" s="263" t="s">
        <v>2951</v>
      </c>
      <c r="E2260" s="63" t="s">
        <v>2999</v>
      </c>
      <c r="F2260" s="60" t="s">
        <v>3000</v>
      </c>
      <c r="G2260" s="60" t="s">
        <v>31</v>
      </c>
      <c r="H2260" s="45" t="s">
        <v>3001</v>
      </c>
      <c r="I2260" s="47" t="e">
        <f>VLOOKUP(H2260,'合同综合查询数据（3月返）'!$A:$A,1,FALSE)</f>
        <v>#N/A</v>
      </c>
      <c r="J2260" s="48" t="s">
        <v>33</v>
      </c>
      <c r="K2260" s="113"/>
      <c r="L2260" s="113" t="s">
        <v>3067</v>
      </c>
      <c r="M2260" s="50" t="s">
        <v>3068</v>
      </c>
      <c r="N2260" s="267">
        <v>44505</v>
      </c>
      <c r="O2260" s="48" t="s">
        <v>37</v>
      </c>
      <c r="P2260" s="266">
        <v>0</v>
      </c>
      <c r="Q2260" s="270">
        <v>512</v>
      </c>
      <c r="R2260" s="266">
        <f t="shared" si="60"/>
        <v>0</v>
      </c>
      <c r="S2260" s="48">
        <v>202303</v>
      </c>
      <c r="T2260" s="125" t="s">
        <v>3070</v>
      </c>
      <c r="U2260" s="58"/>
      <c r="V2260" s="58"/>
      <c r="W2260" s="58"/>
      <c r="X2260" s="111"/>
      <c r="Y2260" s="111"/>
    </row>
    <row r="2261" s="10" customFormat="1" customHeight="1" spans="1:25">
      <c r="A2261" s="60" t="s">
        <v>403</v>
      </c>
      <c r="B2261" s="60" t="s">
        <v>2950</v>
      </c>
      <c r="C2261" s="60" t="s">
        <v>2998</v>
      </c>
      <c r="D2261" s="263" t="s">
        <v>2951</v>
      </c>
      <c r="E2261" s="63" t="s">
        <v>2999</v>
      </c>
      <c r="F2261" s="60" t="s">
        <v>3000</v>
      </c>
      <c r="G2261" s="60" t="s">
        <v>31</v>
      </c>
      <c r="H2261" s="45" t="s">
        <v>3001</v>
      </c>
      <c r="I2261" s="47" t="e">
        <f>VLOOKUP(H2261,'合同综合查询数据（3月返）'!$A:$A,1,FALSE)</f>
        <v>#N/A</v>
      </c>
      <c r="J2261" s="48" t="s">
        <v>451</v>
      </c>
      <c r="K2261" s="113"/>
      <c r="L2261" s="113" t="s">
        <v>3067</v>
      </c>
      <c r="M2261" s="50" t="s">
        <v>3068</v>
      </c>
      <c r="N2261" s="267">
        <v>44687</v>
      </c>
      <c r="O2261" s="48" t="s">
        <v>37</v>
      </c>
      <c r="P2261" s="266">
        <v>0</v>
      </c>
      <c r="Q2261" s="270">
        <v>256</v>
      </c>
      <c r="R2261" s="266">
        <f t="shared" si="60"/>
        <v>0</v>
      </c>
      <c r="S2261" s="48">
        <v>202303</v>
      </c>
      <c r="T2261" s="125" t="s">
        <v>3071</v>
      </c>
      <c r="U2261" s="58"/>
      <c r="V2261" s="58"/>
      <c r="W2261" s="58"/>
      <c r="X2261" s="111"/>
      <c r="Y2261" s="111"/>
    </row>
    <row r="2262" s="10" customFormat="1" customHeight="1" spans="1:25">
      <c r="A2262" s="60" t="s">
        <v>403</v>
      </c>
      <c r="B2262" s="60" t="s">
        <v>2950</v>
      </c>
      <c r="C2262" s="60" t="s">
        <v>2998</v>
      </c>
      <c r="D2262" s="263" t="s">
        <v>2951</v>
      </c>
      <c r="E2262" s="63" t="s">
        <v>2999</v>
      </c>
      <c r="F2262" s="60" t="s">
        <v>3000</v>
      </c>
      <c r="G2262" s="60" t="s">
        <v>31</v>
      </c>
      <c r="H2262" s="45" t="s">
        <v>3001</v>
      </c>
      <c r="I2262" s="47" t="e">
        <f>VLOOKUP(H2262,'合同综合查询数据（3月返）'!$A:$A,1,FALSE)</f>
        <v>#N/A</v>
      </c>
      <c r="J2262" s="48" t="s">
        <v>451</v>
      </c>
      <c r="K2262" s="113"/>
      <c r="L2262" s="113" t="s">
        <v>3067</v>
      </c>
      <c r="M2262" s="50" t="s">
        <v>3068</v>
      </c>
      <c r="N2262" s="267">
        <v>44927</v>
      </c>
      <c r="O2262" s="48" t="s">
        <v>37</v>
      </c>
      <c r="P2262" s="266">
        <v>0</v>
      </c>
      <c r="Q2262" s="270">
        <v>1024</v>
      </c>
      <c r="R2262" s="266">
        <f t="shared" si="60"/>
        <v>0</v>
      </c>
      <c r="S2262" s="48">
        <v>202303</v>
      </c>
      <c r="T2262" s="125" t="s">
        <v>3072</v>
      </c>
      <c r="U2262" s="58"/>
      <c r="V2262" s="58"/>
      <c r="W2262" s="58"/>
      <c r="X2262" s="111"/>
      <c r="Y2262" s="111"/>
    </row>
    <row r="2263" s="10" customFormat="1" customHeight="1" spans="1:25">
      <c r="A2263" s="60" t="s">
        <v>403</v>
      </c>
      <c r="B2263" s="60" t="s">
        <v>2950</v>
      </c>
      <c r="C2263" s="60" t="s">
        <v>2998</v>
      </c>
      <c r="D2263" s="263" t="s">
        <v>2951</v>
      </c>
      <c r="E2263" s="63" t="s">
        <v>2999</v>
      </c>
      <c r="F2263" s="60" t="s">
        <v>3000</v>
      </c>
      <c r="G2263" s="60" t="s">
        <v>88</v>
      </c>
      <c r="H2263" s="45" t="s">
        <v>3073</v>
      </c>
      <c r="I2263" s="47" t="e">
        <f>VLOOKUP(H2263,'合同综合查询数据（3月返）'!$A:$A,1,FALSE)</f>
        <v>#N/A</v>
      </c>
      <c r="J2263" s="48" t="s">
        <v>3074</v>
      </c>
      <c r="K2263" s="60" t="s">
        <v>3075</v>
      </c>
      <c r="L2263" s="113"/>
      <c r="M2263" s="50" t="s">
        <v>3068</v>
      </c>
      <c r="N2263" s="267" t="s">
        <v>3076</v>
      </c>
      <c r="O2263" s="48" t="s">
        <v>457</v>
      </c>
      <c r="P2263" s="266">
        <v>4800</v>
      </c>
      <c r="Q2263" s="270">
        <v>2204</v>
      </c>
      <c r="R2263" s="266">
        <f t="shared" si="60"/>
        <v>10579200</v>
      </c>
      <c r="S2263" s="48">
        <v>202303</v>
      </c>
      <c r="T2263" s="125" t="s">
        <v>3077</v>
      </c>
      <c r="U2263" s="58"/>
      <c r="V2263" s="58"/>
      <c r="W2263" s="58"/>
      <c r="X2263" s="178"/>
      <c r="Y2263" s="178"/>
    </row>
    <row r="2264" s="10" customFormat="1" customHeight="1" spans="1:25">
      <c r="A2264" s="60" t="s">
        <v>403</v>
      </c>
      <c r="B2264" s="60" t="s">
        <v>2950</v>
      </c>
      <c r="C2264" s="60" t="s">
        <v>2998</v>
      </c>
      <c r="D2264" s="263" t="s">
        <v>2951</v>
      </c>
      <c r="E2264" s="63" t="s">
        <v>2999</v>
      </c>
      <c r="F2264" s="60" t="s">
        <v>3000</v>
      </c>
      <c r="G2264" s="60" t="s">
        <v>88</v>
      </c>
      <c r="H2264" s="45" t="s">
        <v>3073</v>
      </c>
      <c r="I2264" s="47" t="e">
        <f>VLOOKUP(H2264,'合同综合查询数据（3月返）'!$A:$A,1,FALSE)</f>
        <v>#N/A</v>
      </c>
      <c r="J2264" s="48" t="s">
        <v>3074</v>
      </c>
      <c r="K2264" s="60" t="s">
        <v>3075</v>
      </c>
      <c r="L2264" s="113"/>
      <c r="M2264" s="50" t="s">
        <v>3068</v>
      </c>
      <c r="N2264" s="267">
        <v>43445</v>
      </c>
      <c r="O2264" s="48" t="s">
        <v>457</v>
      </c>
      <c r="P2264" s="266">
        <v>4800</v>
      </c>
      <c r="Q2264" s="270">
        <v>11</v>
      </c>
      <c r="R2264" s="266">
        <f t="shared" si="60"/>
        <v>52800</v>
      </c>
      <c r="S2264" s="48">
        <v>202303</v>
      </c>
      <c r="T2264" s="125" t="s">
        <v>3078</v>
      </c>
      <c r="U2264" s="58"/>
      <c r="V2264" s="58"/>
      <c r="W2264" s="58"/>
      <c r="X2264" s="178"/>
      <c r="Y2264" s="178"/>
    </row>
    <row r="2265" s="10" customFormat="1" customHeight="1" spans="1:25">
      <c r="A2265" s="60" t="s">
        <v>403</v>
      </c>
      <c r="B2265" s="60" t="s">
        <v>2950</v>
      </c>
      <c r="C2265" s="60" t="s">
        <v>2998</v>
      </c>
      <c r="D2265" s="263" t="s">
        <v>2951</v>
      </c>
      <c r="E2265" s="63" t="s">
        <v>2999</v>
      </c>
      <c r="F2265" s="60" t="s">
        <v>3000</v>
      </c>
      <c r="G2265" s="60" t="s">
        <v>88</v>
      </c>
      <c r="H2265" s="45" t="s">
        <v>3073</v>
      </c>
      <c r="I2265" s="47" t="e">
        <f>VLOOKUP(H2265,'合同综合查询数据（3月返）'!$A:$A,1,FALSE)</f>
        <v>#N/A</v>
      </c>
      <c r="J2265" s="48" t="s">
        <v>3074</v>
      </c>
      <c r="K2265" s="60" t="s">
        <v>3075</v>
      </c>
      <c r="L2265" s="113"/>
      <c r="M2265" s="50" t="s">
        <v>3068</v>
      </c>
      <c r="N2265" s="267">
        <v>43447</v>
      </c>
      <c r="O2265" s="48" t="s">
        <v>457</v>
      </c>
      <c r="P2265" s="266">
        <v>4800</v>
      </c>
      <c r="Q2265" s="270">
        <v>7</v>
      </c>
      <c r="R2265" s="266">
        <f t="shared" si="60"/>
        <v>33600</v>
      </c>
      <c r="S2265" s="48">
        <v>202303</v>
      </c>
      <c r="T2265" s="125"/>
      <c r="U2265" s="58"/>
      <c r="V2265" s="58"/>
      <c r="W2265" s="58"/>
      <c r="X2265" s="178"/>
      <c r="Y2265" s="178"/>
    </row>
    <row r="2266" s="10" customFormat="1" customHeight="1" spans="1:25">
      <c r="A2266" s="60" t="s">
        <v>403</v>
      </c>
      <c r="B2266" s="60" t="s">
        <v>2950</v>
      </c>
      <c r="C2266" s="60" t="s">
        <v>2998</v>
      </c>
      <c r="D2266" s="263" t="s">
        <v>2951</v>
      </c>
      <c r="E2266" s="63" t="s">
        <v>2999</v>
      </c>
      <c r="F2266" s="60" t="s">
        <v>3000</v>
      </c>
      <c r="G2266" s="60" t="s">
        <v>88</v>
      </c>
      <c r="H2266" s="45" t="s">
        <v>3073</v>
      </c>
      <c r="I2266" s="47" t="e">
        <f>VLOOKUP(H2266,'合同综合查询数据（3月返）'!$A:$A,1,FALSE)</f>
        <v>#N/A</v>
      </c>
      <c r="J2266" s="48" t="s">
        <v>3074</v>
      </c>
      <c r="K2266" s="60" t="s">
        <v>3075</v>
      </c>
      <c r="L2266" s="113"/>
      <c r="M2266" s="50" t="s">
        <v>3068</v>
      </c>
      <c r="N2266" s="267">
        <v>43453</v>
      </c>
      <c r="O2266" s="48" t="s">
        <v>457</v>
      </c>
      <c r="P2266" s="266">
        <v>4800</v>
      </c>
      <c r="Q2266" s="270">
        <v>2</v>
      </c>
      <c r="R2266" s="266">
        <f t="shared" si="60"/>
        <v>9600</v>
      </c>
      <c r="S2266" s="48">
        <v>202303</v>
      </c>
      <c r="T2266" s="125"/>
      <c r="U2266" s="58"/>
      <c r="V2266" s="58"/>
      <c r="W2266" s="58"/>
      <c r="X2266" s="178"/>
      <c r="Y2266" s="178"/>
    </row>
    <row r="2267" s="10" customFormat="1" customHeight="1" spans="1:25">
      <c r="A2267" s="60" t="s">
        <v>403</v>
      </c>
      <c r="B2267" s="60" t="s">
        <v>2950</v>
      </c>
      <c r="C2267" s="60" t="s">
        <v>2998</v>
      </c>
      <c r="D2267" s="263" t="s">
        <v>2951</v>
      </c>
      <c r="E2267" s="63" t="s">
        <v>2999</v>
      </c>
      <c r="F2267" s="60" t="s">
        <v>3000</v>
      </c>
      <c r="G2267" s="60" t="s">
        <v>88</v>
      </c>
      <c r="H2267" s="45" t="s">
        <v>3073</v>
      </c>
      <c r="I2267" s="47" t="e">
        <f>VLOOKUP(H2267,'合同综合查询数据（3月返）'!$A:$A,1,FALSE)</f>
        <v>#N/A</v>
      </c>
      <c r="J2267" s="48" t="s">
        <v>3074</v>
      </c>
      <c r="K2267" s="60" t="s">
        <v>3075</v>
      </c>
      <c r="L2267" s="113"/>
      <c r="M2267" s="50" t="s">
        <v>3068</v>
      </c>
      <c r="N2267" s="267">
        <v>43460</v>
      </c>
      <c r="O2267" s="48" t="s">
        <v>457</v>
      </c>
      <c r="P2267" s="266">
        <v>4800</v>
      </c>
      <c r="Q2267" s="270">
        <v>2</v>
      </c>
      <c r="R2267" s="266">
        <f t="shared" si="60"/>
        <v>9600</v>
      </c>
      <c r="S2267" s="48">
        <v>202303</v>
      </c>
      <c r="T2267" s="125" t="s">
        <v>3079</v>
      </c>
      <c r="U2267" s="58"/>
      <c r="V2267" s="58"/>
      <c r="W2267" s="58"/>
      <c r="X2267" s="178"/>
      <c r="Y2267" s="178"/>
    </row>
    <row r="2268" s="10" customFormat="1" customHeight="1" spans="1:25">
      <c r="A2268" s="60" t="s">
        <v>403</v>
      </c>
      <c r="B2268" s="60" t="s">
        <v>2950</v>
      </c>
      <c r="C2268" s="60" t="s">
        <v>2998</v>
      </c>
      <c r="D2268" s="263" t="s">
        <v>2951</v>
      </c>
      <c r="E2268" s="63" t="s">
        <v>2999</v>
      </c>
      <c r="F2268" s="60" t="s">
        <v>3000</v>
      </c>
      <c r="G2268" s="60" t="s">
        <v>88</v>
      </c>
      <c r="H2268" s="45" t="s">
        <v>3073</v>
      </c>
      <c r="I2268" s="47" t="e">
        <f>VLOOKUP(H2268,'合同综合查询数据（3月返）'!$A:$A,1,FALSE)</f>
        <v>#N/A</v>
      </c>
      <c r="J2268" s="48" t="s">
        <v>3074</v>
      </c>
      <c r="K2268" s="60" t="s">
        <v>3075</v>
      </c>
      <c r="L2268" s="113"/>
      <c r="M2268" s="50" t="s">
        <v>3068</v>
      </c>
      <c r="N2268" s="267">
        <v>43480</v>
      </c>
      <c r="O2268" s="48" t="s">
        <v>457</v>
      </c>
      <c r="P2268" s="266">
        <v>4800</v>
      </c>
      <c r="Q2268" s="270">
        <v>4</v>
      </c>
      <c r="R2268" s="266">
        <f t="shared" si="60"/>
        <v>19200</v>
      </c>
      <c r="S2268" s="48">
        <v>202303</v>
      </c>
      <c r="T2268" s="125"/>
      <c r="U2268" s="58"/>
      <c r="V2268" s="58"/>
      <c r="W2268" s="58"/>
      <c r="X2268" s="178"/>
      <c r="Y2268" s="178"/>
    </row>
    <row r="2269" s="10" customFormat="1" customHeight="1" spans="1:25">
      <c r="A2269" s="60" t="s">
        <v>403</v>
      </c>
      <c r="B2269" s="60" t="s">
        <v>2950</v>
      </c>
      <c r="C2269" s="60" t="s">
        <v>2998</v>
      </c>
      <c r="D2269" s="263" t="s">
        <v>2951</v>
      </c>
      <c r="E2269" s="63" t="s">
        <v>2999</v>
      </c>
      <c r="F2269" s="60" t="s">
        <v>3000</v>
      </c>
      <c r="G2269" s="60" t="s">
        <v>88</v>
      </c>
      <c r="H2269" s="45" t="s">
        <v>3073</v>
      </c>
      <c r="I2269" s="47" t="e">
        <f>VLOOKUP(H2269,'合同综合查询数据（3月返）'!$A:$A,1,FALSE)</f>
        <v>#N/A</v>
      </c>
      <c r="J2269" s="48" t="s">
        <v>3074</v>
      </c>
      <c r="K2269" s="60" t="s">
        <v>3075</v>
      </c>
      <c r="L2269" s="113"/>
      <c r="M2269" s="50" t="s">
        <v>3068</v>
      </c>
      <c r="N2269" s="267">
        <v>43482</v>
      </c>
      <c r="O2269" s="48" t="s">
        <v>457</v>
      </c>
      <c r="P2269" s="266">
        <v>4800</v>
      </c>
      <c r="Q2269" s="270">
        <v>2</v>
      </c>
      <c r="R2269" s="266">
        <f t="shared" si="60"/>
        <v>9600</v>
      </c>
      <c r="S2269" s="48">
        <v>202303</v>
      </c>
      <c r="T2269" s="125"/>
      <c r="U2269" s="58"/>
      <c r="V2269" s="58"/>
      <c r="W2269" s="58"/>
      <c r="X2269" s="178"/>
      <c r="Y2269" s="178"/>
    </row>
    <row r="2270" s="10" customFormat="1" customHeight="1" spans="1:25">
      <c r="A2270" s="60" t="s">
        <v>403</v>
      </c>
      <c r="B2270" s="60" t="s">
        <v>2950</v>
      </c>
      <c r="C2270" s="60" t="s">
        <v>2998</v>
      </c>
      <c r="D2270" s="263" t="s">
        <v>2951</v>
      </c>
      <c r="E2270" s="63" t="s">
        <v>2999</v>
      </c>
      <c r="F2270" s="60" t="s">
        <v>3000</v>
      </c>
      <c r="G2270" s="60" t="s">
        <v>88</v>
      </c>
      <c r="H2270" s="45" t="s">
        <v>3073</v>
      </c>
      <c r="I2270" s="47" t="e">
        <f>VLOOKUP(H2270,'合同综合查询数据（3月返）'!$A:$A,1,FALSE)</f>
        <v>#N/A</v>
      </c>
      <c r="J2270" s="48" t="s">
        <v>3074</v>
      </c>
      <c r="K2270" s="60" t="s">
        <v>3075</v>
      </c>
      <c r="L2270" s="113"/>
      <c r="M2270" s="50" t="s">
        <v>3068</v>
      </c>
      <c r="N2270" s="267">
        <v>43486</v>
      </c>
      <c r="O2270" s="48" t="s">
        <v>457</v>
      </c>
      <c r="P2270" s="266">
        <v>4800</v>
      </c>
      <c r="Q2270" s="270">
        <v>8</v>
      </c>
      <c r="R2270" s="266">
        <f t="shared" si="60"/>
        <v>38400</v>
      </c>
      <c r="S2270" s="48">
        <v>202303</v>
      </c>
      <c r="T2270" s="125"/>
      <c r="U2270" s="58"/>
      <c r="V2270" s="58"/>
      <c r="W2270" s="58"/>
      <c r="X2270" s="178"/>
      <c r="Y2270" s="178"/>
    </row>
    <row r="2271" s="10" customFormat="1" customHeight="1" spans="1:25">
      <c r="A2271" s="60" t="s">
        <v>403</v>
      </c>
      <c r="B2271" s="60" t="s">
        <v>2950</v>
      </c>
      <c r="C2271" s="60" t="s">
        <v>2998</v>
      </c>
      <c r="D2271" s="263" t="s">
        <v>2951</v>
      </c>
      <c r="E2271" s="63" t="s">
        <v>2999</v>
      </c>
      <c r="F2271" s="60" t="s">
        <v>3000</v>
      </c>
      <c r="G2271" s="60" t="s">
        <v>88</v>
      </c>
      <c r="H2271" s="45" t="s">
        <v>3073</v>
      </c>
      <c r="I2271" s="47" t="e">
        <f>VLOOKUP(H2271,'合同综合查询数据（3月返）'!$A:$A,1,FALSE)</f>
        <v>#N/A</v>
      </c>
      <c r="J2271" s="48" t="s">
        <v>3074</v>
      </c>
      <c r="K2271" s="60" t="s">
        <v>3075</v>
      </c>
      <c r="L2271" s="113"/>
      <c r="M2271" s="50" t="s">
        <v>3068</v>
      </c>
      <c r="N2271" s="267">
        <v>43486</v>
      </c>
      <c r="O2271" s="48" t="s">
        <v>519</v>
      </c>
      <c r="P2271" s="266">
        <v>4800</v>
      </c>
      <c r="Q2271" s="270">
        <v>2</v>
      </c>
      <c r="R2271" s="266">
        <f t="shared" si="60"/>
        <v>9600</v>
      </c>
      <c r="S2271" s="48">
        <v>202303</v>
      </c>
      <c r="T2271" s="125" t="s">
        <v>3080</v>
      </c>
      <c r="U2271" s="58"/>
      <c r="V2271" s="58"/>
      <c r="W2271" s="58"/>
      <c r="X2271" s="178"/>
      <c r="Y2271" s="178"/>
    </row>
    <row r="2272" s="10" customFormat="1" customHeight="1" spans="1:25">
      <c r="A2272" s="60" t="s">
        <v>403</v>
      </c>
      <c r="B2272" s="60" t="s">
        <v>2950</v>
      </c>
      <c r="C2272" s="60" t="s">
        <v>2998</v>
      </c>
      <c r="D2272" s="263" t="s">
        <v>2951</v>
      </c>
      <c r="E2272" s="63" t="s">
        <v>2999</v>
      </c>
      <c r="F2272" s="60" t="s">
        <v>3000</v>
      </c>
      <c r="G2272" s="60" t="s">
        <v>88</v>
      </c>
      <c r="H2272" s="45" t="s">
        <v>3073</v>
      </c>
      <c r="I2272" s="47" t="e">
        <f>VLOOKUP(H2272,'合同综合查询数据（3月返）'!$A:$A,1,FALSE)</f>
        <v>#N/A</v>
      </c>
      <c r="J2272" s="48" t="s">
        <v>3074</v>
      </c>
      <c r="K2272" s="60" t="s">
        <v>3075</v>
      </c>
      <c r="L2272" s="113"/>
      <c r="M2272" s="50" t="s">
        <v>3068</v>
      </c>
      <c r="N2272" s="267">
        <v>43580</v>
      </c>
      <c r="O2272" s="48" t="s">
        <v>457</v>
      </c>
      <c r="P2272" s="266">
        <v>4800</v>
      </c>
      <c r="Q2272" s="270">
        <v>2</v>
      </c>
      <c r="R2272" s="266">
        <f t="shared" si="60"/>
        <v>9600</v>
      </c>
      <c r="S2272" s="48">
        <v>202303</v>
      </c>
      <c r="T2272" s="125" t="s">
        <v>3081</v>
      </c>
      <c r="U2272" s="58"/>
      <c r="V2272" s="58"/>
      <c r="W2272" s="58"/>
      <c r="X2272" s="178"/>
      <c r="Y2272" s="178"/>
    </row>
    <row r="2273" s="10" customFormat="1" customHeight="1" spans="1:25">
      <c r="A2273" s="60" t="s">
        <v>403</v>
      </c>
      <c r="B2273" s="60" t="s">
        <v>2950</v>
      </c>
      <c r="C2273" s="60" t="s">
        <v>2998</v>
      </c>
      <c r="D2273" s="263" t="s">
        <v>2951</v>
      </c>
      <c r="E2273" s="63" t="s">
        <v>2999</v>
      </c>
      <c r="F2273" s="60" t="s">
        <v>3000</v>
      </c>
      <c r="G2273" s="60" t="s">
        <v>88</v>
      </c>
      <c r="H2273" s="45" t="s">
        <v>3073</v>
      </c>
      <c r="I2273" s="47" t="e">
        <f>VLOOKUP(H2273,'合同综合查询数据（3月返）'!$A:$A,1,FALSE)</f>
        <v>#N/A</v>
      </c>
      <c r="J2273" s="48" t="s">
        <v>3074</v>
      </c>
      <c r="K2273" s="60" t="s">
        <v>3075</v>
      </c>
      <c r="L2273" s="113"/>
      <c r="M2273" s="50" t="s">
        <v>3068</v>
      </c>
      <c r="N2273" s="267">
        <v>43591</v>
      </c>
      <c r="O2273" s="48" t="s">
        <v>457</v>
      </c>
      <c r="P2273" s="266">
        <v>4800</v>
      </c>
      <c r="Q2273" s="270">
        <v>1</v>
      </c>
      <c r="R2273" s="266">
        <f t="shared" si="60"/>
        <v>4800</v>
      </c>
      <c r="S2273" s="48">
        <v>202303</v>
      </c>
      <c r="T2273" s="125" t="s">
        <v>3082</v>
      </c>
      <c r="U2273" s="58"/>
      <c r="V2273" s="58"/>
      <c r="W2273" s="58"/>
      <c r="X2273" s="178"/>
      <c r="Y2273" s="178"/>
    </row>
    <row r="2274" s="10" customFormat="1" customHeight="1" spans="1:25">
      <c r="A2274" s="60" t="s">
        <v>403</v>
      </c>
      <c r="B2274" s="60" t="s">
        <v>2950</v>
      </c>
      <c r="C2274" s="60" t="s">
        <v>2998</v>
      </c>
      <c r="D2274" s="263" t="s">
        <v>2951</v>
      </c>
      <c r="E2274" s="63" t="s">
        <v>2999</v>
      </c>
      <c r="F2274" s="60" t="s">
        <v>3000</v>
      </c>
      <c r="G2274" s="60" t="s">
        <v>88</v>
      </c>
      <c r="H2274" s="45" t="s">
        <v>3073</v>
      </c>
      <c r="I2274" s="47" t="e">
        <f>VLOOKUP(H2274,'合同综合查询数据（3月返）'!$A:$A,1,FALSE)</f>
        <v>#N/A</v>
      </c>
      <c r="J2274" s="48" t="s">
        <v>3074</v>
      </c>
      <c r="K2274" s="60" t="s">
        <v>3075</v>
      </c>
      <c r="L2274" s="113"/>
      <c r="M2274" s="50" t="s">
        <v>3068</v>
      </c>
      <c r="N2274" s="267">
        <v>43637</v>
      </c>
      <c r="O2274" s="267" t="s">
        <v>457</v>
      </c>
      <c r="P2274" s="266">
        <v>4800</v>
      </c>
      <c r="Q2274" s="270">
        <v>8</v>
      </c>
      <c r="R2274" s="266">
        <f t="shared" si="60"/>
        <v>38400</v>
      </c>
      <c r="S2274" s="48">
        <v>202303</v>
      </c>
      <c r="T2274" s="125" t="s">
        <v>3083</v>
      </c>
      <c r="U2274" s="58"/>
      <c r="V2274" s="58"/>
      <c r="W2274" s="58"/>
      <c r="X2274" s="178"/>
      <c r="Y2274" s="178"/>
    </row>
    <row r="2275" s="10" customFormat="1" customHeight="1" spans="1:25">
      <c r="A2275" s="60" t="s">
        <v>403</v>
      </c>
      <c r="B2275" s="60" t="s">
        <v>2950</v>
      </c>
      <c r="C2275" s="60" t="s">
        <v>2998</v>
      </c>
      <c r="D2275" s="263" t="s">
        <v>2951</v>
      </c>
      <c r="E2275" s="63" t="s">
        <v>2999</v>
      </c>
      <c r="F2275" s="60" t="s">
        <v>3000</v>
      </c>
      <c r="G2275" s="60" t="s">
        <v>88</v>
      </c>
      <c r="H2275" s="45" t="s">
        <v>3073</v>
      </c>
      <c r="I2275" s="47" t="e">
        <f>VLOOKUP(H2275,'合同综合查询数据（3月返）'!$A:$A,1,FALSE)</f>
        <v>#N/A</v>
      </c>
      <c r="J2275" s="48" t="s">
        <v>3074</v>
      </c>
      <c r="K2275" s="60" t="s">
        <v>3075</v>
      </c>
      <c r="L2275" s="113"/>
      <c r="M2275" s="50" t="s">
        <v>3068</v>
      </c>
      <c r="N2275" s="163">
        <v>43650</v>
      </c>
      <c r="O2275" s="267" t="s">
        <v>457</v>
      </c>
      <c r="P2275" s="266">
        <v>4800</v>
      </c>
      <c r="Q2275" s="270">
        <v>10</v>
      </c>
      <c r="R2275" s="266">
        <f t="shared" si="60"/>
        <v>48000</v>
      </c>
      <c r="S2275" s="48">
        <v>202303</v>
      </c>
      <c r="T2275" s="125" t="s">
        <v>3084</v>
      </c>
      <c r="U2275" s="58"/>
      <c r="V2275" s="58"/>
      <c r="W2275" s="58"/>
      <c r="X2275" s="178"/>
      <c r="Y2275" s="178"/>
    </row>
    <row r="2276" s="10" customFormat="1" customHeight="1" spans="1:25">
      <c r="A2276" s="60" t="s">
        <v>403</v>
      </c>
      <c r="B2276" s="60" t="s">
        <v>2950</v>
      </c>
      <c r="C2276" s="60" t="s">
        <v>2998</v>
      </c>
      <c r="D2276" s="263" t="s">
        <v>2951</v>
      </c>
      <c r="E2276" s="63" t="s">
        <v>2999</v>
      </c>
      <c r="F2276" s="60" t="s">
        <v>3000</v>
      </c>
      <c r="G2276" s="60" t="s">
        <v>88</v>
      </c>
      <c r="H2276" s="45" t="s">
        <v>3073</v>
      </c>
      <c r="I2276" s="47" t="e">
        <f>VLOOKUP(H2276,'合同综合查询数据（3月返）'!$A:$A,1,FALSE)</f>
        <v>#N/A</v>
      </c>
      <c r="J2276" s="48" t="s">
        <v>3074</v>
      </c>
      <c r="K2276" s="60" t="s">
        <v>3075</v>
      </c>
      <c r="L2276" s="113"/>
      <c r="M2276" s="50" t="s">
        <v>3068</v>
      </c>
      <c r="N2276" s="163">
        <v>43671</v>
      </c>
      <c r="O2276" s="267" t="s">
        <v>457</v>
      </c>
      <c r="P2276" s="266">
        <v>4800</v>
      </c>
      <c r="Q2276" s="270">
        <v>8</v>
      </c>
      <c r="R2276" s="266">
        <f t="shared" si="60"/>
        <v>38400</v>
      </c>
      <c r="S2276" s="48">
        <v>202303</v>
      </c>
      <c r="T2276" s="125" t="s">
        <v>3085</v>
      </c>
      <c r="U2276" s="58"/>
      <c r="V2276" s="58"/>
      <c r="W2276" s="58"/>
      <c r="X2276" s="178"/>
      <c r="Y2276" s="178"/>
    </row>
    <row r="2277" s="10" customFormat="1" customHeight="1" spans="1:25">
      <c r="A2277" s="60" t="s">
        <v>403</v>
      </c>
      <c r="B2277" s="60" t="s">
        <v>2950</v>
      </c>
      <c r="C2277" s="60" t="s">
        <v>2998</v>
      </c>
      <c r="D2277" s="263" t="s">
        <v>2951</v>
      </c>
      <c r="E2277" s="63" t="s">
        <v>2999</v>
      </c>
      <c r="F2277" s="60" t="s">
        <v>3000</v>
      </c>
      <c r="G2277" s="60" t="s">
        <v>88</v>
      </c>
      <c r="H2277" s="45" t="s">
        <v>3073</v>
      </c>
      <c r="I2277" s="47" t="e">
        <f>VLOOKUP(H2277,'合同综合查询数据（3月返）'!$A:$A,1,FALSE)</f>
        <v>#N/A</v>
      </c>
      <c r="J2277" s="48" t="s">
        <v>3074</v>
      </c>
      <c r="K2277" s="60" t="s">
        <v>3075</v>
      </c>
      <c r="L2277" s="113"/>
      <c r="M2277" s="50" t="s">
        <v>3068</v>
      </c>
      <c r="N2277" s="267">
        <v>43717</v>
      </c>
      <c r="O2277" s="48" t="s">
        <v>457</v>
      </c>
      <c r="P2277" s="266">
        <v>4800</v>
      </c>
      <c r="Q2277" s="270">
        <v>-20</v>
      </c>
      <c r="R2277" s="266">
        <f t="shared" si="60"/>
        <v>-96000</v>
      </c>
      <c r="S2277" s="48">
        <v>202303</v>
      </c>
      <c r="T2277" s="125" t="s">
        <v>3086</v>
      </c>
      <c r="U2277" s="58"/>
      <c r="V2277" s="58"/>
      <c r="W2277" s="58"/>
      <c r="X2277" s="178"/>
      <c r="Y2277" s="178"/>
    </row>
    <row r="2278" s="10" customFormat="1" customHeight="1" spans="1:25">
      <c r="A2278" s="60" t="s">
        <v>403</v>
      </c>
      <c r="B2278" s="60" t="s">
        <v>2950</v>
      </c>
      <c r="C2278" s="60" t="s">
        <v>2998</v>
      </c>
      <c r="D2278" s="263" t="s">
        <v>2951</v>
      </c>
      <c r="E2278" s="63" t="s">
        <v>2999</v>
      </c>
      <c r="F2278" s="60" t="s">
        <v>3000</v>
      </c>
      <c r="G2278" s="60" t="s">
        <v>88</v>
      </c>
      <c r="H2278" s="45" t="s">
        <v>3073</v>
      </c>
      <c r="I2278" s="47" t="e">
        <f>VLOOKUP(H2278,'合同综合查询数据（3月返）'!$A:$A,1,FALSE)</f>
        <v>#N/A</v>
      </c>
      <c r="J2278" s="48" t="s">
        <v>3074</v>
      </c>
      <c r="K2278" s="60" t="s">
        <v>3075</v>
      </c>
      <c r="L2278" s="113"/>
      <c r="M2278" s="50" t="s">
        <v>3068</v>
      </c>
      <c r="N2278" s="267">
        <v>43647</v>
      </c>
      <c r="O2278" s="48" t="s">
        <v>457</v>
      </c>
      <c r="P2278" s="266">
        <v>4800</v>
      </c>
      <c r="Q2278" s="270">
        <v>-1</v>
      </c>
      <c r="R2278" s="266">
        <f t="shared" si="60"/>
        <v>-4800</v>
      </c>
      <c r="S2278" s="48">
        <v>202303</v>
      </c>
      <c r="T2278" s="125" t="s">
        <v>3087</v>
      </c>
      <c r="U2278" s="58"/>
      <c r="V2278" s="58"/>
      <c r="W2278" s="58"/>
      <c r="X2278" s="178"/>
      <c r="Y2278" s="178"/>
    </row>
    <row r="2279" s="10" customFormat="1" customHeight="1" spans="1:25">
      <c r="A2279" s="60" t="s">
        <v>403</v>
      </c>
      <c r="B2279" s="60" t="s">
        <v>2950</v>
      </c>
      <c r="C2279" s="60" t="s">
        <v>2998</v>
      </c>
      <c r="D2279" s="263" t="s">
        <v>2951</v>
      </c>
      <c r="E2279" s="63" t="s">
        <v>2999</v>
      </c>
      <c r="F2279" s="60" t="s">
        <v>3000</v>
      </c>
      <c r="G2279" s="60" t="s">
        <v>88</v>
      </c>
      <c r="H2279" s="45" t="s">
        <v>3073</v>
      </c>
      <c r="I2279" s="47" t="e">
        <f>VLOOKUP(H2279,'合同综合查询数据（3月返）'!$A:$A,1,FALSE)</f>
        <v>#N/A</v>
      </c>
      <c r="J2279" s="48" t="s">
        <v>3074</v>
      </c>
      <c r="K2279" s="60" t="s">
        <v>3075</v>
      </c>
      <c r="L2279" s="113"/>
      <c r="M2279" s="50" t="s">
        <v>3068</v>
      </c>
      <c r="N2279" s="267">
        <v>43995</v>
      </c>
      <c r="O2279" s="48" t="s">
        <v>457</v>
      </c>
      <c r="P2279" s="266">
        <v>4800</v>
      </c>
      <c r="Q2279" s="270">
        <v>2</v>
      </c>
      <c r="R2279" s="266">
        <f t="shared" si="60"/>
        <v>9600</v>
      </c>
      <c r="S2279" s="48">
        <v>202303</v>
      </c>
      <c r="T2279" s="125" t="s">
        <v>3088</v>
      </c>
      <c r="U2279" s="58"/>
      <c r="V2279" s="58"/>
      <c r="W2279" s="58"/>
      <c r="X2279" s="178"/>
      <c r="Y2279" s="178"/>
    </row>
    <row r="2280" s="10" customFormat="1" customHeight="1" spans="1:25">
      <c r="A2280" s="60" t="s">
        <v>403</v>
      </c>
      <c r="B2280" s="60" t="s">
        <v>2950</v>
      </c>
      <c r="C2280" s="60" t="s">
        <v>2998</v>
      </c>
      <c r="D2280" s="263" t="s">
        <v>2951</v>
      </c>
      <c r="E2280" s="63" t="s">
        <v>2999</v>
      </c>
      <c r="F2280" s="60" t="s">
        <v>3000</v>
      </c>
      <c r="G2280" s="60" t="s">
        <v>88</v>
      </c>
      <c r="H2280" s="45" t="s">
        <v>3073</v>
      </c>
      <c r="I2280" s="47" t="e">
        <f>VLOOKUP(H2280,'合同综合查询数据（3月返）'!$A:$A,1,FALSE)</f>
        <v>#N/A</v>
      </c>
      <c r="J2280" s="48" t="s">
        <v>3074</v>
      </c>
      <c r="K2280" s="60" t="s">
        <v>3075</v>
      </c>
      <c r="L2280" s="113"/>
      <c r="M2280" s="50" t="s">
        <v>3068</v>
      </c>
      <c r="N2280" s="267">
        <v>44035</v>
      </c>
      <c r="O2280" s="48" t="s">
        <v>457</v>
      </c>
      <c r="P2280" s="266">
        <v>4800</v>
      </c>
      <c r="Q2280" s="270">
        <v>-3</v>
      </c>
      <c r="R2280" s="266">
        <f t="shared" si="60"/>
        <v>-14400</v>
      </c>
      <c r="S2280" s="48">
        <v>202303</v>
      </c>
      <c r="T2280" s="125" t="s">
        <v>3089</v>
      </c>
      <c r="U2280" s="58"/>
      <c r="V2280" s="58"/>
      <c r="W2280" s="58"/>
      <c r="X2280" s="178"/>
      <c r="Y2280" s="178"/>
    </row>
    <row r="2281" s="10" customFormat="1" customHeight="1" spans="1:25">
      <c r="A2281" s="60" t="s">
        <v>403</v>
      </c>
      <c r="B2281" s="60" t="s">
        <v>2950</v>
      </c>
      <c r="C2281" s="60" t="s">
        <v>2998</v>
      </c>
      <c r="D2281" s="263" t="s">
        <v>2951</v>
      </c>
      <c r="E2281" s="63" t="s">
        <v>2999</v>
      </c>
      <c r="F2281" s="60" t="s">
        <v>3000</v>
      </c>
      <c r="G2281" s="60" t="s">
        <v>88</v>
      </c>
      <c r="H2281" s="45" t="s">
        <v>3073</v>
      </c>
      <c r="I2281" s="47" t="e">
        <f>VLOOKUP(H2281,'合同综合查询数据（3月返）'!$A:$A,1,FALSE)</f>
        <v>#N/A</v>
      </c>
      <c r="J2281" s="48" t="s">
        <v>3074</v>
      </c>
      <c r="K2281" s="60" t="s">
        <v>3075</v>
      </c>
      <c r="L2281" s="113"/>
      <c r="M2281" s="50" t="s">
        <v>3068</v>
      </c>
      <c r="N2281" s="267">
        <v>44131</v>
      </c>
      <c r="O2281" s="48" t="s">
        <v>457</v>
      </c>
      <c r="P2281" s="266">
        <v>4800</v>
      </c>
      <c r="Q2281" s="270">
        <v>1</v>
      </c>
      <c r="R2281" s="266">
        <f t="shared" si="60"/>
        <v>4800</v>
      </c>
      <c r="S2281" s="48">
        <v>202303</v>
      </c>
      <c r="T2281" s="125" t="s">
        <v>3090</v>
      </c>
      <c r="U2281" s="58"/>
      <c r="V2281" s="58"/>
      <c r="W2281" s="58"/>
      <c r="X2281" s="178"/>
      <c r="Y2281" s="178"/>
    </row>
    <row r="2282" s="10" customFormat="1" customHeight="1" spans="1:25">
      <c r="A2282" s="60" t="s">
        <v>403</v>
      </c>
      <c r="B2282" s="60" t="s">
        <v>2950</v>
      </c>
      <c r="C2282" s="60" t="s">
        <v>2998</v>
      </c>
      <c r="D2282" s="263" t="s">
        <v>2951</v>
      </c>
      <c r="E2282" s="63" t="s">
        <v>2999</v>
      </c>
      <c r="F2282" s="60" t="s">
        <v>3000</v>
      </c>
      <c r="G2282" s="60" t="s">
        <v>88</v>
      </c>
      <c r="H2282" s="45" t="s">
        <v>3073</v>
      </c>
      <c r="I2282" s="47" t="e">
        <f>VLOOKUP(H2282,'合同综合查询数据（3月返）'!$A:$A,1,FALSE)</f>
        <v>#N/A</v>
      </c>
      <c r="J2282" s="48" t="s">
        <v>3074</v>
      </c>
      <c r="K2282" s="60" t="s">
        <v>3075</v>
      </c>
      <c r="L2282" s="113"/>
      <c r="M2282" s="50" t="s">
        <v>3068</v>
      </c>
      <c r="N2282" s="267">
        <v>44155</v>
      </c>
      <c r="O2282" s="48" t="s">
        <v>457</v>
      </c>
      <c r="P2282" s="266">
        <v>4800</v>
      </c>
      <c r="Q2282" s="270">
        <v>2</v>
      </c>
      <c r="R2282" s="266">
        <f t="shared" si="60"/>
        <v>9600</v>
      </c>
      <c r="S2282" s="48">
        <v>202303</v>
      </c>
      <c r="T2282" s="125" t="s">
        <v>3091</v>
      </c>
      <c r="U2282" s="58"/>
      <c r="V2282" s="58"/>
      <c r="W2282" s="58"/>
      <c r="X2282" s="178"/>
      <c r="Y2282" s="178"/>
    </row>
    <row r="2283" s="10" customFormat="1" customHeight="1" spans="1:25">
      <c r="A2283" s="60" t="s">
        <v>403</v>
      </c>
      <c r="B2283" s="60" t="s">
        <v>2950</v>
      </c>
      <c r="C2283" s="60" t="s">
        <v>2998</v>
      </c>
      <c r="D2283" s="263" t="s">
        <v>2951</v>
      </c>
      <c r="E2283" s="63" t="s">
        <v>2999</v>
      </c>
      <c r="F2283" s="60" t="s">
        <v>3000</v>
      </c>
      <c r="G2283" s="60" t="s">
        <v>88</v>
      </c>
      <c r="H2283" s="45" t="s">
        <v>3073</v>
      </c>
      <c r="I2283" s="47" t="e">
        <f>VLOOKUP(H2283,'合同综合查询数据（3月返）'!$A:$A,1,FALSE)</f>
        <v>#N/A</v>
      </c>
      <c r="J2283" s="48" t="s">
        <v>3074</v>
      </c>
      <c r="K2283" s="60" t="s">
        <v>3075</v>
      </c>
      <c r="L2283" s="113"/>
      <c r="M2283" s="50" t="s">
        <v>3068</v>
      </c>
      <c r="N2283" s="267">
        <v>44281</v>
      </c>
      <c r="O2283" s="48" t="s">
        <v>457</v>
      </c>
      <c r="P2283" s="266">
        <v>4800</v>
      </c>
      <c r="Q2283" s="270">
        <v>8</v>
      </c>
      <c r="R2283" s="266">
        <f t="shared" si="60"/>
        <v>38400</v>
      </c>
      <c r="S2283" s="48">
        <v>202303</v>
      </c>
      <c r="T2283" s="125" t="s">
        <v>3092</v>
      </c>
      <c r="U2283" s="58"/>
      <c r="V2283" s="58"/>
      <c r="W2283" s="58"/>
      <c r="X2283" s="178"/>
      <c r="Y2283" s="178"/>
    </row>
    <row r="2284" s="10" customFormat="1" customHeight="1" spans="1:25">
      <c r="A2284" s="60" t="s">
        <v>403</v>
      </c>
      <c r="B2284" s="60" t="s">
        <v>2950</v>
      </c>
      <c r="C2284" s="60" t="s">
        <v>2998</v>
      </c>
      <c r="D2284" s="263" t="s">
        <v>2951</v>
      </c>
      <c r="E2284" s="63" t="s">
        <v>2999</v>
      </c>
      <c r="F2284" s="60" t="s">
        <v>3000</v>
      </c>
      <c r="G2284" s="60" t="s">
        <v>88</v>
      </c>
      <c r="H2284" s="45" t="s">
        <v>3073</v>
      </c>
      <c r="I2284" s="47" t="e">
        <f>VLOOKUP(H2284,'合同综合查询数据（3月返）'!$A:$A,1,FALSE)</f>
        <v>#N/A</v>
      </c>
      <c r="J2284" s="48" t="s">
        <v>3074</v>
      </c>
      <c r="K2284" s="60" t="s">
        <v>3075</v>
      </c>
      <c r="L2284" s="113"/>
      <c r="M2284" s="50" t="s">
        <v>3093</v>
      </c>
      <c r="N2284" s="267">
        <v>44330</v>
      </c>
      <c r="O2284" s="48" t="s">
        <v>457</v>
      </c>
      <c r="P2284" s="266">
        <v>4800</v>
      </c>
      <c r="Q2284" s="270">
        <v>1</v>
      </c>
      <c r="R2284" s="266">
        <f t="shared" si="60"/>
        <v>4800</v>
      </c>
      <c r="S2284" s="48">
        <v>202303</v>
      </c>
      <c r="T2284" s="125" t="s">
        <v>3094</v>
      </c>
      <c r="U2284" s="58"/>
      <c r="V2284" s="58"/>
      <c r="W2284" s="58"/>
      <c r="X2284" s="178"/>
      <c r="Y2284" s="178"/>
    </row>
    <row r="2285" s="10" customFormat="1" customHeight="1" spans="1:25">
      <c r="A2285" s="60" t="s">
        <v>403</v>
      </c>
      <c r="B2285" s="60" t="s">
        <v>2950</v>
      </c>
      <c r="C2285" s="60" t="s">
        <v>2998</v>
      </c>
      <c r="D2285" s="263" t="s">
        <v>2951</v>
      </c>
      <c r="E2285" s="63" t="s">
        <v>2999</v>
      </c>
      <c r="F2285" s="60" t="s">
        <v>3000</v>
      </c>
      <c r="G2285" s="60" t="s">
        <v>88</v>
      </c>
      <c r="H2285" s="45" t="s">
        <v>3073</v>
      </c>
      <c r="I2285" s="47" t="e">
        <f>VLOOKUP(H2285,'合同综合查询数据（3月返）'!$A:$A,1,FALSE)</f>
        <v>#N/A</v>
      </c>
      <c r="J2285" s="48" t="s">
        <v>3074</v>
      </c>
      <c r="K2285" s="60" t="s">
        <v>3075</v>
      </c>
      <c r="L2285" s="113"/>
      <c r="M2285" s="50" t="s">
        <v>3093</v>
      </c>
      <c r="N2285" s="267">
        <v>44343</v>
      </c>
      <c r="O2285" s="48" t="s">
        <v>457</v>
      </c>
      <c r="P2285" s="266">
        <v>4800</v>
      </c>
      <c r="Q2285" s="270">
        <v>-1</v>
      </c>
      <c r="R2285" s="266">
        <f t="shared" si="60"/>
        <v>-4800</v>
      </c>
      <c r="S2285" s="48">
        <v>202303</v>
      </c>
      <c r="T2285" s="125" t="s">
        <v>3094</v>
      </c>
      <c r="U2285" s="58"/>
      <c r="V2285" s="58"/>
      <c r="W2285" s="58"/>
      <c r="X2285" s="178"/>
      <c r="Y2285" s="178"/>
    </row>
    <row r="2286" s="10" customFormat="1" customHeight="1" spans="1:25">
      <c r="A2286" s="60" t="s">
        <v>403</v>
      </c>
      <c r="B2286" s="60" t="s">
        <v>2950</v>
      </c>
      <c r="C2286" s="60" t="s">
        <v>2998</v>
      </c>
      <c r="D2286" s="263" t="s">
        <v>2951</v>
      </c>
      <c r="E2286" s="63" t="s">
        <v>2999</v>
      </c>
      <c r="F2286" s="60" t="s">
        <v>3000</v>
      </c>
      <c r="G2286" s="60" t="s">
        <v>88</v>
      </c>
      <c r="H2286" s="45" t="s">
        <v>3073</v>
      </c>
      <c r="I2286" s="47" t="e">
        <f>VLOOKUP(H2286,'合同综合查询数据（3月返）'!$A:$A,1,FALSE)</f>
        <v>#N/A</v>
      </c>
      <c r="J2286" s="48" t="s">
        <v>3074</v>
      </c>
      <c r="K2286" s="60" t="s">
        <v>3075</v>
      </c>
      <c r="L2286" s="113"/>
      <c r="M2286" s="50" t="s">
        <v>3068</v>
      </c>
      <c r="N2286" s="276">
        <v>44659</v>
      </c>
      <c r="O2286" s="48" t="s">
        <v>1327</v>
      </c>
      <c r="P2286" s="266">
        <v>19632</v>
      </c>
      <c r="Q2286" s="270">
        <v>1</v>
      </c>
      <c r="R2286" s="266">
        <f t="shared" si="60"/>
        <v>19632</v>
      </c>
      <c r="S2286" s="48">
        <v>202303</v>
      </c>
      <c r="T2286" s="125" t="s">
        <v>3095</v>
      </c>
      <c r="U2286" s="58"/>
      <c r="V2286" s="58"/>
      <c r="W2286" s="58"/>
      <c r="X2286" s="178"/>
      <c r="Y2286" s="178"/>
    </row>
    <row r="2287" s="10" customFormat="1" customHeight="1" spans="1:25">
      <c r="A2287" s="60" t="s">
        <v>403</v>
      </c>
      <c r="B2287" s="60" t="s">
        <v>2950</v>
      </c>
      <c r="C2287" s="60" t="s">
        <v>2998</v>
      </c>
      <c r="D2287" s="263" t="s">
        <v>2951</v>
      </c>
      <c r="E2287" s="63" t="s">
        <v>2999</v>
      </c>
      <c r="F2287" s="60" t="s">
        <v>3000</v>
      </c>
      <c r="G2287" s="60" t="s">
        <v>88</v>
      </c>
      <c r="H2287" s="45" t="s">
        <v>3073</v>
      </c>
      <c r="I2287" s="47" t="e">
        <f>VLOOKUP(H2287,'合同综合查询数据（3月返）'!$A:$A,1,FALSE)</f>
        <v>#N/A</v>
      </c>
      <c r="J2287" s="48" t="s">
        <v>3074</v>
      </c>
      <c r="K2287" s="60" t="s">
        <v>3075</v>
      </c>
      <c r="L2287" s="113"/>
      <c r="M2287" s="50" t="s">
        <v>3068</v>
      </c>
      <c r="N2287" s="276">
        <v>44666</v>
      </c>
      <c r="O2287" s="48" t="s">
        <v>457</v>
      </c>
      <c r="P2287" s="266">
        <v>4800</v>
      </c>
      <c r="Q2287" s="270">
        <v>2</v>
      </c>
      <c r="R2287" s="266">
        <f t="shared" si="60"/>
        <v>9600</v>
      </c>
      <c r="S2287" s="48">
        <v>202303</v>
      </c>
      <c r="T2287" s="125" t="s">
        <v>3096</v>
      </c>
      <c r="U2287" s="58"/>
      <c r="V2287" s="58"/>
      <c r="W2287" s="58"/>
      <c r="X2287" s="178"/>
      <c r="Y2287" s="178"/>
    </row>
    <row r="2288" s="10" customFormat="1" customHeight="1" spans="1:25">
      <c r="A2288" s="60" t="s">
        <v>403</v>
      </c>
      <c r="B2288" s="60" t="s">
        <v>2950</v>
      </c>
      <c r="C2288" s="60" t="s">
        <v>2998</v>
      </c>
      <c r="D2288" s="263" t="s">
        <v>2951</v>
      </c>
      <c r="E2288" s="63" t="s">
        <v>2999</v>
      </c>
      <c r="F2288" s="60" t="s">
        <v>3000</v>
      </c>
      <c r="G2288" s="60" t="s">
        <v>88</v>
      </c>
      <c r="H2288" s="45" t="s">
        <v>3073</v>
      </c>
      <c r="I2288" s="47" t="e">
        <f>VLOOKUP(H2288,'合同综合查询数据（3月返）'!$A:$A,1,FALSE)</f>
        <v>#N/A</v>
      </c>
      <c r="J2288" s="48" t="s">
        <v>3074</v>
      </c>
      <c r="K2288" s="60" t="s">
        <v>3075</v>
      </c>
      <c r="L2288" s="113"/>
      <c r="M2288" s="50" t="s">
        <v>3068</v>
      </c>
      <c r="N2288" s="276">
        <v>44670</v>
      </c>
      <c r="O2288" s="48" t="s">
        <v>457</v>
      </c>
      <c r="P2288" s="266">
        <v>4800</v>
      </c>
      <c r="Q2288" s="270">
        <v>2</v>
      </c>
      <c r="R2288" s="266">
        <f t="shared" si="60"/>
        <v>9600</v>
      </c>
      <c r="S2288" s="48">
        <v>202303</v>
      </c>
      <c r="T2288" s="125" t="s">
        <v>3097</v>
      </c>
      <c r="U2288" s="58"/>
      <c r="V2288" s="58"/>
      <c r="W2288" s="58"/>
      <c r="X2288" s="178"/>
      <c r="Y2288" s="178"/>
    </row>
    <row r="2289" s="10" customFormat="1" customHeight="1" spans="1:25">
      <c r="A2289" s="60" t="s">
        <v>403</v>
      </c>
      <c r="B2289" s="60" t="s">
        <v>2950</v>
      </c>
      <c r="C2289" s="60" t="s">
        <v>2998</v>
      </c>
      <c r="D2289" s="263" t="s">
        <v>2951</v>
      </c>
      <c r="E2289" s="63" t="s">
        <v>2999</v>
      </c>
      <c r="F2289" s="60" t="s">
        <v>3000</v>
      </c>
      <c r="G2289" s="60" t="s">
        <v>88</v>
      </c>
      <c r="H2289" s="45" t="s">
        <v>3073</v>
      </c>
      <c r="I2289" s="47" t="e">
        <f>VLOOKUP(H2289,'合同综合查询数据（3月返）'!$A:$A,1,FALSE)</f>
        <v>#N/A</v>
      </c>
      <c r="J2289" s="48" t="s">
        <v>3074</v>
      </c>
      <c r="K2289" s="60" t="s">
        <v>3075</v>
      </c>
      <c r="L2289" s="113"/>
      <c r="M2289" s="50" t="s">
        <v>3068</v>
      </c>
      <c r="N2289" s="276">
        <v>43775</v>
      </c>
      <c r="O2289" s="48" t="s">
        <v>457</v>
      </c>
      <c r="P2289" s="266">
        <v>4800</v>
      </c>
      <c r="Q2289" s="270">
        <v>-2</v>
      </c>
      <c r="R2289" s="266">
        <f t="shared" si="60"/>
        <v>-9600</v>
      </c>
      <c r="S2289" s="48">
        <v>202303</v>
      </c>
      <c r="T2289" s="125" t="s">
        <v>3098</v>
      </c>
      <c r="U2289" s="58"/>
      <c r="V2289" s="58"/>
      <c r="W2289" s="58"/>
      <c r="X2289" s="178"/>
      <c r="Y2289" s="178"/>
    </row>
    <row r="2290" s="10" customFormat="1" customHeight="1" spans="1:25">
      <c r="A2290" s="60" t="s">
        <v>403</v>
      </c>
      <c r="B2290" s="60" t="s">
        <v>2950</v>
      </c>
      <c r="C2290" s="60" t="s">
        <v>2998</v>
      </c>
      <c r="D2290" s="263" t="s">
        <v>2951</v>
      </c>
      <c r="E2290" s="63" t="s">
        <v>2999</v>
      </c>
      <c r="F2290" s="60" t="s">
        <v>3000</v>
      </c>
      <c r="G2290" s="60" t="s">
        <v>88</v>
      </c>
      <c r="H2290" s="45" t="s">
        <v>3073</v>
      </c>
      <c r="I2290" s="47" t="e">
        <f>VLOOKUP(H2290,'合同综合查询数据（3月返）'!$A:$A,1,FALSE)</f>
        <v>#N/A</v>
      </c>
      <c r="J2290" s="48" t="s">
        <v>3074</v>
      </c>
      <c r="K2290" s="60" t="s">
        <v>3075</v>
      </c>
      <c r="L2290" s="113"/>
      <c r="M2290" s="50" t="s">
        <v>3068</v>
      </c>
      <c r="N2290" s="276">
        <v>43776</v>
      </c>
      <c r="O2290" s="48" t="s">
        <v>511</v>
      </c>
      <c r="P2290" s="266">
        <v>9816</v>
      </c>
      <c r="Q2290" s="270">
        <v>2</v>
      </c>
      <c r="R2290" s="266">
        <f t="shared" si="60"/>
        <v>19632</v>
      </c>
      <c r="S2290" s="48">
        <v>202303</v>
      </c>
      <c r="T2290" s="125" t="s">
        <v>3098</v>
      </c>
      <c r="U2290" s="58"/>
      <c r="V2290" s="58"/>
      <c r="W2290" s="58"/>
      <c r="X2290" s="178"/>
      <c r="Y2290" s="178"/>
    </row>
    <row r="2291" s="10" customFormat="1" customHeight="1" spans="1:25">
      <c r="A2291" s="60" t="s">
        <v>403</v>
      </c>
      <c r="B2291" s="60" t="s">
        <v>2950</v>
      </c>
      <c r="C2291" s="60" t="s">
        <v>2998</v>
      </c>
      <c r="D2291" s="263" t="s">
        <v>2951</v>
      </c>
      <c r="E2291" s="63" t="s">
        <v>2999</v>
      </c>
      <c r="F2291" s="60" t="s">
        <v>3000</v>
      </c>
      <c r="G2291" s="60" t="s">
        <v>88</v>
      </c>
      <c r="H2291" s="45" t="s">
        <v>3073</v>
      </c>
      <c r="I2291" s="47" t="e">
        <f>VLOOKUP(H2291,'合同综合查询数据（3月返）'!$A:$A,1,FALSE)</f>
        <v>#N/A</v>
      </c>
      <c r="J2291" s="48" t="s">
        <v>3074</v>
      </c>
      <c r="K2291" s="60" t="s">
        <v>3075</v>
      </c>
      <c r="L2291" s="113"/>
      <c r="M2291" s="50" t="s">
        <v>3068</v>
      </c>
      <c r="N2291" s="276">
        <v>44630</v>
      </c>
      <c r="O2291" s="48" t="s">
        <v>457</v>
      </c>
      <c r="P2291" s="266">
        <v>4800</v>
      </c>
      <c r="Q2291" s="270">
        <v>-1</v>
      </c>
      <c r="R2291" s="266">
        <f t="shared" si="60"/>
        <v>-4800</v>
      </c>
      <c r="S2291" s="48">
        <v>202303</v>
      </c>
      <c r="T2291" s="125" t="s">
        <v>3099</v>
      </c>
      <c r="U2291" s="58"/>
      <c r="V2291" s="58"/>
      <c r="W2291" s="58"/>
      <c r="X2291" s="178"/>
      <c r="Y2291" s="178"/>
    </row>
    <row r="2292" s="10" customFormat="1" customHeight="1" spans="1:25">
      <c r="A2292" s="60" t="s">
        <v>403</v>
      </c>
      <c r="B2292" s="60" t="s">
        <v>2950</v>
      </c>
      <c r="C2292" s="60" t="s">
        <v>2998</v>
      </c>
      <c r="D2292" s="263" t="s">
        <v>2951</v>
      </c>
      <c r="E2292" s="63" t="s">
        <v>2999</v>
      </c>
      <c r="F2292" s="60" t="s">
        <v>3000</v>
      </c>
      <c r="G2292" s="60" t="s">
        <v>88</v>
      </c>
      <c r="H2292" s="45" t="s">
        <v>3073</v>
      </c>
      <c r="I2292" s="47" t="e">
        <f>VLOOKUP(H2292,'合同综合查询数据（3月返）'!$A:$A,1,FALSE)</f>
        <v>#N/A</v>
      </c>
      <c r="J2292" s="48" t="s">
        <v>3074</v>
      </c>
      <c r="K2292" s="60" t="s">
        <v>3075</v>
      </c>
      <c r="L2292" s="113"/>
      <c r="M2292" s="50" t="s">
        <v>3068</v>
      </c>
      <c r="N2292" s="276">
        <v>44630</v>
      </c>
      <c r="O2292" s="48" t="s">
        <v>1327</v>
      </c>
      <c r="P2292" s="266">
        <v>19632</v>
      </c>
      <c r="Q2292" s="270">
        <v>1</v>
      </c>
      <c r="R2292" s="266">
        <f t="shared" si="60"/>
        <v>19632</v>
      </c>
      <c r="S2292" s="48">
        <v>202303</v>
      </c>
      <c r="T2292" s="125" t="s">
        <v>3100</v>
      </c>
      <c r="U2292" s="58"/>
      <c r="V2292" s="58"/>
      <c r="W2292" s="58"/>
      <c r="X2292" s="178"/>
      <c r="Y2292" s="178"/>
    </row>
    <row r="2293" s="10" customFormat="1" customHeight="1" spans="1:25">
      <c r="A2293" s="60" t="s">
        <v>403</v>
      </c>
      <c r="B2293" s="60" t="s">
        <v>2950</v>
      </c>
      <c r="C2293" s="60" t="s">
        <v>2998</v>
      </c>
      <c r="D2293" s="263" t="s">
        <v>2951</v>
      </c>
      <c r="E2293" s="63" t="s">
        <v>2999</v>
      </c>
      <c r="F2293" s="60" t="s">
        <v>3000</v>
      </c>
      <c r="G2293" s="60" t="s">
        <v>88</v>
      </c>
      <c r="H2293" s="45" t="s">
        <v>3073</v>
      </c>
      <c r="I2293" s="47" t="e">
        <f>VLOOKUP(H2293,'合同综合查询数据（3月返）'!$A:$A,1,FALSE)</f>
        <v>#N/A</v>
      </c>
      <c r="J2293" s="48" t="s">
        <v>3074</v>
      </c>
      <c r="K2293" s="60" t="s">
        <v>3075</v>
      </c>
      <c r="L2293" s="113"/>
      <c r="M2293" s="50" t="s">
        <v>3068</v>
      </c>
      <c r="N2293" s="267" t="s">
        <v>1225</v>
      </c>
      <c r="O2293" s="48" t="s">
        <v>545</v>
      </c>
      <c r="P2293" s="266">
        <v>0</v>
      </c>
      <c r="Q2293" s="270">
        <v>18</v>
      </c>
      <c r="R2293" s="266">
        <f t="shared" si="60"/>
        <v>0</v>
      </c>
      <c r="S2293" s="48">
        <v>202303</v>
      </c>
      <c r="T2293" s="278" t="s">
        <v>3101</v>
      </c>
      <c r="U2293" s="58"/>
      <c r="V2293" s="58"/>
      <c r="W2293" s="58"/>
      <c r="X2293" s="178"/>
      <c r="Y2293" s="178"/>
    </row>
    <row r="2294" s="10" customFormat="1" customHeight="1" spans="1:25">
      <c r="A2294" s="60" t="s">
        <v>403</v>
      </c>
      <c r="B2294" s="60" t="s">
        <v>2950</v>
      </c>
      <c r="C2294" s="60" t="s">
        <v>2998</v>
      </c>
      <c r="D2294" s="263" t="s">
        <v>2951</v>
      </c>
      <c r="E2294" s="63" t="s">
        <v>2999</v>
      </c>
      <c r="F2294" s="60" t="s">
        <v>3000</v>
      </c>
      <c r="G2294" s="60" t="s">
        <v>88</v>
      </c>
      <c r="H2294" s="45" t="s">
        <v>3073</v>
      </c>
      <c r="I2294" s="47" t="e">
        <f>VLOOKUP(H2294,'合同综合查询数据（3月返）'!$A:$A,1,FALSE)</f>
        <v>#N/A</v>
      </c>
      <c r="J2294" s="48" t="s">
        <v>3102</v>
      </c>
      <c r="K2294" s="60" t="s">
        <v>3075</v>
      </c>
      <c r="L2294" s="113"/>
      <c r="M2294" s="50" t="s">
        <v>3068</v>
      </c>
      <c r="N2294" s="267"/>
      <c r="O2294" s="48" t="s">
        <v>529</v>
      </c>
      <c r="P2294" s="266">
        <v>180</v>
      </c>
      <c r="Q2294" s="270">
        <v>0</v>
      </c>
      <c r="R2294" s="266">
        <f t="shared" si="60"/>
        <v>0</v>
      </c>
      <c r="S2294" s="48">
        <v>202303</v>
      </c>
      <c r="T2294" s="278" t="s">
        <v>3103</v>
      </c>
      <c r="U2294" s="58"/>
      <c r="V2294" s="58"/>
      <c r="W2294" s="58"/>
      <c r="X2294" s="178"/>
      <c r="Y2294" s="178"/>
    </row>
    <row r="2295" s="10" customFormat="1" customHeight="1" spans="1:25">
      <c r="A2295" s="60" t="s">
        <v>403</v>
      </c>
      <c r="B2295" s="60" t="s">
        <v>2950</v>
      </c>
      <c r="C2295" s="60" t="s">
        <v>2998</v>
      </c>
      <c r="D2295" s="263" t="s">
        <v>2951</v>
      </c>
      <c r="E2295" s="63" t="s">
        <v>2999</v>
      </c>
      <c r="F2295" s="60" t="s">
        <v>3000</v>
      </c>
      <c r="G2295" s="60" t="s">
        <v>78</v>
      </c>
      <c r="H2295" s="45" t="s">
        <v>3073</v>
      </c>
      <c r="I2295" s="47" t="e">
        <f>VLOOKUP(H2295,'合同综合查询数据（3月返）'!$A:$A,1,FALSE)</f>
        <v>#N/A</v>
      </c>
      <c r="J2295" s="48" t="s">
        <v>475</v>
      </c>
      <c r="K2295" s="60" t="s">
        <v>3075</v>
      </c>
      <c r="L2295" s="113"/>
      <c r="M2295" s="277" t="s">
        <v>3068</v>
      </c>
      <c r="N2295" s="267"/>
      <c r="O2295" s="58">
        <v>0</v>
      </c>
      <c r="P2295" s="266">
        <v>0</v>
      </c>
      <c r="Q2295" s="270">
        <v>0</v>
      </c>
      <c r="R2295" s="266">
        <f t="shared" si="60"/>
        <v>0</v>
      </c>
      <c r="S2295" s="48">
        <v>202303</v>
      </c>
      <c r="T2295" s="278" t="s">
        <v>3104</v>
      </c>
      <c r="U2295" s="58"/>
      <c r="V2295" s="58"/>
      <c r="W2295" s="58"/>
      <c r="X2295" s="178"/>
      <c r="Y2295" s="178"/>
    </row>
    <row r="2296" s="10" customFormat="1" customHeight="1" spans="1:25">
      <c r="A2296" s="60" t="s">
        <v>403</v>
      </c>
      <c r="B2296" s="60" t="s">
        <v>2950</v>
      </c>
      <c r="C2296" s="60" t="s">
        <v>2998</v>
      </c>
      <c r="D2296" s="263" t="s">
        <v>2951</v>
      </c>
      <c r="E2296" s="63" t="s">
        <v>2999</v>
      </c>
      <c r="F2296" s="60" t="s">
        <v>3000</v>
      </c>
      <c r="G2296" s="60" t="s">
        <v>31</v>
      </c>
      <c r="H2296" s="45" t="s">
        <v>3105</v>
      </c>
      <c r="I2296" s="47" t="e">
        <f>VLOOKUP(H2296,'合同综合查询数据（3月返）'!$A:$A,1,FALSE)</f>
        <v>#N/A</v>
      </c>
      <c r="J2296" s="48" t="s">
        <v>3106</v>
      </c>
      <c r="K2296" s="113" t="s">
        <v>3107</v>
      </c>
      <c r="L2296" s="113"/>
      <c r="M2296" s="50" t="s">
        <v>3068</v>
      </c>
      <c r="N2296" s="267">
        <v>43922</v>
      </c>
      <c r="O2296" s="48" t="s">
        <v>37</v>
      </c>
      <c r="P2296" s="266">
        <v>5120</v>
      </c>
      <c r="Q2296" s="270">
        <v>1</v>
      </c>
      <c r="R2296" s="266">
        <f t="shared" si="60"/>
        <v>5120</v>
      </c>
      <c r="S2296" s="48">
        <v>202303</v>
      </c>
      <c r="T2296" s="125" t="s">
        <v>3108</v>
      </c>
      <c r="U2296" s="58"/>
      <c r="V2296" s="58"/>
      <c r="W2296" s="58"/>
      <c r="X2296" s="178"/>
      <c r="Y2296" s="178"/>
    </row>
    <row r="2297" s="10" customFormat="1" customHeight="1" spans="1:25">
      <c r="A2297" s="60" t="s">
        <v>403</v>
      </c>
      <c r="B2297" s="60" t="s">
        <v>2950</v>
      </c>
      <c r="C2297" s="60" t="s">
        <v>2998</v>
      </c>
      <c r="D2297" s="263" t="s">
        <v>2951</v>
      </c>
      <c r="E2297" s="63" t="s">
        <v>2999</v>
      </c>
      <c r="F2297" s="60" t="s">
        <v>3000</v>
      </c>
      <c r="G2297" s="60" t="s">
        <v>31</v>
      </c>
      <c r="H2297" s="45" t="s">
        <v>3109</v>
      </c>
      <c r="I2297" s="47" t="e">
        <f>VLOOKUP(H2297,'合同综合查询数据（3月返）'!$A:$A,1,FALSE)</f>
        <v>#N/A</v>
      </c>
      <c r="J2297" s="48" t="s">
        <v>3106</v>
      </c>
      <c r="K2297" s="113" t="s">
        <v>3107</v>
      </c>
      <c r="L2297" s="113"/>
      <c r="M2297" s="50" t="s">
        <v>3068</v>
      </c>
      <c r="N2297" s="267">
        <v>44075</v>
      </c>
      <c r="O2297" s="48" t="s">
        <v>37</v>
      </c>
      <c r="P2297" s="266">
        <v>5120</v>
      </c>
      <c r="Q2297" s="270">
        <v>1</v>
      </c>
      <c r="R2297" s="266">
        <f t="shared" ref="R2297:R2358" si="61">ROUND(P2297*Q2297,2)</f>
        <v>5120</v>
      </c>
      <c r="S2297" s="48">
        <v>202303</v>
      </c>
      <c r="T2297" s="125" t="s">
        <v>3110</v>
      </c>
      <c r="U2297" s="58"/>
      <c r="V2297" s="58"/>
      <c r="W2297" s="58"/>
      <c r="X2297" s="111"/>
      <c r="Y2297" s="62"/>
    </row>
    <row r="2298" s="9" customFormat="1" customHeight="1" spans="1:25">
      <c r="A2298" s="96" t="s">
        <v>403</v>
      </c>
      <c r="B2298" s="96" t="s">
        <v>2950</v>
      </c>
      <c r="C2298" s="96" t="s">
        <v>2998</v>
      </c>
      <c r="D2298" s="265" t="s">
        <v>2951</v>
      </c>
      <c r="E2298" s="105" t="s">
        <v>3111</v>
      </c>
      <c r="F2298" s="96" t="s">
        <v>3000</v>
      </c>
      <c r="G2298" s="96" t="s">
        <v>302</v>
      </c>
      <c r="H2298" s="19" t="s">
        <v>3112</v>
      </c>
      <c r="I2298" s="23" t="e">
        <f>VLOOKUP(H2298,'合同综合查询数据（3月返）'!$A:$A,1,FALSE)</f>
        <v>#N/A</v>
      </c>
      <c r="J2298" s="96" t="s">
        <v>302</v>
      </c>
      <c r="K2298" s="114" t="s">
        <v>3113</v>
      </c>
      <c r="L2298" s="114"/>
      <c r="M2298" s="26"/>
      <c r="N2298" s="199">
        <v>44454</v>
      </c>
      <c r="O2298" s="199" t="s">
        <v>3114</v>
      </c>
      <c r="P2298" s="268">
        <v>4533.4</v>
      </c>
      <c r="Q2298" s="273">
        <v>1</v>
      </c>
      <c r="R2298" s="268">
        <f t="shared" si="61"/>
        <v>4533.4</v>
      </c>
      <c r="S2298" s="24">
        <v>202303</v>
      </c>
      <c r="T2298" s="127" t="s">
        <v>3115</v>
      </c>
      <c r="U2298" s="40"/>
      <c r="V2298" s="40"/>
      <c r="W2298" s="40"/>
      <c r="X2298" s="106">
        <v>44652</v>
      </c>
      <c r="Y2298" s="106">
        <v>45016</v>
      </c>
    </row>
    <row r="2299" s="9" customFormat="1" customHeight="1" spans="1:25">
      <c r="A2299" s="96" t="s">
        <v>403</v>
      </c>
      <c r="B2299" s="96" t="s">
        <v>2950</v>
      </c>
      <c r="C2299" s="96" t="s">
        <v>2998</v>
      </c>
      <c r="D2299" s="265" t="s">
        <v>2951</v>
      </c>
      <c r="E2299" s="105" t="s">
        <v>3111</v>
      </c>
      <c r="F2299" s="96" t="s">
        <v>3000</v>
      </c>
      <c r="G2299" s="96" t="s">
        <v>302</v>
      </c>
      <c r="H2299" s="19" t="s">
        <v>3112</v>
      </c>
      <c r="I2299" s="23" t="e">
        <f>VLOOKUP(H2299,'合同综合查询数据（3月返）'!$A:$A,1,FALSE)</f>
        <v>#N/A</v>
      </c>
      <c r="J2299" s="96" t="s">
        <v>302</v>
      </c>
      <c r="K2299" s="114" t="s">
        <v>3116</v>
      </c>
      <c r="L2299" s="114"/>
      <c r="M2299" s="26"/>
      <c r="N2299" s="199">
        <v>44454</v>
      </c>
      <c r="O2299" s="199" t="s">
        <v>3114</v>
      </c>
      <c r="P2299" s="268">
        <v>4533.4</v>
      </c>
      <c r="Q2299" s="273">
        <v>1</v>
      </c>
      <c r="R2299" s="268">
        <f t="shared" si="61"/>
        <v>4533.4</v>
      </c>
      <c r="S2299" s="24">
        <v>202303</v>
      </c>
      <c r="T2299" s="127" t="s">
        <v>3117</v>
      </c>
      <c r="U2299" s="40"/>
      <c r="V2299" s="40"/>
      <c r="W2299" s="40"/>
      <c r="X2299" s="106">
        <v>44652</v>
      </c>
      <c r="Y2299" s="106">
        <v>45016</v>
      </c>
    </row>
    <row r="2300" s="9" customFormat="1" customHeight="1" spans="1:25">
      <c r="A2300" s="96" t="s">
        <v>403</v>
      </c>
      <c r="B2300" s="96" t="s">
        <v>2950</v>
      </c>
      <c r="C2300" s="96" t="s">
        <v>3118</v>
      </c>
      <c r="D2300" s="265" t="s">
        <v>2951</v>
      </c>
      <c r="E2300" s="105" t="s">
        <v>3119</v>
      </c>
      <c r="F2300" s="96" t="s">
        <v>3120</v>
      </c>
      <c r="G2300" s="96" t="s">
        <v>31</v>
      </c>
      <c r="H2300" s="19" t="s">
        <v>3121</v>
      </c>
      <c r="I2300" s="23" t="e">
        <f>VLOOKUP(H2300,'合同综合查询数据（3月返）'!$A:$A,1,FALSE)</f>
        <v>#N/A</v>
      </c>
      <c r="J2300" s="24" t="s">
        <v>33</v>
      </c>
      <c r="K2300" s="96" t="s">
        <v>3122</v>
      </c>
      <c r="L2300" s="114" t="s">
        <v>3123</v>
      </c>
      <c r="M2300" s="249" t="s">
        <v>3124</v>
      </c>
      <c r="N2300" s="190" t="s">
        <v>1225</v>
      </c>
      <c r="O2300" s="199" t="s">
        <v>37</v>
      </c>
      <c r="P2300" s="268">
        <v>0</v>
      </c>
      <c r="Q2300" s="273">
        <v>288</v>
      </c>
      <c r="R2300" s="268">
        <f t="shared" si="61"/>
        <v>0</v>
      </c>
      <c r="S2300" s="24">
        <v>202303</v>
      </c>
      <c r="T2300" s="279" t="s">
        <v>3125</v>
      </c>
      <c r="U2300" s="40"/>
      <c r="V2300" s="40"/>
      <c r="W2300" s="40"/>
      <c r="X2300" s="210">
        <v>44682</v>
      </c>
      <c r="Y2300" s="210">
        <v>45046</v>
      </c>
    </row>
    <row r="2301" s="9" customFormat="1" customHeight="1" spans="1:25">
      <c r="A2301" s="96" t="s">
        <v>403</v>
      </c>
      <c r="B2301" s="96" t="s">
        <v>2950</v>
      </c>
      <c r="C2301" s="96" t="s">
        <v>3118</v>
      </c>
      <c r="D2301" s="265" t="s">
        <v>2951</v>
      </c>
      <c r="E2301" s="105" t="s">
        <v>3119</v>
      </c>
      <c r="F2301" s="96" t="s">
        <v>3120</v>
      </c>
      <c r="G2301" s="96" t="s">
        <v>31</v>
      </c>
      <c r="H2301" s="19" t="s">
        <v>3121</v>
      </c>
      <c r="I2301" s="23" t="e">
        <f>VLOOKUP(H2301,'合同综合查询数据（3月返）'!$A:$A,1,FALSE)</f>
        <v>#N/A</v>
      </c>
      <c r="J2301" s="24" t="s">
        <v>33</v>
      </c>
      <c r="K2301" s="96" t="s">
        <v>3122</v>
      </c>
      <c r="L2301" s="114" t="s">
        <v>3123</v>
      </c>
      <c r="M2301" s="249" t="s">
        <v>3124</v>
      </c>
      <c r="N2301" s="28">
        <v>44333</v>
      </c>
      <c r="O2301" s="199" t="s">
        <v>37</v>
      </c>
      <c r="P2301" s="268">
        <v>0</v>
      </c>
      <c r="Q2301" s="273">
        <v>128</v>
      </c>
      <c r="R2301" s="268">
        <f t="shared" si="61"/>
        <v>0</v>
      </c>
      <c r="S2301" s="24">
        <v>202303</v>
      </c>
      <c r="T2301" s="279" t="s">
        <v>3126</v>
      </c>
      <c r="U2301" s="40"/>
      <c r="V2301" s="40"/>
      <c r="W2301" s="40"/>
      <c r="X2301" s="210">
        <v>44682</v>
      </c>
      <c r="Y2301" s="210">
        <v>45046</v>
      </c>
    </row>
    <row r="2302" s="9" customFormat="1" customHeight="1" spans="1:25">
      <c r="A2302" s="96" t="s">
        <v>403</v>
      </c>
      <c r="B2302" s="96" t="s">
        <v>2950</v>
      </c>
      <c r="C2302" s="96" t="s">
        <v>3118</v>
      </c>
      <c r="D2302" s="265" t="s">
        <v>2951</v>
      </c>
      <c r="E2302" s="105" t="s">
        <v>3119</v>
      </c>
      <c r="F2302" s="96" t="s">
        <v>3120</v>
      </c>
      <c r="G2302" s="96" t="s">
        <v>31</v>
      </c>
      <c r="H2302" s="19" t="s">
        <v>3121</v>
      </c>
      <c r="I2302" s="23" t="e">
        <f>VLOOKUP(H2302,'合同综合查询数据（3月返）'!$A:$A,1,FALSE)</f>
        <v>#N/A</v>
      </c>
      <c r="J2302" s="24" t="s">
        <v>33</v>
      </c>
      <c r="K2302" s="96" t="s">
        <v>3122</v>
      </c>
      <c r="L2302" s="114" t="s">
        <v>3123</v>
      </c>
      <c r="M2302" s="249" t="s">
        <v>3124</v>
      </c>
      <c r="N2302" s="28">
        <v>44421</v>
      </c>
      <c r="O2302" s="199" t="s">
        <v>37</v>
      </c>
      <c r="P2302" s="268">
        <v>0</v>
      </c>
      <c r="Q2302" s="273">
        <v>128</v>
      </c>
      <c r="R2302" s="268">
        <f t="shared" si="61"/>
        <v>0</v>
      </c>
      <c r="S2302" s="24">
        <v>202303</v>
      </c>
      <c r="T2302" s="279" t="s">
        <v>3127</v>
      </c>
      <c r="U2302" s="40"/>
      <c r="V2302" s="40"/>
      <c r="W2302" s="40"/>
      <c r="X2302" s="210">
        <v>44682</v>
      </c>
      <c r="Y2302" s="210">
        <v>45046</v>
      </c>
    </row>
    <row r="2303" s="9" customFormat="1" customHeight="1" spans="1:25">
      <c r="A2303" s="96" t="s">
        <v>403</v>
      </c>
      <c r="B2303" s="96" t="s">
        <v>2950</v>
      </c>
      <c r="C2303" s="96" t="s">
        <v>3118</v>
      </c>
      <c r="D2303" s="265" t="s">
        <v>2951</v>
      </c>
      <c r="E2303" s="105" t="s">
        <v>3119</v>
      </c>
      <c r="F2303" s="96" t="s">
        <v>3120</v>
      </c>
      <c r="G2303" s="96" t="s">
        <v>31</v>
      </c>
      <c r="H2303" s="19" t="s">
        <v>3121</v>
      </c>
      <c r="I2303" s="23" t="e">
        <f>VLOOKUP(H2303,'合同综合查询数据（3月返）'!$A:$A,1,FALSE)</f>
        <v>#N/A</v>
      </c>
      <c r="J2303" s="24" t="s">
        <v>33</v>
      </c>
      <c r="K2303" s="96" t="s">
        <v>3122</v>
      </c>
      <c r="L2303" s="114" t="s">
        <v>3123</v>
      </c>
      <c r="M2303" s="249" t="s">
        <v>3124</v>
      </c>
      <c r="N2303" s="28">
        <v>44761</v>
      </c>
      <c r="O2303" s="199" t="s">
        <v>37</v>
      </c>
      <c r="P2303" s="268">
        <v>0</v>
      </c>
      <c r="Q2303" s="273">
        <v>-128</v>
      </c>
      <c r="R2303" s="268">
        <f t="shared" si="61"/>
        <v>0</v>
      </c>
      <c r="S2303" s="24">
        <v>202303</v>
      </c>
      <c r="T2303" s="279" t="s">
        <v>3128</v>
      </c>
      <c r="U2303" s="40"/>
      <c r="V2303" s="40"/>
      <c r="W2303" s="40"/>
      <c r="X2303" s="210">
        <v>44682</v>
      </c>
      <c r="Y2303" s="210">
        <v>45046</v>
      </c>
    </row>
    <row r="2304" s="9" customFormat="1" customHeight="1" spans="1:25">
      <c r="A2304" s="96" t="s">
        <v>403</v>
      </c>
      <c r="B2304" s="96" t="s">
        <v>2950</v>
      </c>
      <c r="C2304" s="96" t="s">
        <v>3118</v>
      </c>
      <c r="D2304" s="265" t="s">
        <v>2951</v>
      </c>
      <c r="E2304" s="105" t="s">
        <v>3119</v>
      </c>
      <c r="F2304" s="96" t="s">
        <v>3120</v>
      </c>
      <c r="G2304" s="96" t="s">
        <v>31</v>
      </c>
      <c r="H2304" s="19" t="s">
        <v>3121</v>
      </c>
      <c r="I2304" s="23" t="e">
        <f>VLOOKUP(H2304,'合同综合查询数据（3月返）'!$A:$A,1,FALSE)</f>
        <v>#N/A</v>
      </c>
      <c r="J2304" s="24" t="s">
        <v>33</v>
      </c>
      <c r="K2304" s="96" t="s">
        <v>3122</v>
      </c>
      <c r="L2304" s="114" t="s">
        <v>3123</v>
      </c>
      <c r="M2304" s="249" t="s">
        <v>3124</v>
      </c>
      <c r="N2304" s="28">
        <v>44985</v>
      </c>
      <c r="O2304" s="199" t="s">
        <v>37</v>
      </c>
      <c r="P2304" s="268">
        <v>0</v>
      </c>
      <c r="Q2304" s="273">
        <v>-256</v>
      </c>
      <c r="R2304" s="268">
        <f t="shared" si="61"/>
        <v>0</v>
      </c>
      <c r="S2304" s="24">
        <v>202303</v>
      </c>
      <c r="T2304" s="279" t="s">
        <v>3129</v>
      </c>
      <c r="U2304" s="40"/>
      <c r="V2304" s="40"/>
      <c r="W2304" s="40"/>
      <c r="X2304" s="210">
        <v>44682</v>
      </c>
      <c r="Y2304" s="210">
        <v>45046</v>
      </c>
    </row>
    <row r="2305" s="9" customFormat="1" customHeight="1" spans="1:25">
      <c r="A2305" s="96" t="s">
        <v>403</v>
      </c>
      <c r="B2305" s="96" t="s">
        <v>2950</v>
      </c>
      <c r="C2305" s="96" t="s">
        <v>3118</v>
      </c>
      <c r="D2305" s="265" t="s">
        <v>2951</v>
      </c>
      <c r="E2305" s="105" t="s">
        <v>3119</v>
      </c>
      <c r="F2305" s="96" t="s">
        <v>3120</v>
      </c>
      <c r="G2305" s="96" t="s">
        <v>88</v>
      </c>
      <c r="H2305" s="19" t="s">
        <v>3121</v>
      </c>
      <c r="I2305" s="23" t="e">
        <f>VLOOKUP(H2305,'合同综合查询数据（3月返）'!$A:$A,1,FALSE)</f>
        <v>#N/A</v>
      </c>
      <c r="J2305" s="24" t="s">
        <v>126</v>
      </c>
      <c r="K2305" s="96" t="s">
        <v>3122</v>
      </c>
      <c r="L2305" s="114" t="s">
        <v>3123</v>
      </c>
      <c r="M2305" s="26" t="s">
        <v>3124</v>
      </c>
      <c r="N2305" s="190">
        <v>43468</v>
      </c>
      <c r="O2305" s="199" t="s">
        <v>2283</v>
      </c>
      <c r="P2305" s="268">
        <v>6000</v>
      </c>
      <c r="Q2305" s="273">
        <v>5</v>
      </c>
      <c r="R2305" s="268">
        <f t="shared" si="61"/>
        <v>30000</v>
      </c>
      <c r="S2305" s="24">
        <v>202303</v>
      </c>
      <c r="T2305" s="279" t="s">
        <v>3130</v>
      </c>
      <c r="U2305" s="40"/>
      <c r="V2305" s="40"/>
      <c r="W2305" s="40"/>
      <c r="X2305" s="210">
        <v>44682</v>
      </c>
      <c r="Y2305" s="210">
        <v>45046</v>
      </c>
    </row>
    <row r="2306" s="9" customFormat="1" customHeight="1" spans="1:25">
      <c r="A2306" s="96" t="s">
        <v>403</v>
      </c>
      <c r="B2306" s="96" t="s">
        <v>2950</v>
      </c>
      <c r="C2306" s="96" t="s">
        <v>3118</v>
      </c>
      <c r="D2306" s="265" t="s">
        <v>2951</v>
      </c>
      <c r="E2306" s="105" t="s">
        <v>3119</v>
      </c>
      <c r="F2306" s="96" t="s">
        <v>3120</v>
      </c>
      <c r="G2306" s="96" t="s">
        <v>88</v>
      </c>
      <c r="H2306" s="19" t="s">
        <v>3121</v>
      </c>
      <c r="I2306" s="23" t="e">
        <f>VLOOKUP(H2306,'合同综合查询数据（3月返）'!$A:$A,1,FALSE)</f>
        <v>#N/A</v>
      </c>
      <c r="J2306" s="24" t="s">
        <v>126</v>
      </c>
      <c r="K2306" s="96" t="s">
        <v>3122</v>
      </c>
      <c r="L2306" s="114" t="s">
        <v>3123</v>
      </c>
      <c r="M2306" s="249" t="s">
        <v>3124</v>
      </c>
      <c r="N2306" s="28">
        <v>44333</v>
      </c>
      <c r="O2306" s="199" t="s">
        <v>2283</v>
      </c>
      <c r="P2306" s="268">
        <v>6000</v>
      </c>
      <c r="Q2306" s="273">
        <v>2</v>
      </c>
      <c r="R2306" s="268">
        <f t="shared" si="61"/>
        <v>12000</v>
      </c>
      <c r="S2306" s="24">
        <v>202303</v>
      </c>
      <c r="T2306" s="279" t="s">
        <v>3131</v>
      </c>
      <c r="U2306" s="40"/>
      <c r="V2306" s="40"/>
      <c r="W2306" s="40"/>
      <c r="X2306" s="210">
        <v>44682</v>
      </c>
      <c r="Y2306" s="210">
        <v>45046</v>
      </c>
    </row>
    <row r="2307" s="9" customFormat="1" customHeight="1" spans="1:25">
      <c r="A2307" s="96" t="s">
        <v>403</v>
      </c>
      <c r="B2307" s="96" t="s">
        <v>2950</v>
      </c>
      <c r="C2307" s="96" t="s">
        <v>3118</v>
      </c>
      <c r="D2307" s="265" t="s">
        <v>2951</v>
      </c>
      <c r="E2307" s="105" t="s">
        <v>3119</v>
      </c>
      <c r="F2307" s="96" t="s">
        <v>3120</v>
      </c>
      <c r="G2307" s="96" t="s">
        <v>88</v>
      </c>
      <c r="H2307" s="19" t="s">
        <v>3121</v>
      </c>
      <c r="I2307" s="23" t="e">
        <f>VLOOKUP(H2307,'合同综合查询数据（3月返）'!$A:$A,1,FALSE)</f>
        <v>#N/A</v>
      </c>
      <c r="J2307" s="24" t="s">
        <v>126</v>
      </c>
      <c r="K2307" s="96" t="s">
        <v>3122</v>
      </c>
      <c r="L2307" s="114" t="s">
        <v>3123</v>
      </c>
      <c r="M2307" s="249" t="s">
        <v>3124</v>
      </c>
      <c r="N2307" s="28">
        <v>44761</v>
      </c>
      <c r="O2307" s="199" t="s">
        <v>2283</v>
      </c>
      <c r="P2307" s="268">
        <v>6000</v>
      </c>
      <c r="Q2307" s="273">
        <v>-4</v>
      </c>
      <c r="R2307" s="268">
        <f t="shared" si="61"/>
        <v>-24000</v>
      </c>
      <c r="S2307" s="24">
        <v>202303</v>
      </c>
      <c r="T2307" s="279" t="s">
        <v>3132</v>
      </c>
      <c r="U2307" s="40"/>
      <c r="V2307" s="40"/>
      <c r="W2307" s="40"/>
      <c r="X2307" s="210">
        <v>44682</v>
      </c>
      <c r="Y2307" s="210">
        <v>45046</v>
      </c>
    </row>
    <row r="2308" s="9" customFormat="1" customHeight="1" spans="1:25">
      <c r="A2308" s="96" t="s">
        <v>403</v>
      </c>
      <c r="B2308" s="96" t="s">
        <v>2950</v>
      </c>
      <c r="C2308" s="96" t="s">
        <v>3118</v>
      </c>
      <c r="D2308" s="265" t="s">
        <v>2951</v>
      </c>
      <c r="E2308" s="105" t="s">
        <v>3119</v>
      </c>
      <c r="F2308" s="96" t="s">
        <v>3120</v>
      </c>
      <c r="G2308" s="96" t="s">
        <v>88</v>
      </c>
      <c r="H2308" s="19" t="s">
        <v>3121</v>
      </c>
      <c r="I2308" s="23" t="e">
        <f>VLOOKUP(H2308,'合同综合查询数据（3月返）'!$A:$A,1,FALSE)</f>
        <v>#N/A</v>
      </c>
      <c r="J2308" s="24" t="s">
        <v>126</v>
      </c>
      <c r="K2308" s="96" t="s">
        <v>3122</v>
      </c>
      <c r="L2308" s="114" t="s">
        <v>3123</v>
      </c>
      <c r="M2308" s="249" t="s">
        <v>3124</v>
      </c>
      <c r="N2308" s="28">
        <v>44985</v>
      </c>
      <c r="O2308" s="199" t="s">
        <v>2283</v>
      </c>
      <c r="P2308" s="268">
        <v>6000</v>
      </c>
      <c r="Q2308" s="273">
        <v>-2</v>
      </c>
      <c r="R2308" s="268">
        <f t="shared" si="61"/>
        <v>-12000</v>
      </c>
      <c r="S2308" s="24">
        <v>202303</v>
      </c>
      <c r="T2308" s="279" t="s">
        <v>3133</v>
      </c>
      <c r="U2308" s="40"/>
      <c r="V2308" s="40"/>
      <c r="W2308" s="40"/>
      <c r="X2308" s="210">
        <v>44682</v>
      </c>
      <c r="Y2308" s="210">
        <v>45046</v>
      </c>
    </row>
    <row r="2309" s="9" customFormat="1" customHeight="1" spans="1:25">
      <c r="A2309" s="96" t="s">
        <v>403</v>
      </c>
      <c r="B2309" s="96" t="s">
        <v>2950</v>
      </c>
      <c r="C2309" s="96" t="s">
        <v>3134</v>
      </c>
      <c r="D2309" s="265" t="s">
        <v>2951</v>
      </c>
      <c r="E2309" s="105" t="s">
        <v>3135</v>
      </c>
      <c r="F2309" s="96" t="s">
        <v>3136</v>
      </c>
      <c r="G2309" s="96" t="s">
        <v>31</v>
      </c>
      <c r="H2309" s="19" t="s">
        <v>3137</v>
      </c>
      <c r="I2309" s="23" t="e">
        <f>VLOOKUP(H2309,'合同综合查询数据（3月返）'!$A:$A,1,FALSE)</f>
        <v>#N/A</v>
      </c>
      <c r="J2309" s="24" t="s">
        <v>33</v>
      </c>
      <c r="K2309" s="96" t="s">
        <v>3138</v>
      </c>
      <c r="L2309" s="114" t="s">
        <v>3139</v>
      </c>
      <c r="M2309" s="249"/>
      <c r="N2309" s="190">
        <v>40210</v>
      </c>
      <c r="O2309" s="96" t="s">
        <v>37</v>
      </c>
      <c r="P2309" s="268">
        <v>0</v>
      </c>
      <c r="Q2309" s="273">
        <v>512</v>
      </c>
      <c r="R2309" s="268">
        <f t="shared" si="61"/>
        <v>0</v>
      </c>
      <c r="S2309" s="24">
        <v>202303</v>
      </c>
      <c r="T2309" s="127" t="s">
        <v>3140</v>
      </c>
      <c r="U2309" s="40"/>
      <c r="V2309" s="40"/>
      <c r="W2309" s="40"/>
      <c r="X2309" s="106">
        <v>44652</v>
      </c>
      <c r="Y2309" s="106">
        <v>45016</v>
      </c>
    </row>
    <row r="2310" s="9" customFormat="1" customHeight="1" spans="1:25">
      <c r="A2310" s="96" t="s">
        <v>403</v>
      </c>
      <c r="B2310" s="96" t="s">
        <v>2950</v>
      </c>
      <c r="C2310" s="96" t="s">
        <v>3134</v>
      </c>
      <c r="D2310" s="265" t="s">
        <v>2951</v>
      </c>
      <c r="E2310" s="105" t="s">
        <v>3135</v>
      </c>
      <c r="F2310" s="96" t="s">
        <v>3136</v>
      </c>
      <c r="G2310" s="96" t="s">
        <v>31</v>
      </c>
      <c r="H2310" s="19" t="s">
        <v>3137</v>
      </c>
      <c r="I2310" s="23" t="e">
        <f>VLOOKUP(H2310,'合同综合查询数据（3月返）'!$A:$A,1,FALSE)</f>
        <v>#N/A</v>
      </c>
      <c r="J2310" s="24" t="s">
        <v>33</v>
      </c>
      <c r="K2310" s="96" t="s">
        <v>3138</v>
      </c>
      <c r="L2310" s="114" t="s">
        <v>3139</v>
      </c>
      <c r="M2310" s="249"/>
      <c r="N2310" s="190">
        <v>43799</v>
      </c>
      <c r="O2310" s="96" t="s">
        <v>37</v>
      </c>
      <c r="P2310" s="268">
        <v>0</v>
      </c>
      <c r="Q2310" s="273">
        <v>-512</v>
      </c>
      <c r="R2310" s="268">
        <f t="shared" si="61"/>
        <v>0</v>
      </c>
      <c r="S2310" s="24">
        <v>202303</v>
      </c>
      <c r="T2310" s="127" t="s">
        <v>3140</v>
      </c>
      <c r="U2310" s="40"/>
      <c r="V2310" s="40"/>
      <c r="W2310" s="40"/>
      <c r="X2310" s="106">
        <v>44652</v>
      </c>
      <c r="Y2310" s="106">
        <v>45016</v>
      </c>
    </row>
    <row r="2311" s="9" customFormat="1" customHeight="1" spans="1:25">
      <c r="A2311" s="96" t="s">
        <v>403</v>
      </c>
      <c r="B2311" s="96" t="s">
        <v>2950</v>
      </c>
      <c r="C2311" s="96" t="s">
        <v>3134</v>
      </c>
      <c r="D2311" s="265" t="s">
        <v>2951</v>
      </c>
      <c r="E2311" s="105" t="s">
        <v>3135</v>
      </c>
      <c r="F2311" s="96" t="s">
        <v>3136</v>
      </c>
      <c r="G2311" s="96" t="s">
        <v>31</v>
      </c>
      <c r="H2311" s="19" t="s">
        <v>3137</v>
      </c>
      <c r="I2311" s="23" t="e">
        <f>VLOOKUP(H2311,'合同综合查询数据（3月返）'!$A:$A,1,FALSE)</f>
        <v>#N/A</v>
      </c>
      <c r="J2311" s="24" t="s">
        <v>33</v>
      </c>
      <c r="K2311" s="96" t="s">
        <v>3141</v>
      </c>
      <c r="L2311" s="114" t="s">
        <v>3142</v>
      </c>
      <c r="M2311" s="26"/>
      <c r="N2311" s="190" t="s">
        <v>1225</v>
      </c>
      <c r="O2311" s="96" t="s">
        <v>37</v>
      </c>
      <c r="P2311" s="268">
        <v>0</v>
      </c>
      <c r="Q2311" s="273">
        <v>544</v>
      </c>
      <c r="R2311" s="268">
        <f t="shared" si="61"/>
        <v>0</v>
      </c>
      <c r="S2311" s="24">
        <v>202303</v>
      </c>
      <c r="T2311" s="127" t="s">
        <v>3143</v>
      </c>
      <c r="U2311" s="40"/>
      <c r="V2311" s="40"/>
      <c r="W2311" s="40"/>
      <c r="X2311" s="106">
        <v>44652</v>
      </c>
      <c r="Y2311" s="106">
        <v>45016</v>
      </c>
    </row>
    <row r="2312" s="9" customFormat="1" customHeight="1" spans="1:25">
      <c r="A2312" s="96" t="s">
        <v>403</v>
      </c>
      <c r="B2312" s="96" t="s">
        <v>2950</v>
      </c>
      <c r="C2312" s="96" t="s">
        <v>3134</v>
      </c>
      <c r="D2312" s="265" t="s">
        <v>2951</v>
      </c>
      <c r="E2312" s="105" t="s">
        <v>3135</v>
      </c>
      <c r="F2312" s="96" t="s">
        <v>3136</v>
      </c>
      <c r="G2312" s="96" t="s">
        <v>31</v>
      </c>
      <c r="H2312" s="19" t="s">
        <v>3137</v>
      </c>
      <c r="I2312" s="23" t="e">
        <f>VLOOKUP(H2312,'合同综合查询数据（3月返）'!$A:$A,1,FALSE)</f>
        <v>#N/A</v>
      </c>
      <c r="J2312" s="24" t="s">
        <v>33</v>
      </c>
      <c r="K2312" s="96" t="s">
        <v>3141</v>
      </c>
      <c r="L2312" s="114" t="s">
        <v>3144</v>
      </c>
      <c r="M2312" s="26"/>
      <c r="N2312" s="190">
        <v>43190</v>
      </c>
      <c r="O2312" s="96" t="s">
        <v>37</v>
      </c>
      <c r="P2312" s="268">
        <v>0</v>
      </c>
      <c r="Q2312" s="273">
        <v>288</v>
      </c>
      <c r="R2312" s="268">
        <f t="shared" si="61"/>
        <v>0</v>
      </c>
      <c r="S2312" s="24">
        <v>202303</v>
      </c>
      <c r="T2312" s="127" t="s">
        <v>3143</v>
      </c>
      <c r="U2312" s="40"/>
      <c r="V2312" s="40"/>
      <c r="W2312" s="40"/>
      <c r="X2312" s="106">
        <v>44652</v>
      </c>
      <c r="Y2312" s="106">
        <v>45016</v>
      </c>
    </row>
    <row r="2313" s="9" customFormat="1" customHeight="1" spans="1:25">
      <c r="A2313" s="96" t="s">
        <v>403</v>
      </c>
      <c r="B2313" s="96" t="s">
        <v>2950</v>
      </c>
      <c r="C2313" s="96" t="s">
        <v>3134</v>
      </c>
      <c r="D2313" s="265" t="s">
        <v>2951</v>
      </c>
      <c r="E2313" s="105" t="s">
        <v>3135</v>
      </c>
      <c r="F2313" s="96" t="s">
        <v>3136</v>
      </c>
      <c r="G2313" s="96" t="s">
        <v>31</v>
      </c>
      <c r="H2313" s="19" t="s">
        <v>3137</v>
      </c>
      <c r="I2313" s="23" t="e">
        <f>VLOOKUP(H2313,'合同综合查询数据（3月返）'!$A:$A,1,FALSE)</f>
        <v>#N/A</v>
      </c>
      <c r="J2313" s="24" t="s">
        <v>33</v>
      </c>
      <c r="K2313" s="96" t="s">
        <v>3145</v>
      </c>
      <c r="L2313" s="114" t="s">
        <v>3146</v>
      </c>
      <c r="M2313" s="26"/>
      <c r="N2313" s="190">
        <v>43490</v>
      </c>
      <c r="O2313" s="96" t="s">
        <v>37</v>
      </c>
      <c r="P2313" s="268">
        <v>0</v>
      </c>
      <c r="Q2313" s="273">
        <v>544</v>
      </c>
      <c r="R2313" s="268">
        <f t="shared" si="61"/>
        <v>0</v>
      </c>
      <c r="S2313" s="24">
        <v>202303</v>
      </c>
      <c r="T2313" s="127" t="s">
        <v>3147</v>
      </c>
      <c r="U2313" s="40"/>
      <c r="V2313" s="40"/>
      <c r="W2313" s="40"/>
      <c r="X2313" s="106">
        <v>44652</v>
      </c>
      <c r="Y2313" s="106">
        <v>45016</v>
      </c>
    </row>
    <row r="2314" s="9" customFormat="1" customHeight="1" spans="1:25">
      <c r="A2314" s="96" t="s">
        <v>403</v>
      </c>
      <c r="B2314" s="96" t="s">
        <v>2950</v>
      </c>
      <c r="C2314" s="96" t="s">
        <v>3134</v>
      </c>
      <c r="D2314" s="265" t="s">
        <v>2951</v>
      </c>
      <c r="E2314" s="105" t="s">
        <v>3135</v>
      </c>
      <c r="F2314" s="96" t="s">
        <v>3136</v>
      </c>
      <c r="G2314" s="96" t="s">
        <v>31</v>
      </c>
      <c r="H2314" s="19" t="s">
        <v>3137</v>
      </c>
      <c r="I2314" s="23" t="e">
        <f>VLOOKUP(H2314,'合同综合查询数据（3月返）'!$A:$A,1,FALSE)</f>
        <v>#N/A</v>
      </c>
      <c r="J2314" s="24" t="s">
        <v>33</v>
      </c>
      <c r="K2314" s="96" t="s">
        <v>3148</v>
      </c>
      <c r="L2314" s="114" t="s">
        <v>3148</v>
      </c>
      <c r="M2314" s="26"/>
      <c r="N2314" s="190">
        <v>43034</v>
      </c>
      <c r="O2314" s="96" t="s">
        <v>37</v>
      </c>
      <c r="P2314" s="268">
        <v>0</v>
      </c>
      <c r="Q2314" s="273">
        <v>288</v>
      </c>
      <c r="R2314" s="268">
        <f t="shared" si="61"/>
        <v>0</v>
      </c>
      <c r="S2314" s="24">
        <v>202303</v>
      </c>
      <c r="T2314" s="127" t="s">
        <v>3149</v>
      </c>
      <c r="U2314" s="40"/>
      <c r="V2314" s="40"/>
      <c r="W2314" s="40"/>
      <c r="X2314" s="106">
        <v>44652</v>
      </c>
      <c r="Y2314" s="106">
        <v>45016</v>
      </c>
    </row>
    <row r="2315" s="9" customFormat="1" customHeight="1" spans="1:25">
      <c r="A2315" s="96" t="s">
        <v>403</v>
      </c>
      <c r="B2315" s="96" t="s">
        <v>2950</v>
      </c>
      <c r="C2315" s="96" t="s">
        <v>3134</v>
      </c>
      <c r="D2315" s="265" t="s">
        <v>2951</v>
      </c>
      <c r="E2315" s="105" t="s">
        <v>3135</v>
      </c>
      <c r="F2315" s="96" t="s">
        <v>3136</v>
      </c>
      <c r="G2315" s="96" t="s">
        <v>31</v>
      </c>
      <c r="H2315" s="19" t="s">
        <v>3137</v>
      </c>
      <c r="I2315" s="23" t="e">
        <f>VLOOKUP(H2315,'合同综合查询数据（3月返）'!$A:$A,1,FALSE)</f>
        <v>#N/A</v>
      </c>
      <c r="J2315" s="24" t="s">
        <v>33</v>
      </c>
      <c r="K2315" s="96" t="s">
        <v>3148</v>
      </c>
      <c r="L2315" s="114" t="s">
        <v>3148</v>
      </c>
      <c r="M2315" s="26"/>
      <c r="N2315" s="190">
        <v>43799</v>
      </c>
      <c r="O2315" s="96" t="s">
        <v>37</v>
      </c>
      <c r="P2315" s="268">
        <v>0</v>
      </c>
      <c r="Q2315" s="273">
        <v>-288</v>
      </c>
      <c r="R2315" s="268">
        <f t="shared" si="61"/>
        <v>0</v>
      </c>
      <c r="S2315" s="24">
        <v>202303</v>
      </c>
      <c r="T2315" s="127" t="s">
        <v>3149</v>
      </c>
      <c r="U2315" s="40"/>
      <c r="V2315" s="40"/>
      <c r="W2315" s="40"/>
      <c r="X2315" s="106">
        <v>44652</v>
      </c>
      <c r="Y2315" s="106">
        <v>45016</v>
      </c>
    </row>
    <row r="2316" s="9" customFormat="1" customHeight="1" spans="1:25">
      <c r="A2316" s="96" t="s">
        <v>403</v>
      </c>
      <c r="B2316" s="96" t="s">
        <v>2950</v>
      </c>
      <c r="C2316" s="96" t="s">
        <v>3134</v>
      </c>
      <c r="D2316" s="265" t="s">
        <v>2951</v>
      </c>
      <c r="E2316" s="105" t="s">
        <v>3135</v>
      </c>
      <c r="F2316" s="96" t="s">
        <v>3136</v>
      </c>
      <c r="G2316" s="96" t="s">
        <v>31</v>
      </c>
      <c r="H2316" s="19" t="s">
        <v>3137</v>
      </c>
      <c r="I2316" s="23" t="e">
        <f>VLOOKUP(H2316,'合同综合查询数据（3月返）'!$A:$A,1,FALSE)</f>
        <v>#N/A</v>
      </c>
      <c r="J2316" s="24" t="s">
        <v>33</v>
      </c>
      <c r="K2316" s="96" t="s">
        <v>3150</v>
      </c>
      <c r="L2316" s="114" t="s">
        <v>3150</v>
      </c>
      <c r="M2316" s="26"/>
      <c r="N2316" s="190">
        <v>43034</v>
      </c>
      <c r="O2316" s="280" t="s">
        <v>37</v>
      </c>
      <c r="P2316" s="268">
        <v>0</v>
      </c>
      <c r="Q2316" s="273">
        <v>256</v>
      </c>
      <c r="R2316" s="268">
        <f t="shared" si="61"/>
        <v>0</v>
      </c>
      <c r="S2316" s="24">
        <v>202303</v>
      </c>
      <c r="T2316" s="127" t="s">
        <v>3151</v>
      </c>
      <c r="U2316" s="40"/>
      <c r="V2316" s="128"/>
      <c r="W2316" s="128"/>
      <c r="X2316" s="106">
        <v>44652</v>
      </c>
      <c r="Y2316" s="106">
        <v>45016</v>
      </c>
    </row>
    <row r="2317" s="9" customFormat="1" customHeight="1" spans="1:25">
      <c r="A2317" s="96" t="s">
        <v>403</v>
      </c>
      <c r="B2317" s="96" t="s">
        <v>2950</v>
      </c>
      <c r="C2317" s="96" t="s">
        <v>3134</v>
      </c>
      <c r="D2317" s="265" t="s">
        <v>2951</v>
      </c>
      <c r="E2317" s="105" t="s">
        <v>3135</v>
      </c>
      <c r="F2317" s="96" t="s">
        <v>3136</v>
      </c>
      <c r="G2317" s="96" t="s">
        <v>31</v>
      </c>
      <c r="H2317" s="19" t="s">
        <v>3137</v>
      </c>
      <c r="I2317" s="23" t="e">
        <f>VLOOKUP(H2317,'合同综合查询数据（3月返）'!$A:$A,1,FALSE)</f>
        <v>#N/A</v>
      </c>
      <c r="J2317" s="24" t="s">
        <v>33</v>
      </c>
      <c r="K2317" s="96" t="s">
        <v>3150</v>
      </c>
      <c r="L2317" s="114" t="s">
        <v>3150</v>
      </c>
      <c r="M2317" s="249"/>
      <c r="N2317" s="190">
        <v>43799</v>
      </c>
      <c r="O2317" s="96" t="s">
        <v>37</v>
      </c>
      <c r="P2317" s="268">
        <v>0</v>
      </c>
      <c r="Q2317" s="273">
        <v>-256</v>
      </c>
      <c r="R2317" s="268">
        <f t="shared" si="61"/>
        <v>0</v>
      </c>
      <c r="S2317" s="24">
        <v>202303</v>
      </c>
      <c r="T2317" s="127" t="s">
        <v>3151</v>
      </c>
      <c r="U2317" s="40"/>
      <c r="V2317" s="40"/>
      <c r="W2317" s="40"/>
      <c r="X2317" s="106">
        <v>44652</v>
      </c>
      <c r="Y2317" s="106">
        <v>45016</v>
      </c>
    </row>
    <row r="2318" s="9" customFormat="1" customHeight="1" spans="1:25">
      <c r="A2318" s="96" t="s">
        <v>403</v>
      </c>
      <c r="B2318" s="96" t="s">
        <v>2950</v>
      </c>
      <c r="C2318" s="96" t="s">
        <v>3134</v>
      </c>
      <c r="D2318" s="265" t="s">
        <v>2951</v>
      </c>
      <c r="E2318" s="105" t="s">
        <v>3135</v>
      </c>
      <c r="F2318" s="96" t="s">
        <v>3136</v>
      </c>
      <c r="G2318" s="96" t="s">
        <v>31</v>
      </c>
      <c r="H2318" s="19" t="s">
        <v>3137</v>
      </c>
      <c r="I2318" s="23" t="e">
        <f>VLOOKUP(H2318,'合同综合查询数据（3月返）'!$A:$A,1,FALSE)</f>
        <v>#N/A</v>
      </c>
      <c r="J2318" s="24" t="s">
        <v>33</v>
      </c>
      <c r="K2318" s="96" t="s">
        <v>3152</v>
      </c>
      <c r="L2318" s="114" t="s">
        <v>3152</v>
      </c>
      <c r="M2318" s="26" t="s">
        <v>3153</v>
      </c>
      <c r="N2318" s="190">
        <v>43735</v>
      </c>
      <c r="O2318" s="96" t="s">
        <v>37</v>
      </c>
      <c r="P2318" s="268">
        <v>0</v>
      </c>
      <c r="Q2318" s="273">
        <v>544</v>
      </c>
      <c r="R2318" s="268">
        <f t="shared" si="61"/>
        <v>0</v>
      </c>
      <c r="S2318" s="24">
        <v>202303</v>
      </c>
      <c r="T2318" s="127" t="s">
        <v>3154</v>
      </c>
      <c r="U2318" s="40"/>
      <c r="V2318" s="40"/>
      <c r="W2318" s="40"/>
      <c r="X2318" s="106">
        <v>44652</v>
      </c>
      <c r="Y2318" s="106">
        <v>45016</v>
      </c>
    </row>
    <row r="2319" s="9" customFormat="1" customHeight="1" spans="1:25">
      <c r="A2319" s="96" t="s">
        <v>403</v>
      </c>
      <c r="B2319" s="96" t="s">
        <v>2950</v>
      </c>
      <c r="C2319" s="96" t="s">
        <v>3134</v>
      </c>
      <c r="D2319" s="265" t="s">
        <v>2951</v>
      </c>
      <c r="E2319" s="105" t="s">
        <v>3135</v>
      </c>
      <c r="F2319" s="96" t="s">
        <v>3136</v>
      </c>
      <c r="G2319" s="96" t="s">
        <v>31</v>
      </c>
      <c r="H2319" s="19" t="s">
        <v>3137</v>
      </c>
      <c r="I2319" s="23" t="e">
        <f>VLOOKUP(H2319,'合同综合查询数据（3月返）'!$A:$A,1,FALSE)</f>
        <v>#N/A</v>
      </c>
      <c r="J2319" s="24" t="s">
        <v>33</v>
      </c>
      <c r="K2319" s="96" t="s">
        <v>3155</v>
      </c>
      <c r="L2319" s="114" t="s">
        <v>3146</v>
      </c>
      <c r="M2319" s="26" t="s">
        <v>3156</v>
      </c>
      <c r="N2319" s="190">
        <v>44298</v>
      </c>
      <c r="O2319" s="96" t="s">
        <v>37</v>
      </c>
      <c r="P2319" s="268">
        <v>0</v>
      </c>
      <c r="Q2319" s="273">
        <v>128</v>
      </c>
      <c r="R2319" s="268">
        <f t="shared" si="61"/>
        <v>0</v>
      </c>
      <c r="S2319" s="24">
        <v>202303</v>
      </c>
      <c r="T2319" s="127" t="s">
        <v>3157</v>
      </c>
      <c r="U2319" s="40"/>
      <c r="V2319" s="40"/>
      <c r="W2319" s="40"/>
      <c r="X2319" s="106">
        <v>44652</v>
      </c>
      <c r="Y2319" s="106">
        <v>45016</v>
      </c>
    </row>
    <row r="2320" s="9" customFormat="1" customHeight="1" spans="1:25">
      <c r="A2320" s="96" t="s">
        <v>403</v>
      </c>
      <c r="B2320" s="96" t="s">
        <v>2950</v>
      </c>
      <c r="C2320" s="96" t="s">
        <v>3134</v>
      </c>
      <c r="D2320" s="265" t="s">
        <v>2951</v>
      </c>
      <c r="E2320" s="105" t="s">
        <v>3135</v>
      </c>
      <c r="F2320" s="96" t="s">
        <v>3136</v>
      </c>
      <c r="G2320" s="96" t="s">
        <v>31</v>
      </c>
      <c r="H2320" s="19" t="s">
        <v>3137</v>
      </c>
      <c r="I2320" s="23" t="e">
        <f>VLOOKUP(H2320,'合同综合查询数据（3月返）'!$A:$A,1,FALSE)</f>
        <v>#N/A</v>
      </c>
      <c r="J2320" s="24" t="s">
        <v>33</v>
      </c>
      <c r="K2320" s="96" t="s">
        <v>3155</v>
      </c>
      <c r="L2320" s="281" t="s">
        <v>3146</v>
      </c>
      <c r="M2320" s="249" t="s">
        <v>3156</v>
      </c>
      <c r="N2320" s="190">
        <v>44383</v>
      </c>
      <c r="O2320" s="199" t="s">
        <v>37</v>
      </c>
      <c r="P2320" s="268">
        <v>0</v>
      </c>
      <c r="Q2320" s="273">
        <v>256</v>
      </c>
      <c r="R2320" s="268">
        <f t="shared" si="61"/>
        <v>0</v>
      </c>
      <c r="S2320" s="24">
        <v>202303</v>
      </c>
      <c r="T2320" s="127" t="s">
        <v>3158</v>
      </c>
      <c r="U2320" s="40"/>
      <c r="V2320" s="128"/>
      <c r="W2320" s="128"/>
      <c r="X2320" s="106">
        <v>44652</v>
      </c>
      <c r="Y2320" s="106">
        <v>45016</v>
      </c>
    </row>
    <row r="2321" s="9" customFormat="1" customHeight="1" spans="1:25">
      <c r="A2321" s="96" t="s">
        <v>403</v>
      </c>
      <c r="B2321" s="96" t="s">
        <v>2950</v>
      </c>
      <c r="C2321" s="96" t="s">
        <v>3134</v>
      </c>
      <c r="D2321" s="265" t="s">
        <v>2951</v>
      </c>
      <c r="E2321" s="105" t="s">
        <v>3135</v>
      </c>
      <c r="F2321" s="96" t="s">
        <v>3136</v>
      </c>
      <c r="G2321" s="96" t="s">
        <v>31</v>
      </c>
      <c r="H2321" s="19" t="s">
        <v>3137</v>
      </c>
      <c r="I2321" s="23" t="e">
        <f>VLOOKUP(H2321,'合同综合查询数据（3月返）'!$A:$A,1,FALSE)</f>
        <v>#N/A</v>
      </c>
      <c r="J2321" s="24" t="s">
        <v>33</v>
      </c>
      <c r="K2321" s="96" t="s">
        <v>3155</v>
      </c>
      <c r="L2321" s="114" t="s">
        <v>3146</v>
      </c>
      <c r="M2321" s="249" t="s">
        <v>3156</v>
      </c>
      <c r="N2321" s="190">
        <v>44370</v>
      </c>
      <c r="O2321" s="96" t="s">
        <v>37</v>
      </c>
      <c r="P2321" s="268">
        <v>0</v>
      </c>
      <c r="Q2321" s="273">
        <v>128</v>
      </c>
      <c r="R2321" s="268">
        <f t="shared" si="61"/>
        <v>0</v>
      </c>
      <c r="S2321" s="24">
        <v>202303</v>
      </c>
      <c r="T2321" s="127" t="s">
        <v>3159</v>
      </c>
      <c r="U2321" s="40"/>
      <c r="V2321" s="40"/>
      <c r="W2321" s="40"/>
      <c r="X2321" s="106">
        <v>44652</v>
      </c>
      <c r="Y2321" s="106">
        <v>45016</v>
      </c>
    </row>
    <row r="2322" s="9" customFormat="1" customHeight="1" spans="1:25">
      <c r="A2322" s="96" t="s">
        <v>403</v>
      </c>
      <c r="B2322" s="96" t="s">
        <v>2950</v>
      </c>
      <c r="C2322" s="96" t="s">
        <v>3134</v>
      </c>
      <c r="D2322" s="265" t="s">
        <v>2951</v>
      </c>
      <c r="E2322" s="105" t="s">
        <v>3135</v>
      </c>
      <c r="F2322" s="96" t="s">
        <v>3136</v>
      </c>
      <c r="G2322" s="96" t="s">
        <v>31</v>
      </c>
      <c r="H2322" s="19" t="s">
        <v>3137</v>
      </c>
      <c r="I2322" s="23" t="e">
        <f>VLOOKUP(H2322,'合同综合查询数据（3月返）'!$A:$A,1,FALSE)</f>
        <v>#N/A</v>
      </c>
      <c r="J2322" s="24" t="s">
        <v>33</v>
      </c>
      <c r="K2322" s="96" t="s">
        <v>3155</v>
      </c>
      <c r="L2322" s="114" t="s">
        <v>3146</v>
      </c>
      <c r="M2322" s="249" t="s">
        <v>3156</v>
      </c>
      <c r="N2322" s="190">
        <v>44419</v>
      </c>
      <c r="O2322" s="96" t="s">
        <v>37</v>
      </c>
      <c r="P2322" s="268">
        <v>0</v>
      </c>
      <c r="Q2322" s="273">
        <v>128</v>
      </c>
      <c r="R2322" s="268">
        <f t="shared" si="61"/>
        <v>0</v>
      </c>
      <c r="S2322" s="24">
        <v>202303</v>
      </c>
      <c r="T2322" s="127" t="s">
        <v>3160</v>
      </c>
      <c r="U2322" s="40"/>
      <c r="V2322" s="40"/>
      <c r="W2322" s="40"/>
      <c r="X2322" s="106">
        <v>44652</v>
      </c>
      <c r="Y2322" s="106">
        <v>45016</v>
      </c>
    </row>
    <row r="2323" s="10" customFormat="1" customHeight="1" spans="1:25">
      <c r="A2323" s="60" t="s">
        <v>403</v>
      </c>
      <c r="B2323" s="60" t="s">
        <v>2950</v>
      </c>
      <c r="C2323" s="60" t="s">
        <v>3134</v>
      </c>
      <c r="D2323" s="263" t="s">
        <v>2951</v>
      </c>
      <c r="E2323" s="63" t="s">
        <v>3135</v>
      </c>
      <c r="F2323" s="60" t="s">
        <v>3136</v>
      </c>
      <c r="G2323" s="60" t="s">
        <v>31</v>
      </c>
      <c r="H2323" s="45" t="s">
        <v>3161</v>
      </c>
      <c r="I2323" s="47" t="e">
        <f>VLOOKUP(H2323,'合同综合查询数据（3月返）'!$A:$A,1,FALSE)</f>
        <v>#N/A</v>
      </c>
      <c r="J2323" s="48" t="s">
        <v>33</v>
      </c>
      <c r="K2323" s="113" t="s">
        <v>3162</v>
      </c>
      <c r="L2323" s="113" t="s">
        <v>3144</v>
      </c>
      <c r="M2323" s="50" t="s">
        <v>3163</v>
      </c>
      <c r="N2323" s="163">
        <v>44694</v>
      </c>
      <c r="O2323" s="60" t="s">
        <v>37</v>
      </c>
      <c r="P2323" s="266">
        <v>0</v>
      </c>
      <c r="Q2323" s="270">
        <v>128</v>
      </c>
      <c r="R2323" s="266">
        <f t="shared" si="61"/>
        <v>0</v>
      </c>
      <c r="S2323" s="48">
        <v>202303</v>
      </c>
      <c r="T2323" s="125" t="s">
        <v>3164</v>
      </c>
      <c r="U2323" s="58"/>
      <c r="V2323" s="126"/>
      <c r="W2323" s="126"/>
      <c r="X2323" s="111"/>
      <c r="Y2323" s="111"/>
    </row>
    <row r="2324" s="9" customFormat="1" customHeight="1" spans="1:25">
      <c r="A2324" s="96" t="s">
        <v>403</v>
      </c>
      <c r="B2324" s="96" t="s">
        <v>2950</v>
      </c>
      <c r="C2324" s="96" t="s">
        <v>3134</v>
      </c>
      <c r="D2324" s="265" t="s">
        <v>2951</v>
      </c>
      <c r="E2324" s="105" t="s">
        <v>3135</v>
      </c>
      <c r="F2324" s="96" t="s">
        <v>3136</v>
      </c>
      <c r="G2324" s="96" t="s">
        <v>31</v>
      </c>
      <c r="H2324" s="19" t="s">
        <v>3137</v>
      </c>
      <c r="I2324" s="23" t="e">
        <f>VLOOKUP(H2324,'合同综合查询数据（3月返）'!$A:$A,1,FALSE)</f>
        <v>#N/A</v>
      </c>
      <c r="J2324" s="24" t="s">
        <v>33</v>
      </c>
      <c r="K2324" s="114" t="s">
        <v>3162</v>
      </c>
      <c r="L2324" s="114" t="s">
        <v>3144</v>
      </c>
      <c r="M2324" s="26" t="s">
        <v>3163</v>
      </c>
      <c r="N2324" s="190">
        <v>44773</v>
      </c>
      <c r="O2324" s="96" t="s">
        <v>37</v>
      </c>
      <c r="P2324" s="268">
        <v>0</v>
      </c>
      <c r="Q2324" s="273">
        <v>-128</v>
      </c>
      <c r="R2324" s="268">
        <f t="shared" si="61"/>
        <v>0</v>
      </c>
      <c r="S2324" s="24">
        <v>202303</v>
      </c>
      <c r="T2324" s="127" t="s">
        <v>3165</v>
      </c>
      <c r="U2324" s="40"/>
      <c r="V2324" s="128"/>
      <c r="W2324" s="285"/>
      <c r="X2324" s="286">
        <v>44652</v>
      </c>
      <c r="Y2324" s="106">
        <v>45016</v>
      </c>
    </row>
    <row r="2325" s="9" customFormat="1" customHeight="1" spans="1:25">
      <c r="A2325" s="96" t="s">
        <v>403</v>
      </c>
      <c r="B2325" s="96" t="s">
        <v>2950</v>
      </c>
      <c r="C2325" s="96" t="s">
        <v>3134</v>
      </c>
      <c r="D2325" s="265" t="s">
        <v>2951</v>
      </c>
      <c r="E2325" s="105" t="s">
        <v>3135</v>
      </c>
      <c r="F2325" s="96" t="s">
        <v>3136</v>
      </c>
      <c r="G2325" s="96" t="s">
        <v>31</v>
      </c>
      <c r="H2325" s="19" t="s">
        <v>3137</v>
      </c>
      <c r="I2325" s="23" t="e">
        <f>VLOOKUP(H2325,'合同综合查询数据（3月返）'!$A:$A,1,FALSE)</f>
        <v>#N/A</v>
      </c>
      <c r="J2325" s="24" t="s">
        <v>33</v>
      </c>
      <c r="K2325" s="114" t="s">
        <v>3145</v>
      </c>
      <c r="L2325" s="114" t="s">
        <v>3146</v>
      </c>
      <c r="M2325" s="26" t="s">
        <v>3156</v>
      </c>
      <c r="N2325" s="190">
        <v>44773</v>
      </c>
      <c r="O2325" s="96" t="s">
        <v>37</v>
      </c>
      <c r="P2325" s="268">
        <v>0</v>
      </c>
      <c r="Q2325" s="273">
        <v>-256</v>
      </c>
      <c r="R2325" s="268">
        <f t="shared" si="61"/>
        <v>0</v>
      </c>
      <c r="S2325" s="24">
        <v>202303</v>
      </c>
      <c r="T2325" s="127" t="s">
        <v>3166</v>
      </c>
      <c r="U2325" s="40"/>
      <c r="V2325" s="128"/>
      <c r="W2325" s="285"/>
      <c r="X2325" s="286">
        <v>44652</v>
      </c>
      <c r="Y2325" s="106">
        <v>45016</v>
      </c>
    </row>
    <row r="2326" s="9" customFormat="1" customHeight="1" spans="1:25">
      <c r="A2326" s="96" t="s">
        <v>403</v>
      </c>
      <c r="B2326" s="96" t="s">
        <v>2950</v>
      </c>
      <c r="C2326" s="96" t="s">
        <v>3134</v>
      </c>
      <c r="D2326" s="265" t="s">
        <v>2951</v>
      </c>
      <c r="E2326" s="105" t="s">
        <v>3135</v>
      </c>
      <c r="F2326" s="96" t="s">
        <v>3136</v>
      </c>
      <c r="G2326" s="96" t="s">
        <v>31</v>
      </c>
      <c r="H2326" s="19" t="s">
        <v>3137</v>
      </c>
      <c r="I2326" s="23" t="e">
        <f>VLOOKUP(H2326,'合同综合查询数据（3月返）'!$A:$A,1,FALSE)</f>
        <v>#N/A</v>
      </c>
      <c r="J2326" s="24" t="s">
        <v>33</v>
      </c>
      <c r="K2326" s="114" t="s">
        <v>3167</v>
      </c>
      <c r="L2326" s="114" t="s">
        <v>3142</v>
      </c>
      <c r="M2326" s="26" t="s">
        <v>3163</v>
      </c>
      <c r="N2326" s="190">
        <v>44773</v>
      </c>
      <c r="O2326" s="96" t="s">
        <v>37</v>
      </c>
      <c r="P2326" s="268">
        <v>0</v>
      </c>
      <c r="Q2326" s="273">
        <v>-256</v>
      </c>
      <c r="R2326" s="268">
        <f t="shared" si="61"/>
        <v>0</v>
      </c>
      <c r="S2326" s="24">
        <v>202303</v>
      </c>
      <c r="T2326" s="127" t="s">
        <v>3168</v>
      </c>
      <c r="U2326" s="40"/>
      <c r="V2326" s="128"/>
      <c r="W2326" s="285"/>
      <c r="X2326" s="286">
        <v>44652</v>
      </c>
      <c r="Y2326" s="106">
        <v>45016</v>
      </c>
    </row>
    <row r="2327" s="10" customFormat="1" customHeight="1" spans="1:25">
      <c r="A2327" s="60" t="s">
        <v>403</v>
      </c>
      <c r="B2327" s="60" t="s">
        <v>2950</v>
      </c>
      <c r="C2327" s="60" t="s">
        <v>3134</v>
      </c>
      <c r="D2327" s="263" t="s">
        <v>2951</v>
      </c>
      <c r="E2327" s="63" t="s">
        <v>3135</v>
      </c>
      <c r="F2327" s="60" t="s">
        <v>3136</v>
      </c>
      <c r="G2327" s="60" t="s">
        <v>31</v>
      </c>
      <c r="H2327" s="45" t="s">
        <v>3169</v>
      </c>
      <c r="I2327" s="47" t="e">
        <f>VLOOKUP(H2327,'合同综合查询数据（3月返）'!$A:$A,1,FALSE)</f>
        <v>#N/A</v>
      </c>
      <c r="J2327" s="48" t="s">
        <v>33</v>
      </c>
      <c r="K2327" s="113" t="s">
        <v>3162</v>
      </c>
      <c r="L2327" s="113" t="s">
        <v>3144</v>
      </c>
      <c r="M2327" s="50" t="s">
        <v>3163</v>
      </c>
      <c r="N2327" s="163">
        <v>44798</v>
      </c>
      <c r="O2327" s="282" t="s">
        <v>37</v>
      </c>
      <c r="P2327" s="266">
        <v>0</v>
      </c>
      <c r="Q2327" s="270">
        <v>128</v>
      </c>
      <c r="R2327" s="266">
        <f t="shared" si="61"/>
        <v>0</v>
      </c>
      <c r="S2327" s="48">
        <v>202303</v>
      </c>
      <c r="T2327" s="125" t="s">
        <v>3170</v>
      </c>
      <c r="U2327" s="58"/>
      <c r="V2327" s="126"/>
      <c r="W2327" s="126"/>
      <c r="X2327" s="111"/>
      <c r="Y2327" s="111"/>
    </row>
    <row r="2328" s="9" customFormat="1" customHeight="1" spans="1:25">
      <c r="A2328" s="96" t="s">
        <v>403</v>
      </c>
      <c r="B2328" s="96" t="s">
        <v>2950</v>
      </c>
      <c r="C2328" s="96" t="s">
        <v>3134</v>
      </c>
      <c r="D2328" s="265" t="s">
        <v>2951</v>
      </c>
      <c r="E2328" s="105" t="s">
        <v>3135</v>
      </c>
      <c r="F2328" s="96" t="s">
        <v>3136</v>
      </c>
      <c r="G2328" s="96" t="s">
        <v>31</v>
      </c>
      <c r="H2328" s="19" t="s">
        <v>3137</v>
      </c>
      <c r="I2328" s="23" t="e">
        <f>VLOOKUP(H2328,'合同综合查询数据（3月返）'!$A:$A,1,FALSE)</f>
        <v>#N/A</v>
      </c>
      <c r="J2328" s="24" t="s">
        <v>33</v>
      </c>
      <c r="K2328" s="114" t="s">
        <v>3162</v>
      </c>
      <c r="L2328" s="114" t="s">
        <v>3144</v>
      </c>
      <c r="M2328" s="249" t="s">
        <v>3163</v>
      </c>
      <c r="N2328" s="190"/>
      <c r="O2328" s="96" t="s">
        <v>152</v>
      </c>
      <c r="P2328" s="268">
        <v>0</v>
      </c>
      <c r="Q2328" s="273">
        <v>1</v>
      </c>
      <c r="R2328" s="268">
        <f t="shared" si="61"/>
        <v>0</v>
      </c>
      <c r="S2328" s="24">
        <v>202303</v>
      </c>
      <c r="T2328" s="127" t="s">
        <v>3171</v>
      </c>
      <c r="U2328" s="40"/>
      <c r="V2328" s="40"/>
      <c r="W2328" s="40"/>
      <c r="X2328" s="106">
        <v>44652</v>
      </c>
      <c r="Y2328" s="106">
        <v>45016</v>
      </c>
    </row>
    <row r="2329" s="9" customFormat="1" customHeight="1" spans="1:25">
      <c r="A2329" s="96" t="s">
        <v>403</v>
      </c>
      <c r="B2329" s="96" t="s">
        <v>2950</v>
      </c>
      <c r="C2329" s="96" t="s">
        <v>3134</v>
      </c>
      <c r="D2329" s="265" t="s">
        <v>2951</v>
      </c>
      <c r="E2329" s="105" t="s">
        <v>3135</v>
      </c>
      <c r="F2329" s="96" t="s">
        <v>3136</v>
      </c>
      <c r="G2329" s="96" t="s">
        <v>31</v>
      </c>
      <c r="H2329" s="19" t="s">
        <v>3137</v>
      </c>
      <c r="I2329" s="23" t="e">
        <f>VLOOKUP(H2329,'合同综合查询数据（3月返）'!$A:$A,1,FALSE)</f>
        <v>#N/A</v>
      </c>
      <c r="J2329" s="24" t="s">
        <v>33</v>
      </c>
      <c r="K2329" s="114" t="s">
        <v>3145</v>
      </c>
      <c r="L2329" s="114" t="s">
        <v>3146</v>
      </c>
      <c r="M2329" s="26" t="s">
        <v>3156</v>
      </c>
      <c r="N2329" s="190"/>
      <c r="O2329" s="96" t="s">
        <v>152</v>
      </c>
      <c r="P2329" s="268">
        <v>0</v>
      </c>
      <c r="Q2329" s="273">
        <v>1</v>
      </c>
      <c r="R2329" s="268">
        <f t="shared" si="61"/>
        <v>0</v>
      </c>
      <c r="S2329" s="24">
        <v>202303</v>
      </c>
      <c r="T2329" s="127" t="s">
        <v>3172</v>
      </c>
      <c r="U2329" s="40"/>
      <c r="V2329" s="40"/>
      <c r="W2329" s="40"/>
      <c r="X2329" s="106">
        <v>44652</v>
      </c>
      <c r="Y2329" s="106">
        <v>45016</v>
      </c>
    </row>
    <row r="2330" s="9" customFormat="1" customHeight="1" spans="1:25">
      <c r="A2330" s="96" t="s">
        <v>403</v>
      </c>
      <c r="B2330" s="96" t="s">
        <v>2950</v>
      </c>
      <c r="C2330" s="96" t="s">
        <v>3134</v>
      </c>
      <c r="D2330" s="265" t="s">
        <v>2951</v>
      </c>
      <c r="E2330" s="105" t="s">
        <v>3135</v>
      </c>
      <c r="F2330" s="96" t="s">
        <v>3136</v>
      </c>
      <c r="G2330" s="96" t="s">
        <v>31</v>
      </c>
      <c r="H2330" s="19" t="s">
        <v>3137</v>
      </c>
      <c r="I2330" s="23" t="e">
        <f>VLOOKUP(H2330,'合同综合查询数据（3月返）'!$A:$A,1,FALSE)</f>
        <v>#N/A</v>
      </c>
      <c r="J2330" s="24" t="s">
        <v>33</v>
      </c>
      <c r="K2330" s="114" t="s">
        <v>3167</v>
      </c>
      <c r="L2330" s="114" t="s">
        <v>3142</v>
      </c>
      <c r="M2330" s="26" t="s">
        <v>3163</v>
      </c>
      <c r="N2330" s="190"/>
      <c r="O2330" s="96" t="s">
        <v>152</v>
      </c>
      <c r="P2330" s="268">
        <v>0</v>
      </c>
      <c r="Q2330" s="273">
        <v>1</v>
      </c>
      <c r="R2330" s="268">
        <f t="shared" si="61"/>
        <v>0</v>
      </c>
      <c r="S2330" s="24">
        <v>202303</v>
      </c>
      <c r="T2330" s="127" t="s">
        <v>3171</v>
      </c>
      <c r="U2330" s="40"/>
      <c r="V2330" s="40"/>
      <c r="W2330" s="40"/>
      <c r="X2330" s="106">
        <v>44652</v>
      </c>
      <c r="Y2330" s="106">
        <v>45016</v>
      </c>
    </row>
    <row r="2331" s="9" customFormat="1" customHeight="1" spans="1:25">
      <c r="A2331" s="96" t="s">
        <v>403</v>
      </c>
      <c r="B2331" s="96" t="s">
        <v>2950</v>
      </c>
      <c r="C2331" s="96" t="s">
        <v>3134</v>
      </c>
      <c r="D2331" s="265" t="s">
        <v>2951</v>
      </c>
      <c r="E2331" s="105" t="s">
        <v>3135</v>
      </c>
      <c r="F2331" s="96" t="s">
        <v>3136</v>
      </c>
      <c r="G2331" s="96" t="s">
        <v>31</v>
      </c>
      <c r="H2331" s="19" t="s">
        <v>3137</v>
      </c>
      <c r="I2331" s="23" t="e">
        <f>VLOOKUP(H2331,'合同综合查询数据（3月返）'!$A:$A,1,FALSE)</f>
        <v>#N/A</v>
      </c>
      <c r="J2331" s="24" t="s">
        <v>33</v>
      </c>
      <c r="K2331" s="114" t="s">
        <v>3173</v>
      </c>
      <c r="L2331" s="114" t="s">
        <v>3152</v>
      </c>
      <c r="M2331" s="249" t="s">
        <v>3153</v>
      </c>
      <c r="N2331" s="190"/>
      <c r="O2331" s="283" t="s">
        <v>152</v>
      </c>
      <c r="P2331" s="268">
        <v>0</v>
      </c>
      <c r="Q2331" s="273">
        <v>1</v>
      </c>
      <c r="R2331" s="268">
        <f t="shared" si="61"/>
        <v>0</v>
      </c>
      <c r="S2331" s="24">
        <v>202303</v>
      </c>
      <c r="T2331" s="127" t="s">
        <v>3172</v>
      </c>
      <c r="U2331" s="40"/>
      <c r="V2331" s="128"/>
      <c r="W2331" s="128"/>
      <c r="X2331" s="106">
        <v>44652</v>
      </c>
      <c r="Y2331" s="106">
        <v>45016</v>
      </c>
    </row>
    <row r="2332" s="9" customFormat="1" customHeight="1" spans="1:25">
      <c r="A2332" s="96" t="s">
        <v>403</v>
      </c>
      <c r="B2332" s="96" t="s">
        <v>2950</v>
      </c>
      <c r="C2332" s="96" t="s">
        <v>3134</v>
      </c>
      <c r="D2332" s="265" t="s">
        <v>2951</v>
      </c>
      <c r="E2332" s="105" t="s">
        <v>3135</v>
      </c>
      <c r="F2332" s="96" t="s">
        <v>3136</v>
      </c>
      <c r="G2332" s="96" t="s">
        <v>88</v>
      </c>
      <c r="H2332" s="19" t="s">
        <v>3137</v>
      </c>
      <c r="I2332" s="23" t="e">
        <f>VLOOKUP(H2332,'合同综合查询数据（3月返）'!$A:$A,1,FALSE)</f>
        <v>#N/A</v>
      </c>
      <c r="J2332" s="24" t="s">
        <v>126</v>
      </c>
      <c r="K2332" s="96" t="s">
        <v>3138</v>
      </c>
      <c r="L2332" s="114"/>
      <c r="M2332" s="249" t="s">
        <v>3174</v>
      </c>
      <c r="N2332" s="190">
        <v>41786</v>
      </c>
      <c r="O2332" s="96" t="s">
        <v>624</v>
      </c>
      <c r="P2332" s="268">
        <v>4167</v>
      </c>
      <c r="Q2332" s="273">
        <v>14</v>
      </c>
      <c r="R2332" s="268">
        <f t="shared" si="61"/>
        <v>58338</v>
      </c>
      <c r="S2332" s="24">
        <v>202303</v>
      </c>
      <c r="T2332" s="127" t="s">
        <v>3175</v>
      </c>
      <c r="U2332" s="40"/>
      <c r="V2332" s="40"/>
      <c r="W2332" s="40"/>
      <c r="X2332" s="106">
        <v>44652</v>
      </c>
      <c r="Y2332" s="106">
        <v>45016</v>
      </c>
    </row>
    <row r="2333" s="9" customFormat="1" customHeight="1" spans="1:25">
      <c r="A2333" s="96" t="s">
        <v>403</v>
      </c>
      <c r="B2333" s="96" t="s">
        <v>2950</v>
      </c>
      <c r="C2333" s="96" t="s">
        <v>3134</v>
      </c>
      <c r="D2333" s="265" t="s">
        <v>2951</v>
      </c>
      <c r="E2333" s="105" t="s">
        <v>3135</v>
      </c>
      <c r="F2333" s="96" t="s">
        <v>3136</v>
      </c>
      <c r="G2333" s="96" t="s">
        <v>88</v>
      </c>
      <c r="H2333" s="19" t="s">
        <v>3137</v>
      </c>
      <c r="I2333" s="23" t="e">
        <f>VLOOKUP(H2333,'合同综合查询数据（3月返）'!$A:$A,1,FALSE)</f>
        <v>#N/A</v>
      </c>
      <c r="J2333" s="24" t="s">
        <v>126</v>
      </c>
      <c r="K2333" s="96" t="s">
        <v>3138</v>
      </c>
      <c r="L2333" s="114"/>
      <c r="M2333" s="249" t="s">
        <v>3174</v>
      </c>
      <c r="N2333" s="190">
        <v>43799</v>
      </c>
      <c r="O2333" s="96" t="s">
        <v>624</v>
      </c>
      <c r="P2333" s="268">
        <v>4167</v>
      </c>
      <c r="Q2333" s="273">
        <v>-14</v>
      </c>
      <c r="R2333" s="268">
        <f t="shared" si="61"/>
        <v>-58338</v>
      </c>
      <c r="S2333" s="24">
        <v>202303</v>
      </c>
      <c r="T2333" s="127" t="s">
        <v>3175</v>
      </c>
      <c r="U2333" s="40"/>
      <c r="V2333" s="40"/>
      <c r="W2333" s="40"/>
      <c r="X2333" s="106">
        <v>44652</v>
      </c>
      <c r="Y2333" s="106">
        <v>45016</v>
      </c>
    </row>
    <row r="2334" s="9" customFormat="1" customHeight="1" spans="1:25">
      <c r="A2334" s="96" t="s">
        <v>403</v>
      </c>
      <c r="B2334" s="96" t="s">
        <v>2950</v>
      </c>
      <c r="C2334" s="96" t="s">
        <v>3134</v>
      </c>
      <c r="D2334" s="265" t="s">
        <v>2951</v>
      </c>
      <c r="E2334" s="105" t="s">
        <v>3135</v>
      </c>
      <c r="F2334" s="96" t="s">
        <v>3136</v>
      </c>
      <c r="G2334" s="96" t="s">
        <v>88</v>
      </c>
      <c r="H2334" s="19" t="s">
        <v>3137</v>
      </c>
      <c r="I2334" s="23" t="e">
        <f>VLOOKUP(H2334,'合同综合查询数据（3月返）'!$A:$A,1,FALSE)</f>
        <v>#N/A</v>
      </c>
      <c r="J2334" s="24" t="s">
        <v>126</v>
      </c>
      <c r="K2334" s="96" t="s">
        <v>3176</v>
      </c>
      <c r="L2334" s="114"/>
      <c r="M2334" s="26" t="s">
        <v>3163</v>
      </c>
      <c r="N2334" s="190" t="s">
        <v>1225</v>
      </c>
      <c r="O2334" s="96" t="s">
        <v>92</v>
      </c>
      <c r="P2334" s="268">
        <v>4500</v>
      </c>
      <c r="Q2334" s="273">
        <v>1</v>
      </c>
      <c r="R2334" s="268">
        <f t="shared" si="61"/>
        <v>4500</v>
      </c>
      <c r="S2334" s="24">
        <v>202303</v>
      </c>
      <c r="T2334" s="127" t="s">
        <v>3177</v>
      </c>
      <c r="U2334" s="40"/>
      <c r="V2334" s="40"/>
      <c r="W2334" s="40"/>
      <c r="X2334" s="106">
        <v>44652</v>
      </c>
      <c r="Y2334" s="106">
        <v>45016</v>
      </c>
    </row>
    <row r="2335" s="9" customFormat="1" customHeight="1" spans="1:25">
      <c r="A2335" s="96" t="s">
        <v>403</v>
      </c>
      <c r="B2335" s="96" t="s">
        <v>2950</v>
      </c>
      <c r="C2335" s="96" t="s">
        <v>3134</v>
      </c>
      <c r="D2335" s="265" t="s">
        <v>2951</v>
      </c>
      <c r="E2335" s="105" t="s">
        <v>3135</v>
      </c>
      <c r="F2335" s="96" t="s">
        <v>3136</v>
      </c>
      <c r="G2335" s="96" t="s">
        <v>88</v>
      </c>
      <c r="H2335" s="19" t="s">
        <v>3137</v>
      </c>
      <c r="I2335" s="23" t="e">
        <f>VLOOKUP(H2335,'合同综合查询数据（3月返）'!$A:$A,1,FALSE)</f>
        <v>#N/A</v>
      </c>
      <c r="J2335" s="24" t="s">
        <v>126</v>
      </c>
      <c r="K2335" s="96" t="s">
        <v>3176</v>
      </c>
      <c r="L2335" s="114"/>
      <c r="M2335" s="26" t="s">
        <v>3163</v>
      </c>
      <c r="N2335" s="190" t="s">
        <v>1225</v>
      </c>
      <c r="O2335" s="96" t="s">
        <v>92</v>
      </c>
      <c r="P2335" s="268">
        <v>4500</v>
      </c>
      <c r="Q2335" s="273">
        <v>4</v>
      </c>
      <c r="R2335" s="268">
        <f t="shared" si="61"/>
        <v>18000</v>
      </c>
      <c r="S2335" s="24">
        <v>202303</v>
      </c>
      <c r="T2335" s="127" t="s">
        <v>3178</v>
      </c>
      <c r="U2335" s="40"/>
      <c r="V2335" s="40"/>
      <c r="W2335" s="40"/>
      <c r="X2335" s="106">
        <v>44652</v>
      </c>
      <c r="Y2335" s="106">
        <v>45016</v>
      </c>
    </row>
    <row r="2336" s="9" customFormat="1" customHeight="1" spans="1:25">
      <c r="A2336" s="96" t="s">
        <v>403</v>
      </c>
      <c r="B2336" s="96" t="s">
        <v>2950</v>
      </c>
      <c r="C2336" s="96" t="s">
        <v>3134</v>
      </c>
      <c r="D2336" s="265" t="s">
        <v>2951</v>
      </c>
      <c r="E2336" s="105" t="s">
        <v>3135</v>
      </c>
      <c r="F2336" s="96" t="s">
        <v>3136</v>
      </c>
      <c r="G2336" s="96" t="s">
        <v>88</v>
      </c>
      <c r="H2336" s="19" t="s">
        <v>3137</v>
      </c>
      <c r="I2336" s="23" t="e">
        <f>VLOOKUP(H2336,'合同综合查询数据（3月返）'!$A:$A,1,FALSE)</f>
        <v>#N/A</v>
      </c>
      <c r="J2336" s="24" t="s">
        <v>126</v>
      </c>
      <c r="K2336" s="114" t="s">
        <v>3176</v>
      </c>
      <c r="L2336" s="114"/>
      <c r="M2336" s="26" t="s">
        <v>3163</v>
      </c>
      <c r="N2336" s="190">
        <v>43665</v>
      </c>
      <c r="O2336" s="199" t="s">
        <v>92</v>
      </c>
      <c r="P2336" s="268">
        <v>4500</v>
      </c>
      <c r="Q2336" s="273">
        <v>-4</v>
      </c>
      <c r="R2336" s="268">
        <f t="shared" si="61"/>
        <v>-18000</v>
      </c>
      <c r="S2336" s="24">
        <v>202303</v>
      </c>
      <c r="T2336" s="127" t="s">
        <v>3179</v>
      </c>
      <c r="U2336" s="40"/>
      <c r="V2336" s="128"/>
      <c r="W2336" s="128"/>
      <c r="X2336" s="106">
        <v>44652</v>
      </c>
      <c r="Y2336" s="106">
        <v>45016</v>
      </c>
    </row>
    <row r="2337" s="9" customFormat="1" customHeight="1" spans="1:25">
      <c r="A2337" s="96" t="s">
        <v>403</v>
      </c>
      <c r="B2337" s="96" t="s">
        <v>2950</v>
      </c>
      <c r="C2337" s="96" t="s">
        <v>3134</v>
      </c>
      <c r="D2337" s="265" t="s">
        <v>2951</v>
      </c>
      <c r="E2337" s="105" t="s">
        <v>3135</v>
      </c>
      <c r="F2337" s="96" t="s">
        <v>3136</v>
      </c>
      <c r="G2337" s="96" t="s">
        <v>88</v>
      </c>
      <c r="H2337" s="19" t="s">
        <v>3137</v>
      </c>
      <c r="I2337" s="23" t="e">
        <f>VLOOKUP(H2337,'合同综合查询数据（3月返）'!$A:$A,1,FALSE)</f>
        <v>#N/A</v>
      </c>
      <c r="J2337" s="24" t="s">
        <v>126</v>
      </c>
      <c r="K2337" s="114" t="s">
        <v>3176</v>
      </c>
      <c r="L2337" s="114"/>
      <c r="M2337" s="26" t="s">
        <v>3163</v>
      </c>
      <c r="N2337" s="190">
        <v>43665</v>
      </c>
      <c r="O2337" s="284" t="s">
        <v>92</v>
      </c>
      <c r="P2337" s="268">
        <v>4500</v>
      </c>
      <c r="Q2337" s="273">
        <v>1</v>
      </c>
      <c r="R2337" s="268">
        <f t="shared" si="61"/>
        <v>4500</v>
      </c>
      <c r="S2337" s="24">
        <v>202303</v>
      </c>
      <c r="T2337" s="127" t="s">
        <v>3180</v>
      </c>
      <c r="U2337" s="40"/>
      <c r="V2337" s="40"/>
      <c r="W2337" s="40"/>
      <c r="X2337" s="106">
        <v>44652</v>
      </c>
      <c r="Y2337" s="106">
        <v>45016</v>
      </c>
    </row>
    <row r="2338" s="9" customFormat="1" customHeight="1" spans="1:25">
      <c r="A2338" s="96" t="s">
        <v>403</v>
      </c>
      <c r="B2338" s="96" t="s">
        <v>2950</v>
      </c>
      <c r="C2338" s="96" t="s">
        <v>3134</v>
      </c>
      <c r="D2338" s="265" t="s">
        <v>2951</v>
      </c>
      <c r="E2338" s="105" t="s">
        <v>3135</v>
      </c>
      <c r="F2338" s="96" t="s">
        <v>3136</v>
      </c>
      <c r="G2338" s="96" t="s">
        <v>88</v>
      </c>
      <c r="H2338" s="19" t="s">
        <v>3137</v>
      </c>
      <c r="I2338" s="23" t="e">
        <f>VLOOKUP(H2338,'合同综合查询数据（3月返）'!$A:$A,1,FALSE)</f>
        <v>#N/A</v>
      </c>
      <c r="J2338" s="24" t="s">
        <v>126</v>
      </c>
      <c r="K2338" s="114" t="s">
        <v>3162</v>
      </c>
      <c r="L2338" s="114"/>
      <c r="M2338" s="26" t="s">
        <v>3163</v>
      </c>
      <c r="N2338" s="190" t="s">
        <v>1225</v>
      </c>
      <c r="O2338" s="199" t="s">
        <v>92</v>
      </c>
      <c r="P2338" s="268">
        <v>4500</v>
      </c>
      <c r="Q2338" s="273">
        <v>7</v>
      </c>
      <c r="R2338" s="268">
        <f t="shared" si="61"/>
        <v>31500</v>
      </c>
      <c r="S2338" s="24">
        <v>202303</v>
      </c>
      <c r="T2338" s="127" t="s">
        <v>3181</v>
      </c>
      <c r="U2338" s="40"/>
      <c r="V2338" s="40"/>
      <c r="W2338" s="40"/>
      <c r="X2338" s="106">
        <v>44652</v>
      </c>
      <c r="Y2338" s="106">
        <v>45016</v>
      </c>
    </row>
    <row r="2339" s="9" customFormat="1" customHeight="1" spans="1:25">
      <c r="A2339" s="96" t="s">
        <v>403</v>
      </c>
      <c r="B2339" s="96" t="s">
        <v>2950</v>
      </c>
      <c r="C2339" s="96" t="s">
        <v>3134</v>
      </c>
      <c r="D2339" s="265" t="s">
        <v>2951</v>
      </c>
      <c r="E2339" s="105" t="s">
        <v>3135</v>
      </c>
      <c r="F2339" s="96" t="s">
        <v>3136</v>
      </c>
      <c r="G2339" s="96" t="s">
        <v>88</v>
      </c>
      <c r="H2339" s="19" t="s">
        <v>3137</v>
      </c>
      <c r="I2339" s="23" t="e">
        <f>VLOOKUP(H2339,'合同综合查询数据（3月返）'!$A:$A,1,FALSE)</f>
        <v>#N/A</v>
      </c>
      <c r="J2339" s="24" t="s">
        <v>126</v>
      </c>
      <c r="K2339" s="114" t="s">
        <v>3145</v>
      </c>
      <c r="L2339" s="114"/>
      <c r="M2339" s="26" t="s">
        <v>3156</v>
      </c>
      <c r="N2339" s="190">
        <v>43494</v>
      </c>
      <c r="O2339" s="199" t="s">
        <v>624</v>
      </c>
      <c r="P2339" s="268">
        <v>4167</v>
      </c>
      <c r="Q2339" s="273">
        <v>9</v>
      </c>
      <c r="R2339" s="268">
        <f t="shared" si="61"/>
        <v>37503</v>
      </c>
      <c r="S2339" s="24">
        <v>202303</v>
      </c>
      <c r="T2339" s="127" t="s">
        <v>3182</v>
      </c>
      <c r="U2339" s="40"/>
      <c r="V2339" s="40"/>
      <c r="W2339" s="40"/>
      <c r="X2339" s="106">
        <v>44652</v>
      </c>
      <c r="Y2339" s="106">
        <v>45016</v>
      </c>
    </row>
    <row r="2340" s="9" customFormat="1" customHeight="1" spans="1:25">
      <c r="A2340" s="96" t="s">
        <v>403</v>
      </c>
      <c r="B2340" s="96" t="s">
        <v>2950</v>
      </c>
      <c r="C2340" s="96" t="s">
        <v>3134</v>
      </c>
      <c r="D2340" s="265" t="s">
        <v>2951</v>
      </c>
      <c r="E2340" s="105" t="s">
        <v>3135</v>
      </c>
      <c r="F2340" s="96" t="s">
        <v>3136</v>
      </c>
      <c r="G2340" s="96" t="s">
        <v>88</v>
      </c>
      <c r="H2340" s="19" t="s">
        <v>3137</v>
      </c>
      <c r="I2340" s="23" t="e">
        <f>VLOOKUP(H2340,'合同综合查询数据（3月返）'!$A:$A,1,FALSE)</f>
        <v>#N/A</v>
      </c>
      <c r="J2340" s="24" t="s">
        <v>126</v>
      </c>
      <c r="K2340" s="114" t="s">
        <v>3167</v>
      </c>
      <c r="L2340" s="114"/>
      <c r="M2340" s="26" t="s">
        <v>3163</v>
      </c>
      <c r="N2340" s="190">
        <v>43490</v>
      </c>
      <c r="O2340" s="199" t="s">
        <v>92</v>
      </c>
      <c r="P2340" s="268">
        <v>4500</v>
      </c>
      <c r="Q2340" s="273">
        <v>9</v>
      </c>
      <c r="R2340" s="268">
        <f t="shared" si="61"/>
        <v>40500</v>
      </c>
      <c r="S2340" s="24">
        <v>202303</v>
      </c>
      <c r="T2340" s="127" t="s">
        <v>3183</v>
      </c>
      <c r="U2340" s="40"/>
      <c r="V2340" s="40"/>
      <c r="W2340" s="40"/>
      <c r="X2340" s="106">
        <v>44652</v>
      </c>
      <c r="Y2340" s="106">
        <v>45016</v>
      </c>
    </row>
    <row r="2341" s="9" customFormat="1" customHeight="1" spans="1:25">
      <c r="A2341" s="96" t="s">
        <v>403</v>
      </c>
      <c r="B2341" s="96" t="s">
        <v>2950</v>
      </c>
      <c r="C2341" s="96" t="s">
        <v>3134</v>
      </c>
      <c r="D2341" s="265" t="s">
        <v>2951</v>
      </c>
      <c r="E2341" s="105" t="s">
        <v>3135</v>
      </c>
      <c r="F2341" s="96" t="s">
        <v>3136</v>
      </c>
      <c r="G2341" s="96" t="s">
        <v>88</v>
      </c>
      <c r="H2341" s="19" t="s">
        <v>3137</v>
      </c>
      <c r="I2341" s="23" t="e">
        <f>VLOOKUP(H2341,'合同综合查询数据（3月返）'!$A:$A,1,FALSE)</f>
        <v>#N/A</v>
      </c>
      <c r="J2341" s="24" t="s">
        <v>126</v>
      </c>
      <c r="K2341" s="114" t="s">
        <v>3184</v>
      </c>
      <c r="L2341" s="114"/>
      <c r="M2341" s="26" t="s">
        <v>3185</v>
      </c>
      <c r="N2341" s="190">
        <v>43034</v>
      </c>
      <c r="O2341" s="199" t="s">
        <v>92</v>
      </c>
      <c r="P2341" s="268">
        <v>4500</v>
      </c>
      <c r="Q2341" s="273">
        <v>8</v>
      </c>
      <c r="R2341" s="268">
        <f t="shared" si="61"/>
        <v>36000</v>
      </c>
      <c r="S2341" s="24">
        <v>202303</v>
      </c>
      <c r="T2341" s="127" t="s">
        <v>3186</v>
      </c>
      <c r="U2341" s="40"/>
      <c r="V2341" s="40"/>
      <c r="W2341" s="40"/>
      <c r="X2341" s="106">
        <v>44652</v>
      </c>
      <c r="Y2341" s="106">
        <v>45016</v>
      </c>
    </row>
    <row r="2342" s="9" customFormat="1" customHeight="1" spans="1:25">
      <c r="A2342" s="96" t="s">
        <v>403</v>
      </c>
      <c r="B2342" s="96" t="s">
        <v>2950</v>
      </c>
      <c r="C2342" s="96" t="s">
        <v>3134</v>
      </c>
      <c r="D2342" s="265" t="s">
        <v>2951</v>
      </c>
      <c r="E2342" s="105" t="s">
        <v>3135</v>
      </c>
      <c r="F2342" s="96" t="s">
        <v>3136</v>
      </c>
      <c r="G2342" s="96" t="s">
        <v>88</v>
      </c>
      <c r="H2342" s="19" t="s">
        <v>3137</v>
      </c>
      <c r="I2342" s="23" t="e">
        <f>VLOOKUP(H2342,'合同综合查询数据（3月返）'!$A:$A,1,FALSE)</f>
        <v>#N/A</v>
      </c>
      <c r="J2342" s="24" t="s">
        <v>126</v>
      </c>
      <c r="K2342" s="114" t="s">
        <v>3184</v>
      </c>
      <c r="L2342" s="114"/>
      <c r="M2342" s="26" t="s">
        <v>3185</v>
      </c>
      <c r="N2342" s="190">
        <v>43799</v>
      </c>
      <c r="O2342" s="199" t="s">
        <v>92</v>
      </c>
      <c r="P2342" s="268">
        <v>4500</v>
      </c>
      <c r="Q2342" s="273">
        <v>-8</v>
      </c>
      <c r="R2342" s="268">
        <f t="shared" si="61"/>
        <v>-36000</v>
      </c>
      <c r="S2342" s="24">
        <v>202303</v>
      </c>
      <c r="T2342" s="127" t="s">
        <v>3186</v>
      </c>
      <c r="U2342" s="40"/>
      <c r="V2342" s="40"/>
      <c r="W2342" s="40"/>
      <c r="X2342" s="106">
        <v>44652</v>
      </c>
      <c r="Y2342" s="106">
        <v>45016</v>
      </c>
    </row>
    <row r="2343" s="9" customFormat="1" customHeight="1" spans="1:25">
      <c r="A2343" s="96" t="s">
        <v>403</v>
      </c>
      <c r="B2343" s="96" t="s">
        <v>2950</v>
      </c>
      <c r="C2343" s="96" t="s">
        <v>3134</v>
      </c>
      <c r="D2343" s="265" t="s">
        <v>2951</v>
      </c>
      <c r="E2343" s="105" t="s">
        <v>3135</v>
      </c>
      <c r="F2343" s="96" t="s">
        <v>3136</v>
      </c>
      <c r="G2343" s="96" t="s">
        <v>88</v>
      </c>
      <c r="H2343" s="19" t="s">
        <v>3137</v>
      </c>
      <c r="I2343" s="23" t="e">
        <f>VLOOKUP(H2343,'合同综合查询数据（3月返）'!$A:$A,1,FALSE)</f>
        <v>#N/A</v>
      </c>
      <c r="J2343" s="24" t="s">
        <v>126</v>
      </c>
      <c r="K2343" s="114" t="s">
        <v>3187</v>
      </c>
      <c r="L2343" s="40"/>
      <c r="M2343" s="26" t="s">
        <v>3188</v>
      </c>
      <c r="N2343" s="190">
        <v>43034</v>
      </c>
      <c r="O2343" s="199" t="s">
        <v>92</v>
      </c>
      <c r="P2343" s="268">
        <v>4500</v>
      </c>
      <c r="Q2343" s="273">
        <v>2</v>
      </c>
      <c r="R2343" s="268">
        <f t="shared" si="61"/>
        <v>9000</v>
      </c>
      <c r="S2343" s="24">
        <v>202303</v>
      </c>
      <c r="T2343" s="127" t="s">
        <v>3189</v>
      </c>
      <c r="U2343" s="40"/>
      <c r="V2343" s="40"/>
      <c r="W2343" s="40"/>
      <c r="X2343" s="106">
        <v>44652</v>
      </c>
      <c r="Y2343" s="106">
        <v>45016</v>
      </c>
    </row>
    <row r="2344" s="9" customFormat="1" customHeight="1" spans="1:25">
      <c r="A2344" s="96" t="s">
        <v>403</v>
      </c>
      <c r="B2344" s="96" t="s">
        <v>2950</v>
      </c>
      <c r="C2344" s="96" t="s">
        <v>3134</v>
      </c>
      <c r="D2344" s="265" t="s">
        <v>2951</v>
      </c>
      <c r="E2344" s="105" t="s">
        <v>3135</v>
      </c>
      <c r="F2344" s="96" t="s">
        <v>3136</v>
      </c>
      <c r="G2344" s="96" t="s">
        <v>88</v>
      </c>
      <c r="H2344" s="19" t="s">
        <v>3137</v>
      </c>
      <c r="I2344" s="23" t="e">
        <f>VLOOKUP(H2344,'合同综合查询数据（3月返）'!$A:$A,1,FALSE)</f>
        <v>#N/A</v>
      </c>
      <c r="J2344" s="24" t="s">
        <v>126</v>
      </c>
      <c r="K2344" s="114" t="s">
        <v>3187</v>
      </c>
      <c r="L2344" s="114"/>
      <c r="M2344" s="26" t="s">
        <v>3188</v>
      </c>
      <c r="N2344" s="190">
        <v>43799</v>
      </c>
      <c r="O2344" s="199" t="s">
        <v>92</v>
      </c>
      <c r="P2344" s="268">
        <v>4500</v>
      </c>
      <c r="Q2344" s="273">
        <v>-2</v>
      </c>
      <c r="R2344" s="268">
        <f t="shared" si="61"/>
        <v>-9000</v>
      </c>
      <c r="S2344" s="24">
        <v>202303</v>
      </c>
      <c r="T2344" s="127" t="s">
        <v>3189</v>
      </c>
      <c r="U2344" s="40"/>
      <c r="V2344" s="40"/>
      <c r="W2344" s="40"/>
      <c r="X2344" s="106">
        <v>44652</v>
      </c>
      <c r="Y2344" s="106">
        <v>45016</v>
      </c>
    </row>
    <row r="2345" s="9" customFormat="1" customHeight="1" spans="1:25">
      <c r="A2345" s="96" t="s">
        <v>403</v>
      </c>
      <c r="B2345" s="96" t="s">
        <v>2950</v>
      </c>
      <c r="C2345" s="96" t="s">
        <v>3134</v>
      </c>
      <c r="D2345" s="265" t="s">
        <v>2951</v>
      </c>
      <c r="E2345" s="105" t="s">
        <v>3135</v>
      </c>
      <c r="F2345" s="96" t="s">
        <v>3136</v>
      </c>
      <c r="G2345" s="96" t="s">
        <v>88</v>
      </c>
      <c r="H2345" s="19" t="s">
        <v>3137</v>
      </c>
      <c r="I2345" s="23" t="e">
        <f>VLOOKUP(H2345,'合同综合查询数据（3月返）'!$A:$A,1,FALSE)</f>
        <v>#N/A</v>
      </c>
      <c r="J2345" s="24" t="s">
        <v>126</v>
      </c>
      <c r="K2345" s="114" t="s">
        <v>3152</v>
      </c>
      <c r="L2345" s="114" t="s">
        <v>3152</v>
      </c>
      <c r="M2345" s="26" t="s">
        <v>3153</v>
      </c>
      <c r="N2345" s="190">
        <v>43735</v>
      </c>
      <c r="O2345" s="199" t="s">
        <v>624</v>
      </c>
      <c r="P2345" s="268">
        <v>4167</v>
      </c>
      <c r="Q2345" s="273">
        <v>8</v>
      </c>
      <c r="R2345" s="268">
        <f t="shared" si="61"/>
        <v>33336</v>
      </c>
      <c r="S2345" s="24">
        <v>202303</v>
      </c>
      <c r="T2345" s="127" t="s">
        <v>3190</v>
      </c>
      <c r="U2345" s="40"/>
      <c r="V2345" s="40"/>
      <c r="W2345" s="40"/>
      <c r="X2345" s="106">
        <v>44652</v>
      </c>
      <c r="Y2345" s="106">
        <v>45016</v>
      </c>
    </row>
    <row r="2346" s="9" customFormat="1" customHeight="1" spans="1:25">
      <c r="A2346" s="96" t="s">
        <v>403</v>
      </c>
      <c r="B2346" s="96" t="s">
        <v>2950</v>
      </c>
      <c r="C2346" s="96" t="s">
        <v>3134</v>
      </c>
      <c r="D2346" s="265" t="s">
        <v>2951</v>
      </c>
      <c r="E2346" s="105" t="s">
        <v>3135</v>
      </c>
      <c r="F2346" s="96" t="s">
        <v>3136</v>
      </c>
      <c r="G2346" s="96" t="s">
        <v>88</v>
      </c>
      <c r="H2346" s="19" t="s">
        <v>3137</v>
      </c>
      <c r="I2346" s="23" t="e">
        <f>VLOOKUP(H2346,'合同综合查询数据（3月返）'!$A:$A,1,FALSE)</f>
        <v>#N/A</v>
      </c>
      <c r="J2346" s="24" t="s">
        <v>126</v>
      </c>
      <c r="K2346" s="114" t="s">
        <v>3155</v>
      </c>
      <c r="L2346" s="114" t="s">
        <v>3146</v>
      </c>
      <c r="M2346" s="26" t="s">
        <v>3156</v>
      </c>
      <c r="N2346" s="190">
        <v>44298</v>
      </c>
      <c r="O2346" s="199" t="s">
        <v>624</v>
      </c>
      <c r="P2346" s="268">
        <v>4167</v>
      </c>
      <c r="Q2346" s="273">
        <v>5</v>
      </c>
      <c r="R2346" s="268">
        <f t="shared" si="61"/>
        <v>20835</v>
      </c>
      <c r="S2346" s="24">
        <v>202303</v>
      </c>
      <c r="T2346" s="127" t="s">
        <v>3191</v>
      </c>
      <c r="U2346" s="40"/>
      <c r="V2346" s="40"/>
      <c r="W2346" s="40"/>
      <c r="X2346" s="106">
        <v>44652</v>
      </c>
      <c r="Y2346" s="106">
        <v>45016</v>
      </c>
    </row>
    <row r="2347" s="9" customFormat="1" customHeight="1" spans="1:25">
      <c r="A2347" s="96" t="s">
        <v>403</v>
      </c>
      <c r="B2347" s="96" t="s">
        <v>2950</v>
      </c>
      <c r="C2347" s="96" t="s">
        <v>3134</v>
      </c>
      <c r="D2347" s="265" t="s">
        <v>2951</v>
      </c>
      <c r="E2347" s="105" t="s">
        <v>3135</v>
      </c>
      <c r="F2347" s="96" t="s">
        <v>3136</v>
      </c>
      <c r="G2347" s="96" t="s">
        <v>88</v>
      </c>
      <c r="H2347" s="19" t="s">
        <v>3137</v>
      </c>
      <c r="I2347" s="23" t="e">
        <f>VLOOKUP(H2347,'合同综合查询数据（3月返）'!$A:$A,1,FALSE)</f>
        <v>#N/A</v>
      </c>
      <c r="J2347" s="24" t="s">
        <v>126</v>
      </c>
      <c r="K2347" s="114" t="s">
        <v>3155</v>
      </c>
      <c r="L2347" s="114" t="s">
        <v>3146</v>
      </c>
      <c r="M2347" s="26" t="s">
        <v>3156</v>
      </c>
      <c r="N2347" s="190">
        <v>44376</v>
      </c>
      <c r="O2347" s="96" t="s">
        <v>624</v>
      </c>
      <c r="P2347" s="268">
        <v>4167</v>
      </c>
      <c r="Q2347" s="273">
        <v>6</v>
      </c>
      <c r="R2347" s="268">
        <f t="shared" si="61"/>
        <v>25002</v>
      </c>
      <c r="S2347" s="24">
        <v>202303</v>
      </c>
      <c r="T2347" s="127" t="s">
        <v>3192</v>
      </c>
      <c r="U2347" s="40"/>
      <c r="V2347" s="40"/>
      <c r="W2347" s="40"/>
      <c r="X2347" s="106">
        <v>44652</v>
      </c>
      <c r="Y2347" s="106">
        <v>45016</v>
      </c>
    </row>
    <row r="2348" s="9" customFormat="1" customHeight="1" spans="1:25">
      <c r="A2348" s="96" t="s">
        <v>403</v>
      </c>
      <c r="B2348" s="96" t="s">
        <v>2950</v>
      </c>
      <c r="C2348" s="96" t="s">
        <v>3134</v>
      </c>
      <c r="D2348" s="265" t="s">
        <v>2951</v>
      </c>
      <c r="E2348" s="105" t="s">
        <v>3135</v>
      </c>
      <c r="F2348" s="96" t="s">
        <v>3136</v>
      </c>
      <c r="G2348" s="96" t="s">
        <v>88</v>
      </c>
      <c r="H2348" s="19" t="s">
        <v>3137</v>
      </c>
      <c r="I2348" s="23" t="e">
        <f>VLOOKUP(H2348,'合同综合查询数据（3月返）'!$A:$A,1,FALSE)</f>
        <v>#N/A</v>
      </c>
      <c r="J2348" s="24" t="s">
        <v>126</v>
      </c>
      <c r="K2348" s="114" t="s">
        <v>3155</v>
      </c>
      <c r="L2348" s="114" t="s">
        <v>3146</v>
      </c>
      <c r="M2348" s="26" t="s">
        <v>3156</v>
      </c>
      <c r="N2348" s="190">
        <v>44382</v>
      </c>
      <c r="O2348" s="96" t="s">
        <v>624</v>
      </c>
      <c r="P2348" s="268">
        <v>4167</v>
      </c>
      <c r="Q2348" s="273">
        <v>11</v>
      </c>
      <c r="R2348" s="268">
        <f t="shared" si="61"/>
        <v>45837</v>
      </c>
      <c r="S2348" s="24">
        <v>202303</v>
      </c>
      <c r="T2348" s="279" t="s">
        <v>3193</v>
      </c>
      <c r="U2348" s="40"/>
      <c r="V2348" s="40"/>
      <c r="W2348" s="40"/>
      <c r="X2348" s="106">
        <v>44652</v>
      </c>
      <c r="Y2348" s="106">
        <v>45016</v>
      </c>
    </row>
    <row r="2349" s="9" customFormat="1" customHeight="1" spans="1:25">
      <c r="A2349" s="96" t="s">
        <v>403</v>
      </c>
      <c r="B2349" s="96" t="s">
        <v>2950</v>
      </c>
      <c r="C2349" s="96" t="s">
        <v>3134</v>
      </c>
      <c r="D2349" s="265" t="s">
        <v>2951</v>
      </c>
      <c r="E2349" s="105" t="s">
        <v>3135</v>
      </c>
      <c r="F2349" s="96" t="s">
        <v>3136</v>
      </c>
      <c r="G2349" s="96" t="s">
        <v>88</v>
      </c>
      <c r="H2349" s="19" t="s">
        <v>3137</v>
      </c>
      <c r="I2349" s="23" t="e">
        <f>VLOOKUP(H2349,'合同综合查询数据（3月返）'!$A:$A,1,FALSE)</f>
        <v>#N/A</v>
      </c>
      <c r="J2349" s="24" t="s">
        <v>126</v>
      </c>
      <c r="K2349" s="114" t="s">
        <v>3155</v>
      </c>
      <c r="L2349" s="114" t="s">
        <v>3146</v>
      </c>
      <c r="M2349" s="249" t="s">
        <v>3156</v>
      </c>
      <c r="N2349" s="190">
        <v>44417</v>
      </c>
      <c r="O2349" s="199" t="s">
        <v>624</v>
      </c>
      <c r="P2349" s="268">
        <v>4167</v>
      </c>
      <c r="Q2349" s="273">
        <v>1</v>
      </c>
      <c r="R2349" s="268">
        <f t="shared" si="61"/>
        <v>4167</v>
      </c>
      <c r="S2349" s="24">
        <v>202303</v>
      </c>
      <c r="T2349" s="279" t="s">
        <v>3194</v>
      </c>
      <c r="U2349" s="40"/>
      <c r="V2349" s="40"/>
      <c r="W2349" s="40"/>
      <c r="X2349" s="106">
        <v>44652</v>
      </c>
      <c r="Y2349" s="106">
        <v>45016</v>
      </c>
    </row>
    <row r="2350" s="9" customFormat="1" customHeight="1" spans="1:25">
      <c r="A2350" s="96" t="s">
        <v>403</v>
      </c>
      <c r="B2350" s="96" t="s">
        <v>2950</v>
      </c>
      <c r="C2350" s="96" t="s">
        <v>3134</v>
      </c>
      <c r="D2350" s="265" t="s">
        <v>2951</v>
      </c>
      <c r="E2350" s="105" t="s">
        <v>3135</v>
      </c>
      <c r="F2350" s="96" t="s">
        <v>3136</v>
      </c>
      <c r="G2350" s="96" t="s">
        <v>88</v>
      </c>
      <c r="H2350" s="19" t="s">
        <v>3137</v>
      </c>
      <c r="I2350" s="23" t="e">
        <f>VLOOKUP(H2350,'合同综合查询数据（3月返）'!$A:$A,1,FALSE)</f>
        <v>#N/A</v>
      </c>
      <c r="J2350" s="24" t="s">
        <v>126</v>
      </c>
      <c r="K2350" s="114" t="s">
        <v>3155</v>
      </c>
      <c r="L2350" s="114" t="s">
        <v>3146</v>
      </c>
      <c r="M2350" s="249" t="s">
        <v>3156</v>
      </c>
      <c r="N2350" s="190">
        <v>44426</v>
      </c>
      <c r="O2350" s="199" t="s">
        <v>624</v>
      </c>
      <c r="P2350" s="268">
        <v>4167</v>
      </c>
      <c r="Q2350" s="273">
        <v>1</v>
      </c>
      <c r="R2350" s="268">
        <f t="shared" si="61"/>
        <v>4167</v>
      </c>
      <c r="S2350" s="24">
        <v>202303</v>
      </c>
      <c r="T2350" s="279" t="s">
        <v>3195</v>
      </c>
      <c r="U2350" s="40"/>
      <c r="V2350" s="40"/>
      <c r="W2350" s="40"/>
      <c r="X2350" s="106">
        <v>44652</v>
      </c>
      <c r="Y2350" s="106">
        <v>45016</v>
      </c>
    </row>
    <row r="2351" s="9" customFormat="1" customHeight="1" spans="1:25">
      <c r="A2351" s="96" t="s">
        <v>403</v>
      </c>
      <c r="B2351" s="96" t="s">
        <v>2950</v>
      </c>
      <c r="C2351" s="96" t="s">
        <v>3134</v>
      </c>
      <c r="D2351" s="265" t="s">
        <v>2951</v>
      </c>
      <c r="E2351" s="105" t="s">
        <v>3135</v>
      </c>
      <c r="F2351" s="96" t="s">
        <v>3136</v>
      </c>
      <c r="G2351" s="96" t="s">
        <v>88</v>
      </c>
      <c r="H2351" s="19" t="s">
        <v>3137</v>
      </c>
      <c r="I2351" s="23" t="e">
        <f>VLOOKUP(H2351,'合同综合查询数据（3月返）'!$A:$A,1,FALSE)</f>
        <v>#N/A</v>
      </c>
      <c r="J2351" s="24" t="s">
        <v>126</v>
      </c>
      <c r="K2351" s="114" t="s">
        <v>3162</v>
      </c>
      <c r="L2351" s="114"/>
      <c r="M2351" s="26" t="s">
        <v>3163</v>
      </c>
      <c r="N2351" s="190">
        <v>44557</v>
      </c>
      <c r="O2351" s="199" t="s">
        <v>92</v>
      </c>
      <c r="P2351" s="268">
        <v>4500</v>
      </c>
      <c r="Q2351" s="273">
        <v>-3</v>
      </c>
      <c r="R2351" s="268">
        <f t="shared" si="61"/>
        <v>-13500</v>
      </c>
      <c r="S2351" s="24">
        <v>202303</v>
      </c>
      <c r="T2351" s="279" t="s">
        <v>3196</v>
      </c>
      <c r="U2351" s="40"/>
      <c r="V2351" s="40"/>
      <c r="W2351" s="40"/>
      <c r="X2351" s="106">
        <v>44652</v>
      </c>
      <c r="Y2351" s="106">
        <v>45016</v>
      </c>
    </row>
    <row r="2352" s="9" customFormat="1" customHeight="1" spans="1:25">
      <c r="A2352" s="96" t="s">
        <v>403</v>
      </c>
      <c r="B2352" s="96" t="s">
        <v>2950</v>
      </c>
      <c r="C2352" s="96" t="s">
        <v>3134</v>
      </c>
      <c r="D2352" s="265" t="s">
        <v>2951</v>
      </c>
      <c r="E2352" s="105" t="s">
        <v>3135</v>
      </c>
      <c r="F2352" s="96" t="s">
        <v>3136</v>
      </c>
      <c r="G2352" s="96" t="s">
        <v>88</v>
      </c>
      <c r="H2352" s="19" t="s">
        <v>3137</v>
      </c>
      <c r="I2352" s="23" t="e">
        <f>VLOOKUP(H2352,'合同综合查询数据（3月返）'!$A:$A,1,FALSE)</f>
        <v>#N/A</v>
      </c>
      <c r="J2352" s="24" t="s">
        <v>126</v>
      </c>
      <c r="K2352" s="114" t="s">
        <v>3162</v>
      </c>
      <c r="L2352" s="114" t="s">
        <v>3144</v>
      </c>
      <c r="M2352" s="26" t="s">
        <v>3163</v>
      </c>
      <c r="N2352" s="190">
        <v>44652</v>
      </c>
      <c r="O2352" s="199" t="s">
        <v>92</v>
      </c>
      <c r="P2352" s="268">
        <v>4500</v>
      </c>
      <c r="Q2352" s="273">
        <v>1</v>
      </c>
      <c r="R2352" s="268">
        <f t="shared" si="61"/>
        <v>4500</v>
      </c>
      <c r="S2352" s="24">
        <v>202303</v>
      </c>
      <c r="T2352" s="279" t="s">
        <v>3197</v>
      </c>
      <c r="U2352" s="40"/>
      <c r="V2352" s="40"/>
      <c r="W2352" s="40"/>
      <c r="X2352" s="106">
        <v>44652</v>
      </c>
      <c r="Y2352" s="106">
        <v>45016</v>
      </c>
    </row>
    <row r="2353" s="9" customFormat="1" customHeight="1" spans="1:25">
      <c r="A2353" s="96" t="s">
        <v>403</v>
      </c>
      <c r="B2353" s="96" t="s">
        <v>2950</v>
      </c>
      <c r="C2353" s="96" t="s">
        <v>3134</v>
      </c>
      <c r="D2353" s="265" t="s">
        <v>2951</v>
      </c>
      <c r="E2353" s="105" t="s">
        <v>3135</v>
      </c>
      <c r="F2353" s="96" t="s">
        <v>3136</v>
      </c>
      <c r="G2353" s="96" t="s">
        <v>88</v>
      </c>
      <c r="H2353" s="19" t="s">
        <v>3137</v>
      </c>
      <c r="I2353" s="23" t="e">
        <f>VLOOKUP(H2353,'合同综合查询数据（3月返）'!$A:$A,1,FALSE)</f>
        <v>#N/A</v>
      </c>
      <c r="J2353" s="24" t="s">
        <v>126</v>
      </c>
      <c r="K2353" s="114" t="s">
        <v>3162</v>
      </c>
      <c r="L2353" s="114" t="s">
        <v>3144</v>
      </c>
      <c r="M2353" s="26" t="s">
        <v>3163</v>
      </c>
      <c r="N2353" s="190">
        <v>44694</v>
      </c>
      <c r="O2353" s="199" t="s">
        <v>92</v>
      </c>
      <c r="P2353" s="268">
        <v>4500</v>
      </c>
      <c r="Q2353" s="273">
        <v>6</v>
      </c>
      <c r="R2353" s="268">
        <f t="shared" si="61"/>
        <v>27000</v>
      </c>
      <c r="S2353" s="24">
        <v>202303</v>
      </c>
      <c r="T2353" s="279" t="s">
        <v>3198</v>
      </c>
      <c r="U2353" s="40"/>
      <c r="V2353" s="40"/>
      <c r="W2353" s="40"/>
      <c r="X2353" s="106">
        <v>44652</v>
      </c>
      <c r="Y2353" s="106">
        <v>45016</v>
      </c>
    </row>
    <row r="2354" s="9" customFormat="1" customHeight="1" spans="1:25">
      <c r="A2354" s="96" t="s">
        <v>403</v>
      </c>
      <c r="B2354" s="96" t="s">
        <v>2950</v>
      </c>
      <c r="C2354" s="96" t="s">
        <v>3134</v>
      </c>
      <c r="D2354" s="265" t="s">
        <v>2951</v>
      </c>
      <c r="E2354" s="105" t="s">
        <v>3135</v>
      </c>
      <c r="F2354" s="96" t="s">
        <v>3136</v>
      </c>
      <c r="G2354" s="96" t="s">
        <v>88</v>
      </c>
      <c r="H2354" s="19" t="s">
        <v>3137</v>
      </c>
      <c r="I2354" s="23" t="e">
        <f>VLOOKUP(H2354,'合同综合查询数据（3月返）'!$A:$A,1,FALSE)</f>
        <v>#N/A</v>
      </c>
      <c r="J2354" s="24" t="s">
        <v>126</v>
      </c>
      <c r="K2354" s="114" t="s">
        <v>3162</v>
      </c>
      <c r="L2354" s="114" t="s">
        <v>3144</v>
      </c>
      <c r="M2354" s="26" t="s">
        <v>3163</v>
      </c>
      <c r="N2354" s="190">
        <v>44773</v>
      </c>
      <c r="O2354" s="199" t="s">
        <v>92</v>
      </c>
      <c r="P2354" s="268">
        <v>4500</v>
      </c>
      <c r="Q2354" s="273">
        <v>-4</v>
      </c>
      <c r="R2354" s="268">
        <f t="shared" si="61"/>
        <v>-18000</v>
      </c>
      <c r="S2354" s="24">
        <v>202303</v>
      </c>
      <c r="T2354" s="279" t="s">
        <v>3199</v>
      </c>
      <c r="U2354" s="40"/>
      <c r="V2354" s="40"/>
      <c r="W2354" s="285"/>
      <c r="X2354" s="286">
        <v>44652</v>
      </c>
      <c r="Y2354" s="106">
        <v>45016</v>
      </c>
    </row>
    <row r="2355" s="9" customFormat="1" customHeight="1" spans="1:25">
      <c r="A2355" s="96" t="s">
        <v>403</v>
      </c>
      <c r="B2355" s="96" t="s">
        <v>2950</v>
      </c>
      <c r="C2355" s="96" t="s">
        <v>3134</v>
      </c>
      <c r="D2355" s="265" t="s">
        <v>2951</v>
      </c>
      <c r="E2355" s="105" t="s">
        <v>3135</v>
      </c>
      <c r="F2355" s="96" t="s">
        <v>3136</v>
      </c>
      <c r="G2355" s="96" t="s">
        <v>88</v>
      </c>
      <c r="H2355" s="19" t="s">
        <v>3137</v>
      </c>
      <c r="I2355" s="23" t="e">
        <f>VLOOKUP(H2355,'合同综合查询数据（3月返）'!$A:$A,1,FALSE)</f>
        <v>#N/A</v>
      </c>
      <c r="J2355" s="24" t="s">
        <v>126</v>
      </c>
      <c r="K2355" s="114" t="s">
        <v>3145</v>
      </c>
      <c r="L2355" s="114" t="s">
        <v>3146</v>
      </c>
      <c r="M2355" s="26" t="s">
        <v>3156</v>
      </c>
      <c r="N2355" s="190">
        <v>44773</v>
      </c>
      <c r="O2355" s="199" t="s">
        <v>624</v>
      </c>
      <c r="P2355" s="268">
        <v>4167</v>
      </c>
      <c r="Q2355" s="273">
        <v>-5</v>
      </c>
      <c r="R2355" s="268">
        <f t="shared" si="61"/>
        <v>-20835</v>
      </c>
      <c r="S2355" s="24">
        <v>202303</v>
      </c>
      <c r="T2355" s="279" t="s">
        <v>3200</v>
      </c>
      <c r="U2355" s="40"/>
      <c r="V2355" s="40"/>
      <c r="W2355" s="285"/>
      <c r="X2355" s="286">
        <v>44652</v>
      </c>
      <c r="Y2355" s="106">
        <v>45016</v>
      </c>
    </row>
    <row r="2356" s="9" customFormat="1" customHeight="1" spans="1:25">
      <c r="A2356" s="96" t="s">
        <v>403</v>
      </c>
      <c r="B2356" s="96" t="s">
        <v>2950</v>
      </c>
      <c r="C2356" s="96" t="s">
        <v>3134</v>
      </c>
      <c r="D2356" s="265" t="s">
        <v>2951</v>
      </c>
      <c r="E2356" s="105" t="s">
        <v>3135</v>
      </c>
      <c r="F2356" s="96" t="s">
        <v>3136</v>
      </c>
      <c r="G2356" s="96" t="s">
        <v>88</v>
      </c>
      <c r="H2356" s="19" t="s">
        <v>3137</v>
      </c>
      <c r="I2356" s="23" t="e">
        <f>VLOOKUP(H2356,'合同综合查询数据（3月返）'!$A:$A,1,FALSE)</f>
        <v>#N/A</v>
      </c>
      <c r="J2356" s="24" t="s">
        <v>126</v>
      </c>
      <c r="K2356" s="114" t="s">
        <v>3167</v>
      </c>
      <c r="L2356" s="114" t="s">
        <v>3142</v>
      </c>
      <c r="M2356" s="26" t="s">
        <v>3163</v>
      </c>
      <c r="N2356" s="190">
        <v>44773</v>
      </c>
      <c r="O2356" s="199" t="s">
        <v>92</v>
      </c>
      <c r="P2356" s="268">
        <v>4500</v>
      </c>
      <c r="Q2356" s="273">
        <v>-5</v>
      </c>
      <c r="R2356" s="268">
        <f t="shared" si="61"/>
        <v>-22500</v>
      </c>
      <c r="S2356" s="24">
        <v>202303</v>
      </c>
      <c r="T2356" s="279" t="s">
        <v>3201</v>
      </c>
      <c r="U2356" s="40"/>
      <c r="V2356" s="40"/>
      <c r="W2356" s="285"/>
      <c r="X2356" s="286">
        <v>44652</v>
      </c>
      <c r="Y2356" s="106">
        <v>45016</v>
      </c>
    </row>
    <row r="2357" s="9" customFormat="1" customHeight="1" spans="1:25">
      <c r="A2357" s="96" t="s">
        <v>403</v>
      </c>
      <c r="B2357" s="96" t="s">
        <v>2950</v>
      </c>
      <c r="C2357" s="96" t="s">
        <v>3134</v>
      </c>
      <c r="D2357" s="265" t="s">
        <v>2951</v>
      </c>
      <c r="E2357" s="105" t="s">
        <v>3135</v>
      </c>
      <c r="F2357" s="96" t="s">
        <v>3136</v>
      </c>
      <c r="G2357" s="96" t="s">
        <v>88</v>
      </c>
      <c r="H2357" s="19" t="s">
        <v>3137</v>
      </c>
      <c r="I2357" s="23" t="e">
        <f>VLOOKUP(H2357,'合同综合查询数据（3月返）'!$A:$A,1,FALSE)</f>
        <v>#N/A</v>
      </c>
      <c r="J2357" s="24" t="s">
        <v>126</v>
      </c>
      <c r="K2357" s="114" t="s">
        <v>3162</v>
      </c>
      <c r="L2357" s="114" t="s">
        <v>3144</v>
      </c>
      <c r="M2357" s="26" t="s">
        <v>3163</v>
      </c>
      <c r="N2357" s="190">
        <v>44798</v>
      </c>
      <c r="O2357" s="199" t="s">
        <v>92</v>
      </c>
      <c r="P2357" s="268">
        <v>4500</v>
      </c>
      <c r="Q2357" s="273">
        <v>2</v>
      </c>
      <c r="R2357" s="268">
        <f t="shared" si="61"/>
        <v>9000</v>
      </c>
      <c r="S2357" s="24">
        <v>202303</v>
      </c>
      <c r="T2357" s="279" t="s">
        <v>3202</v>
      </c>
      <c r="U2357" s="40"/>
      <c r="V2357" s="40"/>
      <c r="W2357" s="285"/>
      <c r="X2357" s="286">
        <v>44652</v>
      </c>
      <c r="Y2357" s="106">
        <v>45016</v>
      </c>
    </row>
    <row r="2358" s="9" customFormat="1" customHeight="1" spans="1:25">
      <c r="A2358" s="96" t="s">
        <v>403</v>
      </c>
      <c r="B2358" s="96" t="s">
        <v>2950</v>
      </c>
      <c r="C2358" s="96" t="s">
        <v>3134</v>
      </c>
      <c r="D2358" s="265" t="s">
        <v>2951</v>
      </c>
      <c r="E2358" s="105" t="s">
        <v>3135</v>
      </c>
      <c r="F2358" s="96" t="s">
        <v>3136</v>
      </c>
      <c r="G2358" s="96" t="s">
        <v>31</v>
      </c>
      <c r="H2358" s="19" t="s">
        <v>3137</v>
      </c>
      <c r="I2358" s="23" t="e">
        <f>VLOOKUP(H2358,'合同综合查询数据（3月返）'!$A:$A,1,FALSE)</f>
        <v>#N/A</v>
      </c>
      <c r="J2358" s="24" t="s">
        <v>33</v>
      </c>
      <c r="K2358" s="114" t="s">
        <v>3155</v>
      </c>
      <c r="L2358" s="114" t="s">
        <v>3203</v>
      </c>
      <c r="M2358" s="26" t="s">
        <v>3204</v>
      </c>
      <c r="N2358" s="190">
        <v>44920</v>
      </c>
      <c r="O2358" s="199" t="s">
        <v>37</v>
      </c>
      <c r="P2358" s="268">
        <v>0</v>
      </c>
      <c r="Q2358" s="273">
        <v>80</v>
      </c>
      <c r="R2358" s="268">
        <f t="shared" si="61"/>
        <v>0</v>
      </c>
      <c r="S2358" s="24">
        <v>202303</v>
      </c>
      <c r="T2358" s="279" t="s">
        <v>3205</v>
      </c>
      <c r="U2358" s="40"/>
      <c r="V2358" s="40"/>
      <c r="W2358" s="285"/>
      <c r="X2358" s="286">
        <v>44652</v>
      </c>
      <c r="Y2358" s="106">
        <v>45016</v>
      </c>
    </row>
    <row r="2359" s="9" customFormat="1" customHeight="1" spans="1:25">
      <c r="A2359" s="96" t="s">
        <v>403</v>
      </c>
      <c r="B2359" s="96" t="s">
        <v>2950</v>
      </c>
      <c r="C2359" s="96" t="s">
        <v>3134</v>
      </c>
      <c r="D2359" s="265" t="s">
        <v>2951</v>
      </c>
      <c r="E2359" s="105" t="s">
        <v>3135</v>
      </c>
      <c r="F2359" s="96" t="s">
        <v>3136</v>
      </c>
      <c r="G2359" s="96" t="s">
        <v>31</v>
      </c>
      <c r="H2359" s="19" t="s">
        <v>3137</v>
      </c>
      <c r="I2359" s="23" t="e">
        <f>VLOOKUP(H2359,'合同综合查询数据（3月返）'!$A:$A,1,FALSE)</f>
        <v>#N/A</v>
      </c>
      <c r="J2359" s="24" t="s">
        <v>33</v>
      </c>
      <c r="K2359" s="114" t="s">
        <v>3155</v>
      </c>
      <c r="L2359" s="114" t="s">
        <v>3203</v>
      </c>
      <c r="M2359" s="26" t="s">
        <v>3204</v>
      </c>
      <c r="N2359" s="190">
        <v>44946</v>
      </c>
      <c r="O2359" s="199" t="s">
        <v>37</v>
      </c>
      <c r="P2359" s="268">
        <v>0</v>
      </c>
      <c r="Q2359" s="273">
        <v>128</v>
      </c>
      <c r="R2359" s="268"/>
      <c r="S2359" s="24">
        <v>202303</v>
      </c>
      <c r="T2359" s="279" t="s">
        <v>3206</v>
      </c>
      <c r="U2359" s="40"/>
      <c r="V2359" s="40"/>
      <c r="W2359" s="285"/>
      <c r="X2359" s="286">
        <v>44652</v>
      </c>
      <c r="Y2359" s="106">
        <v>45016</v>
      </c>
    </row>
    <row r="2360" s="9" customFormat="1" customHeight="1" spans="1:25">
      <c r="A2360" s="96" t="s">
        <v>403</v>
      </c>
      <c r="B2360" s="96" t="s">
        <v>2950</v>
      </c>
      <c r="C2360" s="96" t="s">
        <v>3134</v>
      </c>
      <c r="D2360" s="265" t="s">
        <v>2951</v>
      </c>
      <c r="E2360" s="105" t="s">
        <v>3135</v>
      </c>
      <c r="F2360" s="96" t="s">
        <v>3136</v>
      </c>
      <c r="G2360" s="96" t="s">
        <v>88</v>
      </c>
      <c r="H2360" s="19" t="s">
        <v>3137</v>
      </c>
      <c r="I2360" s="23" t="e">
        <f>VLOOKUP(H2360,'合同综合查询数据（3月返）'!$A:$A,1,FALSE)</f>
        <v>#N/A</v>
      </c>
      <c r="J2360" s="24" t="s">
        <v>126</v>
      </c>
      <c r="K2360" s="114" t="s">
        <v>3155</v>
      </c>
      <c r="L2360" s="114" t="s">
        <v>3203</v>
      </c>
      <c r="M2360" s="26" t="s">
        <v>3204</v>
      </c>
      <c r="N2360" s="190">
        <v>44920</v>
      </c>
      <c r="O2360" s="199" t="s">
        <v>624</v>
      </c>
      <c r="P2360" s="268">
        <v>4167</v>
      </c>
      <c r="Q2360" s="273">
        <v>3</v>
      </c>
      <c r="R2360" s="268">
        <f>ROUND(P2360*Q2360,2)</f>
        <v>12501</v>
      </c>
      <c r="S2360" s="24">
        <v>202303</v>
      </c>
      <c r="T2360" s="279" t="s">
        <v>3207</v>
      </c>
      <c r="U2360" s="40"/>
      <c r="V2360" s="40"/>
      <c r="W2360" s="285"/>
      <c r="X2360" s="286">
        <v>44652</v>
      </c>
      <c r="Y2360" s="106">
        <v>45016</v>
      </c>
    </row>
    <row r="2361" s="9" customFormat="1" customHeight="1" spans="1:25">
      <c r="A2361" s="96" t="s">
        <v>403</v>
      </c>
      <c r="B2361" s="96" t="s">
        <v>2950</v>
      </c>
      <c r="C2361" s="96" t="s">
        <v>3134</v>
      </c>
      <c r="D2361" s="265" t="s">
        <v>2951</v>
      </c>
      <c r="E2361" s="105" t="s">
        <v>3135</v>
      </c>
      <c r="F2361" s="96" t="s">
        <v>3136</v>
      </c>
      <c r="G2361" s="96" t="s">
        <v>88</v>
      </c>
      <c r="H2361" s="19" t="s">
        <v>3137</v>
      </c>
      <c r="I2361" s="23" t="e">
        <f>VLOOKUP(H2361,'合同综合查询数据（3月返）'!$A:$A,1,FALSE)</f>
        <v>#N/A</v>
      </c>
      <c r="J2361" s="24" t="s">
        <v>126</v>
      </c>
      <c r="K2361" s="114" t="s">
        <v>3155</v>
      </c>
      <c r="L2361" s="114" t="s">
        <v>3203</v>
      </c>
      <c r="M2361" s="26" t="s">
        <v>3204</v>
      </c>
      <c r="N2361" s="190">
        <v>45005</v>
      </c>
      <c r="O2361" s="199" t="s">
        <v>624</v>
      </c>
      <c r="P2361" s="268">
        <v>4167</v>
      </c>
      <c r="Q2361" s="287">
        <v>-1</v>
      </c>
      <c r="R2361" s="268">
        <f>ROUND(P2361*Q2361*11/31,2)</f>
        <v>-1478.61</v>
      </c>
      <c r="S2361" s="288">
        <v>202303</v>
      </c>
      <c r="T2361" s="289" t="s">
        <v>3208</v>
      </c>
      <c r="U2361" s="290"/>
      <c r="V2361" s="290"/>
      <c r="W2361" s="291"/>
      <c r="X2361" s="292">
        <v>44652</v>
      </c>
      <c r="Y2361" s="293">
        <v>45016</v>
      </c>
    </row>
    <row r="2362" s="9" customFormat="1" customHeight="1" spans="1:25">
      <c r="A2362" s="96" t="s">
        <v>403</v>
      </c>
      <c r="B2362" s="96" t="s">
        <v>2950</v>
      </c>
      <c r="C2362" s="96" t="s">
        <v>2912</v>
      </c>
      <c r="D2362" s="265" t="s">
        <v>2951</v>
      </c>
      <c r="E2362" s="105" t="s">
        <v>3209</v>
      </c>
      <c r="F2362" s="96" t="s">
        <v>3210</v>
      </c>
      <c r="G2362" s="96" t="s">
        <v>31</v>
      </c>
      <c r="H2362" s="19" t="s">
        <v>3211</v>
      </c>
      <c r="I2362" s="23" t="e">
        <f>VLOOKUP(H2362,'合同综合查询数据（3月返）'!$A:$A,1,FALSE)</f>
        <v>#N/A</v>
      </c>
      <c r="J2362" s="24" t="s">
        <v>1019</v>
      </c>
      <c r="K2362" s="96" t="s">
        <v>2912</v>
      </c>
      <c r="L2362" s="114"/>
      <c r="M2362" s="26" t="s">
        <v>3212</v>
      </c>
      <c r="N2362" s="190">
        <v>42856</v>
      </c>
      <c r="O2362" s="199" t="s">
        <v>37</v>
      </c>
      <c r="P2362" s="268">
        <v>0</v>
      </c>
      <c r="Q2362" s="273">
        <v>288</v>
      </c>
      <c r="R2362" s="268">
        <f t="shared" ref="R2362:R2425" si="62">ROUND(P2362*Q2362,2)</f>
        <v>0</v>
      </c>
      <c r="S2362" s="24">
        <v>202303</v>
      </c>
      <c r="T2362" s="127" t="s">
        <v>3213</v>
      </c>
      <c r="U2362" s="40"/>
      <c r="V2362" s="249"/>
      <c r="W2362" s="128"/>
      <c r="X2362" s="274">
        <v>44682</v>
      </c>
      <c r="Y2362" s="274">
        <v>45046</v>
      </c>
    </row>
    <row r="2363" s="9" customFormat="1" customHeight="1" spans="1:25">
      <c r="A2363" s="96" t="s">
        <v>403</v>
      </c>
      <c r="B2363" s="96" t="s">
        <v>2950</v>
      </c>
      <c r="C2363" s="96" t="s">
        <v>2912</v>
      </c>
      <c r="D2363" s="265" t="s">
        <v>2951</v>
      </c>
      <c r="E2363" s="105" t="s">
        <v>3209</v>
      </c>
      <c r="F2363" s="96" t="s">
        <v>3210</v>
      </c>
      <c r="G2363" s="96" t="s">
        <v>31</v>
      </c>
      <c r="H2363" s="19" t="s">
        <v>3211</v>
      </c>
      <c r="I2363" s="23" t="e">
        <f>VLOOKUP(H2363,'合同综合查询数据（3月返）'!$A:$A,1,FALSE)</f>
        <v>#N/A</v>
      </c>
      <c r="J2363" s="24" t="s">
        <v>1019</v>
      </c>
      <c r="K2363" s="96" t="s">
        <v>2912</v>
      </c>
      <c r="L2363" s="114"/>
      <c r="M2363" s="26" t="s">
        <v>3212</v>
      </c>
      <c r="N2363" s="190">
        <v>42856</v>
      </c>
      <c r="O2363" s="199" t="s">
        <v>37</v>
      </c>
      <c r="P2363" s="268">
        <v>30</v>
      </c>
      <c r="Q2363" s="273">
        <v>480</v>
      </c>
      <c r="R2363" s="268">
        <f t="shared" si="62"/>
        <v>14400</v>
      </c>
      <c r="S2363" s="24">
        <v>202303</v>
      </c>
      <c r="T2363" s="127" t="s">
        <v>3213</v>
      </c>
      <c r="U2363" s="40"/>
      <c r="V2363" s="40"/>
      <c r="W2363" s="40"/>
      <c r="X2363" s="274">
        <v>44682</v>
      </c>
      <c r="Y2363" s="274">
        <v>45046</v>
      </c>
    </row>
    <row r="2364" s="9" customFormat="1" customHeight="1" spans="1:25">
      <c r="A2364" s="96" t="s">
        <v>403</v>
      </c>
      <c r="B2364" s="96" t="s">
        <v>2950</v>
      </c>
      <c r="C2364" s="96" t="s">
        <v>2912</v>
      </c>
      <c r="D2364" s="265" t="s">
        <v>2951</v>
      </c>
      <c r="E2364" s="105" t="s">
        <v>3209</v>
      </c>
      <c r="F2364" s="96" t="s">
        <v>3210</v>
      </c>
      <c r="G2364" s="96" t="s">
        <v>31</v>
      </c>
      <c r="H2364" s="19" t="s">
        <v>3211</v>
      </c>
      <c r="I2364" s="23" t="e">
        <f>VLOOKUP(H2364,'合同综合查询数据（3月返）'!$A:$A,1,FALSE)</f>
        <v>#N/A</v>
      </c>
      <c r="J2364" s="24" t="s">
        <v>33</v>
      </c>
      <c r="K2364" s="96" t="s">
        <v>3214</v>
      </c>
      <c r="L2364" s="114" t="s">
        <v>3214</v>
      </c>
      <c r="M2364" s="26" t="s">
        <v>3215</v>
      </c>
      <c r="N2364" s="190" t="s">
        <v>1225</v>
      </c>
      <c r="O2364" s="199" t="s">
        <v>37</v>
      </c>
      <c r="P2364" s="268">
        <v>30</v>
      </c>
      <c r="Q2364" s="273">
        <v>288</v>
      </c>
      <c r="R2364" s="268">
        <f t="shared" si="62"/>
        <v>8640</v>
      </c>
      <c r="S2364" s="24">
        <v>202303</v>
      </c>
      <c r="T2364" s="127" t="s">
        <v>2974</v>
      </c>
      <c r="U2364" s="40"/>
      <c r="V2364" s="40"/>
      <c r="W2364" s="40"/>
      <c r="X2364" s="274">
        <v>44682</v>
      </c>
      <c r="Y2364" s="274">
        <v>45046</v>
      </c>
    </row>
    <row r="2365" s="9" customFormat="1" customHeight="1" spans="1:25">
      <c r="A2365" s="96" t="s">
        <v>403</v>
      </c>
      <c r="B2365" s="96" t="s">
        <v>2950</v>
      </c>
      <c r="C2365" s="96" t="s">
        <v>2912</v>
      </c>
      <c r="D2365" s="265" t="s">
        <v>2951</v>
      </c>
      <c r="E2365" s="105" t="s">
        <v>3209</v>
      </c>
      <c r="F2365" s="96" t="s">
        <v>3210</v>
      </c>
      <c r="G2365" s="96" t="s">
        <v>31</v>
      </c>
      <c r="H2365" s="19" t="s">
        <v>3211</v>
      </c>
      <c r="I2365" s="23" t="e">
        <f>VLOOKUP(H2365,'合同综合查询数据（3月返）'!$A:$A,1,FALSE)</f>
        <v>#N/A</v>
      </c>
      <c r="J2365" s="24" t="s">
        <v>33</v>
      </c>
      <c r="K2365" s="96" t="s">
        <v>3216</v>
      </c>
      <c r="L2365" s="114" t="s">
        <v>3216</v>
      </c>
      <c r="M2365" s="26" t="s">
        <v>3215</v>
      </c>
      <c r="N2365" s="190" t="s">
        <v>1225</v>
      </c>
      <c r="O2365" s="199" t="s">
        <v>37</v>
      </c>
      <c r="P2365" s="268">
        <v>0</v>
      </c>
      <c r="Q2365" s="273">
        <v>256</v>
      </c>
      <c r="R2365" s="268">
        <f t="shared" si="62"/>
        <v>0</v>
      </c>
      <c r="S2365" s="24">
        <v>202303</v>
      </c>
      <c r="T2365" s="127" t="s">
        <v>3217</v>
      </c>
      <c r="U2365" s="40"/>
      <c r="V2365" s="40"/>
      <c r="W2365" s="40"/>
      <c r="X2365" s="274">
        <v>44682</v>
      </c>
      <c r="Y2365" s="274">
        <v>45046</v>
      </c>
    </row>
    <row r="2366" s="9" customFormat="1" customHeight="1" spans="1:25">
      <c r="A2366" s="96" t="s">
        <v>403</v>
      </c>
      <c r="B2366" s="96" t="s">
        <v>2950</v>
      </c>
      <c r="C2366" s="96" t="s">
        <v>2912</v>
      </c>
      <c r="D2366" s="265" t="s">
        <v>2951</v>
      </c>
      <c r="E2366" s="105" t="s">
        <v>3209</v>
      </c>
      <c r="F2366" s="96" t="s">
        <v>3210</v>
      </c>
      <c r="G2366" s="96" t="s">
        <v>31</v>
      </c>
      <c r="H2366" s="19" t="s">
        <v>3211</v>
      </c>
      <c r="I2366" s="23" t="e">
        <f>VLOOKUP(H2366,'合同综合查询数据（3月返）'!$A:$A,1,FALSE)</f>
        <v>#N/A</v>
      </c>
      <c r="J2366" s="24" t="s">
        <v>33</v>
      </c>
      <c r="K2366" s="96" t="s">
        <v>3218</v>
      </c>
      <c r="L2366" s="114" t="s">
        <v>3218</v>
      </c>
      <c r="M2366" s="26" t="s">
        <v>3215</v>
      </c>
      <c r="N2366" s="190">
        <v>44089</v>
      </c>
      <c r="O2366" s="199" t="s">
        <v>37</v>
      </c>
      <c r="P2366" s="268">
        <v>0</v>
      </c>
      <c r="Q2366" s="273">
        <v>-256</v>
      </c>
      <c r="R2366" s="268">
        <f t="shared" si="62"/>
        <v>0</v>
      </c>
      <c r="S2366" s="24">
        <v>202303</v>
      </c>
      <c r="T2366" s="127" t="s">
        <v>3219</v>
      </c>
      <c r="U2366" s="40"/>
      <c r="V2366" s="40"/>
      <c r="W2366" s="40"/>
      <c r="X2366" s="274">
        <v>44682</v>
      </c>
      <c r="Y2366" s="274">
        <v>45046</v>
      </c>
    </row>
    <row r="2367" s="9" customFormat="1" customHeight="1" spans="1:25">
      <c r="A2367" s="96" t="s">
        <v>403</v>
      </c>
      <c r="B2367" s="96" t="s">
        <v>2950</v>
      </c>
      <c r="C2367" s="96" t="s">
        <v>2912</v>
      </c>
      <c r="D2367" s="265" t="s">
        <v>2951</v>
      </c>
      <c r="E2367" s="105" t="s">
        <v>3209</v>
      </c>
      <c r="F2367" s="96" t="s">
        <v>3210</v>
      </c>
      <c r="G2367" s="96" t="s">
        <v>31</v>
      </c>
      <c r="H2367" s="19" t="s">
        <v>3211</v>
      </c>
      <c r="I2367" s="23" t="e">
        <f>VLOOKUP(H2367,'合同综合查询数据（3月返）'!$A:$A,1,FALSE)</f>
        <v>#N/A</v>
      </c>
      <c r="J2367" s="24" t="s">
        <v>33</v>
      </c>
      <c r="K2367" s="96" t="s">
        <v>2912</v>
      </c>
      <c r="L2367" s="114" t="s">
        <v>3214</v>
      </c>
      <c r="M2367" s="26" t="s">
        <v>3215</v>
      </c>
      <c r="N2367" s="28">
        <v>44333</v>
      </c>
      <c r="O2367" s="199" t="s">
        <v>37</v>
      </c>
      <c r="P2367" s="268">
        <v>0</v>
      </c>
      <c r="Q2367" s="273">
        <v>128</v>
      </c>
      <c r="R2367" s="268">
        <f t="shared" si="62"/>
        <v>0</v>
      </c>
      <c r="S2367" s="24">
        <v>202303</v>
      </c>
      <c r="T2367" s="127" t="s">
        <v>3220</v>
      </c>
      <c r="U2367" s="40"/>
      <c r="V2367" s="40"/>
      <c r="W2367" s="40"/>
      <c r="X2367" s="274">
        <v>44682</v>
      </c>
      <c r="Y2367" s="274">
        <v>45046</v>
      </c>
    </row>
    <row r="2368" s="9" customFormat="1" customHeight="1" spans="1:25">
      <c r="A2368" s="96" t="s">
        <v>403</v>
      </c>
      <c r="B2368" s="96" t="s">
        <v>2950</v>
      </c>
      <c r="C2368" s="96" t="s">
        <v>2912</v>
      </c>
      <c r="D2368" s="265" t="s">
        <v>2951</v>
      </c>
      <c r="E2368" s="105" t="s">
        <v>3209</v>
      </c>
      <c r="F2368" s="96" t="s">
        <v>3210</v>
      </c>
      <c r="G2368" s="96" t="s">
        <v>31</v>
      </c>
      <c r="H2368" s="19" t="s">
        <v>3211</v>
      </c>
      <c r="I2368" s="23" t="e">
        <f>VLOOKUP(H2368,'合同综合查询数据（3月返）'!$A:$A,1,FALSE)</f>
        <v>#N/A</v>
      </c>
      <c r="J2368" s="24" t="s">
        <v>33</v>
      </c>
      <c r="K2368" s="96" t="s">
        <v>2912</v>
      </c>
      <c r="L2368" s="114" t="s">
        <v>3214</v>
      </c>
      <c r="M2368" s="26" t="s">
        <v>3215</v>
      </c>
      <c r="N2368" s="28">
        <v>44414</v>
      </c>
      <c r="O2368" s="199" t="s">
        <v>37</v>
      </c>
      <c r="P2368" s="268">
        <v>0</v>
      </c>
      <c r="Q2368" s="273">
        <v>128</v>
      </c>
      <c r="R2368" s="268">
        <f t="shared" si="62"/>
        <v>0</v>
      </c>
      <c r="S2368" s="24">
        <v>202303</v>
      </c>
      <c r="T2368" s="127" t="s">
        <v>3221</v>
      </c>
      <c r="U2368" s="40"/>
      <c r="V2368" s="40"/>
      <c r="W2368" s="40"/>
      <c r="X2368" s="274">
        <v>44682</v>
      </c>
      <c r="Y2368" s="274">
        <v>45046</v>
      </c>
    </row>
    <row r="2369" s="9" customFormat="1" customHeight="1" spans="1:25">
      <c r="A2369" s="96" t="s">
        <v>403</v>
      </c>
      <c r="B2369" s="96" t="s">
        <v>2950</v>
      </c>
      <c r="C2369" s="96" t="s">
        <v>2912</v>
      </c>
      <c r="D2369" s="265" t="s">
        <v>2951</v>
      </c>
      <c r="E2369" s="105" t="s">
        <v>3209</v>
      </c>
      <c r="F2369" s="96" t="s">
        <v>3210</v>
      </c>
      <c r="G2369" s="96" t="s">
        <v>31</v>
      </c>
      <c r="H2369" s="19" t="s">
        <v>3211</v>
      </c>
      <c r="I2369" s="23" t="e">
        <f>VLOOKUP(H2369,'合同综合查询数据（3月返）'!$A:$A,1,FALSE)</f>
        <v>#N/A</v>
      </c>
      <c r="J2369" s="24" t="s">
        <v>33</v>
      </c>
      <c r="K2369" s="96" t="s">
        <v>2912</v>
      </c>
      <c r="L2369" s="114" t="s">
        <v>3214</v>
      </c>
      <c r="M2369" s="26" t="s">
        <v>3215</v>
      </c>
      <c r="N2369" s="28">
        <v>44773</v>
      </c>
      <c r="O2369" s="199" t="s">
        <v>37</v>
      </c>
      <c r="P2369" s="268">
        <v>30</v>
      </c>
      <c r="Q2369" s="273">
        <v>-288</v>
      </c>
      <c r="R2369" s="268">
        <f t="shared" si="62"/>
        <v>-8640</v>
      </c>
      <c r="S2369" s="24">
        <v>202303</v>
      </c>
      <c r="T2369" s="127" t="s">
        <v>3222</v>
      </c>
      <c r="U2369" s="40"/>
      <c r="V2369" s="40"/>
      <c r="W2369" s="40"/>
      <c r="X2369" s="274">
        <v>44682</v>
      </c>
      <c r="Y2369" s="274">
        <v>45046</v>
      </c>
    </row>
    <row r="2370" s="9" customFormat="1" customHeight="1" spans="1:25">
      <c r="A2370" s="96" t="s">
        <v>403</v>
      </c>
      <c r="B2370" s="96" t="s">
        <v>2950</v>
      </c>
      <c r="C2370" s="96" t="s">
        <v>2912</v>
      </c>
      <c r="D2370" s="265" t="s">
        <v>2951</v>
      </c>
      <c r="E2370" s="105" t="s">
        <v>3209</v>
      </c>
      <c r="F2370" s="96" t="s">
        <v>3210</v>
      </c>
      <c r="G2370" s="96" t="s">
        <v>88</v>
      </c>
      <c r="H2370" s="19" t="s">
        <v>3211</v>
      </c>
      <c r="I2370" s="23" t="e">
        <f>VLOOKUP(H2370,'合同综合查询数据（3月返）'!$A:$A,1,FALSE)</f>
        <v>#N/A</v>
      </c>
      <c r="J2370" s="24" t="s">
        <v>1033</v>
      </c>
      <c r="K2370" s="96" t="s">
        <v>3223</v>
      </c>
      <c r="L2370" s="114"/>
      <c r="M2370" s="26" t="s">
        <v>3212</v>
      </c>
      <c r="N2370" s="190">
        <v>42856</v>
      </c>
      <c r="O2370" s="199" t="s">
        <v>92</v>
      </c>
      <c r="P2370" s="268">
        <v>4167</v>
      </c>
      <c r="Q2370" s="273">
        <v>3</v>
      </c>
      <c r="R2370" s="268">
        <f t="shared" si="62"/>
        <v>12501</v>
      </c>
      <c r="S2370" s="24">
        <v>202303</v>
      </c>
      <c r="T2370" s="127" t="s">
        <v>3224</v>
      </c>
      <c r="U2370" s="40"/>
      <c r="V2370" s="40"/>
      <c r="W2370" s="40"/>
      <c r="X2370" s="274">
        <v>44682</v>
      </c>
      <c r="Y2370" s="274">
        <v>45046</v>
      </c>
    </row>
    <row r="2371" s="9" customFormat="1" customHeight="1" spans="1:25">
      <c r="A2371" s="96" t="s">
        <v>403</v>
      </c>
      <c r="B2371" s="96" t="s">
        <v>2950</v>
      </c>
      <c r="C2371" s="96" t="s">
        <v>2912</v>
      </c>
      <c r="D2371" s="265" t="s">
        <v>2951</v>
      </c>
      <c r="E2371" s="105" t="s">
        <v>3209</v>
      </c>
      <c r="F2371" s="96" t="s">
        <v>3210</v>
      </c>
      <c r="G2371" s="96" t="s">
        <v>88</v>
      </c>
      <c r="H2371" s="19" t="s">
        <v>3211</v>
      </c>
      <c r="I2371" s="23" t="e">
        <f>VLOOKUP(H2371,'合同综合查询数据（3月返）'!$A:$A,1,FALSE)</f>
        <v>#N/A</v>
      </c>
      <c r="J2371" s="24" t="s">
        <v>1033</v>
      </c>
      <c r="K2371" s="96" t="s">
        <v>2912</v>
      </c>
      <c r="L2371" s="114"/>
      <c r="M2371" s="26" t="s">
        <v>3212</v>
      </c>
      <c r="N2371" s="190">
        <v>44186</v>
      </c>
      <c r="O2371" s="199" t="s">
        <v>92</v>
      </c>
      <c r="P2371" s="268">
        <v>4167</v>
      </c>
      <c r="Q2371" s="273">
        <v>1</v>
      </c>
      <c r="R2371" s="268">
        <f t="shared" si="62"/>
        <v>4167</v>
      </c>
      <c r="S2371" s="24">
        <v>202303</v>
      </c>
      <c r="T2371" s="127" t="s">
        <v>3225</v>
      </c>
      <c r="U2371" s="40"/>
      <c r="V2371" s="40"/>
      <c r="W2371" s="40"/>
      <c r="X2371" s="274">
        <v>44682</v>
      </c>
      <c r="Y2371" s="274">
        <v>45046</v>
      </c>
    </row>
    <row r="2372" s="9" customFormat="1" customHeight="1" spans="1:25">
      <c r="A2372" s="96" t="s">
        <v>403</v>
      </c>
      <c r="B2372" s="96" t="s">
        <v>2950</v>
      </c>
      <c r="C2372" s="96" t="s">
        <v>2912</v>
      </c>
      <c r="D2372" s="265" t="s">
        <v>2951</v>
      </c>
      <c r="E2372" s="105" t="s">
        <v>3209</v>
      </c>
      <c r="F2372" s="96" t="s">
        <v>3210</v>
      </c>
      <c r="G2372" s="96" t="s">
        <v>88</v>
      </c>
      <c r="H2372" s="19" t="s">
        <v>3211</v>
      </c>
      <c r="I2372" s="23" t="e">
        <f>VLOOKUP(H2372,'合同综合查询数据（3月返）'!$A:$A,1,FALSE)</f>
        <v>#N/A</v>
      </c>
      <c r="J2372" s="24" t="s">
        <v>126</v>
      </c>
      <c r="K2372" s="96" t="s">
        <v>3216</v>
      </c>
      <c r="L2372" s="114"/>
      <c r="M2372" s="26" t="s">
        <v>3215</v>
      </c>
      <c r="N2372" s="190">
        <v>42887</v>
      </c>
      <c r="O2372" s="199" t="s">
        <v>92</v>
      </c>
      <c r="P2372" s="268">
        <v>4167</v>
      </c>
      <c r="Q2372" s="273">
        <v>3</v>
      </c>
      <c r="R2372" s="268">
        <f t="shared" si="62"/>
        <v>12501</v>
      </c>
      <c r="S2372" s="24">
        <v>202303</v>
      </c>
      <c r="T2372" s="127" t="s">
        <v>3226</v>
      </c>
      <c r="U2372" s="40"/>
      <c r="V2372" s="40"/>
      <c r="W2372" s="40"/>
      <c r="X2372" s="274">
        <v>44682</v>
      </c>
      <c r="Y2372" s="274">
        <v>45046</v>
      </c>
    </row>
    <row r="2373" s="9" customFormat="1" customHeight="1" spans="1:25">
      <c r="A2373" s="96" t="s">
        <v>403</v>
      </c>
      <c r="B2373" s="96" t="s">
        <v>2950</v>
      </c>
      <c r="C2373" s="96" t="s">
        <v>2912</v>
      </c>
      <c r="D2373" s="265" t="s">
        <v>2951</v>
      </c>
      <c r="E2373" s="105" t="s">
        <v>3209</v>
      </c>
      <c r="F2373" s="96" t="s">
        <v>3210</v>
      </c>
      <c r="G2373" s="96" t="s">
        <v>88</v>
      </c>
      <c r="H2373" s="19" t="s">
        <v>3211</v>
      </c>
      <c r="I2373" s="23" t="e">
        <f>VLOOKUP(H2373,'合同综合查询数据（3月返）'!$A:$A,1,FALSE)</f>
        <v>#N/A</v>
      </c>
      <c r="J2373" s="24" t="s">
        <v>126</v>
      </c>
      <c r="K2373" s="96" t="s">
        <v>3214</v>
      </c>
      <c r="L2373" s="114"/>
      <c r="M2373" s="26" t="s">
        <v>3215</v>
      </c>
      <c r="N2373" s="190">
        <v>43405</v>
      </c>
      <c r="O2373" s="96" t="s">
        <v>92</v>
      </c>
      <c r="P2373" s="268">
        <v>4167</v>
      </c>
      <c r="Q2373" s="273">
        <v>5</v>
      </c>
      <c r="R2373" s="268">
        <f t="shared" si="62"/>
        <v>20835</v>
      </c>
      <c r="S2373" s="24">
        <v>202303</v>
      </c>
      <c r="T2373" s="127"/>
      <c r="U2373" s="40"/>
      <c r="V2373" s="40"/>
      <c r="W2373" s="40"/>
      <c r="X2373" s="274">
        <v>44682</v>
      </c>
      <c r="Y2373" s="274">
        <v>45046</v>
      </c>
    </row>
    <row r="2374" s="9" customFormat="1" customHeight="1" spans="1:25">
      <c r="A2374" s="96" t="s">
        <v>403</v>
      </c>
      <c r="B2374" s="96" t="s">
        <v>2950</v>
      </c>
      <c r="C2374" s="96" t="s">
        <v>2912</v>
      </c>
      <c r="D2374" s="265" t="s">
        <v>2951</v>
      </c>
      <c r="E2374" s="105" t="s">
        <v>3209</v>
      </c>
      <c r="F2374" s="96" t="s">
        <v>3210</v>
      </c>
      <c r="G2374" s="96" t="s">
        <v>88</v>
      </c>
      <c r="H2374" s="19" t="s">
        <v>3211</v>
      </c>
      <c r="I2374" s="23" t="e">
        <f>VLOOKUP(H2374,'合同综合查询数据（3月返）'!$A:$A,1,FALSE)</f>
        <v>#N/A</v>
      </c>
      <c r="J2374" s="24" t="s">
        <v>126</v>
      </c>
      <c r="K2374" s="96"/>
      <c r="L2374" s="96"/>
      <c r="M2374" s="26" t="s">
        <v>3215</v>
      </c>
      <c r="N2374" s="190">
        <v>43556</v>
      </c>
      <c r="O2374" s="199" t="s">
        <v>92</v>
      </c>
      <c r="P2374" s="268">
        <v>4167</v>
      </c>
      <c r="Q2374" s="273">
        <v>4</v>
      </c>
      <c r="R2374" s="268">
        <f t="shared" si="62"/>
        <v>16668</v>
      </c>
      <c r="S2374" s="24">
        <v>202303</v>
      </c>
      <c r="T2374" s="127"/>
      <c r="U2374" s="40"/>
      <c r="V2374" s="40"/>
      <c r="W2374" s="40"/>
      <c r="X2374" s="274">
        <v>44682</v>
      </c>
      <c r="Y2374" s="274">
        <v>45046</v>
      </c>
    </row>
    <row r="2375" s="9" customFormat="1" customHeight="1" spans="1:25">
      <c r="A2375" s="96" t="s">
        <v>403</v>
      </c>
      <c r="B2375" s="96" t="s">
        <v>2950</v>
      </c>
      <c r="C2375" s="96" t="s">
        <v>2912</v>
      </c>
      <c r="D2375" s="265" t="s">
        <v>2951</v>
      </c>
      <c r="E2375" s="105" t="s">
        <v>3209</v>
      </c>
      <c r="F2375" s="96" t="s">
        <v>3210</v>
      </c>
      <c r="G2375" s="96" t="s">
        <v>88</v>
      </c>
      <c r="H2375" s="19" t="s">
        <v>3211</v>
      </c>
      <c r="I2375" s="23" t="e">
        <f>VLOOKUP(H2375,'合同综合查询数据（3月返）'!$A:$A,1,FALSE)</f>
        <v>#N/A</v>
      </c>
      <c r="J2375" s="24" t="s">
        <v>126</v>
      </c>
      <c r="K2375" s="96" t="s">
        <v>3227</v>
      </c>
      <c r="L2375" s="96"/>
      <c r="M2375" s="26" t="s">
        <v>3215</v>
      </c>
      <c r="N2375" s="190">
        <v>43830</v>
      </c>
      <c r="O2375" s="199" t="s">
        <v>92</v>
      </c>
      <c r="P2375" s="268">
        <v>4167</v>
      </c>
      <c r="Q2375" s="273">
        <v>-4</v>
      </c>
      <c r="R2375" s="268">
        <f t="shared" si="62"/>
        <v>-16668</v>
      </c>
      <c r="S2375" s="24">
        <v>202303</v>
      </c>
      <c r="T2375" s="127" t="s">
        <v>3228</v>
      </c>
      <c r="U2375" s="40"/>
      <c r="V2375" s="40"/>
      <c r="W2375" s="40"/>
      <c r="X2375" s="274">
        <v>44682</v>
      </c>
      <c r="Y2375" s="274">
        <v>45046</v>
      </c>
    </row>
    <row r="2376" s="9" customFormat="1" customHeight="1" spans="1:25">
      <c r="A2376" s="96" t="s">
        <v>403</v>
      </c>
      <c r="B2376" s="96" t="s">
        <v>2950</v>
      </c>
      <c r="C2376" s="96" t="s">
        <v>2912</v>
      </c>
      <c r="D2376" s="265" t="s">
        <v>2951</v>
      </c>
      <c r="E2376" s="105" t="s">
        <v>3209</v>
      </c>
      <c r="F2376" s="96" t="s">
        <v>3210</v>
      </c>
      <c r="G2376" s="96" t="s">
        <v>88</v>
      </c>
      <c r="H2376" s="19" t="s">
        <v>3211</v>
      </c>
      <c r="I2376" s="23" t="e">
        <f>VLOOKUP(H2376,'合同综合查询数据（3月返）'!$A:$A,1,FALSE)</f>
        <v>#N/A</v>
      </c>
      <c r="J2376" s="24" t="s">
        <v>126</v>
      </c>
      <c r="K2376" s="96" t="s">
        <v>3229</v>
      </c>
      <c r="L2376" s="96"/>
      <c r="M2376" s="26" t="s">
        <v>3215</v>
      </c>
      <c r="N2376" s="190">
        <v>44089</v>
      </c>
      <c r="O2376" s="199" t="s">
        <v>92</v>
      </c>
      <c r="P2376" s="268">
        <v>4167</v>
      </c>
      <c r="Q2376" s="273">
        <v>-1</v>
      </c>
      <c r="R2376" s="268">
        <f t="shared" si="62"/>
        <v>-4167</v>
      </c>
      <c r="S2376" s="24">
        <v>202303</v>
      </c>
      <c r="T2376" s="127" t="s">
        <v>3230</v>
      </c>
      <c r="U2376" s="40"/>
      <c r="V2376" s="40"/>
      <c r="W2376" s="40"/>
      <c r="X2376" s="274">
        <v>44682</v>
      </c>
      <c r="Y2376" s="274">
        <v>45046</v>
      </c>
    </row>
    <row r="2377" s="9" customFormat="1" customHeight="1" spans="1:25">
      <c r="A2377" s="96" t="s">
        <v>403</v>
      </c>
      <c r="B2377" s="96" t="s">
        <v>2950</v>
      </c>
      <c r="C2377" s="96" t="s">
        <v>2912</v>
      </c>
      <c r="D2377" s="265" t="s">
        <v>2951</v>
      </c>
      <c r="E2377" s="105" t="s">
        <v>3209</v>
      </c>
      <c r="F2377" s="96" t="s">
        <v>3210</v>
      </c>
      <c r="G2377" s="96" t="s">
        <v>88</v>
      </c>
      <c r="H2377" s="19" t="s">
        <v>3211</v>
      </c>
      <c r="I2377" s="23" t="e">
        <f>VLOOKUP(H2377,'合同综合查询数据（3月返）'!$A:$A,1,FALSE)</f>
        <v>#N/A</v>
      </c>
      <c r="J2377" s="24" t="s">
        <v>126</v>
      </c>
      <c r="K2377" s="96" t="s">
        <v>2912</v>
      </c>
      <c r="L2377" s="114" t="s">
        <v>3214</v>
      </c>
      <c r="M2377" s="26" t="s">
        <v>3215</v>
      </c>
      <c r="N2377" s="28">
        <v>44333</v>
      </c>
      <c r="O2377" s="199" t="s">
        <v>92</v>
      </c>
      <c r="P2377" s="268">
        <v>4167</v>
      </c>
      <c r="Q2377" s="273">
        <v>2</v>
      </c>
      <c r="R2377" s="268">
        <f t="shared" si="62"/>
        <v>8334</v>
      </c>
      <c r="S2377" s="24">
        <v>202303</v>
      </c>
      <c r="T2377" s="127" t="s">
        <v>3231</v>
      </c>
      <c r="U2377" s="40"/>
      <c r="V2377" s="40"/>
      <c r="W2377" s="40"/>
      <c r="X2377" s="274">
        <v>44682</v>
      </c>
      <c r="Y2377" s="274">
        <v>45046</v>
      </c>
    </row>
    <row r="2378" s="9" customFormat="1" customHeight="1" spans="1:25">
      <c r="A2378" s="96" t="s">
        <v>403</v>
      </c>
      <c r="B2378" s="96" t="s">
        <v>2950</v>
      </c>
      <c r="C2378" s="96" t="s">
        <v>2912</v>
      </c>
      <c r="D2378" s="265" t="s">
        <v>2951</v>
      </c>
      <c r="E2378" s="105" t="s">
        <v>3209</v>
      </c>
      <c r="F2378" s="96" t="s">
        <v>3210</v>
      </c>
      <c r="G2378" s="96" t="s">
        <v>88</v>
      </c>
      <c r="H2378" s="19" t="s">
        <v>3211</v>
      </c>
      <c r="I2378" s="23" t="e">
        <f>VLOOKUP(H2378,'合同综合查询数据（3月返）'!$A:$A,1,FALSE)</f>
        <v>#N/A</v>
      </c>
      <c r="J2378" s="24" t="s">
        <v>126</v>
      </c>
      <c r="K2378" s="96" t="s">
        <v>2912</v>
      </c>
      <c r="L2378" s="114" t="s">
        <v>3214</v>
      </c>
      <c r="M2378" s="26" t="s">
        <v>3215</v>
      </c>
      <c r="N2378" s="28">
        <v>44721</v>
      </c>
      <c r="O2378" s="199" t="s">
        <v>92</v>
      </c>
      <c r="P2378" s="268">
        <v>4167</v>
      </c>
      <c r="Q2378" s="273">
        <v>-5</v>
      </c>
      <c r="R2378" s="268">
        <f t="shared" si="62"/>
        <v>-20835</v>
      </c>
      <c r="S2378" s="24">
        <v>202303</v>
      </c>
      <c r="T2378" s="127" t="s">
        <v>3232</v>
      </c>
      <c r="U2378" s="40"/>
      <c r="V2378" s="40"/>
      <c r="W2378" s="40"/>
      <c r="X2378" s="274">
        <v>44682</v>
      </c>
      <c r="Y2378" s="274">
        <v>45046</v>
      </c>
    </row>
    <row r="2379" s="9" customFormat="1" customHeight="1" spans="1:25">
      <c r="A2379" s="96" t="s">
        <v>403</v>
      </c>
      <c r="B2379" s="96" t="s">
        <v>2950</v>
      </c>
      <c r="C2379" s="96" t="s">
        <v>2912</v>
      </c>
      <c r="D2379" s="265" t="s">
        <v>2951</v>
      </c>
      <c r="E2379" s="105" t="s">
        <v>3209</v>
      </c>
      <c r="F2379" s="96" t="s">
        <v>3210</v>
      </c>
      <c r="G2379" s="96" t="s">
        <v>88</v>
      </c>
      <c r="H2379" s="19" t="s">
        <v>3211</v>
      </c>
      <c r="I2379" s="23" t="e">
        <f>VLOOKUP(H2379,'合同综合查询数据（3月返）'!$A:$A,1,FALSE)</f>
        <v>#N/A</v>
      </c>
      <c r="J2379" s="24" t="s">
        <v>126</v>
      </c>
      <c r="K2379" s="96" t="s">
        <v>2912</v>
      </c>
      <c r="L2379" s="114" t="s">
        <v>3214</v>
      </c>
      <c r="M2379" s="26" t="s">
        <v>3215</v>
      </c>
      <c r="N2379" s="28">
        <v>44773</v>
      </c>
      <c r="O2379" s="199" t="s">
        <v>92</v>
      </c>
      <c r="P2379" s="268">
        <v>4167</v>
      </c>
      <c r="Q2379" s="273">
        <v>-2</v>
      </c>
      <c r="R2379" s="268">
        <f t="shared" si="62"/>
        <v>-8334</v>
      </c>
      <c r="S2379" s="24">
        <v>202303</v>
      </c>
      <c r="T2379" s="127" t="s">
        <v>3233</v>
      </c>
      <c r="U2379" s="40"/>
      <c r="V2379" s="40"/>
      <c r="W2379" s="40"/>
      <c r="X2379" s="274">
        <v>44682</v>
      </c>
      <c r="Y2379" s="274">
        <v>45046</v>
      </c>
    </row>
    <row r="2380" s="9" customFormat="1" customHeight="1" spans="1:25">
      <c r="A2380" s="96" t="s">
        <v>403</v>
      </c>
      <c r="B2380" s="96" t="s">
        <v>2950</v>
      </c>
      <c r="C2380" s="96" t="s">
        <v>2912</v>
      </c>
      <c r="D2380" s="265" t="s">
        <v>2951</v>
      </c>
      <c r="E2380" s="105" t="s">
        <v>3209</v>
      </c>
      <c r="F2380" s="96" t="s">
        <v>3210</v>
      </c>
      <c r="G2380" s="96" t="s">
        <v>88</v>
      </c>
      <c r="H2380" s="19" t="s">
        <v>3211</v>
      </c>
      <c r="I2380" s="23" t="e">
        <f>VLOOKUP(H2380,'合同综合查询数据（3月返）'!$A:$A,1,FALSE)</f>
        <v>#N/A</v>
      </c>
      <c r="J2380" s="24" t="s">
        <v>3234</v>
      </c>
      <c r="K2380" s="96"/>
      <c r="L2380" s="40"/>
      <c r="M2380" s="26" t="s">
        <v>3235</v>
      </c>
      <c r="N2380" s="28">
        <v>44444</v>
      </c>
      <c r="O2380" s="199" t="s">
        <v>92</v>
      </c>
      <c r="P2380" s="268">
        <v>4167</v>
      </c>
      <c r="Q2380" s="273">
        <v>2</v>
      </c>
      <c r="R2380" s="268">
        <f t="shared" si="62"/>
        <v>8334</v>
      </c>
      <c r="S2380" s="24">
        <v>202303</v>
      </c>
      <c r="T2380" s="127" t="s">
        <v>3236</v>
      </c>
      <c r="U2380" s="40"/>
      <c r="V2380" s="40"/>
      <c r="W2380" s="40"/>
      <c r="X2380" s="274">
        <v>44682</v>
      </c>
      <c r="Y2380" s="274">
        <v>45046</v>
      </c>
    </row>
    <row r="2381" s="9" customFormat="1" customHeight="1" spans="1:25">
      <c r="A2381" s="96" t="s">
        <v>403</v>
      </c>
      <c r="B2381" s="96" t="s">
        <v>2950</v>
      </c>
      <c r="C2381" s="96" t="s">
        <v>2912</v>
      </c>
      <c r="D2381" s="265" t="s">
        <v>2951</v>
      </c>
      <c r="E2381" s="105" t="s">
        <v>3209</v>
      </c>
      <c r="F2381" s="96" t="s">
        <v>3210</v>
      </c>
      <c r="G2381" s="96" t="s">
        <v>88</v>
      </c>
      <c r="H2381" s="19" t="s">
        <v>3211</v>
      </c>
      <c r="I2381" s="23" t="e">
        <f>VLOOKUP(H2381,'合同综合查询数据（3月返）'!$A:$A,1,FALSE)</f>
        <v>#N/A</v>
      </c>
      <c r="J2381" s="24" t="s">
        <v>3234</v>
      </c>
      <c r="K2381" s="96"/>
      <c r="L2381" s="114"/>
      <c r="M2381" s="26" t="s">
        <v>3235</v>
      </c>
      <c r="N2381" s="28">
        <v>44445</v>
      </c>
      <c r="O2381" s="199" t="s">
        <v>92</v>
      </c>
      <c r="P2381" s="268">
        <v>4167</v>
      </c>
      <c r="Q2381" s="273">
        <v>1</v>
      </c>
      <c r="R2381" s="268">
        <f t="shared" si="62"/>
        <v>4167</v>
      </c>
      <c r="S2381" s="24">
        <v>202303</v>
      </c>
      <c r="T2381" s="127" t="s">
        <v>3237</v>
      </c>
      <c r="U2381" s="40"/>
      <c r="V2381" s="40"/>
      <c r="W2381" s="40"/>
      <c r="X2381" s="274">
        <v>44682</v>
      </c>
      <c r="Y2381" s="274">
        <v>45046</v>
      </c>
    </row>
    <row r="2382" s="9" customFormat="1" customHeight="1" spans="1:25">
      <c r="A2382" s="96" t="s">
        <v>403</v>
      </c>
      <c r="B2382" s="96" t="s">
        <v>2950</v>
      </c>
      <c r="C2382" s="96" t="s">
        <v>2912</v>
      </c>
      <c r="D2382" s="265" t="s">
        <v>2951</v>
      </c>
      <c r="E2382" s="105" t="s">
        <v>3209</v>
      </c>
      <c r="F2382" s="96" t="s">
        <v>3210</v>
      </c>
      <c r="G2382" s="96" t="s">
        <v>88</v>
      </c>
      <c r="H2382" s="19" t="s">
        <v>3211</v>
      </c>
      <c r="I2382" s="23" t="e">
        <f>VLOOKUP(H2382,'合同综合查询数据（3月返）'!$A:$A,1,FALSE)</f>
        <v>#N/A</v>
      </c>
      <c r="J2382" s="24" t="s">
        <v>3234</v>
      </c>
      <c r="K2382" s="96"/>
      <c r="L2382" s="40"/>
      <c r="M2382" s="26" t="s">
        <v>3235</v>
      </c>
      <c r="N2382" s="28">
        <v>44644</v>
      </c>
      <c r="O2382" s="199" t="s">
        <v>92</v>
      </c>
      <c r="P2382" s="268">
        <v>4167</v>
      </c>
      <c r="Q2382" s="273">
        <v>-3</v>
      </c>
      <c r="R2382" s="268">
        <f t="shared" si="62"/>
        <v>-12501</v>
      </c>
      <c r="S2382" s="24">
        <v>202303</v>
      </c>
      <c r="T2382" s="127" t="s">
        <v>3238</v>
      </c>
      <c r="U2382" s="40"/>
      <c r="V2382" s="40"/>
      <c r="W2382" s="40"/>
      <c r="X2382" s="274">
        <v>44682</v>
      </c>
      <c r="Y2382" s="274">
        <v>45046</v>
      </c>
    </row>
    <row r="2383" s="9" customFormat="1" customHeight="1" spans="1:25">
      <c r="A2383" s="96" t="s">
        <v>403</v>
      </c>
      <c r="B2383" s="96" t="s">
        <v>2950</v>
      </c>
      <c r="C2383" s="96" t="s">
        <v>2912</v>
      </c>
      <c r="D2383" s="265" t="s">
        <v>2951</v>
      </c>
      <c r="E2383" s="105" t="s">
        <v>3209</v>
      </c>
      <c r="F2383" s="96" t="s">
        <v>3210</v>
      </c>
      <c r="G2383" s="96" t="s">
        <v>88</v>
      </c>
      <c r="H2383" s="19" t="s">
        <v>3211</v>
      </c>
      <c r="I2383" s="23" t="e">
        <f>VLOOKUP(H2383,'合同综合查询数据（3月返）'!$A:$A,1,FALSE)</f>
        <v>#N/A</v>
      </c>
      <c r="J2383" s="24" t="s">
        <v>3234</v>
      </c>
      <c r="K2383" s="96"/>
      <c r="L2383" s="114"/>
      <c r="M2383" s="26" t="s">
        <v>3235</v>
      </c>
      <c r="N2383" s="28">
        <v>44644</v>
      </c>
      <c r="O2383" s="199" t="s">
        <v>92</v>
      </c>
      <c r="P2383" s="268">
        <v>4167</v>
      </c>
      <c r="Q2383" s="273">
        <v>3</v>
      </c>
      <c r="R2383" s="268">
        <f t="shared" si="62"/>
        <v>12501</v>
      </c>
      <c r="S2383" s="24">
        <v>202303</v>
      </c>
      <c r="T2383" s="127" t="s">
        <v>3239</v>
      </c>
      <c r="U2383" s="40"/>
      <c r="V2383" s="40"/>
      <c r="W2383" s="40"/>
      <c r="X2383" s="274">
        <v>44682</v>
      </c>
      <c r="Y2383" s="274">
        <v>45046</v>
      </c>
    </row>
    <row r="2384" s="10" customFormat="1" customHeight="1" spans="1:25">
      <c r="A2384" s="60" t="s">
        <v>401</v>
      </c>
      <c r="B2384" s="60" t="s">
        <v>2950</v>
      </c>
      <c r="C2384" s="60" t="s">
        <v>2828</v>
      </c>
      <c r="D2384" s="263" t="s">
        <v>2951</v>
      </c>
      <c r="E2384" s="63" t="s">
        <v>3240</v>
      </c>
      <c r="F2384" s="60" t="s">
        <v>3241</v>
      </c>
      <c r="G2384" s="60" t="s">
        <v>31</v>
      </c>
      <c r="H2384" s="45" t="s">
        <v>3242</v>
      </c>
      <c r="I2384" s="47" t="e">
        <f>VLOOKUP(H2384,'合同综合查询数据（3月返）'!$A:$A,1,FALSE)</f>
        <v>#N/A</v>
      </c>
      <c r="J2384" s="48" t="s">
        <v>33</v>
      </c>
      <c r="K2384" s="60" t="s">
        <v>2965</v>
      </c>
      <c r="L2384" s="113" t="s">
        <v>3243</v>
      </c>
      <c r="M2384" s="277" t="s">
        <v>3244</v>
      </c>
      <c r="N2384" s="51">
        <v>42552</v>
      </c>
      <c r="O2384" s="60" t="s">
        <v>37</v>
      </c>
      <c r="P2384" s="266">
        <v>0</v>
      </c>
      <c r="Q2384" s="270">
        <v>1024</v>
      </c>
      <c r="R2384" s="266">
        <f t="shared" si="62"/>
        <v>0</v>
      </c>
      <c r="S2384" s="48">
        <v>202303</v>
      </c>
      <c r="T2384" s="125" t="s">
        <v>3245</v>
      </c>
      <c r="U2384" s="58"/>
      <c r="V2384" s="58"/>
      <c r="W2384" s="58"/>
      <c r="X2384" s="111"/>
      <c r="Y2384" s="111"/>
    </row>
    <row r="2385" s="10" customFormat="1" customHeight="1" spans="1:25">
      <c r="A2385" s="60" t="s">
        <v>401</v>
      </c>
      <c r="B2385" s="60" t="s">
        <v>2950</v>
      </c>
      <c r="C2385" s="60" t="s">
        <v>2828</v>
      </c>
      <c r="D2385" s="263" t="s">
        <v>2951</v>
      </c>
      <c r="E2385" s="63" t="s">
        <v>3240</v>
      </c>
      <c r="F2385" s="60" t="s">
        <v>3241</v>
      </c>
      <c r="G2385" s="60" t="s">
        <v>31</v>
      </c>
      <c r="H2385" s="45" t="s">
        <v>3242</v>
      </c>
      <c r="I2385" s="47" t="e">
        <f>VLOOKUP(H2385,'合同综合查询数据（3月返）'!$A:$A,1,FALSE)</f>
        <v>#N/A</v>
      </c>
      <c r="J2385" s="48" t="s">
        <v>33</v>
      </c>
      <c r="K2385" s="60" t="s">
        <v>2965</v>
      </c>
      <c r="L2385" s="113" t="s">
        <v>3243</v>
      </c>
      <c r="M2385" s="277" t="s">
        <v>3244</v>
      </c>
      <c r="N2385" s="51">
        <v>43861</v>
      </c>
      <c r="O2385" s="60" t="s">
        <v>37</v>
      </c>
      <c r="P2385" s="266">
        <v>0</v>
      </c>
      <c r="Q2385" s="270">
        <v>-512</v>
      </c>
      <c r="R2385" s="266">
        <f t="shared" si="62"/>
        <v>0</v>
      </c>
      <c r="S2385" s="48">
        <v>202303</v>
      </c>
      <c r="T2385" s="125" t="s">
        <v>3245</v>
      </c>
      <c r="U2385" s="58"/>
      <c r="V2385" s="58"/>
      <c r="W2385" s="58"/>
      <c r="X2385" s="111"/>
      <c r="Y2385" s="111"/>
    </row>
    <row r="2386" s="10" customFormat="1" customHeight="1" spans="1:25">
      <c r="A2386" s="60" t="s">
        <v>401</v>
      </c>
      <c r="B2386" s="60" t="s">
        <v>2950</v>
      </c>
      <c r="C2386" s="60" t="s">
        <v>2828</v>
      </c>
      <c r="D2386" s="263" t="s">
        <v>2951</v>
      </c>
      <c r="E2386" s="63" t="s">
        <v>3240</v>
      </c>
      <c r="F2386" s="60" t="s">
        <v>3241</v>
      </c>
      <c r="G2386" s="60" t="s">
        <v>31</v>
      </c>
      <c r="H2386" s="45" t="s">
        <v>3242</v>
      </c>
      <c r="I2386" s="47" t="e">
        <f>VLOOKUP(H2386,'合同综合查询数据（3月返）'!$A:$A,1,FALSE)</f>
        <v>#N/A</v>
      </c>
      <c r="J2386" s="48" t="s">
        <v>33</v>
      </c>
      <c r="K2386" s="60" t="s">
        <v>2965</v>
      </c>
      <c r="L2386" s="113" t="s">
        <v>3243</v>
      </c>
      <c r="M2386" s="277" t="s">
        <v>3244</v>
      </c>
      <c r="N2386" s="51">
        <v>44252</v>
      </c>
      <c r="O2386" s="60" t="s">
        <v>37</v>
      </c>
      <c r="P2386" s="266">
        <v>0</v>
      </c>
      <c r="Q2386" s="270">
        <v>384</v>
      </c>
      <c r="R2386" s="266">
        <f t="shared" si="62"/>
        <v>0</v>
      </c>
      <c r="S2386" s="48">
        <v>202303</v>
      </c>
      <c r="T2386" s="125" t="s">
        <v>3246</v>
      </c>
      <c r="U2386" s="58"/>
      <c r="V2386" s="58"/>
      <c r="W2386" s="58"/>
      <c r="X2386" s="111"/>
      <c r="Y2386" s="111"/>
    </row>
    <row r="2387" s="10" customFormat="1" customHeight="1" spans="1:25">
      <c r="A2387" s="60" t="s">
        <v>401</v>
      </c>
      <c r="B2387" s="60" t="s">
        <v>2950</v>
      </c>
      <c r="C2387" s="60" t="s">
        <v>2828</v>
      </c>
      <c r="D2387" s="263" t="s">
        <v>2951</v>
      </c>
      <c r="E2387" s="63" t="s">
        <v>3240</v>
      </c>
      <c r="F2387" s="60" t="s">
        <v>3241</v>
      </c>
      <c r="G2387" s="60" t="s">
        <v>31</v>
      </c>
      <c r="H2387" s="45" t="s">
        <v>3242</v>
      </c>
      <c r="I2387" s="47" t="e">
        <f>VLOOKUP(H2387,'合同综合查询数据（3月返）'!$A:$A,1,FALSE)</f>
        <v>#N/A</v>
      </c>
      <c r="J2387" s="48" t="s">
        <v>33</v>
      </c>
      <c r="K2387" s="60" t="s">
        <v>2965</v>
      </c>
      <c r="L2387" s="113" t="s">
        <v>3243</v>
      </c>
      <c r="M2387" s="277" t="s">
        <v>3244</v>
      </c>
      <c r="N2387" s="51">
        <v>44026</v>
      </c>
      <c r="O2387" s="60" t="s">
        <v>37</v>
      </c>
      <c r="P2387" s="266">
        <v>0</v>
      </c>
      <c r="Q2387" s="270">
        <v>32</v>
      </c>
      <c r="R2387" s="266">
        <f t="shared" si="62"/>
        <v>0</v>
      </c>
      <c r="S2387" s="48">
        <v>202303</v>
      </c>
      <c r="T2387" s="125" t="s">
        <v>3247</v>
      </c>
      <c r="U2387" s="58"/>
      <c r="V2387" s="58"/>
      <c r="W2387" s="58"/>
      <c r="X2387" s="111"/>
      <c r="Y2387" s="111"/>
    </row>
    <row r="2388" s="10" customFormat="1" customHeight="1" spans="1:25">
      <c r="A2388" s="60" t="s">
        <v>401</v>
      </c>
      <c r="B2388" s="60" t="s">
        <v>2950</v>
      </c>
      <c r="C2388" s="60" t="s">
        <v>2828</v>
      </c>
      <c r="D2388" s="263" t="s">
        <v>2951</v>
      </c>
      <c r="E2388" s="63" t="s">
        <v>3240</v>
      </c>
      <c r="F2388" s="60" t="s">
        <v>3241</v>
      </c>
      <c r="G2388" s="60" t="s">
        <v>31</v>
      </c>
      <c r="H2388" s="45" t="s">
        <v>3242</v>
      </c>
      <c r="I2388" s="47" t="e">
        <f>VLOOKUP(H2388,'合同综合查询数据（3月返）'!$A:$A,1,FALSE)</f>
        <v>#N/A</v>
      </c>
      <c r="J2388" s="48" t="s">
        <v>33</v>
      </c>
      <c r="K2388" s="60" t="s">
        <v>2965</v>
      </c>
      <c r="L2388" s="113" t="s">
        <v>3243</v>
      </c>
      <c r="M2388" s="277" t="s">
        <v>3244</v>
      </c>
      <c r="N2388" s="51">
        <v>44682</v>
      </c>
      <c r="O2388" s="60" t="s">
        <v>37</v>
      </c>
      <c r="P2388" s="266">
        <v>0</v>
      </c>
      <c r="Q2388" s="270">
        <v>128</v>
      </c>
      <c r="R2388" s="266">
        <f t="shared" si="62"/>
        <v>0</v>
      </c>
      <c r="S2388" s="48">
        <v>202303</v>
      </c>
      <c r="T2388" s="125" t="s">
        <v>3248</v>
      </c>
      <c r="U2388" s="58"/>
      <c r="V2388" s="58"/>
      <c r="W2388" s="58"/>
      <c r="X2388" s="111"/>
      <c r="Y2388" s="111"/>
    </row>
    <row r="2389" s="10" customFormat="1" customHeight="1" spans="1:25">
      <c r="A2389" s="60" t="s">
        <v>401</v>
      </c>
      <c r="B2389" s="60" t="s">
        <v>2950</v>
      </c>
      <c r="C2389" s="60" t="s">
        <v>2828</v>
      </c>
      <c r="D2389" s="263" t="s">
        <v>2951</v>
      </c>
      <c r="E2389" s="63" t="s">
        <v>3240</v>
      </c>
      <c r="F2389" s="60" t="s">
        <v>3241</v>
      </c>
      <c r="G2389" s="60" t="s">
        <v>31</v>
      </c>
      <c r="H2389" s="45" t="s">
        <v>3242</v>
      </c>
      <c r="I2389" s="47" t="e">
        <f>VLOOKUP(H2389,'合同综合查询数据（3月返）'!$A:$A,1,FALSE)</f>
        <v>#N/A</v>
      </c>
      <c r="J2389" s="48" t="s">
        <v>33</v>
      </c>
      <c r="K2389" s="60" t="s">
        <v>2965</v>
      </c>
      <c r="L2389" s="113" t="s">
        <v>3243</v>
      </c>
      <c r="M2389" s="277" t="s">
        <v>3244</v>
      </c>
      <c r="N2389" s="51">
        <v>44784</v>
      </c>
      <c r="O2389" s="60" t="s">
        <v>37</v>
      </c>
      <c r="P2389" s="266">
        <v>0</v>
      </c>
      <c r="Q2389" s="270">
        <v>-384</v>
      </c>
      <c r="R2389" s="266">
        <f t="shared" si="62"/>
        <v>0</v>
      </c>
      <c r="S2389" s="48">
        <v>202303</v>
      </c>
      <c r="T2389" s="125" t="s">
        <v>3249</v>
      </c>
      <c r="U2389" s="58"/>
      <c r="V2389" s="58"/>
      <c r="W2389" s="58"/>
      <c r="X2389" s="294"/>
      <c r="Y2389" s="111"/>
    </row>
    <row r="2390" s="10" customFormat="1" customHeight="1" spans="1:25">
      <c r="A2390" s="60" t="s">
        <v>401</v>
      </c>
      <c r="B2390" s="60" t="s">
        <v>2950</v>
      </c>
      <c r="C2390" s="60" t="s">
        <v>2828</v>
      </c>
      <c r="D2390" s="263" t="s">
        <v>2951</v>
      </c>
      <c r="E2390" s="63" t="s">
        <v>3240</v>
      </c>
      <c r="F2390" s="60" t="s">
        <v>3241</v>
      </c>
      <c r="G2390" s="60" t="s">
        <v>31</v>
      </c>
      <c r="H2390" s="45" t="s">
        <v>3242</v>
      </c>
      <c r="I2390" s="47" t="e">
        <f>VLOOKUP(H2390,'合同综合查询数据（3月返）'!$A:$A,1,FALSE)</f>
        <v>#N/A</v>
      </c>
      <c r="J2390" s="48" t="s">
        <v>33</v>
      </c>
      <c r="K2390" s="60" t="s">
        <v>2965</v>
      </c>
      <c r="L2390" s="113" t="s">
        <v>3243</v>
      </c>
      <c r="M2390" s="277" t="s">
        <v>3244</v>
      </c>
      <c r="N2390" s="51"/>
      <c r="O2390" s="60" t="s">
        <v>152</v>
      </c>
      <c r="P2390" s="266">
        <v>0</v>
      </c>
      <c r="Q2390" s="270">
        <v>1</v>
      </c>
      <c r="R2390" s="266">
        <f t="shared" si="62"/>
        <v>0</v>
      </c>
      <c r="S2390" s="48">
        <v>202303</v>
      </c>
      <c r="T2390" s="125" t="s">
        <v>3250</v>
      </c>
      <c r="U2390" s="58"/>
      <c r="V2390" s="58"/>
      <c r="W2390" s="58"/>
      <c r="X2390" s="111"/>
      <c r="Y2390" s="111"/>
    </row>
    <row r="2391" s="10" customFormat="1" customHeight="1" spans="1:25">
      <c r="A2391" s="60" t="s">
        <v>401</v>
      </c>
      <c r="B2391" s="60" t="s">
        <v>2950</v>
      </c>
      <c r="C2391" s="60" t="s">
        <v>2828</v>
      </c>
      <c r="D2391" s="263" t="s">
        <v>2951</v>
      </c>
      <c r="E2391" s="63" t="s">
        <v>3240</v>
      </c>
      <c r="F2391" s="60" t="s">
        <v>3241</v>
      </c>
      <c r="G2391" s="60" t="s">
        <v>88</v>
      </c>
      <c r="H2391" s="45" t="s">
        <v>3242</v>
      </c>
      <c r="I2391" s="47" t="e">
        <f>VLOOKUP(H2391,'合同综合查询数据（3月返）'!$A:$A,1,FALSE)</f>
        <v>#N/A</v>
      </c>
      <c r="J2391" s="48" t="s">
        <v>126</v>
      </c>
      <c r="K2391" s="60" t="s">
        <v>2965</v>
      </c>
      <c r="L2391" s="113" t="s">
        <v>3243</v>
      </c>
      <c r="M2391" s="50" t="s">
        <v>3244</v>
      </c>
      <c r="N2391" s="51">
        <v>42552</v>
      </c>
      <c r="O2391" s="51" t="s">
        <v>92</v>
      </c>
      <c r="P2391" s="266">
        <v>0</v>
      </c>
      <c r="Q2391" s="270">
        <v>20</v>
      </c>
      <c r="R2391" s="266">
        <f t="shared" si="62"/>
        <v>0</v>
      </c>
      <c r="S2391" s="48">
        <v>202303</v>
      </c>
      <c r="T2391" s="125" t="s">
        <v>3251</v>
      </c>
      <c r="U2391" s="58"/>
      <c r="V2391" s="58"/>
      <c r="W2391" s="58"/>
      <c r="X2391" s="111"/>
      <c r="Y2391" s="111"/>
    </row>
    <row r="2392" s="10" customFormat="1" customHeight="1" spans="1:25">
      <c r="A2392" s="60" t="s">
        <v>401</v>
      </c>
      <c r="B2392" s="60" t="s">
        <v>2950</v>
      </c>
      <c r="C2392" s="60" t="s">
        <v>2828</v>
      </c>
      <c r="D2392" s="263" t="s">
        <v>2951</v>
      </c>
      <c r="E2392" s="63" t="s">
        <v>3240</v>
      </c>
      <c r="F2392" s="60" t="s">
        <v>3241</v>
      </c>
      <c r="G2392" s="60" t="s">
        <v>88</v>
      </c>
      <c r="H2392" s="45" t="s">
        <v>3242</v>
      </c>
      <c r="I2392" s="47" t="e">
        <f>VLOOKUP(H2392,'合同综合查询数据（3月返）'!$A:$A,1,FALSE)</f>
        <v>#N/A</v>
      </c>
      <c r="J2392" s="48" t="s">
        <v>126</v>
      </c>
      <c r="K2392" s="60" t="s">
        <v>2965</v>
      </c>
      <c r="L2392" s="113" t="s">
        <v>3243</v>
      </c>
      <c r="M2392" s="50" t="s">
        <v>3244</v>
      </c>
      <c r="N2392" s="51">
        <v>43861</v>
      </c>
      <c r="O2392" s="51" t="s">
        <v>92</v>
      </c>
      <c r="P2392" s="266">
        <v>0</v>
      </c>
      <c r="Q2392" s="270">
        <v>-8</v>
      </c>
      <c r="R2392" s="266">
        <f t="shared" si="62"/>
        <v>0</v>
      </c>
      <c r="S2392" s="48">
        <v>202303</v>
      </c>
      <c r="T2392" s="125" t="s">
        <v>3252</v>
      </c>
      <c r="U2392" s="58"/>
      <c r="V2392" s="58"/>
      <c r="W2392" s="58"/>
      <c r="X2392" s="111"/>
      <c r="Y2392" s="111"/>
    </row>
    <row r="2393" s="10" customFormat="1" customHeight="1" spans="1:25">
      <c r="A2393" s="60" t="s">
        <v>401</v>
      </c>
      <c r="B2393" s="60" t="s">
        <v>2950</v>
      </c>
      <c r="C2393" s="60" t="s">
        <v>2828</v>
      </c>
      <c r="D2393" s="263" t="s">
        <v>2951</v>
      </c>
      <c r="E2393" s="63" t="s">
        <v>3240</v>
      </c>
      <c r="F2393" s="60" t="s">
        <v>3241</v>
      </c>
      <c r="G2393" s="60" t="s">
        <v>88</v>
      </c>
      <c r="H2393" s="45" t="s">
        <v>3242</v>
      </c>
      <c r="I2393" s="47" t="e">
        <f>VLOOKUP(H2393,'合同综合查询数据（3月返）'!$A:$A,1,FALSE)</f>
        <v>#N/A</v>
      </c>
      <c r="J2393" s="48" t="s">
        <v>126</v>
      </c>
      <c r="K2393" s="60" t="s">
        <v>2965</v>
      </c>
      <c r="L2393" s="113" t="s">
        <v>3243</v>
      </c>
      <c r="M2393" s="277" t="s">
        <v>3244</v>
      </c>
      <c r="N2393" s="51">
        <v>44252</v>
      </c>
      <c r="O2393" s="60" t="s">
        <v>92</v>
      </c>
      <c r="P2393" s="266">
        <v>3333.33</v>
      </c>
      <c r="Q2393" s="270">
        <v>3</v>
      </c>
      <c r="R2393" s="266">
        <f t="shared" si="62"/>
        <v>9999.99</v>
      </c>
      <c r="S2393" s="48">
        <v>202303</v>
      </c>
      <c r="T2393" s="125" t="s">
        <v>3253</v>
      </c>
      <c r="U2393" s="58"/>
      <c r="V2393" s="58"/>
      <c r="W2393" s="58"/>
      <c r="X2393" s="111"/>
      <c r="Y2393" s="111"/>
    </row>
    <row r="2394" s="10" customFormat="1" customHeight="1" spans="1:25">
      <c r="A2394" s="60" t="s">
        <v>401</v>
      </c>
      <c r="B2394" s="60" t="s">
        <v>2950</v>
      </c>
      <c r="C2394" s="60" t="s">
        <v>2828</v>
      </c>
      <c r="D2394" s="263" t="s">
        <v>2951</v>
      </c>
      <c r="E2394" s="63" t="s">
        <v>3240</v>
      </c>
      <c r="F2394" s="60" t="s">
        <v>3241</v>
      </c>
      <c r="G2394" s="60" t="s">
        <v>88</v>
      </c>
      <c r="H2394" s="45" t="s">
        <v>3242</v>
      </c>
      <c r="I2394" s="47" t="e">
        <f>VLOOKUP(H2394,'合同综合查询数据（3月返）'!$A:$A,1,FALSE)</f>
        <v>#N/A</v>
      </c>
      <c r="J2394" s="48" t="s">
        <v>126</v>
      </c>
      <c r="K2394" s="60" t="s">
        <v>2965</v>
      </c>
      <c r="L2394" s="113" t="s">
        <v>3243</v>
      </c>
      <c r="M2394" s="277" t="s">
        <v>3244</v>
      </c>
      <c r="N2394" s="51">
        <v>44252</v>
      </c>
      <c r="O2394" s="60" t="s">
        <v>92</v>
      </c>
      <c r="P2394" s="266">
        <v>0</v>
      </c>
      <c r="Q2394" s="270">
        <v>4</v>
      </c>
      <c r="R2394" s="266">
        <f t="shared" si="62"/>
        <v>0</v>
      </c>
      <c r="S2394" s="48">
        <v>202303</v>
      </c>
      <c r="T2394" s="125" t="s">
        <v>3254</v>
      </c>
      <c r="U2394" s="58"/>
      <c r="V2394" s="58"/>
      <c r="W2394" s="58"/>
      <c r="X2394" s="111"/>
      <c r="Y2394" s="111"/>
    </row>
    <row r="2395" s="10" customFormat="1" customHeight="1" spans="1:25">
      <c r="A2395" s="60" t="s">
        <v>401</v>
      </c>
      <c r="B2395" s="60" t="s">
        <v>2950</v>
      </c>
      <c r="C2395" s="60" t="s">
        <v>2828</v>
      </c>
      <c r="D2395" s="263" t="s">
        <v>2951</v>
      </c>
      <c r="E2395" s="63" t="s">
        <v>3240</v>
      </c>
      <c r="F2395" s="60" t="s">
        <v>3241</v>
      </c>
      <c r="G2395" s="60" t="s">
        <v>88</v>
      </c>
      <c r="H2395" s="45" t="s">
        <v>3242</v>
      </c>
      <c r="I2395" s="47" t="e">
        <f>VLOOKUP(H2395,'合同综合查询数据（3月返）'!$A:$A,1,FALSE)</f>
        <v>#N/A</v>
      </c>
      <c r="J2395" s="48" t="s">
        <v>126</v>
      </c>
      <c r="K2395" s="60" t="s">
        <v>2965</v>
      </c>
      <c r="L2395" s="113" t="s">
        <v>3243</v>
      </c>
      <c r="M2395" s="277" t="s">
        <v>3244</v>
      </c>
      <c r="N2395" s="51">
        <v>44317</v>
      </c>
      <c r="O2395" s="60" t="s">
        <v>92</v>
      </c>
      <c r="P2395" s="266">
        <v>3333.33</v>
      </c>
      <c r="Q2395" s="270">
        <v>1</v>
      </c>
      <c r="R2395" s="266">
        <f t="shared" si="62"/>
        <v>3333.33</v>
      </c>
      <c r="S2395" s="48">
        <v>202303</v>
      </c>
      <c r="T2395" s="125" t="s">
        <v>3255</v>
      </c>
      <c r="U2395" s="58"/>
      <c r="V2395" s="58"/>
      <c r="W2395" s="58"/>
      <c r="X2395" s="111"/>
      <c r="Y2395" s="111"/>
    </row>
    <row r="2396" s="10" customFormat="1" customHeight="1" spans="1:25">
      <c r="A2396" s="60" t="s">
        <v>401</v>
      </c>
      <c r="B2396" s="60" t="s">
        <v>2950</v>
      </c>
      <c r="C2396" s="60" t="s">
        <v>2828</v>
      </c>
      <c r="D2396" s="263" t="s">
        <v>2951</v>
      </c>
      <c r="E2396" s="63" t="s">
        <v>3240</v>
      </c>
      <c r="F2396" s="60" t="s">
        <v>3241</v>
      </c>
      <c r="G2396" s="60" t="s">
        <v>88</v>
      </c>
      <c r="H2396" s="45" t="s">
        <v>3242</v>
      </c>
      <c r="I2396" s="47" t="e">
        <f>VLOOKUP(H2396,'合同综合查询数据（3月返）'!$A:$A,1,FALSE)</f>
        <v>#N/A</v>
      </c>
      <c r="J2396" s="48" t="s">
        <v>126</v>
      </c>
      <c r="K2396" s="60" t="s">
        <v>2965</v>
      </c>
      <c r="L2396" s="113" t="s">
        <v>3243</v>
      </c>
      <c r="M2396" s="277" t="s">
        <v>3244</v>
      </c>
      <c r="N2396" s="51">
        <v>44682</v>
      </c>
      <c r="O2396" s="60" t="s">
        <v>92</v>
      </c>
      <c r="P2396" s="266">
        <v>3333.33</v>
      </c>
      <c r="Q2396" s="270">
        <v>1</v>
      </c>
      <c r="R2396" s="266">
        <f t="shared" si="62"/>
        <v>3333.33</v>
      </c>
      <c r="S2396" s="48">
        <v>202303</v>
      </c>
      <c r="T2396" s="125" t="s">
        <v>3256</v>
      </c>
      <c r="U2396" s="58"/>
      <c r="V2396" s="58"/>
      <c r="W2396" s="58"/>
      <c r="X2396" s="111"/>
      <c r="Y2396" s="111"/>
    </row>
    <row r="2397" s="10" customFormat="1" customHeight="1" spans="1:25">
      <c r="A2397" s="60" t="s">
        <v>401</v>
      </c>
      <c r="B2397" s="60" t="s">
        <v>2950</v>
      </c>
      <c r="C2397" s="60" t="s">
        <v>2828</v>
      </c>
      <c r="D2397" s="263" t="s">
        <v>2951</v>
      </c>
      <c r="E2397" s="63" t="s">
        <v>3240</v>
      </c>
      <c r="F2397" s="60" t="s">
        <v>3241</v>
      </c>
      <c r="G2397" s="60" t="s">
        <v>88</v>
      </c>
      <c r="H2397" s="45" t="s">
        <v>3242</v>
      </c>
      <c r="I2397" s="47" t="e">
        <f>VLOOKUP(H2397,'合同综合查询数据（3月返）'!$A:$A,1,FALSE)</f>
        <v>#N/A</v>
      </c>
      <c r="J2397" s="48" t="s">
        <v>126</v>
      </c>
      <c r="K2397" s="60" t="s">
        <v>2965</v>
      </c>
      <c r="L2397" s="113" t="s">
        <v>3243</v>
      </c>
      <c r="M2397" s="277" t="s">
        <v>3244</v>
      </c>
      <c r="N2397" s="51">
        <v>44773</v>
      </c>
      <c r="O2397" s="60" t="s">
        <v>92</v>
      </c>
      <c r="P2397" s="266">
        <v>3333.33</v>
      </c>
      <c r="Q2397" s="270">
        <v>-1</v>
      </c>
      <c r="R2397" s="266">
        <f t="shared" si="62"/>
        <v>-3333.33</v>
      </c>
      <c r="S2397" s="48">
        <v>202303</v>
      </c>
      <c r="T2397" s="125" t="s">
        <v>3257</v>
      </c>
      <c r="U2397" s="58"/>
      <c r="V2397" s="58"/>
      <c r="W2397" s="58"/>
      <c r="X2397" s="294"/>
      <c r="Y2397" s="111"/>
    </row>
    <row r="2398" s="10" customFormat="1" customHeight="1" spans="1:25">
      <c r="A2398" s="60" t="s">
        <v>401</v>
      </c>
      <c r="B2398" s="60" t="s">
        <v>2950</v>
      </c>
      <c r="C2398" s="60" t="s">
        <v>2828</v>
      </c>
      <c r="D2398" s="263" t="s">
        <v>2951</v>
      </c>
      <c r="E2398" s="63" t="s">
        <v>3240</v>
      </c>
      <c r="F2398" s="60" t="s">
        <v>3241</v>
      </c>
      <c r="G2398" s="60" t="s">
        <v>88</v>
      </c>
      <c r="H2398" s="45" t="s">
        <v>3242</v>
      </c>
      <c r="I2398" s="47" t="e">
        <f>VLOOKUP(H2398,'合同综合查询数据（3月返）'!$A:$A,1,FALSE)</f>
        <v>#N/A</v>
      </c>
      <c r="J2398" s="48" t="s">
        <v>126</v>
      </c>
      <c r="K2398" s="60" t="s">
        <v>2965</v>
      </c>
      <c r="L2398" s="113" t="s">
        <v>3243</v>
      </c>
      <c r="M2398" s="277" t="s">
        <v>3244</v>
      </c>
      <c r="N2398" s="51">
        <v>44784</v>
      </c>
      <c r="O2398" s="60" t="s">
        <v>92</v>
      </c>
      <c r="P2398" s="266">
        <v>3333.33</v>
      </c>
      <c r="Q2398" s="270">
        <v>-4</v>
      </c>
      <c r="R2398" s="266">
        <f t="shared" si="62"/>
        <v>-13333.32</v>
      </c>
      <c r="S2398" s="48">
        <v>202303</v>
      </c>
      <c r="T2398" s="125" t="s">
        <v>3258</v>
      </c>
      <c r="U2398" s="58"/>
      <c r="V2398" s="58"/>
      <c r="W2398" s="58"/>
      <c r="X2398" s="294"/>
      <c r="Y2398" s="111"/>
    </row>
    <row r="2399" s="10" customFormat="1" customHeight="1" spans="1:25">
      <c r="A2399" s="60" t="s">
        <v>401</v>
      </c>
      <c r="B2399" s="60" t="s">
        <v>2950</v>
      </c>
      <c r="C2399" s="60" t="s">
        <v>2828</v>
      </c>
      <c r="D2399" s="263" t="s">
        <v>2951</v>
      </c>
      <c r="E2399" s="63" t="s">
        <v>3240</v>
      </c>
      <c r="F2399" s="60" t="s">
        <v>3241</v>
      </c>
      <c r="G2399" s="60" t="s">
        <v>88</v>
      </c>
      <c r="H2399" s="45" t="s">
        <v>3242</v>
      </c>
      <c r="I2399" s="47" t="e">
        <f>VLOOKUP(H2399,'合同综合查询数据（3月返）'!$A:$A,1,FALSE)</f>
        <v>#N/A</v>
      </c>
      <c r="J2399" s="48" t="s">
        <v>126</v>
      </c>
      <c r="K2399" s="60" t="s">
        <v>2965</v>
      </c>
      <c r="L2399" s="113" t="s">
        <v>3243</v>
      </c>
      <c r="M2399" s="277" t="s">
        <v>3244</v>
      </c>
      <c r="N2399" s="51">
        <v>44784</v>
      </c>
      <c r="O2399" s="60" t="s">
        <v>92</v>
      </c>
      <c r="P2399" s="266">
        <v>0</v>
      </c>
      <c r="Q2399" s="270">
        <v>-5</v>
      </c>
      <c r="R2399" s="266">
        <f t="shared" si="62"/>
        <v>0</v>
      </c>
      <c r="S2399" s="48">
        <v>202303</v>
      </c>
      <c r="T2399" s="125"/>
      <c r="U2399" s="58"/>
      <c r="V2399" s="58"/>
      <c r="W2399" s="58"/>
      <c r="X2399" s="294"/>
      <c r="Y2399" s="111"/>
    </row>
    <row r="2400" s="9" customFormat="1" customHeight="1" spans="1:25">
      <c r="A2400" s="96" t="s">
        <v>401</v>
      </c>
      <c r="B2400" s="96" t="s">
        <v>2950</v>
      </c>
      <c r="C2400" s="96" t="s">
        <v>3134</v>
      </c>
      <c r="D2400" s="265" t="s">
        <v>2951</v>
      </c>
      <c r="E2400" s="105" t="s">
        <v>3259</v>
      </c>
      <c r="F2400" s="96" t="s">
        <v>3260</v>
      </c>
      <c r="G2400" s="96" t="s">
        <v>31</v>
      </c>
      <c r="H2400" s="19" t="s">
        <v>3261</v>
      </c>
      <c r="I2400" s="23" t="e">
        <f>VLOOKUP(H2400,'合同综合查询数据（3月返）'!$A:$A,1,FALSE)</f>
        <v>#N/A</v>
      </c>
      <c r="J2400" s="24" t="s">
        <v>33</v>
      </c>
      <c r="K2400" s="96" t="s">
        <v>3155</v>
      </c>
      <c r="L2400" s="114" t="s">
        <v>3260</v>
      </c>
      <c r="M2400" s="249" t="s">
        <v>3262</v>
      </c>
      <c r="N2400" s="28" t="s">
        <v>1225</v>
      </c>
      <c r="O2400" s="96" t="s">
        <v>37</v>
      </c>
      <c r="P2400" s="268">
        <v>0</v>
      </c>
      <c r="Q2400" s="273">
        <v>288</v>
      </c>
      <c r="R2400" s="268">
        <f t="shared" si="62"/>
        <v>0</v>
      </c>
      <c r="S2400" s="24">
        <v>202303</v>
      </c>
      <c r="T2400" s="127" t="s">
        <v>3263</v>
      </c>
      <c r="U2400" s="40"/>
      <c r="V2400" s="40"/>
      <c r="W2400" s="295"/>
      <c r="X2400" s="106">
        <v>43831</v>
      </c>
      <c r="Y2400" s="106">
        <v>45291</v>
      </c>
    </row>
    <row r="2401" s="9" customFormat="1" customHeight="1" spans="1:25">
      <c r="A2401" s="96" t="s">
        <v>401</v>
      </c>
      <c r="B2401" s="96" t="s">
        <v>2950</v>
      </c>
      <c r="C2401" s="96" t="s">
        <v>3134</v>
      </c>
      <c r="D2401" s="265" t="s">
        <v>2951</v>
      </c>
      <c r="E2401" s="105" t="s">
        <v>3259</v>
      </c>
      <c r="F2401" s="96" t="s">
        <v>3260</v>
      </c>
      <c r="G2401" s="96" t="s">
        <v>31</v>
      </c>
      <c r="H2401" s="19" t="s">
        <v>3261</v>
      </c>
      <c r="I2401" s="23" t="e">
        <f>VLOOKUP(H2401,'合同综合查询数据（3月返）'!$A:$A,1,FALSE)</f>
        <v>#N/A</v>
      </c>
      <c r="J2401" s="24" t="s">
        <v>33</v>
      </c>
      <c r="K2401" s="96" t="s">
        <v>3155</v>
      </c>
      <c r="L2401" s="114" t="s">
        <v>3260</v>
      </c>
      <c r="M2401" s="249" t="s">
        <v>3262</v>
      </c>
      <c r="N2401" s="28">
        <v>43921</v>
      </c>
      <c r="O2401" s="96" t="s">
        <v>37</v>
      </c>
      <c r="P2401" s="268">
        <v>0</v>
      </c>
      <c r="Q2401" s="273">
        <v>-288</v>
      </c>
      <c r="R2401" s="268">
        <f t="shared" si="62"/>
        <v>0</v>
      </c>
      <c r="S2401" s="24">
        <v>202303</v>
      </c>
      <c r="T2401" s="127" t="s">
        <v>3263</v>
      </c>
      <c r="U2401" s="40"/>
      <c r="V2401" s="40"/>
      <c r="W2401" s="295"/>
      <c r="X2401" s="106">
        <v>43831</v>
      </c>
      <c r="Y2401" s="106">
        <v>45291</v>
      </c>
    </row>
    <row r="2402" s="9" customFormat="1" customHeight="1" spans="1:25">
      <c r="A2402" s="96" t="s">
        <v>401</v>
      </c>
      <c r="B2402" s="96" t="s">
        <v>2950</v>
      </c>
      <c r="C2402" s="96" t="s">
        <v>3134</v>
      </c>
      <c r="D2402" s="265" t="s">
        <v>2951</v>
      </c>
      <c r="E2402" s="105" t="s">
        <v>3259</v>
      </c>
      <c r="F2402" s="96" t="s">
        <v>3260</v>
      </c>
      <c r="G2402" s="96" t="s">
        <v>31</v>
      </c>
      <c r="H2402" s="19" t="s">
        <v>3261</v>
      </c>
      <c r="I2402" s="23" t="e">
        <f>VLOOKUP(H2402,'合同综合查询数据（3月返）'!$A:$A,1,FALSE)</f>
        <v>#N/A</v>
      </c>
      <c r="J2402" s="24" t="s">
        <v>33</v>
      </c>
      <c r="K2402" s="96" t="s">
        <v>3155</v>
      </c>
      <c r="L2402" s="114" t="s">
        <v>3260</v>
      </c>
      <c r="M2402" s="26" t="s">
        <v>3262</v>
      </c>
      <c r="N2402" s="28">
        <v>43800</v>
      </c>
      <c r="O2402" s="96" t="s">
        <v>37</v>
      </c>
      <c r="P2402" s="268">
        <v>0</v>
      </c>
      <c r="Q2402" s="273">
        <v>128</v>
      </c>
      <c r="R2402" s="268">
        <f t="shared" si="62"/>
        <v>0</v>
      </c>
      <c r="S2402" s="24">
        <v>202303</v>
      </c>
      <c r="T2402" s="127" t="s">
        <v>3264</v>
      </c>
      <c r="U2402" s="40"/>
      <c r="V2402" s="40"/>
      <c r="W2402" s="40"/>
      <c r="X2402" s="106">
        <v>43831</v>
      </c>
      <c r="Y2402" s="106">
        <v>45291</v>
      </c>
    </row>
    <row r="2403" s="9" customFormat="1" customHeight="1" spans="1:25">
      <c r="A2403" s="96" t="s">
        <v>401</v>
      </c>
      <c r="B2403" s="96" t="s">
        <v>2950</v>
      </c>
      <c r="C2403" s="96" t="s">
        <v>3134</v>
      </c>
      <c r="D2403" s="265" t="s">
        <v>2951</v>
      </c>
      <c r="E2403" s="105" t="s">
        <v>3259</v>
      </c>
      <c r="F2403" s="96" t="s">
        <v>3260</v>
      </c>
      <c r="G2403" s="96" t="s">
        <v>31</v>
      </c>
      <c r="H2403" s="19" t="s">
        <v>3261</v>
      </c>
      <c r="I2403" s="23" t="e">
        <f>VLOOKUP(H2403,'合同综合查询数据（3月返）'!$A:$A,1,FALSE)</f>
        <v>#N/A</v>
      </c>
      <c r="J2403" s="24" t="s">
        <v>33</v>
      </c>
      <c r="K2403" s="96" t="s">
        <v>3155</v>
      </c>
      <c r="L2403" s="114" t="s">
        <v>3260</v>
      </c>
      <c r="M2403" s="249"/>
      <c r="N2403" s="28"/>
      <c r="O2403" s="94" t="s">
        <v>152</v>
      </c>
      <c r="P2403" s="268">
        <v>0</v>
      </c>
      <c r="Q2403" s="268">
        <v>0</v>
      </c>
      <c r="R2403" s="268">
        <f t="shared" si="62"/>
        <v>0</v>
      </c>
      <c r="S2403" s="24">
        <v>202303</v>
      </c>
      <c r="T2403" s="127" t="s">
        <v>3265</v>
      </c>
      <c r="U2403" s="40"/>
      <c r="V2403" s="40"/>
      <c r="W2403" s="40"/>
      <c r="X2403" s="106">
        <v>43831</v>
      </c>
      <c r="Y2403" s="106">
        <v>45291</v>
      </c>
    </row>
    <row r="2404" s="9" customFormat="1" customHeight="1" spans="1:25">
      <c r="A2404" s="96" t="s">
        <v>401</v>
      </c>
      <c r="B2404" s="96" t="s">
        <v>2950</v>
      </c>
      <c r="C2404" s="96" t="s">
        <v>3134</v>
      </c>
      <c r="D2404" s="265" t="s">
        <v>2951</v>
      </c>
      <c r="E2404" s="105" t="s">
        <v>3259</v>
      </c>
      <c r="F2404" s="96" t="s">
        <v>3260</v>
      </c>
      <c r="G2404" s="96" t="s">
        <v>31</v>
      </c>
      <c r="H2404" s="19" t="s">
        <v>3261</v>
      </c>
      <c r="I2404" s="23" t="e">
        <f>VLOOKUP(H2404,'合同综合查询数据（3月返）'!$A:$A,1,FALSE)</f>
        <v>#N/A</v>
      </c>
      <c r="J2404" s="24" t="s">
        <v>33</v>
      </c>
      <c r="K2404" s="96" t="s">
        <v>3155</v>
      </c>
      <c r="L2404" s="114" t="s">
        <v>3260</v>
      </c>
      <c r="M2404" s="249" t="s">
        <v>3262</v>
      </c>
      <c r="N2404" s="28">
        <v>44292</v>
      </c>
      <c r="O2404" s="199" t="s">
        <v>37</v>
      </c>
      <c r="P2404" s="268">
        <v>50</v>
      </c>
      <c r="Q2404" s="273">
        <v>128</v>
      </c>
      <c r="R2404" s="268">
        <f t="shared" si="62"/>
        <v>6400</v>
      </c>
      <c r="S2404" s="24">
        <v>202303</v>
      </c>
      <c r="T2404" s="127" t="s">
        <v>3266</v>
      </c>
      <c r="U2404" s="40"/>
      <c r="V2404" s="40"/>
      <c r="W2404" s="40"/>
      <c r="X2404" s="106">
        <v>43831</v>
      </c>
      <c r="Y2404" s="106">
        <v>45291</v>
      </c>
    </row>
    <row r="2405" s="9" customFormat="1" customHeight="1" spans="1:25">
      <c r="A2405" s="96" t="s">
        <v>401</v>
      </c>
      <c r="B2405" s="96" t="s">
        <v>2950</v>
      </c>
      <c r="C2405" s="96" t="s">
        <v>3134</v>
      </c>
      <c r="D2405" s="265" t="s">
        <v>2951</v>
      </c>
      <c r="E2405" s="105" t="s">
        <v>3259</v>
      </c>
      <c r="F2405" s="96" t="s">
        <v>3260</v>
      </c>
      <c r="G2405" s="96" t="s">
        <v>88</v>
      </c>
      <c r="H2405" s="19" t="s">
        <v>3261</v>
      </c>
      <c r="I2405" s="23" t="e">
        <f>VLOOKUP(H2405,'合同综合查询数据（3月返）'!$A:$A,1,FALSE)</f>
        <v>#N/A</v>
      </c>
      <c r="J2405" s="24" t="s">
        <v>126</v>
      </c>
      <c r="K2405" s="96" t="s">
        <v>3155</v>
      </c>
      <c r="L2405" s="114" t="s">
        <v>3260</v>
      </c>
      <c r="M2405" s="26" t="s">
        <v>3262</v>
      </c>
      <c r="N2405" s="28">
        <v>42991</v>
      </c>
      <c r="O2405" s="28" t="s">
        <v>3267</v>
      </c>
      <c r="P2405" s="268">
        <v>5000</v>
      </c>
      <c r="Q2405" s="273">
        <v>2</v>
      </c>
      <c r="R2405" s="268">
        <f t="shared" si="62"/>
        <v>10000</v>
      </c>
      <c r="S2405" s="24">
        <v>202303</v>
      </c>
      <c r="T2405" s="127" t="s">
        <v>3268</v>
      </c>
      <c r="U2405" s="40"/>
      <c r="V2405" s="40"/>
      <c r="W2405" s="295"/>
      <c r="X2405" s="106">
        <v>43831</v>
      </c>
      <c r="Y2405" s="106">
        <v>45291</v>
      </c>
    </row>
    <row r="2406" s="9" customFormat="1" customHeight="1" spans="1:25">
      <c r="A2406" s="96" t="s">
        <v>401</v>
      </c>
      <c r="B2406" s="96" t="s">
        <v>2950</v>
      </c>
      <c r="C2406" s="96" t="s">
        <v>3134</v>
      </c>
      <c r="D2406" s="265" t="s">
        <v>2951</v>
      </c>
      <c r="E2406" s="105" t="s">
        <v>3259</v>
      </c>
      <c r="F2406" s="96" t="s">
        <v>3260</v>
      </c>
      <c r="G2406" s="96" t="s">
        <v>88</v>
      </c>
      <c r="H2406" s="19" t="s">
        <v>3261</v>
      </c>
      <c r="I2406" s="23" t="e">
        <f>VLOOKUP(H2406,'合同综合查询数据（3月返）'!$A:$A,1,FALSE)</f>
        <v>#N/A</v>
      </c>
      <c r="J2406" s="24" t="s">
        <v>126</v>
      </c>
      <c r="K2406" s="96" t="s">
        <v>3155</v>
      </c>
      <c r="L2406" s="114" t="s">
        <v>3260</v>
      </c>
      <c r="M2406" s="26" t="s">
        <v>3262</v>
      </c>
      <c r="N2406" s="28">
        <v>43921</v>
      </c>
      <c r="O2406" s="96" t="s">
        <v>3267</v>
      </c>
      <c r="P2406" s="268">
        <v>5000</v>
      </c>
      <c r="Q2406" s="273">
        <v>-2</v>
      </c>
      <c r="R2406" s="268">
        <f t="shared" si="62"/>
        <v>-10000</v>
      </c>
      <c r="S2406" s="24">
        <v>202303</v>
      </c>
      <c r="T2406" s="127" t="s">
        <v>3269</v>
      </c>
      <c r="U2406" s="40"/>
      <c r="V2406" s="40"/>
      <c r="W2406" s="295"/>
      <c r="X2406" s="106">
        <v>43831</v>
      </c>
      <c r="Y2406" s="106">
        <v>45291</v>
      </c>
    </row>
    <row r="2407" s="9" customFormat="1" customHeight="1" spans="1:25">
      <c r="A2407" s="96" t="s">
        <v>401</v>
      </c>
      <c r="B2407" s="96" t="s">
        <v>2950</v>
      </c>
      <c r="C2407" s="96" t="s">
        <v>3134</v>
      </c>
      <c r="D2407" s="265" t="s">
        <v>2951</v>
      </c>
      <c r="E2407" s="105" t="s">
        <v>3259</v>
      </c>
      <c r="F2407" s="96" t="s">
        <v>3260</v>
      </c>
      <c r="G2407" s="96" t="s">
        <v>88</v>
      </c>
      <c r="H2407" s="19" t="s">
        <v>3261</v>
      </c>
      <c r="I2407" s="23" t="e">
        <f>VLOOKUP(H2407,'合同综合查询数据（3月返）'!$A:$A,1,FALSE)</f>
        <v>#N/A</v>
      </c>
      <c r="J2407" s="24" t="s">
        <v>126</v>
      </c>
      <c r="K2407" s="96" t="s">
        <v>3155</v>
      </c>
      <c r="L2407" s="114" t="s">
        <v>3260</v>
      </c>
      <c r="M2407" s="26" t="s">
        <v>3262</v>
      </c>
      <c r="N2407" s="28">
        <v>43800</v>
      </c>
      <c r="O2407" s="96" t="s">
        <v>3267</v>
      </c>
      <c r="P2407" s="268">
        <v>5000</v>
      </c>
      <c r="Q2407" s="273">
        <v>2</v>
      </c>
      <c r="R2407" s="268">
        <f t="shared" si="62"/>
        <v>10000</v>
      </c>
      <c r="S2407" s="24">
        <v>202303</v>
      </c>
      <c r="T2407" s="127" t="s">
        <v>3270</v>
      </c>
      <c r="U2407" s="40"/>
      <c r="V2407" s="40"/>
      <c r="W2407" s="40"/>
      <c r="X2407" s="106">
        <v>43831</v>
      </c>
      <c r="Y2407" s="106">
        <v>45291</v>
      </c>
    </row>
    <row r="2408" s="9" customFormat="1" customHeight="1" spans="1:25">
      <c r="A2408" s="96" t="s">
        <v>401</v>
      </c>
      <c r="B2408" s="96" t="s">
        <v>2950</v>
      </c>
      <c r="C2408" s="96" t="s">
        <v>3134</v>
      </c>
      <c r="D2408" s="265" t="s">
        <v>2951</v>
      </c>
      <c r="E2408" s="105" t="s">
        <v>3259</v>
      </c>
      <c r="F2408" s="96" t="s">
        <v>3260</v>
      </c>
      <c r="G2408" s="96" t="s">
        <v>88</v>
      </c>
      <c r="H2408" s="19" t="s">
        <v>3261</v>
      </c>
      <c r="I2408" s="23" t="e">
        <f>VLOOKUP(H2408,'合同综合查询数据（3月返）'!$A:$A,1,FALSE)</f>
        <v>#N/A</v>
      </c>
      <c r="J2408" s="24" t="s">
        <v>126</v>
      </c>
      <c r="K2408" s="96" t="s">
        <v>3155</v>
      </c>
      <c r="L2408" s="114" t="s">
        <v>3260</v>
      </c>
      <c r="M2408" s="249" t="s">
        <v>3262</v>
      </c>
      <c r="N2408" s="28">
        <v>44292</v>
      </c>
      <c r="O2408" s="96" t="s">
        <v>3267</v>
      </c>
      <c r="P2408" s="268">
        <v>5000</v>
      </c>
      <c r="Q2408" s="268">
        <v>1</v>
      </c>
      <c r="R2408" s="268">
        <f t="shared" si="62"/>
        <v>5000</v>
      </c>
      <c r="S2408" s="24">
        <v>202303</v>
      </c>
      <c r="T2408" s="127" t="s">
        <v>3271</v>
      </c>
      <c r="U2408" s="40"/>
      <c r="V2408" s="40"/>
      <c r="W2408" s="40"/>
      <c r="X2408" s="106">
        <v>43831</v>
      </c>
      <c r="Y2408" s="106">
        <v>45291</v>
      </c>
    </row>
    <row r="2409" s="10" customFormat="1" customHeight="1" spans="1:25">
      <c r="A2409" s="60" t="s">
        <v>401</v>
      </c>
      <c r="B2409" s="60" t="s">
        <v>2950</v>
      </c>
      <c r="C2409" s="60" t="s">
        <v>2912</v>
      </c>
      <c r="D2409" s="263" t="s">
        <v>2951</v>
      </c>
      <c r="E2409" s="63" t="s">
        <v>3272</v>
      </c>
      <c r="F2409" s="60" t="s">
        <v>3273</v>
      </c>
      <c r="G2409" s="60" t="s">
        <v>31</v>
      </c>
      <c r="H2409" s="45" t="s">
        <v>3274</v>
      </c>
      <c r="I2409" s="47" t="e">
        <f>VLOOKUP(H2409,'合同综合查询数据（3月返）'!$A:$A,1,FALSE)</f>
        <v>#N/A</v>
      </c>
      <c r="J2409" s="48" t="s">
        <v>1019</v>
      </c>
      <c r="K2409" s="60" t="s">
        <v>3275</v>
      </c>
      <c r="L2409" s="113"/>
      <c r="M2409" s="277" t="s">
        <v>3276</v>
      </c>
      <c r="N2409" s="51">
        <v>42576</v>
      </c>
      <c r="O2409" s="60" t="s">
        <v>37</v>
      </c>
      <c r="P2409" s="266">
        <v>50</v>
      </c>
      <c r="Q2409" s="270">
        <v>640</v>
      </c>
      <c r="R2409" s="266">
        <f t="shared" si="62"/>
        <v>32000</v>
      </c>
      <c r="S2409" s="48">
        <v>202303</v>
      </c>
      <c r="T2409" s="125" t="s">
        <v>3277</v>
      </c>
      <c r="U2409" s="58"/>
      <c r="V2409" s="58"/>
      <c r="W2409" s="58"/>
      <c r="X2409" s="111"/>
      <c r="Y2409" s="111"/>
    </row>
    <row r="2410" s="10" customFormat="1" customHeight="1" spans="1:25">
      <c r="A2410" s="60" t="s">
        <v>401</v>
      </c>
      <c r="B2410" s="60" t="s">
        <v>2950</v>
      </c>
      <c r="C2410" s="60" t="s">
        <v>2912</v>
      </c>
      <c r="D2410" s="263" t="s">
        <v>2951</v>
      </c>
      <c r="E2410" s="63" t="s">
        <v>3272</v>
      </c>
      <c r="F2410" s="60" t="s">
        <v>3273</v>
      </c>
      <c r="G2410" s="60" t="s">
        <v>31</v>
      </c>
      <c r="H2410" s="45" t="s">
        <v>3274</v>
      </c>
      <c r="I2410" s="47" t="e">
        <f>VLOOKUP(H2410,'合同综合查询数据（3月返）'!$A:$A,1,FALSE)</f>
        <v>#N/A</v>
      </c>
      <c r="J2410" s="48" t="s">
        <v>1019</v>
      </c>
      <c r="K2410" s="60" t="s">
        <v>3275</v>
      </c>
      <c r="L2410" s="113"/>
      <c r="M2410" s="277" t="s">
        <v>3276</v>
      </c>
      <c r="N2410" s="51"/>
      <c r="O2410" s="60" t="s">
        <v>37</v>
      </c>
      <c r="P2410" s="266">
        <v>0</v>
      </c>
      <c r="Q2410" s="270">
        <v>128</v>
      </c>
      <c r="R2410" s="266">
        <f t="shared" si="62"/>
        <v>0</v>
      </c>
      <c r="S2410" s="48">
        <v>202303</v>
      </c>
      <c r="T2410" s="125" t="s">
        <v>3278</v>
      </c>
      <c r="U2410" s="58"/>
      <c r="V2410" s="58"/>
      <c r="W2410" s="58"/>
      <c r="X2410" s="111"/>
      <c r="Y2410" s="111"/>
    </row>
    <row r="2411" s="10" customFormat="1" customHeight="1" spans="1:25">
      <c r="A2411" s="60" t="s">
        <v>401</v>
      </c>
      <c r="B2411" s="60" t="s">
        <v>2950</v>
      </c>
      <c r="C2411" s="60" t="s">
        <v>2912</v>
      </c>
      <c r="D2411" s="263" t="s">
        <v>2951</v>
      </c>
      <c r="E2411" s="63" t="s">
        <v>3272</v>
      </c>
      <c r="F2411" s="60" t="s">
        <v>3273</v>
      </c>
      <c r="G2411" s="60" t="s">
        <v>31</v>
      </c>
      <c r="H2411" s="45" t="s">
        <v>3274</v>
      </c>
      <c r="I2411" s="47" t="e">
        <f>VLOOKUP(H2411,'合同综合查询数据（3月返）'!$A:$A,1,FALSE)</f>
        <v>#N/A</v>
      </c>
      <c r="J2411" s="48" t="s">
        <v>33</v>
      </c>
      <c r="K2411" s="60" t="s">
        <v>3275</v>
      </c>
      <c r="L2411" s="113"/>
      <c r="M2411" s="277" t="s">
        <v>3279</v>
      </c>
      <c r="N2411" s="51" t="s">
        <v>3280</v>
      </c>
      <c r="O2411" s="60" t="s">
        <v>37</v>
      </c>
      <c r="P2411" s="266">
        <v>0</v>
      </c>
      <c r="Q2411" s="270">
        <v>215</v>
      </c>
      <c r="R2411" s="266">
        <f t="shared" si="62"/>
        <v>0</v>
      </c>
      <c r="S2411" s="48">
        <v>202303</v>
      </c>
      <c r="T2411" s="125" t="s">
        <v>3281</v>
      </c>
      <c r="U2411" s="58"/>
      <c r="V2411" s="58"/>
      <c r="W2411" s="58"/>
      <c r="X2411" s="111"/>
      <c r="Y2411" s="111"/>
    </row>
    <row r="2412" s="10" customFormat="1" customHeight="1" spans="1:25">
      <c r="A2412" s="60" t="s">
        <v>401</v>
      </c>
      <c r="B2412" s="60" t="s">
        <v>2950</v>
      </c>
      <c r="C2412" s="60" t="s">
        <v>2912</v>
      </c>
      <c r="D2412" s="263" t="s">
        <v>2951</v>
      </c>
      <c r="E2412" s="63" t="s">
        <v>3272</v>
      </c>
      <c r="F2412" s="60" t="s">
        <v>3273</v>
      </c>
      <c r="G2412" s="60" t="s">
        <v>31</v>
      </c>
      <c r="H2412" s="45" t="s">
        <v>3274</v>
      </c>
      <c r="I2412" s="47" t="e">
        <f>VLOOKUP(H2412,'合同综合查询数据（3月返）'!$A:$A,1,FALSE)</f>
        <v>#N/A</v>
      </c>
      <c r="J2412" s="48" t="s">
        <v>33</v>
      </c>
      <c r="K2412" s="60" t="s">
        <v>3275</v>
      </c>
      <c r="L2412" s="113"/>
      <c r="M2412" s="277" t="s">
        <v>3279</v>
      </c>
      <c r="N2412" s="51" t="s">
        <v>3280</v>
      </c>
      <c r="O2412" s="60" t="s">
        <v>37</v>
      </c>
      <c r="P2412" s="266">
        <v>50</v>
      </c>
      <c r="Q2412" s="270">
        <v>73</v>
      </c>
      <c r="R2412" s="266">
        <f t="shared" si="62"/>
        <v>3650</v>
      </c>
      <c r="S2412" s="48">
        <v>202303</v>
      </c>
      <c r="T2412" s="125" t="s">
        <v>3282</v>
      </c>
      <c r="U2412" s="58"/>
      <c r="V2412" s="58"/>
      <c r="W2412" s="58"/>
      <c r="X2412" s="111"/>
      <c r="Y2412" s="111"/>
    </row>
    <row r="2413" s="10" customFormat="1" customHeight="1" spans="1:25">
      <c r="A2413" s="60" t="s">
        <v>401</v>
      </c>
      <c r="B2413" s="60" t="s">
        <v>2950</v>
      </c>
      <c r="C2413" s="60" t="s">
        <v>2912</v>
      </c>
      <c r="D2413" s="263" t="s">
        <v>2951</v>
      </c>
      <c r="E2413" s="63" t="s">
        <v>3272</v>
      </c>
      <c r="F2413" s="60" t="s">
        <v>3273</v>
      </c>
      <c r="G2413" s="60" t="s">
        <v>31</v>
      </c>
      <c r="H2413" s="45" t="s">
        <v>3274</v>
      </c>
      <c r="I2413" s="47" t="e">
        <f>VLOOKUP(H2413,'合同综合查询数据（3月返）'!$A:$A,1,FALSE)</f>
        <v>#N/A</v>
      </c>
      <c r="J2413" s="48" t="s">
        <v>33</v>
      </c>
      <c r="K2413" s="60" t="s">
        <v>3283</v>
      </c>
      <c r="L2413" s="60" t="s">
        <v>3283</v>
      </c>
      <c r="M2413" s="277" t="s">
        <v>3279</v>
      </c>
      <c r="N2413" s="51">
        <v>44333</v>
      </c>
      <c r="O2413" s="267" t="s">
        <v>37</v>
      </c>
      <c r="P2413" s="266">
        <v>0</v>
      </c>
      <c r="Q2413" s="270">
        <v>128</v>
      </c>
      <c r="R2413" s="266">
        <f t="shared" si="62"/>
        <v>0</v>
      </c>
      <c r="S2413" s="48">
        <v>202303</v>
      </c>
      <c r="T2413" s="125" t="s">
        <v>3284</v>
      </c>
      <c r="U2413" s="58"/>
      <c r="V2413" s="58"/>
      <c r="W2413" s="58"/>
      <c r="X2413" s="111"/>
      <c r="Y2413" s="111"/>
    </row>
    <row r="2414" s="10" customFormat="1" customHeight="1" spans="1:25">
      <c r="A2414" s="60" t="s">
        <v>401</v>
      </c>
      <c r="B2414" s="60" t="s">
        <v>2950</v>
      </c>
      <c r="C2414" s="60" t="s">
        <v>2912</v>
      </c>
      <c r="D2414" s="263" t="s">
        <v>2951</v>
      </c>
      <c r="E2414" s="63" t="s">
        <v>3272</v>
      </c>
      <c r="F2414" s="60" t="s">
        <v>3273</v>
      </c>
      <c r="G2414" s="60" t="s">
        <v>31</v>
      </c>
      <c r="H2414" s="45" t="s">
        <v>3274</v>
      </c>
      <c r="I2414" s="47" t="e">
        <f>VLOOKUP(H2414,'合同综合查询数据（3月返）'!$A:$A,1,FALSE)</f>
        <v>#N/A</v>
      </c>
      <c r="J2414" s="48" t="s">
        <v>33</v>
      </c>
      <c r="K2414" s="60" t="s">
        <v>3285</v>
      </c>
      <c r="L2414" s="60" t="s">
        <v>3285</v>
      </c>
      <c r="M2414" s="277" t="s">
        <v>3279</v>
      </c>
      <c r="N2414" s="51">
        <v>44420</v>
      </c>
      <c r="O2414" s="267" t="s">
        <v>37</v>
      </c>
      <c r="P2414" s="266">
        <v>0</v>
      </c>
      <c r="Q2414" s="270">
        <v>128</v>
      </c>
      <c r="R2414" s="266">
        <f t="shared" si="62"/>
        <v>0</v>
      </c>
      <c r="S2414" s="48">
        <v>202303</v>
      </c>
      <c r="T2414" s="125" t="s">
        <v>3286</v>
      </c>
      <c r="U2414" s="58"/>
      <c r="V2414" s="58"/>
      <c r="W2414" s="58"/>
      <c r="X2414" s="111"/>
      <c r="Y2414" s="111"/>
    </row>
    <row r="2415" s="10" customFormat="1" customHeight="1" spans="1:25">
      <c r="A2415" s="60" t="s">
        <v>401</v>
      </c>
      <c r="B2415" s="60" t="s">
        <v>2950</v>
      </c>
      <c r="C2415" s="60" t="s">
        <v>2912</v>
      </c>
      <c r="D2415" s="263" t="s">
        <v>2951</v>
      </c>
      <c r="E2415" s="63" t="s">
        <v>3272</v>
      </c>
      <c r="F2415" s="60" t="s">
        <v>3273</v>
      </c>
      <c r="G2415" s="60" t="s">
        <v>31</v>
      </c>
      <c r="H2415" s="45" t="s">
        <v>3274</v>
      </c>
      <c r="I2415" s="47" t="e">
        <f>VLOOKUP(H2415,'合同综合查询数据（3月返）'!$A:$A,1,FALSE)</f>
        <v>#N/A</v>
      </c>
      <c r="J2415" s="48" t="s">
        <v>33</v>
      </c>
      <c r="K2415" s="60" t="s">
        <v>3285</v>
      </c>
      <c r="L2415" s="60" t="s">
        <v>3285</v>
      </c>
      <c r="M2415" s="277" t="s">
        <v>3279</v>
      </c>
      <c r="N2415" s="51">
        <v>44420</v>
      </c>
      <c r="O2415" s="267" t="s">
        <v>37</v>
      </c>
      <c r="P2415" s="266">
        <v>50</v>
      </c>
      <c r="Q2415" s="270">
        <v>32</v>
      </c>
      <c r="R2415" s="266">
        <f t="shared" si="62"/>
        <v>1600</v>
      </c>
      <c r="S2415" s="48">
        <v>202303</v>
      </c>
      <c r="T2415" s="125" t="s">
        <v>3286</v>
      </c>
      <c r="U2415" s="58"/>
      <c r="V2415" s="58"/>
      <c r="W2415" s="58"/>
      <c r="X2415" s="111"/>
      <c r="Y2415" s="111"/>
    </row>
    <row r="2416" s="10" customFormat="1" customHeight="1" spans="1:25">
      <c r="A2416" s="60" t="s">
        <v>401</v>
      </c>
      <c r="B2416" s="60" t="s">
        <v>2950</v>
      </c>
      <c r="C2416" s="60" t="s">
        <v>2912</v>
      </c>
      <c r="D2416" s="263" t="s">
        <v>2951</v>
      </c>
      <c r="E2416" s="63" t="s">
        <v>3272</v>
      </c>
      <c r="F2416" s="60" t="s">
        <v>3273</v>
      </c>
      <c r="G2416" s="60" t="s">
        <v>31</v>
      </c>
      <c r="H2416" s="45" t="s">
        <v>3274</v>
      </c>
      <c r="I2416" s="47" t="e">
        <f>VLOOKUP(H2416,'合同综合查询数据（3月返）'!$A:$A,1,FALSE)</f>
        <v>#N/A</v>
      </c>
      <c r="J2416" s="48" t="s">
        <v>33</v>
      </c>
      <c r="K2416" s="60" t="s">
        <v>3283</v>
      </c>
      <c r="L2416" s="60" t="s">
        <v>3283</v>
      </c>
      <c r="M2416" s="277" t="s">
        <v>3279</v>
      </c>
      <c r="N2416" s="51">
        <v>44414</v>
      </c>
      <c r="O2416" s="267" t="s">
        <v>37</v>
      </c>
      <c r="P2416" s="266">
        <v>0</v>
      </c>
      <c r="Q2416" s="270">
        <v>128</v>
      </c>
      <c r="R2416" s="266">
        <f t="shared" si="62"/>
        <v>0</v>
      </c>
      <c r="S2416" s="48">
        <v>202303</v>
      </c>
      <c r="T2416" s="125" t="s">
        <v>3287</v>
      </c>
      <c r="U2416" s="58"/>
      <c r="V2416" s="58"/>
      <c r="W2416" s="58"/>
      <c r="X2416" s="111"/>
      <c r="Y2416" s="111"/>
    </row>
    <row r="2417" s="10" customFormat="1" customHeight="1" spans="1:25">
      <c r="A2417" s="60" t="s">
        <v>401</v>
      </c>
      <c r="B2417" s="60" t="s">
        <v>2950</v>
      </c>
      <c r="C2417" s="60" t="s">
        <v>2912</v>
      </c>
      <c r="D2417" s="263" t="s">
        <v>2951</v>
      </c>
      <c r="E2417" s="63" t="s">
        <v>3272</v>
      </c>
      <c r="F2417" s="60" t="s">
        <v>3273</v>
      </c>
      <c r="G2417" s="60" t="s">
        <v>31</v>
      </c>
      <c r="H2417" s="45" t="s">
        <v>3274</v>
      </c>
      <c r="I2417" s="47" t="e">
        <f>VLOOKUP(H2417,'合同综合查询数据（3月返）'!$A:$A,1,FALSE)</f>
        <v>#N/A</v>
      </c>
      <c r="J2417" s="48" t="s">
        <v>33</v>
      </c>
      <c r="K2417" s="60" t="s">
        <v>3283</v>
      </c>
      <c r="L2417" s="60" t="s">
        <v>3283</v>
      </c>
      <c r="M2417" s="277" t="s">
        <v>3279</v>
      </c>
      <c r="N2417" s="51">
        <v>44414</v>
      </c>
      <c r="O2417" s="267" t="s">
        <v>37</v>
      </c>
      <c r="P2417" s="266">
        <v>0</v>
      </c>
      <c r="Q2417" s="270">
        <v>-128</v>
      </c>
      <c r="R2417" s="266">
        <f t="shared" si="62"/>
        <v>0</v>
      </c>
      <c r="S2417" s="48">
        <v>202303</v>
      </c>
      <c r="T2417" s="125" t="s">
        <v>3288</v>
      </c>
      <c r="U2417" s="58"/>
      <c r="V2417" s="58"/>
      <c r="W2417" s="58"/>
      <c r="X2417" s="111"/>
      <c r="Y2417" s="111"/>
    </row>
    <row r="2418" s="10" customFormat="1" customHeight="1" spans="1:25">
      <c r="A2418" s="60" t="s">
        <v>401</v>
      </c>
      <c r="B2418" s="60" t="s">
        <v>2950</v>
      </c>
      <c r="C2418" s="60" t="s">
        <v>2912</v>
      </c>
      <c r="D2418" s="263" t="s">
        <v>2951</v>
      </c>
      <c r="E2418" s="63" t="s">
        <v>3272</v>
      </c>
      <c r="F2418" s="60" t="s">
        <v>3273</v>
      </c>
      <c r="G2418" s="60" t="s">
        <v>31</v>
      </c>
      <c r="H2418" s="45" t="s">
        <v>3274</v>
      </c>
      <c r="I2418" s="47" t="e">
        <f>VLOOKUP(H2418,'合同综合查询数据（3月返）'!$A:$A,1,FALSE)</f>
        <v>#N/A</v>
      </c>
      <c r="J2418" s="48" t="s">
        <v>33</v>
      </c>
      <c r="K2418" s="60" t="s">
        <v>3285</v>
      </c>
      <c r="L2418" s="60" t="s">
        <v>3285</v>
      </c>
      <c r="M2418" s="277" t="s">
        <v>3279</v>
      </c>
      <c r="N2418" s="51">
        <v>44773</v>
      </c>
      <c r="O2418" s="267" t="s">
        <v>37</v>
      </c>
      <c r="P2418" s="266">
        <v>0</v>
      </c>
      <c r="Q2418" s="270">
        <v>-128</v>
      </c>
      <c r="R2418" s="266">
        <f t="shared" si="62"/>
        <v>0</v>
      </c>
      <c r="S2418" s="48">
        <v>202303</v>
      </c>
      <c r="T2418" s="125" t="s">
        <v>3289</v>
      </c>
      <c r="U2418" s="58"/>
      <c r="V2418" s="58"/>
      <c r="W2418" s="294"/>
      <c r="X2418" s="294"/>
      <c r="Y2418" s="111"/>
    </row>
    <row r="2419" s="10" customFormat="1" customHeight="1" spans="1:25">
      <c r="A2419" s="60" t="s">
        <v>401</v>
      </c>
      <c r="B2419" s="60" t="s">
        <v>2950</v>
      </c>
      <c r="C2419" s="60" t="s">
        <v>2912</v>
      </c>
      <c r="D2419" s="263" t="s">
        <v>2951</v>
      </c>
      <c r="E2419" s="63" t="s">
        <v>3272</v>
      </c>
      <c r="F2419" s="60" t="s">
        <v>3273</v>
      </c>
      <c r="G2419" s="60" t="s">
        <v>31</v>
      </c>
      <c r="H2419" s="45" t="s">
        <v>3274</v>
      </c>
      <c r="I2419" s="47" t="e">
        <f>VLOOKUP(H2419,'合同综合查询数据（3月返）'!$A:$A,1,FALSE)</f>
        <v>#N/A</v>
      </c>
      <c r="J2419" s="48" t="s">
        <v>33</v>
      </c>
      <c r="K2419" s="60" t="s">
        <v>3285</v>
      </c>
      <c r="L2419" s="60" t="s">
        <v>3285</v>
      </c>
      <c r="M2419" s="277" t="s">
        <v>3279</v>
      </c>
      <c r="N2419" s="51">
        <v>44773</v>
      </c>
      <c r="O2419" s="267" t="s">
        <v>37</v>
      </c>
      <c r="P2419" s="266">
        <v>50</v>
      </c>
      <c r="Q2419" s="270">
        <v>-32</v>
      </c>
      <c r="R2419" s="266">
        <f t="shared" si="62"/>
        <v>-1600</v>
      </c>
      <c r="S2419" s="48">
        <v>202303</v>
      </c>
      <c r="T2419" s="125" t="s">
        <v>3289</v>
      </c>
      <c r="U2419" s="58"/>
      <c r="V2419" s="58"/>
      <c r="W2419" s="294"/>
      <c r="X2419" s="294"/>
      <c r="Y2419" s="111"/>
    </row>
    <row r="2420" s="10" customFormat="1" customHeight="1" spans="1:25">
      <c r="A2420" s="60" t="s">
        <v>401</v>
      </c>
      <c r="B2420" s="60" t="s">
        <v>2950</v>
      </c>
      <c r="C2420" s="60" t="s">
        <v>2912</v>
      </c>
      <c r="D2420" s="263" t="s">
        <v>2951</v>
      </c>
      <c r="E2420" s="63" t="s">
        <v>3272</v>
      </c>
      <c r="F2420" s="60" t="s">
        <v>3273</v>
      </c>
      <c r="G2420" s="60" t="s">
        <v>31</v>
      </c>
      <c r="H2420" s="45" t="s">
        <v>3274</v>
      </c>
      <c r="I2420" s="47" t="e">
        <f>VLOOKUP(H2420,'合同综合查询数据（3月返）'!$A:$A,1,FALSE)</f>
        <v>#N/A</v>
      </c>
      <c r="J2420" s="48" t="s">
        <v>33</v>
      </c>
      <c r="K2420" s="60" t="s">
        <v>3283</v>
      </c>
      <c r="L2420" s="60" t="s">
        <v>3283</v>
      </c>
      <c r="M2420" s="277" t="s">
        <v>3279</v>
      </c>
      <c r="N2420" s="51">
        <v>44773</v>
      </c>
      <c r="O2420" s="267" t="s">
        <v>37</v>
      </c>
      <c r="P2420" s="266">
        <v>0</v>
      </c>
      <c r="Q2420" s="270">
        <v>-128</v>
      </c>
      <c r="R2420" s="266">
        <f t="shared" si="62"/>
        <v>0</v>
      </c>
      <c r="S2420" s="48">
        <v>202303</v>
      </c>
      <c r="T2420" s="125" t="s">
        <v>3290</v>
      </c>
      <c r="U2420" s="58"/>
      <c r="V2420" s="58"/>
      <c r="W2420" s="294"/>
      <c r="X2420" s="294"/>
      <c r="Y2420" s="111"/>
    </row>
    <row r="2421" s="10" customFormat="1" customHeight="1" spans="1:25">
      <c r="A2421" s="60" t="s">
        <v>401</v>
      </c>
      <c r="B2421" s="60" t="s">
        <v>2950</v>
      </c>
      <c r="C2421" s="60" t="s">
        <v>2912</v>
      </c>
      <c r="D2421" s="263" t="s">
        <v>2951</v>
      </c>
      <c r="E2421" s="63" t="s">
        <v>3272</v>
      </c>
      <c r="F2421" s="60" t="s">
        <v>3273</v>
      </c>
      <c r="G2421" s="60" t="s">
        <v>88</v>
      </c>
      <c r="H2421" s="45" t="s">
        <v>3274</v>
      </c>
      <c r="I2421" s="47" t="e">
        <f>VLOOKUP(H2421,'合同综合查询数据（3月返）'!$A:$A,1,FALSE)</f>
        <v>#N/A</v>
      </c>
      <c r="J2421" s="48" t="s">
        <v>126</v>
      </c>
      <c r="K2421" s="60" t="s">
        <v>3275</v>
      </c>
      <c r="L2421" s="113" t="s">
        <v>3291</v>
      </c>
      <c r="M2421" s="50" t="s">
        <v>3276</v>
      </c>
      <c r="N2421" s="51">
        <v>42607</v>
      </c>
      <c r="O2421" s="51" t="s">
        <v>3267</v>
      </c>
      <c r="P2421" s="266">
        <v>5000</v>
      </c>
      <c r="Q2421" s="270">
        <v>2</v>
      </c>
      <c r="R2421" s="266">
        <f t="shared" si="62"/>
        <v>10000</v>
      </c>
      <c r="S2421" s="48">
        <v>202303</v>
      </c>
      <c r="T2421" s="125"/>
      <c r="U2421" s="58"/>
      <c r="V2421" s="58"/>
      <c r="W2421" s="58"/>
      <c r="X2421" s="111"/>
      <c r="Y2421" s="111"/>
    </row>
    <row r="2422" s="10" customFormat="1" customHeight="1" spans="1:25">
      <c r="A2422" s="60" t="s">
        <v>401</v>
      </c>
      <c r="B2422" s="60" t="s">
        <v>2950</v>
      </c>
      <c r="C2422" s="60" t="s">
        <v>2912</v>
      </c>
      <c r="D2422" s="263" t="s">
        <v>2951</v>
      </c>
      <c r="E2422" s="63" t="s">
        <v>3272</v>
      </c>
      <c r="F2422" s="60" t="s">
        <v>3273</v>
      </c>
      <c r="G2422" s="60" t="s">
        <v>88</v>
      </c>
      <c r="H2422" s="45" t="s">
        <v>3274</v>
      </c>
      <c r="I2422" s="47" t="e">
        <f>VLOOKUP(H2422,'合同综合查询数据（3月返）'!$A:$A,1,FALSE)</f>
        <v>#N/A</v>
      </c>
      <c r="J2422" s="48" t="s">
        <v>126</v>
      </c>
      <c r="K2422" s="60" t="s">
        <v>3275</v>
      </c>
      <c r="L2422" s="113" t="s">
        <v>3292</v>
      </c>
      <c r="M2422" s="50" t="s">
        <v>3279</v>
      </c>
      <c r="N2422" s="51">
        <v>43354</v>
      </c>
      <c r="O2422" s="51" t="s">
        <v>3267</v>
      </c>
      <c r="P2422" s="266">
        <v>5000</v>
      </c>
      <c r="Q2422" s="270">
        <v>3</v>
      </c>
      <c r="R2422" s="266">
        <f t="shared" si="62"/>
        <v>15000</v>
      </c>
      <c r="S2422" s="48">
        <v>202303</v>
      </c>
      <c r="T2422" s="125" t="s">
        <v>3293</v>
      </c>
      <c r="U2422" s="58"/>
      <c r="V2422" s="58"/>
      <c r="W2422" s="58"/>
      <c r="X2422" s="111"/>
      <c r="Y2422" s="111"/>
    </row>
    <row r="2423" s="10" customFormat="1" customHeight="1" spans="1:25">
      <c r="A2423" s="60" t="s">
        <v>401</v>
      </c>
      <c r="B2423" s="60" t="s">
        <v>2950</v>
      </c>
      <c r="C2423" s="60" t="s">
        <v>2912</v>
      </c>
      <c r="D2423" s="263" t="s">
        <v>2951</v>
      </c>
      <c r="E2423" s="63" t="s">
        <v>3272</v>
      </c>
      <c r="F2423" s="60" t="s">
        <v>3273</v>
      </c>
      <c r="G2423" s="60" t="s">
        <v>88</v>
      </c>
      <c r="H2423" s="45" t="s">
        <v>3274</v>
      </c>
      <c r="I2423" s="47" t="e">
        <f>VLOOKUP(H2423,'合同综合查询数据（3月返）'!$A:$A,1,FALSE)</f>
        <v>#N/A</v>
      </c>
      <c r="J2423" s="48" t="s">
        <v>126</v>
      </c>
      <c r="K2423" s="60" t="s">
        <v>2912</v>
      </c>
      <c r="L2423" s="113"/>
      <c r="M2423" s="50" t="s">
        <v>3276</v>
      </c>
      <c r="N2423" s="51">
        <v>43738</v>
      </c>
      <c r="O2423" s="51" t="s">
        <v>3267</v>
      </c>
      <c r="P2423" s="266">
        <v>5000</v>
      </c>
      <c r="Q2423" s="270">
        <v>-2</v>
      </c>
      <c r="R2423" s="266">
        <f t="shared" si="62"/>
        <v>-10000</v>
      </c>
      <c r="S2423" s="48">
        <v>202303</v>
      </c>
      <c r="T2423" s="125" t="s">
        <v>3294</v>
      </c>
      <c r="U2423" s="58"/>
      <c r="V2423" s="58"/>
      <c r="W2423" s="58"/>
      <c r="X2423" s="111"/>
      <c r="Y2423" s="111"/>
    </row>
    <row r="2424" s="10" customFormat="1" customHeight="1" spans="1:25">
      <c r="A2424" s="60" t="s">
        <v>401</v>
      </c>
      <c r="B2424" s="60" t="s">
        <v>2950</v>
      </c>
      <c r="C2424" s="60" t="s">
        <v>2912</v>
      </c>
      <c r="D2424" s="263" t="s">
        <v>2951</v>
      </c>
      <c r="E2424" s="63" t="s">
        <v>3272</v>
      </c>
      <c r="F2424" s="60" t="s">
        <v>3273</v>
      </c>
      <c r="G2424" s="60" t="s">
        <v>88</v>
      </c>
      <c r="H2424" s="45" t="s">
        <v>3274</v>
      </c>
      <c r="I2424" s="47" t="e">
        <f>VLOOKUP(H2424,'合同综合查询数据（3月返）'!$A:$A,1,FALSE)</f>
        <v>#N/A</v>
      </c>
      <c r="J2424" s="48" t="s">
        <v>126</v>
      </c>
      <c r="K2424" s="60" t="s">
        <v>3283</v>
      </c>
      <c r="L2424" s="60" t="s">
        <v>3283</v>
      </c>
      <c r="M2424" s="277" t="s">
        <v>3279</v>
      </c>
      <c r="N2424" s="51">
        <v>44333</v>
      </c>
      <c r="O2424" s="51" t="s">
        <v>3267</v>
      </c>
      <c r="P2424" s="266">
        <v>5000</v>
      </c>
      <c r="Q2424" s="270">
        <v>3</v>
      </c>
      <c r="R2424" s="266">
        <f t="shared" si="62"/>
        <v>15000</v>
      </c>
      <c r="S2424" s="48">
        <v>202303</v>
      </c>
      <c r="T2424" s="125" t="s">
        <v>3295</v>
      </c>
      <c r="U2424" s="58"/>
      <c r="V2424" s="58"/>
      <c r="W2424" s="58"/>
      <c r="X2424" s="111"/>
      <c r="Y2424" s="111"/>
    </row>
    <row r="2425" s="10" customFormat="1" customHeight="1" spans="1:25">
      <c r="A2425" s="60" t="s">
        <v>401</v>
      </c>
      <c r="B2425" s="60" t="s">
        <v>2950</v>
      </c>
      <c r="C2425" s="60" t="s">
        <v>2912</v>
      </c>
      <c r="D2425" s="263" t="s">
        <v>2951</v>
      </c>
      <c r="E2425" s="63" t="s">
        <v>3272</v>
      </c>
      <c r="F2425" s="60" t="s">
        <v>3273</v>
      </c>
      <c r="G2425" s="60" t="s">
        <v>88</v>
      </c>
      <c r="H2425" s="45" t="s">
        <v>3274</v>
      </c>
      <c r="I2425" s="47" t="e">
        <f>VLOOKUP(H2425,'合同综合查询数据（3月返）'!$A:$A,1,FALSE)</f>
        <v>#N/A</v>
      </c>
      <c r="J2425" s="48" t="s">
        <v>126</v>
      </c>
      <c r="K2425" s="60" t="s">
        <v>3283</v>
      </c>
      <c r="L2425" s="60" t="s">
        <v>3283</v>
      </c>
      <c r="M2425" s="277" t="s">
        <v>3279</v>
      </c>
      <c r="N2425" s="51">
        <v>44620</v>
      </c>
      <c r="O2425" s="51" t="s">
        <v>3267</v>
      </c>
      <c r="P2425" s="266">
        <v>5000</v>
      </c>
      <c r="Q2425" s="270">
        <v>-1</v>
      </c>
      <c r="R2425" s="266">
        <f t="shared" si="62"/>
        <v>-5000</v>
      </c>
      <c r="S2425" s="48">
        <v>202303</v>
      </c>
      <c r="T2425" s="125" t="s">
        <v>3296</v>
      </c>
      <c r="U2425" s="58"/>
      <c r="V2425" s="58"/>
      <c r="W2425" s="58"/>
      <c r="X2425" s="111"/>
      <c r="Y2425" s="111"/>
    </row>
    <row r="2426" s="10" customFormat="1" customHeight="1" spans="1:25">
      <c r="A2426" s="60" t="s">
        <v>401</v>
      </c>
      <c r="B2426" s="60" t="s">
        <v>2950</v>
      </c>
      <c r="C2426" s="60" t="s">
        <v>2912</v>
      </c>
      <c r="D2426" s="263" t="s">
        <v>2951</v>
      </c>
      <c r="E2426" s="63" t="s">
        <v>3272</v>
      </c>
      <c r="F2426" s="60" t="s">
        <v>3273</v>
      </c>
      <c r="G2426" s="60" t="s">
        <v>88</v>
      </c>
      <c r="H2426" s="45" t="s">
        <v>3274</v>
      </c>
      <c r="I2426" s="47" t="e">
        <f>VLOOKUP(H2426,'合同综合查询数据（3月返）'!$A:$A,1,FALSE)</f>
        <v>#N/A</v>
      </c>
      <c r="J2426" s="48" t="s">
        <v>126</v>
      </c>
      <c r="K2426" s="60" t="s">
        <v>3283</v>
      </c>
      <c r="L2426" s="60" t="s">
        <v>3283</v>
      </c>
      <c r="M2426" s="277" t="s">
        <v>3279</v>
      </c>
      <c r="N2426" s="51">
        <v>44621</v>
      </c>
      <c r="O2426" s="51" t="s">
        <v>3267</v>
      </c>
      <c r="P2426" s="266">
        <v>5000</v>
      </c>
      <c r="Q2426" s="270">
        <v>1</v>
      </c>
      <c r="R2426" s="266">
        <f t="shared" ref="R2426:R2489" si="63">ROUND(P2426*Q2426,2)</f>
        <v>5000</v>
      </c>
      <c r="S2426" s="48">
        <v>202303</v>
      </c>
      <c r="T2426" s="125" t="s">
        <v>3296</v>
      </c>
      <c r="U2426" s="58"/>
      <c r="V2426" s="58"/>
      <c r="W2426" s="58"/>
      <c r="X2426" s="111"/>
      <c r="Y2426" s="111"/>
    </row>
    <row r="2427" s="10" customFormat="1" customHeight="1" spans="1:25">
      <c r="A2427" s="60" t="s">
        <v>401</v>
      </c>
      <c r="B2427" s="60" t="s">
        <v>2950</v>
      </c>
      <c r="C2427" s="60" t="s">
        <v>2912</v>
      </c>
      <c r="D2427" s="263" t="s">
        <v>2951</v>
      </c>
      <c r="E2427" s="63" t="s">
        <v>3272</v>
      </c>
      <c r="F2427" s="60" t="s">
        <v>3273</v>
      </c>
      <c r="G2427" s="60" t="s">
        <v>88</v>
      </c>
      <c r="H2427" s="45" t="s">
        <v>3274</v>
      </c>
      <c r="I2427" s="47" t="e">
        <f>VLOOKUP(H2427,'合同综合查询数据（3月返）'!$A:$A,1,FALSE)</f>
        <v>#N/A</v>
      </c>
      <c r="J2427" s="48" t="s">
        <v>126</v>
      </c>
      <c r="K2427" s="60" t="s">
        <v>3283</v>
      </c>
      <c r="L2427" s="60" t="s">
        <v>3285</v>
      </c>
      <c r="M2427" s="277" t="s">
        <v>3279</v>
      </c>
      <c r="N2427" s="51">
        <v>44773</v>
      </c>
      <c r="O2427" s="51" t="s">
        <v>3267</v>
      </c>
      <c r="P2427" s="266">
        <v>5000</v>
      </c>
      <c r="Q2427" s="270">
        <v>-1</v>
      </c>
      <c r="R2427" s="266">
        <f t="shared" si="63"/>
        <v>-5000</v>
      </c>
      <c r="S2427" s="48">
        <v>202303</v>
      </c>
      <c r="T2427" s="125" t="s">
        <v>3297</v>
      </c>
      <c r="U2427" s="58"/>
      <c r="V2427" s="58"/>
      <c r="W2427" s="294"/>
      <c r="X2427" s="294"/>
      <c r="Y2427" s="111"/>
    </row>
    <row r="2428" s="10" customFormat="1" customHeight="1" spans="1:25">
      <c r="A2428" s="60" t="s">
        <v>401</v>
      </c>
      <c r="B2428" s="60" t="s">
        <v>2950</v>
      </c>
      <c r="C2428" s="60" t="s">
        <v>2912</v>
      </c>
      <c r="D2428" s="263" t="s">
        <v>2951</v>
      </c>
      <c r="E2428" s="63" t="s">
        <v>3272</v>
      </c>
      <c r="F2428" s="60" t="s">
        <v>3273</v>
      </c>
      <c r="G2428" s="60" t="s">
        <v>88</v>
      </c>
      <c r="H2428" s="45" t="s">
        <v>3274</v>
      </c>
      <c r="I2428" s="47" t="e">
        <f>VLOOKUP(H2428,'合同综合查询数据（3月返）'!$A:$A,1,FALSE)</f>
        <v>#N/A</v>
      </c>
      <c r="J2428" s="48" t="s">
        <v>126</v>
      </c>
      <c r="K2428" s="60" t="s">
        <v>3283</v>
      </c>
      <c r="L2428" s="60" t="s">
        <v>3283</v>
      </c>
      <c r="M2428" s="277" t="s">
        <v>3279</v>
      </c>
      <c r="N2428" s="51">
        <v>44773</v>
      </c>
      <c r="O2428" s="51" t="s">
        <v>3267</v>
      </c>
      <c r="P2428" s="266">
        <v>5000</v>
      </c>
      <c r="Q2428" s="270">
        <v>-1</v>
      </c>
      <c r="R2428" s="266">
        <f t="shared" si="63"/>
        <v>-5000</v>
      </c>
      <c r="S2428" s="48">
        <v>202303</v>
      </c>
      <c r="T2428" s="125" t="s">
        <v>3298</v>
      </c>
      <c r="U2428" s="58"/>
      <c r="V2428" s="58"/>
      <c r="W2428" s="294"/>
      <c r="X2428" s="294"/>
      <c r="Y2428" s="111"/>
    </row>
    <row r="2429" s="10" customFormat="1" customHeight="1" spans="1:25">
      <c r="A2429" s="60" t="s">
        <v>401</v>
      </c>
      <c r="B2429" s="60" t="s">
        <v>2950</v>
      </c>
      <c r="C2429" s="60" t="s">
        <v>2912</v>
      </c>
      <c r="D2429" s="263" t="s">
        <v>2951</v>
      </c>
      <c r="E2429" s="63" t="s">
        <v>3272</v>
      </c>
      <c r="F2429" s="60" t="s">
        <v>3273</v>
      </c>
      <c r="G2429" s="60" t="s">
        <v>88</v>
      </c>
      <c r="H2429" s="45" t="s">
        <v>3274</v>
      </c>
      <c r="I2429" s="47" t="e">
        <f>VLOOKUP(H2429,'合同综合查询数据（3月返）'!$A:$A,1,FALSE)</f>
        <v>#N/A</v>
      </c>
      <c r="J2429" s="48" t="s">
        <v>1033</v>
      </c>
      <c r="K2429" s="60" t="s">
        <v>3275</v>
      </c>
      <c r="L2429" s="113"/>
      <c r="M2429" s="50" t="s">
        <v>3276</v>
      </c>
      <c r="N2429" s="51">
        <v>42576</v>
      </c>
      <c r="O2429" s="51" t="s">
        <v>3267</v>
      </c>
      <c r="P2429" s="266">
        <v>5000</v>
      </c>
      <c r="Q2429" s="270">
        <v>2</v>
      </c>
      <c r="R2429" s="266">
        <f t="shared" si="63"/>
        <v>10000</v>
      </c>
      <c r="S2429" s="48">
        <v>202303</v>
      </c>
      <c r="T2429" s="125"/>
      <c r="U2429" s="58"/>
      <c r="V2429" s="58"/>
      <c r="W2429" s="296"/>
      <c r="X2429" s="111"/>
      <c r="Y2429" s="111"/>
    </row>
    <row r="2430" s="10" customFormat="1" customHeight="1" spans="1:25">
      <c r="A2430" s="60" t="s">
        <v>401</v>
      </c>
      <c r="B2430" s="60" t="s">
        <v>2950</v>
      </c>
      <c r="C2430" s="60" t="s">
        <v>2912</v>
      </c>
      <c r="D2430" s="263" t="s">
        <v>2951</v>
      </c>
      <c r="E2430" s="63" t="s">
        <v>3272</v>
      </c>
      <c r="F2430" s="60" t="s">
        <v>3273</v>
      </c>
      <c r="G2430" s="60" t="s">
        <v>88</v>
      </c>
      <c r="H2430" s="45" t="s">
        <v>3274</v>
      </c>
      <c r="I2430" s="47" t="e">
        <f>VLOOKUP(H2430,'合同综合查询数据（3月返）'!$A:$A,1,FALSE)</f>
        <v>#N/A</v>
      </c>
      <c r="J2430" s="48" t="s">
        <v>1033</v>
      </c>
      <c r="K2430" s="60" t="s">
        <v>2912</v>
      </c>
      <c r="L2430" s="113"/>
      <c r="M2430" s="277" t="s">
        <v>3276</v>
      </c>
      <c r="N2430" s="51">
        <v>44202</v>
      </c>
      <c r="O2430" s="51" t="s">
        <v>3267</v>
      </c>
      <c r="P2430" s="266">
        <v>5000</v>
      </c>
      <c r="Q2430" s="270">
        <v>1</v>
      </c>
      <c r="R2430" s="266">
        <f t="shared" si="63"/>
        <v>5000</v>
      </c>
      <c r="S2430" s="48">
        <v>202303</v>
      </c>
      <c r="T2430" s="125" t="s">
        <v>3299</v>
      </c>
      <c r="U2430" s="58"/>
      <c r="V2430" s="58"/>
      <c r="W2430" s="58"/>
      <c r="X2430" s="111"/>
      <c r="Y2430" s="111"/>
    </row>
    <row r="2431" s="10" customFormat="1" customHeight="1" spans="1:25">
      <c r="A2431" s="60" t="s">
        <v>401</v>
      </c>
      <c r="B2431" s="60" t="s">
        <v>2950</v>
      </c>
      <c r="C2431" s="60" t="s">
        <v>2912</v>
      </c>
      <c r="D2431" s="263" t="s">
        <v>2951</v>
      </c>
      <c r="E2431" s="63" t="s">
        <v>3272</v>
      </c>
      <c r="F2431" s="60" t="s">
        <v>3273</v>
      </c>
      <c r="G2431" s="60" t="s">
        <v>88</v>
      </c>
      <c r="H2431" s="45" t="s">
        <v>3274</v>
      </c>
      <c r="I2431" s="47" t="e">
        <f>VLOOKUP(H2431,'合同综合查询数据（3月返）'!$A:$A,1,FALSE)</f>
        <v>#N/A</v>
      </c>
      <c r="J2431" s="48" t="s">
        <v>3234</v>
      </c>
      <c r="K2431" s="60"/>
      <c r="L2431" s="60"/>
      <c r="M2431" s="277" t="s">
        <v>3300</v>
      </c>
      <c r="N2431" s="51">
        <v>44444</v>
      </c>
      <c r="O2431" s="51" t="s">
        <v>3267</v>
      </c>
      <c r="P2431" s="266">
        <v>5000</v>
      </c>
      <c r="Q2431" s="270">
        <v>3</v>
      </c>
      <c r="R2431" s="266">
        <f t="shared" si="63"/>
        <v>15000</v>
      </c>
      <c r="S2431" s="48">
        <v>202303</v>
      </c>
      <c r="T2431" s="125" t="s">
        <v>3301</v>
      </c>
      <c r="U2431" s="58"/>
      <c r="V2431" s="58"/>
      <c r="W2431" s="58"/>
      <c r="X2431" s="111"/>
      <c r="Y2431" s="111"/>
    </row>
    <row r="2432" s="9" customFormat="1" customHeight="1" spans="1:25">
      <c r="A2432" s="96" t="s">
        <v>401</v>
      </c>
      <c r="B2432" s="96" t="s">
        <v>2950</v>
      </c>
      <c r="C2432" s="96" t="s">
        <v>2998</v>
      </c>
      <c r="D2432" s="265" t="s">
        <v>2951</v>
      </c>
      <c r="E2432" s="105" t="s">
        <v>3302</v>
      </c>
      <c r="F2432" s="96" t="s">
        <v>3303</v>
      </c>
      <c r="G2432" s="96" t="s">
        <v>67</v>
      </c>
      <c r="H2432" s="19" t="s">
        <v>3304</v>
      </c>
      <c r="I2432" s="23" t="e">
        <f>VLOOKUP(H2432,'合同综合查询数据（3月返）'!$A:$A,1,FALSE)</f>
        <v>#N/A</v>
      </c>
      <c r="J2432" s="24" t="s">
        <v>67</v>
      </c>
      <c r="K2432" s="96" t="s">
        <v>3305</v>
      </c>
      <c r="L2432" s="114"/>
      <c r="M2432" s="249"/>
      <c r="N2432" s="28"/>
      <c r="O2432" s="40">
        <v>0</v>
      </c>
      <c r="P2432" s="268">
        <v>109640</v>
      </c>
      <c r="Q2432" s="273">
        <v>1</v>
      </c>
      <c r="R2432" s="268">
        <f t="shared" si="63"/>
        <v>109640</v>
      </c>
      <c r="S2432" s="24">
        <v>202303</v>
      </c>
      <c r="T2432" s="127" t="s">
        <v>3306</v>
      </c>
      <c r="U2432" s="40"/>
      <c r="V2432" s="40"/>
      <c r="W2432" s="40"/>
      <c r="X2432" s="106">
        <v>44136</v>
      </c>
      <c r="Y2432" s="28">
        <v>45230</v>
      </c>
    </row>
    <row r="2433" s="9" customFormat="1" customHeight="1" spans="1:25">
      <c r="A2433" s="96" t="s">
        <v>401</v>
      </c>
      <c r="B2433" s="96" t="s">
        <v>2950</v>
      </c>
      <c r="C2433" s="96" t="s">
        <v>2998</v>
      </c>
      <c r="D2433" s="265" t="s">
        <v>2951</v>
      </c>
      <c r="E2433" s="105" t="s">
        <v>3302</v>
      </c>
      <c r="F2433" s="96" t="s">
        <v>3303</v>
      </c>
      <c r="G2433" s="96" t="s">
        <v>67</v>
      </c>
      <c r="H2433" s="19" t="s">
        <v>3304</v>
      </c>
      <c r="I2433" s="23" t="e">
        <f>VLOOKUP(H2433,'合同综合查询数据（3月返）'!$A:$A,1,FALSE)</f>
        <v>#N/A</v>
      </c>
      <c r="J2433" s="24" t="s">
        <v>67</v>
      </c>
      <c r="K2433" s="96"/>
      <c r="L2433" s="114"/>
      <c r="M2433" s="249"/>
      <c r="N2433" s="28">
        <v>43231</v>
      </c>
      <c r="O2433" s="40">
        <v>0</v>
      </c>
      <c r="P2433" s="268">
        <v>400</v>
      </c>
      <c r="Q2433" s="273">
        <v>2</v>
      </c>
      <c r="R2433" s="268">
        <f t="shared" si="63"/>
        <v>800</v>
      </c>
      <c r="S2433" s="24">
        <v>202303</v>
      </c>
      <c r="T2433" s="127" t="s">
        <v>3307</v>
      </c>
      <c r="U2433" s="40"/>
      <c r="V2433" s="40"/>
      <c r="W2433" s="40"/>
      <c r="X2433" s="106">
        <v>44136</v>
      </c>
      <c r="Y2433" s="28">
        <v>45230</v>
      </c>
    </row>
    <row r="2434" s="9" customFormat="1" customHeight="1" spans="1:25">
      <c r="A2434" s="96" t="s">
        <v>401</v>
      </c>
      <c r="B2434" s="96" t="s">
        <v>2950</v>
      </c>
      <c r="C2434" s="96" t="s">
        <v>2998</v>
      </c>
      <c r="D2434" s="265" t="s">
        <v>2951</v>
      </c>
      <c r="E2434" s="105" t="s">
        <v>3302</v>
      </c>
      <c r="F2434" s="96" t="s">
        <v>3303</v>
      </c>
      <c r="G2434" s="96" t="s">
        <v>67</v>
      </c>
      <c r="H2434" s="19" t="s">
        <v>3304</v>
      </c>
      <c r="I2434" s="23" t="e">
        <f>VLOOKUP(H2434,'合同综合查询数据（3月返）'!$A:$A,1,FALSE)</f>
        <v>#N/A</v>
      </c>
      <c r="J2434" s="24" t="s">
        <v>67</v>
      </c>
      <c r="K2434" s="96"/>
      <c r="L2434" s="114"/>
      <c r="M2434" s="249"/>
      <c r="N2434" s="28">
        <v>43363</v>
      </c>
      <c r="O2434" s="40">
        <v>0</v>
      </c>
      <c r="P2434" s="268">
        <v>400</v>
      </c>
      <c r="Q2434" s="273">
        <v>2</v>
      </c>
      <c r="R2434" s="268">
        <f t="shared" si="63"/>
        <v>800</v>
      </c>
      <c r="S2434" s="24">
        <v>202303</v>
      </c>
      <c r="T2434" s="127" t="s">
        <v>3308</v>
      </c>
      <c r="U2434" s="40"/>
      <c r="V2434" s="40"/>
      <c r="W2434" s="40"/>
      <c r="X2434" s="106">
        <v>44136</v>
      </c>
      <c r="Y2434" s="28">
        <v>45230</v>
      </c>
    </row>
    <row r="2435" s="9" customFormat="1" customHeight="1" spans="1:25">
      <c r="A2435" s="96" t="s">
        <v>401</v>
      </c>
      <c r="B2435" s="96" t="s">
        <v>2950</v>
      </c>
      <c r="C2435" s="96" t="s">
        <v>2998</v>
      </c>
      <c r="D2435" s="265" t="s">
        <v>2951</v>
      </c>
      <c r="E2435" s="105" t="s">
        <v>3302</v>
      </c>
      <c r="F2435" s="96" t="s">
        <v>3303</v>
      </c>
      <c r="G2435" s="96" t="s">
        <v>67</v>
      </c>
      <c r="H2435" s="19" t="s">
        <v>3304</v>
      </c>
      <c r="I2435" s="23" t="e">
        <f>VLOOKUP(H2435,'合同综合查询数据（3月返）'!$A:$A,1,FALSE)</f>
        <v>#N/A</v>
      </c>
      <c r="J2435" s="24" t="s">
        <v>3309</v>
      </c>
      <c r="K2435" s="94" t="s">
        <v>3310</v>
      </c>
      <c r="L2435" s="94"/>
      <c r="M2435" s="249"/>
      <c r="N2435" s="106">
        <v>44278</v>
      </c>
      <c r="O2435" s="94" t="s">
        <v>71</v>
      </c>
      <c r="P2435" s="297">
        <v>400</v>
      </c>
      <c r="Q2435" s="297">
        <v>3</v>
      </c>
      <c r="R2435" s="268">
        <f t="shared" si="63"/>
        <v>1200</v>
      </c>
      <c r="S2435" s="24">
        <v>202303</v>
      </c>
      <c r="T2435" s="127" t="s">
        <v>3311</v>
      </c>
      <c r="U2435" s="40"/>
      <c r="V2435" s="40"/>
      <c r="W2435" s="40"/>
      <c r="X2435" s="106">
        <v>44136</v>
      </c>
      <c r="Y2435" s="28">
        <v>45230</v>
      </c>
    </row>
    <row r="2436" s="9" customFormat="1" customHeight="1" spans="1:25">
      <c r="A2436" s="96" t="s">
        <v>401</v>
      </c>
      <c r="B2436" s="96" t="s">
        <v>2950</v>
      </c>
      <c r="C2436" s="96" t="s">
        <v>2998</v>
      </c>
      <c r="D2436" s="265" t="s">
        <v>2951</v>
      </c>
      <c r="E2436" s="105" t="s">
        <v>3302</v>
      </c>
      <c r="F2436" s="96" t="s">
        <v>3303</v>
      </c>
      <c r="G2436" s="96" t="s">
        <v>67</v>
      </c>
      <c r="H2436" s="19" t="s">
        <v>3304</v>
      </c>
      <c r="I2436" s="23" t="e">
        <f>VLOOKUP(H2436,'合同综合查询数据（3月返）'!$A:$A,1,FALSE)</f>
        <v>#N/A</v>
      </c>
      <c r="J2436" s="24" t="s">
        <v>3309</v>
      </c>
      <c r="K2436" s="94" t="s">
        <v>3310</v>
      </c>
      <c r="L2436" s="94"/>
      <c r="M2436" s="249"/>
      <c r="N2436" s="106">
        <v>44278</v>
      </c>
      <c r="O2436" s="94" t="s">
        <v>71</v>
      </c>
      <c r="P2436" s="297">
        <v>400</v>
      </c>
      <c r="Q2436" s="297">
        <v>6</v>
      </c>
      <c r="R2436" s="268">
        <f t="shared" si="63"/>
        <v>2400</v>
      </c>
      <c r="S2436" s="24">
        <v>202303</v>
      </c>
      <c r="T2436" s="127" t="s">
        <v>3312</v>
      </c>
      <c r="U2436" s="40"/>
      <c r="V2436" s="40"/>
      <c r="W2436" s="40"/>
      <c r="X2436" s="106">
        <v>44136</v>
      </c>
      <c r="Y2436" s="28">
        <v>45230</v>
      </c>
    </row>
    <row r="2437" s="9" customFormat="1" customHeight="1" spans="1:25">
      <c r="A2437" s="96" t="s">
        <v>401</v>
      </c>
      <c r="B2437" s="96" t="s">
        <v>2950</v>
      </c>
      <c r="C2437" s="96" t="s">
        <v>2998</v>
      </c>
      <c r="D2437" s="265" t="s">
        <v>2951</v>
      </c>
      <c r="E2437" s="105" t="s">
        <v>3302</v>
      </c>
      <c r="F2437" s="96" t="s">
        <v>3303</v>
      </c>
      <c r="G2437" s="96" t="s">
        <v>67</v>
      </c>
      <c r="H2437" s="19" t="s">
        <v>3304</v>
      </c>
      <c r="I2437" s="23" t="e">
        <f>VLOOKUP(H2437,'合同综合查询数据（3月返）'!$A:$A,1,FALSE)</f>
        <v>#N/A</v>
      </c>
      <c r="J2437" s="24" t="s">
        <v>67</v>
      </c>
      <c r="K2437" s="94" t="s">
        <v>3313</v>
      </c>
      <c r="L2437" s="94"/>
      <c r="M2437" s="249"/>
      <c r="N2437" s="106">
        <v>44725</v>
      </c>
      <c r="O2437" s="94" t="s">
        <v>71</v>
      </c>
      <c r="P2437" s="297">
        <v>400</v>
      </c>
      <c r="Q2437" s="297">
        <v>1</v>
      </c>
      <c r="R2437" s="268">
        <f t="shared" si="63"/>
        <v>400</v>
      </c>
      <c r="S2437" s="24">
        <v>202303</v>
      </c>
      <c r="T2437" s="127" t="s">
        <v>3314</v>
      </c>
      <c r="U2437" s="40"/>
      <c r="V2437" s="40"/>
      <c r="W2437" s="40"/>
      <c r="X2437" s="106">
        <v>44136</v>
      </c>
      <c r="Y2437" s="28">
        <v>45230</v>
      </c>
    </row>
    <row r="2438" s="9" customFormat="1" customHeight="1" spans="1:25">
      <c r="A2438" s="96" t="s">
        <v>401</v>
      </c>
      <c r="B2438" s="96" t="s">
        <v>2950</v>
      </c>
      <c r="C2438" s="96" t="s">
        <v>2998</v>
      </c>
      <c r="D2438" s="265" t="s">
        <v>2951</v>
      </c>
      <c r="E2438" s="105" t="s">
        <v>3302</v>
      </c>
      <c r="F2438" s="96" t="s">
        <v>3303</v>
      </c>
      <c r="G2438" s="96" t="s">
        <v>67</v>
      </c>
      <c r="H2438" s="19" t="s">
        <v>3304</v>
      </c>
      <c r="I2438" s="23" t="e">
        <f>VLOOKUP(H2438,'合同综合查询数据（3月返）'!$A:$A,1,FALSE)</f>
        <v>#N/A</v>
      </c>
      <c r="J2438" s="24" t="s">
        <v>67</v>
      </c>
      <c r="K2438" s="94" t="s">
        <v>3313</v>
      </c>
      <c r="L2438" s="94"/>
      <c r="M2438" s="249"/>
      <c r="N2438" s="106">
        <v>44725</v>
      </c>
      <c r="O2438" s="94" t="s">
        <v>71</v>
      </c>
      <c r="P2438" s="297">
        <v>400</v>
      </c>
      <c r="Q2438" s="297">
        <v>1</v>
      </c>
      <c r="R2438" s="268">
        <f t="shared" si="63"/>
        <v>400</v>
      </c>
      <c r="S2438" s="24">
        <v>202303</v>
      </c>
      <c r="T2438" s="127" t="s">
        <v>3315</v>
      </c>
      <c r="U2438" s="40"/>
      <c r="V2438" s="40"/>
      <c r="W2438" s="40"/>
      <c r="X2438" s="106">
        <v>44136</v>
      </c>
      <c r="Y2438" s="28">
        <v>45230</v>
      </c>
    </row>
    <row r="2439" s="9" customFormat="1" customHeight="1" spans="1:25">
      <c r="A2439" s="96" t="s">
        <v>401</v>
      </c>
      <c r="B2439" s="96" t="s">
        <v>2950</v>
      </c>
      <c r="C2439" s="96" t="s">
        <v>2998</v>
      </c>
      <c r="D2439" s="265" t="s">
        <v>2951</v>
      </c>
      <c r="E2439" s="105" t="s">
        <v>3302</v>
      </c>
      <c r="F2439" s="96" t="s">
        <v>3303</v>
      </c>
      <c r="G2439" s="96" t="s">
        <v>67</v>
      </c>
      <c r="H2439" s="19" t="s">
        <v>3304</v>
      </c>
      <c r="I2439" s="23" t="e">
        <f>VLOOKUP(H2439,'合同综合查询数据（3月返）'!$A:$A,1,FALSE)</f>
        <v>#N/A</v>
      </c>
      <c r="J2439" s="24" t="s">
        <v>67</v>
      </c>
      <c r="K2439" s="94" t="s">
        <v>3313</v>
      </c>
      <c r="L2439" s="94"/>
      <c r="M2439" s="249"/>
      <c r="N2439" s="106">
        <v>44725</v>
      </c>
      <c r="O2439" s="94" t="s">
        <v>71</v>
      </c>
      <c r="P2439" s="297">
        <v>400</v>
      </c>
      <c r="Q2439" s="297">
        <v>1</v>
      </c>
      <c r="R2439" s="268">
        <f t="shared" si="63"/>
        <v>400</v>
      </c>
      <c r="S2439" s="24">
        <v>202303</v>
      </c>
      <c r="T2439" s="127" t="s">
        <v>3316</v>
      </c>
      <c r="U2439" s="40"/>
      <c r="V2439" s="40"/>
      <c r="W2439" s="40"/>
      <c r="X2439" s="106">
        <v>44136</v>
      </c>
      <c r="Y2439" s="28">
        <v>45230</v>
      </c>
    </row>
    <row r="2440" s="9" customFormat="1" customHeight="1" spans="1:25">
      <c r="A2440" s="96" t="s">
        <v>401</v>
      </c>
      <c r="B2440" s="96" t="s">
        <v>2950</v>
      </c>
      <c r="C2440" s="96" t="s">
        <v>2998</v>
      </c>
      <c r="D2440" s="265" t="s">
        <v>2951</v>
      </c>
      <c r="E2440" s="105" t="s">
        <v>3302</v>
      </c>
      <c r="F2440" s="96" t="s">
        <v>3303</v>
      </c>
      <c r="G2440" s="96" t="s">
        <v>67</v>
      </c>
      <c r="H2440" s="19" t="s">
        <v>3304</v>
      </c>
      <c r="I2440" s="23" t="e">
        <f>VLOOKUP(H2440,'合同综合查询数据（3月返）'!$A:$A,1,FALSE)</f>
        <v>#N/A</v>
      </c>
      <c r="J2440" s="24" t="s">
        <v>67</v>
      </c>
      <c r="K2440" s="94" t="s">
        <v>3313</v>
      </c>
      <c r="L2440" s="94"/>
      <c r="M2440" s="249"/>
      <c r="N2440" s="106">
        <v>44725</v>
      </c>
      <c r="O2440" s="94" t="s">
        <v>71</v>
      </c>
      <c r="P2440" s="297">
        <v>400</v>
      </c>
      <c r="Q2440" s="297">
        <v>1</v>
      </c>
      <c r="R2440" s="268">
        <f t="shared" si="63"/>
        <v>400</v>
      </c>
      <c r="S2440" s="24">
        <v>202303</v>
      </c>
      <c r="T2440" s="127" t="s">
        <v>3317</v>
      </c>
      <c r="U2440" s="40"/>
      <c r="V2440" s="40"/>
      <c r="W2440" s="40"/>
      <c r="X2440" s="106">
        <v>44136</v>
      </c>
      <c r="Y2440" s="28">
        <v>45230</v>
      </c>
    </row>
    <row r="2441" s="9" customFormat="1" customHeight="1" spans="1:25">
      <c r="A2441" s="96" t="s">
        <v>401</v>
      </c>
      <c r="B2441" s="96" t="s">
        <v>2950</v>
      </c>
      <c r="C2441" s="96" t="s">
        <v>2998</v>
      </c>
      <c r="D2441" s="265" t="s">
        <v>2951</v>
      </c>
      <c r="E2441" s="105" t="s">
        <v>3302</v>
      </c>
      <c r="F2441" s="96" t="s">
        <v>3303</v>
      </c>
      <c r="G2441" s="96" t="s">
        <v>67</v>
      </c>
      <c r="H2441" s="19" t="s">
        <v>3304</v>
      </c>
      <c r="I2441" s="23" t="e">
        <f>VLOOKUP(H2441,'合同综合查询数据（3月返）'!$A:$A,1,FALSE)</f>
        <v>#N/A</v>
      </c>
      <c r="J2441" s="24" t="s">
        <v>67</v>
      </c>
      <c r="K2441" s="94" t="s">
        <v>3318</v>
      </c>
      <c r="L2441" s="94"/>
      <c r="M2441" s="249"/>
      <c r="N2441" s="106">
        <v>44725</v>
      </c>
      <c r="O2441" s="94" t="s">
        <v>71</v>
      </c>
      <c r="P2441" s="297">
        <v>400</v>
      </c>
      <c r="Q2441" s="297">
        <v>2</v>
      </c>
      <c r="R2441" s="268">
        <f t="shared" si="63"/>
        <v>800</v>
      </c>
      <c r="S2441" s="24">
        <v>202303</v>
      </c>
      <c r="T2441" s="127" t="s">
        <v>3319</v>
      </c>
      <c r="U2441" s="40"/>
      <c r="V2441" s="40"/>
      <c r="W2441" s="40"/>
      <c r="X2441" s="106">
        <v>44136</v>
      </c>
      <c r="Y2441" s="28">
        <v>45230</v>
      </c>
    </row>
    <row r="2442" s="9" customFormat="1" customHeight="1" spans="1:25">
      <c r="A2442" s="96" t="s">
        <v>401</v>
      </c>
      <c r="B2442" s="96" t="s">
        <v>2950</v>
      </c>
      <c r="C2442" s="96" t="s">
        <v>2998</v>
      </c>
      <c r="D2442" s="265" t="s">
        <v>2951</v>
      </c>
      <c r="E2442" s="105" t="s">
        <v>3302</v>
      </c>
      <c r="F2442" s="96" t="s">
        <v>3303</v>
      </c>
      <c r="G2442" s="96" t="s">
        <v>67</v>
      </c>
      <c r="H2442" s="19" t="s">
        <v>3304</v>
      </c>
      <c r="I2442" s="23" t="e">
        <f>VLOOKUP(H2442,'合同综合查询数据（3月返）'!$A:$A,1,FALSE)</f>
        <v>#N/A</v>
      </c>
      <c r="J2442" s="24" t="s">
        <v>67</v>
      </c>
      <c r="K2442" s="94" t="s">
        <v>3318</v>
      </c>
      <c r="L2442" s="94"/>
      <c r="M2442" s="249"/>
      <c r="N2442" s="106">
        <v>44725</v>
      </c>
      <c r="O2442" s="94" t="s">
        <v>71</v>
      </c>
      <c r="P2442" s="297">
        <v>400</v>
      </c>
      <c r="Q2442" s="297">
        <v>2</v>
      </c>
      <c r="R2442" s="268">
        <f t="shared" si="63"/>
        <v>800</v>
      </c>
      <c r="S2442" s="24">
        <v>202303</v>
      </c>
      <c r="T2442" s="127" t="s">
        <v>3320</v>
      </c>
      <c r="U2442" s="40"/>
      <c r="V2442" s="40"/>
      <c r="W2442" s="40"/>
      <c r="X2442" s="106">
        <v>44136</v>
      </c>
      <c r="Y2442" s="28">
        <v>45230</v>
      </c>
    </row>
    <row r="2443" s="9" customFormat="1" customHeight="1" spans="1:25">
      <c r="A2443" s="96" t="s">
        <v>401</v>
      </c>
      <c r="B2443" s="96" t="s">
        <v>2950</v>
      </c>
      <c r="C2443" s="96" t="s">
        <v>2998</v>
      </c>
      <c r="D2443" s="265" t="s">
        <v>2951</v>
      </c>
      <c r="E2443" s="105" t="s">
        <v>3302</v>
      </c>
      <c r="F2443" s="96" t="s">
        <v>3303</v>
      </c>
      <c r="G2443" s="96" t="s">
        <v>67</v>
      </c>
      <c r="H2443" s="97" t="s">
        <v>3321</v>
      </c>
      <c r="I2443" s="23" t="e">
        <f>VLOOKUP(H2443,'合同综合查询数据（3月返）'!$A:$A,1,FALSE)</f>
        <v>#N/A</v>
      </c>
      <c r="J2443" s="24" t="s">
        <v>67</v>
      </c>
      <c r="K2443" s="94" t="s">
        <v>3322</v>
      </c>
      <c r="L2443" s="94"/>
      <c r="M2443" s="249"/>
      <c r="N2443" s="106">
        <v>44064</v>
      </c>
      <c r="O2443" s="94" t="s">
        <v>71</v>
      </c>
      <c r="P2443" s="297">
        <v>550</v>
      </c>
      <c r="Q2443" s="297">
        <v>24</v>
      </c>
      <c r="R2443" s="268">
        <f t="shared" si="63"/>
        <v>13200</v>
      </c>
      <c r="S2443" s="24">
        <v>202303</v>
      </c>
      <c r="T2443" s="127" t="s">
        <v>3323</v>
      </c>
      <c r="U2443" s="40"/>
      <c r="V2443" s="40"/>
      <c r="W2443" s="40"/>
      <c r="X2443" s="106">
        <v>44064</v>
      </c>
      <c r="Y2443" s="106">
        <v>45158</v>
      </c>
    </row>
    <row r="2444" s="9" customFormat="1" customHeight="1" spans="1:25">
      <c r="A2444" s="96" t="s">
        <v>401</v>
      </c>
      <c r="B2444" s="96" t="s">
        <v>2950</v>
      </c>
      <c r="C2444" s="96" t="s">
        <v>2998</v>
      </c>
      <c r="D2444" s="265" t="s">
        <v>2951</v>
      </c>
      <c r="E2444" s="105" t="s">
        <v>3302</v>
      </c>
      <c r="F2444" s="96" t="s">
        <v>3303</v>
      </c>
      <c r="G2444" s="96" t="s">
        <v>67</v>
      </c>
      <c r="H2444" s="97" t="s">
        <v>3321</v>
      </c>
      <c r="I2444" s="23" t="e">
        <f>VLOOKUP(H2444,'合同综合查询数据（3月返）'!$A:$A,1,FALSE)</f>
        <v>#N/A</v>
      </c>
      <c r="J2444" s="24" t="s">
        <v>67</v>
      </c>
      <c r="K2444" s="94" t="s">
        <v>3322</v>
      </c>
      <c r="L2444" s="94"/>
      <c r="M2444" s="249"/>
      <c r="N2444" s="106">
        <v>44066</v>
      </c>
      <c r="O2444" s="94" t="s">
        <v>71</v>
      </c>
      <c r="P2444" s="297">
        <v>550</v>
      </c>
      <c r="Q2444" s="297">
        <v>42</v>
      </c>
      <c r="R2444" s="268">
        <f t="shared" si="63"/>
        <v>23100</v>
      </c>
      <c r="S2444" s="24">
        <v>202303</v>
      </c>
      <c r="T2444" s="127" t="s">
        <v>3324</v>
      </c>
      <c r="U2444" s="40"/>
      <c r="V2444" s="40"/>
      <c r="W2444" s="40"/>
      <c r="X2444" s="106">
        <v>44064</v>
      </c>
      <c r="Y2444" s="106">
        <v>45158</v>
      </c>
    </row>
    <row r="2445" s="9" customFormat="1" customHeight="1" spans="1:25">
      <c r="A2445" s="96" t="s">
        <v>401</v>
      </c>
      <c r="B2445" s="96" t="s">
        <v>2950</v>
      </c>
      <c r="C2445" s="96" t="s">
        <v>2998</v>
      </c>
      <c r="D2445" s="265" t="s">
        <v>2951</v>
      </c>
      <c r="E2445" s="105" t="s">
        <v>3302</v>
      </c>
      <c r="F2445" s="96" t="s">
        <v>3303</v>
      </c>
      <c r="G2445" s="96" t="s">
        <v>67</v>
      </c>
      <c r="H2445" s="97" t="s">
        <v>3321</v>
      </c>
      <c r="I2445" s="23" t="e">
        <f>VLOOKUP(H2445,'合同综合查询数据（3月返）'!$A:$A,1,FALSE)</f>
        <v>#N/A</v>
      </c>
      <c r="J2445" s="24" t="s">
        <v>67</v>
      </c>
      <c r="K2445" s="94" t="s">
        <v>3322</v>
      </c>
      <c r="L2445" s="94"/>
      <c r="M2445" s="249"/>
      <c r="N2445" s="106">
        <v>44221</v>
      </c>
      <c r="O2445" s="94" t="s">
        <v>71</v>
      </c>
      <c r="P2445" s="297">
        <v>550</v>
      </c>
      <c r="Q2445" s="297">
        <v>64</v>
      </c>
      <c r="R2445" s="268">
        <f t="shared" si="63"/>
        <v>35200</v>
      </c>
      <c r="S2445" s="24">
        <v>202303</v>
      </c>
      <c r="T2445" s="127" t="s">
        <v>3325</v>
      </c>
      <c r="U2445" s="40"/>
      <c r="V2445" s="40"/>
      <c r="W2445" s="40"/>
      <c r="X2445" s="106">
        <v>44064</v>
      </c>
      <c r="Y2445" s="106">
        <v>45158</v>
      </c>
    </row>
    <row r="2446" s="9" customFormat="1" customHeight="1" spans="1:25">
      <c r="A2446" s="96" t="s">
        <v>401</v>
      </c>
      <c r="B2446" s="96" t="s">
        <v>2950</v>
      </c>
      <c r="C2446" s="96" t="s">
        <v>2998</v>
      </c>
      <c r="D2446" s="265" t="s">
        <v>2951</v>
      </c>
      <c r="E2446" s="105" t="s">
        <v>3302</v>
      </c>
      <c r="F2446" s="96" t="s">
        <v>3303</v>
      </c>
      <c r="G2446" s="96" t="s">
        <v>67</v>
      </c>
      <c r="H2446" s="97" t="s">
        <v>3321</v>
      </c>
      <c r="I2446" s="23" t="e">
        <f>VLOOKUP(H2446,'合同综合查询数据（3月返）'!$A:$A,1,FALSE)</f>
        <v>#N/A</v>
      </c>
      <c r="J2446" s="24" t="s">
        <v>67</v>
      </c>
      <c r="K2446" s="298" t="s">
        <v>3326</v>
      </c>
      <c r="L2446" s="94"/>
      <c r="M2446" s="249"/>
      <c r="N2446" s="106">
        <v>44428</v>
      </c>
      <c r="O2446" s="94" t="s">
        <v>71</v>
      </c>
      <c r="P2446" s="297">
        <v>550</v>
      </c>
      <c r="Q2446" s="297">
        <v>150</v>
      </c>
      <c r="R2446" s="268">
        <f t="shared" si="63"/>
        <v>82500</v>
      </c>
      <c r="S2446" s="24">
        <v>202303</v>
      </c>
      <c r="T2446" s="127" t="s">
        <v>3326</v>
      </c>
      <c r="U2446" s="40"/>
      <c r="V2446" s="40"/>
      <c r="W2446" s="40"/>
      <c r="X2446" s="106">
        <v>44064</v>
      </c>
      <c r="Y2446" s="106">
        <v>45158</v>
      </c>
    </row>
    <row r="2447" s="9" customFormat="1" customHeight="1" spans="1:25">
      <c r="A2447" s="96" t="s">
        <v>401</v>
      </c>
      <c r="B2447" s="96" t="s">
        <v>2950</v>
      </c>
      <c r="C2447" s="96" t="s">
        <v>2998</v>
      </c>
      <c r="D2447" s="265" t="s">
        <v>2951</v>
      </c>
      <c r="E2447" s="105" t="s">
        <v>3302</v>
      </c>
      <c r="F2447" s="96" t="s">
        <v>3303</v>
      </c>
      <c r="G2447" s="96" t="s">
        <v>67</v>
      </c>
      <c r="H2447" s="97" t="s">
        <v>3321</v>
      </c>
      <c r="I2447" s="23" t="e">
        <f>VLOOKUP(H2447,'合同综合查询数据（3月返）'!$A:$A,1,FALSE)</f>
        <v>#N/A</v>
      </c>
      <c r="J2447" s="24" t="s">
        <v>67</v>
      </c>
      <c r="K2447" s="298" t="s">
        <v>3327</v>
      </c>
      <c r="L2447" s="94"/>
      <c r="M2447" s="249"/>
      <c r="N2447" s="106">
        <v>44792</v>
      </c>
      <c r="O2447" s="94" t="s">
        <v>71</v>
      </c>
      <c r="P2447" s="297">
        <v>550</v>
      </c>
      <c r="Q2447" s="297">
        <v>100</v>
      </c>
      <c r="R2447" s="268">
        <f t="shared" si="63"/>
        <v>55000</v>
      </c>
      <c r="S2447" s="24">
        <v>202303</v>
      </c>
      <c r="T2447" s="127" t="s">
        <v>3327</v>
      </c>
      <c r="U2447" s="40"/>
      <c r="V2447" s="40"/>
      <c r="W2447" s="40"/>
      <c r="X2447" s="106">
        <v>44064</v>
      </c>
      <c r="Y2447" s="106">
        <v>45158</v>
      </c>
    </row>
    <row r="2448" s="9" customFormat="1" customHeight="1" spans="1:25">
      <c r="A2448" s="96" t="s">
        <v>401</v>
      </c>
      <c r="B2448" s="96" t="s">
        <v>2950</v>
      </c>
      <c r="C2448" s="96" t="s">
        <v>2998</v>
      </c>
      <c r="D2448" s="265" t="s">
        <v>2951</v>
      </c>
      <c r="E2448" s="105" t="s">
        <v>3328</v>
      </c>
      <c r="F2448" s="96" t="s">
        <v>3303</v>
      </c>
      <c r="G2448" s="96" t="s">
        <v>31</v>
      </c>
      <c r="H2448" s="19" t="s">
        <v>3329</v>
      </c>
      <c r="I2448" s="23" t="e">
        <f>VLOOKUP(H2448,'合同综合查询数据（3月返）'!$A:$A,1,FALSE)</f>
        <v>#N/A</v>
      </c>
      <c r="J2448" s="24" t="s">
        <v>3330</v>
      </c>
      <c r="K2448" s="96"/>
      <c r="L2448" s="114"/>
      <c r="M2448" s="249"/>
      <c r="N2448" s="28"/>
      <c r="O2448" s="28" t="s">
        <v>37</v>
      </c>
      <c r="P2448" s="268">
        <v>0</v>
      </c>
      <c r="Q2448" s="273">
        <v>407552</v>
      </c>
      <c r="R2448" s="268">
        <f t="shared" si="63"/>
        <v>0</v>
      </c>
      <c r="S2448" s="24">
        <v>202303</v>
      </c>
      <c r="T2448" s="127" t="s">
        <v>3331</v>
      </c>
      <c r="U2448" s="40"/>
      <c r="V2448" s="40"/>
      <c r="W2448" s="40"/>
      <c r="X2448" s="106">
        <v>44440</v>
      </c>
      <c r="Y2448" s="28">
        <v>45169</v>
      </c>
    </row>
    <row r="2449" s="9" customFormat="1" customHeight="1" spans="1:25">
      <c r="A2449" s="96" t="s">
        <v>401</v>
      </c>
      <c r="B2449" s="96" t="s">
        <v>2950</v>
      </c>
      <c r="C2449" s="96" t="s">
        <v>2998</v>
      </c>
      <c r="D2449" s="265" t="s">
        <v>2951</v>
      </c>
      <c r="E2449" s="105" t="s">
        <v>3328</v>
      </c>
      <c r="F2449" s="96" t="s">
        <v>3303</v>
      </c>
      <c r="G2449" s="96" t="s">
        <v>31</v>
      </c>
      <c r="H2449" s="19" t="s">
        <v>3329</v>
      </c>
      <c r="I2449" s="23" t="e">
        <f>VLOOKUP(H2449,'合同综合查询数据（3月返）'!$A:$A,1,FALSE)</f>
        <v>#N/A</v>
      </c>
      <c r="J2449" s="24" t="s">
        <v>3330</v>
      </c>
      <c r="K2449" s="96"/>
      <c r="L2449" s="114"/>
      <c r="M2449" s="249"/>
      <c r="N2449" s="28"/>
      <c r="O2449" s="28" t="s">
        <v>152</v>
      </c>
      <c r="P2449" s="268">
        <v>0</v>
      </c>
      <c r="Q2449" s="273">
        <v>1</v>
      </c>
      <c r="R2449" s="268">
        <f t="shared" si="63"/>
        <v>0</v>
      </c>
      <c r="S2449" s="24">
        <v>202303</v>
      </c>
      <c r="T2449" s="127" t="s">
        <v>3332</v>
      </c>
      <c r="U2449" s="40"/>
      <c r="V2449" s="40"/>
      <c r="W2449" s="40"/>
      <c r="X2449" s="106">
        <v>44440</v>
      </c>
      <c r="Y2449" s="28">
        <v>45169</v>
      </c>
    </row>
    <row r="2450" s="9" customFormat="1" customHeight="1" spans="1:25">
      <c r="A2450" s="96" t="s">
        <v>401</v>
      </c>
      <c r="B2450" s="96" t="s">
        <v>2950</v>
      </c>
      <c r="C2450" s="96" t="s">
        <v>2998</v>
      </c>
      <c r="D2450" s="265" t="s">
        <v>2951</v>
      </c>
      <c r="E2450" s="105" t="s">
        <v>3328</v>
      </c>
      <c r="F2450" s="96" t="s">
        <v>3303</v>
      </c>
      <c r="G2450" s="96" t="s">
        <v>31</v>
      </c>
      <c r="H2450" s="19" t="s">
        <v>3329</v>
      </c>
      <c r="I2450" s="23" t="e">
        <f>VLOOKUP(H2450,'合同综合查询数据（3月返）'!$A:$A,1,FALSE)</f>
        <v>#N/A</v>
      </c>
      <c r="J2450" s="24" t="s">
        <v>3330</v>
      </c>
      <c r="K2450" s="96"/>
      <c r="L2450" s="114"/>
      <c r="M2450" s="249"/>
      <c r="N2450" s="28"/>
      <c r="O2450" s="28" t="s">
        <v>152</v>
      </c>
      <c r="P2450" s="268">
        <v>0</v>
      </c>
      <c r="Q2450" s="273">
        <v>1</v>
      </c>
      <c r="R2450" s="268">
        <f t="shared" si="63"/>
        <v>0</v>
      </c>
      <c r="S2450" s="24">
        <v>202303</v>
      </c>
      <c r="T2450" s="127" t="s">
        <v>3333</v>
      </c>
      <c r="U2450" s="40"/>
      <c r="V2450" s="40"/>
      <c r="W2450" s="40"/>
      <c r="X2450" s="106">
        <v>44440</v>
      </c>
      <c r="Y2450" s="28">
        <v>45169</v>
      </c>
    </row>
    <row r="2451" s="9" customFormat="1" customHeight="1" spans="1:25">
      <c r="A2451" s="96" t="s">
        <v>401</v>
      </c>
      <c r="B2451" s="96" t="s">
        <v>2950</v>
      </c>
      <c r="C2451" s="96" t="s">
        <v>2998</v>
      </c>
      <c r="D2451" s="265" t="s">
        <v>2951</v>
      </c>
      <c r="E2451" s="105" t="s">
        <v>3328</v>
      </c>
      <c r="F2451" s="96" t="s">
        <v>3303</v>
      </c>
      <c r="G2451" s="96" t="s">
        <v>31</v>
      </c>
      <c r="H2451" s="19" t="s">
        <v>3334</v>
      </c>
      <c r="I2451" s="23" t="e">
        <f>VLOOKUP(H2451,'合同综合查询数据（3月返）'!$A:$A,1,FALSE)</f>
        <v>#N/A</v>
      </c>
      <c r="J2451" s="24" t="s">
        <v>1019</v>
      </c>
      <c r="K2451" s="96" t="s">
        <v>3335</v>
      </c>
      <c r="L2451" s="114"/>
      <c r="M2451" s="26" t="s">
        <v>3336</v>
      </c>
      <c r="N2451" s="28">
        <v>42468</v>
      </c>
      <c r="O2451" s="96" t="s">
        <v>37</v>
      </c>
      <c r="P2451" s="268">
        <v>0</v>
      </c>
      <c r="Q2451" s="273">
        <v>128</v>
      </c>
      <c r="R2451" s="268">
        <f t="shared" si="63"/>
        <v>0</v>
      </c>
      <c r="S2451" s="24">
        <v>202303</v>
      </c>
      <c r="T2451" s="127" t="s">
        <v>3337</v>
      </c>
      <c r="U2451" s="40"/>
      <c r="V2451" s="40"/>
      <c r="W2451" s="40"/>
      <c r="X2451" s="106">
        <v>44256</v>
      </c>
      <c r="Y2451" s="106">
        <v>45350</v>
      </c>
    </row>
    <row r="2452" s="9" customFormat="1" customHeight="1" spans="1:25">
      <c r="A2452" s="96" t="s">
        <v>401</v>
      </c>
      <c r="B2452" s="96" t="s">
        <v>2950</v>
      </c>
      <c r="C2452" s="96" t="s">
        <v>2998</v>
      </c>
      <c r="D2452" s="265" t="s">
        <v>2951</v>
      </c>
      <c r="E2452" s="105" t="s">
        <v>3328</v>
      </c>
      <c r="F2452" s="96" t="s">
        <v>3303</v>
      </c>
      <c r="G2452" s="96" t="s">
        <v>31</v>
      </c>
      <c r="H2452" s="19" t="s">
        <v>3334</v>
      </c>
      <c r="I2452" s="23" t="e">
        <f>VLOOKUP(H2452,'合同综合查询数据（3月返）'!$A:$A,1,FALSE)</f>
        <v>#N/A</v>
      </c>
      <c r="J2452" s="24" t="s">
        <v>1019</v>
      </c>
      <c r="K2452" s="96" t="s">
        <v>3335</v>
      </c>
      <c r="L2452" s="114"/>
      <c r="M2452" s="26" t="s">
        <v>3336</v>
      </c>
      <c r="N2452" s="28">
        <v>42468</v>
      </c>
      <c r="O2452" s="96" t="s">
        <v>37</v>
      </c>
      <c r="P2452" s="268">
        <v>50</v>
      </c>
      <c r="Q2452" s="273">
        <v>640</v>
      </c>
      <c r="R2452" s="268">
        <f t="shared" si="63"/>
        <v>32000</v>
      </c>
      <c r="S2452" s="24">
        <v>202303</v>
      </c>
      <c r="T2452" s="127" t="s">
        <v>3338</v>
      </c>
      <c r="U2452" s="40"/>
      <c r="V2452" s="40"/>
      <c r="W2452" s="40"/>
      <c r="X2452" s="106">
        <v>44256</v>
      </c>
      <c r="Y2452" s="106">
        <v>45350</v>
      </c>
    </row>
    <row r="2453" s="9" customFormat="1" customHeight="1" spans="1:25">
      <c r="A2453" s="96" t="s">
        <v>401</v>
      </c>
      <c r="B2453" s="96" t="s">
        <v>2950</v>
      </c>
      <c r="C2453" s="96" t="s">
        <v>2998</v>
      </c>
      <c r="D2453" s="265" t="s">
        <v>2951</v>
      </c>
      <c r="E2453" s="105" t="s">
        <v>3328</v>
      </c>
      <c r="F2453" s="96" t="s">
        <v>3303</v>
      </c>
      <c r="G2453" s="96" t="s">
        <v>31</v>
      </c>
      <c r="H2453" s="19" t="s">
        <v>3334</v>
      </c>
      <c r="I2453" s="23" t="e">
        <f>VLOOKUP(H2453,'合同综合查询数据（3月返）'!$A:$A,1,FALSE)</f>
        <v>#N/A</v>
      </c>
      <c r="J2453" s="24" t="s">
        <v>451</v>
      </c>
      <c r="K2453" s="96" t="s">
        <v>3335</v>
      </c>
      <c r="L2453" s="114"/>
      <c r="M2453" s="26" t="s">
        <v>3068</v>
      </c>
      <c r="N2453" s="28" t="s">
        <v>1225</v>
      </c>
      <c r="O2453" s="96" t="s">
        <v>37</v>
      </c>
      <c r="P2453" s="268">
        <v>50</v>
      </c>
      <c r="Q2453" s="273">
        <v>768</v>
      </c>
      <c r="R2453" s="268">
        <f t="shared" si="63"/>
        <v>38400</v>
      </c>
      <c r="S2453" s="24">
        <v>202303</v>
      </c>
      <c r="T2453" s="127" t="s">
        <v>3338</v>
      </c>
      <c r="U2453" s="40"/>
      <c r="V2453" s="40"/>
      <c r="W2453" s="40"/>
      <c r="X2453" s="106">
        <v>44256</v>
      </c>
      <c r="Y2453" s="106">
        <v>45350</v>
      </c>
    </row>
    <row r="2454" s="10" customFormat="1" customHeight="1" spans="1:25">
      <c r="A2454" s="60" t="s">
        <v>401</v>
      </c>
      <c r="B2454" s="60" t="s">
        <v>2950</v>
      </c>
      <c r="C2454" s="60" t="s">
        <v>2998</v>
      </c>
      <c r="D2454" s="263" t="s">
        <v>2951</v>
      </c>
      <c r="E2454" s="63" t="s">
        <v>3328</v>
      </c>
      <c r="F2454" s="60" t="s">
        <v>3303</v>
      </c>
      <c r="G2454" s="60" t="s">
        <v>31</v>
      </c>
      <c r="H2454" s="45" t="s">
        <v>3339</v>
      </c>
      <c r="I2454" s="47" t="e">
        <f>VLOOKUP(H2454,'合同综合查询数据（3月返）'!$A:$A,1,FALSE)</f>
        <v>#N/A</v>
      </c>
      <c r="J2454" s="48" t="s">
        <v>451</v>
      </c>
      <c r="K2454" s="60" t="s">
        <v>3335</v>
      </c>
      <c r="L2454" s="113"/>
      <c r="M2454" s="50" t="s">
        <v>3340</v>
      </c>
      <c r="N2454" s="51" t="s">
        <v>1225</v>
      </c>
      <c r="O2454" s="60" t="s">
        <v>37</v>
      </c>
      <c r="P2454" s="266">
        <v>0</v>
      </c>
      <c r="Q2454" s="270">
        <v>1024</v>
      </c>
      <c r="R2454" s="266">
        <f t="shared" si="63"/>
        <v>0</v>
      </c>
      <c r="S2454" s="48">
        <v>202303</v>
      </c>
      <c r="T2454" s="125" t="s">
        <v>3341</v>
      </c>
      <c r="U2454" s="58"/>
      <c r="V2454" s="58"/>
      <c r="W2454" s="58"/>
      <c r="X2454" s="111"/>
      <c r="Y2454" s="51"/>
    </row>
    <row r="2455" s="9" customFormat="1" customHeight="1" spans="1:25">
      <c r="A2455" s="94" t="s">
        <v>401</v>
      </c>
      <c r="B2455" s="94" t="s">
        <v>2950</v>
      </c>
      <c r="C2455" s="96" t="s">
        <v>2998</v>
      </c>
      <c r="D2455" s="265" t="s">
        <v>2951</v>
      </c>
      <c r="E2455" s="23" t="s">
        <v>3328</v>
      </c>
      <c r="F2455" s="94" t="s">
        <v>3342</v>
      </c>
      <c r="G2455" s="94" t="s">
        <v>31</v>
      </c>
      <c r="H2455" s="19" t="s">
        <v>3334</v>
      </c>
      <c r="I2455" s="23" t="e">
        <f>VLOOKUP(H2455,'合同综合查询数据（3月返）'!$A:$A,1,FALSE)</f>
        <v>#N/A</v>
      </c>
      <c r="J2455" s="94" t="s">
        <v>451</v>
      </c>
      <c r="K2455" s="94"/>
      <c r="L2455" s="94" t="s">
        <v>3343</v>
      </c>
      <c r="M2455" s="26" t="s">
        <v>3344</v>
      </c>
      <c r="N2455" s="106">
        <v>44508</v>
      </c>
      <c r="O2455" s="94" t="s">
        <v>37</v>
      </c>
      <c r="P2455" s="297">
        <v>0</v>
      </c>
      <c r="Q2455" s="297">
        <v>512</v>
      </c>
      <c r="R2455" s="268">
        <f t="shared" si="63"/>
        <v>0</v>
      </c>
      <c r="S2455" s="24">
        <v>202303</v>
      </c>
      <c r="T2455" s="127" t="s">
        <v>3345</v>
      </c>
      <c r="U2455" s="40"/>
      <c r="V2455" s="40"/>
      <c r="W2455" s="40"/>
      <c r="X2455" s="106">
        <v>44256</v>
      </c>
      <c r="Y2455" s="106">
        <v>45350</v>
      </c>
    </row>
    <row r="2456" s="9" customFormat="1" customHeight="1" spans="1:25">
      <c r="A2456" s="94" t="s">
        <v>401</v>
      </c>
      <c r="B2456" s="94" t="s">
        <v>2950</v>
      </c>
      <c r="C2456" s="96" t="s">
        <v>2998</v>
      </c>
      <c r="D2456" s="265" t="s">
        <v>2951</v>
      </c>
      <c r="E2456" s="23" t="s">
        <v>3328</v>
      </c>
      <c r="F2456" s="94" t="s">
        <v>3342</v>
      </c>
      <c r="G2456" s="94" t="s">
        <v>31</v>
      </c>
      <c r="H2456" s="19" t="s">
        <v>3334</v>
      </c>
      <c r="I2456" s="23" t="e">
        <f>VLOOKUP(H2456,'合同综合查询数据（3月返）'!$A:$A,1,FALSE)</f>
        <v>#N/A</v>
      </c>
      <c r="J2456" s="24" t="s">
        <v>33</v>
      </c>
      <c r="K2456" s="94"/>
      <c r="L2456" s="94" t="s">
        <v>3343</v>
      </c>
      <c r="M2456" s="26" t="s">
        <v>3344</v>
      </c>
      <c r="N2456" s="106">
        <v>44508</v>
      </c>
      <c r="O2456" s="94" t="s">
        <v>37</v>
      </c>
      <c r="P2456" s="297">
        <v>0</v>
      </c>
      <c r="Q2456" s="297">
        <v>512</v>
      </c>
      <c r="R2456" s="268">
        <f t="shared" si="63"/>
        <v>0</v>
      </c>
      <c r="S2456" s="24">
        <v>202303</v>
      </c>
      <c r="T2456" s="127" t="s">
        <v>3346</v>
      </c>
      <c r="U2456" s="40"/>
      <c r="V2456" s="40"/>
      <c r="W2456" s="40"/>
      <c r="X2456" s="106">
        <v>44256</v>
      </c>
      <c r="Y2456" s="106">
        <v>45350</v>
      </c>
    </row>
    <row r="2457" s="9" customFormat="1" customHeight="1" spans="1:25">
      <c r="A2457" s="94" t="s">
        <v>401</v>
      </c>
      <c r="B2457" s="94" t="s">
        <v>2950</v>
      </c>
      <c r="C2457" s="96" t="s">
        <v>2998</v>
      </c>
      <c r="D2457" s="265" t="s">
        <v>2951</v>
      </c>
      <c r="E2457" s="23" t="s">
        <v>3328</v>
      </c>
      <c r="F2457" s="94" t="s">
        <v>3342</v>
      </c>
      <c r="G2457" s="94" t="s">
        <v>31</v>
      </c>
      <c r="H2457" s="19" t="s">
        <v>3334</v>
      </c>
      <c r="I2457" s="23" t="e">
        <f>VLOOKUP(H2457,'合同综合查询数据（3月返）'!$A:$A,1,FALSE)</f>
        <v>#N/A</v>
      </c>
      <c r="J2457" s="94" t="s">
        <v>451</v>
      </c>
      <c r="K2457" s="94"/>
      <c r="L2457" s="94" t="s">
        <v>3343</v>
      </c>
      <c r="M2457" s="26" t="s">
        <v>3344</v>
      </c>
      <c r="N2457" s="106">
        <v>44508</v>
      </c>
      <c r="O2457" s="94" t="s">
        <v>152</v>
      </c>
      <c r="P2457" s="297">
        <v>0</v>
      </c>
      <c r="Q2457" s="297">
        <v>1</v>
      </c>
      <c r="R2457" s="268">
        <f t="shared" si="63"/>
        <v>0</v>
      </c>
      <c r="S2457" s="24">
        <v>202303</v>
      </c>
      <c r="T2457" s="127" t="s">
        <v>3347</v>
      </c>
      <c r="U2457" s="40"/>
      <c r="V2457" s="40"/>
      <c r="W2457" s="40"/>
      <c r="X2457" s="106">
        <v>44256</v>
      </c>
      <c r="Y2457" s="106">
        <v>45350</v>
      </c>
    </row>
    <row r="2458" s="9" customFormat="1" customHeight="1" spans="1:25">
      <c r="A2458" s="96" t="s">
        <v>401</v>
      </c>
      <c r="B2458" s="96" t="s">
        <v>2950</v>
      </c>
      <c r="C2458" s="96" t="s">
        <v>2998</v>
      </c>
      <c r="D2458" s="265" t="s">
        <v>2951</v>
      </c>
      <c r="E2458" s="105" t="s">
        <v>3328</v>
      </c>
      <c r="F2458" s="96" t="s">
        <v>3342</v>
      </c>
      <c r="G2458" s="96" t="s">
        <v>31</v>
      </c>
      <c r="H2458" s="19" t="s">
        <v>3334</v>
      </c>
      <c r="I2458" s="23" t="e">
        <f>VLOOKUP(H2458,'合同综合查询数据（3月返）'!$A:$A,1,FALSE)</f>
        <v>#N/A</v>
      </c>
      <c r="J2458" s="24" t="s">
        <v>33</v>
      </c>
      <c r="K2458" s="96" t="s">
        <v>3348</v>
      </c>
      <c r="L2458" s="114"/>
      <c r="M2458" s="26" t="s">
        <v>3336</v>
      </c>
      <c r="N2458" s="28">
        <v>43492</v>
      </c>
      <c r="O2458" s="96" t="s">
        <v>37</v>
      </c>
      <c r="P2458" s="268">
        <v>0</v>
      </c>
      <c r="Q2458" s="273">
        <v>288</v>
      </c>
      <c r="R2458" s="268">
        <f t="shared" si="63"/>
        <v>0</v>
      </c>
      <c r="S2458" s="24">
        <v>202303</v>
      </c>
      <c r="T2458" s="127" t="s">
        <v>3349</v>
      </c>
      <c r="U2458" s="40"/>
      <c r="V2458" s="40"/>
      <c r="W2458" s="40"/>
      <c r="X2458" s="106">
        <v>44256</v>
      </c>
      <c r="Y2458" s="106">
        <v>45350</v>
      </c>
    </row>
    <row r="2459" s="9" customFormat="1" customHeight="1" spans="1:25">
      <c r="A2459" s="94" t="s">
        <v>401</v>
      </c>
      <c r="B2459" s="94" t="s">
        <v>2950</v>
      </c>
      <c r="C2459" s="96" t="s">
        <v>2998</v>
      </c>
      <c r="D2459" s="265" t="s">
        <v>2951</v>
      </c>
      <c r="E2459" s="23" t="s">
        <v>3328</v>
      </c>
      <c r="F2459" s="94" t="s">
        <v>3342</v>
      </c>
      <c r="G2459" s="96" t="s">
        <v>31</v>
      </c>
      <c r="H2459" s="19" t="s">
        <v>3334</v>
      </c>
      <c r="I2459" s="23" t="e">
        <f>VLOOKUP(H2459,'合同综合查询数据（3月返）'!$A:$A,1,FALSE)</f>
        <v>#N/A</v>
      </c>
      <c r="J2459" s="24" t="s">
        <v>33</v>
      </c>
      <c r="K2459" s="94" t="s">
        <v>3335</v>
      </c>
      <c r="L2459" s="114" t="s">
        <v>3350</v>
      </c>
      <c r="M2459" s="94" t="s">
        <v>3336</v>
      </c>
      <c r="N2459" s="106">
        <v>44302</v>
      </c>
      <c r="O2459" s="94" t="s">
        <v>37</v>
      </c>
      <c r="P2459" s="297">
        <v>0</v>
      </c>
      <c r="Q2459" s="297">
        <v>128</v>
      </c>
      <c r="R2459" s="268">
        <f t="shared" si="63"/>
        <v>0</v>
      </c>
      <c r="S2459" s="24">
        <v>202303</v>
      </c>
      <c r="T2459" s="127" t="s">
        <v>3351</v>
      </c>
      <c r="U2459" s="40"/>
      <c r="V2459" s="40"/>
      <c r="W2459" s="40"/>
      <c r="X2459" s="106">
        <v>44256</v>
      </c>
      <c r="Y2459" s="106">
        <v>45350</v>
      </c>
    </row>
    <row r="2460" s="10" customFormat="1" customHeight="1" spans="1:25">
      <c r="A2460" s="62" t="s">
        <v>401</v>
      </c>
      <c r="B2460" s="62" t="s">
        <v>2950</v>
      </c>
      <c r="C2460" s="60" t="s">
        <v>2998</v>
      </c>
      <c r="D2460" s="263" t="s">
        <v>2951</v>
      </c>
      <c r="E2460" s="47" t="s">
        <v>3328</v>
      </c>
      <c r="F2460" s="62" t="s">
        <v>3342</v>
      </c>
      <c r="G2460" s="60" t="s">
        <v>31</v>
      </c>
      <c r="H2460" s="102" t="s">
        <v>3352</v>
      </c>
      <c r="I2460" s="47" t="e">
        <f>VLOOKUP(H2460,'合同综合查询数据（3月返）'!$A:$A,1,FALSE)</f>
        <v>#N/A</v>
      </c>
      <c r="J2460" s="48" t="s">
        <v>33</v>
      </c>
      <c r="K2460" s="60" t="s">
        <v>3350</v>
      </c>
      <c r="L2460" s="60" t="s">
        <v>3350</v>
      </c>
      <c r="M2460" s="50" t="s">
        <v>3336</v>
      </c>
      <c r="N2460" s="111">
        <v>44575</v>
      </c>
      <c r="O2460" s="62" t="s">
        <v>37</v>
      </c>
      <c r="P2460" s="299">
        <v>0</v>
      </c>
      <c r="Q2460" s="299">
        <v>128</v>
      </c>
      <c r="R2460" s="266">
        <f t="shared" si="63"/>
        <v>0</v>
      </c>
      <c r="S2460" s="48">
        <v>202303</v>
      </c>
      <c r="T2460" s="125" t="s">
        <v>3353</v>
      </c>
      <c r="U2460" s="58"/>
      <c r="V2460" s="58"/>
      <c r="W2460" s="58"/>
      <c r="X2460" s="111"/>
      <c r="Y2460" s="51"/>
    </row>
    <row r="2461" s="10" customFormat="1" customHeight="1" spans="1:25">
      <c r="A2461" s="62" t="s">
        <v>401</v>
      </c>
      <c r="B2461" s="62" t="s">
        <v>2950</v>
      </c>
      <c r="C2461" s="60" t="s">
        <v>2998</v>
      </c>
      <c r="D2461" s="263" t="s">
        <v>2951</v>
      </c>
      <c r="E2461" s="47" t="s">
        <v>3328</v>
      </c>
      <c r="F2461" s="62" t="s">
        <v>3342</v>
      </c>
      <c r="G2461" s="60" t="s">
        <v>31</v>
      </c>
      <c r="H2461" s="102" t="s">
        <v>3352</v>
      </c>
      <c r="I2461" s="47" t="e">
        <f>VLOOKUP(H2461,'合同综合查询数据（3月返）'!$A:$A,1,FALSE)</f>
        <v>#N/A</v>
      </c>
      <c r="J2461" s="62" t="s">
        <v>451</v>
      </c>
      <c r="K2461" s="62"/>
      <c r="L2461" s="62" t="s">
        <v>3343</v>
      </c>
      <c r="M2461" s="50" t="s">
        <v>3344</v>
      </c>
      <c r="N2461" s="111">
        <v>44707</v>
      </c>
      <c r="O2461" s="62" t="s">
        <v>37</v>
      </c>
      <c r="P2461" s="299">
        <v>0</v>
      </c>
      <c r="Q2461" s="299">
        <v>256</v>
      </c>
      <c r="R2461" s="266">
        <f t="shared" si="63"/>
        <v>0</v>
      </c>
      <c r="S2461" s="48">
        <v>202303</v>
      </c>
      <c r="T2461" s="125" t="s">
        <v>3354</v>
      </c>
      <c r="U2461" s="58"/>
      <c r="V2461" s="58"/>
      <c r="W2461" s="58"/>
      <c r="X2461" s="111"/>
      <c r="Y2461" s="51"/>
    </row>
    <row r="2462" s="9" customFormat="1" customHeight="1" spans="1:25">
      <c r="A2462" s="94" t="s">
        <v>401</v>
      </c>
      <c r="B2462" s="94" t="s">
        <v>2950</v>
      </c>
      <c r="C2462" s="96" t="s">
        <v>2998</v>
      </c>
      <c r="D2462" s="265" t="s">
        <v>2951</v>
      </c>
      <c r="E2462" s="23" t="s">
        <v>3328</v>
      </c>
      <c r="F2462" s="94" t="s">
        <v>3342</v>
      </c>
      <c r="G2462" s="96" t="s">
        <v>31</v>
      </c>
      <c r="H2462" s="19" t="s">
        <v>3334</v>
      </c>
      <c r="I2462" s="23" t="e">
        <f>VLOOKUP(H2462,'合同综合查询数据（3月返）'!$A:$A,1,FALSE)</f>
        <v>#N/A</v>
      </c>
      <c r="J2462" s="24" t="s">
        <v>33</v>
      </c>
      <c r="K2462" s="94"/>
      <c r="L2462" s="96" t="s">
        <v>3350</v>
      </c>
      <c r="M2462" s="26" t="s">
        <v>3336</v>
      </c>
      <c r="N2462" s="106">
        <v>44767</v>
      </c>
      <c r="O2462" s="94" t="s">
        <v>37</v>
      </c>
      <c r="P2462" s="297">
        <v>0</v>
      </c>
      <c r="Q2462" s="297">
        <v>-128</v>
      </c>
      <c r="R2462" s="268">
        <f t="shared" si="63"/>
        <v>0</v>
      </c>
      <c r="S2462" s="24">
        <v>202303</v>
      </c>
      <c r="T2462" s="127" t="s">
        <v>3355</v>
      </c>
      <c r="U2462" s="40"/>
      <c r="V2462" s="40"/>
      <c r="W2462" s="40"/>
      <c r="X2462" s="106">
        <v>44256</v>
      </c>
      <c r="Y2462" s="106">
        <v>45350</v>
      </c>
    </row>
    <row r="2463" s="9" customFormat="1" customHeight="1" spans="1:25">
      <c r="A2463" s="96" t="s">
        <v>401</v>
      </c>
      <c r="B2463" s="96" t="s">
        <v>2950</v>
      </c>
      <c r="C2463" s="96" t="s">
        <v>2998</v>
      </c>
      <c r="D2463" s="265" t="s">
        <v>2951</v>
      </c>
      <c r="E2463" s="105" t="s">
        <v>3328</v>
      </c>
      <c r="F2463" s="96" t="s">
        <v>3342</v>
      </c>
      <c r="G2463" s="96" t="s">
        <v>88</v>
      </c>
      <c r="H2463" s="19" t="s">
        <v>3334</v>
      </c>
      <c r="I2463" s="23" t="e">
        <f>VLOOKUP(H2463,'合同综合查询数据（3月返）'!$A:$A,1,FALSE)</f>
        <v>#N/A</v>
      </c>
      <c r="J2463" s="24" t="s">
        <v>1033</v>
      </c>
      <c r="K2463" s="96" t="s">
        <v>3335</v>
      </c>
      <c r="L2463" s="114"/>
      <c r="M2463" s="26" t="s">
        <v>3336</v>
      </c>
      <c r="N2463" s="28">
        <v>41433</v>
      </c>
      <c r="O2463" s="28" t="s">
        <v>624</v>
      </c>
      <c r="P2463" s="268">
        <v>5000</v>
      </c>
      <c r="Q2463" s="273">
        <v>4</v>
      </c>
      <c r="R2463" s="268">
        <f t="shared" si="63"/>
        <v>20000</v>
      </c>
      <c r="S2463" s="24">
        <v>202303</v>
      </c>
      <c r="T2463" s="127" t="s">
        <v>3356</v>
      </c>
      <c r="U2463" s="40"/>
      <c r="V2463" s="40"/>
      <c r="W2463" s="40"/>
      <c r="X2463" s="106">
        <v>44256</v>
      </c>
      <c r="Y2463" s="106">
        <v>45350</v>
      </c>
    </row>
    <row r="2464" s="9" customFormat="1" customHeight="1" spans="1:25">
      <c r="A2464" s="96" t="s">
        <v>401</v>
      </c>
      <c r="B2464" s="96" t="s">
        <v>2950</v>
      </c>
      <c r="C2464" s="96" t="s">
        <v>2998</v>
      </c>
      <c r="D2464" s="265" t="s">
        <v>2951</v>
      </c>
      <c r="E2464" s="105" t="s">
        <v>3328</v>
      </c>
      <c r="F2464" s="96" t="s">
        <v>3342</v>
      </c>
      <c r="G2464" s="96" t="s">
        <v>88</v>
      </c>
      <c r="H2464" s="19" t="s">
        <v>3334</v>
      </c>
      <c r="I2464" s="23" t="e">
        <f>VLOOKUP(H2464,'合同综合查询数据（3月返）'!$A:$A,1,FALSE)</f>
        <v>#N/A</v>
      </c>
      <c r="J2464" s="24" t="s">
        <v>1033</v>
      </c>
      <c r="K2464" s="96" t="s">
        <v>3335</v>
      </c>
      <c r="L2464" s="114"/>
      <c r="M2464" s="26" t="s">
        <v>3336</v>
      </c>
      <c r="N2464" s="28"/>
      <c r="O2464" s="28" t="s">
        <v>529</v>
      </c>
      <c r="P2464" s="268">
        <v>290</v>
      </c>
      <c r="Q2464" s="273">
        <v>0</v>
      </c>
      <c r="R2464" s="268">
        <f t="shared" si="63"/>
        <v>0</v>
      </c>
      <c r="S2464" s="24">
        <v>202303</v>
      </c>
      <c r="T2464" s="127" t="s">
        <v>3357</v>
      </c>
      <c r="U2464" s="40"/>
      <c r="V2464" s="40"/>
      <c r="W2464" s="40"/>
      <c r="X2464" s="106">
        <v>44256</v>
      </c>
      <c r="Y2464" s="106">
        <v>45350</v>
      </c>
    </row>
    <row r="2465" s="9" customFormat="1" customHeight="1" spans="1:25">
      <c r="A2465" s="96" t="s">
        <v>401</v>
      </c>
      <c r="B2465" s="96" t="s">
        <v>2950</v>
      </c>
      <c r="C2465" s="96" t="s">
        <v>2998</v>
      </c>
      <c r="D2465" s="265" t="s">
        <v>2951</v>
      </c>
      <c r="E2465" s="105" t="s">
        <v>3328</v>
      </c>
      <c r="F2465" s="96" t="s">
        <v>3342</v>
      </c>
      <c r="G2465" s="96" t="s">
        <v>88</v>
      </c>
      <c r="H2465" s="19" t="s">
        <v>3334</v>
      </c>
      <c r="I2465" s="23" t="e">
        <f>VLOOKUP(H2465,'合同综合查询数据（3月返）'!$A:$A,1,FALSE)</f>
        <v>#N/A</v>
      </c>
      <c r="J2465" s="24" t="s">
        <v>126</v>
      </c>
      <c r="K2465" s="96" t="s">
        <v>3358</v>
      </c>
      <c r="L2465" s="114"/>
      <c r="M2465" s="26" t="s">
        <v>3336</v>
      </c>
      <c r="N2465" s="28">
        <v>43116</v>
      </c>
      <c r="O2465" s="28" t="s">
        <v>624</v>
      </c>
      <c r="P2465" s="268">
        <v>5000</v>
      </c>
      <c r="Q2465" s="273">
        <v>11</v>
      </c>
      <c r="R2465" s="268">
        <f t="shared" si="63"/>
        <v>55000</v>
      </c>
      <c r="S2465" s="24">
        <v>202303</v>
      </c>
      <c r="T2465" s="127" t="s">
        <v>3359</v>
      </c>
      <c r="U2465" s="40"/>
      <c r="V2465" s="40"/>
      <c r="W2465" s="40"/>
      <c r="X2465" s="106">
        <v>44256</v>
      </c>
      <c r="Y2465" s="106">
        <v>45350</v>
      </c>
    </row>
    <row r="2466" s="9" customFormat="1" customHeight="1" spans="1:25">
      <c r="A2466" s="96" t="s">
        <v>401</v>
      </c>
      <c r="B2466" s="96" t="s">
        <v>2950</v>
      </c>
      <c r="C2466" s="96" t="s">
        <v>2998</v>
      </c>
      <c r="D2466" s="265" t="s">
        <v>2951</v>
      </c>
      <c r="E2466" s="105" t="s">
        <v>3328</v>
      </c>
      <c r="F2466" s="96" t="s">
        <v>3342</v>
      </c>
      <c r="G2466" s="96" t="s">
        <v>88</v>
      </c>
      <c r="H2466" s="19" t="s">
        <v>3334</v>
      </c>
      <c r="I2466" s="23" t="e">
        <f>VLOOKUP(H2466,'合同综合查询数据（3月返）'!$A:$A,1,FALSE)</f>
        <v>#N/A</v>
      </c>
      <c r="J2466" s="24" t="s">
        <v>126</v>
      </c>
      <c r="K2466" s="96" t="s">
        <v>3358</v>
      </c>
      <c r="L2466" s="114"/>
      <c r="M2466" s="26" t="s">
        <v>3336</v>
      </c>
      <c r="N2466" s="28">
        <v>43951</v>
      </c>
      <c r="O2466" s="28" t="s">
        <v>624</v>
      </c>
      <c r="P2466" s="268">
        <v>5000</v>
      </c>
      <c r="Q2466" s="273">
        <v>-7</v>
      </c>
      <c r="R2466" s="268">
        <f t="shared" si="63"/>
        <v>-35000</v>
      </c>
      <c r="S2466" s="24">
        <v>202303</v>
      </c>
      <c r="T2466" s="127" t="s">
        <v>3360</v>
      </c>
      <c r="U2466" s="40"/>
      <c r="V2466" s="40"/>
      <c r="W2466" s="40"/>
      <c r="X2466" s="106">
        <v>44256</v>
      </c>
      <c r="Y2466" s="106">
        <v>45350</v>
      </c>
    </row>
    <row r="2467" s="9" customFormat="1" customHeight="1" spans="1:25">
      <c r="A2467" s="96" t="s">
        <v>401</v>
      </c>
      <c r="B2467" s="96" t="s">
        <v>2950</v>
      </c>
      <c r="C2467" s="96" t="s">
        <v>2998</v>
      </c>
      <c r="D2467" s="265" t="s">
        <v>2951</v>
      </c>
      <c r="E2467" s="105" t="s">
        <v>3328</v>
      </c>
      <c r="F2467" s="96" t="s">
        <v>3342</v>
      </c>
      <c r="G2467" s="96" t="s">
        <v>88</v>
      </c>
      <c r="H2467" s="19" t="s">
        <v>3334</v>
      </c>
      <c r="I2467" s="23" t="e">
        <f>VLOOKUP(H2467,'合同综合查询数据（3月返）'!$A:$A,1,FALSE)</f>
        <v>#N/A</v>
      </c>
      <c r="J2467" s="24" t="s">
        <v>126</v>
      </c>
      <c r="K2467" s="96" t="s">
        <v>3358</v>
      </c>
      <c r="L2467" s="114"/>
      <c r="M2467" s="26" t="s">
        <v>3336</v>
      </c>
      <c r="N2467" s="28">
        <v>43890</v>
      </c>
      <c r="O2467" s="28" t="s">
        <v>624</v>
      </c>
      <c r="P2467" s="268">
        <v>5000</v>
      </c>
      <c r="Q2467" s="273">
        <v>-2</v>
      </c>
      <c r="R2467" s="268">
        <f t="shared" si="63"/>
        <v>-10000</v>
      </c>
      <c r="S2467" s="24">
        <v>202303</v>
      </c>
      <c r="T2467" s="127" t="s">
        <v>3361</v>
      </c>
      <c r="U2467" s="40"/>
      <c r="V2467" s="40"/>
      <c r="W2467" s="40"/>
      <c r="X2467" s="106">
        <v>44256</v>
      </c>
      <c r="Y2467" s="106">
        <v>45350</v>
      </c>
    </row>
    <row r="2468" s="9" customFormat="1" customHeight="1" spans="1:25">
      <c r="A2468" s="96" t="s">
        <v>401</v>
      </c>
      <c r="B2468" s="96" t="s">
        <v>2950</v>
      </c>
      <c r="C2468" s="96" t="s">
        <v>2998</v>
      </c>
      <c r="D2468" s="265" t="s">
        <v>2951</v>
      </c>
      <c r="E2468" s="105" t="s">
        <v>3328</v>
      </c>
      <c r="F2468" s="96" t="s">
        <v>3342</v>
      </c>
      <c r="G2468" s="96" t="s">
        <v>88</v>
      </c>
      <c r="H2468" s="19" t="s">
        <v>3334</v>
      </c>
      <c r="I2468" s="23" t="e">
        <f>VLOOKUP(H2468,'合同综合查询数据（3月返）'!$A:$A,1,FALSE)</f>
        <v>#N/A</v>
      </c>
      <c r="J2468" s="24" t="s">
        <v>126</v>
      </c>
      <c r="K2468" s="96" t="s">
        <v>3358</v>
      </c>
      <c r="L2468" s="114"/>
      <c r="M2468" s="26" t="s">
        <v>3336</v>
      </c>
      <c r="N2468" s="28"/>
      <c r="O2468" s="28" t="s">
        <v>529</v>
      </c>
      <c r="P2468" s="268">
        <v>290</v>
      </c>
      <c r="Q2468" s="273">
        <v>0</v>
      </c>
      <c r="R2468" s="268">
        <f t="shared" si="63"/>
        <v>0</v>
      </c>
      <c r="S2468" s="24">
        <v>202303</v>
      </c>
      <c r="T2468" s="127" t="s">
        <v>3357</v>
      </c>
      <c r="U2468" s="40"/>
      <c r="V2468" s="40"/>
      <c r="W2468" s="40"/>
      <c r="X2468" s="106">
        <v>44256</v>
      </c>
      <c r="Y2468" s="106">
        <v>45350</v>
      </c>
    </row>
    <row r="2469" s="9" customFormat="1" customHeight="1" spans="1:25">
      <c r="A2469" s="96" t="s">
        <v>401</v>
      </c>
      <c r="B2469" s="96" t="s">
        <v>2950</v>
      </c>
      <c r="C2469" s="96" t="s">
        <v>2998</v>
      </c>
      <c r="D2469" s="265" t="s">
        <v>2951</v>
      </c>
      <c r="E2469" s="105" t="s">
        <v>3328</v>
      </c>
      <c r="F2469" s="96" t="s">
        <v>3342</v>
      </c>
      <c r="G2469" s="96" t="s">
        <v>88</v>
      </c>
      <c r="H2469" s="19" t="s">
        <v>3334</v>
      </c>
      <c r="I2469" s="23" t="e">
        <f>VLOOKUP(H2469,'合同综合查询数据（3月返）'!$A:$A,1,FALSE)</f>
        <v>#N/A</v>
      </c>
      <c r="J2469" s="24" t="s">
        <v>126</v>
      </c>
      <c r="K2469" s="96" t="s">
        <v>3348</v>
      </c>
      <c r="L2469" s="114"/>
      <c r="M2469" s="26" t="s">
        <v>3336</v>
      </c>
      <c r="N2469" s="28">
        <v>43492</v>
      </c>
      <c r="O2469" s="28" t="s">
        <v>624</v>
      </c>
      <c r="P2469" s="268">
        <v>5000</v>
      </c>
      <c r="Q2469" s="273">
        <v>5</v>
      </c>
      <c r="R2469" s="268">
        <f t="shared" si="63"/>
        <v>25000</v>
      </c>
      <c r="S2469" s="24">
        <v>202303</v>
      </c>
      <c r="T2469" s="127" t="s">
        <v>3362</v>
      </c>
      <c r="U2469" s="40"/>
      <c r="V2469" s="40"/>
      <c r="W2469" s="40"/>
      <c r="X2469" s="106">
        <v>44256</v>
      </c>
      <c r="Y2469" s="106">
        <v>45350</v>
      </c>
    </row>
    <row r="2470" s="9" customFormat="1" customHeight="1" spans="1:25">
      <c r="A2470" s="96" t="s">
        <v>401</v>
      </c>
      <c r="B2470" s="96" t="s">
        <v>2950</v>
      </c>
      <c r="C2470" s="96" t="s">
        <v>2998</v>
      </c>
      <c r="D2470" s="265" t="s">
        <v>2951</v>
      </c>
      <c r="E2470" s="105" t="s">
        <v>3328</v>
      </c>
      <c r="F2470" s="96" t="s">
        <v>3342</v>
      </c>
      <c r="G2470" s="96" t="s">
        <v>88</v>
      </c>
      <c r="H2470" s="19" t="s">
        <v>3334</v>
      </c>
      <c r="I2470" s="23" t="e">
        <f>VLOOKUP(H2470,'合同综合查询数据（3月返）'!$A:$A,1,FALSE)</f>
        <v>#N/A</v>
      </c>
      <c r="J2470" s="24" t="s">
        <v>126</v>
      </c>
      <c r="K2470" s="96" t="s">
        <v>3348</v>
      </c>
      <c r="L2470" s="114"/>
      <c r="M2470" s="26" t="s">
        <v>3336</v>
      </c>
      <c r="N2470" s="28"/>
      <c r="O2470" s="28" t="s">
        <v>529</v>
      </c>
      <c r="P2470" s="268">
        <v>290</v>
      </c>
      <c r="Q2470" s="273">
        <v>0</v>
      </c>
      <c r="R2470" s="268">
        <f t="shared" si="63"/>
        <v>0</v>
      </c>
      <c r="S2470" s="24">
        <v>202303</v>
      </c>
      <c r="T2470" s="127" t="s">
        <v>3357</v>
      </c>
      <c r="U2470" s="40"/>
      <c r="V2470" s="40"/>
      <c r="W2470" s="40"/>
      <c r="X2470" s="106">
        <v>44256</v>
      </c>
      <c r="Y2470" s="106">
        <v>45350</v>
      </c>
    </row>
    <row r="2471" s="9" customFormat="1" customHeight="1" spans="1:25">
      <c r="A2471" s="96" t="s">
        <v>401</v>
      </c>
      <c r="B2471" s="96" t="s">
        <v>2950</v>
      </c>
      <c r="C2471" s="96" t="s">
        <v>2998</v>
      </c>
      <c r="D2471" s="265" t="s">
        <v>2951</v>
      </c>
      <c r="E2471" s="105" t="s">
        <v>3328</v>
      </c>
      <c r="F2471" s="96" t="s">
        <v>3342</v>
      </c>
      <c r="G2471" s="96" t="s">
        <v>88</v>
      </c>
      <c r="H2471" s="19" t="s">
        <v>3334</v>
      </c>
      <c r="I2471" s="23" t="e">
        <f>VLOOKUP(H2471,'合同综合查询数据（3月返）'!$A:$A,1,FALSE)</f>
        <v>#N/A</v>
      </c>
      <c r="J2471" s="24" t="s">
        <v>126</v>
      </c>
      <c r="K2471" s="96" t="s">
        <v>3350</v>
      </c>
      <c r="L2471" s="96" t="s">
        <v>3350</v>
      </c>
      <c r="M2471" s="26" t="s">
        <v>3336</v>
      </c>
      <c r="N2471" s="106">
        <v>44575</v>
      </c>
      <c r="O2471" s="28" t="s">
        <v>624</v>
      </c>
      <c r="P2471" s="268">
        <v>5000</v>
      </c>
      <c r="Q2471" s="273">
        <v>1</v>
      </c>
      <c r="R2471" s="268">
        <f t="shared" si="63"/>
        <v>5000</v>
      </c>
      <c r="S2471" s="24">
        <v>202303</v>
      </c>
      <c r="T2471" s="127" t="s">
        <v>3363</v>
      </c>
      <c r="U2471" s="40"/>
      <c r="V2471" s="40"/>
      <c r="W2471" s="40"/>
      <c r="X2471" s="106">
        <v>44256</v>
      </c>
      <c r="Y2471" s="106">
        <v>45350</v>
      </c>
    </row>
    <row r="2472" s="9" customFormat="1" customHeight="1" spans="1:25">
      <c r="A2472" s="96" t="s">
        <v>401</v>
      </c>
      <c r="B2472" s="96" t="s">
        <v>2950</v>
      </c>
      <c r="C2472" s="96" t="s">
        <v>2998</v>
      </c>
      <c r="D2472" s="265" t="s">
        <v>2951</v>
      </c>
      <c r="E2472" s="105" t="s">
        <v>3328</v>
      </c>
      <c r="F2472" s="96" t="s">
        <v>3342</v>
      </c>
      <c r="G2472" s="96" t="s">
        <v>88</v>
      </c>
      <c r="H2472" s="19" t="s">
        <v>3334</v>
      </c>
      <c r="I2472" s="23" t="e">
        <f>VLOOKUP(H2472,'合同综合查询数据（3月返）'!$A:$A,1,FALSE)</f>
        <v>#N/A</v>
      </c>
      <c r="J2472" s="24" t="s">
        <v>126</v>
      </c>
      <c r="K2472" s="96" t="s">
        <v>3350</v>
      </c>
      <c r="L2472" s="96" t="s">
        <v>3350</v>
      </c>
      <c r="M2472" s="26" t="s">
        <v>3336</v>
      </c>
      <c r="N2472" s="106">
        <v>44767</v>
      </c>
      <c r="O2472" s="28" t="s">
        <v>624</v>
      </c>
      <c r="P2472" s="268">
        <v>5000</v>
      </c>
      <c r="Q2472" s="273">
        <v>-2</v>
      </c>
      <c r="R2472" s="268">
        <f t="shared" si="63"/>
        <v>-10000</v>
      </c>
      <c r="S2472" s="24">
        <v>202303</v>
      </c>
      <c r="T2472" s="127" t="s">
        <v>3364</v>
      </c>
      <c r="U2472" s="40"/>
      <c r="V2472" s="40"/>
      <c r="W2472" s="40"/>
      <c r="X2472" s="106">
        <v>44256</v>
      </c>
      <c r="Y2472" s="106">
        <v>45350</v>
      </c>
    </row>
    <row r="2473" s="9" customFormat="1" customHeight="1" spans="1:25">
      <c r="A2473" s="96" t="s">
        <v>401</v>
      </c>
      <c r="B2473" s="96" t="s">
        <v>2950</v>
      </c>
      <c r="C2473" s="96" t="s">
        <v>2998</v>
      </c>
      <c r="D2473" s="265" t="s">
        <v>2951</v>
      </c>
      <c r="E2473" s="105" t="s">
        <v>3328</v>
      </c>
      <c r="F2473" s="96" t="s">
        <v>3342</v>
      </c>
      <c r="G2473" s="96" t="s">
        <v>88</v>
      </c>
      <c r="H2473" s="19" t="s">
        <v>3334</v>
      </c>
      <c r="I2473" s="23" t="e">
        <f>VLOOKUP(H2473,'合同综合查询数据（3月返）'!$A:$A,1,FALSE)</f>
        <v>#N/A</v>
      </c>
      <c r="J2473" s="24" t="s">
        <v>126</v>
      </c>
      <c r="K2473" s="96" t="s">
        <v>3350</v>
      </c>
      <c r="L2473" s="96" t="s">
        <v>3350</v>
      </c>
      <c r="M2473" s="26" t="s">
        <v>3336</v>
      </c>
      <c r="N2473" s="28"/>
      <c r="O2473" s="28" t="s">
        <v>529</v>
      </c>
      <c r="P2473" s="268">
        <v>290</v>
      </c>
      <c r="Q2473" s="273">
        <v>0</v>
      </c>
      <c r="R2473" s="268">
        <f t="shared" si="63"/>
        <v>0</v>
      </c>
      <c r="S2473" s="24">
        <v>202303</v>
      </c>
      <c r="T2473" s="127" t="s">
        <v>3357</v>
      </c>
      <c r="U2473" s="40"/>
      <c r="V2473" s="40"/>
      <c r="W2473" s="40"/>
      <c r="X2473" s="106">
        <v>44256</v>
      </c>
      <c r="Y2473" s="106">
        <v>45350</v>
      </c>
    </row>
    <row r="2474" s="9" customFormat="1" customHeight="1" spans="1:25">
      <c r="A2474" s="96" t="s">
        <v>401</v>
      </c>
      <c r="B2474" s="96" t="s">
        <v>2950</v>
      </c>
      <c r="C2474" s="96" t="s">
        <v>2998</v>
      </c>
      <c r="D2474" s="265" t="s">
        <v>2951</v>
      </c>
      <c r="E2474" s="105" t="s">
        <v>3328</v>
      </c>
      <c r="F2474" s="96" t="s">
        <v>3342</v>
      </c>
      <c r="G2474" s="96" t="s">
        <v>88</v>
      </c>
      <c r="H2474" s="19" t="s">
        <v>3365</v>
      </c>
      <c r="I2474" s="23" t="e">
        <f>VLOOKUP(H2474,'合同综合查询数据（3月返）'!$A:$A,1,FALSE)</f>
        <v>#N/A</v>
      </c>
      <c r="J2474" s="24" t="s">
        <v>90</v>
      </c>
      <c r="K2474" s="96" t="s">
        <v>3305</v>
      </c>
      <c r="L2474" s="114"/>
      <c r="M2474" s="26" t="s">
        <v>3340</v>
      </c>
      <c r="N2474" s="28"/>
      <c r="O2474" s="28" t="s">
        <v>457</v>
      </c>
      <c r="P2474" s="268">
        <v>5980</v>
      </c>
      <c r="Q2474" s="273">
        <v>233</v>
      </c>
      <c r="R2474" s="268">
        <f t="shared" si="63"/>
        <v>1393340</v>
      </c>
      <c r="S2474" s="24">
        <v>202303</v>
      </c>
      <c r="T2474" s="127" t="s">
        <v>3366</v>
      </c>
      <c r="U2474" s="40"/>
      <c r="V2474" s="40"/>
      <c r="W2474" s="40"/>
      <c r="X2474" s="106">
        <v>43466</v>
      </c>
      <c r="Y2474" s="28">
        <v>45473</v>
      </c>
    </row>
    <row r="2475" s="9" customFormat="1" customHeight="1" spans="1:25">
      <c r="A2475" s="96" t="s">
        <v>401</v>
      </c>
      <c r="B2475" s="96" t="s">
        <v>2950</v>
      </c>
      <c r="C2475" s="96" t="s">
        <v>2998</v>
      </c>
      <c r="D2475" s="265" t="s">
        <v>2951</v>
      </c>
      <c r="E2475" s="105" t="s">
        <v>3328</v>
      </c>
      <c r="F2475" s="96" t="s">
        <v>3342</v>
      </c>
      <c r="G2475" s="96" t="s">
        <v>88</v>
      </c>
      <c r="H2475" s="19" t="s">
        <v>3365</v>
      </c>
      <c r="I2475" s="23" t="e">
        <f>VLOOKUP(H2475,'合同综合查询数据（3月返）'!$A:$A,1,FALSE)</f>
        <v>#N/A</v>
      </c>
      <c r="J2475" s="24" t="s">
        <v>90</v>
      </c>
      <c r="K2475" s="96" t="s">
        <v>3305</v>
      </c>
      <c r="L2475" s="114"/>
      <c r="M2475" s="26" t="s">
        <v>3340</v>
      </c>
      <c r="N2475" s="28"/>
      <c r="O2475" s="28" t="s">
        <v>3367</v>
      </c>
      <c r="P2475" s="268">
        <v>8162.7</v>
      </c>
      <c r="Q2475" s="273">
        <v>2</v>
      </c>
      <c r="R2475" s="268">
        <f t="shared" si="63"/>
        <v>16325.4</v>
      </c>
      <c r="S2475" s="24">
        <v>202303</v>
      </c>
      <c r="T2475" s="127" t="s">
        <v>3368</v>
      </c>
      <c r="U2475" s="40"/>
      <c r="V2475" s="40"/>
      <c r="W2475" s="40"/>
      <c r="X2475" s="106">
        <v>43466</v>
      </c>
      <c r="Y2475" s="28">
        <v>45473</v>
      </c>
    </row>
    <row r="2476" s="9" customFormat="1" customHeight="1" spans="1:25">
      <c r="A2476" s="96" t="s">
        <v>401</v>
      </c>
      <c r="B2476" s="96" t="s">
        <v>2950</v>
      </c>
      <c r="C2476" s="96" t="s">
        <v>2998</v>
      </c>
      <c r="D2476" s="265" t="s">
        <v>2951</v>
      </c>
      <c r="E2476" s="105" t="s">
        <v>3328</v>
      </c>
      <c r="F2476" s="96" t="s">
        <v>3342</v>
      </c>
      <c r="G2476" s="96" t="s">
        <v>88</v>
      </c>
      <c r="H2476" s="19" t="s">
        <v>3365</v>
      </c>
      <c r="I2476" s="23" t="e">
        <f>VLOOKUP(H2476,'合同综合查询数据（3月返）'!$A:$A,1,FALSE)</f>
        <v>#N/A</v>
      </c>
      <c r="J2476" s="24" t="s">
        <v>90</v>
      </c>
      <c r="K2476" s="96" t="s">
        <v>3305</v>
      </c>
      <c r="L2476" s="114"/>
      <c r="M2476" s="26" t="s">
        <v>3340</v>
      </c>
      <c r="N2476" s="28"/>
      <c r="O2476" s="28" t="s">
        <v>1459</v>
      </c>
      <c r="P2476" s="268">
        <v>9568</v>
      </c>
      <c r="Q2476" s="273">
        <v>538</v>
      </c>
      <c r="R2476" s="268">
        <f t="shared" si="63"/>
        <v>5147584</v>
      </c>
      <c r="S2476" s="24">
        <v>202303</v>
      </c>
      <c r="T2476" s="127" t="s">
        <v>3369</v>
      </c>
      <c r="U2476" s="40"/>
      <c r="V2476" s="40"/>
      <c r="W2476" s="40"/>
      <c r="X2476" s="106">
        <v>43466</v>
      </c>
      <c r="Y2476" s="28">
        <v>45473</v>
      </c>
    </row>
    <row r="2477" s="9" customFormat="1" customHeight="1" spans="1:25">
      <c r="A2477" s="96" t="s">
        <v>401</v>
      </c>
      <c r="B2477" s="96" t="s">
        <v>2950</v>
      </c>
      <c r="C2477" s="96" t="s">
        <v>2998</v>
      </c>
      <c r="D2477" s="265" t="s">
        <v>2951</v>
      </c>
      <c r="E2477" s="105" t="s">
        <v>3328</v>
      </c>
      <c r="F2477" s="96" t="s">
        <v>3342</v>
      </c>
      <c r="G2477" s="96" t="s">
        <v>88</v>
      </c>
      <c r="H2477" s="19" t="s">
        <v>3365</v>
      </c>
      <c r="I2477" s="23" t="e">
        <f>VLOOKUP(H2477,'合同综合查询数据（3月返）'!$A:$A,1,FALSE)</f>
        <v>#N/A</v>
      </c>
      <c r="J2477" s="24" t="s">
        <v>90</v>
      </c>
      <c r="K2477" s="96" t="s">
        <v>3305</v>
      </c>
      <c r="L2477" s="114"/>
      <c r="M2477" s="26" t="s">
        <v>3340</v>
      </c>
      <c r="N2477" s="28"/>
      <c r="O2477" s="28" t="s">
        <v>3370</v>
      </c>
      <c r="P2477" s="268">
        <v>10883.6</v>
      </c>
      <c r="Q2477" s="273">
        <v>2</v>
      </c>
      <c r="R2477" s="268">
        <f t="shared" si="63"/>
        <v>21767.2</v>
      </c>
      <c r="S2477" s="24">
        <v>202303</v>
      </c>
      <c r="T2477" s="127" t="s">
        <v>3371</v>
      </c>
      <c r="U2477" s="40"/>
      <c r="V2477" s="40"/>
      <c r="W2477" s="40"/>
      <c r="X2477" s="106">
        <v>43466</v>
      </c>
      <c r="Y2477" s="28">
        <v>45473</v>
      </c>
    </row>
    <row r="2478" s="9" customFormat="1" customHeight="1" spans="1:25">
      <c r="A2478" s="96" t="s">
        <v>401</v>
      </c>
      <c r="B2478" s="96" t="s">
        <v>2950</v>
      </c>
      <c r="C2478" s="96" t="s">
        <v>2998</v>
      </c>
      <c r="D2478" s="265" t="s">
        <v>2951</v>
      </c>
      <c r="E2478" s="105" t="s">
        <v>3328</v>
      </c>
      <c r="F2478" s="96" t="s">
        <v>3342</v>
      </c>
      <c r="G2478" s="96" t="s">
        <v>88</v>
      </c>
      <c r="H2478" s="19" t="s">
        <v>3365</v>
      </c>
      <c r="I2478" s="23" t="e">
        <f>VLOOKUP(H2478,'合同综合查询数据（3月返）'!$A:$A,1,FALSE)</f>
        <v>#N/A</v>
      </c>
      <c r="J2478" s="24" t="s">
        <v>90</v>
      </c>
      <c r="K2478" s="96" t="s">
        <v>3305</v>
      </c>
      <c r="L2478" s="114"/>
      <c r="M2478" s="26" t="s">
        <v>3340</v>
      </c>
      <c r="N2478" s="28">
        <v>43824</v>
      </c>
      <c r="O2478" s="28" t="s">
        <v>3370</v>
      </c>
      <c r="P2478" s="268">
        <v>10883.6</v>
      </c>
      <c r="Q2478" s="273">
        <v>-1</v>
      </c>
      <c r="R2478" s="268">
        <f t="shared" si="63"/>
        <v>-10883.6</v>
      </c>
      <c r="S2478" s="24">
        <v>202303</v>
      </c>
      <c r="T2478" s="127" t="s">
        <v>3372</v>
      </c>
      <c r="U2478" s="40"/>
      <c r="V2478" s="40"/>
      <c r="W2478" s="40"/>
      <c r="X2478" s="106">
        <v>43466</v>
      </c>
      <c r="Y2478" s="28">
        <v>45473</v>
      </c>
    </row>
    <row r="2479" s="9" customFormat="1" customHeight="1" spans="1:25">
      <c r="A2479" s="96" t="s">
        <v>401</v>
      </c>
      <c r="B2479" s="96" t="s">
        <v>2950</v>
      </c>
      <c r="C2479" s="96" t="s">
        <v>2998</v>
      </c>
      <c r="D2479" s="265" t="s">
        <v>2951</v>
      </c>
      <c r="E2479" s="105" t="s">
        <v>3328</v>
      </c>
      <c r="F2479" s="96" t="s">
        <v>3342</v>
      </c>
      <c r="G2479" s="96" t="s">
        <v>88</v>
      </c>
      <c r="H2479" s="19" t="s">
        <v>3365</v>
      </c>
      <c r="I2479" s="23" t="e">
        <f>VLOOKUP(H2479,'合同综合查询数据（3月返）'!$A:$A,1,FALSE)</f>
        <v>#N/A</v>
      </c>
      <c r="J2479" s="24" t="s">
        <v>90</v>
      </c>
      <c r="K2479" s="96" t="s">
        <v>3305</v>
      </c>
      <c r="L2479" s="114"/>
      <c r="M2479" s="26" t="s">
        <v>3340</v>
      </c>
      <c r="N2479" s="28"/>
      <c r="O2479" s="28" t="s">
        <v>519</v>
      </c>
      <c r="P2479" s="268">
        <v>18687.5</v>
      </c>
      <c r="Q2479" s="273">
        <v>6</v>
      </c>
      <c r="R2479" s="268">
        <f t="shared" si="63"/>
        <v>112125</v>
      </c>
      <c r="S2479" s="24">
        <v>202303</v>
      </c>
      <c r="T2479" s="127" t="s">
        <v>3373</v>
      </c>
      <c r="U2479" s="40"/>
      <c r="V2479" s="40"/>
      <c r="W2479" s="40"/>
      <c r="X2479" s="106">
        <v>43466</v>
      </c>
      <c r="Y2479" s="28">
        <v>45473</v>
      </c>
    </row>
    <row r="2480" s="9" customFormat="1" customHeight="1" spans="1:25">
      <c r="A2480" s="96" t="s">
        <v>401</v>
      </c>
      <c r="B2480" s="96" t="s">
        <v>2950</v>
      </c>
      <c r="C2480" s="96" t="s">
        <v>2998</v>
      </c>
      <c r="D2480" s="265" t="s">
        <v>2951</v>
      </c>
      <c r="E2480" s="105" t="s">
        <v>3328</v>
      </c>
      <c r="F2480" s="96" t="s">
        <v>3342</v>
      </c>
      <c r="G2480" s="96" t="s">
        <v>88</v>
      </c>
      <c r="H2480" s="19" t="s">
        <v>3365</v>
      </c>
      <c r="I2480" s="23" t="e">
        <f>VLOOKUP(H2480,'合同综合查询数据（3月返）'!$A:$A,1,FALSE)</f>
        <v>#N/A</v>
      </c>
      <c r="J2480" s="24" t="s">
        <v>90</v>
      </c>
      <c r="K2480" s="96" t="s">
        <v>3305</v>
      </c>
      <c r="L2480" s="114"/>
      <c r="M2480" s="26" t="s">
        <v>3340</v>
      </c>
      <c r="N2480" s="28">
        <v>43256</v>
      </c>
      <c r="O2480" s="28" t="s">
        <v>1459</v>
      </c>
      <c r="P2480" s="268">
        <v>9568</v>
      </c>
      <c r="Q2480" s="273">
        <v>10</v>
      </c>
      <c r="R2480" s="268">
        <f t="shared" si="63"/>
        <v>95680</v>
      </c>
      <c r="S2480" s="24">
        <v>202303</v>
      </c>
      <c r="T2480" s="127" t="s">
        <v>3369</v>
      </c>
      <c r="U2480" s="40"/>
      <c r="V2480" s="40"/>
      <c r="W2480" s="40"/>
      <c r="X2480" s="106">
        <v>43466</v>
      </c>
      <c r="Y2480" s="28">
        <v>45473</v>
      </c>
    </row>
    <row r="2481" s="9" customFormat="1" customHeight="1" spans="1:25">
      <c r="A2481" s="96" t="s">
        <v>401</v>
      </c>
      <c r="B2481" s="96" t="s">
        <v>2950</v>
      </c>
      <c r="C2481" s="96" t="s">
        <v>2998</v>
      </c>
      <c r="D2481" s="265" t="s">
        <v>2951</v>
      </c>
      <c r="E2481" s="105" t="s">
        <v>3328</v>
      </c>
      <c r="F2481" s="96" t="s">
        <v>3342</v>
      </c>
      <c r="G2481" s="96" t="s">
        <v>88</v>
      </c>
      <c r="H2481" s="19" t="s">
        <v>3365</v>
      </c>
      <c r="I2481" s="23" t="e">
        <f>VLOOKUP(H2481,'合同综合查询数据（3月返）'!$A:$A,1,FALSE)</f>
        <v>#N/A</v>
      </c>
      <c r="J2481" s="24" t="s">
        <v>90</v>
      </c>
      <c r="K2481" s="96" t="s">
        <v>3305</v>
      </c>
      <c r="L2481" s="114"/>
      <c r="M2481" s="26" t="s">
        <v>3340</v>
      </c>
      <c r="N2481" s="28">
        <v>43255</v>
      </c>
      <c r="O2481" s="28" t="s">
        <v>457</v>
      </c>
      <c r="P2481" s="268">
        <v>5980</v>
      </c>
      <c r="Q2481" s="273">
        <v>26</v>
      </c>
      <c r="R2481" s="268">
        <f t="shared" si="63"/>
        <v>155480</v>
      </c>
      <c r="S2481" s="24">
        <v>202303</v>
      </c>
      <c r="T2481" s="127" t="s">
        <v>3366</v>
      </c>
      <c r="U2481" s="40"/>
      <c r="V2481" s="40"/>
      <c r="W2481" s="40"/>
      <c r="X2481" s="106">
        <v>43466</v>
      </c>
      <c r="Y2481" s="28">
        <v>45473</v>
      </c>
    </row>
    <row r="2482" s="9" customFormat="1" customHeight="1" spans="1:25">
      <c r="A2482" s="96" t="s">
        <v>401</v>
      </c>
      <c r="B2482" s="96" t="s">
        <v>2950</v>
      </c>
      <c r="C2482" s="96" t="s">
        <v>2998</v>
      </c>
      <c r="D2482" s="265" t="s">
        <v>2951</v>
      </c>
      <c r="E2482" s="105" t="s">
        <v>3328</v>
      </c>
      <c r="F2482" s="96" t="s">
        <v>3342</v>
      </c>
      <c r="G2482" s="96" t="s">
        <v>88</v>
      </c>
      <c r="H2482" s="19" t="s">
        <v>3365</v>
      </c>
      <c r="I2482" s="23" t="e">
        <f>VLOOKUP(H2482,'合同综合查询数据（3月返）'!$A:$A,1,FALSE)</f>
        <v>#N/A</v>
      </c>
      <c r="J2482" s="24" t="s">
        <v>90</v>
      </c>
      <c r="K2482" s="96" t="s">
        <v>3305</v>
      </c>
      <c r="L2482" s="114"/>
      <c r="M2482" s="26" t="s">
        <v>3340</v>
      </c>
      <c r="N2482" s="28">
        <v>43263</v>
      </c>
      <c r="O2482" s="28" t="s">
        <v>1459</v>
      </c>
      <c r="P2482" s="268">
        <v>9568</v>
      </c>
      <c r="Q2482" s="273">
        <v>4</v>
      </c>
      <c r="R2482" s="268">
        <f t="shared" si="63"/>
        <v>38272</v>
      </c>
      <c r="S2482" s="24">
        <v>202303</v>
      </c>
      <c r="T2482" s="127" t="s">
        <v>3369</v>
      </c>
      <c r="U2482" s="40"/>
      <c r="V2482" s="40"/>
      <c r="W2482" s="40"/>
      <c r="X2482" s="106">
        <v>43466</v>
      </c>
      <c r="Y2482" s="28">
        <v>45473</v>
      </c>
    </row>
    <row r="2483" s="9" customFormat="1" customHeight="1" spans="1:25">
      <c r="A2483" s="96" t="s">
        <v>401</v>
      </c>
      <c r="B2483" s="96" t="s">
        <v>2950</v>
      </c>
      <c r="C2483" s="96" t="s">
        <v>2998</v>
      </c>
      <c r="D2483" s="265" t="s">
        <v>2951</v>
      </c>
      <c r="E2483" s="105" t="s">
        <v>3328</v>
      </c>
      <c r="F2483" s="96" t="s">
        <v>3342</v>
      </c>
      <c r="G2483" s="96" t="s">
        <v>88</v>
      </c>
      <c r="H2483" s="19" t="s">
        <v>3365</v>
      </c>
      <c r="I2483" s="23" t="e">
        <f>VLOOKUP(H2483,'合同综合查询数据（3月返）'!$A:$A,1,FALSE)</f>
        <v>#N/A</v>
      </c>
      <c r="J2483" s="24" t="s">
        <v>90</v>
      </c>
      <c r="K2483" s="96" t="s">
        <v>3305</v>
      </c>
      <c r="L2483" s="114"/>
      <c r="M2483" s="26" t="s">
        <v>3340</v>
      </c>
      <c r="N2483" s="28">
        <v>43280</v>
      </c>
      <c r="O2483" s="28" t="s">
        <v>457</v>
      </c>
      <c r="P2483" s="268">
        <v>5980</v>
      </c>
      <c r="Q2483" s="273">
        <v>4</v>
      </c>
      <c r="R2483" s="268">
        <f t="shared" si="63"/>
        <v>23920</v>
      </c>
      <c r="S2483" s="24">
        <v>202303</v>
      </c>
      <c r="T2483" s="127" t="s">
        <v>3366</v>
      </c>
      <c r="U2483" s="40"/>
      <c r="V2483" s="40"/>
      <c r="W2483" s="40"/>
      <c r="X2483" s="106">
        <v>43466</v>
      </c>
      <c r="Y2483" s="28">
        <v>45473</v>
      </c>
    </row>
    <row r="2484" s="9" customFormat="1" customHeight="1" spans="1:25">
      <c r="A2484" s="96" t="s">
        <v>401</v>
      </c>
      <c r="B2484" s="96" t="s">
        <v>2950</v>
      </c>
      <c r="C2484" s="96" t="s">
        <v>2998</v>
      </c>
      <c r="D2484" s="265" t="s">
        <v>2951</v>
      </c>
      <c r="E2484" s="105" t="s">
        <v>3328</v>
      </c>
      <c r="F2484" s="96" t="s">
        <v>3342</v>
      </c>
      <c r="G2484" s="96" t="s">
        <v>88</v>
      </c>
      <c r="H2484" s="19" t="s">
        <v>3365</v>
      </c>
      <c r="I2484" s="23" t="e">
        <f>VLOOKUP(H2484,'合同综合查询数据（3月返）'!$A:$A,1,FALSE)</f>
        <v>#N/A</v>
      </c>
      <c r="J2484" s="24" t="s">
        <v>90</v>
      </c>
      <c r="K2484" s="96" t="s">
        <v>3305</v>
      </c>
      <c r="L2484" s="114"/>
      <c r="M2484" s="26" t="s">
        <v>3340</v>
      </c>
      <c r="N2484" s="28">
        <v>43283</v>
      </c>
      <c r="O2484" s="28" t="s">
        <v>457</v>
      </c>
      <c r="P2484" s="268">
        <v>5980</v>
      </c>
      <c r="Q2484" s="273">
        <v>6</v>
      </c>
      <c r="R2484" s="268">
        <f t="shared" si="63"/>
        <v>35880</v>
      </c>
      <c r="S2484" s="24">
        <v>202303</v>
      </c>
      <c r="T2484" s="127" t="s">
        <v>3366</v>
      </c>
      <c r="U2484" s="40"/>
      <c r="V2484" s="40"/>
      <c r="W2484" s="40"/>
      <c r="X2484" s="106">
        <v>43466</v>
      </c>
      <c r="Y2484" s="28">
        <v>45473</v>
      </c>
    </row>
    <row r="2485" s="9" customFormat="1" customHeight="1" spans="1:25">
      <c r="A2485" s="96" t="s">
        <v>401</v>
      </c>
      <c r="B2485" s="96" t="s">
        <v>2950</v>
      </c>
      <c r="C2485" s="96" t="s">
        <v>2998</v>
      </c>
      <c r="D2485" s="265" t="s">
        <v>2951</v>
      </c>
      <c r="E2485" s="105" t="s">
        <v>3328</v>
      </c>
      <c r="F2485" s="96" t="s">
        <v>3342</v>
      </c>
      <c r="G2485" s="96" t="s">
        <v>88</v>
      </c>
      <c r="H2485" s="19" t="s">
        <v>3365</v>
      </c>
      <c r="I2485" s="23" t="e">
        <f>VLOOKUP(H2485,'合同综合查询数据（3月返）'!$A:$A,1,FALSE)</f>
        <v>#N/A</v>
      </c>
      <c r="J2485" s="24" t="s">
        <v>90</v>
      </c>
      <c r="K2485" s="96" t="s">
        <v>3305</v>
      </c>
      <c r="L2485" s="114"/>
      <c r="M2485" s="26" t="s">
        <v>3340</v>
      </c>
      <c r="N2485" s="28">
        <v>43287</v>
      </c>
      <c r="O2485" s="28" t="s">
        <v>457</v>
      </c>
      <c r="P2485" s="268">
        <v>5980</v>
      </c>
      <c r="Q2485" s="273">
        <v>1</v>
      </c>
      <c r="R2485" s="268">
        <f t="shared" si="63"/>
        <v>5980</v>
      </c>
      <c r="S2485" s="24">
        <v>202303</v>
      </c>
      <c r="T2485" s="127" t="s">
        <v>3366</v>
      </c>
      <c r="U2485" s="40"/>
      <c r="V2485" s="40"/>
      <c r="W2485" s="40"/>
      <c r="X2485" s="106">
        <v>43466</v>
      </c>
      <c r="Y2485" s="28">
        <v>45473</v>
      </c>
    </row>
    <row r="2486" s="9" customFormat="1" customHeight="1" spans="1:25">
      <c r="A2486" s="96" t="s">
        <v>401</v>
      </c>
      <c r="B2486" s="96" t="s">
        <v>2950</v>
      </c>
      <c r="C2486" s="96" t="s">
        <v>2998</v>
      </c>
      <c r="D2486" s="265" t="s">
        <v>2951</v>
      </c>
      <c r="E2486" s="105" t="s">
        <v>3328</v>
      </c>
      <c r="F2486" s="96" t="s">
        <v>3342</v>
      </c>
      <c r="G2486" s="96" t="s">
        <v>88</v>
      </c>
      <c r="H2486" s="19" t="s">
        <v>3365</v>
      </c>
      <c r="I2486" s="23" t="e">
        <f>VLOOKUP(H2486,'合同综合查询数据（3月返）'!$A:$A,1,FALSE)</f>
        <v>#N/A</v>
      </c>
      <c r="J2486" s="24" t="s">
        <v>90</v>
      </c>
      <c r="K2486" s="96" t="s">
        <v>3305</v>
      </c>
      <c r="L2486" s="114"/>
      <c r="M2486" s="26" t="s">
        <v>3340</v>
      </c>
      <c r="N2486" s="28">
        <v>43293</v>
      </c>
      <c r="O2486" s="28" t="s">
        <v>457</v>
      </c>
      <c r="P2486" s="268">
        <v>5980</v>
      </c>
      <c r="Q2486" s="273">
        <v>2</v>
      </c>
      <c r="R2486" s="268">
        <f t="shared" si="63"/>
        <v>11960</v>
      </c>
      <c r="S2486" s="24">
        <v>202303</v>
      </c>
      <c r="T2486" s="127" t="s">
        <v>3366</v>
      </c>
      <c r="U2486" s="40"/>
      <c r="V2486" s="40"/>
      <c r="W2486" s="40"/>
      <c r="X2486" s="106">
        <v>43466</v>
      </c>
      <c r="Y2486" s="28">
        <v>45473</v>
      </c>
    </row>
    <row r="2487" s="9" customFormat="1" customHeight="1" spans="1:25">
      <c r="A2487" s="96" t="s">
        <v>401</v>
      </c>
      <c r="B2487" s="96" t="s">
        <v>2950</v>
      </c>
      <c r="C2487" s="96" t="s">
        <v>2998</v>
      </c>
      <c r="D2487" s="265" t="s">
        <v>2951</v>
      </c>
      <c r="E2487" s="105" t="s">
        <v>3328</v>
      </c>
      <c r="F2487" s="96" t="s">
        <v>3342</v>
      </c>
      <c r="G2487" s="96" t="s">
        <v>88</v>
      </c>
      <c r="H2487" s="19" t="s">
        <v>3365</v>
      </c>
      <c r="I2487" s="23" t="e">
        <f>VLOOKUP(H2487,'合同综合查询数据（3月返）'!$A:$A,1,FALSE)</f>
        <v>#N/A</v>
      </c>
      <c r="J2487" s="24" t="s">
        <v>90</v>
      </c>
      <c r="K2487" s="96" t="s">
        <v>3305</v>
      </c>
      <c r="L2487" s="114"/>
      <c r="M2487" s="26" t="s">
        <v>3340</v>
      </c>
      <c r="N2487" s="28">
        <v>43321</v>
      </c>
      <c r="O2487" s="28" t="s">
        <v>457</v>
      </c>
      <c r="P2487" s="268">
        <v>5980</v>
      </c>
      <c r="Q2487" s="273">
        <v>2</v>
      </c>
      <c r="R2487" s="268">
        <f t="shared" si="63"/>
        <v>11960</v>
      </c>
      <c r="S2487" s="24">
        <v>202303</v>
      </c>
      <c r="T2487" s="127" t="s">
        <v>3366</v>
      </c>
      <c r="U2487" s="40"/>
      <c r="V2487" s="40"/>
      <c r="W2487" s="40"/>
      <c r="X2487" s="106">
        <v>43466</v>
      </c>
      <c r="Y2487" s="28">
        <v>45473</v>
      </c>
    </row>
    <row r="2488" s="9" customFormat="1" customHeight="1" spans="1:25">
      <c r="A2488" s="96" t="s">
        <v>401</v>
      </c>
      <c r="B2488" s="96" t="s">
        <v>2950</v>
      </c>
      <c r="C2488" s="96" t="s">
        <v>2998</v>
      </c>
      <c r="D2488" s="265" t="s">
        <v>2951</v>
      </c>
      <c r="E2488" s="105" t="s">
        <v>3328</v>
      </c>
      <c r="F2488" s="96" t="s">
        <v>3342</v>
      </c>
      <c r="G2488" s="96" t="s">
        <v>88</v>
      </c>
      <c r="H2488" s="19" t="s">
        <v>3365</v>
      </c>
      <c r="I2488" s="23" t="e">
        <f>VLOOKUP(H2488,'合同综合查询数据（3月返）'!$A:$A,1,FALSE)</f>
        <v>#N/A</v>
      </c>
      <c r="J2488" s="24" t="s">
        <v>90</v>
      </c>
      <c r="K2488" s="96" t="s">
        <v>3305</v>
      </c>
      <c r="L2488" s="114"/>
      <c r="M2488" s="26" t="s">
        <v>3340</v>
      </c>
      <c r="N2488" s="28">
        <v>43322</v>
      </c>
      <c r="O2488" s="28" t="s">
        <v>457</v>
      </c>
      <c r="P2488" s="268">
        <v>5980</v>
      </c>
      <c r="Q2488" s="273">
        <v>1</v>
      </c>
      <c r="R2488" s="268">
        <f t="shared" si="63"/>
        <v>5980</v>
      </c>
      <c r="S2488" s="24">
        <v>202303</v>
      </c>
      <c r="T2488" s="127" t="s">
        <v>3366</v>
      </c>
      <c r="U2488" s="40"/>
      <c r="V2488" s="40"/>
      <c r="W2488" s="40"/>
      <c r="X2488" s="106">
        <v>43466</v>
      </c>
      <c r="Y2488" s="28">
        <v>45473</v>
      </c>
    </row>
    <row r="2489" s="9" customFormat="1" customHeight="1" spans="1:25">
      <c r="A2489" s="96" t="s">
        <v>401</v>
      </c>
      <c r="B2489" s="96" t="s">
        <v>2950</v>
      </c>
      <c r="C2489" s="96" t="s">
        <v>2998</v>
      </c>
      <c r="D2489" s="265" t="s">
        <v>2951</v>
      </c>
      <c r="E2489" s="105" t="s">
        <v>3328</v>
      </c>
      <c r="F2489" s="96" t="s">
        <v>3342</v>
      </c>
      <c r="G2489" s="96" t="s">
        <v>88</v>
      </c>
      <c r="H2489" s="19" t="s">
        <v>3365</v>
      </c>
      <c r="I2489" s="23" t="e">
        <f>VLOOKUP(H2489,'合同综合查询数据（3月返）'!$A:$A,1,FALSE)</f>
        <v>#N/A</v>
      </c>
      <c r="J2489" s="24" t="s">
        <v>90</v>
      </c>
      <c r="K2489" s="96" t="s">
        <v>3305</v>
      </c>
      <c r="L2489" s="114"/>
      <c r="M2489" s="26" t="s">
        <v>3340</v>
      </c>
      <c r="N2489" s="28">
        <v>43326</v>
      </c>
      <c r="O2489" s="28" t="s">
        <v>457</v>
      </c>
      <c r="P2489" s="268">
        <v>5980</v>
      </c>
      <c r="Q2489" s="273">
        <v>7</v>
      </c>
      <c r="R2489" s="268">
        <f t="shared" si="63"/>
        <v>41860</v>
      </c>
      <c r="S2489" s="24">
        <v>202303</v>
      </c>
      <c r="T2489" s="127" t="s">
        <v>3366</v>
      </c>
      <c r="U2489" s="40"/>
      <c r="V2489" s="40"/>
      <c r="W2489" s="40"/>
      <c r="X2489" s="106">
        <v>43466</v>
      </c>
      <c r="Y2489" s="28">
        <v>45473</v>
      </c>
    </row>
    <row r="2490" s="9" customFormat="1" customHeight="1" spans="1:25">
      <c r="A2490" s="96" t="s">
        <v>401</v>
      </c>
      <c r="B2490" s="96" t="s">
        <v>2950</v>
      </c>
      <c r="C2490" s="96" t="s">
        <v>2998</v>
      </c>
      <c r="D2490" s="265" t="s">
        <v>2951</v>
      </c>
      <c r="E2490" s="105" t="s">
        <v>3328</v>
      </c>
      <c r="F2490" s="96" t="s">
        <v>3342</v>
      </c>
      <c r="G2490" s="96" t="s">
        <v>88</v>
      </c>
      <c r="H2490" s="19" t="s">
        <v>3365</v>
      </c>
      <c r="I2490" s="23" t="e">
        <f>VLOOKUP(H2490,'合同综合查询数据（3月返）'!$A:$A,1,FALSE)</f>
        <v>#N/A</v>
      </c>
      <c r="J2490" s="24" t="s">
        <v>90</v>
      </c>
      <c r="K2490" s="96" t="s">
        <v>3305</v>
      </c>
      <c r="L2490" s="114"/>
      <c r="M2490" s="26" t="s">
        <v>3340</v>
      </c>
      <c r="N2490" s="28">
        <v>43326</v>
      </c>
      <c r="O2490" s="28" t="s">
        <v>457</v>
      </c>
      <c r="P2490" s="268">
        <v>5980</v>
      </c>
      <c r="Q2490" s="273">
        <v>1</v>
      </c>
      <c r="R2490" s="268">
        <f t="shared" ref="R2490:R2553" si="64">ROUND(P2490*Q2490,2)</f>
        <v>5980</v>
      </c>
      <c r="S2490" s="24">
        <v>202303</v>
      </c>
      <c r="T2490" s="127" t="s">
        <v>3366</v>
      </c>
      <c r="U2490" s="40"/>
      <c r="V2490" s="40"/>
      <c r="W2490" s="40"/>
      <c r="X2490" s="106">
        <v>43466</v>
      </c>
      <c r="Y2490" s="28">
        <v>45473</v>
      </c>
    </row>
    <row r="2491" s="9" customFormat="1" customHeight="1" spans="1:25">
      <c r="A2491" s="96" t="s">
        <v>401</v>
      </c>
      <c r="B2491" s="96" t="s">
        <v>2950</v>
      </c>
      <c r="C2491" s="96" t="s">
        <v>2998</v>
      </c>
      <c r="D2491" s="265" t="s">
        <v>2951</v>
      </c>
      <c r="E2491" s="105" t="s">
        <v>3328</v>
      </c>
      <c r="F2491" s="96" t="s">
        <v>3342</v>
      </c>
      <c r="G2491" s="96" t="s">
        <v>88</v>
      </c>
      <c r="H2491" s="19" t="s">
        <v>3365</v>
      </c>
      <c r="I2491" s="23" t="e">
        <f>VLOOKUP(H2491,'合同综合查询数据（3月返）'!$A:$A,1,FALSE)</f>
        <v>#N/A</v>
      </c>
      <c r="J2491" s="24" t="s">
        <v>90</v>
      </c>
      <c r="K2491" s="96" t="s">
        <v>3305</v>
      </c>
      <c r="L2491" s="114"/>
      <c r="M2491" s="26" t="s">
        <v>3340</v>
      </c>
      <c r="N2491" s="28">
        <v>43334</v>
      </c>
      <c r="O2491" s="28" t="s">
        <v>1459</v>
      </c>
      <c r="P2491" s="268">
        <v>9568</v>
      </c>
      <c r="Q2491" s="273">
        <v>4</v>
      </c>
      <c r="R2491" s="268">
        <f t="shared" si="64"/>
        <v>38272</v>
      </c>
      <c r="S2491" s="24">
        <v>202303</v>
      </c>
      <c r="T2491" s="127" t="s">
        <v>3369</v>
      </c>
      <c r="U2491" s="40"/>
      <c r="V2491" s="40"/>
      <c r="W2491" s="40"/>
      <c r="X2491" s="106">
        <v>43466</v>
      </c>
      <c r="Y2491" s="28">
        <v>45473</v>
      </c>
    </row>
    <row r="2492" s="9" customFormat="1" customHeight="1" spans="1:25">
      <c r="A2492" s="96" t="s">
        <v>401</v>
      </c>
      <c r="B2492" s="96" t="s">
        <v>2950</v>
      </c>
      <c r="C2492" s="96" t="s">
        <v>2998</v>
      </c>
      <c r="D2492" s="265" t="s">
        <v>2951</v>
      </c>
      <c r="E2492" s="105" t="s">
        <v>3328</v>
      </c>
      <c r="F2492" s="96" t="s">
        <v>3342</v>
      </c>
      <c r="G2492" s="96" t="s">
        <v>88</v>
      </c>
      <c r="H2492" s="19" t="s">
        <v>3365</v>
      </c>
      <c r="I2492" s="23" t="e">
        <f>VLOOKUP(H2492,'合同综合查询数据（3月返）'!$A:$A,1,FALSE)</f>
        <v>#N/A</v>
      </c>
      <c r="J2492" s="24" t="s">
        <v>90</v>
      </c>
      <c r="K2492" s="96" t="s">
        <v>3305</v>
      </c>
      <c r="L2492" s="114"/>
      <c r="M2492" s="26" t="s">
        <v>3340</v>
      </c>
      <c r="N2492" s="28">
        <v>43351</v>
      </c>
      <c r="O2492" s="28" t="s">
        <v>457</v>
      </c>
      <c r="P2492" s="268">
        <v>5980</v>
      </c>
      <c r="Q2492" s="273">
        <v>8</v>
      </c>
      <c r="R2492" s="268">
        <f t="shared" si="64"/>
        <v>47840</v>
      </c>
      <c r="S2492" s="24">
        <v>202303</v>
      </c>
      <c r="T2492" s="127" t="s">
        <v>3366</v>
      </c>
      <c r="U2492" s="40"/>
      <c r="V2492" s="40"/>
      <c r="W2492" s="40"/>
      <c r="X2492" s="106">
        <v>43466</v>
      </c>
      <c r="Y2492" s="28">
        <v>45473</v>
      </c>
    </row>
    <row r="2493" s="9" customFormat="1" customHeight="1" spans="1:25">
      <c r="A2493" s="96" t="s">
        <v>401</v>
      </c>
      <c r="B2493" s="96" t="s">
        <v>2950</v>
      </c>
      <c r="C2493" s="96" t="s">
        <v>2998</v>
      </c>
      <c r="D2493" s="265" t="s">
        <v>2951</v>
      </c>
      <c r="E2493" s="105" t="s">
        <v>3328</v>
      </c>
      <c r="F2493" s="96" t="s">
        <v>3342</v>
      </c>
      <c r="G2493" s="96" t="s">
        <v>88</v>
      </c>
      <c r="H2493" s="19" t="s">
        <v>3365</v>
      </c>
      <c r="I2493" s="23" t="e">
        <f>VLOOKUP(H2493,'合同综合查询数据（3月返）'!$A:$A,1,FALSE)</f>
        <v>#N/A</v>
      </c>
      <c r="J2493" s="24" t="s">
        <v>90</v>
      </c>
      <c r="K2493" s="96" t="s">
        <v>3305</v>
      </c>
      <c r="L2493" s="114"/>
      <c r="M2493" s="26" t="s">
        <v>3340</v>
      </c>
      <c r="N2493" s="28">
        <v>43351</v>
      </c>
      <c r="O2493" s="28" t="s">
        <v>1459</v>
      </c>
      <c r="P2493" s="268">
        <v>9568</v>
      </c>
      <c r="Q2493" s="273">
        <v>1</v>
      </c>
      <c r="R2493" s="268">
        <f t="shared" si="64"/>
        <v>9568</v>
      </c>
      <c r="S2493" s="24">
        <v>202303</v>
      </c>
      <c r="T2493" s="127" t="s">
        <v>3369</v>
      </c>
      <c r="U2493" s="40"/>
      <c r="V2493" s="40"/>
      <c r="W2493" s="40"/>
      <c r="X2493" s="106">
        <v>43466</v>
      </c>
      <c r="Y2493" s="28">
        <v>45473</v>
      </c>
    </row>
    <row r="2494" s="9" customFormat="1" customHeight="1" spans="1:25">
      <c r="A2494" s="96" t="s">
        <v>401</v>
      </c>
      <c r="B2494" s="96" t="s">
        <v>2950</v>
      </c>
      <c r="C2494" s="96" t="s">
        <v>2998</v>
      </c>
      <c r="D2494" s="265" t="s">
        <v>2951</v>
      </c>
      <c r="E2494" s="105" t="s">
        <v>3328</v>
      </c>
      <c r="F2494" s="96" t="s">
        <v>3342</v>
      </c>
      <c r="G2494" s="96" t="s">
        <v>88</v>
      </c>
      <c r="H2494" s="19" t="s">
        <v>3365</v>
      </c>
      <c r="I2494" s="23" t="e">
        <f>VLOOKUP(H2494,'合同综合查询数据（3月返）'!$A:$A,1,FALSE)</f>
        <v>#N/A</v>
      </c>
      <c r="J2494" s="24" t="s">
        <v>90</v>
      </c>
      <c r="K2494" s="96" t="s">
        <v>3305</v>
      </c>
      <c r="L2494" s="114"/>
      <c r="M2494" s="26" t="s">
        <v>3340</v>
      </c>
      <c r="N2494" s="28">
        <v>43355</v>
      </c>
      <c r="O2494" s="28" t="s">
        <v>457</v>
      </c>
      <c r="P2494" s="268">
        <v>5980</v>
      </c>
      <c r="Q2494" s="273">
        <v>5</v>
      </c>
      <c r="R2494" s="268">
        <f t="shared" si="64"/>
        <v>29900</v>
      </c>
      <c r="S2494" s="24">
        <v>202303</v>
      </c>
      <c r="T2494" s="127" t="s">
        <v>3366</v>
      </c>
      <c r="U2494" s="40"/>
      <c r="V2494" s="40"/>
      <c r="W2494" s="40"/>
      <c r="X2494" s="106">
        <v>43466</v>
      </c>
      <c r="Y2494" s="28">
        <v>45473</v>
      </c>
    </row>
    <row r="2495" s="9" customFormat="1" customHeight="1" spans="1:25">
      <c r="A2495" s="96" t="s">
        <v>401</v>
      </c>
      <c r="B2495" s="96" t="s">
        <v>2950</v>
      </c>
      <c r="C2495" s="96" t="s">
        <v>2998</v>
      </c>
      <c r="D2495" s="265" t="s">
        <v>2951</v>
      </c>
      <c r="E2495" s="105" t="s">
        <v>3328</v>
      </c>
      <c r="F2495" s="96" t="s">
        <v>3342</v>
      </c>
      <c r="G2495" s="96" t="s">
        <v>88</v>
      </c>
      <c r="H2495" s="19" t="s">
        <v>3365</v>
      </c>
      <c r="I2495" s="23" t="e">
        <f>VLOOKUP(H2495,'合同综合查询数据（3月返）'!$A:$A,1,FALSE)</f>
        <v>#N/A</v>
      </c>
      <c r="J2495" s="24" t="s">
        <v>90</v>
      </c>
      <c r="K2495" s="96" t="s">
        <v>3305</v>
      </c>
      <c r="L2495" s="114"/>
      <c r="M2495" s="26" t="s">
        <v>3340</v>
      </c>
      <c r="N2495" s="28">
        <v>43364</v>
      </c>
      <c r="O2495" s="28" t="s">
        <v>457</v>
      </c>
      <c r="P2495" s="268">
        <v>5980</v>
      </c>
      <c r="Q2495" s="273">
        <v>1</v>
      </c>
      <c r="R2495" s="268">
        <f t="shared" si="64"/>
        <v>5980</v>
      </c>
      <c r="S2495" s="24">
        <v>202303</v>
      </c>
      <c r="T2495" s="127" t="s">
        <v>3366</v>
      </c>
      <c r="U2495" s="40"/>
      <c r="V2495" s="40"/>
      <c r="W2495" s="40"/>
      <c r="X2495" s="106">
        <v>43466</v>
      </c>
      <c r="Y2495" s="28">
        <v>45473</v>
      </c>
    </row>
    <row r="2496" s="9" customFormat="1" customHeight="1" spans="1:25">
      <c r="A2496" s="96" t="s">
        <v>401</v>
      </c>
      <c r="B2496" s="96" t="s">
        <v>2950</v>
      </c>
      <c r="C2496" s="96" t="s">
        <v>2998</v>
      </c>
      <c r="D2496" s="265" t="s">
        <v>2951</v>
      </c>
      <c r="E2496" s="105" t="s">
        <v>3328</v>
      </c>
      <c r="F2496" s="96" t="s">
        <v>3342</v>
      </c>
      <c r="G2496" s="96" t="s">
        <v>88</v>
      </c>
      <c r="H2496" s="19" t="s">
        <v>3365</v>
      </c>
      <c r="I2496" s="23" t="e">
        <f>VLOOKUP(H2496,'合同综合查询数据（3月返）'!$A:$A,1,FALSE)</f>
        <v>#N/A</v>
      </c>
      <c r="J2496" s="24" t="s">
        <v>90</v>
      </c>
      <c r="K2496" s="96" t="s">
        <v>3305</v>
      </c>
      <c r="L2496" s="114"/>
      <c r="M2496" s="26" t="s">
        <v>3340</v>
      </c>
      <c r="N2496" s="28">
        <v>43369</v>
      </c>
      <c r="O2496" s="28" t="s">
        <v>457</v>
      </c>
      <c r="P2496" s="268">
        <v>5980</v>
      </c>
      <c r="Q2496" s="273">
        <v>4</v>
      </c>
      <c r="R2496" s="268">
        <f t="shared" si="64"/>
        <v>23920</v>
      </c>
      <c r="S2496" s="24">
        <v>202303</v>
      </c>
      <c r="T2496" s="127" t="s">
        <v>3374</v>
      </c>
      <c r="U2496" s="40"/>
      <c r="V2496" s="40"/>
      <c r="W2496" s="40"/>
      <c r="X2496" s="106">
        <v>43466</v>
      </c>
      <c r="Y2496" s="28">
        <v>45473</v>
      </c>
    </row>
    <row r="2497" s="9" customFormat="1" customHeight="1" spans="1:25">
      <c r="A2497" s="96" t="s">
        <v>401</v>
      </c>
      <c r="B2497" s="96" t="s">
        <v>2950</v>
      </c>
      <c r="C2497" s="96" t="s">
        <v>2998</v>
      </c>
      <c r="D2497" s="265" t="s">
        <v>2951</v>
      </c>
      <c r="E2497" s="105" t="s">
        <v>3328</v>
      </c>
      <c r="F2497" s="96" t="s">
        <v>3342</v>
      </c>
      <c r="G2497" s="96" t="s">
        <v>88</v>
      </c>
      <c r="H2497" s="19" t="s">
        <v>3365</v>
      </c>
      <c r="I2497" s="23" t="e">
        <f>VLOOKUP(H2497,'合同综合查询数据（3月返）'!$A:$A,1,FALSE)</f>
        <v>#N/A</v>
      </c>
      <c r="J2497" s="24" t="s">
        <v>90</v>
      </c>
      <c r="K2497" s="96" t="s">
        <v>3305</v>
      </c>
      <c r="L2497" s="114"/>
      <c r="M2497" s="26" t="s">
        <v>3340</v>
      </c>
      <c r="N2497" s="28">
        <v>43371</v>
      </c>
      <c r="O2497" s="28" t="s">
        <v>457</v>
      </c>
      <c r="P2497" s="268">
        <v>5980</v>
      </c>
      <c r="Q2497" s="273">
        <v>1</v>
      </c>
      <c r="R2497" s="268">
        <f t="shared" si="64"/>
        <v>5980</v>
      </c>
      <c r="S2497" s="24">
        <v>202303</v>
      </c>
      <c r="T2497" s="127" t="s">
        <v>3375</v>
      </c>
      <c r="U2497" s="40"/>
      <c r="V2497" s="40"/>
      <c r="W2497" s="40"/>
      <c r="X2497" s="106">
        <v>43466</v>
      </c>
      <c r="Y2497" s="28">
        <v>45473</v>
      </c>
    </row>
    <row r="2498" s="9" customFormat="1" customHeight="1" spans="1:25">
      <c r="A2498" s="96" t="s">
        <v>401</v>
      </c>
      <c r="B2498" s="96" t="s">
        <v>2950</v>
      </c>
      <c r="C2498" s="96" t="s">
        <v>2998</v>
      </c>
      <c r="D2498" s="265" t="s">
        <v>2951</v>
      </c>
      <c r="E2498" s="105" t="s">
        <v>3328</v>
      </c>
      <c r="F2498" s="96" t="s">
        <v>3342</v>
      </c>
      <c r="G2498" s="96" t="s">
        <v>88</v>
      </c>
      <c r="H2498" s="19" t="s">
        <v>3365</v>
      </c>
      <c r="I2498" s="23" t="e">
        <f>VLOOKUP(H2498,'合同综合查询数据（3月返）'!$A:$A,1,FALSE)</f>
        <v>#N/A</v>
      </c>
      <c r="J2498" s="24" t="s">
        <v>90</v>
      </c>
      <c r="K2498" s="96" t="s">
        <v>3305</v>
      </c>
      <c r="L2498" s="114"/>
      <c r="M2498" s="26" t="s">
        <v>3340</v>
      </c>
      <c r="N2498" s="28">
        <v>43426</v>
      </c>
      <c r="O2498" s="28" t="s">
        <v>1459</v>
      </c>
      <c r="P2498" s="268">
        <v>9568</v>
      </c>
      <c r="Q2498" s="273">
        <v>1</v>
      </c>
      <c r="R2498" s="268">
        <f t="shared" si="64"/>
        <v>9568</v>
      </c>
      <c r="S2498" s="24">
        <v>202303</v>
      </c>
      <c r="T2498" s="127" t="s">
        <v>3376</v>
      </c>
      <c r="U2498" s="40"/>
      <c r="V2498" s="40"/>
      <c r="W2498" s="40"/>
      <c r="X2498" s="106">
        <v>43466</v>
      </c>
      <c r="Y2498" s="28">
        <v>45473</v>
      </c>
    </row>
    <row r="2499" s="9" customFormat="1" customHeight="1" spans="1:25">
      <c r="A2499" s="96" t="s">
        <v>401</v>
      </c>
      <c r="B2499" s="96" t="s">
        <v>2950</v>
      </c>
      <c r="C2499" s="96" t="s">
        <v>2998</v>
      </c>
      <c r="D2499" s="265" t="s">
        <v>2951</v>
      </c>
      <c r="E2499" s="105" t="s">
        <v>3328</v>
      </c>
      <c r="F2499" s="96" t="s">
        <v>3342</v>
      </c>
      <c r="G2499" s="96" t="s">
        <v>88</v>
      </c>
      <c r="H2499" s="19" t="s">
        <v>3365</v>
      </c>
      <c r="I2499" s="23" t="e">
        <f>VLOOKUP(H2499,'合同综合查询数据（3月返）'!$A:$A,1,FALSE)</f>
        <v>#N/A</v>
      </c>
      <c r="J2499" s="24" t="s">
        <v>90</v>
      </c>
      <c r="K2499" s="96" t="s">
        <v>3305</v>
      </c>
      <c r="L2499" s="114"/>
      <c r="M2499" s="26" t="s">
        <v>3340</v>
      </c>
      <c r="N2499" s="28">
        <v>43411</v>
      </c>
      <c r="O2499" s="28" t="s">
        <v>457</v>
      </c>
      <c r="P2499" s="268">
        <v>5980</v>
      </c>
      <c r="Q2499" s="273">
        <v>1</v>
      </c>
      <c r="R2499" s="268">
        <f t="shared" si="64"/>
        <v>5980</v>
      </c>
      <c r="S2499" s="24">
        <v>202303</v>
      </c>
      <c r="T2499" s="127" t="s">
        <v>3377</v>
      </c>
      <c r="U2499" s="40"/>
      <c r="V2499" s="40"/>
      <c r="W2499" s="40"/>
      <c r="X2499" s="106">
        <v>43466</v>
      </c>
      <c r="Y2499" s="28">
        <v>45473</v>
      </c>
    </row>
    <row r="2500" s="9" customFormat="1" customHeight="1" spans="1:25">
      <c r="A2500" s="96" t="s">
        <v>401</v>
      </c>
      <c r="B2500" s="96" t="s">
        <v>2950</v>
      </c>
      <c r="C2500" s="96" t="s">
        <v>2998</v>
      </c>
      <c r="D2500" s="265" t="s">
        <v>2951</v>
      </c>
      <c r="E2500" s="105" t="s">
        <v>3328</v>
      </c>
      <c r="F2500" s="96" t="s">
        <v>3342</v>
      </c>
      <c r="G2500" s="96" t="s">
        <v>88</v>
      </c>
      <c r="H2500" s="19" t="s">
        <v>3365</v>
      </c>
      <c r="I2500" s="23" t="e">
        <f>VLOOKUP(H2500,'合同综合查询数据（3月返）'!$A:$A,1,FALSE)</f>
        <v>#N/A</v>
      </c>
      <c r="J2500" s="24" t="s">
        <v>90</v>
      </c>
      <c r="K2500" s="96" t="s">
        <v>3305</v>
      </c>
      <c r="L2500" s="114"/>
      <c r="M2500" s="26" t="s">
        <v>3340</v>
      </c>
      <c r="N2500" s="28">
        <v>43423</v>
      </c>
      <c r="O2500" s="28" t="s">
        <v>457</v>
      </c>
      <c r="P2500" s="268">
        <v>5980</v>
      </c>
      <c r="Q2500" s="273">
        <v>1</v>
      </c>
      <c r="R2500" s="268">
        <f t="shared" si="64"/>
        <v>5980</v>
      </c>
      <c r="S2500" s="24">
        <v>202303</v>
      </c>
      <c r="T2500" s="127" t="s">
        <v>3378</v>
      </c>
      <c r="U2500" s="40"/>
      <c r="V2500" s="40"/>
      <c r="W2500" s="40"/>
      <c r="X2500" s="106">
        <v>43466</v>
      </c>
      <c r="Y2500" s="28">
        <v>45473</v>
      </c>
    </row>
    <row r="2501" s="9" customFormat="1" customHeight="1" spans="1:25">
      <c r="A2501" s="96" t="s">
        <v>401</v>
      </c>
      <c r="B2501" s="96" t="s">
        <v>2950</v>
      </c>
      <c r="C2501" s="96" t="s">
        <v>2998</v>
      </c>
      <c r="D2501" s="265" t="s">
        <v>2951</v>
      </c>
      <c r="E2501" s="105" t="s">
        <v>3328</v>
      </c>
      <c r="F2501" s="96" t="s">
        <v>3342</v>
      </c>
      <c r="G2501" s="96" t="s">
        <v>88</v>
      </c>
      <c r="H2501" s="19" t="s">
        <v>3365</v>
      </c>
      <c r="I2501" s="23" t="e">
        <f>VLOOKUP(H2501,'合同综合查询数据（3月返）'!$A:$A,1,FALSE)</f>
        <v>#N/A</v>
      </c>
      <c r="J2501" s="24" t="s">
        <v>90</v>
      </c>
      <c r="K2501" s="96" t="s">
        <v>3305</v>
      </c>
      <c r="L2501" s="114"/>
      <c r="M2501" s="26" t="s">
        <v>3340</v>
      </c>
      <c r="N2501" s="28">
        <v>43649</v>
      </c>
      <c r="O2501" s="28" t="s">
        <v>457</v>
      </c>
      <c r="P2501" s="268">
        <v>5980</v>
      </c>
      <c r="Q2501" s="273">
        <v>5</v>
      </c>
      <c r="R2501" s="268">
        <f t="shared" si="64"/>
        <v>29900</v>
      </c>
      <c r="S2501" s="24">
        <v>202303</v>
      </c>
      <c r="T2501" s="127" t="s">
        <v>3379</v>
      </c>
      <c r="U2501" s="40"/>
      <c r="V2501" s="40"/>
      <c r="W2501" s="40"/>
      <c r="X2501" s="106">
        <v>43466</v>
      </c>
      <c r="Y2501" s="28">
        <v>45473</v>
      </c>
    </row>
    <row r="2502" s="9" customFormat="1" customHeight="1" spans="1:25">
      <c r="A2502" s="96" t="s">
        <v>401</v>
      </c>
      <c r="B2502" s="96" t="s">
        <v>2950</v>
      </c>
      <c r="C2502" s="96" t="s">
        <v>2998</v>
      </c>
      <c r="D2502" s="265" t="s">
        <v>2951</v>
      </c>
      <c r="E2502" s="105" t="s">
        <v>3328</v>
      </c>
      <c r="F2502" s="96" t="s">
        <v>3342</v>
      </c>
      <c r="G2502" s="96" t="s">
        <v>88</v>
      </c>
      <c r="H2502" s="19" t="s">
        <v>3365</v>
      </c>
      <c r="I2502" s="23" t="e">
        <f>VLOOKUP(H2502,'合同综合查询数据（3月返）'!$A:$A,1,FALSE)</f>
        <v>#N/A</v>
      </c>
      <c r="J2502" s="24" t="s">
        <v>90</v>
      </c>
      <c r="K2502" s="96" t="s">
        <v>3305</v>
      </c>
      <c r="L2502" s="114"/>
      <c r="M2502" s="26" t="s">
        <v>3340</v>
      </c>
      <c r="N2502" s="28">
        <v>44042</v>
      </c>
      <c r="O2502" s="301" t="s">
        <v>3367</v>
      </c>
      <c r="P2502" s="268">
        <v>8162.7</v>
      </c>
      <c r="Q2502" s="273">
        <v>2</v>
      </c>
      <c r="R2502" s="268">
        <f t="shared" si="64"/>
        <v>16325.4</v>
      </c>
      <c r="S2502" s="24">
        <v>202303</v>
      </c>
      <c r="T2502" s="127" t="s">
        <v>3380</v>
      </c>
      <c r="U2502" s="40"/>
      <c r="V2502" s="40"/>
      <c r="W2502" s="40"/>
      <c r="X2502" s="106">
        <v>43466</v>
      </c>
      <c r="Y2502" s="28">
        <v>45473</v>
      </c>
    </row>
    <row r="2503" s="9" customFormat="1" customHeight="1" spans="1:25">
      <c r="A2503" s="96" t="s">
        <v>401</v>
      </c>
      <c r="B2503" s="96" t="s">
        <v>2950</v>
      </c>
      <c r="C2503" s="96" t="s">
        <v>2998</v>
      </c>
      <c r="D2503" s="265" t="s">
        <v>2951</v>
      </c>
      <c r="E2503" s="105" t="s">
        <v>3328</v>
      </c>
      <c r="F2503" s="96" t="s">
        <v>3342</v>
      </c>
      <c r="G2503" s="96" t="s">
        <v>88</v>
      </c>
      <c r="H2503" s="19" t="s">
        <v>3365</v>
      </c>
      <c r="I2503" s="23" t="e">
        <f>VLOOKUP(H2503,'合同综合查询数据（3月返）'!$A:$A,1,FALSE)</f>
        <v>#N/A</v>
      </c>
      <c r="J2503" s="24" t="s">
        <v>90</v>
      </c>
      <c r="K2503" s="96" t="s">
        <v>3305</v>
      </c>
      <c r="L2503" s="114"/>
      <c r="M2503" s="26" t="s">
        <v>3340</v>
      </c>
      <c r="N2503" s="28">
        <v>44217</v>
      </c>
      <c r="O2503" s="301" t="s">
        <v>506</v>
      </c>
      <c r="P2503" s="268">
        <v>8162.7</v>
      </c>
      <c r="Q2503" s="273">
        <v>-2</v>
      </c>
      <c r="R2503" s="268">
        <f t="shared" si="64"/>
        <v>-16325.4</v>
      </c>
      <c r="S2503" s="24">
        <v>202303</v>
      </c>
      <c r="T2503" s="127" t="s">
        <v>3381</v>
      </c>
      <c r="U2503" s="40"/>
      <c r="V2503" s="40"/>
      <c r="W2503" s="40"/>
      <c r="X2503" s="106">
        <v>43466</v>
      </c>
      <c r="Y2503" s="28">
        <v>45473</v>
      </c>
    </row>
    <row r="2504" s="9" customFormat="1" customHeight="1" spans="1:25">
      <c r="A2504" s="96" t="s">
        <v>401</v>
      </c>
      <c r="B2504" s="96" t="s">
        <v>2950</v>
      </c>
      <c r="C2504" s="96" t="s">
        <v>2998</v>
      </c>
      <c r="D2504" s="265" t="s">
        <v>2951</v>
      </c>
      <c r="E2504" s="105" t="s">
        <v>3328</v>
      </c>
      <c r="F2504" s="96" t="s">
        <v>3342</v>
      </c>
      <c r="G2504" s="96" t="s">
        <v>88</v>
      </c>
      <c r="H2504" s="19" t="s">
        <v>3365</v>
      </c>
      <c r="I2504" s="23" t="e">
        <f>VLOOKUP(H2504,'合同综合查询数据（3月返）'!$A:$A,1,FALSE)</f>
        <v>#N/A</v>
      </c>
      <c r="J2504" s="24" t="s">
        <v>90</v>
      </c>
      <c r="K2504" s="96" t="s">
        <v>3305</v>
      </c>
      <c r="L2504" s="114"/>
      <c r="M2504" s="26" t="s">
        <v>3340</v>
      </c>
      <c r="N2504" s="28">
        <v>44271</v>
      </c>
      <c r="O2504" s="301" t="s">
        <v>457</v>
      </c>
      <c r="P2504" s="268">
        <v>5980</v>
      </c>
      <c r="Q2504" s="273">
        <v>6</v>
      </c>
      <c r="R2504" s="268">
        <f t="shared" si="64"/>
        <v>35880</v>
      </c>
      <c r="S2504" s="24">
        <v>202303</v>
      </c>
      <c r="T2504" s="127" t="s">
        <v>3382</v>
      </c>
      <c r="U2504" s="40"/>
      <c r="V2504" s="40"/>
      <c r="W2504" s="40"/>
      <c r="X2504" s="106">
        <v>43466</v>
      </c>
      <c r="Y2504" s="28">
        <v>45473</v>
      </c>
    </row>
    <row r="2505" s="9" customFormat="1" customHeight="1" spans="1:25">
      <c r="A2505" s="96" t="s">
        <v>401</v>
      </c>
      <c r="B2505" s="96" t="s">
        <v>2950</v>
      </c>
      <c r="C2505" s="96" t="s">
        <v>2998</v>
      </c>
      <c r="D2505" s="265" t="s">
        <v>2951</v>
      </c>
      <c r="E2505" s="105" t="s">
        <v>3328</v>
      </c>
      <c r="F2505" s="96" t="s">
        <v>3342</v>
      </c>
      <c r="G2505" s="96" t="s">
        <v>88</v>
      </c>
      <c r="H2505" s="19" t="s">
        <v>3365</v>
      </c>
      <c r="I2505" s="23" t="e">
        <f>VLOOKUP(H2505,'合同综合查询数据（3月返）'!$A:$A,1,FALSE)</f>
        <v>#N/A</v>
      </c>
      <c r="J2505" s="24" t="s">
        <v>90</v>
      </c>
      <c r="K2505" s="96" t="s">
        <v>3305</v>
      </c>
      <c r="L2505" s="114"/>
      <c r="M2505" s="26" t="s">
        <v>3340</v>
      </c>
      <c r="N2505" s="28">
        <v>44687</v>
      </c>
      <c r="O2505" s="301" t="s">
        <v>1459</v>
      </c>
      <c r="P2505" s="268">
        <v>9568</v>
      </c>
      <c r="Q2505" s="273">
        <v>1</v>
      </c>
      <c r="R2505" s="268">
        <f t="shared" si="64"/>
        <v>9568</v>
      </c>
      <c r="S2505" s="24">
        <v>202303</v>
      </c>
      <c r="T2505" s="127" t="s">
        <v>3383</v>
      </c>
      <c r="U2505" s="40"/>
      <c r="V2505" s="40"/>
      <c r="W2505" s="40"/>
      <c r="X2505" s="106">
        <v>43466</v>
      </c>
      <c r="Y2505" s="28">
        <v>45473</v>
      </c>
    </row>
    <row r="2506" s="9" customFormat="1" customHeight="1" spans="1:25">
      <c r="A2506" s="96" t="s">
        <v>401</v>
      </c>
      <c r="B2506" s="96" t="s">
        <v>2950</v>
      </c>
      <c r="C2506" s="96" t="s">
        <v>2998</v>
      </c>
      <c r="D2506" s="265" t="s">
        <v>2951</v>
      </c>
      <c r="E2506" s="105" t="s">
        <v>3328</v>
      </c>
      <c r="F2506" s="96" t="s">
        <v>3342</v>
      </c>
      <c r="G2506" s="96" t="s">
        <v>88</v>
      </c>
      <c r="H2506" s="19" t="s">
        <v>3365</v>
      </c>
      <c r="I2506" s="23" t="e">
        <f>VLOOKUP(H2506,'合同综合查询数据（3月返）'!$A:$A,1,FALSE)</f>
        <v>#N/A</v>
      </c>
      <c r="J2506" s="24" t="s">
        <v>90</v>
      </c>
      <c r="K2506" s="96" t="s">
        <v>3305</v>
      </c>
      <c r="L2506" s="114"/>
      <c r="M2506" s="26" t="s">
        <v>3340</v>
      </c>
      <c r="N2506" s="28">
        <v>44704</v>
      </c>
      <c r="O2506" s="301" t="s">
        <v>457</v>
      </c>
      <c r="P2506" s="268">
        <v>5980</v>
      </c>
      <c r="Q2506" s="273">
        <v>1</v>
      </c>
      <c r="R2506" s="268">
        <f t="shared" si="64"/>
        <v>5980</v>
      </c>
      <c r="S2506" s="24">
        <v>202303</v>
      </c>
      <c r="T2506" s="127" t="s">
        <v>3384</v>
      </c>
      <c r="U2506" s="40"/>
      <c r="V2506" s="40"/>
      <c r="W2506" s="40"/>
      <c r="X2506" s="106">
        <v>43466</v>
      </c>
      <c r="Y2506" s="28">
        <v>45473</v>
      </c>
    </row>
    <row r="2507" s="9" customFormat="1" customHeight="1" spans="1:25">
      <c r="A2507" s="96" t="s">
        <v>401</v>
      </c>
      <c r="B2507" s="96" t="s">
        <v>2950</v>
      </c>
      <c r="C2507" s="96" t="s">
        <v>2998</v>
      </c>
      <c r="D2507" s="265" t="s">
        <v>2951</v>
      </c>
      <c r="E2507" s="105" t="s">
        <v>3328</v>
      </c>
      <c r="F2507" s="96" t="s">
        <v>3342</v>
      </c>
      <c r="G2507" s="96" t="s">
        <v>88</v>
      </c>
      <c r="H2507" s="19" t="s">
        <v>3365</v>
      </c>
      <c r="I2507" s="23" t="e">
        <f>VLOOKUP(H2507,'合同综合查询数据（3月返）'!$A:$A,1,FALSE)</f>
        <v>#N/A</v>
      </c>
      <c r="J2507" s="24" t="s">
        <v>90</v>
      </c>
      <c r="K2507" s="96" t="s">
        <v>3305</v>
      </c>
      <c r="L2507" s="114"/>
      <c r="M2507" s="26" t="s">
        <v>3340</v>
      </c>
      <c r="N2507" s="28">
        <v>44764</v>
      </c>
      <c r="O2507" s="301" t="s">
        <v>519</v>
      </c>
      <c r="P2507" s="268">
        <v>18687.5</v>
      </c>
      <c r="Q2507" s="273">
        <v>2</v>
      </c>
      <c r="R2507" s="268">
        <f t="shared" si="64"/>
        <v>37375</v>
      </c>
      <c r="S2507" s="24">
        <v>202303</v>
      </c>
      <c r="T2507" s="127" t="s">
        <v>3385</v>
      </c>
      <c r="U2507" s="40"/>
      <c r="V2507" s="40"/>
      <c r="W2507" s="40"/>
      <c r="X2507" s="106">
        <v>43466</v>
      </c>
      <c r="Y2507" s="28">
        <v>45473</v>
      </c>
    </row>
    <row r="2508" s="9" customFormat="1" customHeight="1" spans="1:25">
      <c r="A2508" s="96" t="s">
        <v>401</v>
      </c>
      <c r="B2508" s="96" t="s">
        <v>2950</v>
      </c>
      <c r="C2508" s="96" t="s">
        <v>2998</v>
      </c>
      <c r="D2508" s="265" t="s">
        <v>2951</v>
      </c>
      <c r="E2508" s="105" t="s">
        <v>3328</v>
      </c>
      <c r="F2508" s="96" t="s">
        <v>3342</v>
      </c>
      <c r="G2508" s="96" t="s">
        <v>88</v>
      </c>
      <c r="H2508" s="19" t="s">
        <v>3365</v>
      </c>
      <c r="I2508" s="23" t="e">
        <f>VLOOKUP(H2508,'合同综合查询数据（3月返）'!$A:$A,1,FALSE)</f>
        <v>#N/A</v>
      </c>
      <c r="J2508" s="24" t="s">
        <v>90</v>
      </c>
      <c r="K2508" s="96" t="s">
        <v>3305</v>
      </c>
      <c r="L2508" s="114"/>
      <c r="M2508" s="26" t="s">
        <v>3340</v>
      </c>
      <c r="N2508" s="28">
        <v>44771</v>
      </c>
      <c r="O2508" s="301" t="s">
        <v>461</v>
      </c>
      <c r="P2508" s="268">
        <v>11960</v>
      </c>
      <c r="Q2508" s="273">
        <v>2</v>
      </c>
      <c r="R2508" s="268">
        <f t="shared" si="64"/>
        <v>23920</v>
      </c>
      <c r="S2508" s="24">
        <v>202303</v>
      </c>
      <c r="T2508" s="127" t="s">
        <v>3386</v>
      </c>
      <c r="U2508" s="40"/>
      <c r="V2508" s="40"/>
      <c r="W2508" s="40"/>
      <c r="X2508" s="106">
        <v>43466</v>
      </c>
      <c r="Y2508" s="28">
        <v>45473</v>
      </c>
    </row>
    <row r="2509" s="9" customFormat="1" customHeight="1" spans="1:25">
      <c r="A2509" s="96" t="s">
        <v>401</v>
      </c>
      <c r="B2509" s="96" t="s">
        <v>2950</v>
      </c>
      <c r="C2509" s="96" t="s">
        <v>2998</v>
      </c>
      <c r="D2509" s="265" t="s">
        <v>2951</v>
      </c>
      <c r="E2509" s="105" t="s">
        <v>3328</v>
      </c>
      <c r="F2509" s="96" t="s">
        <v>3342</v>
      </c>
      <c r="G2509" s="96" t="s">
        <v>88</v>
      </c>
      <c r="H2509" s="19" t="s">
        <v>3365</v>
      </c>
      <c r="I2509" s="23" t="e">
        <f>VLOOKUP(H2509,'合同综合查询数据（3月返）'!$A:$A,1,FALSE)</f>
        <v>#N/A</v>
      </c>
      <c r="J2509" s="24" t="s">
        <v>90</v>
      </c>
      <c r="K2509" s="96" t="s">
        <v>3305</v>
      </c>
      <c r="L2509" s="114"/>
      <c r="M2509" s="26" t="s">
        <v>3340</v>
      </c>
      <c r="N2509" s="28">
        <v>44880</v>
      </c>
      <c r="O2509" s="301" t="s">
        <v>457</v>
      </c>
      <c r="P2509" s="268">
        <v>5980</v>
      </c>
      <c r="Q2509" s="273">
        <v>-85</v>
      </c>
      <c r="R2509" s="268">
        <f t="shared" si="64"/>
        <v>-508300</v>
      </c>
      <c r="S2509" s="24">
        <v>202303</v>
      </c>
      <c r="T2509" s="127" t="s">
        <v>3387</v>
      </c>
      <c r="U2509" s="40"/>
      <c r="V2509" s="40"/>
      <c r="W2509" s="40"/>
      <c r="X2509" s="106">
        <v>43466</v>
      </c>
      <c r="Y2509" s="28">
        <v>45473</v>
      </c>
    </row>
    <row r="2510" s="9" customFormat="1" customHeight="1" spans="1:25">
      <c r="A2510" s="96" t="s">
        <v>401</v>
      </c>
      <c r="B2510" s="96" t="s">
        <v>2950</v>
      </c>
      <c r="C2510" s="96" t="s">
        <v>2998</v>
      </c>
      <c r="D2510" s="265" t="s">
        <v>2951</v>
      </c>
      <c r="E2510" s="105" t="s">
        <v>3328</v>
      </c>
      <c r="F2510" s="96" t="s">
        <v>3342</v>
      </c>
      <c r="G2510" s="96" t="s">
        <v>88</v>
      </c>
      <c r="H2510" s="19" t="s">
        <v>3365</v>
      </c>
      <c r="I2510" s="23" t="e">
        <f>VLOOKUP(H2510,'合同综合查询数据（3月返）'!$A:$A,1,FALSE)</f>
        <v>#N/A</v>
      </c>
      <c r="J2510" s="24" t="s">
        <v>90</v>
      </c>
      <c r="K2510" s="96" t="s">
        <v>3305</v>
      </c>
      <c r="L2510" s="114"/>
      <c r="M2510" s="249" t="s">
        <v>3340</v>
      </c>
      <c r="N2510" s="28"/>
      <c r="O2510" s="28" t="s">
        <v>529</v>
      </c>
      <c r="P2510" s="268">
        <v>299</v>
      </c>
      <c r="Q2510" s="273">
        <v>0</v>
      </c>
      <c r="R2510" s="268">
        <f t="shared" si="64"/>
        <v>0</v>
      </c>
      <c r="S2510" s="24">
        <v>202303</v>
      </c>
      <c r="T2510" s="302" t="s">
        <v>3388</v>
      </c>
      <c r="U2510" s="40"/>
      <c r="V2510" s="40"/>
      <c r="W2510" s="40"/>
      <c r="X2510" s="106">
        <v>43466</v>
      </c>
      <c r="Y2510" s="28">
        <v>45473</v>
      </c>
    </row>
    <row r="2511" s="9" customFormat="1" customHeight="1" spans="1:25">
      <c r="A2511" s="96" t="s">
        <v>401</v>
      </c>
      <c r="B2511" s="96" t="s">
        <v>2950</v>
      </c>
      <c r="C2511" s="96" t="s">
        <v>2998</v>
      </c>
      <c r="D2511" s="265" t="s">
        <v>2951</v>
      </c>
      <c r="E2511" s="105" t="s">
        <v>3328</v>
      </c>
      <c r="F2511" s="96" t="s">
        <v>3342</v>
      </c>
      <c r="G2511" s="96" t="s">
        <v>88</v>
      </c>
      <c r="H2511" s="300" t="s">
        <v>3365</v>
      </c>
      <c r="I2511" s="23" t="e">
        <f>VLOOKUP(H2511,'合同综合查询数据（3月返）'!$A:$A,1,FALSE)</f>
        <v>#N/A</v>
      </c>
      <c r="J2511" s="24" t="s">
        <v>90</v>
      </c>
      <c r="K2511" s="96" t="s">
        <v>3305</v>
      </c>
      <c r="L2511" s="114"/>
      <c r="M2511" s="26" t="s">
        <v>3340</v>
      </c>
      <c r="N2511" s="28">
        <v>44924</v>
      </c>
      <c r="O2511" s="301" t="s">
        <v>457</v>
      </c>
      <c r="P2511" s="268">
        <v>5980</v>
      </c>
      <c r="Q2511" s="273">
        <v>-12</v>
      </c>
      <c r="R2511" s="268">
        <f t="shared" si="64"/>
        <v>-71760</v>
      </c>
      <c r="S2511" s="24">
        <v>202303</v>
      </c>
      <c r="T2511" s="127" t="s">
        <v>3389</v>
      </c>
      <c r="U2511" s="40"/>
      <c r="V2511" s="40"/>
      <c r="W2511" s="40"/>
      <c r="X2511" s="106">
        <v>43466</v>
      </c>
      <c r="Y2511" s="28">
        <v>45473</v>
      </c>
    </row>
    <row r="2512" s="9" customFormat="1" customHeight="1" spans="1:25">
      <c r="A2512" s="96" t="s">
        <v>401</v>
      </c>
      <c r="B2512" s="96" t="s">
        <v>2950</v>
      </c>
      <c r="C2512" s="96" t="s">
        <v>2998</v>
      </c>
      <c r="D2512" s="265" t="s">
        <v>2951</v>
      </c>
      <c r="E2512" s="105" t="s">
        <v>3328</v>
      </c>
      <c r="F2512" s="96" t="s">
        <v>3342</v>
      </c>
      <c r="G2512" s="96" t="s">
        <v>78</v>
      </c>
      <c r="H2512" s="19" t="s">
        <v>3365</v>
      </c>
      <c r="I2512" s="23" t="e">
        <f>VLOOKUP(H2512,'合同综合查询数据（3月返）'!$A:$A,1,FALSE)</f>
        <v>#N/A</v>
      </c>
      <c r="J2512" s="24" t="s">
        <v>475</v>
      </c>
      <c r="K2512" s="96" t="s">
        <v>3305</v>
      </c>
      <c r="L2512" s="114"/>
      <c r="M2512" s="249" t="s">
        <v>3340</v>
      </c>
      <c r="N2512" s="28"/>
      <c r="O2512" s="40">
        <v>0</v>
      </c>
      <c r="P2512" s="268">
        <v>2600</v>
      </c>
      <c r="Q2512" s="273">
        <v>0</v>
      </c>
      <c r="R2512" s="268">
        <f t="shared" si="64"/>
        <v>0</v>
      </c>
      <c r="S2512" s="24">
        <v>202303</v>
      </c>
      <c r="T2512" s="302" t="s">
        <v>3390</v>
      </c>
      <c r="U2512" s="40"/>
      <c r="V2512" s="40"/>
      <c r="W2512" s="40"/>
      <c r="X2512" s="106">
        <v>43466</v>
      </c>
      <c r="Y2512" s="28">
        <v>45473</v>
      </c>
    </row>
    <row r="2513" s="9" customFormat="1" customHeight="1" spans="1:25">
      <c r="A2513" s="96" t="s">
        <v>401</v>
      </c>
      <c r="B2513" s="96" t="s">
        <v>2950</v>
      </c>
      <c r="C2513" s="96" t="s">
        <v>2998</v>
      </c>
      <c r="D2513" s="265" t="s">
        <v>2951</v>
      </c>
      <c r="E2513" s="105" t="s">
        <v>3328</v>
      </c>
      <c r="F2513" s="96" t="s">
        <v>3342</v>
      </c>
      <c r="G2513" s="96" t="s">
        <v>88</v>
      </c>
      <c r="H2513" s="97" t="s">
        <v>3391</v>
      </c>
      <c r="I2513" s="23" t="e">
        <f>VLOOKUP(H2513,'合同综合查询数据（3月返）'!$A:$A,1,FALSE)</f>
        <v>#N/A</v>
      </c>
      <c r="J2513" s="24" t="s">
        <v>90</v>
      </c>
      <c r="K2513" s="94" t="s">
        <v>3392</v>
      </c>
      <c r="L2513" s="94"/>
      <c r="M2513" s="94" t="s">
        <v>3344</v>
      </c>
      <c r="N2513" s="106">
        <v>44058</v>
      </c>
      <c r="O2513" s="94" t="s">
        <v>457</v>
      </c>
      <c r="P2513" s="297">
        <v>5980</v>
      </c>
      <c r="Q2513" s="297">
        <v>18</v>
      </c>
      <c r="R2513" s="268">
        <f t="shared" si="64"/>
        <v>107640</v>
      </c>
      <c r="S2513" s="24">
        <v>202303</v>
      </c>
      <c r="T2513" s="127" t="s">
        <v>3393</v>
      </c>
      <c r="U2513" s="40"/>
      <c r="V2513" s="40"/>
      <c r="W2513" s="40"/>
      <c r="X2513" s="106">
        <v>43830</v>
      </c>
      <c r="Y2513" s="106">
        <v>46022</v>
      </c>
    </row>
    <row r="2514" s="9" customFormat="1" customHeight="1" spans="1:25">
      <c r="A2514" s="96" t="s">
        <v>401</v>
      </c>
      <c r="B2514" s="96" t="s">
        <v>2950</v>
      </c>
      <c r="C2514" s="96" t="s">
        <v>2998</v>
      </c>
      <c r="D2514" s="265" t="s">
        <v>2951</v>
      </c>
      <c r="E2514" s="105" t="s">
        <v>3328</v>
      </c>
      <c r="F2514" s="96" t="s">
        <v>3342</v>
      </c>
      <c r="G2514" s="96" t="s">
        <v>88</v>
      </c>
      <c r="H2514" s="97" t="s">
        <v>3391</v>
      </c>
      <c r="I2514" s="23" t="e">
        <f>VLOOKUP(H2514,'合同综合查询数据（3月返）'!$A:$A,1,FALSE)</f>
        <v>#N/A</v>
      </c>
      <c r="J2514" s="24" t="s">
        <v>90</v>
      </c>
      <c r="K2514" s="94" t="s">
        <v>3392</v>
      </c>
      <c r="L2514" s="94"/>
      <c r="M2514" s="94" t="s">
        <v>3344</v>
      </c>
      <c r="N2514" s="106">
        <v>44060</v>
      </c>
      <c r="O2514" s="94" t="s">
        <v>457</v>
      </c>
      <c r="P2514" s="297">
        <v>5980</v>
      </c>
      <c r="Q2514" s="297">
        <v>8</v>
      </c>
      <c r="R2514" s="268">
        <f t="shared" si="64"/>
        <v>47840</v>
      </c>
      <c r="S2514" s="24">
        <v>202303</v>
      </c>
      <c r="T2514" s="127" t="s">
        <v>3394</v>
      </c>
      <c r="U2514" s="40"/>
      <c r="V2514" s="40"/>
      <c r="W2514" s="40"/>
      <c r="X2514" s="106">
        <v>43830</v>
      </c>
      <c r="Y2514" s="106">
        <v>46022</v>
      </c>
    </row>
    <row r="2515" s="9" customFormat="1" customHeight="1" spans="1:25">
      <c r="A2515" s="96" t="s">
        <v>401</v>
      </c>
      <c r="B2515" s="96" t="s">
        <v>2950</v>
      </c>
      <c r="C2515" s="96" t="s">
        <v>2998</v>
      </c>
      <c r="D2515" s="265" t="s">
        <v>2951</v>
      </c>
      <c r="E2515" s="105" t="s">
        <v>3328</v>
      </c>
      <c r="F2515" s="96" t="s">
        <v>3342</v>
      </c>
      <c r="G2515" s="96" t="s">
        <v>88</v>
      </c>
      <c r="H2515" s="97" t="s">
        <v>3391</v>
      </c>
      <c r="I2515" s="23" t="e">
        <f>VLOOKUP(H2515,'合同综合查询数据（3月返）'!$A:$A,1,FALSE)</f>
        <v>#N/A</v>
      </c>
      <c r="J2515" s="24" t="s">
        <v>90</v>
      </c>
      <c r="K2515" s="94" t="s">
        <v>3392</v>
      </c>
      <c r="L2515" s="94"/>
      <c r="M2515" s="94" t="s">
        <v>3344</v>
      </c>
      <c r="N2515" s="106">
        <v>44060</v>
      </c>
      <c r="O2515" s="94" t="s">
        <v>470</v>
      </c>
      <c r="P2515" s="297">
        <v>8970</v>
      </c>
      <c r="Q2515" s="297">
        <v>10</v>
      </c>
      <c r="R2515" s="268">
        <f t="shared" si="64"/>
        <v>89700</v>
      </c>
      <c r="S2515" s="24">
        <v>202303</v>
      </c>
      <c r="T2515" s="127" t="s">
        <v>3395</v>
      </c>
      <c r="U2515" s="40"/>
      <c r="V2515" s="40"/>
      <c r="W2515" s="40"/>
      <c r="X2515" s="106">
        <v>43830</v>
      </c>
      <c r="Y2515" s="106">
        <v>46022</v>
      </c>
    </row>
    <row r="2516" s="9" customFormat="1" customHeight="1" spans="1:25">
      <c r="A2516" s="96" t="s">
        <v>401</v>
      </c>
      <c r="B2516" s="96" t="s">
        <v>2950</v>
      </c>
      <c r="C2516" s="96" t="s">
        <v>2998</v>
      </c>
      <c r="D2516" s="265" t="s">
        <v>2951</v>
      </c>
      <c r="E2516" s="105" t="s">
        <v>3328</v>
      </c>
      <c r="F2516" s="96" t="s">
        <v>3342</v>
      </c>
      <c r="G2516" s="96" t="s">
        <v>88</v>
      </c>
      <c r="H2516" s="97" t="s">
        <v>3391</v>
      </c>
      <c r="I2516" s="23" t="e">
        <f>VLOOKUP(H2516,'合同综合查询数据（3月返）'!$A:$A,1,FALSE)</f>
        <v>#N/A</v>
      </c>
      <c r="J2516" s="24" t="s">
        <v>90</v>
      </c>
      <c r="K2516" s="94" t="s">
        <v>3392</v>
      </c>
      <c r="L2516" s="94"/>
      <c r="M2516" s="94" t="s">
        <v>3344</v>
      </c>
      <c r="N2516" s="106">
        <v>44060</v>
      </c>
      <c r="O2516" s="94" t="s">
        <v>511</v>
      </c>
      <c r="P2516" s="297">
        <v>12229.1</v>
      </c>
      <c r="Q2516" s="297">
        <v>4</v>
      </c>
      <c r="R2516" s="268">
        <f t="shared" si="64"/>
        <v>48916.4</v>
      </c>
      <c r="S2516" s="24">
        <v>202303</v>
      </c>
      <c r="T2516" s="127" t="s">
        <v>3396</v>
      </c>
      <c r="U2516" s="40"/>
      <c r="V2516" s="40"/>
      <c r="W2516" s="40"/>
      <c r="X2516" s="106">
        <v>43830</v>
      </c>
      <c r="Y2516" s="106">
        <v>46022</v>
      </c>
    </row>
    <row r="2517" s="9" customFormat="1" customHeight="1" spans="1:25">
      <c r="A2517" s="96" t="s">
        <v>401</v>
      </c>
      <c r="B2517" s="96" t="s">
        <v>2950</v>
      </c>
      <c r="C2517" s="96" t="s">
        <v>2998</v>
      </c>
      <c r="D2517" s="265" t="s">
        <v>2951</v>
      </c>
      <c r="E2517" s="105" t="s">
        <v>3328</v>
      </c>
      <c r="F2517" s="96" t="s">
        <v>3342</v>
      </c>
      <c r="G2517" s="96" t="s">
        <v>88</v>
      </c>
      <c r="H2517" s="97" t="s">
        <v>3391</v>
      </c>
      <c r="I2517" s="23" t="e">
        <f>VLOOKUP(H2517,'合同综合查询数据（3月返）'!$A:$A,1,FALSE)</f>
        <v>#N/A</v>
      </c>
      <c r="J2517" s="24" t="s">
        <v>90</v>
      </c>
      <c r="K2517" s="94" t="s">
        <v>3392</v>
      </c>
      <c r="L2517" s="94"/>
      <c r="M2517" s="94" t="s">
        <v>3344</v>
      </c>
      <c r="N2517" s="106">
        <v>44060</v>
      </c>
      <c r="O2517" s="94" t="s">
        <v>574</v>
      </c>
      <c r="P2517" s="297">
        <v>32591</v>
      </c>
      <c r="Q2517" s="297">
        <v>10</v>
      </c>
      <c r="R2517" s="268">
        <f t="shared" si="64"/>
        <v>325910</v>
      </c>
      <c r="S2517" s="24">
        <v>202303</v>
      </c>
      <c r="T2517" s="127" t="s">
        <v>3397</v>
      </c>
      <c r="U2517" s="40"/>
      <c r="V2517" s="40"/>
      <c r="W2517" s="40"/>
      <c r="X2517" s="106">
        <v>43830</v>
      </c>
      <c r="Y2517" s="106">
        <v>46022</v>
      </c>
    </row>
    <row r="2518" s="9" customFormat="1" customHeight="1" spans="1:25">
      <c r="A2518" s="96" t="s">
        <v>401</v>
      </c>
      <c r="B2518" s="96" t="s">
        <v>2950</v>
      </c>
      <c r="C2518" s="96" t="s">
        <v>2998</v>
      </c>
      <c r="D2518" s="265" t="s">
        <v>2951</v>
      </c>
      <c r="E2518" s="105" t="s">
        <v>3328</v>
      </c>
      <c r="F2518" s="96" t="s">
        <v>3342</v>
      </c>
      <c r="G2518" s="96" t="s">
        <v>88</v>
      </c>
      <c r="H2518" s="97" t="s">
        <v>3398</v>
      </c>
      <c r="I2518" s="23" t="e">
        <f>VLOOKUP(H2518,'合同综合查询数据（3月返）'!$A:$A,1,FALSE)</f>
        <v>#N/A</v>
      </c>
      <c r="J2518" s="24" t="s">
        <v>90</v>
      </c>
      <c r="K2518" s="94" t="s">
        <v>3392</v>
      </c>
      <c r="L2518" s="94"/>
      <c r="M2518" s="94" t="s">
        <v>3344</v>
      </c>
      <c r="N2518" s="106">
        <v>44060</v>
      </c>
      <c r="O2518" s="94" t="s">
        <v>574</v>
      </c>
      <c r="P2518" s="297">
        <v>32591</v>
      </c>
      <c r="Q2518" s="297">
        <v>2</v>
      </c>
      <c r="R2518" s="268">
        <f t="shared" si="64"/>
        <v>65182</v>
      </c>
      <c r="S2518" s="24">
        <v>202303</v>
      </c>
      <c r="T2518" s="127" t="s">
        <v>3399</v>
      </c>
      <c r="U2518" s="40"/>
      <c r="V2518" s="40"/>
      <c r="W2518" s="40"/>
      <c r="X2518" s="106">
        <v>44060</v>
      </c>
      <c r="Y2518" s="106">
        <v>46022</v>
      </c>
    </row>
    <row r="2519" s="9" customFormat="1" customHeight="1" spans="1:25">
      <c r="A2519" s="96" t="s">
        <v>401</v>
      </c>
      <c r="B2519" s="96" t="s">
        <v>2950</v>
      </c>
      <c r="C2519" s="96" t="s">
        <v>2998</v>
      </c>
      <c r="D2519" s="265" t="s">
        <v>2951</v>
      </c>
      <c r="E2519" s="105" t="s">
        <v>3328</v>
      </c>
      <c r="F2519" s="96" t="s">
        <v>3342</v>
      </c>
      <c r="G2519" s="96" t="s">
        <v>88</v>
      </c>
      <c r="H2519" s="97" t="s">
        <v>3391</v>
      </c>
      <c r="I2519" s="23" t="e">
        <f>VLOOKUP(H2519,'合同综合查询数据（3月返）'!$A:$A,1,FALSE)</f>
        <v>#N/A</v>
      </c>
      <c r="J2519" s="24" t="s">
        <v>90</v>
      </c>
      <c r="K2519" s="94" t="s">
        <v>3392</v>
      </c>
      <c r="L2519" s="94"/>
      <c r="M2519" s="94" t="s">
        <v>3344</v>
      </c>
      <c r="N2519" s="106">
        <v>44071</v>
      </c>
      <c r="O2519" s="94" t="s">
        <v>545</v>
      </c>
      <c r="P2519" s="297">
        <v>2600</v>
      </c>
      <c r="Q2519" s="297">
        <v>16</v>
      </c>
      <c r="R2519" s="268">
        <f t="shared" si="64"/>
        <v>41600</v>
      </c>
      <c r="S2519" s="24">
        <v>202303</v>
      </c>
      <c r="T2519" s="127" t="s">
        <v>3400</v>
      </c>
      <c r="U2519" s="40"/>
      <c r="V2519" s="40"/>
      <c r="W2519" s="40"/>
      <c r="X2519" s="106">
        <v>43830</v>
      </c>
      <c r="Y2519" s="106">
        <v>46022</v>
      </c>
    </row>
    <row r="2520" s="9" customFormat="1" customHeight="1" spans="1:25">
      <c r="A2520" s="96" t="s">
        <v>401</v>
      </c>
      <c r="B2520" s="96" t="s">
        <v>2950</v>
      </c>
      <c r="C2520" s="96" t="s">
        <v>2998</v>
      </c>
      <c r="D2520" s="265" t="s">
        <v>2951</v>
      </c>
      <c r="E2520" s="105" t="s">
        <v>3328</v>
      </c>
      <c r="F2520" s="96" t="s">
        <v>3342</v>
      </c>
      <c r="G2520" s="96" t="s">
        <v>88</v>
      </c>
      <c r="H2520" s="97" t="s">
        <v>3398</v>
      </c>
      <c r="I2520" s="23" t="e">
        <f>VLOOKUP(H2520,'合同综合查询数据（3月返）'!$A:$A,1,FALSE)</f>
        <v>#N/A</v>
      </c>
      <c r="J2520" s="24" t="s">
        <v>90</v>
      </c>
      <c r="K2520" s="94" t="s">
        <v>3392</v>
      </c>
      <c r="L2520" s="94"/>
      <c r="M2520" s="94" t="s">
        <v>3344</v>
      </c>
      <c r="N2520" s="106">
        <v>44071</v>
      </c>
      <c r="O2520" s="94" t="s">
        <v>545</v>
      </c>
      <c r="P2520" s="297">
        <v>2600</v>
      </c>
      <c r="Q2520" s="297">
        <v>2</v>
      </c>
      <c r="R2520" s="268">
        <f t="shared" si="64"/>
        <v>5200</v>
      </c>
      <c r="S2520" s="24">
        <v>202303</v>
      </c>
      <c r="T2520" s="127" t="s">
        <v>3401</v>
      </c>
      <c r="U2520" s="40"/>
      <c r="V2520" s="40"/>
      <c r="W2520" s="40"/>
      <c r="X2520" s="106">
        <v>44060</v>
      </c>
      <c r="Y2520" s="106">
        <v>46022</v>
      </c>
    </row>
    <row r="2521" s="9" customFormat="1" customHeight="1" spans="1:25">
      <c r="A2521" s="96" t="s">
        <v>401</v>
      </c>
      <c r="B2521" s="96" t="s">
        <v>2950</v>
      </c>
      <c r="C2521" s="96" t="s">
        <v>2998</v>
      </c>
      <c r="D2521" s="265" t="s">
        <v>2951</v>
      </c>
      <c r="E2521" s="105" t="s">
        <v>3328</v>
      </c>
      <c r="F2521" s="96" t="s">
        <v>3342</v>
      </c>
      <c r="G2521" s="96" t="s">
        <v>88</v>
      </c>
      <c r="H2521" s="97" t="s">
        <v>3391</v>
      </c>
      <c r="I2521" s="23" t="e">
        <f>VLOOKUP(H2521,'合同综合查询数据（3月返）'!$A:$A,1,FALSE)</f>
        <v>#N/A</v>
      </c>
      <c r="J2521" s="24" t="s">
        <v>90</v>
      </c>
      <c r="K2521" s="94" t="s">
        <v>3392</v>
      </c>
      <c r="L2521" s="94"/>
      <c r="M2521" s="94" t="s">
        <v>3344</v>
      </c>
      <c r="N2521" s="106">
        <v>44078</v>
      </c>
      <c r="O2521" s="94" t="s">
        <v>457</v>
      </c>
      <c r="P2521" s="297">
        <v>5980</v>
      </c>
      <c r="Q2521" s="297">
        <v>131</v>
      </c>
      <c r="R2521" s="268">
        <f t="shared" si="64"/>
        <v>783380</v>
      </c>
      <c r="S2521" s="24">
        <v>202303</v>
      </c>
      <c r="T2521" s="127" t="s">
        <v>3402</v>
      </c>
      <c r="U2521" s="40"/>
      <c r="V2521" s="40"/>
      <c r="W2521" s="40"/>
      <c r="X2521" s="106">
        <v>43830</v>
      </c>
      <c r="Y2521" s="106">
        <v>46022</v>
      </c>
    </row>
    <row r="2522" s="9" customFormat="1" customHeight="1" spans="1:25">
      <c r="A2522" s="96" t="s">
        <v>401</v>
      </c>
      <c r="B2522" s="96" t="s">
        <v>2950</v>
      </c>
      <c r="C2522" s="96" t="s">
        <v>2998</v>
      </c>
      <c r="D2522" s="265" t="s">
        <v>2951</v>
      </c>
      <c r="E2522" s="105" t="s">
        <v>3328</v>
      </c>
      <c r="F2522" s="96" t="s">
        <v>3342</v>
      </c>
      <c r="G2522" s="96" t="s">
        <v>88</v>
      </c>
      <c r="H2522" s="97" t="s">
        <v>3391</v>
      </c>
      <c r="I2522" s="23" t="e">
        <f>VLOOKUP(H2522,'合同综合查询数据（3月返）'!$A:$A,1,FALSE)</f>
        <v>#N/A</v>
      </c>
      <c r="J2522" s="24" t="s">
        <v>90</v>
      </c>
      <c r="K2522" s="94" t="s">
        <v>3392</v>
      </c>
      <c r="L2522" s="94"/>
      <c r="M2522" s="94" t="s">
        <v>3344</v>
      </c>
      <c r="N2522" s="106">
        <v>44082</v>
      </c>
      <c r="O2522" s="94" t="s">
        <v>457</v>
      </c>
      <c r="P2522" s="297">
        <v>5980</v>
      </c>
      <c r="Q2522" s="297">
        <v>1</v>
      </c>
      <c r="R2522" s="268">
        <f t="shared" si="64"/>
        <v>5980</v>
      </c>
      <c r="S2522" s="24">
        <v>202303</v>
      </c>
      <c r="T2522" s="127" t="s">
        <v>3403</v>
      </c>
      <c r="U2522" s="40"/>
      <c r="V2522" s="40"/>
      <c r="W2522" s="40"/>
      <c r="X2522" s="106">
        <v>43830</v>
      </c>
      <c r="Y2522" s="106">
        <v>46022</v>
      </c>
    </row>
    <row r="2523" s="9" customFormat="1" customHeight="1" spans="1:25">
      <c r="A2523" s="96" t="s">
        <v>401</v>
      </c>
      <c r="B2523" s="96" t="s">
        <v>2950</v>
      </c>
      <c r="C2523" s="96" t="s">
        <v>2998</v>
      </c>
      <c r="D2523" s="265" t="s">
        <v>2951</v>
      </c>
      <c r="E2523" s="105" t="s">
        <v>3328</v>
      </c>
      <c r="F2523" s="96" t="s">
        <v>3342</v>
      </c>
      <c r="G2523" s="96" t="s">
        <v>88</v>
      </c>
      <c r="H2523" s="97" t="s">
        <v>3391</v>
      </c>
      <c r="I2523" s="23" t="e">
        <f>VLOOKUP(H2523,'合同综合查询数据（3月返）'!$A:$A,1,FALSE)</f>
        <v>#N/A</v>
      </c>
      <c r="J2523" s="24" t="s">
        <v>90</v>
      </c>
      <c r="K2523" s="94" t="s">
        <v>3392</v>
      </c>
      <c r="L2523" s="94"/>
      <c r="M2523" s="94" t="s">
        <v>3344</v>
      </c>
      <c r="N2523" s="106">
        <v>44087</v>
      </c>
      <c r="O2523" s="94" t="s">
        <v>457</v>
      </c>
      <c r="P2523" s="297">
        <v>5980</v>
      </c>
      <c r="Q2523" s="297">
        <v>24</v>
      </c>
      <c r="R2523" s="268">
        <f t="shared" si="64"/>
        <v>143520</v>
      </c>
      <c r="S2523" s="24">
        <v>202303</v>
      </c>
      <c r="T2523" s="127" t="s">
        <v>3404</v>
      </c>
      <c r="U2523" s="40"/>
      <c r="V2523" s="40"/>
      <c r="W2523" s="40"/>
      <c r="X2523" s="106">
        <v>43830</v>
      </c>
      <c r="Y2523" s="106">
        <v>46022</v>
      </c>
    </row>
    <row r="2524" s="9" customFormat="1" customHeight="1" spans="1:25">
      <c r="A2524" s="96" t="s">
        <v>401</v>
      </c>
      <c r="B2524" s="96" t="s">
        <v>2950</v>
      </c>
      <c r="C2524" s="96" t="s">
        <v>2998</v>
      </c>
      <c r="D2524" s="265" t="s">
        <v>2951</v>
      </c>
      <c r="E2524" s="105" t="s">
        <v>3328</v>
      </c>
      <c r="F2524" s="96" t="s">
        <v>3342</v>
      </c>
      <c r="G2524" s="96" t="s">
        <v>88</v>
      </c>
      <c r="H2524" s="97" t="s">
        <v>3391</v>
      </c>
      <c r="I2524" s="23" t="e">
        <f>VLOOKUP(H2524,'合同综合查询数据（3月返）'!$A:$A,1,FALSE)</f>
        <v>#N/A</v>
      </c>
      <c r="J2524" s="24" t="s">
        <v>90</v>
      </c>
      <c r="K2524" s="94" t="s">
        <v>3392</v>
      </c>
      <c r="L2524" s="94"/>
      <c r="M2524" s="94" t="s">
        <v>3344</v>
      </c>
      <c r="N2524" s="106">
        <v>44180</v>
      </c>
      <c r="O2524" s="94" t="s">
        <v>470</v>
      </c>
      <c r="P2524" s="297">
        <v>8970</v>
      </c>
      <c r="Q2524" s="297">
        <v>2</v>
      </c>
      <c r="R2524" s="268">
        <f t="shared" si="64"/>
        <v>17940</v>
      </c>
      <c r="S2524" s="24">
        <v>202303</v>
      </c>
      <c r="T2524" s="127" t="s">
        <v>3405</v>
      </c>
      <c r="U2524" s="40"/>
      <c r="V2524" s="40"/>
      <c r="W2524" s="40"/>
      <c r="X2524" s="106">
        <v>43830</v>
      </c>
      <c r="Y2524" s="106">
        <v>46022</v>
      </c>
    </row>
    <row r="2525" s="9" customFormat="1" customHeight="1" spans="1:25">
      <c r="A2525" s="96" t="s">
        <v>401</v>
      </c>
      <c r="B2525" s="96" t="s">
        <v>2950</v>
      </c>
      <c r="C2525" s="96" t="s">
        <v>2998</v>
      </c>
      <c r="D2525" s="265" t="s">
        <v>2951</v>
      </c>
      <c r="E2525" s="105" t="s">
        <v>3328</v>
      </c>
      <c r="F2525" s="96" t="s">
        <v>3342</v>
      </c>
      <c r="G2525" s="96" t="s">
        <v>88</v>
      </c>
      <c r="H2525" s="97" t="s">
        <v>3391</v>
      </c>
      <c r="I2525" s="23" t="e">
        <f>VLOOKUP(H2525,'合同综合查询数据（3月返）'!$A:$A,1,FALSE)</f>
        <v>#N/A</v>
      </c>
      <c r="J2525" s="24" t="s">
        <v>90</v>
      </c>
      <c r="K2525" s="94" t="s">
        <v>3392</v>
      </c>
      <c r="L2525" s="94"/>
      <c r="M2525" s="94" t="s">
        <v>3344</v>
      </c>
      <c r="N2525" s="106">
        <v>44180</v>
      </c>
      <c r="O2525" s="94" t="s">
        <v>457</v>
      </c>
      <c r="P2525" s="297">
        <v>5980</v>
      </c>
      <c r="Q2525" s="297">
        <v>2</v>
      </c>
      <c r="R2525" s="268">
        <f t="shared" si="64"/>
        <v>11960</v>
      </c>
      <c r="S2525" s="24">
        <v>202303</v>
      </c>
      <c r="T2525" s="127" t="s">
        <v>3406</v>
      </c>
      <c r="U2525" s="40"/>
      <c r="V2525" s="40"/>
      <c r="W2525" s="40"/>
      <c r="X2525" s="106">
        <v>43830</v>
      </c>
      <c r="Y2525" s="106">
        <v>46022</v>
      </c>
    </row>
    <row r="2526" s="9" customFormat="1" customHeight="1" spans="1:25">
      <c r="A2526" s="96" t="s">
        <v>401</v>
      </c>
      <c r="B2526" s="96" t="s">
        <v>2950</v>
      </c>
      <c r="C2526" s="96" t="s">
        <v>2998</v>
      </c>
      <c r="D2526" s="265" t="s">
        <v>2951</v>
      </c>
      <c r="E2526" s="105" t="s">
        <v>3328</v>
      </c>
      <c r="F2526" s="96" t="s">
        <v>3342</v>
      </c>
      <c r="G2526" s="96" t="s">
        <v>88</v>
      </c>
      <c r="H2526" s="97" t="s">
        <v>3391</v>
      </c>
      <c r="I2526" s="23" t="e">
        <f>VLOOKUP(H2526,'合同综合查询数据（3月返）'!$A:$A,1,FALSE)</f>
        <v>#N/A</v>
      </c>
      <c r="J2526" s="24" t="s">
        <v>90</v>
      </c>
      <c r="K2526" s="94" t="s">
        <v>3392</v>
      </c>
      <c r="L2526" s="94"/>
      <c r="M2526" s="94" t="s">
        <v>3344</v>
      </c>
      <c r="N2526" s="106">
        <v>44190</v>
      </c>
      <c r="O2526" s="94" t="s">
        <v>457</v>
      </c>
      <c r="P2526" s="297">
        <v>5980</v>
      </c>
      <c r="Q2526" s="297">
        <v>50</v>
      </c>
      <c r="R2526" s="268">
        <f t="shared" si="64"/>
        <v>299000</v>
      </c>
      <c r="S2526" s="24">
        <v>202303</v>
      </c>
      <c r="T2526" s="127" t="s">
        <v>3407</v>
      </c>
      <c r="U2526" s="40"/>
      <c r="V2526" s="40"/>
      <c r="W2526" s="40"/>
      <c r="X2526" s="106">
        <v>43830</v>
      </c>
      <c r="Y2526" s="106">
        <v>46022</v>
      </c>
    </row>
    <row r="2527" s="9" customFormat="1" customHeight="1" spans="1:25">
      <c r="A2527" s="96" t="s">
        <v>401</v>
      </c>
      <c r="B2527" s="96" t="s">
        <v>2950</v>
      </c>
      <c r="C2527" s="96" t="s">
        <v>2998</v>
      </c>
      <c r="D2527" s="265" t="s">
        <v>2951</v>
      </c>
      <c r="E2527" s="105" t="s">
        <v>3328</v>
      </c>
      <c r="F2527" s="96" t="s">
        <v>3342</v>
      </c>
      <c r="G2527" s="96" t="s">
        <v>88</v>
      </c>
      <c r="H2527" s="97" t="s">
        <v>3391</v>
      </c>
      <c r="I2527" s="23" t="e">
        <f>VLOOKUP(H2527,'合同综合查询数据（3月返）'!$A:$A,1,FALSE)</f>
        <v>#N/A</v>
      </c>
      <c r="J2527" s="24" t="s">
        <v>90</v>
      </c>
      <c r="K2527" s="94" t="s">
        <v>3392</v>
      </c>
      <c r="L2527" s="94"/>
      <c r="M2527" s="94" t="s">
        <v>3344</v>
      </c>
      <c r="N2527" s="106">
        <v>44196</v>
      </c>
      <c r="O2527" s="94" t="s">
        <v>457</v>
      </c>
      <c r="P2527" s="297">
        <v>5980</v>
      </c>
      <c r="Q2527" s="297">
        <v>62</v>
      </c>
      <c r="R2527" s="268">
        <f t="shared" si="64"/>
        <v>370760</v>
      </c>
      <c r="S2527" s="24">
        <v>202303</v>
      </c>
      <c r="T2527" s="127" t="s">
        <v>3408</v>
      </c>
      <c r="U2527" s="40"/>
      <c r="V2527" s="40"/>
      <c r="W2527" s="40"/>
      <c r="X2527" s="106">
        <v>43830</v>
      </c>
      <c r="Y2527" s="106">
        <v>46022</v>
      </c>
    </row>
    <row r="2528" s="9" customFormat="1" customHeight="1" spans="1:25">
      <c r="A2528" s="96" t="s">
        <v>401</v>
      </c>
      <c r="B2528" s="96" t="s">
        <v>2950</v>
      </c>
      <c r="C2528" s="96" t="s">
        <v>2998</v>
      </c>
      <c r="D2528" s="265" t="s">
        <v>2951</v>
      </c>
      <c r="E2528" s="105" t="s">
        <v>3328</v>
      </c>
      <c r="F2528" s="96" t="s">
        <v>3342</v>
      </c>
      <c r="G2528" s="96" t="s">
        <v>88</v>
      </c>
      <c r="H2528" s="97" t="s">
        <v>3391</v>
      </c>
      <c r="I2528" s="23" t="e">
        <f>VLOOKUP(H2528,'合同综合查询数据（3月返）'!$A:$A,1,FALSE)</f>
        <v>#N/A</v>
      </c>
      <c r="J2528" s="24" t="s">
        <v>90</v>
      </c>
      <c r="K2528" s="94" t="s">
        <v>3392</v>
      </c>
      <c r="L2528" s="94"/>
      <c r="M2528" s="94" t="s">
        <v>3344</v>
      </c>
      <c r="N2528" s="106">
        <v>44200</v>
      </c>
      <c r="O2528" s="94" t="s">
        <v>457</v>
      </c>
      <c r="P2528" s="297">
        <v>5980</v>
      </c>
      <c r="Q2528" s="297">
        <v>1</v>
      </c>
      <c r="R2528" s="268">
        <f t="shared" si="64"/>
        <v>5980</v>
      </c>
      <c r="S2528" s="24">
        <v>202303</v>
      </c>
      <c r="T2528" s="127" t="s">
        <v>3409</v>
      </c>
      <c r="U2528" s="40"/>
      <c r="V2528" s="40"/>
      <c r="W2528" s="40"/>
      <c r="X2528" s="106">
        <v>43830</v>
      </c>
      <c r="Y2528" s="106">
        <v>46022</v>
      </c>
    </row>
    <row r="2529" s="9" customFormat="1" customHeight="1" spans="1:25">
      <c r="A2529" s="96" t="s">
        <v>401</v>
      </c>
      <c r="B2529" s="96" t="s">
        <v>2950</v>
      </c>
      <c r="C2529" s="96" t="s">
        <v>2998</v>
      </c>
      <c r="D2529" s="265" t="s">
        <v>2951</v>
      </c>
      <c r="E2529" s="105" t="s">
        <v>3328</v>
      </c>
      <c r="F2529" s="96" t="s">
        <v>3342</v>
      </c>
      <c r="G2529" s="96" t="s">
        <v>88</v>
      </c>
      <c r="H2529" s="97" t="s">
        <v>3391</v>
      </c>
      <c r="I2529" s="23" t="e">
        <f>VLOOKUP(H2529,'合同综合查询数据（3月返）'!$A:$A,1,FALSE)</f>
        <v>#N/A</v>
      </c>
      <c r="J2529" s="24" t="s">
        <v>90</v>
      </c>
      <c r="K2529" s="94" t="s">
        <v>3392</v>
      </c>
      <c r="L2529" s="94"/>
      <c r="M2529" s="94" t="s">
        <v>3344</v>
      </c>
      <c r="N2529" s="106">
        <v>44201</v>
      </c>
      <c r="O2529" s="94" t="s">
        <v>457</v>
      </c>
      <c r="P2529" s="297">
        <v>5980</v>
      </c>
      <c r="Q2529" s="297">
        <v>1</v>
      </c>
      <c r="R2529" s="268">
        <f t="shared" si="64"/>
        <v>5980</v>
      </c>
      <c r="S2529" s="24">
        <v>202303</v>
      </c>
      <c r="T2529" s="127" t="s">
        <v>3410</v>
      </c>
      <c r="U2529" s="40"/>
      <c r="V2529" s="40"/>
      <c r="W2529" s="40"/>
      <c r="X2529" s="106">
        <v>43830</v>
      </c>
      <c r="Y2529" s="106">
        <v>46022</v>
      </c>
    </row>
    <row r="2530" s="9" customFormat="1" customHeight="1" spans="1:25">
      <c r="A2530" s="96" t="s">
        <v>401</v>
      </c>
      <c r="B2530" s="96" t="s">
        <v>2950</v>
      </c>
      <c r="C2530" s="96" t="s">
        <v>2998</v>
      </c>
      <c r="D2530" s="265" t="s">
        <v>2951</v>
      </c>
      <c r="E2530" s="105" t="s">
        <v>3328</v>
      </c>
      <c r="F2530" s="96" t="s">
        <v>3342</v>
      </c>
      <c r="G2530" s="96" t="s">
        <v>88</v>
      </c>
      <c r="H2530" s="97" t="s">
        <v>3391</v>
      </c>
      <c r="I2530" s="23" t="e">
        <f>VLOOKUP(H2530,'合同综合查询数据（3月返）'!$A:$A,1,FALSE)</f>
        <v>#N/A</v>
      </c>
      <c r="J2530" s="24" t="s">
        <v>90</v>
      </c>
      <c r="K2530" s="94" t="s">
        <v>3392</v>
      </c>
      <c r="L2530" s="94"/>
      <c r="M2530" s="94" t="s">
        <v>3344</v>
      </c>
      <c r="N2530" s="106">
        <v>44203</v>
      </c>
      <c r="O2530" s="94" t="s">
        <v>470</v>
      </c>
      <c r="P2530" s="297">
        <v>8970</v>
      </c>
      <c r="Q2530" s="297">
        <v>6</v>
      </c>
      <c r="R2530" s="268">
        <f t="shared" si="64"/>
        <v>53820</v>
      </c>
      <c r="S2530" s="24">
        <v>202303</v>
      </c>
      <c r="T2530" s="127" t="s">
        <v>3411</v>
      </c>
      <c r="U2530" s="40"/>
      <c r="V2530" s="40"/>
      <c r="W2530" s="40"/>
      <c r="X2530" s="106">
        <v>43830</v>
      </c>
      <c r="Y2530" s="106">
        <v>46022</v>
      </c>
    </row>
    <row r="2531" s="9" customFormat="1" customHeight="1" spans="1:25">
      <c r="A2531" s="96" t="s">
        <v>401</v>
      </c>
      <c r="B2531" s="96" t="s">
        <v>2950</v>
      </c>
      <c r="C2531" s="96" t="s">
        <v>2998</v>
      </c>
      <c r="D2531" s="265" t="s">
        <v>2951</v>
      </c>
      <c r="E2531" s="105" t="s">
        <v>3328</v>
      </c>
      <c r="F2531" s="96" t="s">
        <v>3342</v>
      </c>
      <c r="G2531" s="96" t="s">
        <v>88</v>
      </c>
      <c r="H2531" s="97" t="s">
        <v>3391</v>
      </c>
      <c r="I2531" s="23" t="e">
        <f>VLOOKUP(H2531,'合同综合查询数据（3月返）'!$A:$A,1,FALSE)</f>
        <v>#N/A</v>
      </c>
      <c r="J2531" s="24" t="s">
        <v>90</v>
      </c>
      <c r="K2531" s="94" t="s">
        <v>3392</v>
      </c>
      <c r="L2531" s="94"/>
      <c r="M2531" s="94" t="s">
        <v>3344</v>
      </c>
      <c r="N2531" s="106">
        <v>44203</v>
      </c>
      <c r="O2531" s="94" t="s">
        <v>457</v>
      </c>
      <c r="P2531" s="297">
        <v>5980</v>
      </c>
      <c r="Q2531" s="297">
        <v>2</v>
      </c>
      <c r="R2531" s="268">
        <f t="shared" si="64"/>
        <v>11960</v>
      </c>
      <c r="S2531" s="24">
        <v>202303</v>
      </c>
      <c r="T2531" s="127" t="s">
        <v>3412</v>
      </c>
      <c r="U2531" s="40"/>
      <c r="V2531" s="40"/>
      <c r="W2531" s="40"/>
      <c r="X2531" s="106">
        <v>43830</v>
      </c>
      <c r="Y2531" s="106">
        <v>46022</v>
      </c>
    </row>
    <row r="2532" s="9" customFormat="1" customHeight="1" spans="1:25">
      <c r="A2532" s="96" t="s">
        <v>401</v>
      </c>
      <c r="B2532" s="96" t="s">
        <v>2950</v>
      </c>
      <c r="C2532" s="96" t="s">
        <v>2998</v>
      </c>
      <c r="D2532" s="265" t="s">
        <v>2951</v>
      </c>
      <c r="E2532" s="105" t="s">
        <v>3328</v>
      </c>
      <c r="F2532" s="96" t="s">
        <v>3342</v>
      </c>
      <c r="G2532" s="96" t="s">
        <v>88</v>
      </c>
      <c r="H2532" s="97" t="s">
        <v>3391</v>
      </c>
      <c r="I2532" s="23" t="e">
        <f>VLOOKUP(H2532,'合同综合查询数据（3月返）'!$A:$A,1,FALSE)</f>
        <v>#N/A</v>
      </c>
      <c r="J2532" s="24" t="s">
        <v>90</v>
      </c>
      <c r="K2532" s="94" t="s">
        <v>3392</v>
      </c>
      <c r="L2532" s="94"/>
      <c r="M2532" s="94" t="s">
        <v>3344</v>
      </c>
      <c r="N2532" s="106">
        <v>44208</v>
      </c>
      <c r="O2532" s="94" t="s">
        <v>457</v>
      </c>
      <c r="P2532" s="297">
        <v>5980</v>
      </c>
      <c r="Q2532" s="297">
        <v>16</v>
      </c>
      <c r="R2532" s="268">
        <f t="shared" si="64"/>
        <v>95680</v>
      </c>
      <c r="S2532" s="24">
        <v>202303</v>
      </c>
      <c r="T2532" s="127" t="s">
        <v>3413</v>
      </c>
      <c r="U2532" s="40"/>
      <c r="V2532" s="40"/>
      <c r="W2532" s="40"/>
      <c r="X2532" s="106">
        <v>43830</v>
      </c>
      <c r="Y2532" s="106">
        <v>46022</v>
      </c>
    </row>
    <row r="2533" s="9" customFormat="1" customHeight="1" spans="1:25">
      <c r="A2533" s="96" t="s">
        <v>401</v>
      </c>
      <c r="B2533" s="96" t="s">
        <v>2950</v>
      </c>
      <c r="C2533" s="96" t="s">
        <v>2998</v>
      </c>
      <c r="D2533" s="265" t="s">
        <v>2951</v>
      </c>
      <c r="E2533" s="105" t="s">
        <v>3328</v>
      </c>
      <c r="F2533" s="96" t="s">
        <v>3342</v>
      </c>
      <c r="G2533" s="96" t="s">
        <v>88</v>
      </c>
      <c r="H2533" s="97" t="s">
        <v>3391</v>
      </c>
      <c r="I2533" s="23" t="e">
        <f>VLOOKUP(H2533,'合同综合查询数据（3月返）'!$A:$A,1,FALSE)</f>
        <v>#N/A</v>
      </c>
      <c r="J2533" s="24" t="s">
        <v>90</v>
      </c>
      <c r="K2533" s="94" t="s">
        <v>3392</v>
      </c>
      <c r="L2533" s="94"/>
      <c r="M2533" s="94" t="s">
        <v>3344</v>
      </c>
      <c r="N2533" s="106">
        <v>44212</v>
      </c>
      <c r="O2533" s="94" t="s">
        <v>457</v>
      </c>
      <c r="P2533" s="297">
        <v>5980</v>
      </c>
      <c r="Q2533" s="297">
        <v>25</v>
      </c>
      <c r="R2533" s="268">
        <f t="shared" si="64"/>
        <v>149500</v>
      </c>
      <c r="S2533" s="24">
        <v>202303</v>
      </c>
      <c r="T2533" s="127" t="s">
        <v>3414</v>
      </c>
      <c r="U2533" s="40"/>
      <c r="V2533" s="40"/>
      <c r="W2533" s="40"/>
      <c r="X2533" s="106">
        <v>43830</v>
      </c>
      <c r="Y2533" s="106">
        <v>46022</v>
      </c>
    </row>
    <row r="2534" s="9" customFormat="1" customHeight="1" spans="1:25">
      <c r="A2534" s="96" t="s">
        <v>401</v>
      </c>
      <c r="B2534" s="96" t="s">
        <v>2950</v>
      </c>
      <c r="C2534" s="96" t="s">
        <v>2998</v>
      </c>
      <c r="D2534" s="265" t="s">
        <v>2951</v>
      </c>
      <c r="E2534" s="105" t="s">
        <v>3328</v>
      </c>
      <c r="F2534" s="96" t="s">
        <v>3342</v>
      </c>
      <c r="G2534" s="96" t="s">
        <v>88</v>
      </c>
      <c r="H2534" s="97" t="s">
        <v>3391</v>
      </c>
      <c r="I2534" s="23" t="e">
        <f>VLOOKUP(H2534,'合同综合查询数据（3月返）'!$A:$A,1,FALSE)</f>
        <v>#N/A</v>
      </c>
      <c r="J2534" s="24" t="s">
        <v>90</v>
      </c>
      <c r="K2534" s="94" t="s">
        <v>3392</v>
      </c>
      <c r="L2534" s="94"/>
      <c r="M2534" s="94" t="s">
        <v>3344</v>
      </c>
      <c r="N2534" s="106">
        <v>44214</v>
      </c>
      <c r="O2534" s="94" t="s">
        <v>457</v>
      </c>
      <c r="P2534" s="297">
        <v>5980</v>
      </c>
      <c r="Q2534" s="297">
        <v>4</v>
      </c>
      <c r="R2534" s="268">
        <f t="shared" si="64"/>
        <v>23920</v>
      </c>
      <c r="S2534" s="24">
        <v>202303</v>
      </c>
      <c r="T2534" s="127" t="s">
        <v>3415</v>
      </c>
      <c r="U2534" s="40"/>
      <c r="V2534" s="40"/>
      <c r="W2534" s="40"/>
      <c r="X2534" s="106">
        <v>43830</v>
      </c>
      <c r="Y2534" s="106">
        <v>46022</v>
      </c>
    </row>
    <row r="2535" s="9" customFormat="1" customHeight="1" spans="1:25">
      <c r="A2535" s="96" t="s">
        <v>401</v>
      </c>
      <c r="B2535" s="96" t="s">
        <v>2950</v>
      </c>
      <c r="C2535" s="96" t="s">
        <v>2998</v>
      </c>
      <c r="D2535" s="265" t="s">
        <v>2951</v>
      </c>
      <c r="E2535" s="105" t="s">
        <v>3328</v>
      </c>
      <c r="F2535" s="96" t="s">
        <v>3342</v>
      </c>
      <c r="G2535" s="96" t="s">
        <v>88</v>
      </c>
      <c r="H2535" s="97" t="s">
        <v>3391</v>
      </c>
      <c r="I2535" s="23" t="e">
        <f>VLOOKUP(H2535,'合同综合查询数据（3月返）'!$A:$A,1,FALSE)</f>
        <v>#N/A</v>
      </c>
      <c r="J2535" s="24" t="s">
        <v>90</v>
      </c>
      <c r="K2535" s="94" t="s">
        <v>3392</v>
      </c>
      <c r="L2535" s="94"/>
      <c r="M2535" s="94" t="s">
        <v>3344</v>
      </c>
      <c r="N2535" s="106">
        <v>44225</v>
      </c>
      <c r="O2535" s="94" t="s">
        <v>457</v>
      </c>
      <c r="P2535" s="297">
        <v>5980</v>
      </c>
      <c r="Q2535" s="297">
        <v>34</v>
      </c>
      <c r="R2535" s="268">
        <f t="shared" si="64"/>
        <v>203320</v>
      </c>
      <c r="S2535" s="24">
        <v>202303</v>
      </c>
      <c r="T2535" s="127" t="s">
        <v>3416</v>
      </c>
      <c r="U2535" s="40"/>
      <c r="V2535" s="40"/>
      <c r="W2535" s="40"/>
      <c r="X2535" s="106">
        <v>43830</v>
      </c>
      <c r="Y2535" s="106">
        <v>46022</v>
      </c>
    </row>
    <row r="2536" s="9" customFormat="1" customHeight="1" spans="1:25">
      <c r="A2536" s="96" t="s">
        <v>401</v>
      </c>
      <c r="B2536" s="96" t="s">
        <v>2950</v>
      </c>
      <c r="C2536" s="96" t="s">
        <v>2998</v>
      </c>
      <c r="D2536" s="265" t="s">
        <v>2951</v>
      </c>
      <c r="E2536" s="105" t="s">
        <v>3328</v>
      </c>
      <c r="F2536" s="96" t="s">
        <v>3342</v>
      </c>
      <c r="G2536" s="96" t="s">
        <v>88</v>
      </c>
      <c r="H2536" s="97" t="s">
        <v>3391</v>
      </c>
      <c r="I2536" s="23" t="e">
        <f>VLOOKUP(H2536,'合同综合查询数据（3月返）'!$A:$A,1,FALSE)</f>
        <v>#N/A</v>
      </c>
      <c r="J2536" s="24" t="s">
        <v>90</v>
      </c>
      <c r="K2536" s="94" t="s">
        <v>3392</v>
      </c>
      <c r="L2536" s="94"/>
      <c r="M2536" s="94" t="s">
        <v>3344</v>
      </c>
      <c r="N2536" s="106">
        <v>44232</v>
      </c>
      <c r="O2536" s="94" t="s">
        <v>457</v>
      </c>
      <c r="P2536" s="297">
        <v>5980</v>
      </c>
      <c r="Q2536" s="297">
        <v>9</v>
      </c>
      <c r="R2536" s="268">
        <f t="shared" si="64"/>
        <v>53820</v>
      </c>
      <c r="S2536" s="24">
        <v>202303</v>
      </c>
      <c r="T2536" s="127" t="s">
        <v>3417</v>
      </c>
      <c r="U2536" s="40"/>
      <c r="V2536" s="40"/>
      <c r="W2536" s="40"/>
      <c r="X2536" s="106">
        <v>43830</v>
      </c>
      <c r="Y2536" s="106">
        <v>46022</v>
      </c>
    </row>
    <row r="2537" s="9" customFormat="1" customHeight="1" spans="1:25">
      <c r="A2537" s="96" t="s">
        <v>401</v>
      </c>
      <c r="B2537" s="96" t="s">
        <v>2950</v>
      </c>
      <c r="C2537" s="96" t="s">
        <v>2998</v>
      </c>
      <c r="D2537" s="265" t="s">
        <v>2951</v>
      </c>
      <c r="E2537" s="105" t="s">
        <v>3328</v>
      </c>
      <c r="F2537" s="96" t="s">
        <v>3342</v>
      </c>
      <c r="G2537" s="96" t="s">
        <v>88</v>
      </c>
      <c r="H2537" s="97" t="s">
        <v>3391</v>
      </c>
      <c r="I2537" s="23" t="e">
        <f>VLOOKUP(H2537,'合同综合查询数据（3月返）'!$A:$A,1,FALSE)</f>
        <v>#N/A</v>
      </c>
      <c r="J2537" s="24" t="s">
        <v>90</v>
      </c>
      <c r="K2537" s="94" t="s">
        <v>3392</v>
      </c>
      <c r="L2537" s="94"/>
      <c r="M2537" s="94" t="s">
        <v>3344</v>
      </c>
      <c r="N2537" s="106">
        <v>44255</v>
      </c>
      <c r="O2537" s="94" t="s">
        <v>457</v>
      </c>
      <c r="P2537" s="297">
        <v>5980</v>
      </c>
      <c r="Q2537" s="297">
        <v>43</v>
      </c>
      <c r="R2537" s="268">
        <f t="shared" si="64"/>
        <v>257140</v>
      </c>
      <c r="S2537" s="24">
        <v>202303</v>
      </c>
      <c r="T2537" s="127" t="s">
        <v>3418</v>
      </c>
      <c r="U2537" s="40"/>
      <c r="V2537" s="40"/>
      <c r="W2537" s="40"/>
      <c r="X2537" s="106">
        <v>43830</v>
      </c>
      <c r="Y2537" s="106">
        <v>46022</v>
      </c>
    </row>
    <row r="2538" s="9" customFormat="1" customHeight="1" spans="1:25">
      <c r="A2538" s="96" t="s">
        <v>401</v>
      </c>
      <c r="B2538" s="96" t="s">
        <v>2950</v>
      </c>
      <c r="C2538" s="96" t="s">
        <v>2998</v>
      </c>
      <c r="D2538" s="265" t="s">
        <v>2951</v>
      </c>
      <c r="E2538" s="105" t="s">
        <v>3328</v>
      </c>
      <c r="F2538" s="96" t="s">
        <v>3342</v>
      </c>
      <c r="G2538" s="96" t="s">
        <v>88</v>
      </c>
      <c r="H2538" s="97" t="s">
        <v>3391</v>
      </c>
      <c r="I2538" s="23" t="e">
        <f>VLOOKUP(H2538,'合同综合查询数据（3月返）'!$A:$A,1,FALSE)</f>
        <v>#N/A</v>
      </c>
      <c r="J2538" s="24" t="s">
        <v>90</v>
      </c>
      <c r="K2538" s="94" t="s">
        <v>3392</v>
      </c>
      <c r="L2538" s="94"/>
      <c r="M2538" s="94" t="s">
        <v>3344</v>
      </c>
      <c r="N2538" s="106">
        <v>44266</v>
      </c>
      <c r="O2538" s="94" t="s">
        <v>457</v>
      </c>
      <c r="P2538" s="297">
        <v>5980</v>
      </c>
      <c r="Q2538" s="297">
        <v>10</v>
      </c>
      <c r="R2538" s="268">
        <f t="shared" si="64"/>
        <v>59800</v>
      </c>
      <c r="S2538" s="24">
        <v>202303</v>
      </c>
      <c r="T2538" s="127" t="s">
        <v>3419</v>
      </c>
      <c r="U2538" s="40"/>
      <c r="V2538" s="40"/>
      <c r="W2538" s="40"/>
      <c r="X2538" s="106">
        <v>43830</v>
      </c>
      <c r="Y2538" s="106">
        <v>46022</v>
      </c>
    </row>
    <row r="2539" s="9" customFormat="1" customHeight="1" spans="1:25">
      <c r="A2539" s="96" t="s">
        <v>401</v>
      </c>
      <c r="B2539" s="96" t="s">
        <v>2950</v>
      </c>
      <c r="C2539" s="96" t="s">
        <v>2998</v>
      </c>
      <c r="D2539" s="265" t="s">
        <v>2951</v>
      </c>
      <c r="E2539" s="105" t="s">
        <v>3328</v>
      </c>
      <c r="F2539" s="96" t="s">
        <v>3342</v>
      </c>
      <c r="G2539" s="96" t="s">
        <v>88</v>
      </c>
      <c r="H2539" s="97" t="s">
        <v>3391</v>
      </c>
      <c r="I2539" s="23" t="e">
        <f>VLOOKUP(H2539,'合同综合查询数据（3月返）'!$A:$A,1,FALSE)</f>
        <v>#N/A</v>
      </c>
      <c r="J2539" s="24" t="s">
        <v>90</v>
      </c>
      <c r="K2539" s="94" t="s">
        <v>3392</v>
      </c>
      <c r="L2539" s="94"/>
      <c r="M2539" s="94" t="s">
        <v>3344</v>
      </c>
      <c r="N2539" s="106">
        <v>44278</v>
      </c>
      <c r="O2539" s="94" t="s">
        <v>457</v>
      </c>
      <c r="P2539" s="297">
        <v>5980</v>
      </c>
      <c r="Q2539" s="297">
        <v>1</v>
      </c>
      <c r="R2539" s="268">
        <f t="shared" si="64"/>
        <v>5980</v>
      </c>
      <c r="S2539" s="24">
        <v>202303</v>
      </c>
      <c r="T2539" s="127" t="s">
        <v>3420</v>
      </c>
      <c r="U2539" s="40"/>
      <c r="V2539" s="40"/>
      <c r="W2539" s="40"/>
      <c r="X2539" s="106">
        <v>43830</v>
      </c>
      <c r="Y2539" s="106">
        <v>46022</v>
      </c>
    </row>
    <row r="2540" s="9" customFormat="1" customHeight="1" spans="1:25">
      <c r="A2540" s="96" t="s">
        <v>401</v>
      </c>
      <c r="B2540" s="96" t="s">
        <v>2950</v>
      </c>
      <c r="C2540" s="96" t="s">
        <v>2998</v>
      </c>
      <c r="D2540" s="265" t="s">
        <v>2951</v>
      </c>
      <c r="E2540" s="105" t="s">
        <v>3328</v>
      </c>
      <c r="F2540" s="96" t="s">
        <v>3342</v>
      </c>
      <c r="G2540" s="96" t="s">
        <v>88</v>
      </c>
      <c r="H2540" s="97" t="s">
        <v>3391</v>
      </c>
      <c r="I2540" s="23" t="e">
        <f>VLOOKUP(H2540,'合同综合查询数据（3月返）'!$A:$A,1,FALSE)</f>
        <v>#N/A</v>
      </c>
      <c r="J2540" s="24" t="s">
        <v>90</v>
      </c>
      <c r="K2540" s="94" t="s">
        <v>3392</v>
      </c>
      <c r="L2540" s="94"/>
      <c r="M2540" s="94" t="s">
        <v>3344</v>
      </c>
      <c r="N2540" s="106">
        <v>44280</v>
      </c>
      <c r="O2540" s="94" t="s">
        <v>457</v>
      </c>
      <c r="P2540" s="297">
        <v>5980</v>
      </c>
      <c r="Q2540" s="297">
        <v>25</v>
      </c>
      <c r="R2540" s="268">
        <f t="shared" si="64"/>
        <v>149500</v>
      </c>
      <c r="S2540" s="24">
        <v>202303</v>
      </c>
      <c r="T2540" s="127" t="s">
        <v>3421</v>
      </c>
      <c r="U2540" s="40"/>
      <c r="V2540" s="40"/>
      <c r="W2540" s="40"/>
      <c r="X2540" s="106">
        <v>43830</v>
      </c>
      <c r="Y2540" s="106">
        <v>46022</v>
      </c>
    </row>
    <row r="2541" s="9" customFormat="1" customHeight="1" spans="1:25">
      <c r="A2541" s="96" t="s">
        <v>401</v>
      </c>
      <c r="B2541" s="96" t="s">
        <v>2950</v>
      </c>
      <c r="C2541" s="96" t="s">
        <v>2998</v>
      </c>
      <c r="D2541" s="265" t="s">
        <v>2951</v>
      </c>
      <c r="E2541" s="105" t="s">
        <v>3328</v>
      </c>
      <c r="F2541" s="96" t="s">
        <v>3342</v>
      </c>
      <c r="G2541" s="96" t="s">
        <v>88</v>
      </c>
      <c r="H2541" s="97" t="s">
        <v>3391</v>
      </c>
      <c r="I2541" s="23" t="e">
        <f>VLOOKUP(H2541,'合同综合查询数据（3月返）'!$A:$A,1,FALSE)</f>
        <v>#N/A</v>
      </c>
      <c r="J2541" s="24" t="s">
        <v>90</v>
      </c>
      <c r="K2541" s="94" t="s">
        <v>3392</v>
      </c>
      <c r="L2541" s="94"/>
      <c r="M2541" s="94" t="s">
        <v>3344</v>
      </c>
      <c r="N2541" s="106">
        <v>44284</v>
      </c>
      <c r="O2541" s="94" t="s">
        <v>457</v>
      </c>
      <c r="P2541" s="297">
        <v>5980</v>
      </c>
      <c r="Q2541" s="297">
        <v>2</v>
      </c>
      <c r="R2541" s="268">
        <f t="shared" si="64"/>
        <v>11960</v>
      </c>
      <c r="S2541" s="24">
        <v>202303</v>
      </c>
      <c r="T2541" s="127" t="s">
        <v>3422</v>
      </c>
      <c r="U2541" s="40"/>
      <c r="V2541" s="40"/>
      <c r="W2541" s="40"/>
      <c r="X2541" s="106">
        <v>43830</v>
      </c>
      <c r="Y2541" s="106">
        <v>46022</v>
      </c>
    </row>
    <row r="2542" s="9" customFormat="1" customHeight="1" spans="1:25">
      <c r="A2542" s="96" t="s">
        <v>401</v>
      </c>
      <c r="B2542" s="96" t="s">
        <v>2950</v>
      </c>
      <c r="C2542" s="96" t="s">
        <v>2998</v>
      </c>
      <c r="D2542" s="265" t="s">
        <v>2951</v>
      </c>
      <c r="E2542" s="105" t="s">
        <v>3328</v>
      </c>
      <c r="F2542" s="96" t="s">
        <v>3342</v>
      </c>
      <c r="G2542" s="96" t="s">
        <v>88</v>
      </c>
      <c r="H2542" s="97" t="s">
        <v>3391</v>
      </c>
      <c r="I2542" s="23" t="e">
        <f>VLOOKUP(H2542,'合同综合查询数据（3月返）'!$A:$A,1,FALSE)</f>
        <v>#N/A</v>
      </c>
      <c r="J2542" s="24" t="s">
        <v>90</v>
      </c>
      <c r="K2542" s="94" t="s">
        <v>3392</v>
      </c>
      <c r="L2542" s="94"/>
      <c r="M2542" s="94" t="s">
        <v>3344</v>
      </c>
      <c r="N2542" s="106">
        <v>44287</v>
      </c>
      <c r="O2542" s="94" t="s">
        <v>457</v>
      </c>
      <c r="P2542" s="297">
        <v>5980</v>
      </c>
      <c r="Q2542" s="297">
        <v>-10</v>
      </c>
      <c r="R2542" s="268">
        <f t="shared" si="64"/>
        <v>-59800</v>
      </c>
      <c r="S2542" s="24">
        <v>202303</v>
      </c>
      <c r="T2542" s="127" t="s">
        <v>3423</v>
      </c>
      <c r="U2542" s="40"/>
      <c r="V2542" s="40"/>
      <c r="W2542" s="40"/>
      <c r="X2542" s="106">
        <v>43830</v>
      </c>
      <c r="Y2542" s="106">
        <v>46022</v>
      </c>
    </row>
    <row r="2543" s="9" customFormat="1" customHeight="1" spans="1:25">
      <c r="A2543" s="96" t="s">
        <v>401</v>
      </c>
      <c r="B2543" s="96" t="s">
        <v>2950</v>
      </c>
      <c r="C2543" s="96" t="s">
        <v>2998</v>
      </c>
      <c r="D2543" s="265" t="s">
        <v>2951</v>
      </c>
      <c r="E2543" s="105" t="s">
        <v>3328</v>
      </c>
      <c r="F2543" s="96" t="s">
        <v>3342</v>
      </c>
      <c r="G2543" s="96" t="s">
        <v>88</v>
      </c>
      <c r="H2543" s="97" t="s">
        <v>3391</v>
      </c>
      <c r="I2543" s="23" t="e">
        <f>VLOOKUP(H2543,'合同综合查询数据（3月返）'!$A:$A,1,FALSE)</f>
        <v>#N/A</v>
      </c>
      <c r="J2543" s="24" t="s">
        <v>90</v>
      </c>
      <c r="K2543" s="94" t="s">
        <v>3392</v>
      </c>
      <c r="L2543" s="94"/>
      <c r="M2543" s="94" t="s">
        <v>3344</v>
      </c>
      <c r="N2543" s="106">
        <v>44287</v>
      </c>
      <c r="O2543" s="94" t="s">
        <v>457</v>
      </c>
      <c r="P2543" s="297">
        <v>5980</v>
      </c>
      <c r="Q2543" s="297">
        <v>10</v>
      </c>
      <c r="R2543" s="268">
        <f t="shared" si="64"/>
        <v>59800</v>
      </c>
      <c r="S2543" s="24">
        <v>202303</v>
      </c>
      <c r="T2543" s="127" t="s">
        <v>3424</v>
      </c>
      <c r="U2543" s="40"/>
      <c r="V2543" s="40"/>
      <c r="W2543" s="40"/>
      <c r="X2543" s="106">
        <v>43830</v>
      </c>
      <c r="Y2543" s="106">
        <v>46022</v>
      </c>
    </row>
    <row r="2544" s="9" customFormat="1" customHeight="1" spans="1:25">
      <c r="A2544" s="96" t="s">
        <v>401</v>
      </c>
      <c r="B2544" s="96" t="s">
        <v>2950</v>
      </c>
      <c r="C2544" s="96" t="s">
        <v>2998</v>
      </c>
      <c r="D2544" s="265" t="s">
        <v>2951</v>
      </c>
      <c r="E2544" s="105" t="s">
        <v>3328</v>
      </c>
      <c r="F2544" s="96" t="s">
        <v>3342</v>
      </c>
      <c r="G2544" s="96" t="s">
        <v>88</v>
      </c>
      <c r="H2544" s="97" t="s">
        <v>3391</v>
      </c>
      <c r="I2544" s="23" t="e">
        <f>VLOOKUP(H2544,'合同综合查询数据（3月返）'!$A:$A,1,FALSE)</f>
        <v>#N/A</v>
      </c>
      <c r="J2544" s="24" t="s">
        <v>90</v>
      </c>
      <c r="K2544" s="94" t="s">
        <v>3392</v>
      </c>
      <c r="L2544" s="94"/>
      <c r="M2544" s="94" t="s">
        <v>3344</v>
      </c>
      <c r="N2544" s="106">
        <v>44293</v>
      </c>
      <c r="O2544" s="94" t="s">
        <v>457</v>
      </c>
      <c r="P2544" s="297">
        <v>5980</v>
      </c>
      <c r="Q2544" s="297">
        <v>2</v>
      </c>
      <c r="R2544" s="268">
        <f t="shared" si="64"/>
        <v>11960</v>
      </c>
      <c r="S2544" s="24">
        <v>202303</v>
      </c>
      <c r="T2544" s="127" t="s">
        <v>3425</v>
      </c>
      <c r="U2544" s="40"/>
      <c r="V2544" s="40"/>
      <c r="W2544" s="40"/>
      <c r="X2544" s="106">
        <v>43830</v>
      </c>
      <c r="Y2544" s="106">
        <v>46022</v>
      </c>
    </row>
    <row r="2545" s="9" customFormat="1" customHeight="1" spans="1:25">
      <c r="A2545" s="96" t="s">
        <v>401</v>
      </c>
      <c r="B2545" s="96" t="s">
        <v>2950</v>
      </c>
      <c r="C2545" s="96" t="s">
        <v>2998</v>
      </c>
      <c r="D2545" s="265" t="s">
        <v>2951</v>
      </c>
      <c r="E2545" s="105" t="s">
        <v>3328</v>
      </c>
      <c r="F2545" s="96" t="s">
        <v>3342</v>
      </c>
      <c r="G2545" s="96" t="s">
        <v>88</v>
      </c>
      <c r="H2545" s="97" t="s">
        <v>3391</v>
      </c>
      <c r="I2545" s="23" t="e">
        <f>VLOOKUP(H2545,'合同综合查询数据（3月返）'!$A:$A,1,FALSE)</f>
        <v>#N/A</v>
      </c>
      <c r="J2545" s="24" t="s">
        <v>90</v>
      </c>
      <c r="K2545" s="94" t="s">
        <v>3392</v>
      </c>
      <c r="L2545" s="94"/>
      <c r="M2545" s="94" t="s">
        <v>3344</v>
      </c>
      <c r="N2545" s="106">
        <v>44308</v>
      </c>
      <c r="O2545" s="94" t="s">
        <v>457</v>
      </c>
      <c r="P2545" s="297">
        <v>5980</v>
      </c>
      <c r="Q2545" s="297">
        <v>8</v>
      </c>
      <c r="R2545" s="268">
        <f t="shared" si="64"/>
        <v>47840</v>
      </c>
      <c r="S2545" s="24">
        <v>202303</v>
      </c>
      <c r="T2545" s="127" t="s">
        <v>3426</v>
      </c>
      <c r="U2545" s="40"/>
      <c r="V2545" s="40"/>
      <c r="W2545" s="40"/>
      <c r="X2545" s="106">
        <v>43830</v>
      </c>
      <c r="Y2545" s="106">
        <v>46022</v>
      </c>
    </row>
    <row r="2546" s="9" customFormat="1" customHeight="1" spans="1:25">
      <c r="A2546" s="96" t="s">
        <v>401</v>
      </c>
      <c r="B2546" s="96" t="s">
        <v>2950</v>
      </c>
      <c r="C2546" s="96" t="s">
        <v>2998</v>
      </c>
      <c r="D2546" s="265" t="s">
        <v>2951</v>
      </c>
      <c r="E2546" s="105" t="s">
        <v>3328</v>
      </c>
      <c r="F2546" s="96" t="s">
        <v>3342</v>
      </c>
      <c r="G2546" s="96" t="s">
        <v>88</v>
      </c>
      <c r="H2546" s="97" t="s">
        <v>3391</v>
      </c>
      <c r="I2546" s="23" t="e">
        <f>VLOOKUP(H2546,'合同综合查询数据（3月返）'!$A:$A,1,FALSE)</f>
        <v>#N/A</v>
      </c>
      <c r="J2546" s="24" t="s">
        <v>90</v>
      </c>
      <c r="K2546" s="94" t="s">
        <v>3392</v>
      </c>
      <c r="L2546" s="94"/>
      <c r="M2546" s="94" t="s">
        <v>3344</v>
      </c>
      <c r="N2546" s="106">
        <v>44333</v>
      </c>
      <c r="O2546" s="94" t="s">
        <v>457</v>
      </c>
      <c r="P2546" s="297">
        <v>5980</v>
      </c>
      <c r="Q2546" s="297">
        <v>2</v>
      </c>
      <c r="R2546" s="268">
        <f t="shared" si="64"/>
        <v>11960</v>
      </c>
      <c r="S2546" s="24">
        <v>202303</v>
      </c>
      <c r="T2546" s="127" t="s">
        <v>3427</v>
      </c>
      <c r="U2546" s="40"/>
      <c r="V2546" s="40"/>
      <c r="W2546" s="40"/>
      <c r="X2546" s="106">
        <v>43830</v>
      </c>
      <c r="Y2546" s="106">
        <v>46022</v>
      </c>
    </row>
    <row r="2547" s="9" customFormat="1" customHeight="1" spans="1:25">
      <c r="A2547" s="96" t="s">
        <v>401</v>
      </c>
      <c r="B2547" s="96" t="s">
        <v>2950</v>
      </c>
      <c r="C2547" s="96" t="s">
        <v>2998</v>
      </c>
      <c r="D2547" s="265" t="s">
        <v>2951</v>
      </c>
      <c r="E2547" s="105" t="s">
        <v>3328</v>
      </c>
      <c r="F2547" s="96" t="s">
        <v>3342</v>
      </c>
      <c r="G2547" s="96" t="s">
        <v>88</v>
      </c>
      <c r="H2547" s="97" t="s">
        <v>3391</v>
      </c>
      <c r="I2547" s="23" t="e">
        <f>VLOOKUP(H2547,'合同综合查询数据（3月返）'!$A:$A,1,FALSE)</f>
        <v>#N/A</v>
      </c>
      <c r="J2547" s="24" t="s">
        <v>90</v>
      </c>
      <c r="K2547" s="94" t="s">
        <v>3392</v>
      </c>
      <c r="L2547" s="94"/>
      <c r="M2547" s="94" t="s">
        <v>3344</v>
      </c>
      <c r="N2547" s="106">
        <v>44384</v>
      </c>
      <c r="O2547" s="94" t="s">
        <v>511</v>
      </c>
      <c r="P2547" s="297">
        <v>12229.1</v>
      </c>
      <c r="Q2547" s="297">
        <v>-2</v>
      </c>
      <c r="R2547" s="268">
        <f t="shared" si="64"/>
        <v>-24458.2</v>
      </c>
      <c r="S2547" s="24">
        <v>202303</v>
      </c>
      <c r="T2547" s="127" t="s">
        <v>3428</v>
      </c>
      <c r="U2547" s="40"/>
      <c r="V2547" s="40"/>
      <c r="W2547" s="40"/>
      <c r="X2547" s="106">
        <v>43830</v>
      </c>
      <c r="Y2547" s="106">
        <v>46022</v>
      </c>
    </row>
    <row r="2548" s="9" customFormat="1" customHeight="1" spans="1:25">
      <c r="A2548" s="96" t="s">
        <v>401</v>
      </c>
      <c r="B2548" s="96" t="s">
        <v>2950</v>
      </c>
      <c r="C2548" s="96" t="s">
        <v>2998</v>
      </c>
      <c r="D2548" s="265" t="s">
        <v>2951</v>
      </c>
      <c r="E2548" s="105" t="s">
        <v>3328</v>
      </c>
      <c r="F2548" s="96" t="s">
        <v>3342</v>
      </c>
      <c r="G2548" s="96" t="s">
        <v>88</v>
      </c>
      <c r="H2548" s="97" t="s">
        <v>3391</v>
      </c>
      <c r="I2548" s="23" t="e">
        <f>VLOOKUP(H2548,'合同综合查询数据（3月返）'!$A:$A,1,FALSE)</f>
        <v>#N/A</v>
      </c>
      <c r="J2548" s="24" t="s">
        <v>90</v>
      </c>
      <c r="K2548" s="94" t="s">
        <v>3392</v>
      </c>
      <c r="L2548" s="94"/>
      <c r="M2548" s="94" t="s">
        <v>3344</v>
      </c>
      <c r="N2548" s="106">
        <v>44388</v>
      </c>
      <c r="O2548" s="94" t="s">
        <v>457</v>
      </c>
      <c r="P2548" s="297">
        <v>5980</v>
      </c>
      <c r="Q2548" s="297">
        <v>18</v>
      </c>
      <c r="R2548" s="268">
        <f t="shared" si="64"/>
        <v>107640</v>
      </c>
      <c r="S2548" s="24">
        <v>202303</v>
      </c>
      <c r="T2548" s="127" t="s">
        <v>3429</v>
      </c>
      <c r="U2548" s="40"/>
      <c r="V2548" s="40"/>
      <c r="W2548" s="40"/>
      <c r="X2548" s="106">
        <v>43830</v>
      </c>
      <c r="Y2548" s="106">
        <v>46022</v>
      </c>
    </row>
    <row r="2549" s="9" customFormat="1" customHeight="1" spans="1:25">
      <c r="A2549" s="96" t="s">
        <v>401</v>
      </c>
      <c r="B2549" s="96" t="s">
        <v>2950</v>
      </c>
      <c r="C2549" s="96" t="s">
        <v>2998</v>
      </c>
      <c r="D2549" s="265" t="s">
        <v>2951</v>
      </c>
      <c r="E2549" s="105" t="s">
        <v>3328</v>
      </c>
      <c r="F2549" s="96" t="s">
        <v>3342</v>
      </c>
      <c r="G2549" s="96" t="s">
        <v>88</v>
      </c>
      <c r="H2549" s="97" t="s">
        <v>3391</v>
      </c>
      <c r="I2549" s="23" t="e">
        <f>VLOOKUP(H2549,'合同综合查询数据（3月返）'!$A:$A,1,FALSE)</f>
        <v>#N/A</v>
      </c>
      <c r="J2549" s="24" t="s">
        <v>90</v>
      </c>
      <c r="K2549" s="94" t="s">
        <v>3392</v>
      </c>
      <c r="L2549" s="94"/>
      <c r="M2549" s="94" t="s">
        <v>3344</v>
      </c>
      <c r="N2549" s="106">
        <v>44399</v>
      </c>
      <c r="O2549" s="94" t="s">
        <v>457</v>
      </c>
      <c r="P2549" s="297">
        <v>5980</v>
      </c>
      <c r="Q2549" s="297">
        <v>32</v>
      </c>
      <c r="R2549" s="268">
        <f t="shared" si="64"/>
        <v>191360</v>
      </c>
      <c r="S2549" s="24">
        <v>202303</v>
      </c>
      <c r="T2549" s="127" t="s">
        <v>3430</v>
      </c>
      <c r="U2549" s="40"/>
      <c r="V2549" s="40"/>
      <c r="W2549" s="40"/>
      <c r="X2549" s="106">
        <v>43830</v>
      </c>
      <c r="Y2549" s="106">
        <v>46022</v>
      </c>
    </row>
    <row r="2550" s="9" customFormat="1" customHeight="1" spans="1:25">
      <c r="A2550" s="96" t="s">
        <v>401</v>
      </c>
      <c r="B2550" s="96" t="s">
        <v>2950</v>
      </c>
      <c r="C2550" s="96" t="s">
        <v>2998</v>
      </c>
      <c r="D2550" s="265" t="s">
        <v>2951</v>
      </c>
      <c r="E2550" s="105" t="s">
        <v>3328</v>
      </c>
      <c r="F2550" s="96" t="s">
        <v>3342</v>
      </c>
      <c r="G2550" s="96" t="s">
        <v>88</v>
      </c>
      <c r="H2550" s="97" t="s">
        <v>3391</v>
      </c>
      <c r="I2550" s="23" t="e">
        <f>VLOOKUP(H2550,'合同综合查询数据（3月返）'!$A:$A,1,FALSE)</f>
        <v>#N/A</v>
      </c>
      <c r="J2550" s="24" t="s">
        <v>90</v>
      </c>
      <c r="K2550" s="94" t="s">
        <v>3392</v>
      </c>
      <c r="L2550" s="94"/>
      <c r="M2550" s="94" t="s">
        <v>3344</v>
      </c>
      <c r="N2550" s="106">
        <v>44406</v>
      </c>
      <c r="O2550" s="94" t="s">
        <v>457</v>
      </c>
      <c r="P2550" s="297">
        <v>5980</v>
      </c>
      <c r="Q2550" s="297">
        <v>11</v>
      </c>
      <c r="R2550" s="268">
        <f t="shared" si="64"/>
        <v>65780</v>
      </c>
      <c r="S2550" s="24">
        <v>202303</v>
      </c>
      <c r="T2550" s="127" t="s">
        <v>3431</v>
      </c>
      <c r="U2550" s="40"/>
      <c r="V2550" s="40"/>
      <c r="W2550" s="40"/>
      <c r="X2550" s="106">
        <v>43830</v>
      </c>
      <c r="Y2550" s="106">
        <v>46022</v>
      </c>
    </row>
    <row r="2551" s="9" customFormat="1" customHeight="1" spans="1:25">
      <c r="A2551" s="96" t="s">
        <v>401</v>
      </c>
      <c r="B2551" s="96" t="s">
        <v>2950</v>
      </c>
      <c r="C2551" s="96" t="s">
        <v>2998</v>
      </c>
      <c r="D2551" s="265" t="s">
        <v>2951</v>
      </c>
      <c r="E2551" s="105" t="s">
        <v>3328</v>
      </c>
      <c r="F2551" s="96" t="s">
        <v>3342</v>
      </c>
      <c r="G2551" s="96" t="s">
        <v>88</v>
      </c>
      <c r="H2551" s="97" t="s">
        <v>3391</v>
      </c>
      <c r="I2551" s="23" t="e">
        <f>VLOOKUP(H2551,'合同综合查询数据（3月返）'!$A:$A,1,FALSE)</f>
        <v>#N/A</v>
      </c>
      <c r="J2551" s="24" t="s">
        <v>90</v>
      </c>
      <c r="K2551" s="94" t="s">
        <v>3392</v>
      </c>
      <c r="L2551" s="94"/>
      <c r="M2551" s="94" t="s">
        <v>3344</v>
      </c>
      <c r="N2551" s="106">
        <v>44407</v>
      </c>
      <c r="O2551" s="94" t="s">
        <v>457</v>
      </c>
      <c r="P2551" s="297">
        <v>5980</v>
      </c>
      <c r="Q2551" s="297">
        <v>9</v>
      </c>
      <c r="R2551" s="268">
        <f t="shared" si="64"/>
        <v>53820</v>
      </c>
      <c r="S2551" s="24">
        <v>202303</v>
      </c>
      <c r="T2551" s="127" t="s">
        <v>3432</v>
      </c>
      <c r="U2551" s="40"/>
      <c r="V2551" s="40"/>
      <c r="W2551" s="40"/>
      <c r="X2551" s="106">
        <v>43830</v>
      </c>
      <c r="Y2551" s="106">
        <v>46022</v>
      </c>
    </row>
    <row r="2552" s="9" customFormat="1" customHeight="1" spans="1:25">
      <c r="A2552" s="96" t="s">
        <v>401</v>
      </c>
      <c r="B2552" s="96" t="s">
        <v>2950</v>
      </c>
      <c r="C2552" s="96" t="s">
        <v>2998</v>
      </c>
      <c r="D2552" s="265" t="s">
        <v>2951</v>
      </c>
      <c r="E2552" s="105" t="s">
        <v>3328</v>
      </c>
      <c r="F2552" s="96" t="s">
        <v>3342</v>
      </c>
      <c r="G2552" s="96" t="s">
        <v>88</v>
      </c>
      <c r="H2552" s="97" t="s">
        <v>3391</v>
      </c>
      <c r="I2552" s="23" t="e">
        <f>VLOOKUP(H2552,'合同综合查询数据（3月返）'!$A:$A,1,FALSE)</f>
        <v>#N/A</v>
      </c>
      <c r="J2552" s="24" t="s">
        <v>90</v>
      </c>
      <c r="K2552" s="94" t="s">
        <v>3392</v>
      </c>
      <c r="L2552" s="94"/>
      <c r="M2552" s="94" t="s">
        <v>3344</v>
      </c>
      <c r="N2552" s="106">
        <v>44409</v>
      </c>
      <c r="O2552" s="94" t="s">
        <v>457</v>
      </c>
      <c r="P2552" s="297">
        <v>5980</v>
      </c>
      <c r="Q2552" s="297">
        <v>13</v>
      </c>
      <c r="R2552" s="268">
        <f t="shared" si="64"/>
        <v>77740</v>
      </c>
      <c r="S2552" s="24">
        <v>202303</v>
      </c>
      <c r="T2552" s="127" t="s">
        <v>3433</v>
      </c>
      <c r="U2552" s="40"/>
      <c r="V2552" s="40"/>
      <c r="W2552" s="40"/>
      <c r="X2552" s="106">
        <v>43830</v>
      </c>
      <c r="Y2552" s="106">
        <v>46022</v>
      </c>
    </row>
    <row r="2553" s="9" customFormat="1" customHeight="1" spans="1:25">
      <c r="A2553" s="96" t="s">
        <v>401</v>
      </c>
      <c r="B2553" s="96" t="s">
        <v>2950</v>
      </c>
      <c r="C2553" s="96" t="s">
        <v>2998</v>
      </c>
      <c r="D2553" s="265" t="s">
        <v>2951</v>
      </c>
      <c r="E2553" s="105" t="s">
        <v>3328</v>
      </c>
      <c r="F2553" s="96" t="s">
        <v>3342</v>
      </c>
      <c r="G2553" s="96" t="s">
        <v>88</v>
      </c>
      <c r="H2553" s="97" t="s">
        <v>3391</v>
      </c>
      <c r="I2553" s="23" t="e">
        <f>VLOOKUP(H2553,'合同综合查询数据（3月返）'!$A:$A,1,FALSE)</f>
        <v>#N/A</v>
      </c>
      <c r="J2553" s="24" t="s">
        <v>90</v>
      </c>
      <c r="K2553" s="94" t="s">
        <v>3392</v>
      </c>
      <c r="L2553" s="94"/>
      <c r="M2553" s="94" t="s">
        <v>3344</v>
      </c>
      <c r="N2553" s="106">
        <v>44446</v>
      </c>
      <c r="O2553" s="94" t="s">
        <v>457</v>
      </c>
      <c r="P2553" s="297">
        <v>5980</v>
      </c>
      <c r="Q2553" s="297">
        <v>6</v>
      </c>
      <c r="R2553" s="268">
        <f t="shared" si="64"/>
        <v>35880</v>
      </c>
      <c r="S2553" s="24">
        <v>202303</v>
      </c>
      <c r="T2553" s="127" t="s">
        <v>3434</v>
      </c>
      <c r="U2553" s="40"/>
      <c r="V2553" s="40"/>
      <c r="W2553" s="40"/>
      <c r="X2553" s="106">
        <v>43830</v>
      </c>
      <c r="Y2553" s="106">
        <v>46022</v>
      </c>
    </row>
    <row r="2554" s="9" customFormat="1" customHeight="1" spans="1:25">
      <c r="A2554" s="96" t="s">
        <v>401</v>
      </c>
      <c r="B2554" s="96" t="s">
        <v>2950</v>
      </c>
      <c r="C2554" s="96" t="s">
        <v>2998</v>
      </c>
      <c r="D2554" s="265" t="s">
        <v>2951</v>
      </c>
      <c r="E2554" s="105" t="s">
        <v>3328</v>
      </c>
      <c r="F2554" s="96" t="s">
        <v>3342</v>
      </c>
      <c r="G2554" s="96" t="s">
        <v>88</v>
      </c>
      <c r="H2554" s="97" t="s">
        <v>3391</v>
      </c>
      <c r="I2554" s="23" t="e">
        <f>VLOOKUP(H2554,'合同综合查询数据（3月返）'!$A:$A,1,FALSE)</f>
        <v>#N/A</v>
      </c>
      <c r="J2554" s="24" t="s">
        <v>90</v>
      </c>
      <c r="K2554" s="94" t="s">
        <v>3392</v>
      </c>
      <c r="L2554" s="94"/>
      <c r="M2554" s="94" t="s">
        <v>3344</v>
      </c>
      <c r="N2554" s="106">
        <v>44452</v>
      </c>
      <c r="O2554" s="94" t="s">
        <v>457</v>
      </c>
      <c r="P2554" s="297">
        <v>5980</v>
      </c>
      <c r="Q2554" s="297">
        <v>1</v>
      </c>
      <c r="R2554" s="268">
        <f t="shared" ref="R2554:R2617" si="65">ROUND(P2554*Q2554,2)</f>
        <v>5980</v>
      </c>
      <c r="S2554" s="24">
        <v>202303</v>
      </c>
      <c r="T2554" s="127" t="s">
        <v>3435</v>
      </c>
      <c r="U2554" s="40"/>
      <c r="V2554" s="40"/>
      <c r="W2554" s="40"/>
      <c r="X2554" s="106">
        <v>43830</v>
      </c>
      <c r="Y2554" s="106">
        <v>46022</v>
      </c>
    </row>
    <row r="2555" s="9" customFormat="1" customHeight="1" spans="1:25">
      <c r="A2555" s="96" t="s">
        <v>401</v>
      </c>
      <c r="B2555" s="96" t="s">
        <v>2950</v>
      </c>
      <c r="C2555" s="96" t="s">
        <v>2998</v>
      </c>
      <c r="D2555" s="265" t="s">
        <v>2951</v>
      </c>
      <c r="E2555" s="105" t="s">
        <v>3328</v>
      </c>
      <c r="F2555" s="96" t="s">
        <v>3342</v>
      </c>
      <c r="G2555" s="96" t="s">
        <v>88</v>
      </c>
      <c r="H2555" s="97" t="s">
        <v>3391</v>
      </c>
      <c r="I2555" s="23" t="e">
        <f>VLOOKUP(H2555,'合同综合查询数据（3月返）'!$A:$A,1,FALSE)</f>
        <v>#N/A</v>
      </c>
      <c r="J2555" s="24" t="s">
        <v>90</v>
      </c>
      <c r="K2555" s="94" t="s">
        <v>3392</v>
      </c>
      <c r="L2555" s="94"/>
      <c r="M2555" s="94" t="s">
        <v>3344</v>
      </c>
      <c r="N2555" s="106">
        <v>44466</v>
      </c>
      <c r="O2555" s="94" t="s">
        <v>457</v>
      </c>
      <c r="P2555" s="297">
        <v>5980</v>
      </c>
      <c r="Q2555" s="297">
        <v>-2</v>
      </c>
      <c r="R2555" s="268">
        <f t="shared" si="65"/>
        <v>-11960</v>
      </c>
      <c r="S2555" s="24">
        <v>202303</v>
      </c>
      <c r="T2555" s="127" t="s">
        <v>3436</v>
      </c>
      <c r="U2555" s="303"/>
      <c r="V2555" s="40"/>
      <c r="W2555" s="303"/>
      <c r="X2555" s="106">
        <v>43830</v>
      </c>
      <c r="Y2555" s="106">
        <v>46022</v>
      </c>
    </row>
    <row r="2556" s="9" customFormat="1" customHeight="1" spans="1:25">
      <c r="A2556" s="96" t="s">
        <v>401</v>
      </c>
      <c r="B2556" s="96" t="s">
        <v>2950</v>
      </c>
      <c r="C2556" s="96" t="s">
        <v>2998</v>
      </c>
      <c r="D2556" s="265" t="s">
        <v>2951</v>
      </c>
      <c r="E2556" s="105" t="s">
        <v>3328</v>
      </c>
      <c r="F2556" s="96" t="s">
        <v>3342</v>
      </c>
      <c r="G2556" s="96" t="s">
        <v>88</v>
      </c>
      <c r="H2556" s="97" t="s">
        <v>3391</v>
      </c>
      <c r="I2556" s="23" t="e">
        <f>VLOOKUP(H2556,'合同综合查询数据（3月返）'!$A:$A,1,FALSE)</f>
        <v>#N/A</v>
      </c>
      <c r="J2556" s="24" t="s">
        <v>90</v>
      </c>
      <c r="K2556" s="94" t="s">
        <v>3392</v>
      </c>
      <c r="L2556" s="94"/>
      <c r="M2556" s="94" t="s">
        <v>3344</v>
      </c>
      <c r="N2556" s="106">
        <v>44467</v>
      </c>
      <c r="O2556" s="94" t="s">
        <v>470</v>
      </c>
      <c r="P2556" s="297">
        <v>8970</v>
      </c>
      <c r="Q2556" s="297">
        <v>2</v>
      </c>
      <c r="R2556" s="268">
        <f t="shared" si="65"/>
        <v>17940</v>
      </c>
      <c r="S2556" s="24">
        <v>202303</v>
      </c>
      <c r="T2556" s="127" t="s">
        <v>3437</v>
      </c>
      <c r="U2556" s="40"/>
      <c r="V2556" s="40"/>
      <c r="W2556" s="40"/>
      <c r="X2556" s="106">
        <v>43830</v>
      </c>
      <c r="Y2556" s="106">
        <v>46022</v>
      </c>
    </row>
    <row r="2557" s="9" customFormat="1" customHeight="1" spans="1:25">
      <c r="A2557" s="96" t="s">
        <v>401</v>
      </c>
      <c r="B2557" s="96" t="s">
        <v>2950</v>
      </c>
      <c r="C2557" s="96" t="s">
        <v>2998</v>
      </c>
      <c r="D2557" s="265" t="s">
        <v>2951</v>
      </c>
      <c r="E2557" s="105" t="s">
        <v>3328</v>
      </c>
      <c r="F2557" s="96" t="s">
        <v>3342</v>
      </c>
      <c r="G2557" s="96" t="s">
        <v>88</v>
      </c>
      <c r="H2557" s="97" t="s">
        <v>3391</v>
      </c>
      <c r="I2557" s="23" t="e">
        <f>VLOOKUP(H2557,'合同综合查询数据（3月返）'!$A:$A,1,FALSE)</f>
        <v>#N/A</v>
      </c>
      <c r="J2557" s="24" t="s">
        <v>90</v>
      </c>
      <c r="K2557" s="94" t="s">
        <v>3392</v>
      </c>
      <c r="L2557" s="94"/>
      <c r="M2557" s="94" t="s">
        <v>3344</v>
      </c>
      <c r="N2557" s="106">
        <v>44478</v>
      </c>
      <c r="O2557" s="94" t="s">
        <v>457</v>
      </c>
      <c r="P2557" s="297">
        <v>5980</v>
      </c>
      <c r="Q2557" s="297">
        <v>9</v>
      </c>
      <c r="R2557" s="268">
        <f t="shared" si="65"/>
        <v>53820</v>
      </c>
      <c r="S2557" s="24">
        <v>202303</v>
      </c>
      <c r="T2557" s="127" t="s">
        <v>3438</v>
      </c>
      <c r="U2557" s="40"/>
      <c r="V2557" s="40"/>
      <c r="W2557" s="40"/>
      <c r="X2557" s="106">
        <v>43830</v>
      </c>
      <c r="Y2557" s="106">
        <v>46022</v>
      </c>
    </row>
    <row r="2558" s="9" customFormat="1" customHeight="1" spans="1:25">
      <c r="A2558" s="96" t="s">
        <v>401</v>
      </c>
      <c r="B2558" s="96" t="s">
        <v>2950</v>
      </c>
      <c r="C2558" s="96" t="s">
        <v>2998</v>
      </c>
      <c r="D2558" s="265" t="s">
        <v>2951</v>
      </c>
      <c r="E2558" s="105" t="s">
        <v>3328</v>
      </c>
      <c r="F2558" s="96" t="s">
        <v>3342</v>
      </c>
      <c r="G2558" s="96" t="s">
        <v>88</v>
      </c>
      <c r="H2558" s="97" t="s">
        <v>3391</v>
      </c>
      <c r="I2558" s="23" t="e">
        <f>VLOOKUP(H2558,'合同综合查询数据（3月返）'!$A:$A,1,FALSE)</f>
        <v>#N/A</v>
      </c>
      <c r="J2558" s="24" t="s">
        <v>90</v>
      </c>
      <c r="K2558" s="94" t="s">
        <v>3392</v>
      </c>
      <c r="L2558" s="94"/>
      <c r="M2558" s="94" t="s">
        <v>3344</v>
      </c>
      <c r="N2558" s="106">
        <v>44508</v>
      </c>
      <c r="O2558" s="94" t="s">
        <v>511</v>
      </c>
      <c r="P2558" s="297">
        <v>12229.1</v>
      </c>
      <c r="Q2558" s="297">
        <v>2</v>
      </c>
      <c r="R2558" s="268">
        <f t="shared" si="65"/>
        <v>24458.2</v>
      </c>
      <c r="S2558" s="24">
        <v>202303</v>
      </c>
      <c r="T2558" s="127" t="s">
        <v>3439</v>
      </c>
      <c r="U2558" s="40"/>
      <c r="V2558" s="40"/>
      <c r="W2558" s="40"/>
      <c r="X2558" s="106">
        <v>43830</v>
      </c>
      <c r="Y2558" s="106">
        <v>46022</v>
      </c>
    </row>
    <row r="2559" s="9" customFormat="1" customHeight="1" spans="1:25">
      <c r="A2559" s="96" t="s">
        <v>401</v>
      </c>
      <c r="B2559" s="96" t="s">
        <v>2950</v>
      </c>
      <c r="C2559" s="96" t="s">
        <v>2998</v>
      </c>
      <c r="D2559" s="265" t="s">
        <v>2951</v>
      </c>
      <c r="E2559" s="105" t="s">
        <v>3328</v>
      </c>
      <c r="F2559" s="96" t="s">
        <v>3342</v>
      </c>
      <c r="G2559" s="96" t="s">
        <v>88</v>
      </c>
      <c r="H2559" s="97" t="s">
        <v>3391</v>
      </c>
      <c r="I2559" s="23" t="e">
        <f>VLOOKUP(H2559,'合同综合查询数据（3月返）'!$A:$A,1,FALSE)</f>
        <v>#N/A</v>
      </c>
      <c r="J2559" s="24" t="s">
        <v>126</v>
      </c>
      <c r="K2559" s="94" t="s">
        <v>3392</v>
      </c>
      <c r="L2559" s="94"/>
      <c r="M2559" s="26" t="s">
        <v>3344</v>
      </c>
      <c r="N2559" s="106">
        <v>44504</v>
      </c>
      <c r="O2559" s="301" t="s">
        <v>457</v>
      </c>
      <c r="P2559" s="268">
        <v>5980</v>
      </c>
      <c r="Q2559" s="273">
        <v>6</v>
      </c>
      <c r="R2559" s="268">
        <f t="shared" si="65"/>
        <v>35880</v>
      </c>
      <c r="S2559" s="24">
        <v>202303</v>
      </c>
      <c r="T2559" s="127" t="s">
        <v>3440</v>
      </c>
      <c r="U2559" s="40"/>
      <c r="V2559" s="40"/>
      <c r="W2559" s="40"/>
      <c r="X2559" s="106">
        <v>43830</v>
      </c>
      <c r="Y2559" s="28">
        <v>46022</v>
      </c>
    </row>
    <row r="2560" s="9" customFormat="1" customHeight="1" spans="1:25">
      <c r="A2560" s="96" t="s">
        <v>401</v>
      </c>
      <c r="B2560" s="96" t="s">
        <v>2950</v>
      </c>
      <c r="C2560" s="96" t="s">
        <v>2998</v>
      </c>
      <c r="D2560" s="265" t="s">
        <v>2951</v>
      </c>
      <c r="E2560" s="105" t="s">
        <v>3328</v>
      </c>
      <c r="F2560" s="96" t="s">
        <v>3342</v>
      </c>
      <c r="G2560" s="96" t="s">
        <v>88</v>
      </c>
      <c r="H2560" s="97" t="s">
        <v>3391</v>
      </c>
      <c r="I2560" s="23" t="e">
        <f>VLOOKUP(H2560,'合同综合查询数据（3月返）'!$A:$A,1,FALSE)</f>
        <v>#N/A</v>
      </c>
      <c r="J2560" s="24" t="s">
        <v>90</v>
      </c>
      <c r="K2560" s="94" t="s">
        <v>3392</v>
      </c>
      <c r="L2560" s="94"/>
      <c r="M2560" s="26" t="s">
        <v>3344</v>
      </c>
      <c r="N2560" s="106">
        <v>44536</v>
      </c>
      <c r="O2560" s="301" t="s">
        <v>457</v>
      </c>
      <c r="P2560" s="268">
        <v>5980</v>
      </c>
      <c r="Q2560" s="273">
        <v>2</v>
      </c>
      <c r="R2560" s="268">
        <f t="shared" si="65"/>
        <v>11960</v>
      </c>
      <c r="S2560" s="24">
        <v>202303</v>
      </c>
      <c r="T2560" s="127" t="s">
        <v>3441</v>
      </c>
      <c r="U2560" s="40"/>
      <c r="V2560" s="40"/>
      <c r="W2560" s="40"/>
      <c r="X2560" s="106">
        <v>43830</v>
      </c>
      <c r="Y2560" s="28">
        <v>46022</v>
      </c>
    </row>
    <row r="2561" s="9" customFormat="1" customHeight="1" spans="1:25">
      <c r="A2561" s="96" t="s">
        <v>401</v>
      </c>
      <c r="B2561" s="96" t="s">
        <v>2950</v>
      </c>
      <c r="C2561" s="96" t="s">
        <v>2998</v>
      </c>
      <c r="D2561" s="265" t="s">
        <v>2951</v>
      </c>
      <c r="E2561" s="105" t="s">
        <v>3328</v>
      </c>
      <c r="F2561" s="96" t="s">
        <v>3342</v>
      </c>
      <c r="G2561" s="96" t="s">
        <v>88</v>
      </c>
      <c r="H2561" s="97" t="s">
        <v>3391</v>
      </c>
      <c r="I2561" s="23" t="e">
        <f>VLOOKUP(H2561,'合同综合查询数据（3月返）'!$A:$A,1,FALSE)</f>
        <v>#N/A</v>
      </c>
      <c r="J2561" s="24" t="s">
        <v>90</v>
      </c>
      <c r="K2561" s="94" t="s">
        <v>3392</v>
      </c>
      <c r="L2561" s="94"/>
      <c r="M2561" s="26" t="s">
        <v>3344</v>
      </c>
      <c r="N2561" s="106">
        <v>44560</v>
      </c>
      <c r="O2561" s="301" t="s">
        <v>457</v>
      </c>
      <c r="P2561" s="268">
        <v>5980</v>
      </c>
      <c r="Q2561" s="273">
        <v>6</v>
      </c>
      <c r="R2561" s="268">
        <f t="shared" si="65"/>
        <v>35880</v>
      </c>
      <c r="S2561" s="24">
        <v>202303</v>
      </c>
      <c r="T2561" s="127" t="s">
        <v>3442</v>
      </c>
      <c r="U2561" s="40"/>
      <c r="V2561" s="40"/>
      <c r="W2561" s="40"/>
      <c r="X2561" s="106">
        <v>43830</v>
      </c>
      <c r="Y2561" s="28">
        <v>46022</v>
      </c>
    </row>
    <row r="2562" s="9" customFormat="1" customHeight="1" spans="1:25">
      <c r="A2562" s="96" t="s">
        <v>401</v>
      </c>
      <c r="B2562" s="96" t="s">
        <v>2950</v>
      </c>
      <c r="C2562" s="96" t="s">
        <v>2998</v>
      </c>
      <c r="D2562" s="265" t="s">
        <v>2951</v>
      </c>
      <c r="E2562" s="105" t="s">
        <v>3328</v>
      </c>
      <c r="F2562" s="96" t="s">
        <v>3342</v>
      </c>
      <c r="G2562" s="96" t="s">
        <v>88</v>
      </c>
      <c r="H2562" s="97" t="s">
        <v>3391</v>
      </c>
      <c r="I2562" s="23" t="e">
        <f>VLOOKUP(H2562,'合同综合查询数据（3月返）'!$A:$A,1,FALSE)</f>
        <v>#N/A</v>
      </c>
      <c r="J2562" s="24" t="s">
        <v>90</v>
      </c>
      <c r="K2562" s="94" t="s">
        <v>3392</v>
      </c>
      <c r="L2562" s="94"/>
      <c r="M2562" s="26" t="s">
        <v>3344</v>
      </c>
      <c r="N2562" s="106">
        <v>44571</v>
      </c>
      <c r="O2562" s="301" t="s">
        <v>457</v>
      </c>
      <c r="P2562" s="268">
        <v>5980</v>
      </c>
      <c r="Q2562" s="273">
        <v>57</v>
      </c>
      <c r="R2562" s="268">
        <f t="shared" si="65"/>
        <v>340860</v>
      </c>
      <c r="S2562" s="24">
        <v>202303</v>
      </c>
      <c r="T2562" s="127" t="s">
        <v>3443</v>
      </c>
      <c r="U2562" s="40"/>
      <c r="V2562" s="40"/>
      <c r="W2562" s="40"/>
      <c r="X2562" s="106">
        <v>43830</v>
      </c>
      <c r="Y2562" s="28">
        <v>46022</v>
      </c>
    </row>
    <row r="2563" s="9" customFormat="1" customHeight="1" spans="1:25">
      <c r="A2563" s="96" t="s">
        <v>401</v>
      </c>
      <c r="B2563" s="96" t="s">
        <v>2950</v>
      </c>
      <c r="C2563" s="96" t="s">
        <v>2998</v>
      </c>
      <c r="D2563" s="265" t="s">
        <v>2951</v>
      </c>
      <c r="E2563" s="105" t="s">
        <v>3328</v>
      </c>
      <c r="F2563" s="96" t="s">
        <v>3342</v>
      </c>
      <c r="G2563" s="96" t="s">
        <v>88</v>
      </c>
      <c r="H2563" s="97" t="s">
        <v>3391</v>
      </c>
      <c r="I2563" s="23" t="e">
        <f>VLOOKUP(H2563,'合同综合查询数据（3月返）'!$A:$A,1,FALSE)</f>
        <v>#N/A</v>
      </c>
      <c r="J2563" s="24" t="s">
        <v>90</v>
      </c>
      <c r="K2563" s="94" t="s">
        <v>3392</v>
      </c>
      <c r="L2563" s="94"/>
      <c r="M2563" s="26" t="s">
        <v>3344</v>
      </c>
      <c r="N2563" s="106">
        <v>44575</v>
      </c>
      <c r="O2563" s="301" t="s">
        <v>457</v>
      </c>
      <c r="P2563" s="268">
        <v>5980</v>
      </c>
      <c r="Q2563" s="273">
        <v>22</v>
      </c>
      <c r="R2563" s="268">
        <f t="shared" si="65"/>
        <v>131560</v>
      </c>
      <c r="S2563" s="24">
        <v>202303</v>
      </c>
      <c r="T2563" s="127" t="s">
        <v>3444</v>
      </c>
      <c r="U2563" s="40"/>
      <c r="V2563" s="40"/>
      <c r="W2563" s="40"/>
      <c r="X2563" s="106">
        <v>43830</v>
      </c>
      <c r="Y2563" s="28">
        <v>46022</v>
      </c>
    </row>
    <row r="2564" s="9" customFormat="1" customHeight="1" spans="1:25">
      <c r="A2564" s="96" t="s">
        <v>401</v>
      </c>
      <c r="B2564" s="96" t="s">
        <v>2950</v>
      </c>
      <c r="C2564" s="96" t="s">
        <v>2998</v>
      </c>
      <c r="D2564" s="265" t="s">
        <v>2951</v>
      </c>
      <c r="E2564" s="105" t="s">
        <v>3328</v>
      </c>
      <c r="F2564" s="96" t="s">
        <v>3342</v>
      </c>
      <c r="G2564" s="96" t="s">
        <v>88</v>
      </c>
      <c r="H2564" s="97" t="s">
        <v>3391</v>
      </c>
      <c r="I2564" s="23" t="e">
        <f>VLOOKUP(H2564,'合同综合查询数据（3月返）'!$A:$A,1,FALSE)</f>
        <v>#N/A</v>
      </c>
      <c r="J2564" s="24" t="s">
        <v>90</v>
      </c>
      <c r="K2564" s="94" t="s">
        <v>3392</v>
      </c>
      <c r="L2564" s="94"/>
      <c r="M2564" s="26" t="s">
        <v>3344</v>
      </c>
      <c r="N2564" s="106">
        <v>44659</v>
      </c>
      <c r="O2564" s="301" t="s">
        <v>457</v>
      </c>
      <c r="P2564" s="268">
        <v>5980</v>
      </c>
      <c r="Q2564" s="273">
        <v>34</v>
      </c>
      <c r="R2564" s="268">
        <f t="shared" si="65"/>
        <v>203320</v>
      </c>
      <c r="S2564" s="24">
        <v>202303</v>
      </c>
      <c r="T2564" s="127" t="s">
        <v>3445</v>
      </c>
      <c r="U2564" s="40"/>
      <c r="V2564" s="40"/>
      <c r="W2564" s="40"/>
      <c r="X2564" s="106">
        <v>43830</v>
      </c>
      <c r="Y2564" s="28">
        <v>46022</v>
      </c>
    </row>
    <row r="2565" s="9" customFormat="1" customHeight="1" spans="1:25">
      <c r="A2565" s="96" t="s">
        <v>401</v>
      </c>
      <c r="B2565" s="96" t="s">
        <v>2950</v>
      </c>
      <c r="C2565" s="96" t="s">
        <v>2998</v>
      </c>
      <c r="D2565" s="265" t="s">
        <v>2951</v>
      </c>
      <c r="E2565" s="105" t="s">
        <v>3328</v>
      </c>
      <c r="F2565" s="96" t="s">
        <v>3342</v>
      </c>
      <c r="G2565" s="96" t="s">
        <v>88</v>
      </c>
      <c r="H2565" s="97" t="s">
        <v>3391</v>
      </c>
      <c r="I2565" s="23" t="e">
        <f>VLOOKUP(H2565,'合同综合查询数据（3月返）'!$A:$A,1,FALSE)</f>
        <v>#N/A</v>
      </c>
      <c r="J2565" s="24" t="s">
        <v>90</v>
      </c>
      <c r="K2565" s="94" t="s">
        <v>3392</v>
      </c>
      <c r="L2565" s="94"/>
      <c r="M2565" s="26" t="s">
        <v>3344</v>
      </c>
      <c r="N2565" s="106">
        <v>44670</v>
      </c>
      <c r="O2565" s="301" t="s">
        <v>457</v>
      </c>
      <c r="P2565" s="268">
        <v>5980</v>
      </c>
      <c r="Q2565" s="273">
        <v>44</v>
      </c>
      <c r="R2565" s="268">
        <f t="shared" si="65"/>
        <v>263120</v>
      </c>
      <c r="S2565" s="24">
        <v>202303</v>
      </c>
      <c r="T2565" s="127" t="s">
        <v>3446</v>
      </c>
      <c r="U2565" s="40"/>
      <c r="V2565" s="40"/>
      <c r="W2565" s="40"/>
      <c r="X2565" s="106">
        <v>43830</v>
      </c>
      <c r="Y2565" s="28">
        <v>46022</v>
      </c>
    </row>
    <row r="2566" s="9" customFormat="1" customHeight="1" spans="1:25">
      <c r="A2566" s="96" t="s">
        <v>401</v>
      </c>
      <c r="B2566" s="96" t="s">
        <v>2950</v>
      </c>
      <c r="C2566" s="96" t="s">
        <v>2998</v>
      </c>
      <c r="D2566" s="265" t="s">
        <v>2951</v>
      </c>
      <c r="E2566" s="105" t="s">
        <v>3328</v>
      </c>
      <c r="F2566" s="96" t="s">
        <v>3342</v>
      </c>
      <c r="G2566" s="96" t="s">
        <v>88</v>
      </c>
      <c r="H2566" s="97" t="s">
        <v>3391</v>
      </c>
      <c r="I2566" s="23" t="e">
        <f>VLOOKUP(H2566,'合同综合查询数据（3月返）'!$A:$A,1,FALSE)</f>
        <v>#N/A</v>
      </c>
      <c r="J2566" s="24" t="s">
        <v>90</v>
      </c>
      <c r="K2566" s="94" t="s">
        <v>3392</v>
      </c>
      <c r="L2566" s="94"/>
      <c r="M2566" s="26" t="s">
        <v>3344</v>
      </c>
      <c r="N2566" s="106">
        <v>44672</v>
      </c>
      <c r="O2566" s="301" t="s">
        <v>457</v>
      </c>
      <c r="P2566" s="268">
        <v>5980</v>
      </c>
      <c r="Q2566" s="273">
        <v>41</v>
      </c>
      <c r="R2566" s="268">
        <f t="shared" si="65"/>
        <v>245180</v>
      </c>
      <c r="S2566" s="24">
        <v>202303</v>
      </c>
      <c r="T2566" s="127" t="s">
        <v>3447</v>
      </c>
      <c r="U2566" s="40"/>
      <c r="V2566" s="40"/>
      <c r="W2566" s="40"/>
      <c r="X2566" s="106">
        <v>43830</v>
      </c>
      <c r="Y2566" s="28">
        <v>46022</v>
      </c>
    </row>
    <row r="2567" s="9" customFormat="1" customHeight="1" spans="1:25">
      <c r="A2567" s="96" t="s">
        <v>401</v>
      </c>
      <c r="B2567" s="96" t="s">
        <v>2950</v>
      </c>
      <c r="C2567" s="96" t="s">
        <v>2998</v>
      </c>
      <c r="D2567" s="265" t="s">
        <v>2951</v>
      </c>
      <c r="E2567" s="105" t="s">
        <v>3328</v>
      </c>
      <c r="F2567" s="96" t="s">
        <v>3342</v>
      </c>
      <c r="G2567" s="96" t="s">
        <v>88</v>
      </c>
      <c r="H2567" s="97" t="s">
        <v>3391</v>
      </c>
      <c r="I2567" s="23" t="e">
        <f>VLOOKUP(H2567,'合同综合查询数据（3月返）'!$A:$A,1,FALSE)</f>
        <v>#N/A</v>
      </c>
      <c r="J2567" s="24" t="s">
        <v>90</v>
      </c>
      <c r="K2567" s="94" t="s">
        <v>3392</v>
      </c>
      <c r="L2567" s="94"/>
      <c r="M2567" s="26" t="s">
        <v>3344</v>
      </c>
      <c r="N2567" s="106">
        <v>44698</v>
      </c>
      <c r="O2567" s="301" t="s">
        <v>457</v>
      </c>
      <c r="P2567" s="268">
        <v>5980</v>
      </c>
      <c r="Q2567" s="273">
        <v>8</v>
      </c>
      <c r="R2567" s="268">
        <f t="shared" si="65"/>
        <v>47840</v>
      </c>
      <c r="S2567" s="24">
        <v>202303</v>
      </c>
      <c r="T2567" s="127" t="s">
        <v>3448</v>
      </c>
      <c r="U2567" s="40"/>
      <c r="V2567" s="40"/>
      <c r="W2567" s="40"/>
      <c r="X2567" s="106">
        <v>43830</v>
      </c>
      <c r="Y2567" s="28">
        <v>46022</v>
      </c>
    </row>
    <row r="2568" s="9" customFormat="1" customHeight="1" spans="1:25">
      <c r="A2568" s="96" t="s">
        <v>401</v>
      </c>
      <c r="B2568" s="96" t="s">
        <v>2950</v>
      </c>
      <c r="C2568" s="96" t="s">
        <v>2998</v>
      </c>
      <c r="D2568" s="265" t="s">
        <v>2951</v>
      </c>
      <c r="E2568" s="105" t="s">
        <v>3328</v>
      </c>
      <c r="F2568" s="96" t="s">
        <v>3342</v>
      </c>
      <c r="G2568" s="96" t="s">
        <v>88</v>
      </c>
      <c r="H2568" s="97" t="s">
        <v>3391</v>
      </c>
      <c r="I2568" s="23" t="e">
        <f>VLOOKUP(H2568,'合同综合查询数据（3月返）'!$A:$A,1,FALSE)</f>
        <v>#N/A</v>
      </c>
      <c r="J2568" s="24" t="s">
        <v>90</v>
      </c>
      <c r="K2568" s="94" t="s">
        <v>3392</v>
      </c>
      <c r="L2568" s="94"/>
      <c r="M2568" s="26" t="s">
        <v>3344</v>
      </c>
      <c r="N2568" s="106">
        <v>44706</v>
      </c>
      <c r="O2568" s="301" t="s">
        <v>457</v>
      </c>
      <c r="P2568" s="268">
        <v>5980</v>
      </c>
      <c r="Q2568" s="273">
        <v>2</v>
      </c>
      <c r="R2568" s="268">
        <f t="shared" si="65"/>
        <v>11960</v>
      </c>
      <c r="S2568" s="24">
        <v>202303</v>
      </c>
      <c r="T2568" s="127" t="s">
        <v>3449</v>
      </c>
      <c r="U2568" s="40"/>
      <c r="V2568" s="40"/>
      <c r="W2568" s="40"/>
      <c r="X2568" s="106">
        <v>43830</v>
      </c>
      <c r="Y2568" s="28">
        <v>46022</v>
      </c>
    </row>
    <row r="2569" s="9" customFormat="1" customHeight="1" spans="1:25">
      <c r="A2569" s="96" t="s">
        <v>401</v>
      </c>
      <c r="B2569" s="96" t="s">
        <v>2950</v>
      </c>
      <c r="C2569" s="96" t="s">
        <v>2998</v>
      </c>
      <c r="D2569" s="265" t="s">
        <v>2951</v>
      </c>
      <c r="E2569" s="105" t="s">
        <v>3328</v>
      </c>
      <c r="F2569" s="96" t="s">
        <v>3342</v>
      </c>
      <c r="G2569" s="96" t="s">
        <v>88</v>
      </c>
      <c r="H2569" s="97" t="s">
        <v>3391</v>
      </c>
      <c r="I2569" s="23" t="e">
        <f>VLOOKUP(H2569,'合同综合查询数据（3月返）'!$A:$A,1,FALSE)</f>
        <v>#N/A</v>
      </c>
      <c r="J2569" s="24" t="s">
        <v>90</v>
      </c>
      <c r="K2569" s="94" t="s">
        <v>3392</v>
      </c>
      <c r="L2569" s="94"/>
      <c r="M2569" s="26" t="s">
        <v>3344</v>
      </c>
      <c r="N2569" s="106">
        <v>44058</v>
      </c>
      <c r="O2569" s="94" t="s">
        <v>545</v>
      </c>
      <c r="P2569" s="268">
        <v>2600</v>
      </c>
      <c r="Q2569" s="273">
        <v>1</v>
      </c>
      <c r="R2569" s="268">
        <f t="shared" si="65"/>
        <v>2600</v>
      </c>
      <c r="S2569" s="24">
        <v>202303</v>
      </c>
      <c r="T2569" s="127" t="s">
        <v>3450</v>
      </c>
      <c r="U2569" s="40"/>
      <c r="V2569" s="40"/>
      <c r="W2569" s="40"/>
      <c r="X2569" s="106">
        <v>43830</v>
      </c>
      <c r="Y2569" s="28">
        <v>46022</v>
      </c>
    </row>
    <row r="2570" s="9" customFormat="1" customHeight="1" spans="1:25">
      <c r="A2570" s="96" t="s">
        <v>401</v>
      </c>
      <c r="B2570" s="96" t="s">
        <v>2950</v>
      </c>
      <c r="C2570" s="96" t="s">
        <v>2998</v>
      </c>
      <c r="D2570" s="265" t="s">
        <v>2951</v>
      </c>
      <c r="E2570" s="105" t="s">
        <v>3328</v>
      </c>
      <c r="F2570" s="96" t="s">
        <v>3342</v>
      </c>
      <c r="G2570" s="96" t="s">
        <v>88</v>
      </c>
      <c r="H2570" s="97" t="s">
        <v>3391</v>
      </c>
      <c r="I2570" s="23" t="e">
        <f>VLOOKUP(H2570,'合同综合查询数据（3月返）'!$A:$A,1,FALSE)</f>
        <v>#N/A</v>
      </c>
      <c r="J2570" s="24" t="s">
        <v>90</v>
      </c>
      <c r="K2570" s="94" t="s">
        <v>3392</v>
      </c>
      <c r="L2570" s="94"/>
      <c r="M2570" s="26" t="s">
        <v>3344</v>
      </c>
      <c r="N2570" s="106">
        <v>44211</v>
      </c>
      <c r="O2570" s="94" t="s">
        <v>545</v>
      </c>
      <c r="P2570" s="268">
        <v>2600</v>
      </c>
      <c r="Q2570" s="273">
        <v>1</v>
      </c>
      <c r="R2570" s="268">
        <f t="shared" si="65"/>
        <v>2600</v>
      </c>
      <c r="S2570" s="24">
        <v>202303</v>
      </c>
      <c r="T2570" s="127" t="s">
        <v>3451</v>
      </c>
      <c r="U2570" s="40"/>
      <c r="V2570" s="40"/>
      <c r="W2570" s="40"/>
      <c r="X2570" s="106">
        <v>43830</v>
      </c>
      <c r="Y2570" s="28">
        <v>46022</v>
      </c>
    </row>
    <row r="2571" s="9" customFormat="1" customHeight="1" spans="1:25">
      <c r="A2571" s="96" t="s">
        <v>401</v>
      </c>
      <c r="B2571" s="96" t="s">
        <v>2950</v>
      </c>
      <c r="C2571" s="96" t="s">
        <v>2998</v>
      </c>
      <c r="D2571" s="265" t="s">
        <v>2951</v>
      </c>
      <c r="E2571" s="105" t="s">
        <v>3328</v>
      </c>
      <c r="F2571" s="96" t="s">
        <v>3342</v>
      </c>
      <c r="G2571" s="96" t="s">
        <v>88</v>
      </c>
      <c r="H2571" s="97" t="s">
        <v>3391</v>
      </c>
      <c r="I2571" s="23" t="e">
        <f>VLOOKUP(H2571,'合同综合查询数据（3月返）'!$A:$A,1,FALSE)</f>
        <v>#N/A</v>
      </c>
      <c r="J2571" s="24" t="s">
        <v>126</v>
      </c>
      <c r="K2571" s="94" t="s">
        <v>3392</v>
      </c>
      <c r="L2571" s="94"/>
      <c r="M2571" s="26" t="s">
        <v>3344</v>
      </c>
      <c r="N2571" s="106">
        <v>44869</v>
      </c>
      <c r="O2571" s="94" t="s">
        <v>457</v>
      </c>
      <c r="P2571" s="268">
        <v>5980</v>
      </c>
      <c r="Q2571" s="273">
        <v>-2</v>
      </c>
      <c r="R2571" s="268">
        <f t="shared" si="65"/>
        <v>-11960</v>
      </c>
      <c r="S2571" s="24">
        <v>202303</v>
      </c>
      <c r="T2571" s="127" t="s">
        <v>3452</v>
      </c>
      <c r="U2571" s="40"/>
      <c r="V2571" s="40"/>
      <c r="W2571" s="40"/>
      <c r="X2571" s="106">
        <v>43830</v>
      </c>
      <c r="Y2571" s="28">
        <v>46022</v>
      </c>
    </row>
    <row r="2572" s="9" customFormat="1" customHeight="1" spans="1:25">
      <c r="A2572" s="96" t="s">
        <v>401</v>
      </c>
      <c r="B2572" s="96" t="s">
        <v>2950</v>
      </c>
      <c r="C2572" s="96" t="s">
        <v>2998</v>
      </c>
      <c r="D2572" s="265" t="s">
        <v>2951</v>
      </c>
      <c r="E2572" s="105" t="s">
        <v>3328</v>
      </c>
      <c r="F2572" s="96" t="s">
        <v>3342</v>
      </c>
      <c r="G2572" s="96" t="s">
        <v>88</v>
      </c>
      <c r="H2572" s="97" t="s">
        <v>3391</v>
      </c>
      <c r="I2572" s="23" t="e">
        <f>VLOOKUP(H2572,'合同综合查询数据（3月返）'!$A:$A,1,FALSE)</f>
        <v>#N/A</v>
      </c>
      <c r="J2572" s="24" t="s">
        <v>90</v>
      </c>
      <c r="K2572" s="94" t="s">
        <v>3392</v>
      </c>
      <c r="L2572" s="94"/>
      <c r="M2572" s="26" t="s">
        <v>3344</v>
      </c>
      <c r="N2572" s="106">
        <v>44869</v>
      </c>
      <c r="O2572" s="94" t="s">
        <v>457</v>
      </c>
      <c r="P2572" s="268">
        <v>5980</v>
      </c>
      <c r="Q2572" s="273">
        <v>-1</v>
      </c>
      <c r="R2572" s="268">
        <f t="shared" si="65"/>
        <v>-5980</v>
      </c>
      <c r="S2572" s="24">
        <v>202303</v>
      </c>
      <c r="T2572" s="127" t="s">
        <v>3453</v>
      </c>
      <c r="U2572" s="40"/>
      <c r="V2572" s="40"/>
      <c r="W2572" s="40"/>
      <c r="X2572" s="106">
        <v>43830</v>
      </c>
      <c r="Y2572" s="28">
        <v>46022</v>
      </c>
    </row>
    <row r="2573" s="9" customFormat="1" customHeight="1" spans="1:25">
      <c r="A2573" s="96" t="s">
        <v>401</v>
      </c>
      <c r="B2573" s="96" t="s">
        <v>2950</v>
      </c>
      <c r="C2573" s="96" t="s">
        <v>2998</v>
      </c>
      <c r="D2573" s="265" t="s">
        <v>2951</v>
      </c>
      <c r="E2573" s="105" t="s">
        <v>3328</v>
      </c>
      <c r="F2573" s="96" t="s">
        <v>3342</v>
      </c>
      <c r="G2573" s="96" t="s">
        <v>88</v>
      </c>
      <c r="H2573" s="97" t="s">
        <v>3391</v>
      </c>
      <c r="I2573" s="23" t="e">
        <f>VLOOKUP(H2573,'合同综合查询数据（3月返）'!$A:$A,1,FALSE)</f>
        <v>#N/A</v>
      </c>
      <c r="J2573" s="24" t="s">
        <v>90</v>
      </c>
      <c r="K2573" s="94" t="s">
        <v>3392</v>
      </c>
      <c r="L2573" s="94"/>
      <c r="M2573" s="26" t="s">
        <v>3344</v>
      </c>
      <c r="N2573" s="106">
        <v>44932</v>
      </c>
      <c r="O2573" s="94" t="s">
        <v>457</v>
      </c>
      <c r="P2573" s="268">
        <v>5980</v>
      </c>
      <c r="Q2573" s="273">
        <v>38</v>
      </c>
      <c r="R2573" s="268">
        <f t="shared" si="65"/>
        <v>227240</v>
      </c>
      <c r="S2573" s="24">
        <v>202303</v>
      </c>
      <c r="T2573" s="127" t="s">
        <v>3454</v>
      </c>
      <c r="U2573" s="40"/>
      <c r="V2573" s="40"/>
      <c r="W2573" s="40"/>
      <c r="X2573" s="106">
        <v>43830</v>
      </c>
      <c r="Y2573" s="28">
        <v>46022</v>
      </c>
    </row>
    <row r="2574" s="9" customFormat="1" customHeight="1" spans="1:25">
      <c r="A2574" s="96" t="s">
        <v>401</v>
      </c>
      <c r="B2574" s="96" t="s">
        <v>2950</v>
      </c>
      <c r="C2574" s="96" t="s">
        <v>2998</v>
      </c>
      <c r="D2574" s="265" t="s">
        <v>2951</v>
      </c>
      <c r="E2574" s="105" t="s">
        <v>3328</v>
      </c>
      <c r="F2574" s="96" t="s">
        <v>3342</v>
      </c>
      <c r="G2574" s="96" t="s">
        <v>88</v>
      </c>
      <c r="H2574" s="97" t="s">
        <v>3391</v>
      </c>
      <c r="I2574" s="23" t="e">
        <f>VLOOKUP(H2574,'合同综合查询数据（3月返）'!$A:$A,1,FALSE)</f>
        <v>#N/A</v>
      </c>
      <c r="J2574" s="24" t="s">
        <v>90</v>
      </c>
      <c r="K2574" s="94" t="s">
        <v>3392</v>
      </c>
      <c r="L2574" s="94"/>
      <c r="M2574" s="26" t="s">
        <v>3344</v>
      </c>
      <c r="N2574" s="106">
        <v>44974</v>
      </c>
      <c r="O2574" s="94" t="s">
        <v>457</v>
      </c>
      <c r="P2574" s="268">
        <v>5980</v>
      </c>
      <c r="Q2574" s="273">
        <v>4</v>
      </c>
      <c r="R2574" s="268">
        <f t="shared" si="65"/>
        <v>23920</v>
      </c>
      <c r="S2574" s="24">
        <v>202303</v>
      </c>
      <c r="T2574" s="127" t="s">
        <v>3455</v>
      </c>
      <c r="U2574" s="40"/>
      <c r="V2574" s="40"/>
      <c r="W2574" s="40"/>
      <c r="X2574" s="106">
        <v>43830</v>
      </c>
      <c r="Y2574" s="28">
        <v>46022</v>
      </c>
    </row>
    <row r="2575" s="9" customFormat="1" customHeight="1" spans="1:25">
      <c r="A2575" s="96" t="s">
        <v>401</v>
      </c>
      <c r="B2575" s="96" t="s">
        <v>2950</v>
      </c>
      <c r="C2575" s="96" t="s">
        <v>2998</v>
      </c>
      <c r="D2575" s="265" t="s">
        <v>2951</v>
      </c>
      <c r="E2575" s="105" t="s">
        <v>3328</v>
      </c>
      <c r="F2575" s="96" t="s">
        <v>3342</v>
      </c>
      <c r="G2575" s="96" t="s">
        <v>88</v>
      </c>
      <c r="H2575" s="97" t="s">
        <v>3456</v>
      </c>
      <c r="I2575" s="23" t="e">
        <f>VLOOKUP(H2575,'合同综合查询数据（3月返）'!$A:$A,1,FALSE)</f>
        <v>#N/A</v>
      </c>
      <c r="J2575" s="24" t="s">
        <v>90</v>
      </c>
      <c r="K2575" s="94" t="s">
        <v>3457</v>
      </c>
      <c r="L2575" s="94"/>
      <c r="M2575" s="94" t="s">
        <v>3344</v>
      </c>
      <c r="N2575" s="106">
        <v>44418</v>
      </c>
      <c r="O2575" s="94" t="s">
        <v>457</v>
      </c>
      <c r="P2575" s="297">
        <v>5500</v>
      </c>
      <c r="Q2575" s="297">
        <v>8</v>
      </c>
      <c r="R2575" s="268">
        <f t="shared" si="65"/>
        <v>44000</v>
      </c>
      <c r="S2575" s="24">
        <v>202303</v>
      </c>
      <c r="T2575" s="127" t="s">
        <v>3458</v>
      </c>
      <c r="U2575" s="40"/>
      <c r="V2575" s="40"/>
      <c r="W2575" s="40"/>
      <c r="X2575" s="106">
        <v>44396</v>
      </c>
      <c r="Y2575" s="106">
        <v>46022</v>
      </c>
    </row>
    <row r="2576" s="9" customFormat="1" customHeight="1" spans="1:25">
      <c r="A2576" s="96" t="s">
        <v>401</v>
      </c>
      <c r="B2576" s="96" t="s">
        <v>2950</v>
      </c>
      <c r="C2576" s="96" t="s">
        <v>2998</v>
      </c>
      <c r="D2576" s="265" t="s">
        <v>2951</v>
      </c>
      <c r="E2576" s="105" t="s">
        <v>3328</v>
      </c>
      <c r="F2576" s="96" t="s">
        <v>3342</v>
      </c>
      <c r="G2576" s="96" t="s">
        <v>88</v>
      </c>
      <c r="H2576" s="97" t="s">
        <v>3456</v>
      </c>
      <c r="I2576" s="23" t="e">
        <f>VLOOKUP(H2576,'合同综合查询数据（3月返）'!$A:$A,1,FALSE)</f>
        <v>#N/A</v>
      </c>
      <c r="J2576" s="24" t="s">
        <v>90</v>
      </c>
      <c r="K2576" s="94" t="s">
        <v>3457</v>
      </c>
      <c r="L2576" s="94"/>
      <c r="M2576" s="94" t="s">
        <v>3344</v>
      </c>
      <c r="N2576" s="106">
        <v>44420</v>
      </c>
      <c r="O2576" s="94" t="s">
        <v>457</v>
      </c>
      <c r="P2576" s="297">
        <v>5500</v>
      </c>
      <c r="Q2576" s="297">
        <v>3</v>
      </c>
      <c r="R2576" s="268">
        <f t="shared" si="65"/>
        <v>16500</v>
      </c>
      <c r="S2576" s="24">
        <v>202303</v>
      </c>
      <c r="T2576" s="127" t="s">
        <v>3459</v>
      </c>
      <c r="U2576" s="40"/>
      <c r="V2576" s="40"/>
      <c r="W2576" s="40"/>
      <c r="X2576" s="106">
        <v>44396</v>
      </c>
      <c r="Y2576" s="106">
        <v>46022</v>
      </c>
    </row>
    <row r="2577" s="9" customFormat="1" customHeight="1" spans="1:25">
      <c r="A2577" s="96" t="s">
        <v>401</v>
      </c>
      <c r="B2577" s="96" t="s">
        <v>2950</v>
      </c>
      <c r="C2577" s="96" t="s">
        <v>2998</v>
      </c>
      <c r="D2577" s="265" t="s">
        <v>2951</v>
      </c>
      <c r="E2577" s="105" t="s">
        <v>3328</v>
      </c>
      <c r="F2577" s="96" t="s">
        <v>3342</v>
      </c>
      <c r="G2577" s="96" t="s">
        <v>88</v>
      </c>
      <c r="H2577" s="97" t="s">
        <v>3456</v>
      </c>
      <c r="I2577" s="23" t="e">
        <f>VLOOKUP(H2577,'合同综合查询数据（3月返）'!$A:$A,1,FALSE)</f>
        <v>#N/A</v>
      </c>
      <c r="J2577" s="24" t="s">
        <v>90</v>
      </c>
      <c r="K2577" s="94" t="s">
        <v>3457</v>
      </c>
      <c r="L2577" s="94"/>
      <c r="M2577" s="94" t="s">
        <v>3344</v>
      </c>
      <c r="N2577" s="106">
        <v>44421</v>
      </c>
      <c r="O2577" s="94" t="s">
        <v>457</v>
      </c>
      <c r="P2577" s="297">
        <v>5500</v>
      </c>
      <c r="Q2577" s="297">
        <v>12</v>
      </c>
      <c r="R2577" s="268">
        <f t="shared" si="65"/>
        <v>66000</v>
      </c>
      <c r="S2577" s="24">
        <v>202303</v>
      </c>
      <c r="T2577" s="127" t="s">
        <v>3460</v>
      </c>
      <c r="U2577" s="40"/>
      <c r="V2577" s="40"/>
      <c r="W2577" s="40"/>
      <c r="X2577" s="106">
        <v>44396</v>
      </c>
      <c r="Y2577" s="106">
        <v>46022</v>
      </c>
    </row>
    <row r="2578" s="9" customFormat="1" customHeight="1" spans="1:25">
      <c r="A2578" s="96" t="s">
        <v>401</v>
      </c>
      <c r="B2578" s="96" t="s">
        <v>2950</v>
      </c>
      <c r="C2578" s="96" t="s">
        <v>2998</v>
      </c>
      <c r="D2578" s="265" t="s">
        <v>2951</v>
      </c>
      <c r="E2578" s="105" t="s">
        <v>3328</v>
      </c>
      <c r="F2578" s="96" t="s">
        <v>3342</v>
      </c>
      <c r="G2578" s="96" t="s">
        <v>88</v>
      </c>
      <c r="H2578" s="97" t="s">
        <v>3456</v>
      </c>
      <c r="I2578" s="23" t="e">
        <f>VLOOKUP(H2578,'合同综合查询数据（3月返）'!$A:$A,1,FALSE)</f>
        <v>#N/A</v>
      </c>
      <c r="J2578" s="24" t="s">
        <v>90</v>
      </c>
      <c r="K2578" s="94" t="s">
        <v>3457</v>
      </c>
      <c r="L2578" s="94"/>
      <c r="M2578" s="94" t="s">
        <v>3344</v>
      </c>
      <c r="N2578" s="106">
        <v>44424</v>
      </c>
      <c r="O2578" s="94" t="s">
        <v>457</v>
      </c>
      <c r="P2578" s="297">
        <v>5500</v>
      </c>
      <c r="Q2578" s="297">
        <v>24</v>
      </c>
      <c r="R2578" s="268">
        <f t="shared" si="65"/>
        <v>132000</v>
      </c>
      <c r="S2578" s="24">
        <v>202303</v>
      </c>
      <c r="T2578" s="127" t="s">
        <v>3461</v>
      </c>
      <c r="U2578" s="40"/>
      <c r="V2578" s="40"/>
      <c r="W2578" s="40"/>
      <c r="X2578" s="106">
        <v>44396</v>
      </c>
      <c r="Y2578" s="106">
        <v>46022</v>
      </c>
    </row>
    <row r="2579" s="9" customFormat="1" customHeight="1" spans="1:25">
      <c r="A2579" s="96" t="s">
        <v>401</v>
      </c>
      <c r="B2579" s="96" t="s">
        <v>2950</v>
      </c>
      <c r="C2579" s="96" t="s">
        <v>2998</v>
      </c>
      <c r="D2579" s="265" t="s">
        <v>2951</v>
      </c>
      <c r="E2579" s="105" t="s">
        <v>3328</v>
      </c>
      <c r="F2579" s="96" t="s">
        <v>3342</v>
      </c>
      <c r="G2579" s="96" t="s">
        <v>88</v>
      </c>
      <c r="H2579" s="97" t="s">
        <v>3456</v>
      </c>
      <c r="I2579" s="23" t="e">
        <f>VLOOKUP(H2579,'合同综合查询数据（3月返）'!$A:$A,1,FALSE)</f>
        <v>#N/A</v>
      </c>
      <c r="J2579" s="24" t="s">
        <v>90</v>
      </c>
      <c r="K2579" s="94" t="s">
        <v>3457</v>
      </c>
      <c r="L2579" s="94"/>
      <c r="M2579" s="94" t="s">
        <v>3344</v>
      </c>
      <c r="N2579" s="106">
        <v>44428</v>
      </c>
      <c r="O2579" s="94" t="s">
        <v>457</v>
      </c>
      <c r="P2579" s="297">
        <v>5500</v>
      </c>
      <c r="Q2579" s="297">
        <v>10</v>
      </c>
      <c r="R2579" s="268">
        <f t="shared" si="65"/>
        <v>55000</v>
      </c>
      <c r="S2579" s="24">
        <v>202303</v>
      </c>
      <c r="T2579" s="127" t="s">
        <v>3462</v>
      </c>
      <c r="U2579" s="40"/>
      <c r="V2579" s="40"/>
      <c r="W2579" s="40"/>
      <c r="X2579" s="106">
        <v>44396</v>
      </c>
      <c r="Y2579" s="106">
        <v>46022</v>
      </c>
    </row>
    <row r="2580" s="9" customFormat="1" customHeight="1" spans="1:25">
      <c r="A2580" s="96" t="s">
        <v>401</v>
      </c>
      <c r="B2580" s="96" t="s">
        <v>2950</v>
      </c>
      <c r="C2580" s="96" t="s">
        <v>2998</v>
      </c>
      <c r="D2580" s="265" t="s">
        <v>2951</v>
      </c>
      <c r="E2580" s="105" t="s">
        <v>3328</v>
      </c>
      <c r="F2580" s="96" t="s">
        <v>3342</v>
      </c>
      <c r="G2580" s="96" t="s">
        <v>88</v>
      </c>
      <c r="H2580" s="97" t="s">
        <v>3456</v>
      </c>
      <c r="I2580" s="23" t="e">
        <f>VLOOKUP(H2580,'合同综合查询数据（3月返）'!$A:$A,1,FALSE)</f>
        <v>#N/A</v>
      </c>
      <c r="J2580" s="24" t="s">
        <v>90</v>
      </c>
      <c r="K2580" s="94" t="s">
        <v>3457</v>
      </c>
      <c r="L2580" s="94"/>
      <c r="M2580" s="94" t="s">
        <v>3344</v>
      </c>
      <c r="N2580" s="106">
        <v>44431</v>
      </c>
      <c r="O2580" s="94" t="s">
        <v>457</v>
      </c>
      <c r="P2580" s="297">
        <v>5500</v>
      </c>
      <c r="Q2580" s="297">
        <v>2</v>
      </c>
      <c r="R2580" s="268">
        <f t="shared" si="65"/>
        <v>11000</v>
      </c>
      <c r="S2580" s="24">
        <v>202303</v>
      </c>
      <c r="T2580" s="127" t="s">
        <v>3463</v>
      </c>
      <c r="U2580" s="40"/>
      <c r="V2580" s="40"/>
      <c r="W2580" s="40"/>
      <c r="X2580" s="106">
        <v>44396</v>
      </c>
      <c r="Y2580" s="106">
        <v>46022</v>
      </c>
    </row>
    <row r="2581" s="9" customFormat="1" customHeight="1" spans="1:25">
      <c r="A2581" s="96" t="s">
        <v>401</v>
      </c>
      <c r="B2581" s="96" t="s">
        <v>2950</v>
      </c>
      <c r="C2581" s="96" t="s">
        <v>2998</v>
      </c>
      <c r="D2581" s="265" t="s">
        <v>2951</v>
      </c>
      <c r="E2581" s="105" t="s">
        <v>3328</v>
      </c>
      <c r="F2581" s="96" t="s">
        <v>3342</v>
      </c>
      <c r="G2581" s="96" t="s">
        <v>88</v>
      </c>
      <c r="H2581" s="97" t="s">
        <v>3456</v>
      </c>
      <c r="I2581" s="23" t="e">
        <f>VLOOKUP(H2581,'合同综合查询数据（3月返）'!$A:$A,1,FALSE)</f>
        <v>#N/A</v>
      </c>
      <c r="J2581" s="24" t="s">
        <v>90</v>
      </c>
      <c r="K2581" s="94" t="s">
        <v>3457</v>
      </c>
      <c r="L2581" s="94"/>
      <c r="M2581" s="94" t="s">
        <v>3344</v>
      </c>
      <c r="N2581" s="106">
        <v>44431</v>
      </c>
      <c r="O2581" s="94" t="s">
        <v>457</v>
      </c>
      <c r="P2581" s="297">
        <v>5500</v>
      </c>
      <c r="Q2581" s="297">
        <v>8</v>
      </c>
      <c r="R2581" s="268">
        <f t="shared" si="65"/>
        <v>44000</v>
      </c>
      <c r="S2581" s="24">
        <v>202303</v>
      </c>
      <c r="T2581" s="127" t="s">
        <v>3464</v>
      </c>
      <c r="U2581" s="40"/>
      <c r="V2581" s="40"/>
      <c r="W2581" s="40"/>
      <c r="X2581" s="106">
        <v>44396</v>
      </c>
      <c r="Y2581" s="106">
        <v>46022</v>
      </c>
    </row>
    <row r="2582" s="9" customFormat="1" customHeight="1" spans="1:25">
      <c r="A2582" s="96" t="s">
        <v>401</v>
      </c>
      <c r="B2582" s="96" t="s">
        <v>2950</v>
      </c>
      <c r="C2582" s="96" t="s">
        <v>2998</v>
      </c>
      <c r="D2582" s="265" t="s">
        <v>2951</v>
      </c>
      <c r="E2582" s="105" t="s">
        <v>3328</v>
      </c>
      <c r="F2582" s="96" t="s">
        <v>3342</v>
      </c>
      <c r="G2582" s="96" t="s">
        <v>88</v>
      </c>
      <c r="H2582" s="97" t="s">
        <v>3456</v>
      </c>
      <c r="I2582" s="23" t="e">
        <f>VLOOKUP(H2582,'合同综合查询数据（3月返）'!$A:$A,1,FALSE)</f>
        <v>#N/A</v>
      </c>
      <c r="J2582" s="24" t="s">
        <v>90</v>
      </c>
      <c r="K2582" s="94" t="s">
        <v>3457</v>
      </c>
      <c r="L2582" s="94"/>
      <c r="M2582" s="94" t="s">
        <v>3344</v>
      </c>
      <c r="N2582" s="106">
        <v>44438</v>
      </c>
      <c r="O2582" s="94" t="s">
        <v>545</v>
      </c>
      <c r="P2582" s="297">
        <v>2600</v>
      </c>
      <c r="Q2582" s="297">
        <v>4</v>
      </c>
      <c r="R2582" s="268">
        <f t="shared" si="65"/>
        <v>10400</v>
      </c>
      <c r="S2582" s="24">
        <v>202303</v>
      </c>
      <c r="T2582" s="127" t="s">
        <v>3465</v>
      </c>
      <c r="U2582" s="40"/>
      <c r="V2582" s="40"/>
      <c r="W2582" s="40"/>
      <c r="X2582" s="106">
        <v>44396</v>
      </c>
      <c r="Y2582" s="106">
        <v>46022</v>
      </c>
    </row>
    <row r="2583" s="9" customFormat="1" customHeight="1" spans="1:25">
      <c r="A2583" s="96" t="s">
        <v>401</v>
      </c>
      <c r="B2583" s="96" t="s">
        <v>2950</v>
      </c>
      <c r="C2583" s="96" t="s">
        <v>2998</v>
      </c>
      <c r="D2583" s="265" t="s">
        <v>2951</v>
      </c>
      <c r="E2583" s="105" t="s">
        <v>3328</v>
      </c>
      <c r="F2583" s="96" t="s">
        <v>3342</v>
      </c>
      <c r="G2583" s="96" t="s">
        <v>88</v>
      </c>
      <c r="H2583" s="97" t="s">
        <v>3456</v>
      </c>
      <c r="I2583" s="23" t="e">
        <f>VLOOKUP(H2583,'合同综合查询数据（3月返）'!$A:$A,1,FALSE)</f>
        <v>#N/A</v>
      </c>
      <c r="J2583" s="24" t="s">
        <v>90</v>
      </c>
      <c r="K2583" s="94" t="s">
        <v>3457</v>
      </c>
      <c r="L2583" s="94"/>
      <c r="M2583" s="94" t="s">
        <v>3344</v>
      </c>
      <c r="N2583" s="106">
        <v>44414</v>
      </c>
      <c r="O2583" s="94" t="s">
        <v>457</v>
      </c>
      <c r="P2583" s="297">
        <v>0</v>
      </c>
      <c r="Q2583" s="297">
        <v>133</v>
      </c>
      <c r="R2583" s="268">
        <f t="shared" si="65"/>
        <v>0</v>
      </c>
      <c r="S2583" s="24">
        <v>202303</v>
      </c>
      <c r="T2583" s="127" t="s">
        <v>3466</v>
      </c>
      <c r="U2583" s="40"/>
      <c r="V2583" s="40"/>
      <c r="W2583" s="40"/>
      <c r="X2583" s="106">
        <v>44396</v>
      </c>
      <c r="Y2583" s="106">
        <v>46022</v>
      </c>
    </row>
    <row r="2584" s="9" customFormat="1" customHeight="1" spans="1:25">
      <c r="A2584" s="96" t="s">
        <v>401</v>
      </c>
      <c r="B2584" s="96" t="s">
        <v>2950</v>
      </c>
      <c r="C2584" s="96" t="s">
        <v>2998</v>
      </c>
      <c r="D2584" s="265" t="s">
        <v>2951</v>
      </c>
      <c r="E2584" s="105" t="s">
        <v>3328</v>
      </c>
      <c r="F2584" s="96" t="s">
        <v>3342</v>
      </c>
      <c r="G2584" s="96" t="s">
        <v>88</v>
      </c>
      <c r="H2584" s="97" t="s">
        <v>3456</v>
      </c>
      <c r="I2584" s="23" t="e">
        <f>VLOOKUP(H2584,'合同综合查询数据（3月返）'!$A:$A,1,FALSE)</f>
        <v>#N/A</v>
      </c>
      <c r="J2584" s="24" t="s">
        <v>90</v>
      </c>
      <c r="K2584" s="94" t="s">
        <v>3457</v>
      </c>
      <c r="L2584" s="94"/>
      <c r="M2584" s="94" t="s">
        <v>3344</v>
      </c>
      <c r="N2584" s="106">
        <v>44439</v>
      </c>
      <c r="O2584" s="94" t="s">
        <v>457</v>
      </c>
      <c r="P2584" s="297">
        <v>0</v>
      </c>
      <c r="Q2584" s="297">
        <v>-3</v>
      </c>
      <c r="R2584" s="268">
        <f t="shared" si="65"/>
        <v>0</v>
      </c>
      <c r="S2584" s="24">
        <v>202303</v>
      </c>
      <c r="T2584" s="127" t="s">
        <v>3467</v>
      </c>
      <c r="U2584" s="40"/>
      <c r="V2584" s="40"/>
      <c r="W2584" s="40"/>
      <c r="X2584" s="106">
        <v>44396</v>
      </c>
      <c r="Y2584" s="106">
        <v>46022</v>
      </c>
    </row>
    <row r="2585" s="9" customFormat="1" customHeight="1" spans="1:25">
      <c r="A2585" s="96" t="s">
        <v>401</v>
      </c>
      <c r="B2585" s="96" t="s">
        <v>2950</v>
      </c>
      <c r="C2585" s="96" t="s">
        <v>2998</v>
      </c>
      <c r="D2585" s="265" t="s">
        <v>2951</v>
      </c>
      <c r="E2585" s="105" t="s">
        <v>3328</v>
      </c>
      <c r="F2585" s="96" t="s">
        <v>3342</v>
      </c>
      <c r="G2585" s="96" t="s">
        <v>88</v>
      </c>
      <c r="H2585" s="97" t="s">
        <v>3456</v>
      </c>
      <c r="I2585" s="23" t="e">
        <f>VLOOKUP(H2585,'合同综合查询数据（3月返）'!$A:$A,1,FALSE)</f>
        <v>#N/A</v>
      </c>
      <c r="J2585" s="24" t="s">
        <v>90</v>
      </c>
      <c r="K2585" s="94" t="s">
        <v>3457</v>
      </c>
      <c r="L2585" s="94"/>
      <c r="M2585" s="94" t="s">
        <v>3344</v>
      </c>
      <c r="N2585" s="106">
        <v>44440</v>
      </c>
      <c r="O2585" s="94" t="s">
        <v>457</v>
      </c>
      <c r="P2585" s="297">
        <v>5500</v>
      </c>
      <c r="Q2585" s="297">
        <v>12</v>
      </c>
      <c r="R2585" s="268">
        <f t="shared" si="65"/>
        <v>66000</v>
      </c>
      <c r="S2585" s="24">
        <v>202303</v>
      </c>
      <c r="T2585" s="127" t="s">
        <v>3468</v>
      </c>
      <c r="U2585" s="40"/>
      <c r="V2585" s="40"/>
      <c r="W2585" s="40"/>
      <c r="X2585" s="106">
        <v>44396</v>
      </c>
      <c r="Y2585" s="106">
        <v>46022</v>
      </c>
    </row>
    <row r="2586" s="9" customFormat="1" customHeight="1" spans="1:25">
      <c r="A2586" s="96" t="s">
        <v>401</v>
      </c>
      <c r="B2586" s="96" t="s">
        <v>2950</v>
      </c>
      <c r="C2586" s="96" t="s">
        <v>2998</v>
      </c>
      <c r="D2586" s="265" t="s">
        <v>2951</v>
      </c>
      <c r="E2586" s="105" t="s">
        <v>3328</v>
      </c>
      <c r="F2586" s="96" t="s">
        <v>3342</v>
      </c>
      <c r="G2586" s="96" t="s">
        <v>88</v>
      </c>
      <c r="H2586" s="97" t="s">
        <v>3456</v>
      </c>
      <c r="I2586" s="23" t="e">
        <f>VLOOKUP(H2586,'合同综合查询数据（3月返）'!$A:$A,1,FALSE)</f>
        <v>#N/A</v>
      </c>
      <c r="J2586" s="24" t="s">
        <v>90</v>
      </c>
      <c r="K2586" s="94" t="s">
        <v>3457</v>
      </c>
      <c r="L2586" s="94"/>
      <c r="M2586" s="94" t="s">
        <v>3344</v>
      </c>
      <c r="N2586" s="106">
        <v>44443</v>
      </c>
      <c r="O2586" s="94" t="s">
        <v>457</v>
      </c>
      <c r="P2586" s="297">
        <v>0</v>
      </c>
      <c r="Q2586" s="297">
        <v>-9</v>
      </c>
      <c r="R2586" s="268">
        <f t="shared" si="65"/>
        <v>0</v>
      </c>
      <c r="S2586" s="24">
        <v>202303</v>
      </c>
      <c r="T2586" s="127" t="s">
        <v>3469</v>
      </c>
      <c r="U2586" s="40"/>
      <c r="V2586" s="40"/>
      <c r="W2586" s="40"/>
      <c r="X2586" s="106">
        <v>44396</v>
      </c>
      <c r="Y2586" s="106">
        <v>46022</v>
      </c>
    </row>
    <row r="2587" s="9" customFormat="1" customHeight="1" spans="1:25">
      <c r="A2587" s="96" t="s">
        <v>401</v>
      </c>
      <c r="B2587" s="96" t="s">
        <v>2950</v>
      </c>
      <c r="C2587" s="96" t="s">
        <v>2998</v>
      </c>
      <c r="D2587" s="265" t="s">
        <v>2951</v>
      </c>
      <c r="E2587" s="105" t="s">
        <v>3328</v>
      </c>
      <c r="F2587" s="96" t="s">
        <v>3342</v>
      </c>
      <c r="G2587" s="96" t="s">
        <v>88</v>
      </c>
      <c r="H2587" s="97" t="s">
        <v>3456</v>
      </c>
      <c r="I2587" s="23" t="e">
        <f>VLOOKUP(H2587,'合同综合查询数据（3月返）'!$A:$A,1,FALSE)</f>
        <v>#N/A</v>
      </c>
      <c r="J2587" s="24" t="s">
        <v>90</v>
      </c>
      <c r="K2587" s="94" t="s">
        <v>3457</v>
      </c>
      <c r="L2587" s="94"/>
      <c r="M2587" s="94" t="s">
        <v>3344</v>
      </c>
      <c r="N2587" s="106">
        <v>44444</v>
      </c>
      <c r="O2587" s="94" t="s">
        <v>457</v>
      </c>
      <c r="P2587" s="297">
        <v>5500</v>
      </c>
      <c r="Q2587" s="297">
        <v>30</v>
      </c>
      <c r="R2587" s="268">
        <f t="shared" si="65"/>
        <v>165000</v>
      </c>
      <c r="S2587" s="24">
        <v>202303</v>
      </c>
      <c r="T2587" s="127" t="s">
        <v>3470</v>
      </c>
      <c r="U2587" s="40"/>
      <c r="V2587" s="40"/>
      <c r="W2587" s="40"/>
      <c r="X2587" s="106">
        <v>44396</v>
      </c>
      <c r="Y2587" s="106">
        <v>46022</v>
      </c>
    </row>
    <row r="2588" s="9" customFormat="1" customHeight="1" spans="1:25">
      <c r="A2588" s="96" t="s">
        <v>401</v>
      </c>
      <c r="B2588" s="96" t="s">
        <v>2950</v>
      </c>
      <c r="C2588" s="96" t="s">
        <v>2998</v>
      </c>
      <c r="D2588" s="265" t="s">
        <v>2951</v>
      </c>
      <c r="E2588" s="105" t="s">
        <v>3328</v>
      </c>
      <c r="F2588" s="96" t="s">
        <v>3342</v>
      </c>
      <c r="G2588" s="96" t="s">
        <v>88</v>
      </c>
      <c r="H2588" s="97" t="s">
        <v>3456</v>
      </c>
      <c r="I2588" s="23" t="e">
        <f>VLOOKUP(H2588,'合同综合查询数据（3月返）'!$A:$A,1,FALSE)</f>
        <v>#N/A</v>
      </c>
      <c r="J2588" s="24" t="s">
        <v>90</v>
      </c>
      <c r="K2588" s="94" t="s">
        <v>3457</v>
      </c>
      <c r="L2588" s="94"/>
      <c r="M2588" s="94" t="s">
        <v>3344</v>
      </c>
      <c r="N2588" s="106">
        <v>44445</v>
      </c>
      <c r="O2588" s="94" t="s">
        <v>457</v>
      </c>
      <c r="P2588" s="297">
        <v>0</v>
      </c>
      <c r="Q2588" s="297">
        <v>-101</v>
      </c>
      <c r="R2588" s="268">
        <f t="shared" si="65"/>
        <v>0</v>
      </c>
      <c r="S2588" s="24">
        <v>202303</v>
      </c>
      <c r="T2588" s="127" t="s">
        <v>3471</v>
      </c>
      <c r="U2588" s="40"/>
      <c r="V2588" s="40"/>
      <c r="W2588" s="40"/>
      <c r="X2588" s="106">
        <v>44396</v>
      </c>
      <c r="Y2588" s="106">
        <v>46022</v>
      </c>
    </row>
    <row r="2589" s="9" customFormat="1" customHeight="1" spans="1:25">
      <c r="A2589" s="96" t="s">
        <v>401</v>
      </c>
      <c r="B2589" s="96" t="s">
        <v>2950</v>
      </c>
      <c r="C2589" s="96" t="s">
        <v>2998</v>
      </c>
      <c r="D2589" s="265" t="s">
        <v>2951</v>
      </c>
      <c r="E2589" s="105" t="s">
        <v>3328</v>
      </c>
      <c r="F2589" s="96" t="s">
        <v>3342</v>
      </c>
      <c r="G2589" s="96" t="s">
        <v>88</v>
      </c>
      <c r="H2589" s="97" t="s">
        <v>3456</v>
      </c>
      <c r="I2589" s="23" t="e">
        <f>VLOOKUP(H2589,'合同综合查询数据（3月返）'!$A:$A,1,FALSE)</f>
        <v>#N/A</v>
      </c>
      <c r="J2589" s="24" t="s">
        <v>90</v>
      </c>
      <c r="K2589" s="94" t="s">
        <v>3457</v>
      </c>
      <c r="L2589" s="94"/>
      <c r="M2589" s="94" t="s">
        <v>3344</v>
      </c>
      <c r="N2589" s="106">
        <v>44446</v>
      </c>
      <c r="O2589" s="94" t="s">
        <v>457</v>
      </c>
      <c r="P2589" s="297">
        <v>0</v>
      </c>
      <c r="Q2589" s="297">
        <v>-20</v>
      </c>
      <c r="R2589" s="268">
        <f t="shared" si="65"/>
        <v>0</v>
      </c>
      <c r="S2589" s="24">
        <v>202303</v>
      </c>
      <c r="T2589" s="127" t="s">
        <v>3472</v>
      </c>
      <c r="U2589" s="40"/>
      <c r="V2589" s="40"/>
      <c r="W2589" s="40"/>
      <c r="X2589" s="106">
        <v>44396</v>
      </c>
      <c r="Y2589" s="106">
        <v>46022</v>
      </c>
    </row>
    <row r="2590" s="9" customFormat="1" customHeight="1" spans="1:25">
      <c r="A2590" s="96" t="s">
        <v>401</v>
      </c>
      <c r="B2590" s="96" t="s">
        <v>2950</v>
      </c>
      <c r="C2590" s="96" t="s">
        <v>2998</v>
      </c>
      <c r="D2590" s="265" t="s">
        <v>2951</v>
      </c>
      <c r="E2590" s="105" t="s">
        <v>3328</v>
      </c>
      <c r="F2590" s="96" t="s">
        <v>3342</v>
      </c>
      <c r="G2590" s="96" t="s">
        <v>88</v>
      </c>
      <c r="H2590" s="97" t="s">
        <v>3456</v>
      </c>
      <c r="I2590" s="23" t="e">
        <f>VLOOKUP(H2590,'合同综合查询数据（3月返）'!$A:$A,1,FALSE)</f>
        <v>#N/A</v>
      </c>
      <c r="J2590" s="24" t="s">
        <v>90</v>
      </c>
      <c r="K2590" s="94" t="s">
        <v>3457</v>
      </c>
      <c r="L2590" s="94"/>
      <c r="M2590" s="94" t="s">
        <v>3344</v>
      </c>
      <c r="N2590" s="106">
        <v>44447</v>
      </c>
      <c r="O2590" s="94" t="s">
        <v>457</v>
      </c>
      <c r="P2590" s="297">
        <v>5500</v>
      </c>
      <c r="Q2590" s="297">
        <v>72</v>
      </c>
      <c r="R2590" s="268">
        <f t="shared" si="65"/>
        <v>396000</v>
      </c>
      <c r="S2590" s="24">
        <v>202303</v>
      </c>
      <c r="T2590" s="127" t="s">
        <v>3473</v>
      </c>
      <c r="U2590" s="40"/>
      <c r="V2590" s="40"/>
      <c r="W2590" s="40"/>
      <c r="X2590" s="106">
        <v>44396</v>
      </c>
      <c r="Y2590" s="106">
        <v>46022</v>
      </c>
    </row>
    <row r="2591" s="9" customFormat="1" customHeight="1" spans="1:25">
      <c r="A2591" s="96" t="s">
        <v>401</v>
      </c>
      <c r="B2591" s="96" t="s">
        <v>2950</v>
      </c>
      <c r="C2591" s="96" t="s">
        <v>2998</v>
      </c>
      <c r="D2591" s="265" t="s">
        <v>2951</v>
      </c>
      <c r="E2591" s="105" t="s">
        <v>3328</v>
      </c>
      <c r="F2591" s="96" t="s">
        <v>3342</v>
      </c>
      <c r="G2591" s="96" t="s">
        <v>88</v>
      </c>
      <c r="H2591" s="97" t="s">
        <v>3456</v>
      </c>
      <c r="I2591" s="23" t="e">
        <f>VLOOKUP(H2591,'合同综合查询数据（3月返）'!$A:$A,1,FALSE)</f>
        <v>#N/A</v>
      </c>
      <c r="J2591" s="24" t="s">
        <v>90</v>
      </c>
      <c r="K2591" s="94" t="s">
        <v>3457</v>
      </c>
      <c r="L2591" s="94"/>
      <c r="M2591" s="94" t="s">
        <v>3344</v>
      </c>
      <c r="N2591" s="106">
        <v>44449</v>
      </c>
      <c r="O2591" s="94" t="s">
        <v>457</v>
      </c>
      <c r="P2591" s="297">
        <v>5500</v>
      </c>
      <c r="Q2591" s="297">
        <v>87</v>
      </c>
      <c r="R2591" s="268">
        <f t="shared" si="65"/>
        <v>478500</v>
      </c>
      <c r="S2591" s="24">
        <v>202303</v>
      </c>
      <c r="T2591" s="127" t="s">
        <v>3474</v>
      </c>
      <c r="U2591" s="40"/>
      <c r="V2591" s="40"/>
      <c r="W2591" s="40"/>
      <c r="X2591" s="106">
        <v>44396</v>
      </c>
      <c r="Y2591" s="106">
        <v>46022</v>
      </c>
    </row>
    <row r="2592" s="9" customFormat="1" customHeight="1" spans="1:25">
      <c r="A2592" s="96" t="s">
        <v>401</v>
      </c>
      <c r="B2592" s="96" t="s">
        <v>2950</v>
      </c>
      <c r="C2592" s="96" t="s">
        <v>2998</v>
      </c>
      <c r="D2592" s="265" t="s">
        <v>2951</v>
      </c>
      <c r="E2592" s="105" t="s">
        <v>3328</v>
      </c>
      <c r="F2592" s="96" t="s">
        <v>3342</v>
      </c>
      <c r="G2592" s="96" t="s">
        <v>88</v>
      </c>
      <c r="H2592" s="97" t="s">
        <v>3456</v>
      </c>
      <c r="I2592" s="23" t="e">
        <f>VLOOKUP(H2592,'合同综合查询数据（3月返）'!$A:$A,1,FALSE)</f>
        <v>#N/A</v>
      </c>
      <c r="J2592" s="24" t="s">
        <v>90</v>
      </c>
      <c r="K2592" s="94" t="s">
        <v>3457</v>
      </c>
      <c r="L2592" s="94"/>
      <c r="M2592" s="94" t="s">
        <v>3344</v>
      </c>
      <c r="N2592" s="106">
        <v>44467</v>
      </c>
      <c r="O2592" s="94" t="s">
        <v>457</v>
      </c>
      <c r="P2592" s="297">
        <v>5500</v>
      </c>
      <c r="Q2592" s="297">
        <v>99</v>
      </c>
      <c r="R2592" s="268">
        <f t="shared" si="65"/>
        <v>544500</v>
      </c>
      <c r="S2592" s="24">
        <v>202303</v>
      </c>
      <c r="T2592" s="127" t="s">
        <v>3475</v>
      </c>
      <c r="U2592" s="40"/>
      <c r="V2592" s="40"/>
      <c r="W2592" s="40"/>
      <c r="X2592" s="106">
        <v>44396</v>
      </c>
      <c r="Y2592" s="106">
        <v>46022</v>
      </c>
    </row>
    <row r="2593" s="9" customFormat="1" customHeight="1" spans="1:25">
      <c r="A2593" s="96" t="s">
        <v>401</v>
      </c>
      <c r="B2593" s="96" t="s">
        <v>2950</v>
      </c>
      <c r="C2593" s="96" t="s">
        <v>2998</v>
      </c>
      <c r="D2593" s="265" t="s">
        <v>2951</v>
      </c>
      <c r="E2593" s="105" t="s">
        <v>3328</v>
      </c>
      <c r="F2593" s="96" t="s">
        <v>3342</v>
      </c>
      <c r="G2593" s="96" t="s">
        <v>88</v>
      </c>
      <c r="H2593" s="97" t="s">
        <v>3456</v>
      </c>
      <c r="I2593" s="23" t="e">
        <f>VLOOKUP(H2593,'合同综合查询数据（3月返）'!$A:$A,1,FALSE)</f>
        <v>#N/A</v>
      </c>
      <c r="J2593" s="24" t="s">
        <v>90</v>
      </c>
      <c r="K2593" s="94" t="s">
        <v>3457</v>
      </c>
      <c r="L2593" s="94"/>
      <c r="M2593" s="94" t="s">
        <v>3344</v>
      </c>
      <c r="N2593" s="106">
        <v>44468</v>
      </c>
      <c r="O2593" s="94" t="s">
        <v>457</v>
      </c>
      <c r="P2593" s="297">
        <v>5500</v>
      </c>
      <c r="Q2593" s="297">
        <v>2</v>
      </c>
      <c r="R2593" s="268">
        <f t="shared" si="65"/>
        <v>11000</v>
      </c>
      <c r="S2593" s="24">
        <v>202303</v>
      </c>
      <c r="T2593" s="127" t="s">
        <v>3476</v>
      </c>
      <c r="U2593" s="40"/>
      <c r="V2593" s="40"/>
      <c r="W2593" s="40"/>
      <c r="X2593" s="106">
        <v>44396</v>
      </c>
      <c r="Y2593" s="106">
        <v>46022</v>
      </c>
    </row>
    <row r="2594" s="9" customFormat="1" customHeight="1" spans="1:25">
      <c r="A2594" s="96" t="s">
        <v>401</v>
      </c>
      <c r="B2594" s="96" t="s">
        <v>2950</v>
      </c>
      <c r="C2594" s="96" t="s">
        <v>2998</v>
      </c>
      <c r="D2594" s="265" t="s">
        <v>2951</v>
      </c>
      <c r="E2594" s="105" t="s">
        <v>3328</v>
      </c>
      <c r="F2594" s="96" t="s">
        <v>3342</v>
      </c>
      <c r="G2594" s="96" t="s">
        <v>88</v>
      </c>
      <c r="H2594" s="97" t="s">
        <v>3456</v>
      </c>
      <c r="I2594" s="23" t="e">
        <f>VLOOKUP(H2594,'合同综合查询数据（3月返）'!$A:$A,1,FALSE)</f>
        <v>#N/A</v>
      </c>
      <c r="J2594" s="24" t="s">
        <v>90</v>
      </c>
      <c r="K2594" s="94" t="s">
        <v>3457</v>
      </c>
      <c r="L2594" s="94"/>
      <c r="M2594" s="94" t="s">
        <v>3344</v>
      </c>
      <c r="N2594" s="106">
        <v>44469</v>
      </c>
      <c r="O2594" s="94" t="s">
        <v>457</v>
      </c>
      <c r="P2594" s="297">
        <v>5500</v>
      </c>
      <c r="Q2594" s="297">
        <v>79</v>
      </c>
      <c r="R2594" s="268">
        <f t="shared" si="65"/>
        <v>434500</v>
      </c>
      <c r="S2594" s="24">
        <v>202303</v>
      </c>
      <c r="T2594" s="127" t="s">
        <v>3477</v>
      </c>
      <c r="U2594" s="303"/>
      <c r="V2594" s="40"/>
      <c r="W2594" s="303"/>
      <c r="X2594" s="106">
        <v>44396</v>
      </c>
      <c r="Y2594" s="106">
        <v>46022</v>
      </c>
    </row>
    <row r="2595" s="9" customFormat="1" customHeight="1" spans="1:25">
      <c r="A2595" s="96" t="s">
        <v>401</v>
      </c>
      <c r="B2595" s="96" t="s">
        <v>2950</v>
      </c>
      <c r="C2595" s="96" t="s">
        <v>2998</v>
      </c>
      <c r="D2595" s="265" t="s">
        <v>2951</v>
      </c>
      <c r="E2595" s="105" t="s">
        <v>3328</v>
      </c>
      <c r="F2595" s="96" t="s">
        <v>3342</v>
      </c>
      <c r="G2595" s="96" t="s">
        <v>88</v>
      </c>
      <c r="H2595" s="97" t="s">
        <v>3456</v>
      </c>
      <c r="I2595" s="23" t="e">
        <f>VLOOKUP(H2595,'合同综合查询数据（3月返）'!$A:$A,1,FALSE)</f>
        <v>#N/A</v>
      </c>
      <c r="J2595" s="24" t="s">
        <v>90</v>
      </c>
      <c r="K2595" s="94" t="s">
        <v>3457</v>
      </c>
      <c r="L2595" s="94"/>
      <c r="M2595" s="94" t="s">
        <v>3344</v>
      </c>
      <c r="N2595" s="106">
        <v>44496</v>
      </c>
      <c r="O2595" s="94" t="s">
        <v>457</v>
      </c>
      <c r="P2595" s="297">
        <v>5500</v>
      </c>
      <c r="Q2595" s="297">
        <v>15</v>
      </c>
      <c r="R2595" s="268">
        <f t="shared" si="65"/>
        <v>82500</v>
      </c>
      <c r="S2595" s="24">
        <v>202303</v>
      </c>
      <c r="T2595" s="127" t="s">
        <v>3478</v>
      </c>
      <c r="U2595" s="303"/>
      <c r="V2595" s="40"/>
      <c r="W2595" s="303"/>
      <c r="X2595" s="106">
        <v>44396</v>
      </c>
      <c r="Y2595" s="106">
        <v>46022</v>
      </c>
    </row>
    <row r="2596" s="9" customFormat="1" customHeight="1" spans="1:25">
      <c r="A2596" s="96" t="s">
        <v>401</v>
      </c>
      <c r="B2596" s="96" t="s">
        <v>2950</v>
      </c>
      <c r="C2596" s="96" t="s">
        <v>2998</v>
      </c>
      <c r="D2596" s="265" t="s">
        <v>2951</v>
      </c>
      <c r="E2596" s="105" t="s">
        <v>3328</v>
      </c>
      <c r="F2596" s="96" t="s">
        <v>3342</v>
      </c>
      <c r="G2596" s="96" t="s">
        <v>88</v>
      </c>
      <c r="H2596" s="97" t="s">
        <v>3456</v>
      </c>
      <c r="I2596" s="23" t="e">
        <f>VLOOKUP(H2596,'合同综合查询数据（3月返）'!$A:$A,1,FALSE)</f>
        <v>#N/A</v>
      </c>
      <c r="J2596" s="24" t="s">
        <v>90</v>
      </c>
      <c r="K2596" s="94" t="s">
        <v>3457</v>
      </c>
      <c r="L2596" s="94"/>
      <c r="M2596" s="94" t="s">
        <v>3344</v>
      </c>
      <c r="N2596" s="106">
        <v>44500</v>
      </c>
      <c r="O2596" s="94" t="s">
        <v>457</v>
      </c>
      <c r="P2596" s="297">
        <v>5500</v>
      </c>
      <c r="Q2596" s="297">
        <v>21</v>
      </c>
      <c r="R2596" s="268">
        <f t="shared" si="65"/>
        <v>115500</v>
      </c>
      <c r="S2596" s="24">
        <v>202303</v>
      </c>
      <c r="T2596" s="127" t="s">
        <v>3479</v>
      </c>
      <c r="U2596" s="303"/>
      <c r="V2596" s="40"/>
      <c r="W2596" s="303"/>
      <c r="X2596" s="106">
        <v>44396</v>
      </c>
      <c r="Y2596" s="106">
        <v>46022</v>
      </c>
    </row>
    <row r="2597" s="9" customFormat="1" customHeight="1" spans="1:25">
      <c r="A2597" s="96" t="s">
        <v>401</v>
      </c>
      <c r="B2597" s="96" t="s">
        <v>2950</v>
      </c>
      <c r="C2597" s="96" t="s">
        <v>2998</v>
      </c>
      <c r="D2597" s="265" t="s">
        <v>2951</v>
      </c>
      <c r="E2597" s="105" t="s">
        <v>3328</v>
      </c>
      <c r="F2597" s="96" t="s">
        <v>3342</v>
      </c>
      <c r="G2597" s="96" t="s">
        <v>88</v>
      </c>
      <c r="H2597" s="97" t="s">
        <v>3456</v>
      </c>
      <c r="I2597" s="23" t="e">
        <f>VLOOKUP(H2597,'合同综合查询数据（3月返）'!$A:$A,1,FALSE)</f>
        <v>#N/A</v>
      </c>
      <c r="J2597" s="24" t="s">
        <v>90</v>
      </c>
      <c r="K2597" s="94" t="s">
        <v>3457</v>
      </c>
      <c r="L2597" s="94"/>
      <c r="M2597" s="94" t="s">
        <v>3344</v>
      </c>
      <c r="N2597" s="106">
        <v>44438</v>
      </c>
      <c r="O2597" s="94" t="s">
        <v>545</v>
      </c>
      <c r="P2597" s="297">
        <v>2600</v>
      </c>
      <c r="Q2597" s="297">
        <v>1</v>
      </c>
      <c r="R2597" s="268">
        <f t="shared" si="65"/>
        <v>2600</v>
      </c>
      <c r="S2597" s="24">
        <v>202303</v>
      </c>
      <c r="T2597" s="127" t="s">
        <v>3480</v>
      </c>
      <c r="U2597" s="303"/>
      <c r="V2597" s="40"/>
      <c r="W2597" s="303"/>
      <c r="X2597" s="106">
        <v>44396</v>
      </c>
      <c r="Y2597" s="106">
        <v>46022</v>
      </c>
    </row>
    <row r="2598" s="9" customFormat="1" customHeight="1" spans="1:25">
      <c r="A2598" s="96" t="s">
        <v>401</v>
      </c>
      <c r="B2598" s="96" t="s">
        <v>2950</v>
      </c>
      <c r="C2598" s="96" t="s">
        <v>2998</v>
      </c>
      <c r="D2598" s="265" t="s">
        <v>2951</v>
      </c>
      <c r="E2598" s="105" t="s">
        <v>3328</v>
      </c>
      <c r="F2598" s="96" t="s">
        <v>3342</v>
      </c>
      <c r="G2598" s="96" t="s">
        <v>88</v>
      </c>
      <c r="H2598" s="97" t="s">
        <v>3456</v>
      </c>
      <c r="I2598" s="23" t="e">
        <f>VLOOKUP(H2598,'合同综合查询数据（3月返）'!$A:$A,1,FALSE)</f>
        <v>#N/A</v>
      </c>
      <c r="J2598" s="24" t="s">
        <v>90</v>
      </c>
      <c r="K2598" s="94" t="s">
        <v>3457</v>
      </c>
      <c r="L2598" s="94"/>
      <c r="M2598" s="94" t="s">
        <v>3344</v>
      </c>
      <c r="N2598" s="106">
        <v>44744</v>
      </c>
      <c r="O2598" s="94" t="s">
        <v>457</v>
      </c>
      <c r="P2598" s="297">
        <v>5500</v>
      </c>
      <c r="Q2598" s="297">
        <v>1</v>
      </c>
      <c r="R2598" s="268">
        <f t="shared" si="65"/>
        <v>5500</v>
      </c>
      <c r="S2598" s="24">
        <v>202303</v>
      </c>
      <c r="T2598" s="127" t="s">
        <v>3481</v>
      </c>
      <c r="U2598" s="303"/>
      <c r="V2598" s="40"/>
      <c r="W2598" s="303"/>
      <c r="X2598" s="106">
        <v>44396</v>
      </c>
      <c r="Y2598" s="106">
        <v>46022</v>
      </c>
    </row>
    <row r="2599" s="9" customFormat="1" customHeight="1" spans="1:25">
      <c r="A2599" s="96" t="s">
        <v>401</v>
      </c>
      <c r="B2599" s="96" t="s">
        <v>2950</v>
      </c>
      <c r="C2599" s="96" t="s">
        <v>2998</v>
      </c>
      <c r="D2599" s="265" t="s">
        <v>2951</v>
      </c>
      <c r="E2599" s="105" t="s">
        <v>3328</v>
      </c>
      <c r="F2599" s="96" t="s">
        <v>3342</v>
      </c>
      <c r="G2599" s="96" t="s">
        <v>88</v>
      </c>
      <c r="H2599" s="97" t="s">
        <v>3456</v>
      </c>
      <c r="I2599" s="23" t="e">
        <f>VLOOKUP(H2599,'合同综合查询数据（3月返）'!$A:$A,1,FALSE)</f>
        <v>#N/A</v>
      </c>
      <c r="J2599" s="24" t="s">
        <v>3102</v>
      </c>
      <c r="K2599" s="94" t="s">
        <v>3457</v>
      </c>
      <c r="L2599" s="94"/>
      <c r="M2599" s="94" t="s">
        <v>3344</v>
      </c>
      <c r="N2599" s="106"/>
      <c r="O2599" s="94"/>
      <c r="P2599" s="297">
        <v>275</v>
      </c>
      <c r="Q2599" s="297">
        <v>0</v>
      </c>
      <c r="R2599" s="268">
        <f t="shared" si="65"/>
        <v>0</v>
      </c>
      <c r="S2599" s="24">
        <v>202303</v>
      </c>
      <c r="T2599" s="127"/>
      <c r="U2599" s="40"/>
      <c r="V2599" s="40"/>
      <c r="W2599" s="40"/>
      <c r="X2599" s="106">
        <v>44396</v>
      </c>
      <c r="Y2599" s="106">
        <v>46022</v>
      </c>
    </row>
    <row r="2600" s="9" customFormat="1" customHeight="1" spans="1:25">
      <c r="A2600" s="96" t="s">
        <v>401</v>
      </c>
      <c r="B2600" s="96" t="s">
        <v>2950</v>
      </c>
      <c r="C2600" s="96" t="s">
        <v>2998</v>
      </c>
      <c r="D2600" s="265" t="s">
        <v>2951</v>
      </c>
      <c r="E2600" s="105" t="s">
        <v>3328</v>
      </c>
      <c r="F2600" s="96" t="s">
        <v>3342</v>
      </c>
      <c r="G2600" s="96" t="s">
        <v>88</v>
      </c>
      <c r="H2600" s="97" t="s">
        <v>3482</v>
      </c>
      <c r="I2600" s="23" t="e">
        <f>VLOOKUP(H2600,'合同综合查询数据（3月返）'!$A:$A,1,FALSE)</f>
        <v>#N/A</v>
      </c>
      <c r="J2600" s="24" t="s">
        <v>90</v>
      </c>
      <c r="K2600" s="94" t="s">
        <v>3483</v>
      </c>
      <c r="L2600" s="94"/>
      <c r="M2600" s="94" t="s">
        <v>3344</v>
      </c>
      <c r="N2600" s="106">
        <v>44573</v>
      </c>
      <c r="O2600" s="94" t="s">
        <v>457</v>
      </c>
      <c r="P2600" s="297">
        <v>0</v>
      </c>
      <c r="Q2600" s="297">
        <v>33</v>
      </c>
      <c r="R2600" s="268">
        <f t="shared" si="65"/>
        <v>0</v>
      </c>
      <c r="S2600" s="24">
        <v>202303</v>
      </c>
      <c r="T2600" s="127" t="s">
        <v>3484</v>
      </c>
      <c r="U2600" s="40"/>
      <c r="V2600" s="40"/>
      <c r="W2600" s="40"/>
      <c r="X2600" s="106">
        <v>44621</v>
      </c>
      <c r="Y2600" s="106">
        <v>46022</v>
      </c>
    </row>
    <row r="2601" s="9" customFormat="1" customHeight="1" spans="1:25">
      <c r="A2601" s="96" t="s">
        <v>401</v>
      </c>
      <c r="B2601" s="96" t="s">
        <v>2950</v>
      </c>
      <c r="C2601" s="96" t="s">
        <v>2998</v>
      </c>
      <c r="D2601" s="265" t="s">
        <v>2951</v>
      </c>
      <c r="E2601" s="105" t="s">
        <v>3328</v>
      </c>
      <c r="F2601" s="96" t="s">
        <v>3342</v>
      </c>
      <c r="G2601" s="96" t="s">
        <v>88</v>
      </c>
      <c r="H2601" s="97" t="s">
        <v>3482</v>
      </c>
      <c r="I2601" s="23" t="e">
        <f>VLOOKUP(H2601,'合同综合查询数据（3月返）'!$A:$A,1,FALSE)</f>
        <v>#N/A</v>
      </c>
      <c r="J2601" s="24" t="s">
        <v>90</v>
      </c>
      <c r="K2601" s="94" t="s">
        <v>3483</v>
      </c>
      <c r="L2601" s="94"/>
      <c r="M2601" s="94" t="s">
        <v>3344</v>
      </c>
      <c r="N2601" s="106">
        <v>44580</v>
      </c>
      <c r="O2601" s="94" t="s">
        <v>457</v>
      </c>
      <c r="P2601" s="297">
        <v>0</v>
      </c>
      <c r="Q2601" s="297">
        <v>79</v>
      </c>
      <c r="R2601" s="268">
        <f t="shared" si="65"/>
        <v>0</v>
      </c>
      <c r="S2601" s="24">
        <v>202303</v>
      </c>
      <c r="T2601" s="127" t="s">
        <v>3485</v>
      </c>
      <c r="U2601" s="40"/>
      <c r="V2601" s="40"/>
      <c r="W2601" s="40"/>
      <c r="X2601" s="106">
        <v>44621</v>
      </c>
      <c r="Y2601" s="106">
        <v>46022</v>
      </c>
    </row>
    <row r="2602" s="9" customFormat="1" customHeight="1" spans="1:25">
      <c r="A2602" s="96" t="s">
        <v>401</v>
      </c>
      <c r="B2602" s="96" t="s">
        <v>2950</v>
      </c>
      <c r="C2602" s="96" t="s">
        <v>2998</v>
      </c>
      <c r="D2602" s="265" t="s">
        <v>2951</v>
      </c>
      <c r="E2602" s="105" t="s">
        <v>3328</v>
      </c>
      <c r="F2602" s="96" t="s">
        <v>3342</v>
      </c>
      <c r="G2602" s="96" t="s">
        <v>88</v>
      </c>
      <c r="H2602" s="97" t="s">
        <v>3482</v>
      </c>
      <c r="I2602" s="23" t="e">
        <f>VLOOKUP(H2602,'合同综合查询数据（3月返）'!$A:$A,1,FALSE)</f>
        <v>#N/A</v>
      </c>
      <c r="J2602" s="24" t="s">
        <v>90</v>
      </c>
      <c r="K2602" s="94" t="s">
        <v>3483</v>
      </c>
      <c r="L2602" s="94"/>
      <c r="M2602" s="94" t="s">
        <v>3344</v>
      </c>
      <c r="N2602" s="106">
        <v>44586</v>
      </c>
      <c r="O2602" s="94" t="s">
        <v>457</v>
      </c>
      <c r="P2602" s="297">
        <v>0</v>
      </c>
      <c r="Q2602" s="297">
        <v>-112</v>
      </c>
      <c r="R2602" s="268">
        <f t="shared" si="65"/>
        <v>0</v>
      </c>
      <c r="S2602" s="24">
        <v>202303</v>
      </c>
      <c r="T2602" s="127" t="s">
        <v>3486</v>
      </c>
      <c r="U2602" s="40"/>
      <c r="V2602" s="40"/>
      <c r="W2602" s="40"/>
      <c r="X2602" s="106">
        <v>44621</v>
      </c>
      <c r="Y2602" s="106">
        <v>46022</v>
      </c>
    </row>
    <row r="2603" s="9" customFormat="1" customHeight="1" spans="1:25">
      <c r="A2603" s="96" t="s">
        <v>401</v>
      </c>
      <c r="B2603" s="96" t="s">
        <v>2950</v>
      </c>
      <c r="C2603" s="96" t="s">
        <v>2998</v>
      </c>
      <c r="D2603" s="265" t="s">
        <v>2951</v>
      </c>
      <c r="E2603" s="105" t="s">
        <v>3328</v>
      </c>
      <c r="F2603" s="96" t="s">
        <v>3342</v>
      </c>
      <c r="G2603" s="96" t="s">
        <v>88</v>
      </c>
      <c r="H2603" s="97" t="s">
        <v>3482</v>
      </c>
      <c r="I2603" s="23" t="e">
        <f>VLOOKUP(H2603,'合同综合查询数据（3月返）'!$A:$A,1,FALSE)</f>
        <v>#N/A</v>
      </c>
      <c r="J2603" s="24" t="s">
        <v>90</v>
      </c>
      <c r="K2603" s="94" t="s">
        <v>3483</v>
      </c>
      <c r="L2603" s="94"/>
      <c r="M2603" s="94" t="s">
        <v>3344</v>
      </c>
      <c r="N2603" s="106">
        <v>44613</v>
      </c>
      <c r="O2603" s="94" t="s">
        <v>457</v>
      </c>
      <c r="P2603" s="297">
        <v>5000</v>
      </c>
      <c r="Q2603" s="297">
        <v>10</v>
      </c>
      <c r="R2603" s="268">
        <f t="shared" si="65"/>
        <v>50000</v>
      </c>
      <c r="S2603" s="24">
        <v>202303</v>
      </c>
      <c r="T2603" s="127" t="s">
        <v>3487</v>
      </c>
      <c r="U2603" s="40"/>
      <c r="V2603" s="40"/>
      <c r="W2603" s="40"/>
      <c r="X2603" s="106">
        <v>44621</v>
      </c>
      <c r="Y2603" s="106">
        <v>46022</v>
      </c>
    </row>
    <row r="2604" s="9" customFormat="1" customHeight="1" spans="1:25">
      <c r="A2604" s="96" t="s">
        <v>401</v>
      </c>
      <c r="B2604" s="96" t="s">
        <v>2950</v>
      </c>
      <c r="C2604" s="96" t="s">
        <v>2998</v>
      </c>
      <c r="D2604" s="265" t="s">
        <v>2951</v>
      </c>
      <c r="E2604" s="105" t="s">
        <v>3328</v>
      </c>
      <c r="F2604" s="96" t="s">
        <v>3342</v>
      </c>
      <c r="G2604" s="96" t="s">
        <v>88</v>
      </c>
      <c r="H2604" s="97" t="s">
        <v>3482</v>
      </c>
      <c r="I2604" s="23" t="e">
        <f>VLOOKUP(H2604,'合同综合查询数据（3月返）'!$A:$A,1,FALSE)</f>
        <v>#N/A</v>
      </c>
      <c r="J2604" s="24" t="s">
        <v>90</v>
      </c>
      <c r="K2604" s="94" t="s">
        <v>3483</v>
      </c>
      <c r="L2604" s="94"/>
      <c r="M2604" s="94" t="s">
        <v>3344</v>
      </c>
      <c r="N2604" s="106">
        <v>44613</v>
      </c>
      <c r="O2604" s="94" t="s">
        <v>545</v>
      </c>
      <c r="P2604" s="297">
        <v>2600</v>
      </c>
      <c r="Q2604" s="297">
        <v>4</v>
      </c>
      <c r="R2604" s="268">
        <f t="shared" si="65"/>
        <v>10400</v>
      </c>
      <c r="S2604" s="24">
        <v>202303</v>
      </c>
      <c r="T2604" s="127" t="s">
        <v>3488</v>
      </c>
      <c r="U2604" s="40"/>
      <c r="V2604" s="40"/>
      <c r="W2604" s="40"/>
      <c r="X2604" s="106">
        <v>44621</v>
      </c>
      <c r="Y2604" s="106">
        <v>46022</v>
      </c>
    </row>
    <row r="2605" s="9" customFormat="1" customHeight="1" spans="1:25">
      <c r="A2605" s="96" t="s">
        <v>401</v>
      </c>
      <c r="B2605" s="96" t="s">
        <v>2950</v>
      </c>
      <c r="C2605" s="96" t="s">
        <v>2998</v>
      </c>
      <c r="D2605" s="265" t="s">
        <v>2951</v>
      </c>
      <c r="E2605" s="105" t="s">
        <v>3328</v>
      </c>
      <c r="F2605" s="96" t="s">
        <v>3342</v>
      </c>
      <c r="G2605" s="96" t="s">
        <v>88</v>
      </c>
      <c r="H2605" s="97" t="s">
        <v>3482</v>
      </c>
      <c r="I2605" s="23" t="e">
        <f>VLOOKUP(H2605,'合同综合查询数据（3月返）'!$A:$A,1,FALSE)</f>
        <v>#N/A</v>
      </c>
      <c r="J2605" s="24" t="s">
        <v>90</v>
      </c>
      <c r="K2605" s="94" t="s">
        <v>3483</v>
      </c>
      <c r="L2605" s="94"/>
      <c r="M2605" s="94" t="s">
        <v>3344</v>
      </c>
      <c r="N2605" s="106">
        <v>44639</v>
      </c>
      <c r="O2605" s="94" t="s">
        <v>545</v>
      </c>
      <c r="P2605" s="297">
        <v>2600</v>
      </c>
      <c r="Q2605" s="297">
        <v>1</v>
      </c>
      <c r="R2605" s="268">
        <f t="shared" si="65"/>
        <v>2600</v>
      </c>
      <c r="S2605" s="24">
        <v>202303</v>
      </c>
      <c r="T2605" s="127" t="s">
        <v>3489</v>
      </c>
      <c r="U2605" s="40"/>
      <c r="V2605" s="40"/>
      <c r="W2605" s="40"/>
      <c r="X2605" s="106">
        <v>44621</v>
      </c>
      <c r="Y2605" s="106">
        <v>46022</v>
      </c>
    </row>
    <row r="2606" s="9" customFormat="1" customHeight="1" spans="1:25">
      <c r="A2606" s="96" t="s">
        <v>401</v>
      </c>
      <c r="B2606" s="96" t="s">
        <v>2950</v>
      </c>
      <c r="C2606" s="96" t="s">
        <v>2998</v>
      </c>
      <c r="D2606" s="265" t="s">
        <v>2951</v>
      </c>
      <c r="E2606" s="105" t="s">
        <v>3328</v>
      </c>
      <c r="F2606" s="96" t="s">
        <v>3342</v>
      </c>
      <c r="G2606" s="96" t="s">
        <v>88</v>
      </c>
      <c r="H2606" s="97" t="s">
        <v>3482</v>
      </c>
      <c r="I2606" s="23" t="e">
        <f>VLOOKUP(H2606,'合同综合查询数据（3月返）'!$A:$A,1,FALSE)</f>
        <v>#N/A</v>
      </c>
      <c r="J2606" s="24" t="s">
        <v>90</v>
      </c>
      <c r="K2606" s="94" t="s">
        <v>3483</v>
      </c>
      <c r="L2606" s="94"/>
      <c r="M2606" s="94" t="s">
        <v>3344</v>
      </c>
      <c r="N2606" s="106">
        <v>44744</v>
      </c>
      <c r="O2606" s="94" t="s">
        <v>457</v>
      </c>
      <c r="P2606" s="297">
        <v>5000</v>
      </c>
      <c r="Q2606" s="297">
        <v>3</v>
      </c>
      <c r="R2606" s="268">
        <f t="shared" si="65"/>
        <v>15000</v>
      </c>
      <c r="S2606" s="24">
        <v>202303</v>
      </c>
      <c r="T2606" s="127" t="s">
        <v>3490</v>
      </c>
      <c r="U2606" s="40"/>
      <c r="V2606" s="40"/>
      <c r="W2606" s="40"/>
      <c r="X2606" s="106">
        <v>44621</v>
      </c>
      <c r="Y2606" s="106">
        <v>46022</v>
      </c>
    </row>
    <row r="2607" s="9" customFormat="1" customHeight="1" spans="1:25">
      <c r="A2607" s="96" t="s">
        <v>401</v>
      </c>
      <c r="B2607" s="96" t="s">
        <v>2950</v>
      </c>
      <c r="C2607" s="96" t="s">
        <v>2998</v>
      </c>
      <c r="D2607" s="265" t="s">
        <v>2951</v>
      </c>
      <c r="E2607" s="105" t="s">
        <v>3328</v>
      </c>
      <c r="F2607" s="96" t="s">
        <v>3342</v>
      </c>
      <c r="G2607" s="96" t="s">
        <v>88</v>
      </c>
      <c r="H2607" s="97" t="s">
        <v>3482</v>
      </c>
      <c r="I2607" s="23" t="e">
        <f>VLOOKUP(H2607,'合同综合查询数据（3月返）'!$A:$A,1,FALSE)</f>
        <v>#N/A</v>
      </c>
      <c r="J2607" s="24" t="s">
        <v>90</v>
      </c>
      <c r="K2607" s="94" t="s">
        <v>3483</v>
      </c>
      <c r="L2607" s="94"/>
      <c r="M2607" s="94" t="s">
        <v>3344</v>
      </c>
      <c r="N2607" s="106">
        <v>44754</v>
      </c>
      <c r="O2607" s="94" t="s">
        <v>457</v>
      </c>
      <c r="P2607" s="297">
        <v>5000</v>
      </c>
      <c r="Q2607" s="297">
        <v>2</v>
      </c>
      <c r="R2607" s="268">
        <f t="shared" si="65"/>
        <v>10000</v>
      </c>
      <c r="S2607" s="24">
        <v>202303</v>
      </c>
      <c r="T2607" s="127" t="s">
        <v>3491</v>
      </c>
      <c r="U2607" s="40"/>
      <c r="V2607" s="40"/>
      <c r="W2607" s="40"/>
      <c r="X2607" s="106">
        <v>44621</v>
      </c>
      <c r="Y2607" s="106">
        <v>46022</v>
      </c>
    </row>
    <row r="2608" s="9" customFormat="1" customHeight="1" spans="1:25">
      <c r="A2608" s="96" t="s">
        <v>401</v>
      </c>
      <c r="B2608" s="96" t="s">
        <v>2950</v>
      </c>
      <c r="C2608" s="96" t="s">
        <v>2998</v>
      </c>
      <c r="D2608" s="265" t="s">
        <v>2951</v>
      </c>
      <c r="E2608" s="105" t="s">
        <v>3328</v>
      </c>
      <c r="F2608" s="96" t="s">
        <v>3342</v>
      </c>
      <c r="G2608" s="96" t="s">
        <v>88</v>
      </c>
      <c r="H2608" s="97" t="s">
        <v>3482</v>
      </c>
      <c r="I2608" s="23" t="e">
        <f>VLOOKUP(H2608,'合同综合查询数据（3月返）'!$A:$A,1,FALSE)</f>
        <v>#N/A</v>
      </c>
      <c r="J2608" s="24" t="s">
        <v>90</v>
      </c>
      <c r="K2608" s="94" t="s">
        <v>3483</v>
      </c>
      <c r="L2608" s="94"/>
      <c r="M2608" s="94" t="s">
        <v>3344</v>
      </c>
      <c r="N2608" s="106">
        <v>44792</v>
      </c>
      <c r="O2608" s="94" t="s">
        <v>457</v>
      </c>
      <c r="P2608" s="297">
        <v>5000</v>
      </c>
      <c r="Q2608" s="297">
        <v>38</v>
      </c>
      <c r="R2608" s="268">
        <f t="shared" si="65"/>
        <v>190000</v>
      </c>
      <c r="S2608" s="24">
        <v>202303</v>
      </c>
      <c r="T2608" s="127" t="s">
        <v>3492</v>
      </c>
      <c r="U2608" s="40"/>
      <c r="V2608" s="40"/>
      <c r="W2608" s="40"/>
      <c r="X2608" s="106">
        <v>44621</v>
      </c>
      <c r="Y2608" s="106">
        <v>46022</v>
      </c>
    </row>
    <row r="2609" s="9" customFormat="1" customHeight="1" spans="1:25">
      <c r="A2609" s="96" t="s">
        <v>401</v>
      </c>
      <c r="B2609" s="96" t="s">
        <v>2950</v>
      </c>
      <c r="C2609" s="96" t="s">
        <v>2998</v>
      </c>
      <c r="D2609" s="265" t="s">
        <v>2951</v>
      </c>
      <c r="E2609" s="105" t="s">
        <v>3328</v>
      </c>
      <c r="F2609" s="96" t="s">
        <v>3342</v>
      </c>
      <c r="G2609" s="96" t="s">
        <v>88</v>
      </c>
      <c r="H2609" s="97" t="s">
        <v>3482</v>
      </c>
      <c r="I2609" s="23" t="e">
        <f>VLOOKUP(H2609,'合同综合查询数据（3月返）'!$A:$A,1,FALSE)</f>
        <v>#N/A</v>
      </c>
      <c r="J2609" s="24" t="s">
        <v>90</v>
      </c>
      <c r="K2609" s="94" t="s">
        <v>3483</v>
      </c>
      <c r="L2609" s="94"/>
      <c r="M2609" s="94" t="s">
        <v>3344</v>
      </c>
      <c r="N2609" s="106">
        <v>44805</v>
      </c>
      <c r="O2609" s="94" t="s">
        <v>457</v>
      </c>
      <c r="P2609" s="297">
        <v>5000</v>
      </c>
      <c r="Q2609" s="297">
        <v>10</v>
      </c>
      <c r="R2609" s="268">
        <f t="shared" si="65"/>
        <v>50000</v>
      </c>
      <c r="S2609" s="24">
        <v>202303</v>
      </c>
      <c r="T2609" s="127" t="s">
        <v>3493</v>
      </c>
      <c r="U2609" s="40"/>
      <c r="V2609" s="40"/>
      <c r="W2609" s="40"/>
      <c r="X2609" s="106">
        <v>44621</v>
      </c>
      <c r="Y2609" s="106">
        <v>46022</v>
      </c>
    </row>
    <row r="2610" s="9" customFormat="1" customHeight="1" spans="1:25">
      <c r="A2610" s="96" t="s">
        <v>401</v>
      </c>
      <c r="B2610" s="96" t="s">
        <v>2950</v>
      </c>
      <c r="C2610" s="96" t="s">
        <v>2998</v>
      </c>
      <c r="D2610" s="265" t="s">
        <v>2951</v>
      </c>
      <c r="E2610" s="105" t="s">
        <v>3328</v>
      </c>
      <c r="F2610" s="96" t="s">
        <v>3342</v>
      </c>
      <c r="G2610" s="96" t="s">
        <v>88</v>
      </c>
      <c r="H2610" s="97" t="s">
        <v>3482</v>
      </c>
      <c r="I2610" s="23" t="e">
        <f>VLOOKUP(H2610,'合同综合查询数据（3月返）'!$A:$A,1,FALSE)</f>
        <v>#N/A</v>
      </c>
      <c r="J2610" s="24" t="s">
        <v>90</v>
      </c>
      <c r="K2610" s="94" t="s">
        <v>3483</v>
      </c>
      <c r="L2610" s="94"/>
      <c r="M2610" s="94" t="s">
        <v>3344</v>
      </c>
      <c r="N2610" s="106">
        <v>44811</v>
      </c>
      <c r="O2610" s="94" t="s">
        <v>457</v>
      </c>
      <c r="P2610" s="297">
        <v>5000</v>
      </c>
      <c r="Q2610" s="297">
        <v>52</v>
      </c>
      <c r="R2610" s="268">
        <f t="shared" si="65"/>
        <v>260000</v>
      </c>
      <c r="S2610" s="24">
        <v>202303</v>
      </c>
      <c r="T2610" s="127" t="s">
        <v>3494</v>
      </c>
      <c r="U2610" s="40"/>
      <c r="V2610" s="40"/>
      <c r="W2610" s="40"/>
      <c r="X2610" s="106">
        <v>44621</v>
      </c>
      <c r="Y2610" s="106">
        <v>46022</v>
      </c>
    </row>
    <row r="2611" s="9" customFormat="1" customHeight="1" spans="1:25">
      <c r="A2611" s="96" t="s">
        <v>401</v>
      </c>
      <c r="B2611" s="96" t="s">
        <v>2950</v>
      </c>
      <c r="C2611" s="96" t="s">
        <v>2998</v>
      </c>
      <c r="D2611" s="265" t="s">
        <v>2951</v>
      </c>
      <c r="E2611" s="105" t="s">
        <v>3328</v>
      </c>
      <c r="F2611" s="96" t="s">
        <v>3342</v>
      </c>
      <c r="G2611" s="96" t="s">
        <v>88</v>
      </c>
      <c r="H2611" s="97" t="s">
        <v>3482</v>
      </c>
      <c r="I2611" s="23" t="e">
        <f>VLOOKUP(H2611,'合同综合查询数据（3月返）'!$A:$A,1,FALSE)</f>
        <v>#N/A</v>
      </c>
      <c r="J2611" s="24" t="s">
        <v>90</v>
      </c>
      <c r="K2611" s="94" t="s">
        <v>3483</v>
      </c>
      <c r="L2611" s="94"/>
      <c r="M2611" s="94" t="s">
        <v>3344</v>
      </c>
      <c r="N2611" s="106">
        <v>44869</v>
      </c>
      <c r="O2611" s="94" t="s">
        <v>457</v>
      </c>
      <c r="P2611" s="297">
        <v>5000</v>
      </c>
      <c r="Q2611" s="297">
        <v>-3</v>
      </c>
      <c r="R2611" s="268">
        <f t="shared" si="65"/>
        <v>-15000</v>
      </c>
      <c r="S2611" s="24">
        <v>202303</v>
      </c>
      <c r="T2611" s="127" t="s">
        <v>3495</v>
      </c>
      <c r="U2611" s="40"/>
      <c r="V2611" s="40"/>
      <c r="W2611" s="40"/>
      <c r="X2611" s="106">
        <v>44621</v>
      </c>
      <c r="Y2611" s="106">
        <v>46022</v>
      </c>
    </row>
    <row r="2612" s="9" customFormat="1" customHeight="1" spans="1:25">
      <c r="A2612" s="96" t="s">
        <v>401</v>
      </c>
      <c r="B2612" s="96" t="s">
        <v>2950</v>
      </c>
      <c r="C2612" s="96" t="s">
        <v>2998</v>
      </c>
      <c r="D2612" s="265" t="s">
        <v>2951</v>
      </c>
      <c r="E2612" s="105" t="s">
        <v>3328</v>
      </c>
      <c r="F2612" s="96" t="s">
        <v>3342</v>
      </c>
      <c r="G2612" s="96" t="s">
        <v>88</v>
      </c>
      <c r="H2612" s="97" t="s">
        <v>3482</v>
      </c>
      <c r="I2612" s="23" t="e">
        <f>VLOOKUP(H2612,'合同综合查询数据（3月返）'!$A:$A,1,FALSE)</f>
        <v>#N/A</v>
      </c>
      <c r="J2612" s="24" t="s">
        <v>3102</v>
      </c>
      <c r="K2612" s="94" t="s">
        <v>3483</v>
      </c>
      <c r="L2612" s="94"/>
      <c r="M2612" s="94" t="s">
        <v>3344</v>
      </c>
      <c r="N2612" s="106"/>
      <c r="O2612" s="94"/>
      <c r="P2612" s="297">
        <v>250</v>
      </c>
      <c r="Q2612" s="297">
        <v>0</v>
      </c>
      <c r="R2612" s="268">
        <f t="shared" si="65"/>
        <v>0</v>
      </c>
      <c r="S2612" s="24">
        <v>202303</v>
      </c>
      <c r="T2612" s="127" t="s">
        <v>3496</v>
      </c>
      <c r="U2612" s="40"/>
      <c r="V2612" s="40"/>
      <c r="W2612" s="40"/>
      <c r="X2612" s="106">
        <v>44621</v>
      </c>
      <c r="Y2612" s="106">
        <v>46022</v>
      </c>
    </row>
    <row r="2613" s="10" customFormat="1" customHeight="1" spans="1:25">
      <c r="A2613" s="62" t="s">
        <v>401</v>
      </c>
      <c r="B2613" s="62" t="s">
        <v>2950</v>
      </c>
      <c r="C2613" s="60" t="s">
        <v>2998</v>
      </c>
      <c r="D2613" s="263" t="s">
        <v>2951</v>
      </c>
      <c r="E2613" s="47" t="s">
        <v>3328</v>
      </c>
      <c r="F2613" s="62" t="s">
        <v>3342</v>
      </c>
      <c r="G2613" s="60" t="s">
        <v>31</v>
      </c>
      <c r="H2613" s="102" t="s">
        <v>3497</v>
      </c>
      <c r="I2613" s="47" t="e">
        <f>VLOOKUP(H2613,'合同综合查询数据（3月返）'!$A:$A,1,FALSE)</f>
        <v>#N/A</v>
      </c>
      <c r="J2613" s="62" t="s">
        <v>3106</v>
      </c>
      <c r="K2613" s="62" t="s">
        <v>3303</v>
      </c>
      <c r="L2613" s="62"/>
      <c r="M2613" s="277" t="s">
        <v>3340</v>
      </c>
      <c r="N2613" s="111">
        <v>43922</v>
      </c>
      <c r="O2613" s="62" t="s">
        <v>37</v>
      </c>
      <c r="P2613" s="299">
        <v>2500</v>
      </c>
      <c r="Q2613" s="299">
        <v>2</v>
      </c>
      <c r="R2613" s="266">
        <f t="shared" si="65"/>
        <v>5000</v>
      </c>
      <c r="S2613" s="48">
        <v>202303</v>
      </c>
      <c r="T2613" s="125" t="s">
        <v>3498</v>
      </c>
      <c r="U2613" s="58"/>
      <c r="V2613" s="58"/>
      <c r="W2613" s="58"/>
      <c r="X2613" s="111"/>
      <c r="Y2613" s="111"/>
    </row>
    <row r="2614" s="10" customFormat="1" customHeight="1" spans="1:25">
      <c r="A2614" s="62" t="s">
        <v>401</v>
      </c>
      <c r="B2614" s="62" t="s">
        <v>2950</v>
      </c>
      <c r="C2614" s="60" t="s">
        <v>2998</v>
      </c>
      <c r="D2614" s="263" t="s">
        <v>2951</v>
      </c>
      <c r="E2614" s="47" t="s">
        <v>3328</v>
      </c>
      <c r="F2614" s="62" t="s">
        <v>3342</v>
      </c>
      <c r="G2614" s="62" t="s">
        <v>31</v>
      </c>
      <c r="H2614" s="102" t="s">
        <v>3497</v>
      </c>
      <c r="I2614" s="47" t="e">
        <f>VLOOKUP(H2614,'合同综合查询数据（3月返）'!$A:$A,1,FALSE)</f>
        <v>#N/A</v>
      </c>
      <c r="J2614" s="62" t="s">
        <v>3106</v>
      </c>
      <c r="K2614" s="62" t="s">
        <v>3303</v>
      </c>
      <c r="L2614" s="62"/>
      <c r="M2614" s="62" t="s">
        <v>3340</v>
      </c>
      <c r="N2614" s="111">
        <v>44075</v>
      </c>
      <c r="O2614" s="62" t="s">
        <v>37</v>
      </c>
      <c r="P2614" s="299">
        <v>2500</v>
      </c>
      <c r="Q2614" s="299">
        <v>2</v>
      </c>
      <c r="R2614" s="266">
        <f t="shared" si="65"/>
        <v>5000</v>
      </c>
      <c r="S2614" s="48">
        <v>202303</v>
      </c>
      <c r="T2614" s="125" t="s">
        <v>3499</v>
      </c>
      <c r="U2614" s="58"/>
      <c r="V2614" s="58"/>
      <c r="W2614" s="58"/>
      <c r="X2614" s="111"/>
      <c r="Y2614" s="111"/>
    </row>
    <row r="2615" s="9" customFormat="1" customHeight="1" spans="1:25">
      <c r="A2615" s="94" t="s">
        <v>401</v>
      </c>
      <c r="B2615" s="94" t="s">
        <v>2950</v>
      </c>
      <c r="C2615" s="96" t="s">
        <v>2998</v>
      </c>
      <c r="D2615" s="265" t="s">
        <v>2951</v>
      </c>
      <c r="E2615" s="23" t="s">
        <v>3328</v>
      </c>
      <c r="F2615" s="94" t="s">
        <v>3342</v>
      </c>
      <c r="G2615" s="94" t="s">
        <v>31</v>
      </c>
      <c r="H2615" s="97" t="s">
        <v>3500</v>
      </c>
      <c r="I2615" s="23" t="e">
        <f>VLOOKUP(H2615,'合同综合查询数据（3月返）'!$A:$A,1,FALSE)</f>
        <v>#N/A</v>
      </c>
      <c r="J2615" s="24" t="s">
        <v>33</v>
      </c>
      <c r="K2615" s="94" t="s">
        <v>3501</v>
      </c>
      <c r="L2615" s="94" t="s">
        <v>3502</v>
      </c>
      <c r="M2615" s="94" t="s">
        <v>3503</v>
      </c>
      <c r="N2615" s="106">
        <v>44743</v>
      </c>
      <c r="O2615" s="94" t="s">
        <v>37</v>
      </c>
      <c r="P2615" s="297">
        <v>0</v>
      </c>
      <c r="Q2615" s="297">
        <v>544</v>
      </c>
      <c r="R2615" s="268">
        <f t="shared" si="65"/>
        <v>0</v>
      </c>
      <c r="S2615" s="24">
        <v>202303</v>
      </c>
      <c r="T2615" s="127" t="s">
        <v>3504</v>
      </c>
      <c r="U2615" s="40"/>
      <c r="V2615" s="40"/>
      <c r="W2615" s="40"/>
      <c r="X2615" s="106">
        <v>44743</v>
      </c>
      <c r="Y2615" s="106">
        <v>45107</v>
      </c>
    </row>
    <row r="2616" s="9" customFormat="1" customHeight="1" spans="1:25">
      <c r="A2616" s="94" t="s">
        <v>401</v>
      </c>
      <c r="B2616" s="94" t="s">
        <v>2950</v>
      </c>
      <c r="C2616" s="96" t="s">
        <v>2998</v>
      </c>
      <c r="D2616" s="265" t="s">
        <v>2951</v>
      </c>
      <c r="E2616" s="23" t="s">
        <v>3328</v>
      </c>
      <c r="F2616" s="94" t="s">
        <v>3342</v>
      </c>
      <c r="G2616" s="94" t="s">
        <v>31</v>
      </c>
      <c r="H2616" s="97" t="s">
        <v>3500</v>
      </c>
      <c r="I2616" s="23" t="e">
        <f>VLOOKUP(H2616,'合同综合查询数据（3月返）'!$A:$A,1,FALSE)</f>
        <v>#N/A</v>
      </c>
      <c r="J2616" s="24" t="s">
        <v>33</v>
      </c>
      <c r="K2616" s="94" t="s">
        <v>3501</v>
      </c>
      <c r="L2616" s="94" t="s">
        <v>3502</v>
      </c>
      <c r="M2616" s="94" t="s">
        <v>3503</v>
      </c>
      <c r="N2616" s="106">
        <v>44743</v>
      </c>
      <c r="O2616" s="94" t="s">
        <v>152</v>
      </c>
      <c r="P2616" s="297">
        <v>0</v>
      </c>
      <c r="Q2616" s="297">
        <v>1</v>
      </c>
      <c r="R2616" s="268">
        <f t="shared" si="65"/>
        <v>0</v>
      </c>
      <c r="S2616" s="24">
        <v>202303</v>
      </c>
      <c r="T2616" s="127" t="s">
        <v>3505</v>
      </c>
      <c r="U2616" s="40"/>
      <c r="V2616" s="40"/>
      <c r="W2616" s="40"/>
      <c r="X2616" s="106">
        <v>44743</v>
      </c>
      <c r="Y2616" s="106">
        <v>45107</v>
      </c>
    </row>
    <row r="2617" s="9" customFormat="1" customHeight="1" spans="1:25">
      <c r="A2617" s="94" t="s">
        <v>401</v>
      </c>
      <c r="B2617" s="94" t="s">
        <v>2950</v>
      </c>
      <c r="C2617" s="96" t="s">
        <v>2998</v>
      </c>
      <c r="D2617" s="265" t="s">
        <v>2951</v>
      </c>
      <c r="E2617" s="23" t="s">
        <v>3328</v>
      </c>
      <c r="F2617" s="94" t="s">
        <v>3342</v>
      </c>
      <c r="G2617" s="94" t="s">
        <v>31</v>
      </c>
      <c r="H2617" s="97" t="s">
        <v>3500</v>
      </c>
      <c r="I2617" s="23" t="e">
        <f>VLOOKUP(H2617,'合同综合查询数据（3月返）'!$A:$A,1,FALSE)</f>
        <v>#N/A</v>
      </c>
      <c r="J2617" s="24" t="s">
        <v>33</v>
      </c>
      <c r="K2617" s="94" t="s">
        <v>3501</v>
      </c>
      <c r="L2617" s="94" t="s">
        <v>3502</v>
      </c>
      <c r="M2617" s="94" t="s">
        <v>3503</v>
      </c>
      <c r="N2617" s="106">
        <v>44834</v>
      </c>
      <c r="O2617" s="94" t="s">
        <v>152</v>
      </c>
      <c r="P2617" s="297">
        <v>0</v>
      </c>
      <c r="Q2617" s="297">
        <v>-1</v>
      </c>
      <c r="R2617" s="268">
        <f t="shared" si="65"/>
        <v>0</v>
      </c>
      <c r="S2617" s="24">
        <v>202303</v>
      </c>
      <c r="T2617" s="127" t="s">
        <v>3506</v>
      </c>
      <c r="U2617" s="40"/>
      <c r="V2617" s="40"/>
      <c r="W2617" s="40"/>
      <c r="X2617" s="106">
        <v>44743</v>
      </c>
      <c r="Y2617" s="106">
        <v>45107</v>
      </c>
    </row>
    <row r="2618" s="9" customFormat="1" customHeight="1" spans="1:25">
      <c r="A2618" s="94" t="s">
        <v>401</v>
      </c>
      <c r="B2618" s="94" t="s">
        <v>2950</v>
      </c>
      <c r="C2618" s="96" t="s">
        <v>2998</v>
      </c>
      <c r="D2618" s="265" t="s">
        <v>2951</v>
      </c>
      <c r="E2618" s="23" t="s">
        <v>3328</v>
      </c>
      <c r="F2618" s="94" t="s">
        <v>3342</v>
      </c>
      <c r="G2618" s="96" t="s">
        <v>88</v>
      </c>
      <c r="H2618" s="97" t="s">
        <v>3500</v>
      </c>
      <c r="I2618" s="23" t="e">
        <f>VLOOKUP(H2618,'合同综合查询数据（3月返）'!$A:$A,1,FALSE)</f>
        <v>#N/A</v>
      </c>
      <c r="J2618" s="24" t="s">
        <v>126</v>
      </c>
      <c r="K2618" s="94" t="s">
        <v>3501</v>
      </c>
      <c r="L2618" s="94" t="s">
        <v>3502</v>
      </c>
      <c r="M2618" s="94" t="s">
        <v>3503</v>
      </c>
      <c r="N2618" s="106">
        <v>44743</v>
      </c>
      <c r="O2618" s="94" t="s">
        <v>624</v>
      </c>
      <c r="P2618" s="297">
        <v>3000</v>
      </c>
      <c r="Q2618" s="297">
        <v>1</v>
      </c>
      <c r="R2618" s="268">
        <f t="shared" ref="R2618:R2681" si="66">ROUND(P2618*Q2618,2)</f>
        <v>3000</v>
      </c>
      <c r="S2618" s="24">
        <v>202303</v>
      </c>
      <c r="T2618" s="127" t="s">
        <v>3507</v>
      </c>
      <c r="U2618" s="40"/>
      <c r="V2618" s="40"/>
      <c r="W2618" s="40"/>
      <c r="X2618" s="106">
        <v>44743</v>
      </c>
      <c r="Y2618" s="106">
        <v>45107</v>
      </c>
    </row>
    <row r="2619" s="9" customFormat="1" customHeight="1" spans="1:25">
      <c r="A2619" s="94" t="s">
        <v>401</v>
      </c>
      <c r="B2619" s="94" t="s">
        <v>2950</v>
      </c>
      <c r="C2619" s="96" t="s">
        <v>2998</v>
      </c>
      <c r="D2619" s="265" t="s">
        <v>2951</v>
      </c>
      <c r="E2619" s="23" t="s">
        <v>3328</v>
      </c>
      <c r="F2619" s="94" t="s">
        <v>3342</v>
      </c>
      <c r="G2619" s="96" t="s">
        <v>88</v>
      </c>
      <c r="H2619" s="97" t="s">
        <v>3500</v>
      </c>
      <c r="I2619" s="23" t="e">
        <f>VLOOKUP(H2619,'合同综合查询数据（3月返）'!$A:$A,1,FALSE)</f>
        <v>#N/A</v>
      </c>
      <c r="J2619" s="24" t="s">
        <v>126</v>
      </c>
      <c r="K2619" s="94" t="s">
        <v>3501</v>
      </c>
      <c r="L2619" s="94" t="s">
        <v>3502</v>
      </c>
      <c r="M2619" s="94" t="s">
        <v>3503</v>
      </c>
      <c r="N2619" s="106">
        <v>44834</v>
      </c>
      <c r="O2619" s="94" t="s">
        <v>624</v>
      </c>
      <c r="P2619" s="297">
        <v>3000</v>
      </c>
      <c r="Q2619" s="297">
        <v>-1</v>
      </c>
      <c r="R2619" s="268">
        <f t="shared" si="66"/>
        <v>-3000</v>
      </c>
      <c r="S2619" s="24">
        <v>202303</v>
      </c>
      <c r="T2619" s="127" t="s">
        <v>3508</v>
      </c>
      <c r="U2619" s="40"/>
      <c r="V2619" s="40"/>
      <c r="W2619" s="40"/>
      <c r="X2619" s="106">
        <v>44743</v>
      </c>
      <c r="Y2619" s="106">
        <v>45107</v>
      </c>
    </row>
    <row r="2620" s="9" customFormat="1" customHeight="1" spans="1:25">
      <c r="A2620" s="94" t="s">
        <v>401</v>
      </c>
      <c r="B2620" s="94" t="s">
        <v>2950</v>
      </c>
      <c r="C2620" s="96" t="s">
        <v>2998</v>
      </c>
      <c r="D2620" s="265" t="s">
        <v>2951</v>
      </c>
      <c r="E2620" s="23" t="s">
        <v>3328</v>
      </c>
      <c r="F2620" s="94" t="s">
        <v>3342</v>
      </c>
      <c r="G2620" s="96" t="s">
        <v>88</v>
      </c>
      <c r="H2620" s="97" t="s">
        <v>3500</v>
      </c>
      <c r="I2620" s="23" t="e">
        <f>VLOOKUP(H2620,'合同综合查询数据（3月返）'!$A:$A,1,FALSE)</f>
        <v>#N/A</v>
      </c>
      <c r="J2620" s="24" t="s">
        <v>126</v>
      </c>
      <c r="K2620" s="94" t="s">
        <v>3501</v>
      </c>
      <c r="L2620" s="94" t="s">
        <v>3502</v>
      </c>
      <c r="M2620" s="94" t="s">
        <v>3503</v>
      </c>
      <c r="N2620" s="106">
        <v>44743</v>
      </c>
      <c r="O2620" s="94" t="s">
        <v>529</v>
      </c>
      <c r="P2620" s="297">
        <v>290</v>
      </c>
      <c r="Q2620" s="297">
        <v>0</v>
      </c>
      <c r="R2620" s="268">
        <f t="shared" si="66"/>
        <v>0</v>
      </c>
      <c r="S2620" s="24">
        <v>202303</v>
      </c>
      <c r="T2620" s="127" t="s">
        <v>3509</v>
      </c>
      <c r="U2620" s="40"/>
      <c r="V2620" s="40"/>
      <c r="W2620" s="40"/>
      <c r="X2620" s="106">
        <v>44743</v>
      </c>
      <c r="Y2620" s="106">
        <v>45107</v>
      </c>
    </row>
    <row r="2621" s="9" customFormat="1" customHeight="1" spans="1:25">
      <c r="A2621" s="94" t="s">
        <v>401</v>
      </c>
      <c r="B2621" s="94" t="s">
        <v>2950</v>
      </c>
      <c r="C2621" s="96" t="s">
        <v>2998</v>
      </c>
      <c r="D2621" s="265" t="s">
        <v>2951</v>
      </c>
      <c r="E2621" s="23" t="s">
        <v>3328</v>
      </c>
      <c r="F2621" s="94" t="s">
        <v>3342</v>
      </c>
      <c r="G2621" s="94" t="s">
        <v>31</v>
      </c>
      <c r="H2621" s="97" t="s">
        <v>3500</v>
      </c>
      <c r="I2621" s="23" t="e">
        <f>VLOOKUP(H2621,'合同综合查询数据（3月返）'!$A:$A,1,FALSE)</f>
        <v>#N/A</v>
      </c>
      <c r="J2621" s="24" t="s">
        <v>33</v>
      </c>
      <c r="K2621" s="94" t="s">
        <v>3510</v>
      </c>
      <c r="L2621" s="94" t="s">
        <v>3511</v>
      </c>
      <c r="M2621" s="94" t="s">
        <v>3512</v>
      </c>
      <c r="N2621" s="106">
        <v>44743</v>
      </c>
      <c r="O2621" s="94" t="s">
        <v>37</v>
      </c>
      <c r="P2621" s="297">
        <v>0</v>
      </c>
      <c r="Q2621" s="297">
        <v>552</v>
      </c>
      <c r="R2621" s="268">
        <f t="shared" si="66"/>
        <v>0</v>
      </c>
      <c r="S2621" s="24">
        <v>202303</v>
      </c>
      <c r="T2621" s="127" t="s">
        <v>3513</v>
      </c>
      <c r="U2621" s="40"/>
      <c r="V2621" s="40"/>
      <c r="W2621" s="40"/>
      <c r="X2621" s="106">
        <v>44743</v>
      </c>
      <c r="Y2621" s="106">
        <v>45107</v>
      </c>
    </row>
    <row r="2622" s="9" customFormat="1" customHeight="1" spans="1:25">
      <c r="A2622" s="94" t="s">
        <v>401</v>
      </c>
      <c r="B2622" s="94" t="s">
        <v>2950</v>
      </c>
      <c r="C2622" s="96" t="s">
        <v>2998</v>
      </c>
      <c r="D2622" s="265" t="s">
        <v>2951</v>
      </c>
      <c r="E2622" s="23" t="s">
        <v>3328</v>
      </c>
      <c r="F2622" s="94" t="s">
        <v>3342</v>
      </c>
      <c r="G2622" s="94" t="s">
        <v>31</v>
      </c>
      <c r="H2622" s="97" t="s">
        <v>3500</v>
      </c>
      <c r="I2622" s="23" t="e">
        <f>VLOOKUP(H2622,'合同综合查询数据（3月返）'!$A:$A,1,FALSE)</f>
        <v>#N/A</v>
      </c>
      <c r="J2622" s="24" t="s">
        <v>33</v>
      </c>
      <c r="K2622" s="94" t="s">
        <v>3510</v>
      </c>
      <c r="L2622" s="94" t="s">
        <v>3511</v>
      </c>
      <c r="M2622" s="94" t="s">
        <v>3512</v>
      </c>
      <c r="N2622" s="106">
        <v>44743</v>
      </c>
      <c r="O2622" s="94" t="s">
        <v>152</v>
      </c>
      <c r="P2622" s="297">
        <v>0</v>
      </c>
      <c r="Q2622" s="297">
        <v>1</v>
      </c>
      <c r="R2622" s="268">
        <f t="shared" si="66"/>
        <v>0</v>
      </c>
      <c r="S2622" s="24">
        <v>202303</v>
      </c>
      <c r="T2622" s="127" t="s">
        <v>3514</v>
      </c>
      <c r="U2622" s="40"/>
      <c r="V2622" s="40"/>
      <c r="W2622" s="40"/>
      <c r="X2622" s="106">
        <v>44743</v>
      </c>
      <c r="Y2622" s="106">
        <v>45107</v>
      </c>
    </row>
    <row r="2623" s="9" customFormat="1" customHeight="1" spans="1:25">
      <c r="A2623" s="94" t="s">
        <v>401</v>
      </c>
      <c r="B2623" s="94" t="s">
        <v>2950</v>
      </c>
      <c r="C2623" s="96" t="s">
        <v>2998</v>
      </c>
      <c r="D2623" s="265" t="s">
        <v>2951</v>
      </c>
      <c r="E2623" s="23" t="s">
        <v>3328</v>
      </c>
      <c r="F2623" s="94" t="s">
        <v>3342</v>
      </c>
      <c r="G2623" s="96" t="s">
        <v>88</v>
      </c>
      <c r="H2623" s="97" t="s">
        <v>3500</v>
      </c>
      <c r="I2623" s="23" t="e">
        <f>VLOOKUP(H2623,'合同综合查询数据（3月返）'!$A:$A,1,FALSE)</f>
        <v>#N/A</v>
      </c>
      <c r="J2623" s="24" t="s">
        <v>126</v>
      </c>
      <c r="K2623" s="94" t="s">
        <v>3510</v>
      </c>
      <c r="L2623" s="94" t="s">
        <v>3511</v>
      </c>
      <c r="M2623" s="94" t="s">
        <v>3512</v>
      </c>
      <c r="N2623" s="106">
        <v>44743</v>
      </c>
      <c r="O2623" s="94" t="s">
        <v>624</v>
      </c>
      <c r="P2623" s="297">
        <v>3000</v>
      </c>
      <c r="Q2623" s="297">
        <v>1</v>
      </c>
      <c r="R2623" s="268">
        <f t="shared" si="66"/>
        <v>3000</v>
      </c>
      <c r="S2623" s="24">
        <v>202303</v>
      </c>
      <c r="T2623" s="127" t="s">
        <v>3515</v>
      </c>
      <c r="U2623" s="40"/>
      <c r="V2623" s="40"/>
      <c r="W2623" s="40"/>
      <c r="X2623" s="106">
        <v>44743</v>
      </c>
      <c r="Y2623" s="106">
        <v>45107</v>
      </c>
    </row>
    <row r="2624" s="9" customFormat="1" customHeight="1" spans="1:25">
      <c r="A2624" s="94" t="s">
        <v>401</v>
      </c>
      <c r="B2624" s="94" t="s">
        <v>2950</v>
      </c>
      <c r="C2624" s="96" t="s">
        <v>2998</v>
      </c>
      <c r="D2624" s="265" t="s">
        <v>2951</v>
      </c>
      <c r="E2624" s="23" t="s">
        <v>3328</v>
      </c>
      <c r="F2624" s="94" t="s">
        <v>3342</v>
      </c>
      <c r="G2624" s="96" t="s">
        <v>88</v>
      </c>
      <c r="H2624" s="97" t="s">
        <v>3500</v>
      </c>
      <c r="I2624" s="23" t="e">
        <f>VLOOKUP(H2624,'合同综合查询数据（3月返）'!$A:$A,1,FALSE)</f>
        <v>#N/A</v>
      </c>
      <c r="J2624" s="24" t="s">
        <v>126</v>
      </c>
      <c r="K2624" s="94" t="s">
        <v>3510</v>
      </c>
      <c r="L2624" s="94" t="s">
        <v>3511</v>
      </c>
      <c r="M2624" s="94" t="s">
        <v>3512</v>
      </c>
      <c r="N2624" s="106">
        <v>44743</v>
      </c>
      <c r="O2624" s="94" t="s">
        <v>529</v>
      </c>
      <c r="P2624" s="297">
        <v>290</v>
      </c>
      <c r="Q2624" s="297">
        <v>0</v>
      </c>
      <c r="R2624" s="268">
        <f t="shared" si="66"/>
        <v>0</v>
      </c>
      <c r="S2624" s="24">
        <v>202303</v>
      </c>
      <c r="T2624" s="127" t="s">
        <v>3509</v>
      </c>
      <c r="U2624" s="40"/>
      <c r="V2624" s="40"/>
      <c r="W2624" s="40"/>
      <c r="X2624" s="106">
        <v>44743</v>
      </c>
      <c r="Y2624" s="106">
        <v>45107</v>
      </c>
    </row>
    <row r="2625" s="10" customFormat="1" customHeight="1" spans="1:25">
      <c r="A2625" s="62" t="s">
        <v>401</v>
      </c>
      <c r="B2625" s="62" t="s">
        <v>2950</v>
      </c>
      <c r="C2625" s="60" t="s">
        <v>2998</v>
      </c>
      <c r="D2625" s="263" t="s">
        <v>2951</v>
      </c>
      <c r="E2625" s="47" t="s">
        <v>3328</v>
      </c>
      <c r="F2625" s="62" t="s">
        <v>3342</v>
      </c>
      <c r="G2625" s="62" t="s">
        <v>31</v>
      </c>
      <c r="H2625" s="102" t="s">
        <v>3516</v>
      </c>
      <c r="I2625" s="47" t="e">
        <f>VLOOKUP(H2625,'合同综合查询数据（3月返）'!$A:$A,1,FALSE)</f>
        <v>#N/A</v>
      </c>
      <c r="J2625" s="48" t="s">
        <v>33</v>
      </c>
      <c r="K2625" s="62" t="s">
        <v>3501</v>
      </c>
      <c r="L2625" s="62" t="s">
        <v>3517</v>
      </c>
      <c r="M2625" s="62" t="s">
        <v>3518</v>
      </c>
      <c r="N2625" s="304">
        <v>44986</v>
      </c>
      <c r="O2625" s="263" t="s">
        <v>37</v>
      </c>
      <c r="P2625" s="305">
        <v>0</v>
      </c>
      <c r="Q2625" s="305">
        <v>520</v>
      </c>
      <c r="R2625" s="266">
        <f t="shared" si="66"/>
        <v>0</v>
      </c>
      <c r="S2625" s="48">
        <v>202303</v>
      </c>
      <c r="T2625" s="307" t="s">
        <v>3519</v>
      </c>
      <c r="U2625" s="308"/>
      <c r="V2625" s="308"/>
      <c r="W2625" s="308"/>
      <c r="X2625" s="304"/>
      <c r="Y2625" s="304"/>
    </row>
    <row r="2626" s="10" customFormat="1" customHeight="1" spans="1:25">
      <c r="A2626" s="62" t="s">
        <v>401</v>
      </c>
      <c r="B2626" s="62" t="s">
        <v>2950</v>
      </c>
      <c r="C2626" s="60" t="s">
        <v>2998</v>
      </c>
      <c r="D2626" s="263" t="s">
        <v>2951</v>
      </c>
      <c r="E2626" s="47" t="s">
        <v>3328</v>
      </c>
      <c r="F2626" s="62" t="s">
        <v>3342</v>
      </c>
      <c r="G2626" s="62" t="s">
        <v>31</v>
      </c>
      <c r="H2626" s="102" t="s">
        <v>3516</v>
      </c>
      <c r="I2626" s="47" t="e">
        <f>VLOOKUP(H2626,'合同综合查询数据（3月返）'!$A:$A,1,FALSE)</f>
        <v>#N/A</v>
      </c>
      <c r="J2626" s="48" t="s">
        <v>33</v>
      </c>
      <c r="K2626" s="62" t="s">
        <v>3501</v>
      </c>
      <c r="L2626" s="62" t="s">
        <v>3517</v>
      </c>
      <c r="M2626" s="62" t="s">
        <v>3518</v>
      </c>
      <c r="N2626" s="304">
        <v>44986</v>
      </c>
      <c r="O2626" s="263" t="s">
        <v>152</v>
      </c>
      <c r="P2626" s="305">
        <v>0</v>
      </c>
      <c r="Q2626" s="305">
        <v>1</v>
      </c>
      <c r="R2626" s="266">
        <f t="shared" si="66"/>
        <v>0</v>
      </c>
      <c r="S2626" s="48">
        <v>202303</v>
      </c>
      <c r="T2626" s="307" t="s">
        <v>3520</v>
      </c>
      <c r="U2626" s="308"/>
      <c r="V2626" s="308"/>
      <c r="W2626" s="308"/>
      <c r="X2626" s="304"/>
      <c r="Y2626" s="304"/>
    </row>
    <row r="2627" s="10" customFormat="1" customHeight="1" spans="1:25">
      <c r="A2627" s="62" t="s">
        <v>401</v>
      </c>
      <c r="B2627" s="62" t="s">
        <v>2950</v>
      </c>
      <c r="C2627" s="60" t="s">
        <v>2998</v>
      </c>
      <c r="D2627" s="263" t="s">
        <v>2951</v>
      </c>
      <c r="E2627" s="47" t="s">
        <v>3328</v>
      </c>
      <c r="F2627" s="62" t="s">
        <v>3342</v>
      </c>
      <c r="G2627" s="60" t="s">
        <v>88</v>
      </c>
      <c r="H2627" s="102" t="s">
        <v>3516</v>
      </c>
      <c r="I2627" s="47" t="e">
        <f>VLOOKUP(H2627,'合同综合查询数据（3月返）'!$A:$A,1,FALSE)</f>
        <v>#N/A</v>
      </c>
      <c r="J2627" s="48" t="s">
        <v>126</v>
      </c>
      <c r="K2627" s="62" t="s">
        <v>3501</v>
      </c>
      <c r="L2627" s="62" t="s">
        <v>3517</v>
      </c>
      <c r="M2627" s="62" t="s">
        <v>3518</v>
      </c>
      <c r="N2627" s="304">
        <v>44986</v>
      </c>
      <c r="O2627" s="263" t="s">
        <v>3267</v>
      </c>
      <c r="P2627" s="305">
        <v>3000</v>
      </c>
      <c r="Q2627" s="305">
        <v>1</v>
      </c>
      <c r="R2627" s="266">
        <f t="shared" si="66"/>
        <v>3000</v>
      </c>
      <c r="S2627" s="48">
        <v>202303</v>
      </c>
      <c r="T2627" s="307" t="s">
        <v>3521</v>
      </c>
      <c r="U2627" s="308"/>
      <c r="V2627" s="308"/>
      <c r="W2627" s="308"/>
      <c r="X2627" s="304"/>
      <c r="Y2627" s="304"/>
    </row>
    <row r="2628" s="9" customFormat="1" customHeight="1" spans="1:25">
      <c r="A2628" s="96" t="s">
        <v>401</v>
      </c>
      <c r="B2628" s="96" t="s">
        <v>2950</v>
      </c>
      <c r="C2628" s="96" t="s">
        <v>3118</v>
      </c>
      <c r="D2628" s="265" t="s">
        <v>2951</v>
      </c>
      <c r="E2628" s="105" t="s">
        <v>3522</v>
      </c>
      <c r="F2628" s="96" t="s">
        <v>3523</v>
      </c>
      <c r="G2628" s="96" t="s">
        <v>31</v>
      </c>
      <c r="H2628" s="19" t="s">
        <v>3524</v>
      </c>
      <c r="I2628" s="23" t="e">
        <f>VLOOKUP(H2628,'合同综合查询数据（3月返）'!$A:$A,1,FALSE)</f>
        <v>#N/A</v>
      </c>
      <c r="J2628" s="24" t="s">
        <v>33</v>
      </c>
      <c r="K2628" s="96" t="s">
        <v>3525</v>
      </c>
      <c r="L2628" s="114" t="s">
        <v>3526</v>
      </c>
      <c r="M2628" s="249" t="s">
        <v>3527</v>
      </c>
      <c r="N2628" s="106">
        <v>44105</v>
      </c>
      <c r="O2628" s="96" t="s">
        <v>37</v>
      </c>
      <c r="P2628" s="268">
        <v>35</v>
      </c>
      <c r="Q2628" s="273">
        <v>144</v>
      </c>
      <c r="R2628" s="268">
        <f t="shared" si="66"/>
        <v>5040</v>
      </c>
      <c r="S2628" s="24">
        <v>202303</v>
      </c>
      <c r="T2628" s="127" t="s">
        <v>3528</v>
      </c>
      <c r="U2628" s="40"/>
      <c r="V2628" s="249"/>
      <c r="W2628" s="40"/>
      <c r="X2628" s="106">
        <v>44835</v>
      </c>
      <c r="Y2628" s="28">
        <v>45199</v>
      </c>
    </row>
    <row r="2629" s="9" customFormat="1" customHeight="1" spans="1:25">
      <c r="A2629" s="96" t="s">
        <v>401</v>
      </c>
      <c r="B2629" s="96" t="s">
        <v>2950</v>
      </c>
      <c r="C2629" s="96" t="s">
        <v>3118</v>
      </c>
      <c r="D2629" s="265" t="s">
        <v>2951</v>
      </c>
      <c r="E2629" s="105" t="s">
        <v>3522</v>
      </c>
      <c r="F2629" s="96" t="s">
        <v>3523</v>
      </c>
      <c r="G2629" s="96" t="s">
        <v>31</v>
      </c>
      <c r="H2629" s="19" t="s">
        <v>3524</v>
      </c>
      <c r="I2629" s="23" t="e">
        <f>VLOOKUP(H2629,'合同综合查询数据（3月返）'!$A:$A,1,FALSE)</f>
        <v>#N/A</v>
      </c>
      <c r="J2629" s="24" t="s">
        <v>33</v>
      </c>
      <c r="K2629" s="96" t="s">
        <v>3525</v>
      </c>
      <c r="L2629" s="114" t="s">
        <v>3526</v>
      </c>
      <c r="M2629" s="249" t="s">
        <v>3527</v>
      </c>
      <c r="N2629" s="106">
        <v>44105</v>
      </c>
      <c r="O2629" s="96" t="s">
        <v>37</v>
      </c>
      <c r="P2629" s="268">
        <v>0</v>
      </c>
      <c r="Q2629" s="273">
        <v>16</v>
      </c>
      <c r="R2629" s="268">
        <f t="shared" si="66"/>
        <v>0</v>
      </c>
      <c r="S2629" s="24">
        <v>202303</v>
      </c>
      <c r="T2629" s="127" t="s">
        <v>3529</v>
      </c>
      <c r="U2629" s="40"/>
      <c r="V2629" s="40"/>
      <c r="W2629" s="40"/>
      <c r="X2629" s="106">
        <v>44835</v>
      </c>
      <c r="Y2629" s="28">
        <v>45199</v>
      </c>
    </row>
    <row r="2630" s="9" customFormat="1" customHeight="1" spans="1:25">
      <c r="A2630" s="96" t="s">
        <v>401</v>
      </c>
      <c r="B2630" s="96" t="s">
        <v>2950</v>
      </c>
      <c r="C2630" s="96" t="s">
        <v>3118</v>
      </c>
      <c r="D2630" s="265" t="s">
        <v>2951</v>
      </c>
      <c r="E2630" s="105" t="s">
        <v>3522</v>
      </c>
      <c r="F2630" s="96" t="s">
        <v>3523</v>
      </c>
      <c r="G2630" s="96" t="s">
        <v>31</v>
      </c>
      <c r="H2630" s="19" t="s">
        <v>3524</v>
      </c>
      <c r="I2630" s="23" t="e">
        <f>VLOOKUP(H2630,'合同综合查询数据（3月返）'!$A:$A,1,FALSE)</f>
        <v>#N/A</v>
      </c>
      <c r="J2630" s="24" t="s">
        <v>33</v>
      </c>
      <c r="K2630" s="96" t="s">
        <v>3525</v>
      </c>
      <c r="L2630" s="114" t="s">
        <v>3526</v>
      </c>
      <c r="M2630" s="249" t="s">
        <v>3527</v>
      </c>
      <c r="N2630" s="106">
        <v>44105</v>
      </c>
      <c r="O2630" s="94" t="s">
        <v>152</v>
      </c>
      <c r="P2630" s="268">
        <v>0</v>
      </c>
      <c r="Q2630" s="273">
        <v>1</v>
      </c>
      <c r="R2630" s="268">
        <f t="shared" si="66"/>
        <v>0</v>
      </c>
      <c r="S2630" s="24">
        <v>202303</v>
      </c>
      <c r="T2630" s="127" t="s">
        <v>3530</v>
      </c>
      <c r="U2630" s="40"/>
      <c r="V2630" s="40"/>
      <c r="W2630" s="40"/>
      <c r="X2630" s="106">
        <v>44835</v>
      </c>
      <c r="Y2630" s="28">
        <v>45199</v>
      </c>
    </row>
    <row r="2631" s="9" customFormat="1" customHeight="1" spans="1:25">
      <c r="A2631" s="96" t="s">
        <v>401</v>
      </c>
      <c r="B2631" s="96" t="s">
        <v>2950</v>
      </c>
      <c r="C2631" s="96" t="s">
        <v>3118</v>
      </c>
      <c r="D2631" s="265" t="s">
        <v>2951</v>
      </c>
      <c r="E2631" s="105" t="s">
        <v>3522</v>
      </c>
      <c r="F2631" s="96" t="s">
        <v>3523</v>
      </c>
      <c r="G2631" s="96" t="s">
        <v>31</v>
      </c>
      <c r="H2631" s="19" t="s">
        <v>3524</v>
      </c>
      <c r="I2631" s="23" t="e">
        <f>VLOOKUP(H2631,'合同综合查询数据（3月返）'!$A:$A,1,FALSE)</f>
        <v>#N/A</v>
      </c>
      <c r="J2631" s="24" t="s">
        <v>33</v>
      </c>
      <c r="K2631" s="96" t="s">
        <v>3525</v>
      </c>
      <c r="L2631" s="114" t="s">
        <v>3526</v>
      </c>
      <c r="M2631" s="249" t="s">
        <v>3527</v>
      </c>
      <c r="N2631" s="106">
        <v>44329</v>
      </c>
      <c r="O2631" s="94" t="s">
        <v>37</v>
      </c>
      <c r="P2631" s="268">
        <v>35</v>
      </c>
      <c r="Q2631" s="273">
        <v>112</v>
      </c>
      <c r="R2631" s="268">
        <f t="shared" si="66"/>
        <v>3920</v>
      </c>
      <c r="S2631" s="24">
        <v>202303</v>
      </c>
      <c r="T2631" s="127" t="s">
        <v>3531</v>
      </c>
      <c r="U2631" s="40"/>
      <c r="V2631" s="40"/>
      <c r="W2631" s="40"/>
      <c r="X2631" s="106">
        <v>44835</v>
      </c>
      <c r="Y2631" s="28">
        <v>45199</v>
      </c>
    </row>
    <row r="2632" s="9" customFormat="1" customHeight="1" spans="1:25">
      <c r="A2632" s="96" t="s">
        <v>401</v>
      </c>
      <c r="B2632" s="96" t="s">
        <v>2950</v>
      </c>
      <c r="C2632" s="96" t="s">
        <v>3118</v>
      </c>
      <c r="D2632" s="265" t="s">
        <v>2951</v>
      </c>
      <c r="E2632" s="105" t="s">
        <v>3522</v>
      </c>
      <c r="F2632" s="96" t="s">
        <v>3523</v>
      </c>
      <c r="G2632" s="96" t="s">
        <v>31</v>
      </c>
      <c r="H2632" s="19" t="s">
        <v>3524</v>
      </c>
      <c r="I2632" s="23" t="e">
        <f>VLOOKUP(H2632,'合同综合查询数据（3月返）'!$A:$A,1,FALSE)</f>
        <v>#N/A</v>
      </c>
      <c r="J2632" s="24" t="s">
        <v>33</v>
      </c>
      <c r="K2632" s="96" t="s">
        <v>3525</v>
      </c>
      <c r="L2632" s="114" t="s">
        <v>3526</v>
      </c>
      <c r="M2632" s="249" t="s">
        <v>3527</v>
      </c>
      <c r="N2632" s="106">
        <v>44329</v>
      </c>
      <c r="O2632" s="94" t="s">
        <v>37</v>
      </c>
      <c r="P2632" s="268">
        <v>0</v>
      </c>
      <c r="Q2632" s="273">
        <v>16</v>
      </c>
      <c r="R2632" s="268">
        <f t="shared" si="66"/>
        <v>0</v>
      </c>
      <c r="S2632" s="24">
        <v>202303</v>
      </c>
      <c r="T2632" s="127" t="s">
        <v>3531</v>
      </c>
      <c r="U2632" s="40"/>
      <c r="V2632" s="40"/>
      <c r="W2632" s="40"/>
      <c r="X2632" s="106">
        <v>44835</v>
      </c>
      <c r="Y2632" s="28">
        <v>45199</v>
      </c>
    </row>
    <row r="2633" s="9" customFormat="1" customHeight="1" spans="1:25">
      <c r="A2633" s="96" t="s">
        <v>401</v>
      </c>
      <c r="B2633" s="96" t="s">
        <v>2950</v>
      </c>
      <c r="C2633" s="96" t="s">
        <v>3118</v>
      </c>
      <c r="D2633" s="265" t="s">
        <v>2951</v>
      </c>
      <c r="E2633" s="105" t="s">
        <v>3522</v>
      </c>
      <c r="F2633" s="96" t="s">
        <v>3523</v>
      </c>
      <c r="G2633" s="96" t="s">
        <v>31</v>
      </c>
      <c r="H2633" s="19" t="s">
        <v>3524</v>
      </c>
      <c r="I2633" s="23" t="e">
        <f>VLOOKUP(H2633,'合同综合查询数据（3月返）'!$A:$A,1,FALSE)</f>
        <v>#N/A</v>
      </c>
      <c r="J2633" s="24" t="s">
        <v>33</v>
      </c>
      <c r="K2633" s="96" t="s">
        <v>3525</v>
      </c>
      <c r="L2633" s="114" t="s">
        <v>3526</v>
      </c>
      <c r="M2633" s="249" t="s">
        <v>3527</v>
      </c>
      <c r="N2633" s="106">
        <v>44329</v>
      </c>
      <c r="O2633" s="94" t="s">
        <v>152</v>
      </c>
      <c r="P2633" s="268">
        <v>0</v>
      </c>
      <c r="Q2633" s="273">
        <v>1</v>
      </c>
      <c r="R2633" s="268">
        <f t="shared" si="66"/>
        <v>0</v>
      </c>
      <c r="S2633" s="24">
        <v>202303</v>
      </c>
      <c r="T2633" s="127" t="s">
        <v>3532</v>
      </c>
      <c r="U2633" s="40"/>
      <c r="V2633" s="40"/>
      <c r="W2633" s="40"/>
      <c r="X2633" s="106">
        <v>44835</v>
      </c>
      <c r="Y2633" s="28">
        <v>45199</v>
      </c>
    </row>
    <row r="2634" s="9" customFormat="1" customHeight="1" spans="1:25">
      <c r="A2634" s="96" t="s">
        <v>401</v>
      </c>
      <c r="B2634" s="96" t="s">
        <v>2950</v>
      </c>
      <c r="C2634" s="96" t="s">
        <v>3118</v>
      </c>
      <c r="D2634" s="265" t="s">
        <v>2951</v>
      </c>
      <c r="E2634" s="105" t="s">
        <v>3522</v>
      </c>
      <c r="F2634" s="96" t="s">
        <v>3523</v>
      </c>
      <c r="G2634" s="96" t="s">
        <v>31</v>
      </c>
      <c r="H2634" s="19" t="s">
        <v>3524</v>
      </c>
      <c r="I2634" s="23" t="e">
        <f>VLOOKUP(H2634,'合同综合查询数据（3月返）'!$A:$A,1,FALSE)</f>
        <v>#N/A</v>
      </c>
      <c r="J2634" s="24" t="s">
        <v>33</v>
      </c>
      <c r="K2634" s="96" t="s">
        <v>3525</v>
      </c>
      <c r="L2634" s="114" t="s">
        <v>3526</v>
      </c>
      <c r="M2634" s="249" t="s">
        <v>3527</v>
      </c>
      <c r="N2634" s="106">
        <v>44398</v>
      </c>
      <c r="O2634" s="94" t="s">
        <v>37</v>
      </c>
      <c r="P2634" s="268">
        <v>35</v>
      </c>
      <c r="Q2634" s="273">
        <v>128</v>
      </c>
      <c r="R2634" s="268">
        <f t="shared" si="66"/>
        <v>4480</v>
      </c>
      <c r="S2634" s="24">
        <v>202303</v>
      </c>
      <c r="T2634" s="127" t="s">
        <v>3533</v>
      </c>
      <c r="U2634" s="40"/>
      <c r="V2634" s="40"/>
      <c r="W2634" s="40"/>
      <c r="X2634" s="106">
        <v>44835</v>
      </c>
      <c r="Y2634" s="28">
        <v>45199</v>
      </c>
    </row>
    <row r="2635" s="9" customFormat="1" customHeight="1" spans="1:25">
      <c r="A2635" s="96" t="s">
        <v>401</v>
      </c>
      <c r="B2635" s="96" t="s">
        <v>2950</v>
      </c>
      <c r="C2635" s="96" t="s">
        <v>3118</v>
      </c>
      <c r="D2635" s="265" t="s">
        <v>2951</v>
      </c>
      <c r="E2635" s="105" t="s">
        <v>3522</v>
      </c>
      <c r="F2635" s="96" t="s">
        <v>3523</v>
      </c>
      <c r="G2635" s="96" t="s">
        <v>88</v>
      </c>
      <c r="H2635" s="19" t="s">
        <v>3524</v>
      </c>
      <c r="I2635" s="23" t="e">
        <f>VLOOKUP(H2635,'合同综合查询数据（3月返）'!$A:$A,1,FALSE)</f>
        <v>#N/A</v>
      </c>
      <c r="J2635" s="24" t="s">
        <v>126</v>
      </c>
      <c r="K2635" s="96" t="s">
        <v>3525</v>
      </c>
      <c r="L2635" s="114" t="s">
        <v>3526</v>
      </c>
      <c r="M2635" s="249" t="s">
        <v>3527</v>
      </c>
      <c r="N2635" s="106">
        <v>44105</v>
      </c>
      <c r="O2635" s="96" t="s">
        <v>3534</v>
      </c>
      <c r="P2635" s="268">
        <v>5256</v>
      </c>
      <c r="Q2635" s="273">
        <v>2</v>
      </c>
      <c r="R2635" s="268">
        <f t="shared" si="66"/>
        <v>10512</v>
      </c>
      <c r="S2635" s="24">
        <v>202303</v>
      </c>
      <c r="T2635" s="127" t="s">
        <v>3535</v>
      </c>
      <c r="U2635" s="40"/>
      <c r="V2635" s="40"/>
      <c r="W2635" s="40"/>
      <c r="X2635" s="106">
        <v>44835</v>
      </c>
      <c r="Y2635" s="28">
        <v>45199</v>
      </c>
    </row>
    <row r="2636" s="9" customFormat="1" customHeight="1" spans="1:25">
      <c r="A2636" s="96" t="s">
        <v>401</v>
      </c>
      <c r="B2636" s="96" t="s">
        <v>2950</v>
      </c>
      <c r="C2636" s="96" t="s">
        <v>3118</v>
      </c>
      <c r="D2636" s="265" t="s">
        <v>2951</v>
      </c>
      <c r="E2636" s="105" t="s">
        <v>3522</v>
      </c>
      <c r="F2636" s="96" t="s">
        <v>3523</v>
      </c>
      <c r="G2636" s="96" t="s">
        <v>88</v>
      </c>
      <c r="H2636" s="19" t="s">
        <v>3524</v>
      </c>
      <c r="I2636" s="23" t="e">
        <f>VLOOKUP(H2636,'合同综合查询数据（3月返）'!$A:$A,1,FALSE)</f>
        <v>#N/A</v>
      </c>
      <c r="J2636" s="24" t="s">
        <v>126</v>
      </c>
      <c r="K2636" s="96" t="s">
        <v>3525</v>
      </c>
      <c r="L2636" s="114" t="s">
        <v>3526</v>
      </c>
      <c r="M2636" s="249" t="s">
        <v>3527</v>
      </c>
      <c r="N2636" s="106">
        <v>44329</v>
      </c>
      <c r="O2636" s="96" t="s">
        <v>3534</v>
      </c>
      <c r="P2636" s="268">
        <v>5256</v>
      </c>
      <c r="Q2636" s="273">
        <v>2</v>
      </c>
      <c r="R2636" s="268">
        <f t="shared" si="66"/>
        <v>10512</v>
      </c>
      <c r="S2636" s="24">
        <v>202303</v>
      </c>
      <c r="T2636" s="127" t="s">
        <v>3536</v>
      </c>
      <c r="U2636" s="40"/>
      <c r="V2636" s="40"/>
      <c r="W2636" s="40"/>
      <c r="X2636" s="106">
        <v>44835</v>
      </c>
      <c r="Y2636" s="28">
        <v>45199</v>
      </c>
    </row>
    <row r="2637" s="9" customFormat="1" customHeight="1" spans="1:25">
      <c r="A2637" s="96" t="s">
        <v>401</v>
      </c>
      <c r="B2637" s="96" t="s">
        <v>2950</v>
      </c>
      <c r="C2637" s="94" t="s">
        <v>3134</v>
      </c>
      <c r="D2637" s="265" t="s">
        <v>2951</v>
      </c>
      <c r="E2637" s="105" t="s">
        <v>3537</v>
      </c>
      <c r="F2637" s="96" t="s">
        <v>3538</v>
      </c>
      <c r="G2637" s="96" t="s">
        <v>31</v>
      </c>
      <c r="H2637" s="19" t="s">
        <v>3539</v>
      </c>
      <c r="I2637" s="23" t="e">
        <f>VLOOKUP(H2637,'合同综合查询数据（3月返）'!$A:$A,1,FALSE)</f>
        <v>#N/A</v>
      </c>
      <c r="J2637" s="24" t="s">
        <v>33</v>
      </c>
      <c r="K2637" s="96" t="s">
        <v>3540</v>
      </c>
      <c r="L2637" s="114" t="s">
        <v>3541</v>
      </c>
      <c r="M2637" s="26" t="s">
        <v>3542</v>
      </c>
      <c r="N2637" s="106">
        <v>43923</v>
      </c>
      <c r="O2637" s="96" t="s">
        <v>37</v>
      </c>
      <c r="P2637" s="268">
        <v>0</v>
      </c>
      <c r="Q2637" s="273">
        <v>288</v>
      </c>
      <c r="R2637" s="268">
        <f t="shared" si="66"/>
        <v>0</v>
      </c>
      <c r="S2637" s="24">
        <v>202303</v>
      </c>
      <c r="T2637" s="127" t="s">
        <v>3543</v>
      </c>
      <c r="U2637" s="40"/>
      <c r="V2637" s="40"/>
      <c r="W2637" s="40"/>
      <c r="X2637" s="106">
        <v>43831</v>
      </c>
      <c r="Y2637" s="106">
        <v>44439</v>
      </c>
    </row>
    <row r="2638" s="9" customFormat="1" customHeight="1" spans="1:25">
      <c r="A2638" s="96" t="s">
        <v>401</v>
      </c>
      <c r="B2638" s="96" t="s">
        <v>2950</v>
      </c>
      <c r="C2638" s="94" t="s">
        <v>3134</v>
      </c>
      <c r="D2638" s="265" t="s">
        <v>2951</v>
      </c>
      <c r="E2638" s="105" t="s">
        <v>3537</v>
      </c>
      <c r="F2638" s="96" t="s">
        <v>3538</v>
      </c>
      <c r="G2638" s="96" t="s">
        <v>31</v>
      </c>
      <c r="H2638" s="19" t="s">
        <v>3539</v>
      </c>
      <c r="I2638" s="23" t="e">
        <f>VLOOKUP(H2638,'合同综合查询数据（3月返）'!$A:$A,1,FALSE)</f>
        <v>#N/A</v>
      </c>
      <c r="J2638" s="24" t="s">
        <v>33</v>
      </c>
      <c r="K2638" s="96" t="s">
        <v>3540</v>
      </c>
      <c r="L2638" s="114" t="s">
        <v>3541</v>
      </c>
      <c r="M2638" s="26" t="s">
        <v>3542</v>
      </c>
      <c r="N2638" s="106">
        <v>44439</v>
      </c>
      <c r="O2638" s="96" t="s">
        <v>37</v>
      </c>
      <c r="P2638" s="268">
        <v>0</v>
      </c>
      <c r="Q2638" s="273">
        <v>-288</v>
      </c>
      <c r="R2638" s="268">
        <f t="shared" si="66"/>
        <v>0</v>
      </c>
      <c r="S2638" s="24">
        <v>202303</v>
      </c>
      <c r="T2638" s="127" t="s">
        <v>3544</v>
      </c>
      <c r="U2638" s="40"/>
      <c r="V2638" s="40"/>
      <c r="W2638" s="40"/>
      <c r="X2638" s="106">
        <v>43831</v>
      </c>
      <c r="Y2638" s="106">
        <v>44439</v>
      </c>
    </row>
    <row r="2639" s="9" customFormat="1" customHeight="1" spans="1:25">
      <c r="A2639" s="96" t="s">
        <v>401</v>
      </c>
      <c r="B2639" s="96" t="s">
        <v>2950</v>
      </c>
      <c r="C2639" s="94" t="s">
        <v>3134</v>
      </c>
      <c r="D2639" s="265" t="s">
        <v>2951</v>
      </c>
      <c r="E2639" s="105" t="s">
        <v>3537</v>
      </c>
      <c r="F2639" s="96" t="s">
        <v>3538</v>
      </c>
      <c r="G2639" s="96" t="s">
        <v>88</v>
      </c>
      <c r="H2639" s="19" t="s">
        <v>3539</v>
      </c>
      <c r="I2639" s="23" t="e">
        <f>VLOOKUP(H2639,'合同综合查询数据（3月返）'!$A:$A,1,FALSE)</f>
        <v>#N/A</v>
      </c>
      <c r="J2639" s="24" t="s">
        <v>126</v>
      </c>
      <c r="K2639" s="96" t="s">
        <v>3540</v>
      </c>
      <c r="L2639" s="114" t="s">
        <v>3541</v>
      </c>
      <c r="M2639" s="26" t="s">
        <v>3542</v>
      </c>
      <c r="N2639" s="106">
        <v>43923</v>
      </c>
      <c r="O2639" s="96" t="s">
        <v>3267</v>
      </c>
      <c r="P2639" s="268">
        <v>5000</v>
      </c>
      <c r="Q2639" s="273">
        <v>2</v>
      </c>
      <c r="R2639" s="268">
        <f t="shared" si="66"/>
        <v>10000</v>
      </c>
      <c r="S2639" s="24">
        <v>202303</v>
      </c>
      <c r="T2639" s="127" t="s">
        <v>3545</v>
      </c>
      <c r="U2639" s="40"/>
      <c r="V2639" s="40"/>
      <c r="W2639" s="40"/>
      <c r="X2639" s="106">
        <v>43831</v>
      </c>
      <c r="Y2639" s="106">
        <v>44439</v>
      </c>
    </row>
    <row r="2640" s="9" customFormat="1" customHeight="1" spans="1:25">
      <c r="A2640" s="96" t="s">
        <v>401</v>
      </c>
      <c r="B2640" s="96" t="s">
        <v>2950</v>
      </c>
      <c r="C2640" s="94" t="s">
        <v>3134</v>
      </c>
      <c r="D2640" s="265" t="s">
        <v>2951</v>
      </c>
      <c r="E2640" s="105" t="s">
        <v>3537</v>
      </c>
      <c r="F2640" s="96" t="s">
        <v>3538</v>
      </c>
      <c r="G2640" s="96" t="s">
        <v>88</v>
      </c>
      <c r="H2640" s="19" t="s">
        <v>3539</v>
      </c>
      <c r="I2640" s="23" t="e">
        <f>VLOOKUP(H2640,'合同综合查询数据（3月返）'!$A:$A,1,FALSE)</f>
        <v>#N/A</v>
      </c>
      <c r="J2640" s="24" t="s">
        <v>126</v>
      </c>
      <c r="K2640" s="96" t="s">
        <v>3540</v>
      </c>
      <c r="L2640" s="114" t="s">
        <v>3541</v>
      </c>
      <c r="M2640" s="26" t="s">
        <v>3542</v>
      </c>
      <c r="N2640" s="106">
        <v>44439</v>
      </c>
      <c r="O2640" s="96" t="s">
        <v>3267</v>
      </c>
      <c r="P2640" s="268">
        <v>5000</v>
      </c>
      <c r="Q2640" s="273">
        <v>-2</v>
      </c>
      <c r="R2640" s="268">
        <f t="shared" si="66"/>
        <v>-10000</v>
      </c>
      <c r="S2640" s="24">
        <v>202303</v>
      </c>
      <c r="T2640" s="127" t="s">
        <v>3546</v>
      </c>
      <c r="U2640" s="40"/>
      <c r="V2640" s="40"/>
      <c r="W2640" s="40"/>
      <c r="X2640" s="106">
        <v>43831</v>
      </c>
      <c r="Y2640" s="106">
        <v>44439</v>
      </c>
    </row>
    <row r="2641" s="9" customFormat="1" customHeight="1" spans="1:25">
      <c r="A2641" s="96" t="s">
        <v>401</v>
      </c>
      <c r="B2641" s="96" t="s">
        <v>2950</v>
      </c>
      <c r="C2641" s="96" t="s">
        <v>2998</v>
      </c>
      <c r="D2641" s="265" t="s">
        <v>2951</v>
      </c>
      <c r="E2641" s="105" t="s">
        <v>3547</v>
      </c>
      <c r="F2641" s="96" t="s">
        <v>3548</v>
      </c>
      <c r="G2641" s="96" t="s">
        <v>302</v>
      </c>
      <c r="H2641" s="19" t="s">
        <v>3549</v>
      </c>
      <c r="I2641" s="23" t="e">
        <f>VLOOKUP(H2641,'合同综合查询数据（3月返）'!$A:$A,1,FALSE)</f>
        <v>#N/A</v>
      </c>
      <c r="J2641" s="24" t="s">
        <v>302</v>
      </c>
      <c r="K2641" s="96" t="s">
        <v>3550</v>
      </c>
      <c r="L2641" s="114"/>
      <c r="M2641" s="249"/>
      <c r="N2641" s="106">
        <v>43620</v>
      </c>
      <c r="O2641" s="94" t="s">
        <v>440</v>
      </c>
      <c r="P2641" s="268">
        <v>1200</v>
      </c>
      <c r="Q2641" s="273">
        <v>1</v>
      </c>
      <c r="R2641" s="268">
        <f t="shared" si="66"/>
        <v>1200</v>
      </c>
      <c r="S2641" s="24">
        <v>202303</v>
      </c>
      <c r="T2641" s="127" t="s">
        <v>3551</v>
      </c>
      <c r="U2641" s="40"/>
      <c r="V2641" s="40"/>
      <c r="W2641" s="40"/>
      <c r="X2641" s="106">
        <v>44378</v>
      </c>
      <c r="Y2641" s="106">
        <v>45107</v>
      </c>
    </row>
    <row r="2642" s="9" customFormat="1" customHeight="1" spans="1:25">
      <c r="A2642" s="96" t="s">
        <v>401</v>
      </c>
      <c r="B2642" s="96" t="s">
        <v>2950</v>
      </c>
      <c r="C2642" s="96" t="s">
        <v>2998</v>
      </c>
      <c r="D2642" s="265" t="s">
        <v>2951</v>
      </c>
      <c r="E2642" s="105" t="s">
        <v>3547</v>
      </c>
      <c r="F2642" s="96" t="s">
        <v>3548</v>
      </c>
      <c r="G2642" s="96" t="s">
        <v>302</v>
      </c>
      <c r="H2642" s="19" t="s">
        <v>3549</v>
      </c>
      <c r="I2642" s="23" t="e">
        <f>VLOOKUP(H2642,'合同综合查询数据（3月返）'!$A:$A,1,FALSE)</f>
        <v>#N/A</v>
      </c>
      <c r="J2642" s="24" t="s">
        <v>302</v>
      </c>
      <c r="K2642" s="96" t="s">
        <v>3552</v>
      </c>
      <c r="L2642" s="114"/>
      <c r="M2642" s="249"/>
      <c r="N2642" s="106">
        <v>43539</v>
      </c>
      <c r="O2642" s="94" t="s">
        <v>440</v>
      </c>
      <c r="P2642" s="268">
        <v>5800</v>
      </c>
      <c r="Q2642" s="273">
        <v>1</v>
      </c>
      <c r="R2642" s="268">
        <f t="shared" si="66"/>
        <v>5800</v>
      </c>
      <c r="S2642" s="24">
        <v>202303</v>
      </c>
      <c r="T2642" s="127" t="s">
        <v>3553</v>
      </c>
      <c r="U2642" s="40"/>
      <c r="V2642" s="40"/>
      <c r="W2642" s="40"/>
      <c r="X2642" s="106">
        <v>44378</v>
      </c>
      <c r="Y2642" s="106">
        <v>45107</v>
      </c>
    </row>
    <row r="2643" s="9" customFormat="1" customHeight="1" spans="1:25">
      <c r="A2643" s="96" t="s">
        <v>401</v>
      </c>
      <c r="B2643" s="96" t="s">
        <v>2950</v>
      </c>
      <c r="C2643" s="96" t="s">
        <v>2998</v>
      </c>
      <c r="D2643" s="265" t="s">
        <v>2951</v>
      </c>
      <c r="E2643" s="105" t="s">
        <v>3547</v>
      </c>
      <c r="F2643" s="96" t="s">
        <v>3548</v>
      </c>
      <c r="G2643" s="96" t="s">
        <v>302</v>
      </c>
      <c r="H2643" s="19" t="s">
        <v>3554</v>
      </c>
      <c r="I2643" s="23" t="e">
        <f>VLOOKUP(H2643,'合同综合查询数据（3月返）'!$A:$A,1,FALSE)</f>
        <v>#N/A</v>
      </c>
      <c r="J2643" s="24" t="s">
        <v>302</v>
      </c>
      <c r="K2643" s="96" t="s">
        <v>3555</v>
      </c>
      <c r="L2643" s="114"/>
      <c r="M2643" s="249"/>
      <c r="N2643" s="106">
        <v>43983</v>
      </c>
      <c r="O2643" s="94" t="s">
        <v>1366</v>
      </c>
      <c r="P2643" s="268">
        <v>200000</v>
      </c>
      <c r="Q2643" s="273">
        <v>1</v>
      </c>
      <c r="R2643" s="268">
        <f t="shared" si="66"/>
        <v>200000</v>
      </c>
      <c r="S2643" s="24">
        <v>202303</v>
      </c>
      <c r="T2643" s="127" t="s">
        <v>3556</v>
      </c>
      <c r="U2643" s="40"/>
      <c r="V2643" s="40"/>
      <c r="W2643" s="295"/>
      <c r="X2643" s="295">
        <v>43647</v>
      </c>
      <c r="Y2643" s="106">
        <v>45107</v>
      </c>
    </row>
    <row r="2644" s="9" customFormat="1" customHeight="1" spans="1:25">
      <c r="A2644" s="96" t="s">
        <v>401</v>
      </c>
      <c r="B2644" s="96" t="s">
        <v>2950</v>
      </c>
      <c r="C2644" s="96" t="s">
        <v>2998</v>
      </c>
      <c r="D2644" s="265" t="s">
        <v>2951</v>
      </c>
      <c r="E2644" s="105" t="s">
        <v>3547</v>
      </c>
      <c r="F2644" s="96" t="s">
        <v>3548</v>
      </c>
      <c r="G2644" s="96" t="s">
        <v>302</v>
      </c>
      <c r="H2644" s="19" t="s">
        <v>3554</v>
      </c>
      <c r="I2644" s="23" t="e">
        <f>VLOOKUP(H2644,'合同综合查询数据（3月返）'!$A:$A,1,FALSE)</f>
        <v>#N/A</v>
      </c>
      <c r="J2644" s="24" t="s">
        <v>302</v>
      </c>
      <c r="K2644" s="96" t="s">
        <v>3557</v>
      </c>
      <c r="L2644" s="114"/>
      <c r="M2644" s="249"/>
      <c r="N2644" s="106">
        <v>43983</v>
      </c>
      <c r="O2644" s="94" t="s">
        <v>1366</v>
      </c>
      <c r="P2644" s="268">
        <v>200000</v>
      </c>
      <c r="Q2644" s="273">
        <v>1</v>
      </c>
      <c r="R2644" s="268">
        <f t="shared" si="66"/>
        <v>200000</v>
      </c>
      <c r="S2644" s="24">
        <v>202303</v>
      </c>
      <c r="T2644" s="127" t="s">
        <v>3558</v>
      </c>
      <c r="U2644" s="40"/>
      <c r="V2644" s="40"/>
      <c r="W2644" s="295"/>
      <c r="X2644" s="295">
        <v>43647</v>
      </c>
      <c r="Y2644" s="106">
        <v>45107</v>
      </c>
    </row>
    <row r="2645" s="10" customFormat="1" customHeight="1" spans="1:25">
      <c r="A2645" s="60" t="s">
        <v>401</v>
      </c>
      <c r="B2645" s="60" t="s">
        <v>2950</v>
      </c>
      <c r="C2645" s="60" t="s">
        <v>2828</v>
      </c>
      <c r="D2645" s="263" t="s">
        <v>2951</v>
      </c>
      <c r="E2645" s="63" t="s">
        <v>3559</v>
      </c>
      <c r="F2645" s="60" t="s">
        <v>3560</v>
      </c>
      <c r="G2645" s="60" t="s">
        <v>31</v>
      </c>
      <c r="H2645" s="45" t="s">
        <v>3561</v>
      </c>
      <c r="I2645" s="47" t="e">
        <f>VLOOKUP(H2645,'合同综合查询数据（3月返）'!$A:$A,1,FALSE)</f>
        <v>#N/A</v>
      </c>
      <c r="J2645" s="48" t="s">
        <v>33</v>
      </c>
      <c r="K2645" s="60" t="s">
        <v>2829</v>
      </c>
      <c r="L2645" s="113" t="s">
        <v>3562</v>
      </c>
      <c r="M2645" s="277" t="s">
        <v>2987</v>
      </c>
      <c r="N2645" s="111">
        <v>44805</v>
      </c>
      <c r="O2645" s="62" t="s">
        <v>37</v>
      </c>
      <c r="P2645" s="266">
        <v>0</v>
      </c>
      <c r="Q2645" s="270">
        <v>512</v>
      </c>
      <c r="R2645" s="266">
        <f t="shared" si="66"/>
        <v>0</v>
      </c>
      <c r="S2645" s="48">
        <v>202303</v>
      </c>
      <c r="T2645" s="125" t="s">
        <v>3563</v>
      </c>
      <c r="U2645" s="58"/>
      <c r="V2645" s="58"/>
      <c r="W2645" s="294"/>
      <c r="X2645" s="294"/>
      <c r="Y2645" s="111"/>
    </row>
    <row r="2646" s="10" customFormat="1" customHeight="1" spans="1:25">
      <c r="A2646" s="60" t="s">
        <v>401</v>
      </c>
      <c r="B2646" s="60" t="s">
        <v>2950</v>
      </c>
      <c r="C2646" s="60" t="s">
        <v>2828</v>
      </c>
      <c r="D2646" s="263" t="s">
        <v>2951</v>
      </c>
      <c r="E2646" s="63" t="s">
        <v>3559</v>
      </c>
      <c r="F2646" s="60" t="s">
        <v>3560</v>
      </c>
      <c r="G2646" s="60" t="s">
        <v>31</v>
      </c>
      <c r="H2646" s="45" t="s">
        <v>3561</v>
      </c>
      <c r="I2646" s="47" t="e">
        <f>VLOOKUP(H2646,'合同综合查询数据（3月返）'!$A:$A,1,FALSE)</f>
        <v>#N/A</v>
      </c>
      <c r="J2646" s="48" t="s">
        <v>33</v>
      </c>
      <c r="K2646" s="60" t="s">
        <v>2829</v>
      </c>
      <c r="L2646" s="113" t="s">
        <v>3562</v>
      </c>
      <c r="M2646" s="277" t="s">
        <v>2987</v>
      </c>
      <c r="N2646" s="111"/>
      <c r="O2646" s="62" t="s">
        <v>152</v>
      </c>
      <c r="P2646" s="266">
        <v>0</v>
      </c>
      <c r="Q2646" s="270">
        <v>0</v>
      </c>
      <c r="R2646" s="266">
        <f t="shared" si="66"/>
        <v>0</v>
      </c>
      <c r="S2646" s="48">
        <v>202303</v>
      </c>
      <c r="T2646" s="125" t="s">
        <v>3564</v>
      </c>
      <c r="U2646" s="58"/>
      <c r="V2646" s="58"/>
      <c r="W2646" s="294"/>
      <c r="X2646" s="294"/>
      <c r="Y2646" s="111"/>
    </row>
    <row r="2647" s="9" customFormat="1" customHeight="1" spans="1:25">
      <c r="A2647" s="96" t="s">
        <v>399</v>
      </c>
      <c r="B2647" s="96" t="s">
        <v>2950</v>
      </c>
      <c r="C2647" s="96" t="s">
        <v>2998</v>
      </c>
      <c r="D2647" s="265" t="s">
        <v>2951</v>
      </c>
      <c r="E2647" s="105" t="s">
        <v>3565</v>
      </c>
      <c r="F2647" s="96" t="s">
        <v>3566</v>
      </c>
      <c r="G2647" s="96" t="s">
        <v>31</v>
      </c>
      <c r="H2647" s="19" t="s">
        <v>3567</v>
      </c>
      <c r="I2647" s="23" t="e">
        <f>VLOOKUP(H2647,'合同综合查询数据（3月返）'!$A:$A,1,FALSE)</f>
        <v>#N/A</v>
      </c>
      <c r="J2647" s="24" t="s">
        <v>3106</v>
      </c>
      <c r="K2647" s="114" t="s">
        <v>3566</v>
      </c>
      <c r="L2647" s="114"/>
      <c r="M2647" s="249" t="s">
        <v>3568</v>
      </c>
      <c r="N2647" s="106">
        <v>43891</v>
      </c>
      <c r="O2647" s="94" t="s">
        <v>37</v>
      </c>
      <c r="P2647" s="268">
        <v>2500</v>
      </c>
      <c r="Q2647" s="273">
        <v>2</v>
      </c>
      <c r="R2647" s="268">
        <f t="shared" si="66"/>
        <v>5000</v>
      </c>
      <c r="S2647" s="24">
        <v>202303</v>
      </c>
      <c r="T2647" s="127" t="s">
        <v>3569</v>
      </c>
      <c r="U2647" s="40"/>
      <c r="V2647" s="40"/>
      <c r="W2647" s="40"/>
      <c r="X2647" s="106">
        <v>44256</v>
      </c>
      <c r="Y2647" s="106">
        <v>45716</v>
      </c>
    </row>
    <row r="2648" s="9" customFormat="1" customHeight="1" spans="1:25">
      <c r="A2648" s="96" t="s">
        <v>399</v>
      </c>
      <c r="B2648" s="96" t="s">
        <v>2950</v>
      </c>
      <c r="C2648" s="96" t="s">
        <v>2998</v>
      </c>
      <c r="D2648" s="265" t="s">
        <v>2951</v>
      </c>
      <c r="E2648" s="105" t="s">
        <v>3565</v>
      </c>
      <c r="F2648" s="96" t="s">
        <v>3566</v>
      </c>
      <c r="G2648" s="96" t="s">
        <v>31</v>
      </c>
      <c r="H2648" s="19" t="s">
        <v>3567</v>
      </c>
      <c r="I2648" s="23" t="e">
        <f>VLOOKUP(H2648,'合同综合查询数据（3月返）'!$A:$A,1,FALSE)</f>
        <v>#N/A</v>
      </c>
      <c r="J2648" s="24" t="s">
        <v>3106</v>
      </c>
      <c r="K2648" s="114" t="s">
        <v>3566</v>
      </c>
      <c r="L2648" s="114"/>
      <c r="M2648" s="249" t="s">
        <v>3568</v>
      </c>
      <c r="N2648" s="106">
        <v>44103</v>
      </c>
      <c r="O2648" s="94" t="s">
        <v>37</v>
      </c>
      <c r="P2648" s="268">
        <v>2500</v>
      </c>
      <c r="Q2648" s="273">
        <v>2</v>
      </c>
      <c r="R2648" s="268">
        <f t="shared" si="66"/>
        <v>5000</v>
      </c>
      <c r="S2648" s="24">
        <v>202303</v>
      </c>
      <c r="T2648" s="127" t="s">
        <v>3570</v>
      </c>
      <c r="U2648" s="40"/>
      <c r="V2648" s="40"/>
      <c r="W2648" s="40"/>
      <c r="X2648" s="106">
        <v>44256</v>
      </c>
      <c r="Y2648" s="106">
        <v>45716</v>
      </c>
    </row>
    <row r="2649" s="10" customFormat="1" customHeight="1" spans="1:25">
      <c r="A2649" s="60" t="s">
        <v>399</v>
      </c>
      <c r="B2649" s="60" t="s">
        <v>2950</v>
      </c>
      <c r="C2649" s="60" t="s">
        <v>2998</v>
      </c>
      <c r="D2649" s="263" t="s">
        <v>2951</v>
      </c>
      <c r="E2649" s="63" t="s">
        <v>3565</v>
      </c>
      <c r="F2649" s="60" t="s">
        <v>3566</v>
      </c>
      <c r="G2649" s="60" t="s">
        <v>31</v>
      </c>
      <c r="H2649" s="45" t="s">
        <v>3571</v>
      </c>
      <c r="I2649" s="47" t="e">
        <f>VLOOKUP(H2649,'合同综合查询数据（3月返）'!$A:$A,1,FALSE)</f>
        <v>#N/A</v>
      </c>
      <c r="J2649" s="48" t="s">
        <v>33</v>
      </c>
      <c r="K2649" s="60" t="s">
        <v>3335</v>
      </c>
      <c r="L2649" s="113" t="s">
        <v>3566</v>
      </c>
      <c r="M2649" s="277"/>
      <c r="N2649" s="111">
        <v>41122</v>
      </c>
      <c r="O2649" s="60" t="s">
        <v>37</v>
      </c>
      <c r="P2649" s="266">
        <v>0</v>
      </c>
      <c r="Q2649" s="270">
        <v>512</v>
      </c>
      <c r="R2649" s="266">
        <f t="shared" si="66"/>
        <v>0</v>
      </c>
      <c r="S2649" s="48">
        <v>202303</v>
      </c>
      <c r="T2649" s="125" t="s">
        <v>3572</v>
      </c>
      <c r="U2649" s="58"/>
      <c r="V2649" s="58"/>
      <c r="W2649" s="58"/>
      <c r="X2649" s="111"/>
      <c r="Y2649" s="111"/>
    </row>
    <row r="2650" s="10" customFormat="1" customHeight="1" spans="1:25">
      <c r="A2650" s="60" t="s">
        <v>399</v>
      </c>
      <c r="B2650" s="60" t="s">
        <v>2950</v>
      </c>
      <c r="C2650" s="60" t="s">
        <v>2998</v>
      </c>
      <c r="D2650" s="263" t="s">
        <v>2951</v>
      </c>
      <c r="E2650" s="63" t="s">
        <v>3565</v>
      </c>
      <c r="F2650" s="60" t="s">
        <v>3566</v>
      </c>
      <c r="G2650" s="60" t="s">
        <v>31</v>
      </c>
      <c r="H2650" s="45" t="s">
        <v>3571</v>
      </c>
      <c r="I2650" s="47" t="e">
        <f>VLOOKUP(H2650,'合同综合查询数据（3月返）'!$A:$A,1,FALSE)</f>
        <v>#N/A</v>
      </c>
      <c r="J2650" s="48" t="s">
        <v>33</v>
      </c>
      <c r="K2650" s="60" t="s">
        <v>3335</v>
      </c>
      <c r="L2650" s="113"/>
      <c r="M2650" s="277" t="s">
        <v>3573</v>
      </c>
      <c r="N2650" s="111">
        <v>43617</v>
      </c>
      <c r="O2650" s="60" t="s">
        <v>37</v>
      </c>
      <c r="P2650" s="266">
        <v>50</v>
      </c>
      <c r="Q2650" s="270">
        <v>288</v>
      </c>
      <c r="R2650" s="266">
        <f t="shared" si="66"/>
        <v>14400</v>
      </c>
      <c r="S2650" s="48">
        <v>202303</v>
      </c>
      <c r="T2650" s="125" t="s">
        <v>3574</v>
      </c>
      <c r="U2650" s="58"/>
      <c r="V2650" s="58"/>
      <c r="W2650" s="58"/>
      <c r="X2650" s="111"/>
      <c r="Y2650" s="111"/>
    </row>
    <row r="2651" s="10" customFormat="1" customHeight="1" spans="1:25">
      <c r="A2651" s="60" t="s">
        <v>399</v>
      </c>
      <c r="B2651" s="60" t="s">
        <v>2950</v>
      </c>
      <c r="C2651" s="60" t="s">
        <v>2998</v>
      </c>
      <c r="D2651" s="263" t="s">
        <v>2951</v>
      </c>
      <c r="E2651" s="63" t="s">
        <v>3565</v>
      </c>
      <c r="F2651" s="60" t="s">
        <v>3566</v>
      </c>
      <c r="G2651" s="60" t="s">
        <v>31</v>
      </c>
      <c r="H2651" s="45" t="s">
        <v>3571</v>
      </c>
      <c r="I2651" s="47" t="e">
        <f>VLOOKUP(H2651,'合同综合查询数据（3月返）'!$A:$A,1,FALSE)</f>
        <v>#N/A</v>
      </c>
      <c r="J2651" s="48" t="s">
        <v>33</v>
      </c>
      <c r="K2651" s="60" t="s">
        <v>3335</v>
      </c>
      <c r="L2651" s="113"/>
      <c r="M2651" s="277" t="s">
        <v>3575</v>
      </c>
      <c r="N2651" s="111">
        <v>43982</v>
      </c>
      <c r="O2651" s="60" t="s">
        <v>37</v>
      </c>
      <c r="P2651" s="266">
        <v>0</v>
      </c>
      <c r="Q2651" s="270">
        <v>-512</v>
      </c>
      <c r="R2651" s="266">
        <f t="shared" si="66"/>
        <v>0</v>
      </c>
      <c r="S2651" s="48">
        <v>202303</v>
      </c>
      <c r="T2651" s="125" t="s">
        <v>3576</v>
      </c>
      <c r="U2651" s="58"/>
      <c r="V2651" s="58"/>
      <c r="W2651" s="58"/>
      <c r="X2651" s="111"/>
      <c r="Y2651" s="111"/>
    </row>
    <row r="2652" s="10" customFormat="1" customHeight="1" spans="1:25">
      <c r="A2652" s="60" t="s">
        <v>399</v>
      </c>
      <c r="B2652" s="60" t="s">
        <v>2950</v>
      </c>
      <c r="C2652" s="60" t="s">
        <v>2998</v>
      </c>
      <c r="D2652" s="263" t="s">
        <v>2951</v>
      </c>
      <c r="E2652" s="63" t="s">
        <v>3565</v>
      </c>
      <c r="F2652" s="60" t="s">
        <v>3577</v>
      </c>
      <c r="G2652" s="60" t="s">
        <v>31</v>
      </c>
      <c r="H2652" s="45" t="s">
        <v>3571</v>
      </c>
      <c r="I2652" s="47" t="e">
        <f>VLOOKUP(H2652,'合同综合查询数据（3月返）'!$A:$A,1,FALSE)</f>
        <v>#N/A</v>
      </c>
      <c r="J2652" s="48" t="s">
        <v>1019</v>
      </c>
      <c r="K2652" s="60" t="s">
        <v>3335</v>
      </c>
      <c r="L2652" s="113" t="s">
        <v>3577</v>
      </c>
      <c r="M2652" s="277" t="s">
        <v>3578</v>
      </c>
      <c r="N2652" s="306">
        <v>42248</v>
      </c>
      <c r="O2652" s="60" t="s">
        <v>37</v>
      </c>
      <c r="P2652" s="266">
        <v>50</v>
      </c>
      <c r="Q2652" s="270">
        <v>512</v>
      </c>
      <c r="R2652" s="266">
        <f t="shared" si="66"/>
        <v>25600</v>
      </c>
      <c r="S2652" s="48">
        <v>202303</v>
      </c>
      <c r="T2652" s="125" t="s">
        <v>3579</v>
      </c>
      <c r="U2652" s="58"/>
      <c r="V2652" s="58"/>
      <c r="W2652" s="58"/>
      <c r="X2652" s="111"/>
      <c r="Y2652" s="111"/>
    </row>
    <row r="2653" s="10" customFormat="1" customHeight="1" spans="1:25">
      <c r="A2653" s="60" t="s">
        <v>399</v>
      </c>
      <c r="B2653" s="60" t="s">
        <v>2950</v>
      </c>
      <c r="C2653" s="60" t="s">
        <v>2998</v>
      </c>
      <c r="D2653" s="263" t="s">
        <v>2951</v>
      </c>
      <c r="E2653" s="63" t="s">
        <v>3565</v>
      </c>
      <c r="F2653" s="60" t="s">
        <v>3566</v>
      </c>
      <c r="G2653" s="60" t="s">
        <v>31</v>
      </c>
      <c r="H2653" s="45" t="s">
        <v>3571</v>
      </c>
      <c r="I2653" s="47" t="e">
        <f>VLOOKUP(H2653,'合同综合查询数据（3月返）'!$A:$A,1,FALSE)</f>
        <v>#N/A</v>
      </c>
      <c r="J2653" s="48" t="s">
        <v>33</v>
      </c>
      <c r="K2653" s="60" t="s">
        <v>3335</v>
      </c>
      <c r="L2653" s="113"/>
      <c r="M2653" s="277" t="s">
        <v>3573</v>
      </c>
      <c r="N2653" s="111" t="s">
        <v>1225</v>
      </c>
      <c r="O2653" s="62" t="s">
        <v>37</v>
      </c>
      <c r="P2653" s="266">
        <v>50</v>
      </c>
      <c r="Q2653" s="270">
        <v>256</v>
      </c>
      <c r="R2653" s="266">
        <f t="shared" si="66"/>
        <v>12800</v>
      </c>
      <c r="S2653" s="48">
        <v>202303</v>
      </c>
      <c r="T2653" s="125" t="s">
        <v>3580</v>
      </c>
      <c r="U2653" s="58"/>
      <c r="V2653" s="58"/>
      <c r="W2653" s="58"/>
      <c r="X2653" s="111"/>
      <c r="Y2653" s="111"/>
    </row>
    <row r="2654" s="10" customFormat="1" customHeight="1" spans="1:25">
      <c r="A2654" s="60" t="s">
        <v>399</v>
      </c>
      <c r="B2654" s="60" t="s">
        <v>2950</v>
      </c>
      <c r="C2654" s="60" t="s">
        <v>2998</v>
      </c>
      <c r="D2654" s="263" t="s">
        <v>2951</v>
      </c>
      <c r="E2654" s="63" t="s">
        <v>3565</v>
      </c>
      <c r="F2654" s="60" t="s">
        <v>3566</v>
      </c>
      <c r="G2654" s="60" t="s">
        <v>31</v>
      </c>
      <c r="H2654" s="45" t="s">
        <v>3571</v>
      </c>
      <c r="I2654" s="47" t="e">
        <f>VLOOKUP(H2654,'合同综合查询数据（3月返）'!$A:$A,1,FALSE)</f>
        <v>#N/A</v>
      </c>
      <c r="J2654" s="48" t="s">
        <v>33</v>
      </c>
      <c r="K2654" s="60" t="s">
        <v>3335</v>
      </c>
      <c r="L2654" s="113"/>
      <c r="M2654" s="50" t="s">
        <v>3581</v>
      </c>
      <c r="N2654" s="111">
        <v>43690</v>
      </c>
      <c r="O2654" s="62" t="s">
        <v>37</v>
      </c>
      <c r="P2654" s="266">
        <v>0</v>
      </c>
      <c r="Q2654" s="270">
        <v>96</v>
      </c>
      <c r="R2654" s="266">
        <f t="shared" si="66"/>
        <v>0</v>
      </c>
      <c r="S2654" s="48">
        <v>202303</v>
      </c>
      <c r="T2654" s="125" t="s">
        <v>3582</v>
      </c>
      <c r="U2654" s="58"/>
      <c r="V2654" s="58"/>
      <c r="W2654" s="58"/>
      <c r="X2654" s="111"/>
      <c r="Y2654" s="111"/>
    </row>
    <row r="2655" s="10" customFormat="1" customHeight="1" spans="1:25">
      <c r="A2655" s="60" t="s">
        <v>399</v>
      </c>
      <c r="B2655" s="60" t="s">
        <v>2950</v>
      </c>
      <c r="C2655" s="60" t="s">
        <v>2998</v>
      </c>
      <c r="D2655" s="263" t="s">
        <v>2951</v>
      </c>
      <c r="E2655" s="63" t="s">
        <v>3565</v>
      </c>
      <c r="F2655" s="60" t="s">
        <v>3566</v>
      </c>
      <c r="G2655" s="60" t="s">
        <v>31</v>
      </c>
      <c r="H2655" s="45" t="s">
        <v>3571</v>
      </c>
      <c r="I2655" s="47" t="e">
        <f>VLOOKUP(H2655,'合同综合查询数据（3月返）'!$A:$A,1,FALSE)</f>
        <v>#N/A</v>
      </c>
      <c r="J2655" s="48" t="s">
        <v>33</v>
      </c>
      <c r="K2655" s="60" t="s">
        <v>3335</v>
      </c>
      <c r="L2655" s="113"/>
      <c r="M2655" s="50" t="s">
        <v>3581</v>
      </c>
      <c r="N2655" s="111">
        <v>43690</v>
      </c>
      <c r="O2655" s="62" t="s">
        <v>37</v>
      </c>
      <c r="P2655" s="266">
        <v>50</v>
      </c>
      <c r="Q2655" s="270">
        <v>32</v>
      </c>
      <c r="R2655" s="266">
        <f t="shared" si="66"/>
        <v>1600</v>
      </c>
      <c r="S2655" s="48">
        <v>202303</v>
      </c>
      <c r="T2655" s="125" t="s">
        <v>3582</v>
      </c>
      <c r="U2655" s="58"/>
      <c r="V2655" s="58"/>
      <c r="W2655" s="58"/>
      <c r="X2655" s="111"/>
      <c r="Y2655" s="111"/>
    </row>
    <row r="2656" s="10" customFormat="1" customHeight="1" spans="1:25">
      <c r="A2656" s="60" t="s">
        <v>399</v>
      </c>
      <c r="B2656" s="60" t="s">
        <v>2950</v>
      </c>
      <c r="C2656" s="60" t="s">
        <v>2998</v>
      </c>
      <c r="D2656" s="263" t="s">
        <v>2951</v>
      </c>
      <c r="E2656" s="63" t="s">
        <v>3565</v>
      </c>
      <c r="F2656" s="60" t="s">
        <v>3566</v>
      </c>
      <c r="G2656" s="60" t="s">
        <v>31</v>
      </c>
      <c r="H2656" s="45" t="s">
        <v>3571</v>
      </c>
      <c r="I2656" s="47" t="e">
        <f>VLOOKUP(H2656,'合同综合查询数据（3月返）'!$A:$A,1,FALSE)</f>
        <v>#N/A</v>
      </c>
      <c r="J2656" s="48" t="s">
        <v>33</v>
      </c>
      <c r="K2656" s="60" t="s">
        <v>3335</v>
      </c>
      <c r="L2656" s="113"/>
      <c r="M2656" s="50" t="s">
        <v>3581</v>
      </c>
      <c r="N2656" s="111">
        <v>44792</v>
      </c>
      <c r="O2656" s="62" t="s">
        <v>37</v>
      </c>
      <c r="P2656" s="266">
        <v>50</v>
      </c>
      <c r="Q2656" s="270">
        <v>-128</v>
      </c>
      <c r="R2656" s="266">
        <f t="shared" si="66"/>
        <v>-6400</v>
      </c>
      <c r="S2656" s="48">
        <v>202303</v>
      </c>
      <c r="T2656" s="125" t="s">
        <v>3583</v>
      </c>
      <c r="U2656" s="58"/>
      <c r="V2656" s="58"/>
      <c r="W2656" s="58"/>
      <c r="X2656" s="111"/>
      <c r="Y2656" s="111"/>
    </row>
    <row r="2657" s="9" customFormat="1" customHeight="1" spans="1:25">
      <c r="A2657" s="96" t="s">
        <v>399</v>
      </c>
      <c r="B2657" s="96" t="s">
        <v>2950</v>
      </c>
      <c r="C2657" s="96" t="s">
        <v>2998</v>
      </c>
      <c r="D2657" s="265" t="s">
        <v>2951</v>
      </c>
      <c r="E2657" s="105" t="s">
        <v>3565</v>
      </c>
      <c r="F2657" s="96" t="s">
        <v>3566</v>
      </c>
      <c r="G2657" s="96" t="s">
        <v>31</v>
      </c>
      <c r="H2657" s="19" t="s">
        <v>3584</v>
      </c>
      <c r="I2657" s="23" t="e">
        <f>VLOOKUP(H2657,'合同综合查询数据（3月返）'!$A:$A,1,FALSE)</f>
        <v>#N/A</v>
      </c>
      <c r="J2657" s="24" t="s">
        <v>451</v>
      </c>
      <c r="K2657" s="96" t="s">
        <v>3585</v>
      </c>
      <c r="L2657" s="114"/>
      <c r="M2657" s="249"/>
      <c r="N2657" s="106">
        <v>43190</v>
      </c>
      <c r="O2657" s="96" t="s">
        <v>37</v>
      </c>
      <c r="P2657" s="268">
        <v>0</v>
      </c>
      <c r="Q2657" s="273">
        <v>3072</v>
      </c>
      <c r="R2657" s="268">
        <f t="shared" si="66"/>
        <v>0</v>
      </c>
      <c r="S2657" s="24">
        <v>202303</v>
      </c>
      <c r="T2657" s="127" t="s">
        <v>3586</v>
      </c>
      <c r="U2657" s="40"/>
      <c r="V2657" s="40"/>
      <c r="W2657" s="40"/>
      <c r="X2657" s="106">
        <v>43190</v>
      </c>
      <c r="Y2657" s="106">
        <v>45382</v>
      </c>
    </row>
    <row r="2658" s="10" customFormat="1" customHeight="1" spans="1:25">
      <c r="A2658" s="60" t="s">
        <v>399</v>
      </c>
      <c r="B2658" s="60" t="s">
        <v>2950</v>
      </c>
      <c r="C2658" s="60" t="s">
        <v>2998</v>
      </c>
      <c r="D2658" s="263" t="s">
        <v>2951</v>
      </c>
      <c r="E2658" s="63" t="s">
        <v>3565</v>
      </c>
      <c r="F2658" s="60" t="s">
        <v>3566</v>
      </c>
      <c r="G2658" s="60" t="s">
        <v>31</v>
      </c>
      <c r="H2658" s="45" t="s">
        <v>3587</v>
      </c>
      <c r="I2658" s="47" t="e">
        <f>VLOOKUP(H2658,'合同综合查询数据（3月返）'!$A:$A,1,FALSE)</f>
        <v>#N/A</v>
      </c>
      <c r="J2658" s="48" t="s">
        <v>451</v>
      </c>
      <c r="K2658" s="60" t="s">
        <v>3335</v>
      </c>
      <c r="L2658" s="113" t="s">
        <v>3566</v>
      </c>
      <c r="M2658" s="277"/>
      <c r="N2658" s="111">
        <v>42248</v>
      </c>
      <c r="O2658" s="60" t="s">
        <v>37</v>
      </c>
      <c r="P2658" s="266">
        <v>0</v>
      </c>
      <c r="Q2658" s="270">
        <v>5120</v>
      </c>
      <c r="R2658" s="266">
        <f t="shared" si="66"/>
        <v>0</v>
      </c>
      <c r="S2658" s="48">
        <v>202303</v>
      </c>
      <c r="T2658" s="125" t="s">
        <v>3588</v>
      </c>
      <c r="U2658" s="58"/>
      <c r="V2658" s="58"/>
      <c r="W2658" s="58"/>
      <c r="X2658" s="111"/>
      <c r="Y2658" s="111"/>
    </row>
    <row r="2659" s="9" customFormat="1" customHeight="1" spans="1:25">
      <c r="A2659" s="96" t="s">
        <v>399</v>
      </c>
      <c r="B2659" s="96" t="s">
        <v>2950</v>
      </c>
      <c r="C2659" s="96" t="s">
        <v>2998</v>
      </c>
      <c r="D2659" s="265" t="s">
        <v>2951</v>
      </c>
      <c r="E2659" s="105" t="s">
        <v>3565</v>
      </c>
      <c r="F2659" s="96" t="s">
        <v>3566</v>
      </c>
      <c r="G2659" s="96" t="s">
        <v>31</v>
      </c>
      <c r="H2659" s="19" t="s">
        <v>3589</v>
      </c>
      <c r="I2659" s="23" t="str">
        <f>VLOOKUP(H2659,'合同综合查询数据（3月返）'!$A:$A,1,FALSE)</f>
        <v>182315IDC00080</v>
      </c>
      <c r="J2659" s="24" t="s">
        <v>451</v>
      </c>
      <c r="K2659" s="96" t="s">
        <v>3590</v>
      </c>
      <c r="L2659" s="114"/>
      <c r="M2659" s="249"/>
      <c r="N2659" s="106">
        <v>44186</v>
      </c>
      <c r="O2659" s="96" t="s">
        <v>37</v>
      </c>
      <c r="P2659" s="268">
        <v>20000</v>
      </c>
      <c r="Q2659" s="273">
        <v>1</v>
      </c>
      <c r="R2659" s="268">
        <f t="shared" si="66"/>
        <v>20000</v>
      </c>
      <c r="S2659" s="24">
        <v>202303</v>
      </c>
      <c r="T2659" s="127" t="s">
        <v>3591</v>
      </c>
      <c r="U2659" s="40"/>
      <c r="V2659" s="40"/>
      <c r="W2659" s="40"/>
      <c r="X2659" s="106">
        <v>44551</v>
      </c>
      <c r="Y2659" s="106">
        <v>44985</v>
      </c>
    </row>
    <row r="2660" s="9" customFormat="1" customHeight="1" spans="1:25">
      <c r="A2660" s="96" t="s">
        <v>399</v>
      </c>
      <c r="B2660" s="96" t="s">
        <v>2950</v>
      </c>
      <c r="C2660" s="96" t="s">
        <v>2998</v>
      </c>
      <c r="D2660" s="265" t="s">
        <v>2951</v>
      </c>
      <c r="E2660" s="105" t="s">
        <v>3565</v>
      </c>
      <c r="F2660" s="96" t="s">
        <v>3566</v>
      </c>
      <c r="G2660" s="96" t="s">
        <v>31</v>
      </c>
      <c r="H2660" s="19" t="s">
        <v>3589</v>
      </c>
      <c r="I2660" s="23" t="str">
        <f>VLOOKUP(H2660,'合同综合查询数据（3月返）'!$A:$A,1,FALSE)</f>
        <v>182315IDC00080</v>
      </c>
      <c r="J2660" s="24" t="s">
        <v>451</v>
      </c>
      <c r="K2660" s="96" t="s">
        <v>3590</v>
      </c>
      <c r="L2660" s="114"/>
      <c r="M2660" s="249"/>
      <c r="N2660" s="106">
        <v>44985</v>
      </c>
      <c r="O2660" s="96" t="s">
        <v>37</v>
      </c>
      <c r="P2660" s="268">
        <v>20000</v>
      </c>
      <c r="Q2660" s="273">
        <v>-1</v>
      </c>
      <c r="R2660" s="268">
        <f t="shared" si="66"/>
        <v>-20000</v>
      </c>
      <c r="S2660" s="24">
        <v>202303</v>
      </c>
      <c r="T2660" s="127" t="s">
        <v>3592</v>
      </c>
      <c r="U2660" s="40"/>
      <c r="V2660" s="40"/>
      <c r="W2660" s="40"/>
      <c r="X2660" s="106">
        <v>44551</v>
      </c>
      <c r="Y2660" s="106">
        <v>44985</v>
      </c>
    </row>
    <row r="2661" s="9" customFormat="1" customHeight="1" spans="1:25">
      <c r="A2661" s="96" t="s">
        <v>399</v>
      </c>
      <c r="B2661" s="96" t="s">
        <v>2950</v>
      </c>
      <c r="C2661" s="96" t="s">
        <v>2998</v>
      </c>
      <c r="D2661" s="265" t="s">
        <v>2951</v>
      </c>
      <c r="E2661" s="105" t="s">
        <v>3565</v>
      </c>
      <c r="F2661" s="96" t="s">
        <v>3566</v>
      </c>
      <c r="G2661" s="96" t="s">
        <v>31</v>
      </c>
      <c r="H2661" s="19" t="s">
        <v>3589</v>
      </c>
      <c r="I2661" s="23" t="str">
        <f>VLOOKUP(H2661,'合同综合查询数据（3月返）'!$A:$A,1,FALSE)</f>
        <v>182315IDC00080</v>
      </c>
      <c r="J2661" s="24" t="s">
        <v>451</v>
      </c>
      <c r="K2661" s="96" t="s">
        <v>3590</v>
      </c>
      <c r="L2661" s="114"/>
      <c r="M2661" s="249"/>
      <c r="N2661" s="106"/>
      <c r="O2661" s="96" t="s">
        <v>37</v>
      </c>
      <c r="P2661" s="268">
        <v>100</v>
      </c>
      <c r="Q2661" s="273">
        <v>0</v>
      </c>
      <c r="R2661" s="268">
        <f t="shared" si="66"/>
        <v>0</v>
      </c>
      <c r="S2661" s="24">
        <v>202303</v>
      </c>
      <c r="T2661" s="127" t="s">
        <v>3593</v>
      </c>
      <c r="U2661" s="40"/>
      <c r="V2661" s="40"/>
      <c r="W2661" s="40"/>
      <c r="X2661" s="106">
        <v>44551</v>
      </c>
      <c r="Y2661" s="106">
        <v>44985</v>
      </c>
    </row>
    <row r="2662" s="10" customFormat="1" customHeight="1" spans="1:25">
      <c r="A2662" s="60" t="s">
        <v>399</v>
      </c>
      <c r="B2662" s="60" t="s">
        <v>2950</v>
      </c>
      <c r="C2662" s="60" t="s">
        <v>2998</v>
      </c>
      <c r="D2662" s="263" t="s">
        <v>2951</v>
      </c>
      <c r="E2662" s="63" t="s">
        <v>3565</v>
      </c>
      <c r="F2662" s="60" t="s">
        <v>3566</v>
      </c>
      <c r="G2662" s="60" t="s">
        <v>88</v>
      </c>
      <c r="H2662" s="45" t="s">
        <v>3571</v>
      </c>
      <c r="I2662" s="47" t="e">
        <f>VLOOKUP(H2662,'合同综合查询数据（3月返）'!$A:$A,1,FALSE)</f>
        <v>#N/A</v>
      </c>
      <c r="J2662" s="48" t="s">
        <v>126</v>
      </c>
      <c r="K2662" s="60" t="s">
        <v>3594</v>
      </c>
      <c r="L2662" s="113"/>
      <c r="M2662" s="50" t="s">
        <v>3575</v>
      </c>
      <c r="N2662" s="111" t="s">
        <v>3076</v>
      </c>
      <c r="O2662" s="62" t="s">
        <v>92</v>
      </c>
      <c r="P2662" s="266">
        <v>5000</v>
      </c>
      <c r="Q2662" s="270">
        <v>13</v>
      </c>
      <c r="R2662" s="266">
        <f t="shared" si="66"/>
        <v>65000</v>
      </c>
      <c r="S2662" s="48">
        <v>202303</v>
      </c>
      <c r="T2662" s="125" t="s">
        <v>3595</v>
      </c>
      <c r="U2662" s="58"/>
      <c r="V2662" s="58"/>
      <c r="W2662" s="58"/>
      <c r="X2662" s="111"/>
      <c r="Y2662" s="111"/>
    </row>
    <row r="2663" s="10" customFormat="1" customHeight="1" spans="1:25">
      <c r="A2663" s="60" t="s">
        <v>399</v>
      </c>
      <c r="B2663" s="60" t="s">
        <v>2950</v>
      </c>
      <c r="C2663" s="60" t="s">
        <v>2998</v>
      </c>
      <c r="D2663" s="263" t="s">
        <v>2951</v>
      </c>
      <c r="E2663" s="63" t="s">
        <v>3565</v>
      </c>
      <c r="F2663" s="60" t="s">
        <v>3566</v>
      </c>
      <c r="G2663" s="60" t="s">
        <v>88</v>
      </c>
      <c r="H2663" s="45" t="s">
        <v>3571</v>
      </c>
      <c r="I2663" s="47" t="e">
        <f>VLOOKUP(H2663,'合同综合查询数据（3月返）'!$A:$A,1,FALSE)</f>
        <v>#N/A</v>
      </c>
      <c r="J2663" s="48" t="s">
        <v>126</v>
      </c>
      <c r="K2663" s="60" t="s">
        <v>3594</v>
      </c>
      <c r="L2663" s="113"/>
      <c r="M2663" s="50" t="s">
        <v>3575</v>
      </c>
      <c r="N2663" s="111">
        <v>43982</v>
      </c>
      <c r="O2663" s="62" t="s">
        <v>92</v>
      </c>
      <c r="P2663" s="266">
        <v>5000</v>
      </c>
      <c r="Q2663" s="270">
        <v>-13</v>
      </c>
      <c r="R2663" s="266">
        <f t="shared" si="66"/>
        <v>-65000</v>
      </c>
      <c r="S2663" s="48">
        <v>202303</v>
      </c>
      <c r="T2663" s="125" t="s">
        <v>3595</v>
      </c>
      <c r="U2663" s="58"/>
      <c r="V2663" s="58"/>
      <c r="W2663" s="58"/>
      <c r="X2663" s="111"/>
      <c r="Y2663" s="111"/>
    </row>
    <row r="2664" s="10" customFormat="1" customHeight="1" spans="1:25">
      <c r="A2664" s="60" t="s">
        <v>399</v>
      </c>
      <c r="B2664" s="60" t="s">
        <v>2950</v>
      </c>
      <c r="C2664" s="60" t="s">
        <v>2998</v>
      </c>
      <c r="D2664" s="263" t="s">
        <v>2951</v>
      </c>
      <c r="E2664" s="63" t="s">
        <v>3565</v>
      </c>
      <c r="F2664" s="60" t="s">
        <v>3566</v>
      </c>
      <c r="G2664" s="60" t="s">
        <v>88</v>
      </c>
      <c r="H2664" s="45" t="s">
        <v>3571</v>
      </c>
      <c r="I2664" s="47" t="e">
        <f>VLOOKUP(H2664,'合同综合查询数据（3月返）'!$A:$A,1,FALSE)</f>
        <v>#N/A</v>
      </c>
      <c r="J2664" s="48" t="s">
        <v>126</v>
      </c>
      <c r="K2664" s="60" t="s">
        <v>3335</v>
      </c>
      <c r="L2664" s="113"/>
      <c r="M2664" s="50" t="s">
        <v>3581</v>
      </c>
      <c r="N2664" s="111">
        <v>43617</v>
      </c>
      <c r="O2664" s="62" t="s">
        <v>92</v>
      </c>
      <c r="P2664" s="266">
        <v>5000</v>
      </c>
      <c r="Q2664" s="270">
        <v>11</v>
      </c>
      <c r="R2664" s="266">
        <f t="shared" si="66"/>
        <v>55000</v>
      </c>
      <c r="S2664" s="48">
        <v>202303</v>
      </c>
      <c r="T2664" s="125" t="s">
        <v>3596</v>
      </c>
      <c r="U2664" s="58"/>
      <c r="V2664" s="58"/>
      <c r="W2664" s="58"/>
      <c r="X2664" s="111"/>
      <c r="Y2664" s="111"/>
    </row>
    <row r="2665" s="10" customFormat="1" customHeight="1" spans="1:25">
      <c r="A2665" s="60" t="s">
        <v>399</v>
      </c>
      <c r="B2665" s="60" t="s">
        <v>2950</v>
      </c>
      <c r="C2665" s="60" t="s">
        <v>2998</v>
      </c>
      <c r="D2665" s="263" t="s">
        <v>2951</v>
      </c>
      <c r="E2665" s="63" t="s">
        <v>3565</v>
      </c>
      <c r="F2665" s="60" t="s">
        <v>3566</v>
      </c>
      <c r="G2665" s="60" t="s">
        <v>88</v>
      </c>
      <c r="H2665" s="45" t="s">
        <v>3571</v>
      </c>
      <c r="I2665" s="47" t="e">
        <f>VLOOKUP(H2665,'合同综合查询数据（3月返）'!$A:$A,1,FALSE)</f>
        <v>#N/A</v>
      </c>
      <c r="J2665" s="48" t="s">
        <v>126</v>
      </c>
      <c r="K2665" s="60" t="s">
        <v>3335</v>
      </c>
      <c r="L2665" s="113"/>
      <c r="M2665" s="50" t="s">
        <v>3581</v>
      </c>
      <c r="N2665" s="111">
        <v>43690</v>
      </c>
      <c r="O2665" s="62" t="s">
        <v>92</v>
      </c>
      <c r="P2665" s="266">
        <v>5000</v>
      </c>
      <c r="Q2665" s="270">
        <v>4</v>
      </c>
      <c r="R2665" s="266">
        <f t="shared" si="66"/>
        <v>20000</v>
      </c>
      <c r="S2665" s="48">
        <v>202303</v>
      </c>
      <c r="T2665" s="125" t="s">
        <v>3597</v>
      </c>
      <c r="U2665" s="58"/>
      <c r="V2665" s="58"/>
      <c r="W2665" s="58"/>
      <c r="X2665" s="111"/>
      <c r="Y2665" s="111"/>
    </row>
    <row r="2666" s="10" customFormat="1" customHeight="1" spans="1:25">
      <c r="A2666" s="60" t="s">
        <v>399</v>
      </c>
      <c r="B2666" s="60" t="s">
        <v>2950</v>
      </c>
      <c r="C2666" s="60" t="s">
        <v>2998</v>
      </c>
      <c r="D2666" s="263" t="s">
        <v>2951</v>
      </c>
      <c r="E2666" s="63" t="s">
        <v>3565</v>
      </c>
      <c r="F2666" s="60" t="s">
        <v>3566</v>
      </c>
      <c r="G2666" s="60" t="s">
        <v>88</v>
      </c>
      <c r="H2666" s="45" t="s">
        <v>3571</v>
      </c>
      <c r="I2666" s="47" t="e">
        <f>VLOOKUP(H2666,'合同综合查询数据（3月返）'!$A:$A,1,FALSE)</f>
        <v>#N/A</v>
      </c>
      <c r="J2666" s="48" t="s">
        <v>126</v>
      </c>
      <c r="K2666" s="60" t="s">
        <v>3335</v>
      </c>
      <c r="L2666" s="113" t="s">
        <v>3598</v>
      </c>
      <c r="M2666" s="277" t="s">
        <v>3573</v>
      </c>
      <c r="N2666" s="111">
        <v>44295</v>
      </c>
      <c r="O2666" s="60" t="s">
        <v>92</v>
      </c>
      <c r="P2666" s="299">
        <v>5000</v>
      </c>
      <c r="Q2666" s="270">
        <v>1</v>
      </c>
      <c r="R2666" s="266">
        <f t="shared" si="66"/>
        <v>5000</v>
      </c>
      <c r="S2666" s="48">
        <v>202303</v>
      </c>
      <c r="T2666" s="125" t="s">
        <v>3599</v>
      </c>
      <c r="U2666" s="58"/>
      <c r="V2666" s="58"/>
      <c r="W2666" s="58"/>
      <c r="X2666" s="111"/>
      <c r="Y2666" s="111"/>
    </row>
    <row r="2667" s="10" customFormat="1" customHeight="1" spans="1:25">
      <c r="A2667" s="60" t="s">
        <v>399</v>
      </c>
      <c r="B2667" s="60" t="s">
        <v>2950</v>
      </c>
      <c r="C2667" s="60" t="s">
        <v>2998</v>
      </c>
      <c r="D2667" s="263" t="s">
        <v>2951</v>
      </c>
      <c r="E2667" s="63" t="s">
        <v>3565</v>
      </c>
      <c r="F2667" s="60" t="s">
        <v>3566</v>
      </c>
      <c r="G2667" s="60" t="s">
        <v>88</v>
      </c>
      <c r="H2667" s="45" t="s">
        <v>3571</v>
      </c>
      <c r="I2667" s="47" t="e">
        <f>VLOOKUP(H2667,'合同综合查询数据（3月返）'!$A:$A,1,FALSE)</f>
        <v>#N/A</v>
      </c>
      <c r="J2667" s="48" t="s">
        <v>126</v>
      </c>
      <c r="K2667" s="60" t="s">
        <v>3335</v>
      </c>
      <c r="L2667" s="113" t="s">
        <v>3598</v>
      </c>
      <c r="M2667" s="277" t="s">
        <v>3573</v>
      </c>
      <c r="N2667" s="111">
        <v>44719</v>
      </c>
      <c r="O2667" s="60" t="s">
        <v>92</v>
      </c>
      <c r="P2667" s="299">
        <v>5000</v>
      </c>
      <c r="Q2667" s="270">
        <v>-7</v>
      </c>
      <c r="R2667" s="266">
        <f t="shared" si="66"/>
        <v>-35000</v>
      </c>
      <c r="S2667" s="48">
        <v>202303</v>
      </c>
      <c r="T2667" s="125" t="s">
        <v>3600</v>
      </c>
      <c r="U2667" s="58"/>
      <c r="V2667" s="58"/>
      <c r="W2667" s="58"/>
      <c r="X2667" s="111"/>
      <c r="Y2667" s="111"/>
    </row>
    <row r="2668" s="10" customFormat="1" customHeight="1" spans="1:25">
      <c r="A2668" s="60" t="s">
        <v>399</v>
      </c>
      <c r="B2668" s="60" t="s">
        <v>2950</v>
      </c>
      <c r="C2668" s="60" t="s">
        <v>2998</v>
      </c>
      <c r="D2668" s="263" t="s">
        <v>2951</v>
      </c>
      <c r="E2668" s="63" t="s">
        <v>3565</v>
      </c>
      <c r="F2668" s="60" t="s">
        <v>3566</v>
      </c>
      <c r="G2668" s="60" t="s">
        <v>88</v>
      </c>
      <c r="H2668" s="45" t="s">
        <v>3571</v>
      </c>
      <c r="I2668" s="47" t="e">
        <f>VLOOKUP(H2668,'合同综合查询数据（3月返）'!$A:$A,1,FALSE)</f>
        <v>#N/A</v>
      </c>
      <c r="J2668" s="48" t="s">
        <v>126</v>
      </c>
      <c r="K2668" s="60" t="s">
        <v>3335</v>
      </c>
      <c r="L2668" s="113" t="s">
        <v>3598</v>
      </c>
      <c r="M2668" s="277" t="s">
        <v>3573</v>
      </c>
      <c r="N2668" s="111">
        <v>44788</v>
      </c>
      <c r="O2668" s="60" t="s">
        <v>92</v>
      </c>
      <c r="P2668" s="299">
        <v>5000</v>
      </c>
      <c r="Q2668" s="270">
        <v>-3</v>
      </c>
      <c r="R2668" s="266">
        <f t="shared" si="66"/>
        <v>-15000</v>
      </c>
      <c r="S2668" s="48">
        <v>202303</v>
      </c>
      <c r="T2668" s="125" t="s">
        <v>3601</v>
      </c>
      <c r="U2668" s="58"/>
      <c r="V2668" s="58"/>
      <c r="W2668" s="58"/>
      <c r="X2668" s="111"/>
      <c r="Y2668" s="111"/>
    </row>
    <row r="2669" s="10" customFormat="1" customHeight="1" spans="1:25">
      <c r="A2669" s="60" t="s">
        <v>399</v>
      </c>
      <c r="B2669" s="60" t="s">
        <v>2950</v>
      </c>
      <c r="C2669" s="60" t="s">
        <v>2998</v>
      </c>
      <c r="D2669" s="263" t="s">
        <v>2951</v>
      </c>
      <c r="E2669" s="63" t="s">
        <v>3565</v>
      </c>
      <c r="F2669" s="60" t="s">
        <v>3577</v>
      </c>
      <c r="G2669" s="60" t="s">
        <v>88</v>
      </c>
      <c r="H2669" s="45" t="s">
        <v>3571</v>
      </c>
      <c r="I2669" s="47" t="e">
        <f>VLOOKUP(H2669,'合同综合查询数据（3月返）'!$A:$A,1,FALSE)</f>
        <v>#N/A</v>
      </c>
      <c r="J2669" s="48" t="s">
        <v>1033</v>
      </c>
      <c r="K2669" s="60" t="s">
        <v>3335</v>
      </c>
      <c r="L2669" s="113"/>
      <c r="M2669" s="50" t="s">
        <v>3578</v>
      </c>
      <c r="N2669" s="111">
        <v>42248</v>
      </c>
      <c r="O2669" s="62" t="s">
        <v>92</v>
      </c>
      <c r="P2669" s="266">
        <v>5000</v>
      </c>
      <c r="Q2669" s="270">
        <v>3</v>
      </c>
      <c r="R2669" s="266">
        <f t="shared" si="66"/>
        <v>15000</v>
      </c>
      <c r="S2669" s="48">
        <v>202303</v>
      </c>
      <c r="T2669" s="125"/>
      <c r="U2669" s="58"/>
      <c r="V2669" s="58"/>
      <c r="W2669" s="58"/>
      <c r="X2669" s="111"/>
      <c r="Y2669" s="111"/>
    </row>
    <row r="2670" s="10" customFormat="1" customHeight="1" spans="1:25">
      <c r="A2670" s="60" t="s">
        <v>399</v>
      </c>
      <c r="B2670" s="60" t="s">
        <v>2950</v>
      </c>
      <c r="C2670" s="60" t="s">
        <v>2998</v>
      </c>
      <c r="D2670" s="263" t="s">
        <v>2951</v>
      </c>
      <c r="E2670" s="63" t="s">
        <v>3565</v>
      </c>
      <c r="F2670" s="60" t="s">
        <v>3577</v>
      </c>
      <c r="G2670" s="60" t="s">
        <v>88</v>
      </c>
      <c r="H2670" s="45" t="s">
        <v>3571</v>
      </c>
      <c r="I2670" s="47" t="e">
        <f>VLOOKUP(H2670,'合同综合查询数据（3月返）'!$A:$A,1,FALSE)</f>
        <v>#N/A</v>
      </c>
      <c r="J2670" s="48" t="s">
        <v>1033</v>
      </c>
      <c r="K2670" s="60" t="s">
        <v>3335</v>
      </c>
      <c r="L2670" s="113"/>
      <c r="M2670" s="50" t="s">
        <v>3578</v>
      </c>
      <c r="N2670" s="111">
        <v>43970</v>
      </c>
      <c r="O2670" s="62" t="s">
        <v>92</v>
      </c>
      <c r="P2670" s="266">
        <v>5000</v>
      </c>
      <c r="Q2670" s="270">
        <v>-3</v>
      </c>
      <c r="R2670" s="266">
        <f t="shared" si="66"/>
        <v>-15000</v>
      </c>
      <c r="S2670" s="48">
        <v>202303</v>
      </c>
      <c r="T2670" s="125" t="s">
        <v>3602</v>
      </c>
      <c r="U2670" s="58"/>
      <c r="V2670" s="58"/>
      <c r="W2670" s="58"/>
      <c r="X2670" s="111"/>
      <c r="Y2670" s="111"/>
    </row>
    <row r="2671" s="10" customFormat="1" customHeight="1" spans="1:25">
      <c r="A2671" s="60" t="s">
        <v>399</v>
      </c>
      <c r="B2671" s="60" t="s">
        <v>2950</v>
      </c>
      <c r="C2671" s="60" t="s">
        <v>2998</v>
      </c>
      <c r="D2671" s="263" t="s">
        <v>2951</v>
      </c>
      <c r="E2671" s="63" t="s">
        <v>3565</v>
      </c>
      <c r="F2671" s="60" t="s">
        <v>3577</v>
      </c>
      <c r="G2671" s="60" t="s">
        <v>88</v>
      </c>
      <c r="H2671" s="45" t="s">
        <v>3571</v>
      </c>
      <c r="I2671" s="47" t="e">
        <f>VLOOKUP(H2671,'合同综合查询数据（3月返）'!$A:$A,1,FALSE)</f>
        <v>#N/A</v>
      </c>
      <c r="J2671" s="48" t="s">
        <v>1033</v>
      </c>
      <c r="K2671" s="60" t="s">
        <v>3335</v>
      </c>
      <c r="L2671" s="113"/>
      <c r="M2671" s="50" t="s">
        <v>3603</v>
      </c>
      <c r="N2671" s="111">
        <v>43970</v>
      </c>
      <c r="O2671" s="62" t="s">
        <v>92</v>
      </c>
      <c r="P2671" s="266">
        <v>5000</v>
      </c>
      <c r="Q2671" s="270">
        <v>8</v>
      </c>
      <c r="R2671" s="266">
        <f t="shared" si="66"/>
        <v>40000</v>
      </c>
      <c r="S2671" s="48">
        <v>202303</v>
      </c>
      <c r="T2671" s="125" t="s">
        <v>3604</v>
      </c>
      <c r="U2671" s="58"/>
      <c r="V2671" s="58"/>
      <c r="W2671" s="58"/>
      <c r="X2671" s="111"/>
      <c r="Y2671" s="111"/>
    </row>
    <row r="2672" s="10" customFormat="1" customHeight="1" spans="1:25">
      <c r="A2672" s="60" t="s">
        <v>399</v>
      </c>
      <c r="B2672" s="60" t="s">
        <v>2950</v>
      </c>
      <c r="C2672" s="60" t="s">
        <v>2998</v>
      </c>
      <c r="D2672" s="263" t="s">
        <v>2951</v>
      </c>
      <c r="E2672" s="63" t="s">
        <v>3565</v>
      </c>
      <c r="F2672" s="60" t="s">
        <v>3577</v>
      </c>
      <c r="G2672" s="60" t="s">
        <v>88</v>
      </c>
      <c r="H2672" s="45" t="s">
        <v>3571</v>
      </c>
      <c r="I2672" s="47" t="e">
        <f>VLOOKUP(H2672,'合同综合查询数据（3月返）'!$A:$A,1,FALSE)</f>
        <v>#N/A</v>
      </c>
      <c r="J2672" s="48" t="s">
        <v>1033</v>
      </c>
      <c r="K2672" s="60" t="s">
        <v>3335</v>
      </c>
      <c r="L2672" s="113"/>
      <c r="M2672" s="50" t="s">
        <v>3603</v>
      </c>
      <c r="N2672" s="111">
        <v>44651</v>
      </c>
      <c r="O2672" s="62" t="s">
        <v>92</v>
      </c>
      <c r="P2672" s="266">
        <v>5000</v>
      </c>
      <c r="Q2672" s="270">
        <v>-4</v>
      </c>
      <c r="R2672" s="266">
        <f t="shared" si="66"/>
        <v>-20000</v>
      </c>
      <c r="S2672" s="48">
        <v>202303</v>
      </c>
      <c r="T2672" s="125" t="s">
        <v>3605</v>
      </c>
      <c r="U2672" s="58"/>
      <c r="V2672" s="58"/>
      <c r="W2672" s="58"/>
      <c r="X2672" s="111"/>
      <c r="Y2672" s="111"/>
    </row>
    <row r="2673" s="10" customFormat="1" customHeight="1" spans="1:25">
      <c r="A2673" s="60" t="s">
        <v>399</v>
      </c>
      <c r="B2673" s="60" t="s">
        <v>2950</v>
      </c>
      <c r="C2673" s="60" t="s">
        <v>2998</v>
      </c>
      <c r="D2673" s="263" t="s">
        <v>2951</v>
      </c>
      <c r="E2673" s="63" t="s">
        <v>3565</v>
      </c>
      <c r="F2673" s="60" t="s">
        <v>3566</v>
      </c>
      <c r="G2673" s="60" t="s">
        <v>88</v>
      </c>
      <c r="H2673" s="45" t="s">
        <v>3606</v>
      </c>
      <c r="I2673" s="47" t="e">
        <f>VLOOKUP(H2673,'合同综合查询数据（3月返）'!$A:$A,1,FALSE)</f>
        <v>#N/A</v>
      </c>
      <c r="J2673" s="48" t="s">
        <v>3074</v>
      </c>
      <c r="K2673" s="60" t="s">
        <v>3607</v>
      </c>
      <c r="L2673" s="113"/>
      <c r="M2673" s="50" t="s">
        <v>3590</v>
      </c>
      <c r="N2673" s="111">
        <v>42206</v>
      </c>
      <c r="O2673" s="62" t="s">
        <v>3608</v>
      </c>
      <c r="P2673" s="266">
        <v>8728</v>
      </c>
      <c r="Q2673" s="270">
        <v>6</v>
      </c>
      <c r="R2673" s="266">
        <f t="shared" si="66"/>
        <v>52368</v>
      </c>
      <c r="S2673" s="48">
        <v>202303</v>
      </c>
      <c r="T2673" s="278" t="s">
        <v>3609</v>
      </c>
      <c r="U2673" s="58"/>
      <c r="V2673" s="58"/>
      <c r="W2673" s="58"/>
      <c r="X2673" s="111"/>
      <c r="Y2673" s="111"/>
    </row>
    <row r="2674" s="10" customFormat="1" customHeight="1" spans="1:25">
      <c r="A2674" s="60" t="s">
        <v>399</v>
      </c>
      <c r="B2674" s="60" t="s">
        <v>2950</v>
      </c>
      <c r="C2674" s="60" t="s">
        <v>2998</v>
      </c>
      <c r="D2674" s="263" t="s">
        <v>2951</v>
      </c>
      <c r="E2674" s="63" t="s">
        <v>3565</v>
      </c>
      <c r="F2674" s="60" t="s">
        <v>3566</v>
      </c>
      <c r="G2674" s="60" t="s">
        <v>88</v>
      </c>
      <c r="H2674" s="45" t="s">
        <v>3606</v>
      </c>
      <c r="I2674" s="47" t="e">
        <f>VLOOKUP(H2674,'合同综合查询数据（3月返）'!$A:$A,1,FALSE)</f>
        <v>#N/A</v>
      </c>
      <c r="J2674" s="48" t="s">
        <v>3074</v>
      </c>
      <c r="K2674" s="60" t="s">
        <v>3607</v>
      </c>
      <c r="L2674" s="113"/>
      <c r="M2674" s="50" t="s">
        <v>3590</v>
      </c>
      <c r="N2674" s="111">
        <v>42206</v>
      </c>
      <c r="O2674" s="62" t="s">
        <v>3610</v>
      </c>
      <c r="P2674" s="266">
        <v>14947</v>
      </c>
      <c r="Q2674" s="270">
        <v>16</v>
      </c>
      <c r="R2674" s="266">
        <f t="shared" si="66"/>
        <v>239152</v>
      </c>
      <c r="S2674" s="48">
        <v>202303</v>
      </c>
      <c r="T2674" s="125"/>
      <c r="U2674" s="58"/>
      <c r="V2674" s="58"/>
      <c r="W2674" s="58"/>
      <c r="X2674" s="111"/>
      <c r="Y2674" s="111"/>
    </row>
    <row r="2675" s="10" customFormat="1" customHeight="1" spans="1:25">
      <c r="A2675" s="60" t="s">
        <v>399</v>
      </c>
      <c r="B2675" s="60" t="s">
        <v>2950</v>
      </c>
      <c r="C2675" s="60" t="s">
        <v>2998</v>
      </c>
      <c r="D2675" s="263" t="s">
        <v>2951</v>
      </c>
      <c r="E2675" s="63" t="s">
        <v>3565</v>
      </c>
      <c r="F2675" s="60" t="s">
        <v>3566</v>
      </c>
      <c r="G2675" s="60" t="s">
        <v>88</v>
      </c>
      <c r="H2675" s="45" t="s">
        <v>3606</v>
      </c>
      <c r="I2675" s="47" t="e">
        <f>VLOOKUP(H2675,'合同综合查询数据（3月返）'!$A:$A,1,FALSE)</f>
        <v>#N/A</v>
      </c>
      <c r="J2675" s="48" t="s">
        <v>3074</v>
      </c>
      <c r="K2675" s="60" t="s">
        <v>3607</v>
      </c>
      <c r="L2675" s="113"/>
      <c r="M2675" s="50" t="s">
        <v>3590</v>
      </c>
      <c r="N2675" s="111">
        <v>42206</v>
      </c>
      <c r="O2675" s="62" t="s">
        <v>3610</v>
      </c>
      <c r="P2675" s="266">
        <v>14947</v>
      </c>
      <c r="Q2675" s="270">
        <v>2</v>
      </c>
      <c r="R2675" s="266">
        <f t="shared" si="66"/>
        <v>29894</v>
      </c>
      <c r="S2675" s="48">
        <v>202303</v>
      </c>
      <c r="T2675" s="125" t="s">
        <v>3611</v>
      </c>
      <c r="U2675" s="58"/>
      <c r="V2675" s="58"/>
      <c r="W2675" s="58"/>
      <c r="X2675" s="111"/>
      <c r="Y2675" s="111"/>
    </row>
    <row r="2676" s="10" customFormat="1" customHeight="1" spans="1:25">
      <c r="A2676" s="60" t="s">
        <v>399</v>
      </c>
      <c r="B2676" s="60" t="s">
        <v>2950</v>
      </c>
      <c r="C2676" s="60" t="s">
        <v>2998</v>
      </c>
      <c r="D2676" s="263" t="s">
        <v>2951</v>
      </c>
      <c r="E2676" s="63" t="s">
        <v>3565</v>
      </c>
      <c r="F2676" s="60" t="s">
        <v>3566</v>
      </c>
      <c r="G2676" s="60" t="s">
        <v>88</v>
      </c>
      <c r="H2676" s="45" t="s">
        <v>3606</v>
      </c>
      <c r="I2676" s="47" t="e">
        <f>VLOOKUP(H2676,'合同综合查询数据（3月返）'!$A:$A,1,FALSE)</f>
        <v>#N/A</v>
      </c>
      <c r="J2676" s="48" t="s">
        <v>3074</v>
      </c>
      <c r="K2676" s="60" t="s">
        <v>3607</v>
      </c>
      <c r="L2676" s="113"/>
      <c r="M2676" s="50" t="s">
        <v>3590</v>
      </c>
      <c r="N2676" s="111">
        <v>43029</v>
      </c>
      <c r="O2676" s="62" t="s">
        <v>457</v>
      </c>
      <c r="P2676" s="266">
        <v>4800</v>
      </c>
      <c r="Q2676" s="270">
        <v>1989</v>
      </c>
      <c r="R2676" s="266">
        <f t="shared" si="66"/>
        <v>9547200</v>
      </c>
      <c r="S2676" s="48">
        <v>202303</v>
      </c>
      <c r="T2676" s="125" t="s">
        <v>3612</v>
      </c>
      <c r="U2676" s="58"/>
      <c r="V2676" s="58"/>
      <c r="W2676" s="58"/>
      <c r="X2676" s="111"/>
      <c r="Y2676" s="111"/>
    </row>
    <row r="2677" s="10" customFormat="1" customHeight="1" spans="1:25">
      <c r="A2677" s="60" t="s">
        <v>399</v>
      </c>
      <c r="B2677" s="60" t="s">
        <v>2950</v>
      </c>
      <c r="C2677" s="60" t="s">
        <v>2998</v>
      </c>
      <c r="D2677" s="263" t="s">
        <v>2951</v>
      </c>
      <c r="E2677" s="63" t="s">
        <v>3565</v>
      </c>
      <c r="F2677" s="60" t="s">
        <v>3566</v>
      </c>
      <c r="G2677" s="60" t="s">
        <v>88</v>
      </c>
      <c r="H2677" s="45" t="s">
        <v>3606</v>
      </c>
      <c r="I2677" s="47" t="e">
        <f>VLOOKUP(H2677,'合同综合查询数据（3月返）'!$A:$A,1,FALSE)</f>
        <v>#N/A</v>
      </c>
      <c r="J2677" s="48" t="s">
        <v>3074</v>
      </c>
      <c r="K2677" s="60" t="s">
        <v>3607</v>
      </c>
      <c r="L2677" s="113"/>
      <c r="M2677" s="50" t="s">
        <v>3590</v>
      </c>
      <c r="N2677" s="111">
        <v>43433</v>
      </c>
      <c r="O2677" s="62" t="s">
        <v>457</v>
      </c>
      <c r="P2677" s="266">
        <v>4800</v>
      </c>
      <c r="Q2677" s="270">
        <v>2</v>
      </c>
      <c r="R2677" s="266">
        <f t="shared" si="66"/>
        <v>9600</v>
      </c>
      <c r="S2677" s="48">
        <v>202303</v>
      </c>
      <c r="T2677" s="125"/>
      <c r="U2677" s="58"/>
      <c r="V2677" s="58"/>
      <c r="W2677" s="58"/>
      <c r="X2677" s="111"/>
      <c r="Y2677" s="111"/>
    </row>
    <row r="2678" s="10" customFormat="1" customHeight="1" spans="1:25">
      <c r="A2678" s="60" t="s">
        <v>399</v>
      </c>
      <c r="B2678" s="60" t="s">
        <v>2950</v>
      </c>
      <c r="C2678" s="60" t="s">
        <v>2998</v>
      </c>
      <c r="D2678" s="263" t="s">
        <v>2951</v>
      </c>
      <c r="E2678" s="63" t="s">
        <v>3565</v>
      </c>
      <c r="F2678" s="60" t="s">
        <v>3566</v>
      </c>
      <c r="G2678" s="60" t="s">
        <v>88</v>
      </c>
      <c r="H2678" s="45" t="s">
        <v>3606</v>
      </c>
      <c r="I2678" s="47" t="e">
        <f>VLOOKUP(H2678,'合同综合查询数据（3月返）'!$A:$A,1,FALSE)</f>
        <v>#N/A</v>
      </c>
      <c r="J2678" s="48" t="s">
        <v>3074</v>
      </c>
      <c r="K2678" s="60" t="s">
        <v>3607</v>
      </c>
      <c r="L2678" s="113"/>
      <c r="M2678" s="50" t="s">
        <v>3590</v>
      </c>
      <c r="N2678" s="111">
        <v>43444</v>
      </c>
      <c r="O2678" s="62" t="s">
        <v>457</v>
      </c>
      <c r="P2678" s="266">
        <v>4800</v>
      </c>
      <c r="Q2678" s="270">
        <v>2</v>
      </c>
      <c r="R2678" s="266">
        <f t="shared" si="66"/>
        <v>9600</v>
      </c>
      <c r="S2678" s="48">
        <v>202303</v>
      </c>
      <c r="T2678" s="125"/>
      <c r="U2678" s="58"/>
      <c r="V2678" s="58"/>
      <c r="W2678" s="58"/>
      <c r="X2678" s="111"/>
      <c r="Y2678" s="111"/>
    </row>
    <row r="2679" s="10" customFormat="1" customHeight="1" spans="1:25">
      <c r="A2679" s="60" t="s">
        <v>399</v>
      </c>
      <c r="B2679" s="60" t="s">
        <v>2950</v>
      </c>
      <c r="C2679" s="60" t="s">
        <v>2998</v>
      </c>
      <c r="D2679" s="263" t="s">
        <v>2951</v>
      </c>
      <c r="E2679" s="63" t="s">
        <v>3565</v>
      </c>
      <c r="F2679" s="60" t="s">
        <v>3566</v>
      </c>
      <c r="G2679" s="60" t="s">
        <v>88</v>
      </c>
      <c r="H2679" s="45" t="s">
        <v>3606</v>
      </c>
      <c r="I2679" s="47" t="e">
        <f>VLOOKUP(H2679,'合同综合查询数据（3月返）'!$A:$A,1,FALSE)</f>
        <v>#N/A</v>
      </c>
      <c r="J2679" s="48" t="s">
        <v>3074</v>
      </c>
      <c r="K2679" s="60" t="s">
        <v>3607</v>
      </c>
      <c r="L2679" s="113"/>
      <c r="M2679" s="50" t="s">
        <v>3590</v>
      </c>
      <c r="N2679" s="111">
        <v>43451</v>
      </c>
      <c r="O2679" s="62" t="s">
        <v>457</v>
      </c>
      <c r="P2679" s="266">
        <v>4800</v>
      </c>
      <c r="Q2679" s="270">
        <v>4</v>
      </c>
      <c r="R2679" s="266">
        <f t="shared" si="66"/>
        <v>19200</v>
      </c>
      <c r="S2679" s="48">
        <v>202303</v>
      </c>
      <c r="T2679" s="125"/>
      <c r="U2679" s="58"/>
      <c r="V2679" s="58"/>
      <c r="W2679" s="58"/>
      <c r="X2679" s="111"/>
      <c r="Y2679" s="111"/>
    </row>
    <row r="2680" s="10" customFormat="1" customHeight="1" spans="1:25">
      <c r="A2680" s="60" t="s">
        <v>399</v>
      </c>
      <c r="B2680" s="60" t="s">
        <v>2950</v>
      </c>
      <c r="C2680" s="60" t="s">
        <v>2998</v>
      </c>
      <c r="D2680" s="263" t="s">
        <v>2951</v>
      </c>
      <c r="E2680" s="63" t="s">
        <v>3565</v>
      </c>
      <c r="F2680" s="60" t="s">
        <v>3566</v>
      </c>
      <c r="G2680" s="60" t="s">
        <v>88</v>
      </c>
      <c r="H2680" s="45" t="s">
        <v>3606</v>
      </c>
      <c r="I2680" s="47" t="e">
        <f>VLOOKUP(H2680,'合同综合查询数据（3月返）'!$A:$A,1,FALSE)</f>
        <v>#N/A</v>
      </c>
      <c r="J2680" s="48" t="s">
        <v>3074</v>
      </c>
      <c r="K2680" s="60" t="s">
        <v>3607</v>
      </c>
      <c r="L2680" s="113"/>
      <c r="M2680" s="50" t="s">
        <v>3590</v>
      </c>
      <c r="N2680" s="111">
        <v>43460</v>
      </c>
      <c r="O2680" s="62" t="s">
        <v>457</v>
      </c>
      <c r="P2680" s="266">
        <v>4800</v>
      </c>
      <c r="Q2680" s="270">
        <v>6</v>
      </c>
      <c r="R2680" s="266">
        <f t="shared" si="66"/>
        <v>28800</v>
      </c>
      <c r="S2680" s="48">
        <v>202303</v>
      </c>
      <c r="T2680" s="125"/>
      <c r="U2680" s="58"/>
      <c r="V2680" s="58"/>
      <c r="W2680" s="58"/>
      <c r="X2680" s="111"/>
      <c r="Y2680" s="111"/>
    </row>
    <row r="2681" s="10" customFormat="1" customHeight="1" spans="1:25">
      <c r="A2681" s="60" t="s">
        <v>399</v>
      </c>
      <c r="B2681" s="60" t="s">
        <v>2950</v>
      </c>
      <c r="C2681" s="60" t="s">
        <v>2998</v>
      </c>
      <c r="D2681" s="263" t="s">
        <v>2951</v>
      </c>
      <c r="E2681" s="63" t="s">
        <v>3565</v>
      </c>
      <c r="F2681" s="60" t="s">
        <v>3566</v>
      </c>
      <c r="G2681" s="60" t="s">
        <v>88</v>
      </c>
      <c r="H2681" s="45" t="s">
        <v>3606</v>
      </c>
      <c r="I2681" s="47" t="e">
        <f>VLOOKUP(H2681,'合同综合查询数据（3月返）'!$A:$A,1,FALSE)</f>
        <v>#N/A</v>
      </c>
      <c r="J2681" s="48" t="s">
        <v>3074</v>
      </c>
      <c r="K2681" s="60" t="s">
        <v>3607</v>
      </c>
      <c r="L2681" s="113"/>
      <c r="M2681" s="50" t="s">
        <v>3590</v>
      </c>
      <c r="N2681" s="111">
        <v>43463</v>
      </c>
      <c r="O2681" s="62" t="s">
        <v>457</v>
      </c>
      <c r="P2681" s="266">
        <v>4800</v>
      </c>
      <c r="Q2681" s="270">
        <v>4</v>
      </c>
      <c r="R2681" s="266">
        <f t="shared" si="66"/>
        <v>19200</v>
      </c>
      <c r="S2681" s="48">
        <v>202303</v>
      </c>
      <c r="T2681" s="125"/>
      <c r="U2681" s="58"/>
      <c r="V2681" s="58"/>
      <c r="W2681" s="58"/>
      <c r="X2681" s="111"/>
      <c r="Y2681" s="111"/>
    </row>
    <row r="2682" s="10" customFormat="1" customHeight="1" spans="1:25">
      <c r="A2682" s="60" t="s">
        <v>399</v>
      </c>
      <c r="B2682" s="60" t="s">
        <v>2950</v>
      </c>
      <c r="C2682" s="60" t="s">
        <v>2998</v>
      </c>
      <c r="D2682" s="263" t="s">
        <v>2951</v>
      </c>
      <c r="E2682" s="63" t="s">
        <v>3565</v>
      </c>
      <c r="F2682" s="60" t="s">
        <v>3566</v>
      </c>
      <c r="G2682" s="60" t="s">
        <v>88</v>
      </c>
      <c r="H2682" s="45" t="s">
        <v>3606</v>
      </c>
      <c r="I2682" s="47" t="e">
        <f>VLOOKUP(H2682,'合同综合查询数据（3月返）'!$A:$A,1,FALSE)</f>
        <v>#N/A</v>
      </c>
      <c r="J2682" s="48" t="s">
        <v>3074</v>
      </c>
      <c r="K2682" s="60" t="s">
        <v>3607</v>
      </c>
      <c r="L2682" s="113"/>
      <c r="M2682" s="50" t="s">
        <v>3590</v>
      </c>
      <c r="N2682" s="111">
        <v>43481</v>
      </c>
      <c r="O2682" s="62" t="s">
        <v>457</v>
      </c>
      <c r="P2682" s="266">
        <v>4800</v>
      </c>
      <c r="Q2682" s="270">
        <v>5</v>
      </c>
      <c r="R2682" s="266">
        <f t="shared" ref="R2682:R2745" si="67">ROUND(P2682*Q2682,2)</f>
        <v>24000</v>
      </c>
      <c r="S2682" s="48">
        <v>202303</v>
      </c>
      <c r="T2682" s="125"/>
      <c r="U2682" s="58"/>
      <c r="V2682" s="58"/>
      <c r="W2682" s="58"/>
      <c r="X2682" s="111"/>
      <c r="Y2682" s="111"/>
    </row>
    <row r="2683" s="10" customFormat="1" customHeight="1" spans="1:25">
      <c r="A2683" s="60" t="s">
        <v>399</v>
      </c>
      <c r="B2683" s="60" t="s">
        <v>2950</v>
      </c>
      <c r="C2683" s="60" t="s">
        <v>2998</v>
      </c>
      <c r="D2683" s="263" t="s">
        <v>2951</v>
      </c>
      <c r="E2683" s="63" t="s">
        <v>3565</v>
      </c>
      <c r="F2683" s="60" t="s">
        <v>3566</v>
      </c>
      <c r="G2683" s="60" t="s">
        <v>88</v>
      </c>
      <c r="H2683" s="45" t="s">
        <v>3606</v>
      </c>
      <c r="I2683" s="47" t="e">
        <f>VLOOKUP(H2683,'合同综合查询数据（3月返）'!$A:$A,1,FALSE)</f>
        <v>#N/A</v>
      </c>
      <c r="J2683" s="48" t="s">
        <v>3074</v>
      </c>
      <c r="K2683" s="60" t="s">
        <v>3607</v>
      </c>
      <c r="L2683" s="113"/>
      <c r="M2683" s="50" t="s">
        <v>3590</v>
      </c>
      <c r="N2683" s="111">
        <v>43482</v>
      </c>
      <c r="O2683" s="62" t="s">
        <v>457</v>
      </c>
      <c r="P2683" s="266">
        <v>4800</v>
      </c>
      <c r="Q2683" s="270">
        <v>1</v>
      </c>
      <c r="R2683" s="266">
        <f t="shared" si="67"/>
        <v>4800</v>
      </c>
      <c r="S2683" s="48">
        <v>202303</v>
      </c>
      <c r="T2683" s="125"/>
      <c r="U2683" s="58"/>
      <c r="V2683" s="58"/>
      <c r="W2683" s="58"/>
      <c r="X2683" s="111"/>
      <c r="Y2683" s="111"/>
    </row>
    <row r="2684" s="10" customFormat="1" customHeight="1" spans="1:25">
      <c r="A2684" s="60" t="s">
        <v>399</v>
      </c>
      <c r="B2684" s="60" t="s">
        <v>2950</v>
      </c>
      <c r="C2684" s="60" t="s">
        <v>2998</v>
      </c>
      <c r="D2684" s="263" t="s">
        <v>2951</v>
      </c>
      <c r="E2684" s="63" t="s">
        <v>3565</v>
      </c>
      <c r="F2684" s="60" t="s">
        <v>3566</v>
      </c>
      <c r="G2684" s="60" t="s">
        <v>88</v>
      </c>
      <c r="H2684" s="45" t="s">
        <v>3606</v>
      </c>
      <c r="I2684" s="47" t="e">
        <f>VLOOKUP(H2684,'合同综合查询数据（3月返）'!$A:$A,1,FALSE)</f>
        <v>#N/A</v>
      </c>
      <c r="J2684" s="48" t="s">
        <v>3074</v>
      </c>
      <c r="K2684" s="60" t="s">
        <v>3607</v>
      </c>
      <c r="L2684" s="113"/>
      <c r="M2684" s="50" t="s">
        <v>3590</v>
      </c>
      <c r="N2684" s="111">
        <v>43489</v>
      </c>
      <c r="O2684" s="62" t="s">
        <v>457</v>
      </c>
      <c r="P2684" s="266">
        <v>4800</v>
      </c>
      <c r="Q2684" s="270">
        <v>2</v>
      </c>
      <c r="R2684" s="266">
        <f t="shared" si="67"/>
        <v>9600</v>
      </c>
      <c r="S2684" s="48">
        <v>202303</v>
      </c>
      <c r="T2684" s="125"/>
      <c r="U2684" s="58"/>
      <c r="V2684" s="58"/>
      <c r="W2684" s="58"/>
      <c r="X2684" s="111"/>
      <c r="Y2684" s="111"/>
    </row>
    <row r="2685" s="10" customFormat="1" customHeight="1" spans="1:25">
      <c r="A2685" s="60" t="s">
        <v>399</v>
      </c>
      <c r="B2685" s="60" t="s">
        <v>2950</v>
      </c>
      <c r="C2685" s="60" t="s">
        <v>2998</v>
      </c>
      <c r="D2685" s="263" t="s">
        <v>2951</v>
      </c>
      <c r="E2685" s="63" t="s">
        <v>3565</v>
      </c>
      <c r="F2685" s="60" t="s">
        <v>3566</v>
      </c>
      <c r="G2685" s="60" t="s">
        <v>88</v>
      </c>
      <c r="H2685" s="45" t="s">
        <v>3606</v>
      </c>
      <c r="I2685" s="47" t="e">
        <f>VLOOKUP(H2685,'合同综合查询数据（3月返）'!$A:$A,1,FALSE)</f>
        <v>#N/A</v>
      </c>
      <c r="J2685" s="48" t="s">
        <v>3074</v>
      </c>
      <c r="K2685" s="60" t="s">
        <v>3607</v>
      </c>
      <c r="L2685" s="113"/>
      <c r="M2685" s="50" t="s">
        <v>3590</v>
      </c>
      <c r="N2685" s="111">
        <v>43494</v>
      </c>
      <c r="O2685" s="62" t="s">
        <v>457</v>
      </c>
      <c r="P2685" s="266">
        <v>4800</v>
      </c>
      <c r="Q2685" s="270">
        <v>4</v>
      </c>
      <c r="R2685" s="266">
        <f t="shared" si="67"/>
        <v>19200</v>
      </c>
      <c r="S2685" s="48">
        <v>202303</v>
      </c>
      <c r="T2685" s="125"/>
      <c r="U2685" s="58"/>
      <c r="V2685" s="58"/>
      <c r="W2685" s="58"/>
      <c r="X2685" s="111"/>
      <c r="Y2685" s="111"/>
    </row>
    <row r="2686" s="10" customFormat="1" customHeight="1" spans="1:25">
      <c r="A2686" s="60" t="s">
        <v>399</v>
      </c>
      <c r="B2686" s="60" t="s">
        <v>2950</v>
      </c>
      <c r="C2686" s="60" t="s">
        <v>2998</v>
      </c>
      <c r="D2686" s="263" t="s">
        <v>2951</v>
      </c>
      <c r="E2686" s="63" t="s">
        <v>3565</v>
      </c>
      <c r="F2686" s="60" t="s">
        <v>3566</v>
      </c>
      <c r="G2686" s="60" t="s">
        <v>88</v>
      </c>
      <c r="H2686" s="45" t="s">
        <v>3606</v>
      </c>
      <c r="I2686" s="47" t="e">
        <f>VLOOKUP(H2686,'合同综合查询数据（3月返）'!$A:$A,1,FALSE)</f>
        <v>#N/A</v>
      </c>
      <c r="J2686" s="48" t="s">
        <v>3074</v>
      </c>
      <c r="K2686" s="60" t="s">
        <v>3607</v>
      </c>
      <c r="L2686" s="113"/>
      <c r="M2686" s="50" t="s">
        <v>3590</v>
      </c>
      <c r="N2686" s="111">
        <v>43511</v>
      </c>
      <c r="O2686" s="62" t="s">
        <v>457</v>
      </c>
      <c r="P2686" s="266">
        <v>4800</v>
      </c>
      <c r="Q2686" s="270">
        <v>8</v>
      </c>
      <c r="R2686" s="266">
        <f t="shared" si="67"/>
        <v>38400</v>
      </c>
      <c r="S2686" s="48">
        <v>202303</v>
      </c>
      <c r="T2686" s="125"/>
      <c r="U2686" s="58"/>
      <c r="V2686" s="58"/>
      <c r="W2686" s="58"/>
      <c r="X2686" s="111"/>
      <c r="Y2686" s="111"/>
    </row>
    <row r="2687" s="10" customFormat="1" customHeight="1" spans="1:25">
      <c r="A2687" s="60" t="s">
        <v>399</v>
      </c>
      <c r="B2687" s="60" t="s">
        <v>2950</v>
      </c>
      <c r="C2687" s="60" t="s">
        <v>2998</v>
      </c>
      <c r="D2687" s="263" t="s">
        <v>2951</v>
      </c>
      <c r="E2687" s="63" t="s">
        <v>3565</v>
      </c>
      <c r="F2687" s="60" t="s">
        <v>3566</v>
      </c>
      <c r="G2687" s="60" t="s">
        <v>88</v>
      </c>
      <c r="H2687" s="45" t="s">
        <v>3606</v>
      </c>
      <c r="I2687" s="47" t="e">
        <f>VLOOKUP(H2687,'合同综合查询数据（3月返）'!$A:$A,1,FALSE)</f>
        <v>#N/A</v>
      </c>
      <c r="J2687" s="48" t="s">
        <v>3074</v>
      </c>
      <c r="K2687" s="60" t="s">
        <v>3607</v>
      </c>
      <c r="L2687" s="113"/>
      <c r="M2687" s="50" t="s">
        <v>3590</v>
      </c>
      <c r="N2687" s="111">
        <v>43514</v>
      </c>
      <c r="O2687" s="62" t="s">
        <v>457</v>
      </c>
      <c r="P2687" s="266">
        <v>4800</v>
      </c>
      <c r="Q2687" s="270">
        <v>1</v>
      </c>
      <c r="R2687" s="266">
        <f t="shared" si="67"/>
        <v>4800</v>
      </c>
      <c r="S2687" s="48">
        <v>202303</v>
      </c>
      <c r="T2687" s="125"/>
      <c r="U2687" s="58"/>
      <c r="V2687" s="58"/>
      <c r="W2687" s="58"/>
      <c r="X2687" s="111"/>
      <c r="Y2687" s="111"/>
    </row>
    <row r="2688" s="10" customFormat="1" customHeight="1" spans="1:25">
      <c r="A2688" s="60" t="s">
        <v>399</v>
      </c>
      <c r="B2688" s="60" t="s">
        <v>2950</v>
      </c>
      <c r="C2688" s="60" t="s">
        <v>2998</v>
      </c>
      <c r="D2688" s="263" t="s">
        <v>2951</v>
      </c>
      <c r="E2688" s="63" t="s">
        <v>3565</v>
      </c>
      <c r="F2688" s="60" t="s">
        <v>3566</v>
      </c>
      <c r="G2688" s="60" t="s">
        <v>88</v>
      </c>
      <c r="H2688" s="45" t="s">
        <v>3606</v>
      </c>
      <c r="I2688" s="47" t="e">
        <f>VLOOKUP(H2688,'合同综合查询数据（3月返）'!$A:$A,1,FALSE)</f>
        <v>#N/A</v>
      </c>
      <c r="J2688" s="48" t="s">
        <v>3074</v>
      </c>
      <c r="K2688" s="60" t="s">
        <v>3607</v>
      </c>
      <c r="L2688" s="113"/>
      <c r="M2688" s="50" t="s">
        <v>3590</v>
      </c>
      <c r="N2688" s="111">
        <v>43516</v>
      </c>
      <c r="O2688" s="62" t="s">
        <v>457</v>
      </c>
      <c r="P2688" s="266">
        <v>4800</v>
      </c>
      <c r="Q2688" s="270">
        <v>2</v>
      </c>
      <c r="R2688" s="266">
        <f t="shared" si="67"/>
        <v>9600</v>
      </c>
      <c r="S2688" s="48">
        <v>202303</v>
      </c>
      <c r="T2688" s="125"/>
      <c r="U2688" s="58"/>
      <c r="V2688" s="58"/>
      <c r="W2688" s="58"/>
      <c r="X2688" s="111"/>
      <c r="Y2688" s="111"/>
    </row>
    <row r="2689" s="10" customFormat="1" customHeight="1" spans="1:25">
      <c r="A2689" s="60" t="s">
        <v>399</v>
      </c>
      <c r="B2689" s="60" t="s">
        <v>2950</v>
      </c>
      <c r="C2689" s="60" t="s">
        <v>2998</v>
      </c>
      <c r="D2689" s="263" t="s">
        <v>2951</v>
      </c>
      <c r="E2689" s="63" t="s">
        <v>3565</v>
      </c>
      <c r="F2689" s="60" t="s">
        <v>3566</v>
      </c>
      <c r="G2689" s="60" t="s">
        <v>88</v>
      </c>
      <c r="H2689" s="45" t="s">
        <v>3606</v>
      </c>
      <c r="I2689" s="47" t="e">
        <f>VLOOKUP(H2689,'合同综合查询数据（3月返）'!$A:$A,1,FALSE)</f>
        <v>#N/A</v>
      </c>
      <c r="J2689" s="48" t="s">
        <v>3074</v>
      </c>
      <c r="K2689" s="60" t="s">
        <v>3607</v>
      </c>
      <c r="L2689" s="113"/>
      <c r="M2689" s="50" t="s">
        <v>3590</v>
      </c>
      <c r="N2689" s="111">
        <v>43528</v>
      </c>
      <c r="O2689" s="62" t="s">
        <v>457</v>
      </c>
      <c r="P2689" s="266">
        <v>4800</v>
      </c>
      <c r="Q2689" s="270">
        <v>1</v>
      </c>
      <c r="R2689" s="266">
        <f t="shared" si="67"/>
        <v>4800</v>
      </c>
      <c r="S2689" s="48">
        <v>202303</v>
      </c>
      <c r="T2689" s="125"/>
      <c r="U2689" s="58"/>
      <c r="V2689" s="58"/>
      <c r="W2689" s="58"/>
      <c r="X2689" s="111"/>
      <c r="Y2689" s="111"/>
    </row>
    <row r="2690" s="10" customFormat="1" customHeight="1" spans="1:25">
      <c r="A2690" s="60" t="s">
        <v>399</v>
      </c>
      <c r="B2690" s="60" t="s">
        <v>2950</v>
      </c>
      <c r="C2690" s="60" t="s">
        <v>2998</v>
      </c>
      <c r="D2690" s="263" t="s">
        <v>2951</v>
      </c>
      <c r="E2690" s="63" t="s">
        <v>3565</v>
      </c>
      <c r="F2690" s="60" t="s">
        <v>3566</v>
      </c>
      <c r="G2690" s="60" t="s">
        <v>88</v>
      </c>
      <c r="H2690" s="45" t="s">
        <v>3606</v>
      </c>
      <c r="I2690" s="47" t="e">
        <f>VLOOKUP(H2690,'合同综合查询数据（3月返）'!$A:$A,1,FALSE)</f>
        <v>#N/A</v>
      </c>
      <c r="J2690" s="48" t="s">
        <v>3074</v>
      </c>
      <c r="K2690" s="60" t="s">
        <v>3607</v>
      </c>
      <c r="L2690" s="113"/>
      <c r="M2690" s="50" t="s">
        <v>3590</v>
      </c>
      <c r="N2690" s="111">
        <v>43539</v>
      </c>
      <c r="O2690" s="62" t="s">
        <v>457</v>
      </c>
      <c r="P2690" s="266">
        <v>4800</v>
      </c>
      <c r="Q2690" s="270">
        <v>8</v>
      </c>
      <c r="R2690" s="266">
        <f t="shared" si="67"/>
        <v>38400</v>
      </c>
      <c r="S2690" s="48">
        <v>202303</v>
      </c>
      <c r="T2690" s="125"/>
      <c r="U2690" s="58"/>
      <c r="V2690" s="58"/>
      <c r="W2690" s="58"/>
      <c r="X2690" s="111"/>
      <c r="Y2690" s="111"/>
    </row>
    <row r="2691" s="10" customFormat="1" customHeight="1" spans="1:25">
      <c r="A2691" s="60" t="s">
        <v>399</v>
      </c>
      <c r="B2691" s="60" t="s">
        <v>2950</v>
      </c>
      <c r="C2691" s="60" t="s">
        <v>2998</v>
      </c>
      <c r="D2691" s="263" t="s">
        <v>2951</v>
      </c>
      <c r="E2691" s="63" t="s">
        <v>3565</v>
      </c>
      <c r="F2691" s="60" t="s">
        <v>3566</v>
      </c>
      <c r="G2691" s="60" t="s">
        <v>88</v>
      </c>
      <c r="H2691" s="45" t="s">
        <v>3606</v>
      </c>
      <c r="I2691" s="47" t="e">
        <f>VLOOKUP(H2691,'合同综合查询数据（3月返）'!$A:$A,1,FALSE)</f>
        <v>#N/A</v>
      </c>
      <c r="J2691" s="48" t="s">
        <v>3074</v>
      </c>
      <c r="K2691" s="60" t="s">
        <v>3607</v>
      </c>
      <c r="L2691" s="113"/>
      <c r="M2691" s="50" t="s">
        <v>3590</v>
      </c>
      <c r="N2691" s="111">
        <v>43543</v>
      </c>
      <c r="O2691" s="62" t="s">
        <v>457</v>
      </c>
      <c r="P2691" s="266">
        <v>4800</v>
      </c>
      <c r="Q2691" s="270">
        <v>2</v>
      </c>
      <c r="R2691" s="266">
        <f t="shared" si="67"/>
        <v>9600</v>
      </c>
      <c r="S2691" s="48">
        <v>202303</v>
      </c>
      <c r="T2691" s="125"/>
      <c r="U2691" s="58"/>
      <c r="V2691" s="58"/>
      <c r="W2691" s="58"/>
      <c r="X2691" s="111"/>
      <c r="Y2691" s="111"/>
    </row>
    <row r="2692" s="10" customFormat="1" customHeight="1" spans="1:25">
      <c r="A2692" s="60" t="s">
        <v>399</v>
      </c>
      <c r="B2692" s="60" t="s">
        <v>2950</v>
      </c>
      <c r="C2692" s="60" t="s">
        <v>2998</v>
      </c>
      <c r="D2692" s="263" t="s">
        <v>2951</v>
      </c>
      <c r="E2692" s="63" t="s">
        <v>3565</v>
      </c>
      <c r="F2692" s="60" t="s">
        <v>3566</v>
      </c>
      <c r="G2692" s="60" t="s">
        <v>88</v>
      </c>
      <c r="H2692" s="45" t="s">
        <v>3606</v>
      </c>
      <c r="I2692" s="47" t="e">
        <f>VLOOKUP(H2692,'合同综合查询数据（3月返）'!$A:$A,1,FALSE)</f>
        <v>#N/A</v>
      </c>
      <c r="J2692" s="48" t="s">
        <v>3074</v>
      </c>
      <c r="K2692" s="60" t="s">
        <v>3607</v>
      </c>
      <c r="L2692" s="113"/>
      <c r="M2692" s="50" t="s">
        <v>3590</v>
      </c>
      <c r="N2692" s="111">
        <v>43550</v>
      </c>
      <c r="O2692" s="62" t="s">
        <v>457</v>
      </c>
      <c r="P2692" s="266">
        <v>4800</v>
      </c>
      <c r="Q2692" s="270">
        <v>1</v>
      </c>
      <c r="R2692" s="266">
        <f t="shared" si="67"/>
        <v>4800</v>
      </c>
      <c r="S2692" s="48">
        <v>202303</v>
      </c>
      <c r="T2692" s="125"/>
      <c r="U2692" s="58"/>
      <c r="V2692" s="58"/>
      <c r="W2692" s="58"/>
      <c r="X2692" s="111"/>
      <c r="Y2692" s="111"/>
    </row>
    <row r="2693" s="10" customFormat="1" customHeight="1" spans="1:25">
      <c r="A2693" s="60" t="s">
        <v>399</v>
      </c>
      <c r="B2693" s="60" t="s">
        <v>2950</v>
      </c>
      <c r="C2693" s="60" t="s">
        <v>2998</v>
      </c>
      <c r="D2693" s="263" t="s">
        <v>2951</v>
      </c>
      <c r="E2693" s="63" t="s">
        <v>3565</v>
      </c>
      <c r="F2693" s="60" t="s">
        <v>3566</v>
      </c>
      <c r="G2693" s="60" t="s">
        <v>88</v>
      </c>
      <c r="H2693" s="45" t="s">
        <v>3606</v>
      </c>
      <c r="I2693" s="47" t="e">
        <f>VLOOKUP(H2693,'合同综合查询数据（3月返）'!$A:$A,1,FALSE)</f>
        <v>#N/A</v>
      </c>
      <c r="J2693" s="48" t="s">
        <v>3074</v>
      </c>
      <c r="K2693" s="60" t="s">
        <v>3607</v>
      </c>
      <c r="L2693" s="113"/>
      <c r="M2693" s="50" t="s">
        <v>3590</v>
      </c>
      <c r="N2693" s="111">
        <v>43606</v>
      </c>
      <c r="O2693" s="62" t="s">
        <v>457</v>
      </c>
      <c r="P2693" s="266">
        <v>4800</v>
      </c>
      <c r="Q2693" s="270">
        <v>2</v>
      </c>
      <c r="R2693" s="266">
        <f t="shared" si="67"/>
        <v>9600</v>
      </c>
      <c r="S2693" s="48">
        <v>202303</v>
      </c>
      <c r="T2693" s="125" t="s">
        <v>3613</v>
      </c>
      <c r="U2693" s="58"/>
      <c r="V2693" s="58"/>
      <c r="W2693" s="58"/>
      <c r="X2693" s="111"/>
      <c r="Y2693" s="111"/>
    </row>
    <row r="2694" s="10" customFormat="1" customHeight="1" spans="1:25">
      <c r="A2694" s="60" t="s">
        <v>399</v>
      </c>
      <c r="B2694" s="60" t="s">
        <v>2950</v>
      </c>
      <c r="C2694" s="60" t="s">
        <v>2998</v>
      </c>
      <c r="D2694" s="263" t="s">
        <v>2951</v>
      </c>
      <c r="E2694" s="63" t="s">
        <v>3565</v>
      </c>
      <c r="F2694" s="60" t="s">
        <v>3566</v>
      </c>
      <c r="G2694" s="60" t="s">
        <v>88</v>
      </c>
      <c r="H2694" s="45" t="s">
        <v>3606</v>
      </c>
      <c r="I2694" s="47" t="e">
        <f>VLOOKUP(H2694,'合同综合查询数据（3月返）'!$A:$A,1,FALSE)</f>
        <v>#N/A</v>
      </c>
      <c r="J2694" s="48" t="s">
        <v>3074</v>
      </c>
      <c r="K2694" s="60" t="s">
        <v>3607</v>
      </c>
      <c r="L2694" s="113"/>
      <c r="M2694" s="50" t="s">
        <v>3590</v>
      </c>
      <c r="N2694" s="111">
        <v>43630</v>
      </c>
      <c r="O2694" s="62" t="s">
        <v>457</v>
      </c>
      <c r="P2694" s="266">
        <v>4800</v>
      </c>
      <c r="Q2694" s="270">
        <v>2</v>
      </c>
      <c r="R2694" s="266">
        <f t="shared" si="67"/>
        <v>9600</v>
      </c>
      <c r="S2694" s="48">
        <v>202303</v>
      </c>
      <c r="T2694" s="125" t="s">
        <v>3614</v>
      </c>
      <c r="U2694" s="58"/>
      <c r="V2694" s="58"/>
      <c r="W2694" s="58"/>
      <c r="X2694" s="111"/>
      <c r="Y2694" s="111"/>
    </row>
    <row r="2695" s="10" customFormat="1" customHeight="1" spans="1:25">
      <c r="A2695" s="60" t="s">
        <v>399</v>
      </c>
      <c r="B2695" s="60" t="s">
        <v>2950</v>
      </c>
      <c r="C2695" s="60" t="s">
        <v>2998</v>
      </c>
      <c r="D2695" s="263" t="s">
        <v>2951</v>
      </c>
      <c r="E2695" s="63" t="s">
        <v>3565</v>
      </c>
      <c r="F2695" s="60" t="s">
        <v>3566</v>
      </c>
      <c r="G2695" s="60" t="s">
        <v>88</v>
      </c>
      <c r="H2695" s="45" t="s">
        <v>3606</v>
      </c>
      <c r="I2695" s="47" t="e">
        <f>VLOOKUP(H2695,'合同综合查询数据（3月返）'!$A:$A,1,FALSE)</f>
        <v>#N/A</v>
      </c>
      <c r="J2695" s="48" t="s">
        <v>3074</v>
      </c>
      <c r="K2695" s="60" t="s">
        <v>3607</v>
      </c>
      <c r="L2695" s="113"/>
      <c r="M2695" s="50" t="s">
        <v>3590</v>
      </c>
      <c r="N2695" s="111">
        <v>43657</v>
      </c>
      <c r="O2695" s="62" t="s">
        <v>3608</v>
      </c>
      <c r="P2695" s="266">
        <v>8728</v>
      </c>
      <c r="Q2695" s="270">
        <v>2</v>
      </c>
      <c r="R2695" s="266">
        <f t="shared" si="67"/>
        <v>17456</v>
      </c>
      <c r="S2695" s="48">
        <v>202303</v>
      </c>
      <c r="T2695" s="125" t="s">
        <v>3615</v>
      </c>
      <c r="U2695" s="58"/>
      <c r="V2695" s="58"/>
      <c r="W2695" s="58"/>
      <c r="X2695" s="111"/>
      <c r="Y2695" s="111"/>
    </row>
    <row r="2696" s="10" customFormat="1" customHeight="1" spans="1:25">
      <c r="A2696" s="60" t="s">
        <v>399</v>
      </c>
      <c r="B2696" s="60" t="s">
        <v>2950</v>
      </c>
      <c r="C2696" s="60" t="s">
        <v>2998</v>
      </c>
      <c r="D2696" s="263" t="s">
        <v>2951</v>
      </c>
      <c r="E2696" s="63" t="s">
        <v>3565</v>
      </c>
      <c r="F2696" s="60" t="s">
        <v>3566</v>
      </c>
      <c r="G2696" s="60" t="s">
        <v>88</v>
      </c>
      <c r="H2696" s="45" t="s">
        <v>3606</v>
      </c>
      <c r="I2696" s="47" t="e">
        <f>VLOOKUP(H2696,'合同综合查询数据（3月返）'!$A:$A,1,FALSE)</f>
        <v>#N/A</v>
      </c>
      <c r="J2696" s="48" t="s">
        <v>3074</v>
      </c>
      <c r="K2696" s="60" t="s">
        <v>3607</v>
      </c>
      <c r="L2696" s="113"/>
      <c r="M2696" s="50" t="s">
        <v>3590</v>
      </c>
      <c r="N2696" s="111">
        <v>43664</v>
      </c>
      <c r="O2696" s="62" t="s">
        <v>457</v>
      </c>
      <c r="P2696" s="266">
        <v>4800</v>
      </c>
      <c r="Q2696" s="270">
        <v>1</v>
      </c>
      <c r="R2696" s="266">
        <f t="shared" si="67"/>
        <v>4800</v>
      </c>
      <c r="S2696" s="48">
        <v>202303</v>
      </c>
      <c r="T2696" s="125" t="s">
        <v>3616</v>
      </c>
      <c r="U2696" s="58"/>
      <c r="V2696" s="58"/>
      <c r="W2696" s="58"/>
      <c r="X2696" s="111"/>
      <c r="Y2696" s="111"/>
    </row>
    <row r="2697" s="10" customFormat="1" customHeight="1" spans="1:25">
      <c r="A2697" s="60" t="s">
        <v>399</v>
      </c>
      <c r="B2697" s="60" t="s">
        <v>2950</v>
      </c>
      <c r="C2697" s="60" t="s">
        <v>2998</v>
      </c>
      <c r="D2697" s="263" t="s">
        <v>2951</v>
      </c>
      <c r="E2697" s="63" t="s">
        <v>3565</v>
      </c>
      <c r="F2697" s="60" t="s">
        <v>3566</v>
      </c>
      <c r="G2697" s="60" t="s">
        <v>88</v>
      </c>
      <c r="H2697" s="45" t="s">
        <v>3606</v>
      </c>
      <c r="I2697" s="47" t="e">
        <f>VLOOKUP(H2697,'合同综合查询数据（3月返）'!$A:$A,1,FALSE)</f>
        <v>#N/A</v>
      </c>
      <c r="J2697" s="48" t="s">
        <v>3074</v>
      </c>
      <c r="K2697" s="60" t="s">
        <v>3607</v>
      </c>
      <c r="L2697" s="113"/>
      <c r="M2697" s="50" t="s">
        <v>3590</v>
      </c>
      <c r="N2697" s="111">
        <v>43650</v>
      </c>
      <c r="O2697" s="62" t="s">
        <v>457</v>
      </c>
      <c r="P2697" s="266">
        <v>4800</v>
      </c>
      <c r="Q2697" s="270">
        <v>9</v>
      </c>
      <c r="R2697" s="266">
        <f t="shared" si="67"/>
        <v>43200</v>
      </c>
      <c r="S2697" s="48">
        <v>202303</v>
      </c>
      <c r="T2697" s="125" t="s">
        <v>3617</v>
      </c>
      <c r="U2697" s="58"/>
      <c r="V2697" s="58"/>
      <c r="W2697" s="58"/>
      <c r="X2697" s="111"/>
      <c r="Y2697" s="111"/>
    </row>
    <row r="2698" s="10" customFormat="1" customHeight="1" spans="1:25">
      <c r="A2698" s="60" t="s">
        <v>399</v>
      </c>
      <c r="B2698" s="60" t="s">
        <v>2950</v>
      </c>
      <c r="C2698" s="60" t="s">
        <v>2998</v>
      </c>
      <c r="D2698" s="263" t="s">
        <v>2951</v>
      </c>
      <c r="E2698" s="63" t="s">
        <v>3565</v>
      </c>
      <c r="F2698" s="60" t="s">
        <v>3566</v>
      </c>
      <c r="G2698" s="60" t="s">
        <v>88</v>
      </c>
      <c r="H2698" s="45" t="s">
        <v>3606</v>
      </c>
      <c r="I2698" s="47" t="e">
        <f>VLOOKUP(H2698,'合同综合查询数据（3月返）'!$A:$A,1,FALSE)</f>
        <v>#N/A</v>
      </c>
      <c r="J2698" s="48" t="s">
        <v>3074</v>
      </c>
      <c r="K2698" s="60" t="s">
        <v>3607</v>
      </c>
      <c r="L2698" s="113"/>
      <c r="M2698" s="50" t="s">
        <v>3590</v>
      </c>
      <c r="N2698" s="111">
        <v>43658</v>
      </c>
      <c r="O2698" s="62" t="s">
        <v>457</v>
      </c>
      <c r="P2698" s="266">
        <v>4800</v>
      </c>
      <c r="Q2698" s="270">
        <v>1</v>
      </c>
      <c r="R2698" s="266">
        <f t="shared" si="67"/>
        <v>4800</v>
      </c>
      <c r="S2698" s="48">
        <v>202303</v>
      </c>
      <c r="T2698" s="125" t="s">
        <v>3618</v>
      </c>
      <c r="U2698" s="58"/>
      <c r="V2698" s="58"/>
      <c r="W2698" s="58"/>
      <c r="X2698" s="111"/>
      <c r="Y2698" s="111"/>
    </row>
    <row r="2699" s="10" customFormat="1" customHeight="1" spans="1:25">
      <c r="A2699" s="60" t="s">
        <v>399</v>
      </c>
      <c r="B2699" s="60" t="s">
        <v>2950</v>
      </c>
      <c r="C2699" s="60" t="s">
        <v>2998</v>
      </c>
      <c r="D2699" s="263" t="s">
        <v>2951</v>
      </c>
      <c r="E2699" s="63" t="s">
        <v>3565</v>
      </c>
      <c r="F2699" s="60" t="s">
        <v>3566</v>
      </c>
      <c r="G2699" s="60" t="s">
        <v>88</v>
      </c>
      <c r="H2699" s="45" t="s">
        <v>3606</v>
      </c>
      <c r="I2699" s="47" t="e">
        <f>VLOOKUP(H2699,'合同综合查询数据（3月返）'!$A:$A,1,FALSE)</f>
        <v>#N/A</v>
      </c>
      <c r="J2699" s="48" t="s">
        <v>3074</v>
      </c>
      <c r="K2699" s="60" t="s">
        <v>3607</v>
      </c>
      <c r="L2699" s="113"/>
      <c r="M2699" s="50" t="s">
        <v>3590</v>
      </c>
      <c r="N2699" s="111">
        <v>43685</v>
      </c>
      <c r="O2699" s="62" t="s">
        <v>457</v>
      </c>
      <c r="P2699" s="266">
        <v>4800</v>
      </c>
      <c r="Q2699" s="270">
        <v>2</v>
      </c>
      <c r="R2699" s="266">
        <f t="shared" si="67"/>
        <v>9600</v>
      </c>
      <c r="S2699" s="48">
        <v>202303</v>
      </c>
      <c r="T2699" s="125" t="s">
        <v>3619</v>
      </c>
      <c r="U2699" s="58"/>
      <c r="V2699" s="58"/>
      <c r="W2699" s="58"/>
      <c r="X2699" s="111"/>
      <c r="Y2699" s="111"/>
    </row>
    <row r="2700" s="10" customFormat="1" customHeight="1" spans="1:25">
      <c r="A2700" s="60" t="s">
        <v>399</v>
      </c>
      <c r="B2700" s="60" t="s">
        <v>2950</v>
      </c>
      <c r="C2700" s="60" t="s">
        <v>2998</v>
      </c>
      <c r="D2700" s="263" t="s">
        <v>2951</v>
      </c>
      <c r="E2700" s="63" t="s">
        <v>3565</v>
      </c>
      <c r="F2700" s="60" t="s">
        <v>3566</v>
      </c>
      <c r="G2700" s="60" t="s">
        <v>88</v>
      </c>
      <c r="H2700" s="45" t="s">
        <v>3606</v>
      </c>
      <c r="I2700" s="47" t="e">
        <f>VLOOKUP(H2700,'合同综合查询数据（3月返）'!$A:$A,1,FALSE)</f>
        <v>#N/A</v>
      </c>
      <c r="J2700" s="48" t="s">
        <v>3074</v>
      </c>
      <c r="K2700" s="60" t="s">
        <v>3607</v>
      </c>
      <c r="L2700" s="113"/>
      <c r="M2700" s="50" t="s">
        <v>3590</v>
      </c>
      <c r="N2700" s="111">
        <v>43710</v>
      </c>
      <c r="O2700" s="62" t="s">
        <v>457</v>
      </c>
      <c r="P2700" s="266">
        <v>4800</v>
      </c>
      <c r="Q2700" s="270">
        <v>2</v>
      </c>
      <c r="R2700" s="266">
        <f t="shared" si="67"/>
        <v>9600</v>
      </c>
      <c r="S2700" s="48">
        <v>202303</v>
      </c>
      <c r="T2700" s="125" t="s">
        <v>3620</v>
      </c>
      <c r="U2700" s="58"/>
      <c r="V2700" s="58"/>
      <c r="W2700" s="58"/>
      <c r="X2700" s="111"/>
      <c r="Y2700" s="111"/>
    </row>
    <row r="2701" s="10" customFormat="1" customHeight="1" spans="1:25">
      <c r="A2701" s="60" t="s">
        <v>399</v>
      </c>
      <c r="B2701" s="60" t="s">
        <v>2950</v>
      </c>
      <c r="C2701" s="60" t="s">
        <v>2998</v>
      </c>
      <c r="D2701" s="263" t="s">
        <v>2951</v>
      </c>
      <c r="E2701" s="63" t="s">
        <v>3565</v>
      </c>
      <c r="F2701" s="60" t="s">
        <v>3566</v>
      </c>
      <c r="G2701" s="60" t="s">
        <v>88</v>
      </c>
      <c r="H2701" s="45" t="s">
        <v>3606</v>
      </c>
      <c r="I2701" s="47" t="e">
        <f>VLOOKUP(H2701,'合同综合查询数据（3月返）'!$A:$A,1,FALSE)</f>
        <v>#N/A</v>
      </c>
      <c r="J2701" s="48" t="s">
        <v>3074</v>
      </c>
      <c r="K2701" s="60" t="s">
        <v>3607</v>
      </c>
      <c r="L2701" s="113"/>
      <c r="M2701" s="50" t="s">
        <v>3590</v>
      </c>
      <c r="N2701" s="111">
        <v>43719</v>
      </c>
      <c r="O2701" s="62" t="s">
        <v>457</v>
      </c>
      <c r="P2701" s="266">
        <v>4800</v>
      </c>
      <c r="Q2701" s="270">
        <v>4</v>
      </c>
      <c r="R2701" s="266">
        <f t="shared" si="67"/>
        <v>19200</v>
      </c>
      <c r="S2701" s="48">
        <v>202303</v>
      </c>
      <c r="T2701" s="125" t="s">
        <v>3621</v>
      </c>
      <c r="U2701" s="58"/>
      <c r="V2701" s="58"/>
      <c r="W2701" s="58"/>
      <c r="X2701" s="111"/>
      <c r="Y2701" s="111"/>
    </row>
    <row r="2702" s="10" customFormat="1" customHeight="1" spans="1:25">
      <c r="A2702" s="60" t="s">
        <v>399</v>
      </c>
      <c r="B2702" s="60" t="s">
        <v>2950</v>
      </c>
      <c r="C2702" s="60" t="s">
        <v>2998</v>
      </c>
      <c r="D2702" s="263" t="s">
        <v>2951</v>
      </c>
      <c r="E2702" s="63" t="s">
        <v>3565</v>
      </c>
      <c r="F2702" s="60" t="s">
        <v>3566</v>
      </c>
      <c r="G2702" s="60" t="s">
        <v>88</v>
      </c>
      <c r="H2702" s="45" t="s">
        <v>3606</v>
      </c>
      <c r="I2702" s="47" t="e">
        <f>VLOOKUP(H2702,'合同综合查询数据（3月返）'!$A:$A,1,FALSE)</f>
        <v>#N/A</v>
      </c>
      <c r="J2702" s="48" t="s">
        <v>3074</v>
      </c>
      <c r="K2702" s="60" t="s">
        <v>3607</v>
      </c>
      <c r="L2702" s="113"/>
      <c r="M2702" s="50" t="s">
        <v>3590</v>
      </c>
      <c r="N2702" s="111">
        <v>43712</v>
      </c>
      <c r="O2702" s="62" t="s">
        <v>457</v>
      </c>
      <c r="P2702" s="266">
        <v>4800</v>
      </c>
      <c r="Q2702" s="270">
        <v>-1</v>
      </c>
      <c r="R2702" s="266">
        <f t="shared" si="67"/>
        <v>-4800</v>
      </c>
      <c r="S2702" s="48">
        <v>202303</v>
      </c>
      <c r="T2702" s="125" t="s">
        <v>3622</v>
      </c>
      <c r="U2702" s="58"/>
      <c r="V2702" s="58"/>
      <c r="W2702" s="58"/>
      <c r="X2702" s="111"/>
      <c r="Y2702" s="111"/>
    </row>
    <row r="2703" s="10" customFormat="1" customHeight="1" spans="1:25">
      <c r="A2703" s="60" t="s">
        <v>399</v>
      </c>
      <c r="B2703" s="60" t="s">
        <v>2950</v>
      </c>
      <c r="C2703" s="60" t="s">
        <v>2998</v>
      </c>
      <c r="D2703" s="263" t="s">
        <v>2951</v>
      </c>
      <c r="E2703" s="63" t="s">
        <v>3565</v>
      </c>
      <c r="F2703" s="60" t="s">
        <v>3566</v>
      </c>
      <c r="G2703" s="60" t="s">
        <v>88</v>
      </c>
      <c r="H2703" s="45" t="s">
        <v>3606</v>
      </c>
      <c r="I2703" s="47" t="e">
        <f>VLOOKUP(H2703,'合同综合查询数据（3月返）'!$A:$A,1,FALSE)</f>
        <v>#N/A</v>
      </c>
      <c r="J2703" s="48" t="s">
        <v>3074</v>
      </c>
      <c r="K2703" s="60" t="s">
        <v>3607</v>
      </c>
      <c r="L2703" s="113"/>
      <c r="M2703" s="50" t="s">
        <v>3590</v>
      </c>
      <c r="N2703" s="111">
        <v>43716</v>
      </c>
      <c r="O2703" s="62" t="s">
        <v>457</v>
      </c>
      <c r="P2703" s="266">
        <v>4800</v>
      </c>
      <c r="Q2703" s="270">
        <v>-16</v>
      </c>
      <c r="R2703" s="266">
        <f t="shared" si="67"/>
        <v>-76800</v>
      </c>
      <c r="S2703" s="48">
        <v>202303</v>
      </c>
      <c r="T2703" s="125" t="s">
        <v>3623</v>
      </c>
      <c r="U2703" s="58"/>
      <c r="V2703" s="58"/>
      <c r="W2703" s="58"/>
      <c r="X2703" s="111"/>
      <c r="Y2703" s="111"/>
    </row>
    <row r="2704" s="10" customFormat="1" customHeight="1" spans="1:25">
      <c r="A2704" s="60" t="s">
        <v>399</v>
      </c>
      <c r="B2704" s="60" t="s">
        <v>2950</v>
      </c>
      <c r="C2704" s="60" t="s">
        <v>2998</v>
      </c>
      <c r="D2704" s="263" t="s">
        <v>2951</v>
      </c>
      <c r="E2704" s="63" t="s">
        <v>3565</v>
      </c>
      <c r="F2704" s="60" t="s">
        <v>3566</v>
      </c>
      <c r="G2704" s="60" t="s">
        <v>88</v>
      </c>
      <c r="H2704" s="45" t="s">
        <v>3606</v>
      </c>
      <c r="I2704" s="47" t="e">
        <f>VLOOKUP(H2704,'合同综合查询数据（3月返）'!$A:$A,1,FALSE)</f>
        <v>#N/A</v>
      </c>
      <c r="J2704" s="48" t="s">
        <v>3074</v>
      </c>
      <c r="K2704" s="60" t="s">
        <v>3607</v>
      </c>
      <c r="L2704" s="113"/>
      <c r="M2704" s="50" t="s">
        <v>3590</v>
      </c>
      <c r="N2704" s="111">
        <v>43802</v>
      </c>
      <c r="O2704" s="62" t="s">
        <v>457</v>
      </c>
      <c r="P2704" s="266">
        <v>4800</v>
      </c>
      <c r="Q2704" s="270">
        <v>-6</v>
      </c>
      <c r="R2704" s="266">
        <f t="shared" si="67"/>
        <v>-28800</v>
      </c>
      <c r="S2704" s="48">
        <v>202303</v>
      </c>
      <c r="T2704" s="125" t="s">
        <v>3624</v>
      </c>
      <c r="U2704" s="58"/>
      <c r="V2704" s="58"/>
      <c r="W2704" s="58"/>
      <c r="X2704" s="111"/>
      <c r="Y2704" s="111"/>
    </row>
    <row r="2705" s="10" customFormat="1" customHeight="1" spans="1:25">
      <c r="A2705" s="60" t="s">
        <v>399</v>
      </c>
      <c r="B2705" s="60" t="s">
        <v>2950</v>
      </c>
      <c r="C2705" s="60" t="s">
        <v>2998</v>
      </c>
      <c r="D2705" s="263" t="s">
        <v>2951</v>
      </c>
      <c r="E2705" s="63" t="s">
        <v>3565</v>
      </c>
      <c r="F2705" s="60" t="s">
        <v>3566</v>
      </c>
      <c r="G2705" s="60" t="s">
        <v>88</v>
      </c>
      <c r="H2705" s="45" t="s">
        <v>3606</v>
      </c>
      <c r="I2705" s="47" t="e">
        <f>VLOOKUP(H2705,'合同综合查询数据（3月返）'!$A:$A,1,FALSE)</f>
        <v>#N/A</v>
      </c>
      <c r="J2705" s="48" t="s">
        <v>3074</v>
      </c>
      <c r="K2705" s="60" t="s">
        <v>3607</v>
      </c>
      <c r="L2705" s="113"/>
      <c r="M2705" s="50" t="s">
        <v>3590</v>
      </c>
      <c r="N2705" s="111">
        <v>43913</v>
      </c>
      <c r="O2705" s="62" t="s">
        <v>457</v>
      </c>
      <c r="P2705" s="266">
        <v>4800</v>
      </c>
      <c r="Q2705" s="270">
        <v>1</v>
      </c>
      <c r="R2705" s="266">
        <f t="shared" si="67"/>
        <v>4800</v>
      </c>
      <c r="S2705" s="48">
        <v>202303</v>
      </c>
      <c r="T2705" s="125" t="s">
        <v>3625</v>
      </c>
      <c r="U2705" s="58"/>
      <c r="V2705" s="58"/>
      <c r="W2705" s="58"/>
      <c r="X2705" s="111"/>
      <c r="Y2705" s="111"/>
    </row>
    <row r="2706" s="10" customFormat="1" customHeight="1" spans="1:25">
      <c r="A2706" s="60" t="s">
        <v>399</v>
      </c>
      <c r="B2706" s="60" t="s">
        <v>2950</v>
      </c>
      <c r="C2706" s="60" t="s">
        <v>2998</v>
      </c>
      <c r="D2706" s="263" t="s">
        <v>2951</v>
      </c>
      <c r="E2706" s="63" t="s">
        <v>3565</v>
      </c>
      <c r="F2706" s="60" t="s">
        <v>3566</v>
      </c>
      <c r="G2706" s="60" t="s">
        <v>88</v>
      </c>
      <c r="H2706" s="45" t="s">
        <v>3606</v>
      </c>
      <c r="I2706" s="47" t="e">
        <f>VLOOKUP(H2706,'合同综合查询数据（3月返）'!$A:$A,1,FALSE)</f>
        <v>#N/A</v>
      </c>
      <c r="J2706" s="48" t="s">
        <v>3074</v>
      </c>
      <c r="K2706" s="60" t="s">
        <v>3607</v>
      </c>
      <c r="L2706" s="113"/>
      <c r="M2706" s="50" t="s">
        <v>3590</v>
      </c>
      <c r="N2706" s="111">
        <v>43999</v>
      </c>
      <c r="O2706" s="62" t="s">
        <v>457</v>
      </c>
      <c r="P2706" s="266">
        <v>4800</v>
      </c>
      <c r="Q2706" s="270">
        <v>2</v>
      </c>
      <c r="R2706" s="266">
        <f t="shared" si="67"/>
        <v>9600</v>
      </c>
      <c r="S2706" s="48">
        <v>202303</v>
      </c>
      <c r="T2706" s="125" t="s">
        <v>3626</v>
      </c>
      <c r="U2706" s="58"/>
      <c r="V2706" s="58"/>
      <c r="W2706" s="58"/>
      <c r="X2706" s="111"/>
      <c r="Y2706" s="111"/>
    </row>
    <row r="2707" s="10" customFormat="1" customHeight="1" spans="1:25">
      <c r="A2707" s="60" t="s">
        <v>399</v>
      </c>
      <c r="B2707" s="60" t="s">
        <v>2950</v>
      </c>
      <c r="C2707" s="60" t="s">
        <v>2998</v>
      </c>
      <c r="D2707" s="263" t="s">
        <v>2951</v>
      </c>
      <c r="E2707" s="63" t="s">
        <v>3565</v>
      </c>
      <c r="F2707" s="60" t="s">
        <v>3566</v>
      </c>
      <c r="G2707" s="60" t="s">
        <v>88</v>
      </c>
      <c r="H2707" s="45" t="s">
        <v>3606</v>
      </c>
      <c r="I2707" s="47" t="e">
        <f>VLOOKUP(H2707,'合同综合查询数据（3月返）'!$A:$A,1,FALSE)</f>
        <v>#N/A</v>
      </c>
      <c r="J2707" s="48" t="s">
        <v>3074</v>
      </c>
      <c r="K2707" s="60" t="s">
        <v>3607</v>
      </c>
      <c r="L2707" s="113"/>
      <c r="M2707" s="50" t="s">
        <v>3590</v>
      </c>
      <c r="N2707" s="111">
        <v>44175</v>
      </c>
      <c r="O2707" s="62" t="s">
        <v>457</v>
      </c>
      <c r="P2707" s="266">
        <v>4800</v>
      </c>
      <c r="Q2707" s="270">
        <v>1</v>
      </c>
      <c r="R2707" s="266">
        <f t="shared" si="67"/>
        <v>4800</v>
      </c>
      <c r="S2707" s="48">
        <v>202303</v>
      </c>
      <c r="T2707" s="125" t="s">
        <v>3627</v>
      </c>
      <c r="U2707" s="58"/>
      <c r="V2707" s="58"/>
      <c r="W2707" s="58"/>
      <c r="X2707" s="111"/>
      <c r="Y2707" s="111"/>
    </row>
    <row r="2708" s="10" customFormat="1" customHeight="1" spans="1:25">
      <c r="A2708" s="60" t="s">
        <v>399</v>
      </c>
      <c r="B2708" s="60" t="s">
        <v>2950</v>
      </c>
      <c r="C2708" s="60" t="s">
        <v>2998</v>
      </c>
      <c r="D2708" s="263" t="s">
        <v>2951</v>
      </c>
      <c r="E2708" s="63" t="s">
        <v>3565</v>
      </c>
      <c r="F2708" s="60" t="s">
        <v>3566</v>
      </c>
      <c r="G2708" s="60" t="s">
        <v>88</v>
      </c>
      <c r="H2708" s="45" t="s">
        <v>3606</v>
      </c>
      <c r="I2708" s="47" t="e">
        <f>VLOOKUP(H2708,'合同综合查询数据（3月返）'!$A:$A,1,FALSE)</f>
        <v>#N/A</v>
      </c>
      <c r="J2708" s="48" t="s">
        <v>3074</v>
      </c>
      <c r="K2708" s="60" t="s">
        <v>3607</v>
      </c>
      <c r="L2708" s="113"/>
      <c r="M2708" s="50" t="s">
        <v>3590</v>
      </c>
      <c r="N2708" s="111">
        <v>44272</v>
      </c>
      <c r="O2708" s="62" t="s">
        <v>457</v>
      </c>
      <c r="P2708" s="266">
        <v>4800</v>
      </c>
      <c r="Q2708" s="270">
        <v>2</v>
      </c>
      <c r="R2708" s="266">
        <f t="shared" si="67"/>
        <v>9600</v>
      </c>
      <c r="S2708" s="48">
        <v>202303</v>
      </c>
      <c r="T2708" s="125" t="s">
        <v>3628</v>
      </c>
      <c r="U2708" s="58"/>
      <c r="V2708" s="58"/>
      <c r="W2708" s="58"/>
      <c r="X2708" s="111"/>
      <c r="Y2708" s="111"/>
    </row>
    <row r="2709" s="10" customFormat="1" customHeight="1" spans="1:25">
      <c r="A2709" s="60" t="s">
        <v>399</v>
      </c>
      <c r="B2709" s="60" t="s">
        <v>2950</v>
      </c>
      <c r="C2709" s="60" t="s">
        <v>2998</v>
      </c>
      <c r="D2709" s="263" t="s">
        <v>2951</v>
      </c>
      <c r="E2709" s="63" t="s">
        <v>3565</v>
      </c>
      <c r="F2709" s="60" t="s">
        <v>3566</v>
      </c>
      <c r="G2709" s="60" t="s">
        <v>88</v>
      </c>
      <c r="H2709" s="45" t="s">
        <v>3606</v>
      </c>
      <c r="I2709" s="47" t="e">
        <f>VLOOKUP(H2709,'合同综合查询数据（3月返）'!$A:$A,1,FALSE)</f>
        <v>#N/A</v>
      </c>
      <c r="J2709" s="48" t="s">
        <v>3074</v>
      </c>
      <c r="K2709" s="60" t="s">
        <v>3607</v>
      </c>
      <c r="L2709" s="113"/>
      <c r="M2709" s="50" t="s">
        <v>3590</v>
      </c>
      <c r="N2709" s="111">
        <v>44273</v>
      </c>
      <c r="O2709" s="309" t="s">
        <v>3629</v>
      </c>
      <c r="P2709" s="266">
        <v>9601</v>
      </c>
      <c r="Q2709" s="270">
        <v>1</v>
      </c>
      <c r="R2709" s="266">
        <f t="shared" si="67"/>
        <v>9601</v>
      </c>
      <c r="S2709" s="48">
        <v>202303</v>
      </c>
      <c r="T2709" s="125" t="s">
        <v>3630</v>
      </c>
      <c r="U2709" s="58"/>
      <c r="V2709" s="58"/>
      <c r="W2709" s="58"/>
      <c r="X2709" s="111"/>
      <c r="Y2709" s="111"/>
    </row>
    <row r="2710" s="10" customFormat="1" customHeight="1" spans="1:25">
      <c r="A2710" s="60" t="s">
        <v>399</v>
      </c>
      <c r="B2710" s="60" t="s">
        <v>2950</v>
      </c>
      <c r="C2710" s="60" t="s">
        <v>2998</v>
      </c>
      <c r="D2710" s="263" t="s">
        <v>2951</v>
      </c>
      <c r="E2710" s="63" t="s">
        <v>3565</v>
      </c>
      <c r="F2710" s="60" t="s">
        <v>3566</v>
      </c>
      <c r="G2710" s="60" t="s">
        <v>88</v>
      </c>
      <c r="H2710" s="45" t="s">
        <v>3606</v>
      </c>
      <c r="I2710" s="47" t="e">
        <f>VLOOKUP(H2710,'合同综合查询数据（3月返）'!$A:$A,1,FALSE)</f>
        <v>#N/A</v>
      </c>
      <c r="J2710" s="48" t="s">
        <v>3074</v>
      </c>
      <c r="K2710" s="60" t="s">
        <v>3607</v>
      </c>
      <c r="L2710" s="113"/>
      <c r="M2710" s="50" t="s">
        <v>3590</v>
      </c>
      <c r="N2710" s="111">
        <v>44281</v>
      </c>
      <c r="O2710" s="309" t="s">
        <v>457</v>
      </c>
      <c r="P2710" s="266">
        <v>4800</v>
      </c>
      <c r="Q2710" s="270">
        <v>8</v>
      </c>
      <c r="R2710" s="266">
        <f t="shared" si="67"/>
        <v>38400</v>
      </c>
      <c r="S2710" s="48">
        <v>202303</v>
      </c>
      <c r="T2710" s="125" t="s">
        <v>3631</v>
      </c>
      <c r="U2710" s="58"/>
      <c r="V2710" s="58"/>
      <c r="W2710" s="58"/>
      <c r="X2710" s="111"/>
      <c r="Y2710" s="111"/>
    </row>
    <row r="2711" s="10" customFormat="1" customHeight="1" spans="1:25">
      <c r="A2711" s="60" t="s">
        <v>399</v>
      </c>
      <c r="B2711" s="60" t="s">
        <v>2950</v>
      </c>
      <c r="C2711" s="60" t="s">
        <v>2998</v>
      </c>
      <c r="D2711" s="263" t="s">
        <v>2951</v>
      </c>
      <c r="E2711" s="63" t="s">
        <v>3565</v>
      </c>
      <c r="F2711" s="60" t="s">
        <v>3566</v>
      </c>
      <c r="G2711" s="60" t="s">
        <v>88</v>
      </c>
      <c r="H2711" s="45" t="s">
        <v>3606</v>
      </c>
      <c r="I2711" s="47" t="e">
        <f>VLOOKUP(H2711,'合同综合查询数据（3月返）'!$A:$A,1,FALSE)</f>
        <v>#N/A</v>
      </c>
      <c r="J2711" s="48" t="s">
        <v>3074</v>
      </c>
      <c r="K2711" s="60" t="s">
        <v>3607</v>
      </c>
      <c r="L2711" s="113"/>
      <c r="M2711" s="50" t="s">
        <v>3590</v>
      </c>
      <c r="N2711" s="111">
        <v>44305</v>
      </c>
      <c r="O2711" s="309" t="s">
        <v>457</v>
      </c>
      <c r="P2711" s="266">
        <v>4800</v>
      </c>
      <c r="Q2711" s="270">
        <v>1</v>
      </c>
      <c r="R2711" s="266">
        <f t="shared" si="67"/>
        <v>4800</v>
      </c>
      <c r="S2711" s="48">
        <v>202303</v>
      </c>
      <c r="T2711" s="125" t="s">
        <v>3632</v>
      </c>
      <c r="U2711" s="58"/>
      <c r="V2711" s="58"/>
      <c r="W2711" s="58"/>
      <c r="X2711" s="111"/>
      <c r="Y2711" s="111"/>
    </row>
    <row r="2712" s="10" customFormat="1" customHeight="1" spans="1:25">
      <c r="A2712" s="60" t="s">
        <v>399</v>
      </c>
      <c r="B2712" s="60" t="s">
        <v>2950</v>
      </c>
      <c r="C2712" s="60" t="s">
        <v>2998</v>
      </c>
      <c r="D2712" s="263" t="s">
        <v>2951</v>
      </c>
      <c r="E2712" s="63" t="s">
        <v>3565</v>
      </c>
      <c r="F2712" s="60" t="s">
        <v>3566</v>
      </c>
      <c r="G2712" s="60" t="s">
        <v>88</v>
      </c>
      <c r="H2712" s="45" t="s">
        <v>3606</v>
      </c>
      <c r="I2712" s="47" t="e">
        <f>VLOOKUP(H2712,'合同综合查询数据（3月返）'!$A:$A,1,FALSE)</f>
        <v>#N/A</v>
      </c>
      <c r="J2712" s="48" t="s">
        <v>3074</v>
      </c>
      <c r="K2712" s="60" t="s">
        <v>3607</v>
      </c>
      <c r="L2712" s="113"/>
      <c r="M2712" s="50" t="s">
        <v>3590</v>
      </c>
      <c r="N2712" s="111">
        <v>44352</v>
      </c>
      <c r="O2712" s="309" t="s">
        <v>457</v>
      </c>
      <c r="P2712" s="266">
        <v>4800</v>
      </c>
      <c r="Q2712" s="270">
        <v>-4</v>
      </c>
      <c r="R2712" s="266">
        <f t="shared" si="67"/>
        <v>-19200</v>
      </c>
      <c r="S2712" s="48">
        <v>202303</v>
      </c>
      <c r="T2712" s="125" t="s">
        <v>3633</v>
      </c>
      <c r="U2712" s="58"/>
      <c r="V2712" s="58"/>
      <c r="W2712" s="58"/>
      <c r="X2712" s="111"/>
      <c r="Y2712" s="111"/>
    </row>
    <row r="2713" s="10" customFormat="1" customHeight="1" spans="1:25">
      <c r="A2713" s="60" t="s">
        <v>399</v>
      </c>
      <c r="B2713" s="60" t="s">
        <v>2950</v>
      </c>
      <c r="C2713" s="60" t="s">
        <v>2998</v>
      </c>
      <c r="D2713" s="263" t="s">
        <v>2951</v>
      </c>
      <c r="E2713" s="63" t="s">
        <v>3565</v>
      </c>
      <c r="F2713" s="60" t="s">
        <v>3566</v>
      </c>
      <c r="G2713" s="60" t="s">
        <v>88</v>
      </c>
      <c r="H2713" s="45" t="s">
        <v>3606</v>
      </c>
      <c r="I2713" s="47" t="e">
        <f>VLOOKUP(H2713,'合同综合查询数据（3月返）'!$A:$A,1,FALSE)</f>
        <v>#N/A</v>
      </c>
      <c r="J2713" s="48" t="s">
        <v>3074</v>
      </c>
      <c r="K2713" s="60" t="s">
        <v>3607</v>
      </c>
      <c r="L2713" s="113"/>
      <c r="M2713" s="50" t="s">
        <v>3590</v>
      </c>
      <c r="N2713" s="111">
        <v>44590</v>
      </c>
      <c r="O2713" s="309" t="s">
        <v>457</v>
      </c>
      <c r="P2713" s="266">
        <v>4800</v>
      </c>
      <c r="Q2713" s="270">
        <v>2</v>
      </c>
      <c r="R2713" s="266">
        <f t="shared" si="67"/>
        <v>9600</v>
      </c>
      <c r="S2713" s="48">
        <v>202303</v>
      </c>
      <c r="T2713" s="125" t="s">
        <v>3634</v>
      </c>
      <c r="U2713" s="58"/>
      <c r="V2713" s="58"/>
      <c r="W2713" s="58"/>
      <c r="X2713" s="111"/>
      <c r="Y2713" s="111"/>
    </row>
    <row r="2714" s="10" customFormat="1" customHeight="1" spans="1:25">
      <c r="A2714" s="60" t="s">
        <v>399</v>
      </c>
      <c r="B2714" s="60" t="s">
        <v>2950</v>
      </c>
      <c r="C2714" s="60" t="s">
        <v>2998</v>
      </c>
      <c r="D2714" s="263" t="s">
        <v>2951</v>
      </c>
      <c r="E2714" s="63" t="s">
        <v>3565</v>
      </c>
      <c r="F2714" s="60" t="s">
        <v>3566</v>
      </c>
      <c r="G2714" s="60" t="s">
        <v>88</v>
      </c>
      <c r="H2714" s="45" t="s">
        <v>3606</v>
      </c>
      <c r="I2714" s="47" t="e">
        <f>VLOOKUP(H2714,'合同综合查询数据（3月返）'!$A:$A,1,FALSE)</f>
        <v>#N/A</v>
      </c>
      <c r="J2714" s="48" t="s">
        <v>3074</v>
      </c>
      <c r="K2714" s="60" t="s">
        <v>3607</v>
      </c>
      <c r="L2714" s="113"/>
      <c r="M2714" s="50" t="s">
        <v>3590</v>
      </c>
      <c r="N2714" s="111">
        <v>44617</v>
      </c>
      <c r="O2714" s="309" t="s">
        <v>457</v>
      </c>
      <c r="P2714" s="266">
        <v>4800</v>
      </c>
      <c r="Q2714" s="270">
        <v>2</v>
      </c>
      <c r="R2714" s="266">
        <f t="shared" si="67"/>
        <v>9600</v>
      </c>
      <c r="S2714" s="48">
        <v>202303</v>
      </c>
      <c r="T2714" s="125" t="s">
        <v>3635</v>
      </c>
      <c r="U2714" s="58"/>
      <c r="V2714" s="58"/>
      <c r="W2714" s="58"/>
      <c r="X2714" s="111"/>
      <c r="Y2714" s="111"/>
    </row>
    <row r="2715" s="10" customFormat="1" customHeight="1" spans="1:25">
      <c r="A2715" s="60" t="s">
        <v>399</v>
      </c>
      <c r="B2715" s="60" t="s">
        <v>2950</v>
      </c>
      <c r="C2715" s="60" t="s">
        <v>2998</v>
      </c>
      <c r="D2715" s="263" t="s">
        <v>2951</v>
      </c>
      <c r="E2715" s="63" t="s">
        <v>3565</v>
      </c>
      <c r="F2715" s="60" t="s">
        <v>3566</v>
      </c>
      <c r="G2715" s="60" t="s">
        <v>88</v>
      </c>
      <c r="H2715" s="45" t="s">
        <v>3606</v>
      </c>
      <c r="I2715" s="47" t="e">
        <f>VLOOKUP(H2715,'合同综合查询数据（3月返）'!$A:$A,1,FALSE)</f>
        <v>#N/A</v>
      </c>
      <c r="J2715" s="48" t="s">
        <v>3074</v>
      </c>
      <c r="K2715" s="60" t="s">
        <v>3607</v>
      </c>
      <c r="L2715" s="113"/>
      <c r="M2715" s="50" t="s">
        <v>3590</v>
      </c>
      <c r="N2715" s="111">
        <v>44636</v>
      </c>
      <c r="O2715" s="309" t="s">
        <v>457</v>
      </c>
      <c r="P2715" s="266">
        <v>4800</v>
      </c>
      <c r="Q2715" s="270">
        <v>2</v>
      </c>
      <c r="R2715" s="266">
        <f t="shared" si="67"/>
        <v>9600</v>
      </c>
      <c r="S2715" s="48">
        <v>202303</v>
      </c>
      <c r="T2715" s="125" t="s">
        <v>3636</v>
      </c>
      <c r="U2715" s="58"/>
      <c r="V2715" s="58"/>
      <c r="W2715" s="58"/>
      <c r="X2715" s="111"/>
      <c r="Y2715" s="111"/>
    </row>
    <row r="2716" s="10" customFormat="1" customHeight="1" spans="1:25">
      <c r="A2716" s="60" t="s">
        <v>399</v>
      </c>
      <c r="B2716" s="60" t="s">
        <v>2950</v>
      </c>
      <c r="C2716" s="60" t="s">
        <v>2998</v>
      </c>
      <c r="D2716" s="263" t="s">
        <v>2951</v>
      </c>
      <c r="E2716" s="63" t="s">
        <v>3565</v>
      </c>
      <c r="F2716" s="60" t="s">
        <v>3566</v>
      </c>
      <c r="G2716" s="60" t="s">
        <v>88</v>
      </c>
      <c r="H2716" s="45" t="s">
        <v>3606</v>
      </c>
      <c r="I2716" s="47" t="e">
        <f>VLOOKUP(H2716,'合同综合查询数据（3月返）'!$A:$A,1,FALSE)</f>
        <v>#N/A</v>
      </c>
      <c r="J2716" s="48" t="s">
        <v>3074</v>
      </c>
      <c r="K2716" s="60" t="s">
        <v>3607</v>
      </c>
      <c r="L2716" s="113"/>
      <c r="M2716" s="50" t="s">
        <v>3590</v>
      </c>
      <c r="N2716" s="111">
        <v>44671</v>
      </c>
      <c r="O2716" s="309" t="s">
        <v>457</v>
      </c>
      <c r="P2716" s="266">
        <v>4800</v>
      </c>
      <c r="Q2716" s="270">
        <v>2</v>
      </c>
      <c r="R2716" s="266">
        <f t="shared" si="67"/>
        <v>9600</v>
      </c>
      <c r="S2716" s="48">
        <v>202303</v>
      </c>
      <c r="T2716" s="125" t="s">
        <v>3637</v>
      </c>
      <c r="U2716" s="58"/>
      <c r="V2716" s="58"/>
      <c r="W2716" s="58"/>
      <c r="X2716" s="111"/>
      <c r="Y2716" s="111"/>
    </row>
    <row r="2717" s="10" customFormat="1" customHeight="1" spans="1:25">
      <c r="A2717" s="60" t="s">
        <v>399</v>
      </c>
      <c r="B2717" s="60" t="s">
        <v>2950</v>
      </c>
      <c r="C2717" s="60" t="s">
        <v>2998</v>
      </c>
      <c r="D2717" s="263" t="s">
        <v>2951</v>
      </c>
      <c r="E2717" s="63" t="s">
        <v>3565</v>
      </c>
      <c r="F2717" s="60" t="s">
        <v>3566</v>
      </c>
      <c r="G2717" s="60" t="s">
        <v>88</v>
      </c>
      <c r="H2717" s="45" t="s">
        <v>3606</v>
      </c>
      <c r="I2717" s="47" t="e">
        <f>VLOOKUP(H2717,'合同综合查询数据（3月返）'!$A:$A,1,FALSE)</f>
        <v>#N/A</v>
      </c>
      <c r="J2717" s="48" t="s">
        <v>3074</v>
      </c>
      <c r="K2717" s="60" t="s">
        <v>3607</v>
      </c>
      <c r="L2717" s="113"/>
      <c r="M2717" s="50" t="s">
        <v>3590</v>
      </c>
      <c r="N2717" s="111">
        <v>43717</v>
      </c>
      <c r="O2717" s="62" t="s">
        <v>3608</v>
      </c>
      <c r="P2717" s="266">
        <v>8728</v>
      </c>
      <c r="Q2717" s="270">
        <v>-2</v>
      </c>
      <c r="R2717" s="266">
        <f t="shared" si="67"/>
        <v>-17456</v>
      </c>
      <c r="S2717" s="48">
        <v>202303</v>
      </c>
      <c r="T2717" s="125" t="s">
        <v>3638</v>
      </c>
      <c r="U2717" s="58"/>
      <c r="V2717" s="58"/>
      <c r="W2717" s="58"/>
      <c r="X2717" s="111"/>
      <c r="Y2717" s="111"/>
    </row>
    <row r="2718" s="10" customFormat="1" customHeight="1" spans="1:25">
      <c r="A2718" s="60" t="s">
        <v>399</v>
      </c>
      <c r="B2718" s="60" t="s">
        <v>2950</v>
      </c>
      <c r="C2718" s="60" t="s">
        <v>2998</v>
      </c>
      <c r="D2718" s="263" t="s">
        <v>2951</v>
      </c>
      <c r="E2718" s="63" t="s">
        <v>3565</v>
      </c>
      <c r="F2718" s="60" t="s">
        <v>3566</v>
      </c>
      <c r="G2718" s="60" t="s">
        <v>88</v>
      </c>
      <c r="H2718" s="45" t="s">
        <v>3606</v>
      </c>
      <c r="I2718" s="47" t="e">
        <f>VLOOKUP(H2718,'合同综合查询数据（3月返）'!$A:$A,1,FALSE)</f>
        <v>#N/A</v>
      </c>
      <c r="J2718" s="48" t="s">
        <v>3074</v>
      </c>
      <c r="K2718" s="60" t="s">
        <v>3607</v>
      </c>
      <c r="L2718" s="113"/>
      <c r="M2718" s="50" t="s">
        <v>3590</v>
      </c>
      <c r="N2718" s="111">
        <v>43718</v>
      </c>
      <c r="O2718" s="62" t="s">
        <v>511</v>
      </c>
      <c r="P2718" s="266">
        <v>9819</v>
      </c>
      <c r="Q2718" s="270">
        <v>2</v>
      </c>
      <c r="R2718" s="266">
        <f t="shared" si="67"/>
        <v>19638</v>
      </c>
      <c r="S2718" s="48">
        <v>202303</v>
      </c>
      <c r="T2718" s="125" t="s">
        <v>3639</v>
      </c>
      <c r="U2718" s="58"/>
      <c r="V2718" s="58"/>
      <c r="W2718" s="58"/>
      <c r="X2718" s="111"/>
      <c r="Y2718" s="111"/>
    </row>
    <row r="2719" s="10" customFormat="1" customHeight="1" spans="1:25">
      <c r="A2719" s="60" t="s">
        <v>399</v>
      </c>
      <c r="B2719" s="60" t="s">
        <v>2950</v>
      </c>
      <c r="C2719" s="60" t="s">
        <v>2998</v>
      </c>
      <c r="D2719" s="263" t="s">
        <v>2951</v>
      </c>
      <c r="E2719" s="63" t="s">
        <v>3565</v>
      </c>
      <c r="F2719" s="60" t="s">
        <v>3566</v>
      </c>
      <c r="G2719" s="60" t="s">
        <v>88</v>
      </c>
      <c r="H2719" s="45" t="s">
        <v>3606</v>
      </c>
      <c r="I2719" s="47" t="e">
        <f>VLOOKUP(H2719,'合同综合查询数据（3月返）'!$A:$A,1,FALSE)</f>
        <v>#N/A</v>
      </c>
      <c r="J2719" s="48" t="s">
        <v>3074</v>
      </c>
      <c r="K2719" s="60" t="s">
        <v>3607</v>
      </c>
      <c r="L2719" s="113"/>
      <c r="M2719" s="50" t="s">
        <v>3590</v>
      </c>
      <c r="N2719" s="111">
        <v>44642</v>
      </c>
      <c r="O2719" s="62" t="s">
        <v>3608</v>
      </c>
      <c r="P2719" s="266">
        <v>8728</v>
      </c>
      <c r="Q2719" s="270">
        <v>-2</v>
      </c>
      <c r="R2719" s="266">
        <f t="shared" si="67"/>
        <v>-17456</v>
      </c>
      <c r="S2719" s="48">
        <v>202303</v>
      </c>
      <c r="T2719" s="125" t="s">
        <v>3640</v>
      </c>
      <c r="U2719" s="58"/>
      <c r="V2719" s="58"/>
      <c r="W2719" s="58"/>
      <c r="X2719" s="111"/>
      <c r="Y2719" s="111"/>
    </row>
    <row r="2720" s="10" customFormat="1" customHeight="1" spans="1:25">
      <c r="A2720" s="60" t="s">
        <v>399</v>
      </c>
      <c r="B2720" s="60" t="s">
        <v>2950</v>
      </c>
      <c r="C2720" s="60" t="s">
        <v>2998</v>
      </c>
      <c r="D2720" s="263" t="s">
        <v>2951</v>
      </c>
      <c r="E2720" s="63" t="s">
        <v>3565</v>
      </c>
      <c r="F2720" s="60" t="s">
        <v>3566</v>
      </c>
      <c r="G2720" s="60" t="s">
        <v>88</v>
      </c>
      <c r="H2720" s="45" t="s">
        <v>3606</v>
      </c>
      <c r="I2720" s="47" t="e">
        <f>VLOOKUP(H2720,'合同综合查询数据（3月返）'!$A:$A,1,FALSE)</f>
        <v>#N/A</v>
      </c>
      <c r="J2720" s="48" t="s">
        <v>3074</v>
      </c>
      <c r="K2720" s="60" t="s">
        <v>3607</v>
      </c>
      <c r="L2720" s="113"/>
      <c r="M2720" s="50" t="s">
        <v>3590</v>
      </c>
      <c r="N2720" s="111">
        <v>44642</v>
      </c>
      <c r="O2720" s="62" t="s">
        <v>1327</v>
      </c>
      <c r="P2720" s="266">
        <v>19638</v>
      </c>
      <c r="Q2720" s="270">
        <v>2</v>
      </c>
      <c r="R2720" s="266">
        <f t="shared" si="67"/>
        <v>39276</v>
      </c>
      <c r="S2720" s="48">
        <v>202303</v>
      </c>
      <c r="T2720" s="125" t="s">
        <v>3640</v>
      </c>
      <c r="U2720" s="58"/>
      <c r="V2720" s="58"/>
      <c r="W2720" s="58"/>
      <c r="X2720" s="111"/>
      <c r="Y2720" s="111"/>
    </row>
    <row r="2721" s="10" customFormat="1" customHeight="1" spans="1:25">
      <c r="A2721" s="60" t="s">
        <v>399</v>
      </c>
      <c r="B2721" s="60" t="s">
        <v>2950</v>
      </c>
      <c r="C2721" s="60" t="s">
        <v>2998</v>
      </c>
      <c r="D2721" s="263" t="s">
        <v>2951</v>
      </c>
      <c r="E2721" s="63" t="s">
        <v>3565</v>
      </c>
      <c r="F2721" s="60" t="s">
        <v>3566</v>
      </c>
      <c r="G2721" s="60" t="s">
        <v>88</v>
      </c>
      <c r="H2721" s="45" t="s">
        <v>3606</v>
      </c>
      <c r="I2721" s="47" t="e">
        <f>VLOOKUP(H2721,'合同综合查询数据（3月返）'!$A:$A,1,FALSE)</f>
        <v>#N/A</v>
      </c>
      <c r="J2721" s="48" t="s">
        <v>3074</v>
      </c>
      <c r="K2721" s="60" t="s">
        <v>3607</v>
      </c>
      <c r="L2721" s="113"/>
      <c r="M2721" s="50" t="s">
        <v>3590</v>
      </c>
      <c r="N2721" s="111">
        <v>44280</v>
      </c>
      <c r="O2721" s="62" t="s">
        <v>3610</v>
      </c>
      <c r="P2721" s="266">
        <v>14947</v>
      </c>
      <c r="Q2721" s="270">
        <v>-1</v>
      </c>
      <c r="R2721" s="266">
        <f t="shared" si="67"/>
        <v>-14947</v>
      </c>
      <c r="S2721" s="48">
        <v>202303</v>
      </c>
      <c r="T2721" s="125" t="s">
        <v>3641</v>
      </c>
      <c r="U2721" s="58"/>
      <c r="V2721" s="58"/>
      <c r="W2721" s="58"/>
      <c r="X2721" s="111"/>
      <c r="Y2721" s="111"/>
    </row>
    <row r="2722" s="10" customFormat="1" customHeight="1" spans="1:25">
      <c r="A2722" s="60" t="s">
        <v>399</v>
      </c>
      <c r="B2722" s="60" t="s">
        <v>2950</v>
      </c>
      <c r="C2722" s="60" t="s">
        <v>2998</v>
      </c>
      <c r="D2722" s="263" t="s">
        <v>2951</v>
      </c>
      <c r="E2722" s="63" t="s">
        <v>3565</v>
      </c>
      <c r="F2722" s="60" t="s">
        <v>3566</v>
      </c>
      <c r="G2722" s="60" t="s">
        <v>88</v>
      </c>
      <c r="H2722" s="45" t="s">
        <v>3606</v>
      </c>
      <c r="I2722" s="47" t="e">
        <f>VLOOKUP(H2722,'合同综合查询数据（3月返）'!$A:$A,1,FALSE)</f>
        <v>#N/A</v>
      </c>
      <c r="J2722" s="48" t="s">
        <v>3074</v>
      </c>
      <c r="K2722" s="60" t="s">
        <v>3607</v>
      </c>
      <c r="L2722" s="113"/>
      <c r="M2722" s="50" t="s">
        <v>3590</v>
      </c>
      <c r="N2722" s="111">
        <v>44280</v>
      </c>
      <c r="O2722" s="62" t="s">
        <v>574</v>
      </c>
      <c r="P2722" s="266">
        <v>26184</v>
      </c>
      <c r="Q2722" s="270">
        <v>1</v>
      </c>
      <c r="R2722" s="266">
        <f t="shared" si="67"/>
        <v>26184</v>
      </c>
      <c r="S2722" s="48">
        <v>202303</v>
      </c>
      <c r="T2722" s="125" t="s">
        <v>3641</v>
      </c>
      <c r="U2722" s="58"/>
      <c r="V2722" s="58"/>
      <c r="W2722" s="58"/>
      <c r="X2722" s="111"/>
      <c r="Y2722" s="111"/>
    </row>
    <row r="2723" s="10" customFormat="1" customHeight="1" spans="1:25">
      <c r="A2723" s="60" t="s">
        <v>399</v>
      </c>
      <c r="B2723" s="60" t="s">
        <v>2950</v>
      </c>
      <c r="C2723" s="60" t="s">
        <v>2998</v>
      </c>
      <c r="D2723" s="263" t="s">
        <v>2951</v>
      </c>
      <c r="E2723" s="63" t="s">
        <v>3565</v>
      </c>
      <c r="F2723" s="60" t="s">
        <v>3566</v>
      </c>
      <c r="G2723" s="60" t="s">
        <v>88</v>
      </c>
      <c r="H2723" s="45" t="s">
        <v>3606</v>
      </c>
      <c r="I2723" s="47" t="e">
        <f>VLOOKUP(H2723,'合同综合查询数据（3月返）'!$A:$A,1,FALSE)</f>
        <v>#N/A</v>
      </c>
      <c r="J2723" s="48" t="s">
        <v>3074</v>
      </c>
      <c r="K2723" s="60" t="s">
        <v>3607</v>
      </c>
      <c r="L2723" s="113"/>
      <c r="M2723" s="50" t="s">
        <v>3590</v>
      </c>
      <c r="N2723" s="111">
        <v>44285</v>
      </c>
      <c r="O2723" s="62" t="s">
        <v>3610</v>
      </c>
      <c r="P2723" s="266">
        <v>14947</v>
      </c>
      <c r="Q2723" s="270">
        <v>-1</v>
      </c>
      <c r="R2723" s="266">
        <f t="shared" si="67"/>
        <v>-14947</v>
      </c>
      <c r="S2723" s="48">
        <v>202303</v>
      </c>
      <c r="T2723" s="125" t="s">
        <v>3642</v>
      </c>
      <c r="U2723" s="58"/>
      <c r="V2723" s="58"/>
      <c r="W2723" s="58"/>
      <c r="X2723" s="111"/>
      <c r="Y2723" s="111"/>
    </row>
    <row r="2724" s="10" customFormat="1" customHeight="1" spans="1:25">
      <c r="A2724" s="60" t="s">
        <v>399</v>
      </c>
      <c r="B2724" s="60" t="s">
        <v>2950</v>
      </c>
      <c r="C2724" s="60" t="s">
        <v>2998</v>
      </c>
      <c r="D2724" s="263" t="s">
        <v>2951</v>
      </c>
      <c r="E2724" s="63" t="s">
        <v>3565</v>
      </c>
      <c r="F2724" s="60" t="s">
        <v>3566</v>
      </c>
      <c r="G2724" s="60" t="s">
        <v>88</v>
      </c>
      <c r="H2724" s="45" t="s">
        <v>3606</v>
      </c>
      <c r="I2724" s="47" t="e">
        <f>VLOOKUP(H2724,'合同综合查询数据（3月返）'!$A:$A,1,FALSE)</f>
        <v>#N/A</v>
      </c>
      <c r="J2724" s="48" t="s">
        <v>3074</v>
      </c>
      <c r="K2724" s="60" t="s">
        <v>3607</v>
      </c>
      <c r="L2724" s="113"/>
      <c r="M2724" s="50" t="s">
        <v>3590</v>
      </c>
      <c r="N2724" s="111">
        <v>44285</v>
      </c>
      <c r="O2724" s="62" t="s">
        <v>574</v>
      </c>
      <c r="P2724" s="266">
        <v>26184</v>
      </c>
      <c r="Q2724" s="270">
        <v>1</v>
      </c>
      <c r="R2724" s="266">
        <f t="shared" si="67"/>
        <v>26184</v>
      </c>
      <c r="S2724" s="48">
        <v>202303</v>
      </c>
      <c r="T2724" s="125" t="s">
        <v>3642</v>
      </c>
      <c r="U2724" s="58"/>
      <c r="V2724" s="58"/>
      <c r="W2724" s="58"/>
      <c r="X2724" s="111"/>
      <c r="Y2724" s="111"/>
    </row>
    <row r="2725" s="10" customFormat="1" customHeight="1" spans="1:25">
      <c r="A2725" s="60" t="s">
        <v>399</v>
      </c>
      <c r="B2725" s="60" t="s">
        <v>2950</v>
      </c>
      <c r="C2725" s="60" t="s">
        <v>2998</v>
      </c>
      <c r="D2725" s="263" t="s">
        <v>2951</v>
      </c>
      <c r="E2725" s="63" t="s">
        <v>3565</v>
      </c>
      <c r="F2725" s="60" t="s">
        <v>3566</v>
      </c>
      <c r="G2725" s="60" t="s">
        <v>88</v>
      </c>
      <c r="H2725" s="45" t="s">
        <v>3606</v>
      </c>
      <c r="I2725" s="47" t="e">
        <f>VLOOKUP(H2725,'合同综合查询数据（3月返）'!$A:$A,1,FALSE)</f>
        <v>#N/A</v>
      </c>
      <c r="J2725" s="48" t="s">
        <v>3074</v>
      </c>
      <c r="K2725" s="60" t="s">
        <v>3607</v>
      </c>
      <c r="L2725" s="113"/>
      <c r="M2725" s="50" t="s">
        <v>3590</v>
      </c>
      <c r="N2725" s="111">
        <v>44694</v>
      </c>
      <c r="O2725" s="62" t="s">
        <v>457</v>
      </c>
      <c r="P2725" s="266">
        <v>4800</v>
      </c>
      <c r="Q2725" s="270">
        <v>-3</v>
      </c>
      <c r="R2725" s="266">
        <f t="shared" si="67"/>
        <v>-14400</v>
      </c>
      <c r="S2725" s="48">
        <v>202303</v>
      </c>
      <c r="T2725" s="125" t="s">
        <v>3643</v>
      </c>
      <c r="U2725" s="58"/>
      <c r="V2725" s="58"/>
      <c r="W2725" s="58"/>
      <c r="X2725" s="111"/>
      <c r="Y2725" s="111"/>
    </row>
    <row r="2726" s="10" customFormat="1" customHeight="1" spans="1:25">
      <c r="A2726" s="60" t="s">
        <v>399</v>
      </c>
      <c r="B2726" s="60" t="s">
        <v>2950</v>
      </c>
      <c r="C2726" s="60" t="s">
        <v>2998</v>
      </c>
      <c r="D2726" s="263" t="s">
        <v>2951</v>
      </c>
      <c r="E2726" s="63" t="s">
        <v>3565</v>
      </c>
      <c r="F2726" s="60" t="s">
        <v>3566</v>
      </c>
      <c r="G2726" s="60" t="s">
        <v>88</v>
      </c>
      <c r="H2726" s="45" t="s">
        <v>3606</v>
      </c>
      <c r="I2726" s="47" t="e">
        <f>VLOOKUP(H2726,'合同综合查询数据（3月返）'!$A:$A,1,FALSE)</f>
        <v>#N/A</v>
      </c>
      <c r="J2726" s="48" t="s">
        <v>3074</v>
      </c>
      <c r="K2726" s="60" t="s">
        <v>3607</v>
      </c>
      <c r="L2726" s="113"/>
      <c r="M2726" s="50" t="s">
        <v>3590</v>
      </c>
      <c r="N2726" s="111">
        <v>44789</v>
      </c>
      <c r="O2726" s="62" t="s">
        <v>457</v>
      </c>
      <c r="P2726" s="266">
        <v>4800</v>
      </c>
      <c r="Q2726" s="270">
        <v>-4</v>
      </c>
      <c r="R2726" s="266">
        <f t="shared" si="67"/>
        <v>-19200</v>
      </c>
      <c r="S2726" s="48">
        <v>202303</v>
      </c>
      <c r="T2726" s="125" t="s">
        <v>3644</v>
      </c>
      <c r="U2726" s="58"/>
      <c r="V2726" s="58"/>
      <c r="W2726" s="58"/>
      <c r="X2726" s="111"/>
      <c r="Y2726" s="111"/>
    </row>
    <row r="2727" s="10" customFormat="1" customHeight="1" spans="1:25">
      <c r="A2727" s="60" t="s">
        <v>399</v>
      </c>
      <c r="B2727" s="60" t="s">
        <v>2950</v>
      </c>
      <c r="C2727" s="60" t="s">
        <v>2998</v>
      </c>
      <c r="D2727" s="263" t="s">
        <v>2951</v>
      </c>
      <c r="E2727" s="63" t="s">
        <v>3565</v>
      </c>
      <c r="F2727" s="60" t="s">
        <v>3566</v>
      </c>
      <c r="G2727" s="60" t="s">
        <v>88</v>
      </c>
      <c r="H2727" s="45" t="s">
        <v>3606</v>
      </c>
      <c r="I2727" s="47" t="e">
        <f>VLOOKUP(H2727,'合同综合查询数据（3月返）'!$A:$A,1,FALSE)</f>
        <v>#N/A</v>
      </c>
      <c r="J2727" s="48" t="s">
        <v>3074</v>
      </c>
      <c r="K2727" s="60" t="s">
        <v>3607</v>
      </c>
      <c r="L2727" s="113"/>
      <c r="M2727" s="50" t="s">
        <v>3590</v>
      </c>
      <c r="N2727" s="111">
        <v>44869</v>
      </c>
      <c r="O2727" s="62" t="s">
        <v>457</v>
      </c>
      <c r="P2727" s="266">
        <v>4800</v>
      </c>
      <c r="Q2727" s="270">
        <v>-3</v>
      </c>
      <c r="R2727" s="266">
        <f t="shared" si="67"/>
        <v>-14400</v>
      </c>
      <c r="S2727" s="48">
        <v>202303</v>
      </c>
      <c r="T2727" s="125" t="s">
        <v>3645</v>
      </c>
      <c r="U2727" s="58"/>
      <c r="V2727" s="58"/>
      <c r="W2727" s="58"/>
      <c r="X2727" s="111"/>
      <c r="Y2727" s="111"/>
    </row>
    <row r="2728" s="10" customFormat="1" customHeight="1" spans="1:25">
      <c r="A2728" s="60" t="s">
        <v>399</v>
      </c>
      <c r="B2728" s="60" t="s">
        <v>2950</v>
      </c>
      <c r="C2728" s="60" t="s">
        <v>2998</v>
      </c>
      <c r="D2728" s="263" t="s">
        <v>2951</v>
      </c>
      <c r="E2728" s="63" t="s">
        <v>3565</v>
      </c>
      <c r="F2728" s="60" t="s">
        <v>3566</v>
      </c>
      <c r="G2728" s="60" t="s">
        <v>78</v>
      </c>
      <c r="H2728" s="45" t="s">
        <v>3606</v>
      </c>
      <c r="I2728" s="47" t="e">
        <f>VLOOKUP(H2728,'合同综合查询数据（3月返）'!$A:$A,1,FALSE)</f>
        <v>#N/A</v>
      </c>
      <c r="J2728" s="48" t="s">
        <v>475</v>
      </c>
      <c r="K2728" s="60" t="s">
        <v>3607</v>
      </c>
      <c r="L2728" s="113"/>
      <c r="M2728" s="277" t="s">
        <v>3590</v>
      </c>
      <c r="N2728" s="310">
        <v>0</v>
      </c>
      <c r="O2728" s="58">
        <v>0</v>
      </c>
      <c r="P2728" s="266">
        <v>0</v>
      </c>
      <c r="Q2728" s="270">
        <v>0</v>
      </c>
      <c r="R2728" s="266">
        <f t="shared" si="67"/>
        <v>0</v>
      </c>
      <c r="S2728" s="48">
        <v>202303</v>
      </c>
      <c r="T2728" s="125" t="s">
        <v>3646</v>
      </c>
      <c r="U2728" s="58"/>
      <c r="V2728" s="58"/>
      <c r="W2728" s="58"/>
      <c r="X2728" s="111"/>
      <c r="Y2728" s="111"/>
    </row>
    <row r="2729" s="9" customFormat="1" customHeight="1" spans="1:25">
      <c r="A2729" s="96" t="s">
        <v>399</v>
      </c>
      <c r="B2729" s="96" t="s">
        <v>2950</v>
      </c>
      <c r="C2729" s="96" t="s">
        <v>2998</v>
      </c>
      <c r="D2729" s="265" t="s">
        <v>2951</v>
      </c>
      <c r="E2729" s="105" t="s">
        <v>3565</v>
      </c>
      <c r="F2729" s="96" t="s">
        <v>3566</v>
      </c>
      <c r="G2729" s="96" t="s">
        <v>88</v>
      </c>
      <c r="H2729" s="19" t="s">
        <v>3647</v>
      </c>
      <c r="I2729" s="23" t="e">
        <f>VLOOKUP(H2729,'合同综合查询数据（3月返）'!$A:$A,1,FALSE)</f>
        <v>#N/A</v>
      </c>
      <c r="J2729" s="24" t="s">
        <v>3074</v>
      </c>
      <c r="K2729" s="96" t="s">
        <v>3585</v>
      </c>
      <c r="L2729" s="114"/>
      <c r="M2729" s="26" t="s">
        <v>3568</v>
      </c>
      <c r="N2729" s="106">
        <v>43229</v>
      </c>
      <c r="O2729" s="94" t="s">
        <v>457</v>
      </c>
      <c r="P2729" s="268">
        <v>5950</v>
      </c>
      <c r="Q2729" s="273">
        <v>4</v>
      </c>
      <c r="R2729" s="268">
        <f t="shared" si="67"/>
        <v>23800</v>
      </c>
      <c r="S2729" s="24">
        <v>202303</v>
      </c>
      <c r="T2729" s="127" t="s">
        <v>3648</v>
      </c>
      <c r="U2729" s="40"/>
      <c r="V2729" s="40"/>
      <c r="W2729" s="40"/>
      <c r="X2729" s="106">
        <v>43190</v>
      </c>
      <c r="Y2729" s="106">
        <v>45382</v>
      </c>
    </row>
    <row r="2730" s="9" customFormat="1" customHeight="1" spans="1:25">
      <c r="A2730" s="96" t="s">
        <v>399</v>
      </c>
      <c r="B2730" s="96" t="s">
        <v>2950</v>
      </c>
      <c r="C2730" s="96" t="s">
        <v>2998</v>
      </c>
      <c r="D2730" s="265" t="s">
        <v>2951</v>
      </c>
      <c r="E2730" s="105" t="s">
        <v>3565</v>
      </c>
      <c r="F2730" s="96" t="s">
        <v>3566</v>
      </c>
      <c r="G2730" s="96" t="s">
        <v>88</v>
      </c>
      <c r="H2730" s="19" t="s">
        <v>3647</v>
      </c>
      <c r="I2730" s="23" t="e">
        <f>VLOOKUP(H2730,'合同综合查询数据（3月返）'!$A:$A,1,FALSE)</f>
        <v>#N/A</v>
      </c>
      <c r="J2730" s="24" t="s">
        <v>3074</v>
      </c>
      <c r="K2730" s="96" t="s">
        <v>3585</v>
      </c>
      <c r="L2730" s="114"/>
      <c r="M2730" s="26" t="s">
        <v>3568</v>
      </c>
      <c r="N2730" s="106">
        <v>43250</v>
      </c>
      <c r="O2730" s="94" t="s">
        <v>457</v>
      </c>
      <c r="P2730" s="268">
        <v>5950</v>
      </c>
      <c r="Q2730" s="273">
        <v>3</v>
      </c>
      <c r="R2730" s="268">
        <f t="shared" si="67"/>
        <v>17850</v>
      </c>
      <c r="S2730" s="24">
        <v>202303</v>
      </c>
      <c r="T2730" s="127"/>
      <c r="U2730" s="40"/>
      <c r="V2730" s="40"/>
      <c r="W2730" s="40"/>
      <c r="X2730" s="106">
        <v>43190</v>
      </c>
      <c r="Y2730" s="106">
        <v>45382</v>
      </c>
    </row>
    <row r="2731" s="9" customFormat="1" customHeight="1" spans="1:25">
      <c r="A2731" s="96" t="s">
        <v>399</v>
      </c>
      <c r="B2731" s="96" t="s">
        <v>2950</v>
      </c>
      <c r="C2731" s="96" t="s">
        <v>2998</v>
      </c>
      <c r="D2731" s="265" t="s">
        <v>2951</v>
      </c>
      <c r="E2731" s="105" t="s">
        <v>3565</v>
      </c>
      <c r="F2731" s="96" t="s">
        <v>3566</v>
      </c>
      <c r="G2731" s="96" t="s">
        <v>88</v>
      </c>
      <c r="H2731" s="19" t="s">
        <v>3647</v>
      </c>
      <c r="I2731" s="23" t="e">
        <f>VLOOKUP(H2731,'合同综合查询数据（3月返）'!$A:$A,1,FALSE)</f>
        <v>#N/A</v>
      </c>
      <c r="J2731" s="24" t="s">
        <v>3074</v>
      </c>
      <c r="K2731" s="96" t="s">
        <v>3585</v>
      </c>
      <c r="L2731" s="114"/>
      <c r="M2731" s="26" t="s">
        <v>3568</v>
      </c>
      <c r="N2731" s="106">
        <v>43255</v>
      </c>
      <c r="O2731" s="94" t="s">
        <v>457</v>
      </c>
      <c r="P2731" s="268">
        <v>5950</v>
      </c>
      <c r="Q2731" s="273">
        <v>7</v>
      </c>
      <c r="R2731" s="268">
        <f t="shared" si="67"/>
        <v>41650</v>
      </c>
      <c r="S2731" s="24">
        <v>202303</v>
      </c>
      <c r="T2731" s="127"/>
      <c r="U2731" s="40"/>
      <c r="V2731" s="40"/>
      <c r="W2731" s="40"/>
      <c r="X2731" s="106">
        <v>43190</v>
      </c>
      <c r="Y2731" s="106">
        <v>45382</v>
      </c>
    </row>
    <row r="2732" s="9" customFormat="1" customHeight="1" spans="1:25">
      <c r="A2732" s="96" t="s">
        <v>399</v>
      </c>
      <c r="B2732" s="96" t="s">
        <v>2950</v>
      </c>
      <c r="C2732" s="96" t="s">
        <v>2998</v>
      </c>
      <c r="D2732" s="265" t="s">
        <v>2951</v>
      </c>
      <c r="E2732" s="105" t="s">
        <v>3565</v>
      </c>
      <c r="F2732" s="96" t="s">
        <v>3566</v>
      </c>
      <c r="G2732" s="96" t="s">
        <v>88</v>
      </c>
      <c r="H2732" s="19" t="s">
        <v>3647</v>
      </c>
      <c r="I2732" s="23" t="e">
        <f>VLOOKUP(H2732,'合同综合查询数据（3月返）'!$A:$A,1,FALSE)</f>
        <v>#N/A</v>
      </c>
      <c r="J2732" s="24" t="s">
        <v>3074</v>
      </c>
      <c r="K2732" s="96" t="s">
        <v>3585</v>
      </c>
      <c r="L2732" s="114"/>
      <c r="M2732" s="26" t="s">
        <v>3568</v>
      </c>
      <c r="N2732" s="106">
        <v>43256</v>
      </c>
      <c r="O2732" s="94" t="s">
        <v>457</v>
      </c>
      <c r="P2732" s="268">
        <v>5950</v>
      </c>
      <c r="Q2732" s="273">
        <v>41</v>
      </c>
      <c r="R2732" s="268">
        <f t="shared" si="67"/>
        <v>243950</v>
      </c>
      <c r="S2732" s="24">
        <v>202303</v>
      </c>
      <c r="T2732" s="127"/>
      <c r="U2732" s="40"/>
      <c r="V2732" s="40"/>
      <c r="W2732" s="40"/>
      <c r="X2732" s="106">
        <v>43190</v>
      </c>
      <c r="Y2732" s="106">
        <v>45382</v>
      </c>
    </row>
    <row r="2733" s="9" customFormat="1" customHeight="1" spans="1:25">
      <c r="A2733" s="96" t="s">
        <v>399</v>
      </c>
      <c r="B2733" s="96" t="s">
        <v>2950</v>
      </c>
      <c r="C2733" s="96" t="s">
        <v>2998</v>
      </c>
      <c r="D2733" s="265" t="s">
        <v>2951</v>
      </c>
      <c r="E2733" s="105" t="s">
        <v>3565</v>
      </c>
      <c r="F2733" s="96" t="s">
        <v>3566</v>
      </c>
      <c r="G2733" s="96" t="s">
        <v>88</v>
      </c>
      <c r="H2733" s="19" t="s">
        <v>3647</v>
      </c>
      <c r="I2733" s="23" t="e">
        <f>VLOOKUP(H2733,'合同综合查询数据（3月返）'!$A:$A,1,FALSE)</f>
        <v>#N/A</v>
      </c>
      <c r="J2733" s="24" t="s">
        <v>3074</v>
      </c>
      <c r="K2733" s="96" t="s">
        <v>3585</v>
      </c>
      <c r="L2733" s="114"/>
      <c r="M2733" s="26" t="s">
        <v>3568</v>
      </c>
      <c r="N2733" s="106">
        <v>43263</v>
      </c>
      <c r="O2733" s="94" t="s">
        <v>457</v>
      </c>
      <c r="P2733" s="268">
        <v>5950</v>
      </c>
      <c r="Q2733" s="273">
        <v>20</v>
      </c>
      <c r="R2733" s="268">
        <f t="shared" si="67"/>
        <v>119000</v>
      </c>
      <c r="S2733" s="24">
        <v>202303</v>
      </c>
      <c r="T2733" s="127"/>
      <c r="U2733" s="40"/>
      <c r="V2733" s="40"/>
      <c r="W2733" s="40"/>
      <c r="X2733" s="106">
        <v>43190</v>
      </c>
      <c r="Y2733" s="106">
        <v>45382</v>
      </c>
    </row>
    <row r="2734" s="9" customFormat="1" customHeight="1" spans="1:25">
      <c r="A2734" s="96" t="s">
        <v>399</v>
      </c>
      <c r="B2734" s="96" t="s">
        <v>2950</v>
      </c>
      <c r="C2734" s="96" t="s">
        <v>2998</v>
      </c>
      <c r="D2734" s="265" t="s">
        <v>2951</v>
      </c>
      <c r="E2734" s="105" t="s">
        <v>3565</v>
      </c>
      <c r="F2734" s="96" t="s">
        <v>3566</v>
      </c>
      <c r="G2734" s="96" t="s">
        <v>88</v>
      </c>
      <c r="H2734" s="19" t="s">
        <v>3647</v>
      </c>
      <c r="I2734" s="23" t="e">
        <f>VLOOKUP(H2734,'合同综合查询数据（3月返）'!$A:$A,1,FALSE)</f>
        <v>#N/A</v>
      </c>
      <c r="J2734" s="24" t="s">
        <v>3074</v>
      </c>
      <c r="K2734" s="96" t="s">
        <v>3585</v>
      </c>
      <c r="L2734" s="114"/>
      <c r="M2734" s="26" t="s">
        <v>3568</v>
      </c>
      <c r="N2734" s="106">
        <v>43273</v>
      </c>
      <c r="O2734" s="94" t="s">
        <v>457</v>
      </c>
      <c r="P2734" s="268">
        <v>5950</v>
      </c>
      <c r="Q2734" s="273">
        <v>3</v>
      </c>
      <c r="R2734" s="268">
        <f t="shared" si="67"/>
        <v>17850</v>
      </c>
      <c r="S2734" s="24">
        <v>202303</v>
      </c>
      <c r="T2734" s="127"/>
      <c r="U2734" s="40"/>
      <c r="V2734" s="40"/>
      <c r="W2734" s="40"/>
      <c r="X2734" s="106">
        <v>43190</v>
      </c>
      <c r="Y2734" s="106">
        <v>45382</v>
      </c>
    </row>
    <row r="2735" s="9" customFormat="1" customHeight="1" spans="1:25">
      <c r="A2735" s="96" t="s">
        <v>399</v>
      </c>
      <c r="B2735" s="96" t="s">
        <v>2950</v>
      </c>
      <c r="C2735" s="96" t="s">
        <v>2998</v>
      </c>
      <c r="D2735" s="265" t="s">
        <v>2951</v>
      </c>
      <c r="E2735" s="105" t="s">
        <v>3565</v>
      </c>
      <c r="F2735" s="96" t="s">
        <v>3566</v>
      </c>
      <c r="G2735" s="96" t="s">
        <v>88</v>
      </c>
      <c r="H2735" s="19" t="s">
        <v>3647</v>
      </c>
      <c r="I2735" s="23" t="e">
        <f>VLOOKUP(H2735,'合同综合查询数据（3月返）'!$A:$A,1,FALSE)</f>
        <v>#N/A</v>
      </c>
      <c r="J2735" s="24" t="s">
        <v>3074</v>
      </c>
      <c r="K2735" s="96" t="s">
        <v>3585</v>
      </c>
      <c r="L2735" s="114"/>
      <c r="M2735" s="26" t="s">
        <v>3568</v>
      </c>
      <c r="N2735" s="106">
        <v>43283</v>
      </c>
      <c r="O2735" s="94" t="s">
        <v>457</v>
      </c>
      <c r="P2735" s="268">
        <v>5950</v>
      </c>
      <c r="Q2735" s="273">
        <v>2</v>
      </c>
      <c r="R2735" s="268">
        <f t="shared" si="67"/>
        <v>11900</v>
      </c>
      <c r="S2735" s="24">
        <v>202303</v>
      </c>
      <c r="T2735" s="127"/>
      <c r="U2735" s="40"/>
      <c r="V2735" s="40"/>
      <c r="W2735" s="40"/>
      <c r="X2735" s="106">
        <v>43190</v>
      </c>
      <c r="Y2735" s="106">
        <v>45382</v>
      </c>
    </row>
    <row r="2736" s="9" customFormat="1" customHeight="1" spans="1:25">
      <c r="A2736" s="96" t="s">
        <v>399</v>
      </c>
      <c r="B2736" s="96" t="s">
        <v>2950</v>
      </c>
      <c r="C2736" s="96" t="s">
        <v>2998</v>
      </c>
      <c r="D2736" s="265" t="s">
        <v>2951</v>
      </c>
      <c r="E2736" s="105" t="s">
        <v>3565</v>
      </c>
      <c r="F2736" s="96" t="s">
        <v>3566</v>
      </c>
      <c r="G2736" s="96" t="s">
        <v>88</v>
      </c>
      <c r="H2736" s="19" t="s">
        <v>3647</v>
      </c>
      <c r="I2736" s="23" t="e">
        <f>VLOOKUP(H2736,'合同综合查询数据（3月返）'!$A:$A,1,FALSE)</f>
        <v>#N/A</v>
      </c>
      <c r="J2736" s="24" t="s">
        <v>3074</v>
      </c>
      <c r="K2736" s="96" t="s">
        <v>3585</v>
      </c>
      <c r="L2736" s="114"/>
      <c r="M2736" s="26" t="s">
        <v>3568</v>
      </c>
      <c r="N2736" s="106">
        <v>43284</v>
      </c>
      <c r="O2736" s="94" t="s">
        <v>457</v>
      </c>
      <c r="P2736" s="268">
        <v>5950</v>
      </c>
      <c r="Q2736" s="273">
        <v>9</v>
      </c>
      <c r="R2736" s="268">
        <f t="shared" si="67"/>
        <v>53550</v>
      </c>
      <c r="S2736" s="24">
        <v>202303</v>
      </c>
      <c r="T2736" s="127"/>
      <c r="U2736" s="40"/>
      <c r="V2736" s="40"/>
      <c r="W2736" s="40"/>
      <c r="X2736" s="106">
        <v>43190</v>
      </c>
      <c r="Y2736" s="106">
        <v>45382</v>
      </c>
    </row>
    <row r="2737" s="9" customFormat="1" customHeight="1" spans="1:25">
      <c r="A2737" s="96" t="s">
        <v>399</v>
      </c>
      <c r="B2737" s="96" t="s">
        <v>2950</v>
      </c>
      <c r="C2737" s="96" t="s">
        <v>2998</v>
      </c>
      <c r="D2737" s="265" t="s">
        <v>2951</v>
      </c>
      <c r="E2737" s="105" t="s">
        <v>3565</v>
      </c>
      <c r="F2737" s="96" t="s">
        <v>3566</v>
      </c>
      <c r="G2737" s="96" t="s">
        <v>88</v>
      </c>
      <c r="H2737" s="19" t="s">
        <v>3647</v>
      </c>
      <c r="I2737" s="23" t="e">
        <f>VLOOKUP(H2737,'合同综合查询数据（3月返）'!$A:$A,1,FALSE)</f>
        <v>#N/A</v>
      </c>
      <c r="J2737" s="24" t="s">
        <v>3074</v>
      </c>
      <c r="K2737" s="96" t="s">
        <v>3585</v>
      </c>
      <c r="L2737" s="114"/>
      <c r="M2737" s="26" t="s">
        <v>3568</v>
      </c>
      <c r="N2737" s="106">
        <v>43298</v>
      </c>
      <c r="O2737" s="94" t="s">
        <v>457</v>
      </c>
      <c r="P2737" s="268">
        <v>5950</v>
      </c>
      <c r="Q2737" s="273">
        <v>3</v>
      </c>
      <c r="R2737" s="268">
        <f t="shared" si="67"/>
        <v>17850</v>
      </c>
      <c r="S2737" s="24">
        <v>202303</v>
      </c>
      <c r="T2737" s="127"/>
      <c r="U2737" s="40"/>
      <c r="V2737" s="40"/>
      <c r="W2737" s="40"/>
      <c r="X2737" s="106">
        <v>43190</v>
      </c>
      <c r="Y2737" s="106">
        <v>45382</v>
      </c>
    </row>
    <row r="2738" s="9" customFormat="1" customHeight="1" spans="1:25">
      <c r="A2738" s="96" t="s">
        <v>399</v>
      </c>
      <c r="B2738" s="96" t="s">
        <v>2950</v>
      </c>
      <c r="C2738" s="96" t="s">
        <v>2998</v>
      </c>
      <c r="D2738" s="265" t="s">
        <v>2951</v>
      </c>
      <c r="E2738" s="105" t="s">
        <v>3565</v>
      </c>
      <c r="F2738" s="96" t="s">
        <v>3566</v>
      </c>
      <c r="G2738" s="96" t="s">
        <v>88</v>
      </c>
      <c r="H2738" s="19" t="s">
        <v>3647</v>
      </c>
      <c r="I2738" s="23" t="e">
        <f>VLOOKUP(H2738,'合同综合查询数据（3月返）'!$A:$A,1,FALSE)</f>
        <v>#N/A</v>
      </c>
      <c r="J2738" s="24" t="s">
        <v>3074</v>
      </c>
      <c r="K2738" s="96" t="s">
        <v>3585</v>
      </c>
      <c r="L2738" s="114"/>
      <c r="M2738" s="26" t="s">
        <v>3568</v>
      </c>
      <c r="N2738" s="106">
        <v>43299</v>
      </c>
      <c r="O2738" s="94" t="s">
        <v>457</v>
      </c>
      <c r="P2738" s="268">
        <v>5950</v>
      </c>
      <c r="Q2738" s="273">
        <v>2</v>
      </c>
      <c r="R2738" s="268">
        <f t="shared" si="67"/>
        <v>11900</v>
      </c>
      <c r="S2738" s="24">
        <v>202303</v>
      </c>
      <c r="T2738" s="127"/>
      <c r="U2738" s="40"/>
      <c r="V2738" s="40"/>
      <c r="W2738" s="40"/>
      <c r="X2738" s="106">
        <v>43190</v>
      </c>
      <c r="Y2738" s="106">
        <v>45382</v>
      </c>
    </row>
    <row r="2739" s="9" customFormat="1" customHeight="1" spans="1:25">
      <c r="A2739" s="96" t="s">
        <v>399</v>
      </c>
      <c r="B2739" s="96" t="s">
        <v>2950</v>
      </c>
      <c r="C2739" s="96" t="s">
        <v>2998</v>
      </c>
      <c r="D2739" s="265" t="s">
        <v>2951</v>
      </c>
      <c r="E2739" s="105" t="s">
        <v>3565</v>
      </c>
      <c r="F2739" s="96" t="s">
        <v>3566</v>
      </c>
      <c r="G2739" s="96" t="s">
        <v>88</v>
      </c>
      <c r="H2739" s="19" t="s">
        <v>3647</v>
      </c>
      <c r="I2739" s="23" t="e">
        <f>VLOOKUP(H2739,'合同综合查询数据（3月返）'!$A:$A,1,FALSE)</f>
        <v>#N/A</v>
      </c>
      <c r="J2739" s="24" t="s">
        <v>3074</v>
      </c>
      <c r="K2739" s="96" t="s">
        <v>3585</v>
      </c>
      <c r="L2739" s="114"/>
      <c r="M2739" s="26" t="s">
        <v>3568</v>
      </c>
      <c r="N2739" s="106">
        <v>43300</v>
      </c>
      <c r="O2739" s="94" t="s">
        <v>457</v>
      </c>
      <c r="P2739" s="268">
        <v>5950</v>
      </c>
      <c r="Q2739" s="273">
        <v>10</v>
      </c>
      <c r="R2739" s="268">
        <f t="shared" si="67"/>
        <v>59500</v>
      </c>
      <c r="S2739" s="24">
        <v>202303</v>
      </c>
      <c r="T2739" s="127"/>
      <c r="U2739" s="40"/>
      <c r="V2739" s="40"/>
      <c r="W2739" s="40"/>
      <c r="X2739" s="106">
        <v>43190</v>
      </c>
      <c r="Y2739" s="106">
        <v>45382</v>
      </c>
    </row>
    <row r="2740" s="9" customFormat="1" customHeight="1" spans="1:25">
      <c r="A2740" s="96" t="s">
        <v>399</v>
      </c>
      <c r="B2740" s="96" t="s">
        <v>2950</v>
      </c>
      <c r="C2740" s="96" t="s">
        <v>2998</v>
      </c>
      <c r="D2740" s="265" t="s">
        <v>2951</v>
      </c>
      <c r="E2740" s="105" t="s">
        <v>3565</v>
      </c>
      <c r="F2740" s="96" t="s">
        <v>3566</v>
      </c>
      <c r="G2740" s="96" t="s">
        <v>88</v>
      </c>
      <c r="H2740" s="19" t="s">
        <v>3647</v>
      </c>
      <c r="I2740" s="23" t="e">
        <f>VLOOKUP(H2740,'合同综合查询数据（3月返）'!$A:$A,1,FALSE)</f>
        <v>#N/A</v>
      </c>
      <c r="J2740" s="24" t="s">
        <v>3074</v>
      </c>
      <c r="K2740" s="96" t="s">
        <v>3585</v>
      </c>
      <c r="L2740" s="114"/>
      <c r="M2740" s="26" t="s">
        <v>3568</v>
      </c>
      <c r="N2740" s="106">
        <v>43301</v>
      </c>
      <c r="O2740" s="94" t="s">
        <v>457</v>
      </c>
      <c r="P2740" s="268">
        <v>5950</v>
      </c>
      <c r="Q2740" s="273">
        <v>4</v>
      </c>
      <c r="R2740" s="268">
        <f t="shared" si="67"/>
        <v>23800</v>
      </c>
      <c r="S2740" s="24">
        <v>202303</v>
      </c>
      <c r="T2740" s="127"/>
      <c r="U2740" s="40"/>
      <c r="V2740" s="40"/>
      <c r="W2740" s="40"/>
      <c r="X2740" s="106">
        <v>43190</v>
      </c>
      <c r="Y2740" s="106">
        <v>45382</v>
      </c>
    </row>
    <row r="2741" s="9" customFormat="1" customHeight="1" spans="1:25">
      <c r="A2741" s="96" t="s">
        <v>399</v>
      </c>
      <c r="B2741" s="96" t="s">
        <v>2950</v>
      </c>
      <c r="C2741" s="96" t="s">
        <v>2998</v>
      </c>
      <c r="D2741" s="265" t="s">
        <v>2951</v>
      </c>
      <c r="E2741" s="105" t="s">
        <v>3565</v>
      </c>
      <c r="F2741" s="96" t="s">
        <v>3566</v>
      </c>
      <c r="G2741" s="96" t="s">
        <v>88</v>
      </c>
      <c r="H2741" s="19" t="s">
        <v>3647</v>
      </c>
      <c r="I2741" s="23" t="e">
        <f>VLOOKUP(H2741,'合同综合查询数据（3月返）'!$A:$A,1,FALSE)</f>
        <v>#N/A</v>
      </c>
      <c r="J2741" s="24" t="s">
        <v>3074</v>
      </c>
      <c r="K2741" s="96" t="s">
        <v>3585</v>
      </c>
      <c r="L2741" s="114"/>
      <c r="M2741" s="26" t="s">
        <v>3568</v>
      </c>
      <c r="N2741" s="106">
        <v>43318</v>
      </c>
      <c r="O2741" s="94" t="s">
        <v>457</v>
      </c>
      <c r="P2741" s="268">
        <v>5950</v>
      </c>
      <c r="Q2741" s="273">
        <v>12</v>
      </c>
      <c r="R2741" s="268">
        <f t="shared" si="67"/>
        <v>71400</v>
      </c>
      <c r="S2741" s="24">
        <v>202303</v>
      </c>
      <c r="T2741" s="127"/>
      <c r="U2741" s="40"/>
      <c r="V2741" s="40"/>
      <c r="W2741" s="40"/>
      <c r="X2741" s="106">
        <v>43190</v>
      </c>
      <c r="Y2741" s="106">
        <v>45382</v>
      </c>
    </row>
    <row r="2742" s="9" customFormat="1" customHeight="1" spans="1:25">
      <c r="A2742" s="96" t="s">
        <v>399</v>
      </c>
      <c r="B2742" s="96" t="s">
        <v>2950</v>
      </c>
      <c r="C2742" s="96" t="s">
        <v>2998</v>
      </c>
      <c r="D2742" s="265" t="s">
        <v>2951</v>
      </c>
      <c r="E2742" s="105" t="s">
        <v>3565</v>
      </c>
      <c r="F2742" s="96" t="s">
        <v>3566</v>
      </c>
      <c r="G2742" s="96" t="s">
        <v>88</v>
      </c>
      <c r="H2742" s="19" t="s">
        <v>3647</v>
      </c>
      <c r="I2742" s="23" t="e">
        <f>VLOOKUP(H2742,'合同综合查询数据（3月返）'!$A:$A,1,FALSE)</f>
        <v>#N/A</v>
      </c>
      <c r="J2742" s="24" t="s">
        <v>3074</v>
      </c>
      <c r="K2742" s="96" t="s">
        <v>3585</v>
      </c>
      <c r="L2742" s="114"/>
      <c r="M2742" s="26" t="s">
        <v>3568</v>
      </c>
      <c r="N2742" s="106">
        <v>43319</v>
      </c>
      <c r="O2742" s="94" t="s">
        <v>457</v>
      </c>
      <c r="P2742" s="268">
        <v>5950</v>
      </c>
      <c r="Q2742" s="273">
        <v>11</v>
      </c>
      <c r="R2742" s="268">
        <f t="shared" si="67"/>
        <v>65450</v>
      </c>
      <c r="S2742" s="24">
        <v>202303</v>
      </c>
      <c r="T2742" s="127"/>
      <c r="U2742" s="40"/>
      <c r="V2742" s="40"/>
      <c r="W2742" s="40"/>
      <c r="X2742" s="106">
        <v>43190</v>
      </c>
      <c r="Y2742" s="106">
        <v>45382</v>
      </c>
    </row>
    <row r="2743" s="9" customFormat="1" customHeight="1" spans="1:25">
      <c r="A2743" s="96" t="s">
        <v>399</v>
      </c>
      <c r="B2743" s="96" t="s">
        <v>2950</v>
      </c>
      <c r="C2743" s="96" t="s">
        <v>2998</v>
      </c>
      <c r="D2743" s="265" t="s">
        <v>2951</v>
      </c>
      <c r="E2743" s="105" t="s">
        <v>3565</v>
      </c>
      <c r="F2743" s="96" t="s">
        <v>3566</v>
      </c>
      <c r="G2743" s="96" t="s">
        <v>88</v>
      </c>
      <c r="H2743" s="19" t="s">
        <v>3647</v>
      </c>
      <c r="I2743" s="23" t="e">
        <f>VLOOKUP(H2743,'合同综合查询数据（3月返）'!$A:$A,1,FALSE)</f>
        <v>#N/A</v>
      </c>
      <c r="J2743" s="24" t="s">
        <v>3074</v>
      </c>
      <c r="K2743" s="96" t="s">
        <v>3585</v>
      </c>
      <c r="L2743" s="114"/>
      <c r="M2743" s="26" t="s">
        <v>3568</v>
      </c>
      <c r="N2743" s="106">
        <v>43325</v>
      </c>
      <c r="O2743" s="94" t="s">
        <v>457</v>
      </c>
      <c r="P2743" s="268">
        <v>5950</v>
      </c>
      <c r="Q2743" s="273">
        <v>14</v>
      </c>
      <c r="R2743" s="268">
        <f t="shared" si="67"/>
        <v>83300</v>
      </c>
      <c r="S2743" s="24">
        <v>202303</v>
      </c>
      <c r="T2743" s="127"/>
      <c r="U2743" s="40"/>
      <c r="V2743" s="40"/>
      <c r="W2743" s="40"/>
      <c r="X2743" s="106">
        <v>43190</v>
      </c>
      <c r="Y2743" s="106">
        <v>45382</v>
      </c>
    </row>
    <row r="2744" s="9" customFormat="1" customHeight="1" spans="1:25">
      <c r="A2744" s="96" t="s">
        <v>399</v>
      </c>
      <c r="B2744" s="96" t="s">
        <v>2950</v>
      </c>
      <c r="C2744" s="96" t="s">
        <v>2998</v>
      </c>
      <c r="D2744" s="265" t="s">
        <v>2951</v>
      </c>
      <c r="E2744" s="105" t="s">
        <v>3565</v>
      </c>
      <c r="F2744" s="96" t="s">
        <v>3566</v>
      </c>
      <c r="G2744" s="96" t="s">
        <v>88</v>
      </c>
      <c r="H2744" s="19" t="s">
        <v>3647</v>
      </c>
      <c r="I2744" s="23" t="e">
        <f>VLOOKUP(H2744,'合同综合查询数据（3月返）'!$A:$A,1,FALSE)</f>
        <v>#N/A</v>
      </c>
      <c r="J2744" s="24" t="s">
        <v>3074</v>
      </c>
      <c r="K2744" s="96" t="s">
        <v>3585</v>
      </c>
      <c r="L2744" s="114"/>
      <c r="M2744" s="26" t="s">
        <v>3568</v>
      </c>
      <c r="N2744" s="106">
        <v>43326</v>
      </c>
      <c r="O2744" s="94" t="s">
        <v>457</v>
      </c>
      <c r="P2744" s="268">
        <v>5950</v>
      </c>
      <c r="Q2744" s="273">
        <v>6</v>
      </c>
      <c r="R2744" s="268">
        <f t="shared" si="67"/>
        <v>35700</v>
      </c>
      <c r="S2744" s="24">
        <v>202303</v>
      </c>
      <c r="T2744" s="127"/>
      <c r="U2744" s="40"/>
      <c r="V2744" s="40"/>
      <c r="W2744" s="40"/>
      <c r="X2744" s="106">
        <v>43190</v>
      </c>
      <c r="Y2744" s="106">
        <v>45382</v>
      </c>
    </row>
    <row r="2745" s="9" customFormat="1" customHeight="1" spans="1:25">
      <c r="A2745" s="96" t="s">
        <v>399</v>
      </c>
      <c r="B2745" s="96" t="s">
        <v>2950</v>
      </c>
      <c r="C2745" s="96" t="s">
        <v>2998</v>
      </c>
      <c r="D2745" s="265" t="s">
        <v>2951</v>
      </c>
      <c r="E2745" s="105" t="s">
        <v>3565</v>
      </c>
      <c r="F2745" s="96" t="s">
        <v>3566</v>
      </c>
      <c r="G2745" s="96" t="s">
        <v>88</v>
      </c>
      <c r="H2745" s="19" t="s">
        <v>3647</v>
      </c>
      <c r="I2745" s="23" t="e">
        <f>VLOOKUP(H2745,'合同综合查询数据（3月返）'!$A:$A,1,FALSE)</f>
        <v>#N/A</v>
      </c>
      <c r="J2745" s="24" t="s">
        <v>3074</v>
      </c>
      <c r="K2745" s="96" t="s">
        <v>3585</v>
      </c>
      <c r="L2745" s="114"/>
      <c r="M2745" s="26" t="s">
        <v>3568</v>
      </c>
      <c r="N2745" s="106">
        <v>43328</v>
      </c>
      <c r="O2745" s="94" t="s">
        <v>457</v>
      </c>
      <c r="P2745" s="268">
        <v>5950</v>
      </c>
      <c r="Q2745" s="273">
        <v>30</v>
      </c>
      <c r="R2745" s="268">
        <f t="shared" si="67"/>
        <v>178500</v>
      </c>
      <c r="S2745" s="24">
        <v>202303</v>
      </c>
      <c r="T2745" s="127"/>
      <c r="U2745" s="40"/>
      <c r="V2745" s="40"/>
      <c r="W2745" s="40"/>
      <c r="X2745" s="106">
        <v>43190</v>
      </c>
      <c r="Y2745" s="106">
        <v>45382</v>
      </c>
    </row>
    <row r="2746" s="9" customFormat="1" customHeight="1" spans="1:25">
      <c r="A2746" s="96" t="s">
        <v>399</v>
      </c>
      <c r="B2746" s="96" t="s">
        <v>2950</v>
      </c>
      <c r="C2746" s="96" t="s">
        <v>2998</v>
      </c>
      <c r="D2746" s="265" t="s">
        <v>2951</v>
      </c>
      <c r="E2746" s="105" t="s">
        <v>3565</v>
      </c>
      <c r="F2746" s="96" t="s">
        <v>3566</v>
      </c>
      <c r="G2746" s="96" t="s">
        <v>88</v>
      </c>
      <c r="H2746" s="19" t="s">
        <v>3647</v>
      </c>
      <c r="I2746" s="23" t="e">
        <f>VLOOKUP(H2746,'合同综合查询数据（3月返）'!$A:$A,1,FALSE)</f>
        <v>#N/A</v>
      </c>
      <c r="J2746" s="24" t="s">
        <v>3074</v>
      </c>
      <c r="K2746" s="96" t="s">
        <v>3585</v>
      </c>
      <c r="L2746" s="114"/>
      <c r="M2746" s="26" t="s">
        <v>3568</v>
      </c>
      <c r="N2746" s="106">
        <v>43329</v>
      </c>
      <c r="O2746" s="94" t="s">
        <v>457</v>
      </c>
      <c r="P2746" s="268">
        <v>5950</v>
      </c>
      <c r="Q2746" s="273">
        <v>6</v>
      </c>
      <c r="R2746" s="268">
        <f t="shared" ref="R2746:R2809" si="68">ROUND(P2746*Q2746,2)</f>
        <v>35700</v>
      </c>
      <c r="S2746" s="24">
        <v>202303</v>
      </c>
      <c r="T2746" s="127"/>
      <c r="U2746" s="40"/>
      <c r="V2746" s="40"/>
      <c r="W2746" s="40"/>
      <c r="X2746" s="106">
        <v>43190</v>
      </c>
      <c r="Y2746" s="106">
        <v>45382</v>
      </c>
    </row>
    <row r="2747" s="9" customFormat="1" customHeight="1" spans="1:25">
      <c r="A2747" s="96" t="s">
        <v>399</v>
      </c>
      <c r="B2747" s="96" t="s">
        <v>2950</v>
      </c>
      <c r="C2747" s="96" t="s">
        <v>2998</v>
      </c>
      <c r="D2747" s="265" t="s">
        <v>2951</v>
      </c>
      <c r="E2747" s="105" t="s">
        <v>3565</v>
      </c>
      <c r="F2747" s="96" t="s">
        <v>3566</v>
      </c>
      <c r="G2747" s="96" t="s">
        <v>88</v>
      </c>
      <c r="H2747" s="19" t="s">
        <v>3647</v>
      </c>
      <c r="I2747" s="23" t="e">
        <f>VLOOKUP(H2747,'合同综合查询数据（3月返）'!$A:$A,1,FALSE)</f>
        <v>#N/A</v>
      </c>
      <c r="J2747" s="24" t="s">
        <v>3074</v>
      </c>
      <c r="K2747" s="96" t="s">
        <v>3585</v>
      </c>
      <c r="L2747" s="114"/>
      <c r="M2747" s="26" t="s">
        <v>3568</v>
      </c>
      <c r="N2747" s="106">
        <v>43334</v>
      </c>
      <c r="O2747" s="94" t="s">
        <v>457</v>
      </c>
      <c r="P2747" s="268">
        <v>5950</v>
      </c>
      <c r="Q2747" s="273">
        <v>11</v>
      </c>
      <c r="R2747" s="268">
        <f t="shared" si="68"/>
        <v>65450</v>
      </c>
      <c r="S2747" s="24">
        <v>202303</v>
      </c>
      <c r="T2747" s="127"/>
      <c r="U2747" s="40"/>
      <c r="V2747" s="40"/>
      <c r="W2747" s="40"/>
      <c r="X2747" s="106">
        <v>43190</v>
      </c>
      <c r="Y2747" s="106">
        <v>45382</v>
      </c>
    </row>
    <row r="2748" s="9" customFormat="1" customHeight="1" spans="1:25">
      <c r="A2748" s="96" t="s">
        <v>399</v>
      </c>
      <c r="B2748" s="96" t="s">
        <v>2950</v>
      </c>
      <c r="C2748" s="96" t="s">
        <v>2998</v>
      </c>
      <c r="D2748" s="265" t="s">
        <v>2951</v>
      </c>
      <c r="E2748" s="105" t="s">
        <v>3565</v>
      </c>
      <c r="F2748" s="96" t="s">
        <v>3566</v>
      </c>
      <c r="G2748" s="96" t="s">
        <v>88</v>
      </c>
      <c r="H2748" s="19" t="s">
        <v>3647</v>
      </c>
      <c r="I2748" s="23" t="e">
        <f>VLOOKUP(H2748,'合同综合查询数据（3月返）'!$A:$A,1,FALSE)</f>
        <v>#N/A</v>
      </c>
      <c r="J2748" s="24" t="s">
        <v>3074</v>
      </c>
      <c r="K2748" s="96" t="s">
        <v>3585</v>
      </c>
      <c r="L2748" s="114"/>
      <c r="M2748" s="26" t="s">
        <v>3568</v>
      </c>
      <c r="N2748" s="106">
        <v>43335</v>
      </c>
      <c r="O2748" s="94" t="s">
        <v>457</v>
      </c>
      <c r="P2748" s="268">
        <v>5950</v>
      </c>
      <c r="Q2748" s="273">
        <v>1</v>
      </c>
      <c r="R2748" s="268">
        <f t="shared" si="68"/>
        <v>5950</v>
      </c>
      <c r="S2748" s="24">
        <v>202303</v>
      </c>
      <c r="T2748" s="127"/>
      <c r="U2748" s="40"/>
      <c r="V2748" s="40"/>
      <c r="W2748" s="40"/>
      <c r="X2748" s="106">
        <v>43190</v>
      </c>
      <c r="Y2748" s="106">
        <v>45382</v>
      </c>
    </row>
    <row r="2749" s="9" customFormat="1" customHeight="1" spans="1:25">
      <c r="A2749" s="96" t="s">
        <v>399</v>
      </c>
      <c r="B2749" s="96" t="s">
        <v>2950</v>
      </c>
      <c r="C2749" s="96" t="s">
        <v>2998</v>
      </c>
      <c r="D2749" s="265" t="s">
        <v>2951</v>
      </c>
      <c r="E2749" s="105" t="s">
        <v>3565</v>
      </c>
      <c r="F2749" s="96" t="s">
        <v>3566</v>
      </c>
      <c r="G2749" s="96" t="s">
        <v>88</v>
      </c>
      <c r="H2749" s="19" t="s">
        <v>3647</v>
      </c>
      <c r="I2749" s="23" t="e">
        <f>VLOOKUP(H2749,'合同综合查询数据（3月返）'!$A:$A,1,FALSE)</f>
        <v>#N/A</v>
      </c>
      <c r="J2749" s="24" t="s">
        <v>3074</v>
      </c>
      <c r="K2749" s="96" t="s">
        <v>3585</v>
      </c>
      <c r="L2749" s="114"/>
      <c r="M2749" s="26" t="s">
        <v>3568</v>
      </c>
      <c r="N2749" s="106">
        <v>43339</v>
      </c>
      <c r="O2749" s="94" t="s">
        <v>457</v>
      </c>
      <c r="P2749" s="268">
        <v>5950</v>
      </c>
      <c r="Q2749" s="273">
        <v>21</v>
      </c>
      <c r="R2749" s="268">
        <f t="shared" si="68"/>
        <v>124950</v>
      </c>
      <c r="S2749" s="24">
        <v>202303</v>
      </c>
      <c r="T2749" s="127"/>
      <c r="U2749" s="40"/>
      <c r="V2749" s="40"/>
      <c r="W2749" s="40"/>
      <c r="X2749" s="106">
        <v>43190</v>
      </c>
      <c r="Y2749" s="106">
        <v>45382</v>
      </c>
    </row>
    <row r="2750" s="9" customFormat="1" customHeight="1" spans="1:25">
      <c r="A2750" s="96" t="s">
        <v>399</v>
      </c>
      <c r="B2750" s="96" t="s">
        <v>2950</v>
      </c>
      <c r="C2750" s="96" t="s">
        <v>2998</v>
      </c>
      <c r="D2750" s="265" t="s">
        <v>2951</v>
      </c>
      <c r="E2750" s="105" t="s">
        <v>3565</v>
      </c>
      <c r="F2750" s="96" t="s">
        <v>3566</v>
      </c>
      <c r="G2750" s="96" t="s">
        <v>88</v>
      </c>
      <c r="H2750" s="19" t="s">
        <v>3647</v>
      </c>
      <c r="I2750" s="23" t="e">
        <f>VLOOKUP(H2750,'合同综合查询数据（3月返）'!$A:$A,1,FALSE)</f>
        <v>#N/A</v>
      </c>
      <c r="J2750" s="24" t="s">
        <v>3074</v>
      </c>
      <c r="K2750" s="96" t="s">
        <v>3585</v>
      </c>
      <c r="L2750" s="114"/>
      <c r="M2750" s="26" t="s">
        <v>3568</v>
      </c>
      <c r="N2750" s="106">
        <v>43340</v>
      </c>
      <c r="O2750" s="94" t="s">
        <v>457</v>
      </c>
      <c r="P2750" s="268">
        <v>5950</v>
      </c>
      <c r="Q2750" s="273">
        <v>9</v>
      </c>
      <c r="R2750" s="268">
        <f t="shared" si="68"/>
        <v>53550</v>
      </c>
      <c r="S2750" s="24">
        <v>202303</v>
      </c>
      <c r="T2750" s="127"/>
      <c r="U2750" s="40"/>
      <c r="V2750" s="40"/>
      <c r="W2750" s="40"/>
      <c r="X2750" s="106">
        <v>43190</v>
      </c>
      <c r="Y2750" s="106">
        <v>45382</v>
      </c>
    </row>
    <row r="2751" s="9" customFormat="1" customHeight="1" spans="1:25">
      <c r="A2751" s="96" t="s">
        <v>399</v>
      </c>
      <c r="B2751" s="96" t="s">
        <v>2950</v>
      </c>
      <c r="C2751" s="96" t="s">
        <v>2998</v>
      </c>
      <c r="D2751" s="265" t="s">
        <v>2951</v>
      </c>
      <c r="E2751" s="105" t="s">
        <v>3565</v>
      </c>
      <c r="F2751" s="96" t="s">
        <v>3566</v>
      </c>
      <c r="G2751" s="96" t="s">
        <v>88</v>
      </c>
      <c r="H2751" s="19" t="s">
        <v>3647</v>
      </c>
      <c r="I2751" s="23" t="e">
        <f>VLOOKUP(H2751,'合同综合查询数据（3月返）'!$A:$A,1,FALSE)</f>
        <v>#N/A</v>
      </c>
      <c r="J2751" s="24" t="s">
        <v>3074</v>
      </c>
      <c r="K2751" s="96" t="s">
        <v>3585</v>
      </c>
      <c r="L2751" s="114"/>
      <c r="M2751" s="26" t="s">
        <v>3568</v>
      </c>
      <c r="N2751" s="106">
        <v>43342</v>
      </c>
      <c r="O2751" s="94" t="s">
        <v>457</v>
      </c>
      <c r="P2751" s="268">
        <v>5950</v>
      </c>
      <c r="Q2751" s="273">
        <v>1</v>
      </c>
      <c r="R2751" s="268">
        <f t="shared" si="68"/>
        <v>5950</v>
      </c>
      <c r="S2751" s="24">
        <v>202303</v>
      </c>
      <c r="T2751" s="127"/>
      <c r="U2751" s="40"/>
      <c r="V2751" s="40"/>
      <c r="W2751" s="40"/>
      <c r="X2751" s="106">
        <v>43190</v>
      </c>
      <c r="Y2751" s="106">
        <v>45382</v>
      </c>
    </row>
    <row r="2752" s="9" customFormat="1" customHeight="1" spans="1:25">
      <c r="A2752" s="96" t="s">
        <v>399</v>
      </c>
      <c r="B2752" s="96" t="s">
        <v>2950</v>
      </c>
      <c r="C2752" s="96" t="s">
        <v>2998</v>
      </c>
      <c r="D2752" s="265" t="s">
        <v>2951</v>
      </c>
      <c r="E2752" s="105" t="s">
        <v>3565</v>
      </c>
      <c r="F2752" s="96" t="s">
        <v>3566</v>
      </c>
      <c r="G2752" s="96" t="s">
        <v>88</v>
      </c>
      <c r="H2752" s="19" t="s">
        <v>3647</v>
      </c>
      <c r="I2752" s="23" t="e">
        <f>VLOOKUP(H2752,'合同综合查询数据（3月返）'!$A:$A,1,FALSE)</f>
        <v>#N/A</v>
      </c>
      <c r="J2752" s="24" t="s">
        <v>3074</v>
      </c>
      <c r="K2752" s="96" t="s">
        <v>3585</v>
      </c>
      <c r="L2752" s="114"/>
      <c r="M2752" s="26" t="s">
        <v>3568</v>
      </c>
      <c r="N2752" s="106">
        <v>43343</v>
      </c>
      <c r="O2752" s="94" t="s">
        <v>457</v>
      </c>
      <c r="P2752" s="268">
        <v>5950</v>
      </c>
      <c r="Q2752" s="273">
        <v>4</v>
      </c>
      <c r="R2752" s="268">
        <f t="shared" si="68"/>
        <v>23800</v>
      </c>
      <c r="S2752" s="24">
        <v>202303</v>
      </c>
      <c r="T2752" s="127"/>
      <c r="U2752" s="40"/>
      <c r="V2752" s="40"/>
      <c r="W2752" s="40"/>
      <c r="X2752" s="106">
        <v>43190</v>
      </c>
      <c r="Y2752" s="106">
        <v>45382</v>
      </c>
    </row>
    <row r="2753" s="9" customFormat="1" customHeight="1" spans="1:25">
      <c r="A2753" s="96" t="s">
        <v>399</v>
      </c>
      <c r="B2753" s="96" t="s">
        <v>2950</v>
      </c>
      <c r="C2753" s="96" t="s">
        <v>2998</v>
      </c>
      <c r="D2753" s="265" t="s">
        <v>2951</v>
      </c>
      <c r="E2753" s="105" t="s">
        <v>3565</v>
      </c>
      <c r="F2753" s="96" t="s">
        <v>3566</v>
      </c>
      <c r="G2753" s="96" t="s">
        <v>88</v>
      </c>
      <c r="H2753" s="19" t="s">
        <v>3647</v>
      </c>
      <c r="I2753" s="23" t="e">
        <f>VLOOKUP(H2753,'合同综合查询数据（3月返）'!$A:$A,1,FALSE)</f>
        <v>#N/A</v>
      </c>
      <c r="J2753" s="24" t="s">
        <v>3074</v>
      </c>
      <c r="K2753" s="96" t="s">
        <v>3585</v>
      </c>
      <c r="L2753" s="114"/>
      <c r="M2753" s="26" t="s">
        <v>3568</v>
      </c>
      <c r="N2753" s="106">
        <v>43346</v>
      </c>
      <c r="O2753" s="94" t="s">
        <v>457</v>
      </c>
      <c r="P2753" s="268">
        <v>5950</v>
      </c>
      <c r="Q2753" s="273">
        <v>2</v>
      </c>
      <c r="R2753" s="268">
        <f t="shared" si="68"/>
        <v>11900</v>
      </c>
      <c r="S2753" s="24">
        <v>202303</v>
      </c>
      <c r="T2753" s="127"/>
      <c r="U2753" s="40"/>
      <c r="V2753" s="40"/>
      <c r="W2753" s="40"/>
      <c r="X2753" s="106">
        <v>43190</v>
      </c>
      <c r="Y2753" s="106">
        <v>45382</v>
      </c>
    </row>
    <row r="2754" s="9" customFormat="1" customHeight="1" spans="1:25">
      <c r="A2754" s="96" t="s">
        <v>399</v>
      </c>
      <c r="B2754" s="96" t="s">
        <v>2950</v>
      </c>
      <c r="C2754" s="96" t="s">
        <v>2998</v>
      </c>
      <c r="D2754" s="265" t="s">
        <v>2951</v>
      </c>
      <c r="E2754" s="105" t="s">
        <v>3565</v>
      </c>
      <c r="F2754" s="96" t="s">
        <v>3566</v>
      </c>
      <c r="G2754" s="96" t="s">
        <v>88</v>
      </c>
      <c r="H2754" s="19" t="s">
        <v>3647</v>
      </c>
      <c r="I2754" s="23" t="e">
        <f>VLOOKUP(H2754,'合同综合查询数据（3月返）'!$A:$A,1,FALSE)</f>
        <v>#N/A</v>
      </c>
      <c r="J2754" s="24" t="s">
        <v>3074</v>
      </c>
      <c r="K2754" s="96" t="s">
        <v>3585</v>
      </c>
      <c r="L2754" s="114"/>
      <c r="M2754" s="26" t="s">
        <v>3568</v>
      </c>
      <c r="N2754" s="106">
        <v>43347</v>
      </c>
      <c r="O2754" s="94" t="s">
        <v>457</v>
      </c>
      <c r="P2754" s="268">
        <v>5950</v>
      </c>
      <c r="Q2754" s="273">
        <v>16</v>
      </c>
      <c r="R2754" s="268">
        <f t="shared" si="68"/>
        <v>95200</v>
      </c>
      <c r="S2754" s="24">
        <v>202303</v>
      </c>
      <c r="T2754" s="127"/>
      <c r="U2754" s="40"/>
      <c r="V2754" s="40"/>
      <c r="W2754" s="40"/>
      <c r="X2754" s="106">
        <v>43190</v>
      </c>
      <c r="Y2754" s="106">
        <v>45382</v>
      </c>
    </row>
    <row r="2755" s="9" customFormat="1" customHeight="1" spans="1:25">
      <c r="A2755" s="96" t="s">
        <v>399</v>
      </c>
      <c r="B2755" s="96" t="s">
        <v>2950</v>
      </c>
      <c r="C2755" s="96" t="s">
        <v>2998</v>
      </c>
      <c r="D2755" s="265" t="s">
        <v>2951</v>
      </c>
      <c r="E2755" s="105" t="s">
        <v>3565</v>
      </c>
      <c r="F2755" s="96" t="s">
        <v>3566</v>
      </c>
      <c r="G2755" s="96" t="s">
        <v>88</v>
      </c>
      <c r="H2755" s="19" t="s">
        <v>3647</v>
      </c>
      <c r="I2755" s="23" t="e">
        <f>VLOOKUP(H2755,'合同综合查询数据（3月返）'!$A:$A,1,FALSE)</f>
        <v>#N/A</v>
      </c>
      <c r="J2755" s="24" t="s">
        <v>3074</v>
      </c>
      <c r="K2755" s="96" t="s">
        <v>3585</v>
      </c>
      <c r="L2755" s="114"/>
      <c r="M2755" s="26" t="s">
        <v>3568</v>
      </c>
      <c r="N2755" s="106">
        <v>43347</v>
      </c>
      <c r="O2755" s="94" t="s">
        <v>3649</v>
      </c>
      <c r="P2755" s="268">
        <v>20284</v>
      </c>
      <c r="Q2755" s="273">
        <v>6</v>
      </c>
      <c r="R2755" s="268">
        <f t="shared" si="68"/>
        <v>121704</v>
      </c>
      <c r="S2755" s="24">
        <v>202303</v>
      </c>
      <c r="T2755" s="127" t="s">
        <v>3650</v>
      </c>
      <c r="U2755" s="40"/>
      <c r="V2755" s="40"/>
      <c r="W2755" s="40"/>
      <c r="X2755" s="106">
        <v>43190</v>
      </c>
      <c r="Y2755" s="106">
        <v>45382</v>
      </c>
    </row>
    <row r="2756" s="9" customFormat="1" customHeight="1" spans="1:25">
      <c r="A2756" s="96" t="s">
        <v>399</v>
      </c>
      <c r="B2756" s="96" t="s">
        <v>2950</v>
      </c>
      <c r="C2756" s="96" t="s">
        <v>2998</v>
      </c>
      <c r="D2756" s="265" t="s">
        <v>2951</v>
      </c>
      <c r="E2756" s="105" t="s">
        <v>3565</v>
      </c>
      <c r="F2756" s="96" t="s">
        <v>3566</v>
      </c>
      <c r="G2756" s="96" t="s">
        <v>88</v>
      </c>
      <c r="H2756" s="19" t="s">
        <v>3647</v>
      </c>
      <c r="I2756" s="23" t="e">
        <f>VLOOKUP(H2756,'合同综合查询数据（3月返）'!$A:$A,1,FALSE)</f>
        <v>#N/A</v>
      </c>
      <c r="J2756" s="24" t="s">
        <v>3074</v>
      </c>
      <c r="K2756" s="96" t="s">
        <v>3585</v>
      </c>
      <c r="L2756" s="114"/>
      <c r="M2756" s="26" t="s">
        <v>3568</v>
      </c>
      <c r="N2756" s="106">
        <v>43347</v>
      </c>
      <c r="O2756" s="94" t="s">
        <v>470</v>
      </c>
      <c r="P2756" s="268">
        <v>5950</v>
      </c>
      <c r="Q2756" s="273">
        <v>2</v>
      </c>
      <c r="R2756" s="268">
        <f t="shared" si="68"/>
        <v>11900</v>
      </c>
      <c r="S2756" s="24">
        <v>202303</v>
      </c>
      <c r="T2756" s="127" t="s">
        <v>3651</v>
      </c>
      <c r="U2756" s="40"/>
      <c r="V2756" s="40"/>
      <c r="W2756" s="40"/>
      <c r="X2756" s="106">
        <v>43190</v>
      </c>
      <c r="Y2756" s="106">
        <v>45382</v>
      </c>
    </row>
    <row r="2757" s="9" customFormat="1" customHeight="1" spans="1:25">
      <c r="A2757" s="96" t="s">
        <v>399</v>
      </c>
      <c r="B2757" s="96" t="s">
        <v>2950</v>
      </c>
      <c r="C2757" s="96" t="s">
        <v>2998</v>
      </c>
      <c r="D2757" s="265" t="s">
        <v>2951</v>
      </c>
      <c r="E2757" s="105" t="s">
        <v>3565</v>
      </c>
      <c r="F2757" s="96" t="s">
        <v>3566</v>
      </c>
      <c r="G2757" s="96" t="s">
        <v>88</v>
      </c>
      <c r="H2757" s="19" t="s">
        <v>3647</v>
      </c>
      <c r="I2757" s="23" t="e">
        <f>VLOOKUP(H2757,'合同综合查询数据（3月返）'!$A:$A,1,FALSE)</f>
        <v>#N/A</v>
      </c>
      <c r="J2757" s="24" t="s">
        <v>3074</v>
      </c>
      <c r="K2757" s="96" t="s">
        <v>3585</v>
      </c>
      <c r="L2757" s="114"/>
      <c r="M2757" s="26" t="s">
        <v>3568</v>
      </c>
      <c r="N2757" s="106">
        <v>43348</v>
      </c>
      <c r="O2757" s="94" t="s">
        <v>457</v>
      </c>
      <c r="P2757" s="268">
        <v>5950</v>
      </c>
      <c r="Q2757" s="273">
        <v>75</v>
      </c>
      <c r="R2757" s="268">
        <f t="shared" si="68"/>
        <v>446250</v>
      </c>
      <c r="S2757" s="24">
        <v>202303</v>
      </c>
      <c r="T2757" s="127"/>
      <c r="U2757" s="40"/>
      <c r="V2757" s="40"/>
      <c r="W2757" s="40"/>
      <c r="X2757" s="106">
        <v>43190</v>
      </c>
      <c r="Y2757" s="106">
        <v>45382</v>
      </c>
    </row>
    <row r="2758" s="9" customFormat="1" customHeight="1" spans="1:25">
      <c r="A2758" s="96" t="s">
        <v>399</v>
      </c>
      <c r="B2758" s="96" t="s">
        <v>2950</v>
      </c>
      <c r="C2758" s="96" t="s">
        <v>2998</v>
      </c>
      <c r="D2758" s="265" t="s">
        <v>2951</v>
      </c>
      <c r="E2758" s="105" t="s">
        <v>3565</v>
      </c>
      <c r="F2758" s="96" t="s">
        <v>3566</v>
      </c>
      <c r="G2758" s="96" t="s">
        <v>88</v>
      </c>
      <c r="H2758" s="19" t="s">
        <v>3647</v>
      </c>
      <c r="I2758" s="23" t="e">
        <f>VLOOKUP(H2758,'合同综合查询数据（3月返）'!$A:$A,1,FALSE)</f>
        <v>#N/A</v>
      </c>
      <c r="J2758" s="24" t="s">
        <v>3074</v>
      </c>
      <c r="K2758" s="96" t="s">
        <v>3585</v>
      </c>
      <c r="L2758" s="114"/>
      <c r="M2758" s="26" t="s">
        <v>3568</v>
      </c>
      <c r="N2758" s="106">
        <v>43349</v>
      </c>
      <c r="O2758" s="94" t="s">
        <v>457</v>
      </c>
      <c r="P2758" s="268">
        <v>5950</v>
      </c>
      <c r="Q2758" s="273">
        <v>14</v>
      </c>
      <c r="R2758" s="268">
        <f t="shared" si="68"/>
        <v>83300</v>
      </c>
      <c r="S2758" s="24">
        <v>202303</v>
      </c>
      <c r="T2758" s="127"/>
      <c r="U2758" s="40"/>
      <c r="V2758" s="40"/>
      <c r="W2758" s="40"/>
      <c r="X2758" s="106">
        <v>43190</v>
      </c>
      <c r="Y2758" s="106">
        <v>45382</v>
      </c>
    </row>
    <row r="2759" s="9" customFormat="1" customHeight="1" spans="1:25">
      <c r="A2759" s="96" t="s">
        <v>399</v>
      </c>
      <c r="B2759" s="96" t="s">
        <v>2950</v>
      </c>
      <c r="C2759" s="96" t="s">
        <v>2998</v>
      </c>
      <c r="D2759" s="265" t="s">
        <v>2951</v>
      </c>
      <c r="E2759" s="105" t="s">
        <v>3565</v>
      </c>
      <c r="F2759" s="96" t="s">
        <v>3566</v>
      </c>
      <c r="G2759" s="96" t="s">
        <v>88</v>
      </c>
      <c r="H2759" s="19" t="s">
        <v>3647</v>
      </c>
      <c r="I2759" s="23" t="e">
        <f>VLOOKUP(H2759,'合同综合查询数据（3月返）'!$A:$A,1,FALSE)</f>
        <v>#N/A</v>
      </c>
      <c r="J2759" s="24" t="s">
        <v>3074</v>
      </c>
      <c r="K2759" s="96" t="s">
        <v>3585</v>
      </c>
      <c r="L2759" s="114"/>
      <c r="M2759" s="26" t="s">
        <v>3568</v>
      </c>
      <c r="N2759" s="106">
        <v>43353</v>
      </c>
      <c r="O2759" s="94" t="s">
        <v>457</v>
      </c>
      <c r="P2759" s="268">
        <v>5950</v>
      </c>
      <c r="Q2759" s="273">
        <v>10</v>
      </c>
      <c r="R2759" s="268">
        <f t="shared" si="68"/>
        <v>59500</v>
      </c>
      <c r="S2759" s="24">
        <v>202303</v>
      </c>
      <c r="T2759" s="127"/>
      <c r="U2759" s="40"/>
      <c r="V2759" s="40"/>
      <c r="W2759" s="40"/>
      <c r="X2759" s="106">
        <v>43190</v>
      </c>
      <c r="Y2759" s="106">
        <v>45382</v>
      </c>
    </row>
    <row r="2760" s="9" customFormat="1" customHeight="1" spans="1:25">
      <c r="A2760" s="96" t="s">
        <v>399</v>
      </c>
      <c r="B2760" s="96" t="s">
        <v>2950</v>
      </c>
      <c r="C2760" s="96" t="s">
        <v>2998</v>
      </c>
      <c r="D2760" s="265" t="s">
        <v>2951</v>
      </c>
      <c r="E2760" s="105" t="s">
        <v>3565</v>
      </c>
      <c r="F2760" s="96" t="s">
        <v>3566</v>
      </c>
      <c r="G2760" s="96" t="s">
        <v>88</v>
      </c>
      <c r="H2760" s="19" t="s">
        <v>3647</v>
      </c>
      <c r="I2760" s="23" t="e">
        <f>VLOOKUP(H2760,'合同综合查询数据（3月返）'!$A:$A,1,FALSE)</f>
        <v>#N/A</v>
      </c>
      <c r="J2760" s="24" t="s">
        <v>3074</v>
      </c>
      <c r="K2760" s="96" t="s">
        <v>3585</v>
      </c>
      <c r="L2760" s="114"/>
      <c r="M2760" s="26" t="s">
        <v>3568</v>
      </c>
      <c r="N2760" s="106">
        <v>43354</v>
      </c>
      <c r="O2760" s="94" t="s">
        <v>457</v>
      </c>
      <c r="P2760" s="268">
        <v>5950</v>
      </c>
      <c r="Q2760" s="273">
        <v>28</v>
      </c>
      <c r="R2760" s="268">
        <f t="shared" si="68"/>
        <v>166600</v>
      </c>
      <c r="S2760" s="24">
        <v>202303</v>
      </c>
      <c r="T2760" s="127"/>
      <c r="U2760" s="40"/>
      <c r="V2760" s="40"/>
      <c r="W2760" s="40"/>
      <c r="X2760" s="106">
        <v>43190</v>
      </c>
      <c r="Y2760" s="106">
        <v>45382</v>
      </c>
    </row>
    <row r="2761" s="9" customFormat="1" customHeight="1" spans="1:25">
      <c r="A2761" s="96" t="s">
        <v>399</v>
      </c>
      <c r="B2761" s="96" t="s">
        <v>2950</v>
      </c>
      <c r="C2761" s="96" t="s">
        <v>2998</v>
      </c>
      <c r="D2761" s="265" t="s">
        <v>2951</v>
      </c>
      <c r="E2761" s="105" t="s">
        <v>3565</v>
      </c>
      <c r="F2761" s="96" t="s">
        <v>3566</v>
      </c>
      <c r="G2761" s="96" t="s">
        <v>88</v>
      </c>
      <c r="H2761" s="19" t="s">
        <v>3647</v>
      </c>
      <c r="I2761" s="23" t="e">
        <f>VLOOKUP(H2761,'合同综合查询数据（3月返）'!$A:$A,1,FALSE)</f>
        <v>#N/A</v>
      </c>
      <c r="J2761" s="24" t="s">
        <v>3074</v>
      </c>
      <c r="K2761" s="96" t="s">
        <v>3585</v>
      </c>
      <c r="L2761" s="114"/>
      <c r="M2761" s="26" t="s">
        <v>3568</v>
      </c>
      <c r="N2761" s="106">
        <v>43357</v>
      </c>
      <c r="O2761" s="94" t="s">
        <v>457</v>
      </c>
      <c r="P2761" s="268">
        <v>5950</v>
      </c>
      <c r="Q2761" s="273">
        <v>18</v>
      </c>
      <c r="R2761" s="268">
        <f t="shared" si="68"/>
        <v>107100</v>
      </c>
      <c r="S2761" s="24">
        <v>202303</v>
      </c>
      <c r="T2761" s="127"/>
      <c r="U2761" s="40"/>
      <c r="V2761" s="40"/>
      <c r="W2761" s="40"/>
      <c r="X2761" s="106">
        <v>43190</v>
      </c>
      <c r="Y2761" s="106">
        <v>45382</v>
      </c>
    </row>
    <row r="2762" s="9" customFormat="1" customHeight="1" spans="1:25">
      <c r="A2762" s="96" t="s">
        <v>399</v>
      </c>
      <c r="B2762" s="96" t="s">
        <v>2950</v>
      </c>
      <c r="C2762" s="96" t="s">
        <v>2998</v>
      </c>
      <c r="D2762" s="265" t="s">
        <v>2951</v>
      </c>
      <c r="E2762" s="105" t="s">
        <v>3565</v>
      </c>
      <c r="F2762" s="96" t="s">
        <v>3566</v>
      </c>
      <c r="G2762" s="96" t="s">
        <v>88</v>
      </c>
      <c r="H2762" s="19" t="s">
        <v>3647</v>
      </c>
      <c r="I2762" s="23" t="e">
        <f>VLOOKUP(H2762,'合同综合查询数据（3月返）'!$A:$A,1,FALSE)</f>
        <v>#N/A</v>
      </c>
      <c r="J2762" s="24" t="s">
        <v>3074</v>
      </c>
      <c r="K2762" s="96" t="s">
        <v>3585</v>
      </c>
      <c r="L2762" s="114"/>
      <c r="M2762" s="26" t="s">
        <v>3568</v>
      </c>
      <c r="N2762" s="106">
        <v>43358</v>
      </c>
      <c r="O2762" s="94" t="s">
        <v>457</v>
      </c>
      <c r="P2762" s="268">
        <v>5950</v>
      </c>
      <c r="Q2762" s="273">
        <v>11</v>
      </c>
      <c r="R2762" s="268">
        <f t="shared" si="68"/>
        <v>65450</v>
      </c>
      <c r="S2762" s="24">
        <v>202303</v>
      </c>
      <c r="T2762" s="127"/>
      <c r="U2762" s="40"/>
      <c r="V2762" s="40"/>
      <c r="W2762" s="40"/>
      <c r="X2762" s="106">
        <v>43190</v>
      </c>
      <c r="Y2762" s="106">
        <v>45382</v>
      </c>
    </row>
    <row r="2763" s="9" customFormat="1" customHeight="1" spans="1:25">
      <c r="A2763" s="96" t="s">
        <v>399</v>
      </c>
      <c r="B2763" s="96" t="s">
        <v>2950</v>
      </c>
      <c r="C2763" s="96" t="s">
        <v>2998</v>
      </c>
      <c r="D2763" s="265" t="s">
        <v>2951</v>
      </c>
      <c r="E2763" s="105" t="s">
        <v>3565</v>
      </c>
      <c r="F2763" s="96" t="s">
        <v>3566</v>
      </c>
      <c r="G2763" s="96" t="s">
        <v>88</v>
      </c>
      <c r="H2763" s="19" t="s">
        <v>3647</v>
      </c>
      <c r="I2763" s="23" t="e">
        <f>VLOOKUP(H2763,'合同综合查询数据（3月返）'!$A:$A,1,FALSE)</f>
        <v>#N/A</v>
      </c>
      <c r="J2763" s="24" t="s">
        <v>3074</v>
      </c>
      <c r="K2763" s="96" t="s">
        <v>3585</v>
      </c>
      <c r="L2763" s="114"/>
      <c r="M2763" s="26" t="s">
        <v>3568</v>
      </c>
      <c r="N2763" s="106">
        <v>43360</v>
      </c>
      <c r="O2763" s="94" t="s">
        <v>457</v>
      </c>
      <c r="P2763" s="268">
        <v>5950</v>
      </c>
      <c r="Q2763" s="273">
        <v>14</v>
      </c>
      <c r="R2763" s="268">
        <f t="shared" si="68"/>
        <v>83300</v>
      </c>
      <c r="S2763" s="24">
        <v>202303</v>
      </c>
      <c r="T2763" s="127"/>
      <c r="U2763" s="40"/>
      <c r="V2763" s="40"/>
      <c r="W2763" s="40"/>
      <c r="X2763" s="106">
        <v>43190</v>
      </c>
      <c r="Y2763" s="106">
        <v>45382</v>
      </c>
    </row>
    <row r="2764" s="9" customFormat="1" customHeight="1" spans="1:25">
      <c r="A2764" s="96" t="s">
        <v>399</v>
      </c>
      <c r="B2764" s="96" t="s">
        <v>2950</v>
      </c>
      <c r="C2764" s="96" t="s">
        <v>2998</v>
      </c>
      <c r="D2764" s="265" t="s">
        <v>2951</v>
      </c>
      <c r="E2764" s="105" t="s">
        <v>3565</v>
      </c>
      <c r="F2764" s="96" t="s">
        <v>3566</v>
      </c>
      <c r="G2764" s="96" t="s">
        <v>88</v>
      </c>
      <c r="H2764" s="19" t="s">
        <v>3647</v>
      </c>
      <c r="I2764" s="23" t="e">
        <f>VLOOKUP(H2764,'合同综合查询数据（3月返）'!$A:$A,1,FALSE)</f>
        <v>#N/A</v>
      </c>
      <c r="J2764" s="24" t="s">
        <v>3074</v>
      </c>
      <c r="K2764" s="96" t="s">
        <v>3585</v>
      </c>
      <c r="L2764" s="114"/>
      <c r="M2764" s="26" t="s">
        <v>3568</v>
      </c>
      <c r="N2764" s="106">
        <v>43361</v>
      </c>
      <c r="O2764" s="94" t="s">
        <v>457</v>
      </c>
      <c r="P2764" s="268">
        <v>5950</v>
      </c>
      <c r="Q2764" s="273">
        <v>13</v>
      </c>
      <c r="R2764" s="268">
        <f t="shared" si="68"/>
        <v>77350</v>
      </c>
      <c r="S2764" s="24">
        <v>202303</v>
      </c>
      <c r="T2764" s="127"/>
      <c r="U2764" s="40"/>
      <c r="V2764" s="40"/>
      <c r="W2764" s="40"/>
      <c r="X2764" s="106">
        <v>43190</v>
      </c>
      <c r="Y2764" s="106">
        <v>45382</v>
      </c>
    </row>
    <row r="2765" s="9" customFormat="1" customHeight="1" spans="1:25">
      <c r="A2765" s="96" t="s">
        <v>399</v>
      </c>
      <c r="B2765" s="96" t="s">
        <v>2950</v>
      </c>
      <c r="C2765" s="96" t="s">
        <v>2998</v>
      </c>
      <c r="D2765" s="265" t="s">
        <v>2951</v>
      </c>
      <c r="E2765" s="105" t="s">
        <v>3565</v>
      </c>
      <c r="F2765" s="96" t="s">
        <v>3566</v>
      </c>
      <c r="G2765" s="96" t="s">
        <v>88</v>
      </c>
      <c r="H2765" s="19" t="s">
        <v>3647</v>
      </c>
      <c r="I2765" s="23" t="e">
        <f>VLOOKUP(H2765,'合同综合查询数据（3月返）'!$A:$A,1,FALSE)</f>
        <v>#N/A</v>
      </c>
      <c r="J2765" s="24" t="s">
        <v>3074</v>
      </c>
      <c r="K2765" s="96" t="s">
        <v>3585</v>
      </c>
      <c r="L2765" s="114"/>
      <c r="M2765" s="26" t="s">
        <v>3568</v>
      </c>
      <c r="N2765" s="106">
        <v>43362</v>
      </c>
      <c r="O2765" s="94" t="s">
        <v>457</v>
      </c>
      <c r="P2765" s="268">
        <v>5950</v>
      </c>
      <c r="Q2765" s="273">
        <v>13</v>
      </c>
      <c r="R2765" s="268">
        <f t="shared" si="68"/>
        <v>77350</v>
      </c>
      <c r="S2765" s="24">
        <v>202303</v>
      </c>
      <c r="T2765" s="127"/>
      <c r="U2765" s="40"/>
      <c r="V2765" s="40"/>
      <c r="W2765" s="40"/>
      <c r="X2765" s="106">
        <v>43190</v>
      </c>
      <c r="Y2765" s="106">
        <v>45382</v>
      </c>
    </row>
    <row r="2766" s="9" customFormat="1" customHeight="1" spans="1:25">
      <c r="A2766" s="96" t="s">
        <v>399</v>
      </c>
      <c r="B2766" s="96" t="s">
        <v>2950</v>
      </c>
      <c r="C2766" s="96" t="s">
        <v>2998</v>
      </c>
      <c r="D2766" s="265" t="s">
        <v>2951</v>
      </c>
      <c r="E2766" s="105" t="s">
        <v>3565</v>
      </c>
      <c r="F2766" s="96" t="s">
        <v>3566</v>
      </c>
      <c r="G2766" s="96" t="s">
        <v>88</v>
      </c>
      <c r="H2766" s="19" t="s">
        <v>3647</v>
      </c>
      <c r="I2766" s="23" t="e">
        <f>VLOOKUP(H2766,'合同综合查询数据（3月返）'!$A:$A,1,FALSE)</f>
        <v>#N/A</v>
      </c>
      <c r="J2766" s="24" t="s">
        <v>3074</v>
      </c>
      <c r="K2766" s="96" t="s">
        <v>3585</v>
      </c>
      <c r="L2766" s="114"/>
      <c r="M2766" s="26" t="s">
        <v>3568</v>
      </c>
      <c r="N2766" s="106">
        <v>43364</v>
      </c>
      <c r="O2766" s="94" t="s">
        <v>457</v>
      </c>
      <c r="P2766" s="268">
        <v>5950</v>
      </c>
      <c r="Q2766" s="273">
        <v>19</v>
      </c>
      <c r="R2766" s="268">
        <f t="shared" si="68"/>
        <v>113050</v>
      </c>
      <c r="S2766" s="24">
        <v>202303</v>
      </c>
      <c r="T2766" s="127"/>
      <c r="U2766" s="40"/>
      <c r="V2766" s="40"/>
      <c r="W2766" s="40"/>
      <c r="X2766" s="106">
        <v>43190</v>
      </c>
      <c r="Y2766" s="106">
        <v>45382</v>
      </c>
    </row>
    <row r="2767" s="9" customFormat="1" customHeight="1" spans="1:25">
      <c r="A2767" s="96" t="s">
        <v>399</v>
      </c>
      <c r="B2767" s="96" t="s">
        <v>2950</v>
      </c>
      <c r="C2767" s="96" t="s">
        <v>2998</v>
      </c>
      <c r="D2767" s="265" t="s">
        <v>2951</v>
      </c>
      <c r="E2767" s="105" t="s">
        <v>3565</v>
      </c>
      <c r="F2767" s="96" t="s">
        <v>3566</v>
      </c>
      <c r="G2767" s="96" t="s">
        <v>88</v>
      </c>
      <c r="H2767" s="19" t="s">
        <v>3647</v>
      </c>
      <c r="I2767" s="23" t="e">
        <f>VLOOKUP(H2767,'合同综合查询数据（3月返）'!$A:$A,1,FALSE)</f>
        <v>#N/A</v>
      </c>
      <c r="J2767" s="24" t="s">
        <v>3074</v>
      </c>
      <c r="K2767" s="96" t="s">
        <v>3585</v>
      </c>
      <c r="L2767" s="114"/>
      <c r="M2767" s="26" t="s">
        <v>3568</v>
      </c>
      <c r="N2767" s="106">
        <v>43370</v>
      </c>
      <c r="O2767" s="94" t="s">
        <v>457</v>
      </c>
      <c r="P2767" s="268">
        <v>5950</v>
      </c>
      <c r="Q2767" s="273">
        <v>3</v>
      </c>
      <c r="R2767" s="268">
        <f t="shared" si="68"/>
        <v>17850</v>
      </c>
      <c r="S2767" s="24">
        <v>202303</v>
      </c>
      <c r="T2767" s="127"/>
      <c r="U2767" s="40"/>
      <c r="V2767" s="40"/>
      <c r="W2767" s="40"/>
      <c r="X2767" s="106">
        <v>43190</v>
      </c>
      <c r="Y2767" s="106">
        <v>45382</v>
      </c>
    </row>
    <row r="2768" s="9" customFormat="1" customHeight="1" spans="1:25">
      <c r="A2768" s="96" t="s">
        <v>399</v>
      </c>
      <c r="B2768" s="96" t="s">
        <v>2950</v>
      </c>
      <c r="C2768" s="96" t="s">
        <v>2998</v>
      </c>
      <c r="D2768" s="265" t="s">
        <v>2951</v>
      </c>
      <c r="E2768" s="105" t="s">
        <v>3565</v>
      </c>
      <c r="F2768" s="96" t="s">
        <v>3566</v>
      </c>
      <c r="G2768" s="96" t="s">
        <v>88</v>
      </c>
      <c r="H2768" s="19" t="s">
        <v>3647</v>
      </c>
      <c r="I2768" s="23" t="e">
        <f>VLOOKUP(H2768,'合同综合查询数据（3月返）'!$A:$A,1,FALSE)</f>
        <v>#N/A</v>
      </c>
      <c r="J2768" s="24" t="s">
        <v>3074</v>
      </c>
      <c r="K2768" s="96" t="s">
        <v>3585</v>
      </c>
      <c r="L2768" s="114"/>
      <c r="M2768" s="26" t="s">
        <v>3568</v>
      </c>
      <c r="N2768" s="106">
        <v>43371</v>
      </c>
      <c r="O2768" s="94" t="s">
        <v>457</v>
      </c>
      <c r="P2768" s="268">
        <v>5950</v>
      </c>
      <c r="Q2768" s="273">
        <v>2</v>
      </c>
      <c r="R2768" s="268">
        <f t="shared" si="68"/>
        <v>11900</v>
      </c>
      <c r="S2768" s="24">
        <v>202303</v>
      </c>
      <c r="T2768" s="127"/>
      <c r="U2768" s="40"/>
      <c r="V2768" s="40"/>
      <c r="W2768" s="40"/>
      <c r="X2768" s="106">
        <v>43190</v>
      </c>
      <c r="Y2768" s="106">
        <v>45382</v>
      </c>
    </row>
    <row r="2769" s="9" customFormat="1" customHeight="1" spans="1:25">
      <c r="A2769" s="96" t="s">
        <v>399</v>
      </c>
      <c r="B2769" s="96" t="s">
        <v>2950</v>
      </c>
      <c r="C2769" s="96" t="s">
        <v>2998</v>
      </c>
      <c r="D2769" s="265" t="s">
        <v>2951</v>
      </c>
      <c r="E2769" s="105" t="s">
        <v>3565</v>
      </c>
      <c r="F2769" s="96" t="s">
        <v>3566</v>
      </c>
      <c r="G2769" s="96" t="s">
        <v>88</v>
      </c>
      <c r="H2769" s="19" t="s">
        <v>3647</v>
      </c>
      <c r="I2769" s="23" t="e">
        <f>VLOOKUP(H2769,'合同综合查询数据（3月返）'!$A:$A,1,FALSE)</f>
        <v>#N/A</v>
      </c>
      <c r="J2769" s="24" t="s">
        <v>3074</v>
      </c>
      <c r="K2769" s="96" t="s">
        <v>3585</v>
      </c>
      <c r="L2769" s="114"/>
      <c r="M2769" s="26" t="s">
        <v>3568</v>
      </c>
      <c r="N2769" s="106">
        <v>43373</v>
      </c>
      <c r="O2769" s="94" t="s">
        <v>457</v>
      </c>
      <c r="P2769" s="268">
        <v>5950</v>
      </c>
      <c r="Q2769" s="273">
        <v>25</v>
      </c>
      <c r="R2769" s="268">
        <f t="shared" si="68"/>
        <v>148750</v>
      </c>
      <c r="S2769" s="24">
        <v>202303</v>
      </c>
      <c r="T2769" s="127"/>
      <c r="U2769" s="40"/>
      <c r="V2769" s="40"/>
      <c r="W2769" s="40"/>
      <c r="X2769" s="106">
        <v>43190</v>
      </c>
      <c r="Y2769" s="106">
        <v>45382</v>
      </c>
    </row>
    <row r="2770" s="9" customFormat="1" customHeight="1" spans="1:25">
      <c r="A2770" s="96" t="s">
        <v>399</v>
      </c>
      <c r="B2770" s="96" t="s">
        <v>2950</v>
      </c>
      <c r="C2770" s="96" t="s">
        <v>2998</v>
      </c>
      <c r="D2770" s="265" t="s">
        <v>2951</v>
      </c>
      <c r="E2770" s="105" t="s">
        <v>3565</v>
      </c>
      <c r="F2770" s="96" t="s">
        <v>3566</v>
      </c>
      <c r="G2770" s="96" t="s">
        <v>88</v>
      </c>
      <c r="H2770" s="19" t="s">
        <v>3647</v>
      </c>
      <c r="I2770" s="23" t="e">
        <f>VLOOKUP(H2770,'合同综合查询数据（3月返）'!$A:$A,1,FALSE)</f>
        <v>#N/A</v>
      </c>
      <c r="J2770" s="24" t="s">
        <v>3074</v>
      </c>
      <c r="K2770" s="96" t="s">
        <v>3585</v>
      </c>
      <c r="L2770" s="114"/>
      <c r="M2770" s="26" t="s">
        <v>3568</v>
      </c>
      <c r="N2770" s="106">
        <v>43381</v>
      </c>
      <c r="O2770" s="94" t="s">
        <v>457</v>
      </c>
      <c r="P2770" s="268">
        <v>5950</v>
      </c>
      <c r="Q2770" s="273">
        <v>5</v>
      </c>
      <c r="R2770" s="268">
        <f t="shared" si="68"/>
        <v>29750</v>
      </c>
      <c r="S2770" s="24">
        <v>202303</v>
      </c>
      <c r="T2770" s="127"/>
      <c r="U2770" s="40"/>
      <c r="V2770" s="40"/>
      <c r="W2770" s="40"/>
      <c r="X2770" s="106">
        <v>43190</v>
      </c>
      <c r="Y2770" s="106">
        <v>45382</v>
      </c>
    </row>
    <row r="2771" s="9" customFormat="1" customHeight="1" spans="1:25">
      <c r="A2771" s="96" t="s">
        <v>399</v>
      </c>
      <c r="B2771" s="96" t="s">
        <v>2950</v>
      </c>
      <c r="C2771" s="96" t="s">
        <v>2998</v>
      </c>
      <c r="D2771" s="265" t="s">
        <v>2951</v>
      </c>
      <c r="E2771" s="105" t="s">
        <v>3565</v>
      </c>
      <c r="F2771" s="96" t="s">
        <v>3566</v>
      </c>
      <c r="G2771" s="96" t="s">
        <v>88</v>
      </c>
      <c r="H2771" s="19" t="s">
        <v>3647</v>
      </c>
      <c r="I2771" s="23" t="e">
        <f>VLOOKUP(H2771,'合同综合查询数据（3月返）'!$A:$A,1,FALSE)</f>
        <v>#N/A</v>
      </c>
      <c r="J2771" s="24" t="s">
        <v>3074</v>
      </c>
      <c r="K2771" s="96" t="s">
        <v>3585</v>
      </c>
      <c r="L2771" s="114"/>
      <c r="M2771" s="26" t="s">
        <v>3568</v>
      </c>
      <c r="N2771" s="106">
        <v>43389</v>
      </c>
      <c r="O2771" s="94" t="s">
        <v>457</v>
      </c>
      <c r="P2771" s="268">
        <v>5950</v>
      </c>
      <c r="Q2771" s="273">
        <v>33</v>
      </c>
      <c r="R2771" s="268">
        <f t="shared" si="68"/>
        <v>196350</v>
      </c>
      <c r="S2771" s="24">
        <v>202303</v>
      </c>
      <c r="T2771" s="127"/>
      <c r="U2771" s="40"/>
      <c r="V2771" s="40"/>
      <c r="W2771" s="40"/>
      <c r="X2771" s="106">
        <v>43190</v>
      </c>
      <c r="Y2771" s="106">
        <v>45382</v>
      </c>
    </row>
    <row r="2772" s="9" customFormat="1" customHeight="1" spans="1:25">
      <c r="A2772" s="96" t="s">
        <v>399</v>
      </c>
      <c r="B2772" s="96" t="s">
        <v>2950</v>
      </c>
      <c r="C2772" s="96" t="s">
        <v>2998</v>
      </c>
      <c r="D2772" s="265" t="s">
        <v>2951</v>
      </c>
      <c r="E2772" s="105" t="s">
        <v>3565</v>
      </c>
      <c r="F2772" s="96" t="s">
        <v>3566</v>
      </c>
      <c r="G2772" s="96" t="s">
        <v>88</v>
      </c>
      <c r="H2772" s="19" t="s">
        <v>3647</v>
      </c>
      <c r="I2772" s="23" t="e">
        <f>VLOOKUP(H2772,'合同综合查询数据（3月返）'!$A:$A,1,FALSE)</f>
        <v>#N/A</v>
      </c>
      <c r="J2772" s="24" t="s">
        <v>3074</v>
      </c>
      <c r="K2772" s="96" t="s">
        <v>3585</v>
      </c>
      <c r="L2772" s="114"/>
      <c r="M2772" s="26" t="s">
        <v>3568</v>
      </c>
      <c r="N2772" s="106">
        <v>43395</v>
      </c>
      <c r="O2772" s="94" t="s">
        <v>457</v>
      </c>
      <c r="P2772" s="268">
        <v>5950</v>
      </c>
      <c r="Q2772" s="273">
        <v>5</v>
      </c>
      <c r="R2772" s="268">
        <f t="shared" si="68"/>
        <v>29750</v>
      </c>
      <c r="S2772" s="24">
        <v>202303</v>
      </c>
      <c r="T2772" s="127"/>
      <c r="U2772" s="40"/>
      <c r="V2772" s="40"/>
      <c r="W2772" s="40"/>
      <c r="X2772" s="106">
        <v>43190</v>
      </c>
      <c r="Y2772" s="106">
        <v>45382</v>
      </c>
    </row>
    <row r="2773" s="9" customFormat="1" customHeight="1" spans="1:25">
      <c r="A2773" s="96" t="s">
        <v>399</v>
      </c>
      <c r="B2773" s="96" t="s">
        <v>2950</v>
      </c>
      <c r="C2773" s="96" t="s">
        <v>2998</v>
      </c>
      <c r="D2773" s="265" t="s">
        <v>2951</v>
      </c>
      <c r="E2773" s="105" t="s">
        <v>3565</v>
      </c>
      <c r="F2773" s="96" t="s">
        <v>3566</v>
      </c>
      <c r="G2773" s="96" t="s">
        <v>88</v>
      </c>
      <c r="H2773" s="19" t="s">
        <v>3647</v>
      </c>
      <c r="I2773" s="23" t="e">
        <f>VLOOKUP(H2773,'合同综合查询数据（3月返）'!$A:$A,1,FALSE)</f>
        <v>#N/A</v>
      </c>
      <c r="J2773" s="24" t="s">
        <v>3074</v>
      </c>
      <c r="K2773" s="96" t="s">
        <v>3585</v>
      </c>
      <c r="L2773" s="114"/>
      <c r="M2773" s="26" t="s">
        <v>3568</v>
      </c>
      <c r="N2773" s="106">
        <v>43396</v>
      </c>
      <c r="O2773" s="94" t="s">
        <v>457</v>
      </c>
      <c r="P2773" s="268">
        <v>5950</v>
      </c>
      <c r="Q2773" s="273">
        <v>2</v>
      </c>
      <c r="R2773" s="268">
        <f t="shared" si="68"/>
        <v>11900</v>
      </c>
      <c r="S2773" s="24">
        <v>202303</v>
      </c>
      <c r="T2773" s="127"/>
      <c r="U2773" s="40"/>
      <c r="V2773" s="40"/>
      <c r="W2773" s="40"/>
      <c r="X2773" s="106">
        <v>43190</v>
      </c>
      <c r="Y2773" s="106">
        <v>45382</v>
      </c>
    </row>
    <row r="2774" s="9" customFormat="1" customHeight="1" spans="1:25">
      <c r="A2774" s="96" t="s">
        <v>399</v>
      </c>
      <c r="B2774" s="96" t="s">
        <v>2950</v>
      </c>
      <c r="C2774" s="96" t="s">
        <v>2998</v>
      </c>
      <c r="D2774" s="265" t="s">
        <v>2951</v>
      </c>
      <c r="E2774" s="105" t="s">
        <v>3565</v>
      </c>
      <c r="F2774" s="96" t="s">
        <v>3566</v>
      </c>
      <c r="G2774" s="96" t="s">
        <v>88</v>
      </c>
      <c r="H2774" s="19" t="s">
        <v>3647</v>
      </c>
      <c r="I2774" s="23" t="e">
        <f>VLOOKUP(H2774,'合同综合查询数据（3月返）'!$A:$A,1,FALSE)</f>
        <v>#N/A</v>
      </c>
      <c r="J2774" s="24" t="s">
        <v>3074</v>
      </c>
      <c r="K2774" s="96" t="s">
        <v>3585</v>
      </c>
      <c r="L2774" s="114"/>
      <c r="M2774" s="26" t="s">
        <v>3568</v>
      </c>
      <c r="N2774" s="106">
        <v>43397</v>
      </c>
      <c r="O2774" s="94" t="s">
        <v>457</v>
      </c>
      <c r="P2774" s="268">
        <v>5950</v>
      </c>
      <c r="Q2774" s="273">
        <v>1</v>
      </c>
      <c r="R2774" s="268">
        <f t="shared" si="68"/>
        <v>5950</v>
      </c>
      <c r="S2774" s="24">
        <v>202303</v>
      </c>
      <c r="T2774" s="127"/>
      <c r="U2774" s="40"/>
      <c r="V2774" s="40"/>
      <c r="W2774" s="40"/>
      <c r="X2774" s="106">
        <v>43190</v>
      </c>
      <c r="Y2774" s="106">
        <v>45382</v>
      </c>
    </row>
    <row r="2775" s="9" customFormat="1" customHeight="1" spans="1:25">
      <c r="A2775" s="96" t="s">
        <v>399</v>
      </c>
      <c r="B2775" s="96" t="s">
        <v>2950</v>
      </c>
      <c r="C2775" s="96" t="s">
        <v>2998</v>
      </c>
      <c r="D2775" s="265" t="s">
        <v>2951</v>
      </c>
      <c r="E2775" s="105" t="s">
        <v>3565</v>
      </c>
      <c r="F2775" s="96" t="s">
        <v>3566</v>
      </c>
      <c r="G2775" s="96" t="s">
        <v>88</v>
      </c>
      <c r="H2775" s="19" t="s">
        <v>3647</v>
      </c>
      <c r="I2775" s="23" t="e">
        <f>VLOOKUP(H2775,'合同综合查询数据（3月返）'!$A:$A,1,FALSE)</f>
        <v>#N/A</v>
      </c>
      <c r="J2775" s="24" t="s">
        <v>3074</v>
      </c>
      <c r="K2775" s="96" t="s">
        <v>3585</v>
      </c>
      <c r="L2775" s="114"/>
      <c r="M2775" s="26" t="s">
        <v>3568</v>
      </c>
      <c r="N2775" s="106">
        <v>43403</v>
      </c>
      <c r="O2775" s="94" t="s">
        <v>457</v>
      </c>
      <c r="P2775" s="268">
        <v>5950</v>
      </c>
      <c r="Q2775" s="273">
        <v>19</v>
      </c>
      <c r="R2775" s="268">
        <f t="shared" si="68"/>
        <v>113050</v>
      </c>
      <c r="S2775" s="24">
        <v>202303</v>
      </c>
      <c r="T2775" s="127"/>
      <c r="U2775" s="40"/>
      <c r="V2775" s="40"/>
      <c r="W2775" s="40"/>
      <c r="X2775" s="106">
        <v>43190</v>
      </c>
      <c r="Y2775" s="106">
        <v>45382</v>
      </c>
    </row>
    <row r="2776" s="9" customFormat="1" customHeight="1" spans="1:25">
      <c r="A2776" s="96" t="s">
        <v>399</v>
      </c>
      <c r="B2776" s="96" t="s">
        <v>2950</v>
      </c>
      <c r="C2776" s="96" t="s">
        <v>2998</v>
      </c>
      <c r="D2776" s="265" t="s">
        <v>2951</v>
      </c>
      <c r="E2776" s="105" t="s">
        <v>3565</v>
      </c>
      <c r="F2776" s="96" t="s">
        <v>3566</v>
      </c>
      <c r="G2776" s="96" t="s">
        <v>88</v>
      </c>
      <c r="H2776" s="19" t="s">
        <v>3647</v>
      </c>
      <c r="I2776" s="23" t="e">
        <f>VLOOKUP(H2776,'合同综合查询数据（3月返）'!$A:$A,1,FALSE)</f>
        <v>#N/A</v>
      </c>
      <c r="J2776" s="24" t="s">
        <v>3074</v>
      </c>
      <c r="K2776" s="96" t="s">
        <v>3585</v>
      </c>
      <c r="L2776" s="114"/>
      <c r="M2776" s="26" t="s">
        <v>3568</v>
      </c>
      <c r="N2776" s="106">
        <v>43404</v>
      </c>
      <c r="O2776" s="94" t="s">
        <v>457</v>
      </c>
      <c r="P2776" s="268">
        <v>5950</v>
      </c>
      <c r="Q2776" s="273">
        <v>32</v>
      </c>
      <c r="R2776" s="268">
        <f t="shared" si="68"/>
        <v>190400</v>
      </c>
      <c r="S2776" s="24">
        <v>202303</v>
      </c>
      <c r="T2776" s="127"/>
      <c r="U2776" s="40"/>
      <c r="V2776" s="40"/>
      <c r="W2776" s="40"/>
      <c r="X2776" s="106">
        <v>43190</v>
      </c>
      <c r="Y2776" s="106">
        <v>45382</v>
      </c>
    </row>
    <row r="2777" s="9" customFormat="1" customHeight="1" spans="1:25">
      <c r="A2777" s="96" t="s">
        <v>399</v>
      </c>
      <c r="B2777" s="96" t="s">
        <v>2950</v>
      </c>
      <c r="C2777" s="96" t="s">
        <v>2998</v>
      </c>
      <c r="D2777" s="265" t="s">
        <v>2951</v>
      </c>
      <c r="E2777" s="105" t="s">
        <v>3565</v>
      </c>
      <c r="F2777" s="96" t="s">
        <v>3566</v>
      </c>
      <c r="G2777" s="96" t="s">
        <v>88</v>
      </c>
      <c r="H2777" s="19" t="s">
        <v>3647</v>
      </c>
      <c r="I2777" s="23" t="e">
        <f>VLOOKUP(H2777,'合同综合查询数据（3月返）'!$A:$A,1,FALSE)</f>
        <v>#N/A</v>
      </c>
      <c r="J2777" s="24" t="s">
        <v>3074</v>
      </c>
      <c r="K2777" s="96" t="s">
        <v>3585</v>
      </c>
      <c r="L2777" s="114"/>
      <c r="M2777" s="26" t="s">
        <v>3568</v>
      </c>
      <c r="N2777" s="106">
        <v>43405</v>
      </c>
      <c r="O2777" s="94" t="s">
        <v>457</v>
      </c>
      <c r="P2777" s="268">
        <v>5950</v>
      </c>
      <c r="Q2777" s="273">
        <v>25</v>
      </c>
      <c r="R2777" s="268">
        <f t="shared" si="68"/>
        <v>148750</v>
      </c>
      <c r="S2777" s="24">
        <v>202303</v>
      </c>
      <c r="T2777" s="127"/>
      <c r="U2777" s="40"/>
      <c r="V2777" s="40"/>
      <c r="W2777" s="40"/>
      <c r="X2777" s="106">
        <v>43190</v>
      </c>
      <c r="Y2777" s="106">
        <v>45382</v>
      </c>
    </row>
    <row r="2778" s="9" customFormat="1" customHeight="1" spans="1:25">
      <c r="A2778" s="96" t="s">
        <v>399</v>
      </c>
      <c r="B2778" s="96" t="s">
        <v>2950</v>
      </c>
      <c r="C2778" s="96" t="s">
        <v>2998</v>
      </c>
      <c r="D2778" s="265" t="s">
        <v>2951</v>
      </c>
      <c r="E2778" s="105" t="s">
        <v>3565</v>
      </c>
      <c r="F2778" s="96" t="s">
        <v>3566</v>
      </c>
      <c r="G2778" s="96" t="s">
        <v>88</v>
      </c>
      <c r="H2778" s="19" t="s">
        <v>3647</v>
      </c>
      <c r="I2778" s="23" t="e">
        <f>VLOOKUP(H2778,'合同综合查询数据（3月返）'!$A:$A,1,FALSE)</f>
        <v>#N/A</v>
      </c>
      <c r="J2778" s="24" t="s">
        <v>3074</v>
      </c>
      <c r="K2778" s="96" t="s">
        <v>3585</v>
      </c>
      <c r="L2778" s="114"/>
      <c r="M2778" s="26" t="s">
        <v>3568</v>
      </c>
      <c r="N2778" s="106">
        <v>43406</v>
      </c>
      <c r="O2778" s="94" t="s">
        <v>457</v>
      </c>
      <c r="P2778" s="268">
        <v>5950</v>
      </c>
      <c r="Q2778" s="273">
        <v>25</v>
      </c>
      <c r="R2778" s="268">
        <f t="shared" si="68"/>
        <v>148750</v>
      </c>
      <c r="S2778" s="24">
        <v>202303</v>
      </c>
      <c r="T2778" s="127"/>
      <c r="U2778" s="40"/>
      <c r="V2778" s="40"/>
      <c r="W2778" s="40"/>
      <c r="X2778" s="106">
        <v>43190</v>
      </c>
      <c r="Y2778" s="106">
        <v>45382</v>
      </c>
    </row>
    <row r="2779" s="9" customFormat="1" customHeight="1" spans="1:25">
      <c r="A2779" s="96" t="s">
        <v>399</v>
      </c>
      <c r="B2779" s="96" t="s">
        <v>2950</v>
      </c>
      <c r="C2779" s="96" t="s">
        <v>2998</v>
      </c>
      <c r="D2779" s="265" t="s">
        <v>2951</v>
      </c>
      <c r="E2779" s="105" t="s">
        <v>3565</v>
      </c>
      <c r="F2779" s="96" t="s">
        <v>3566</v>
      </c>
      <c r="G2779" s="96" t="s">
        <v>88</v>
      </c>
      <c r="H2779" s="19" t="s">
        <v>3647</v>
      </c>
      <c r="I2779" s="23" t="e">
        <f>VLOOKUP(H2779,'合同综合查询数据（3月返）'!$A:$A,1,FALSE)</f>
        <v>#N/A</v>
      </c>
      <c r="J2779" s="24" t="s">
        <v>3074</v>
      </c>
      <c r="K2779" s="96" t="s">
        <v>3585</v>
      </c>
      <c r="L2779" s="114"/>
      <c r="M2779" s="26" t="s">
        <v>3568</v>
      </c>
      <c r="N2779" s="106">
        <v>43410</v>
      </c>
      <c r="O2779" s="94" t="s">
        <v>457</v>
      </c>
      <c r="P2779" s="268">
        <v>5950</v>
      </c>
      <c r="Q2779" s="273">
        <v>28</v>
      </c>
      <c r="R2779" s="268">
        <f t="shared" si="68"/>
        <v>166600</v>
      </c>
      <c r="S2779" s="24">
        <v>202303</v>
      </c>
      <c r="T2779" s="127"/>
      <c r="U2779" s="40"/>
      <c r="V2779" s="40"/>
      <c r="W2779" s="40"/>
      <c r="X2779" s="106">
        <v>43190</v>
      </c>
      <c r="Y2779" s="106">
        <v>45382</v>
      </c>
    </row>
    <row r="2780" s="9" customFormat="1" customHeight="1" spans="1:25">
      <c r="A2780" s="96" t="s">
        <v>399</v>
      </c>
      <c r="B2780" s="96" t="s">
        <v>2950</v>
      </c>
      <c r="C2780" s="96" t="s">
        <v>2998</v>
      </c>
      <c r="D2780" s="265" t="s">
        <v>2951</v>
      </c>
      <c r="E2780" s="105" t="s">
        <v>3565</v>
      </c>
      <c r="F2780" s="96" t="s">
        <v>3566</v>
      </c>
      <c r="G2780" s="96" t="s">
        <v>88</v>
      </c>
      <c r="H2780" s="19" t="s">
        <v>3647</v>
      </c>
      <c r="I2780" s="23" t="e">
        <f>VLOOKUP(H2780,'合同综合查询数据（3月返）'!$A:$A,1,FALSE)</f>
        <v>#N/A</v>
      </c>
      <c r="J2780" s="24" t="s">
        <v>3074</v>
      </c>
      <c r="K2780" s="96" t="s">
        <v>3585</v>
      </c>
      <c r="L2780" s="114"/>
      <c r="M2780" s="26" t="s">
        <v>3568</v>
      </c>
      <c r="N2780" s="106">
        <v>43413</v>
      </c>
      <c r="O2780" s="94" t="s">
        <v>457</v>
      </c>
      <c r="P2780" s="268">
        <v>5950</v>
      </c>
      <c r="Q2780" s="273">
        <v>3</v>
      </c>
      <c r="R2780" s="268">
        <f t="shared" si="68"/>
        <v>17850</v>
      </c>
      <c r="S2780" s="24">
        <v>202303</v>
      </c>
      <c r="T2780" s="127"/>
      <c r="U2780" s="40"/>
      <c r="V2780" s="40"/>
      <c r="W2780" s="40"/>
      <c r="X2780" s="106">
        <v>43190</v>
      </c>
      <c r="Y2780" s="106">
        <v>45382</v>
      </c>
    </row>
    <row r="2781" s="9" customFormat="1" customHeight="1" spans="1:25">
      <c r="A2781" s="96" t="s">
        <v>399</v>
      </c>
      <c r="B2781" s="96" t="s">
        <v>2950</v>
      </c>
      <c r="C2781" s="96" t="s">
        <v>2998</v>
      </c>
      <c r="D2781" s="265" t="s">
        <v>2951</v>
      </c>
      <c r="E2781" s="105" t="s">
        <v>3565</v>
      </c>
      <c r="F2781" s="96" t="s">
        <v>3566</v>
      </c>
      <c r="G2781" s="96" t="s">
        <v>88</v>
      </c>
      <c r="H2781" s="19" t="s">
        <v>3647</v>
      </c>
      <c r="I2781" s="23" t="e">
        <f>VLOOKUP(H2781,'合同综合查询数据（3月返）'!$A:$A,1,FALSE)</f>
        <v>#N/A</v>
      </c>
      <c r="J2781" s="24" t="s">
        <v>3074</v>
      </c>
      <c r="K2781" s="96" t="s">
        <v>3585</v>
      </c>
      <c r="L2781" s="114"/>
      <c r="M2781" s="26" t="s">
        <v>3568</v>
      </c>
      <c r="N2781" s="106">
        <v>43417</v>
      </c>
      <c r="O2781" s="94" t="s">
        <v>457</v>
      </c>
      <c r="P2781" s="268">
        <v>5950</v>
      </c>
      <c r="Q2781" s="273">
        <v>52</v>
      </c>
      <c r="R2781" s="268">
        <f t="shared" si="68"/>
        <v>309400</v>
      </c>
      <c r="S2781" s="24">
        <v>202303</v>
      </c>
      <c r="T2781" s="127"/>
      <c r="U2781" s="40"/>
      <c r="V2781" s="40"/>
      <c r="W2781" s="40"/>
      <c r="X2781" s="106">
        <v>43190</v>
      </c>
      <c r="Y2781" s="106">
        <v>45382</v>
      </c>
    </row>
    <row r="2782" s="9" customFormat="1" customHeight="1" spans="1:25">
      <c r="A2782" s="96" t="s">
        <v>399</v>
      </c>
      <c r="B2782" s="96" t="s">
        <v>2950</v>
      </c>
      <c r="C2782" s="96" t="s">
        <v>2998</v>
      </c>
      <c r="D2782" s="265" t="s">
        <v>2951</v>
      </c>
      <c r="E2782" s="105" t="s">
        <v>3565</v>
      </c>
      <c r="F2782" s="96" t="s">
        <v>3566</v>
      </c>
      <c r="G2782" s="96" t="s">
        <v>88</v>
      </c>
      <c r="H2782" s="19" t="s">
        <v>3647</v>
      </c>
      <c r="I2782" s="23" t="e">
        <f>VLOOKUP(H2782,'合同综合查询数据（3月返）'!$A:$A,1,FALSE)</f>
        <v>#N/A</v>
      </c>
      <c r="J2782" s="24" t="s">
        <v>3074</v>
      </c>
      <c r="K2782" s="96" t="s">
        <v>3585</v>
      </c>
      <c r="L2782" s="114"/>
      <c r="M2782" s="26" t="s">
        <v>3568</v>
      </c>
      <c r="N2782" s="106">
        <v>43418</v>
      </c>
      <c r="O2782" s="94" t="s">
        <v>457</v>
      </c>
      <c r="P2782" s="268">
        <v>5950</v>
      </c>
      <c r="Q2782" s="273">
        <v>8</v>
      </c>
      <c r="R2782" s="268">
        <f t="shared" si="68"/>
        <v>47600</v>
      </c>
      <c r="S2782" s="24">
        <v>202303</v>
      </c>
      <c r="T2782" s="127"/>
      <c r="U2782" s="40"/>
      <c r="V2782" s="40"/>
      <c r="W2782" s="40"/>
      <c r="X2782" s="106">
        <v>43190</v>
      </c>
      <c r="Y2782" s="106">
        <v>45382</v>
      </c>
    </row>
    <row r="2783" s="9" customFormat="1" customHeight="1" spans="1:25">
      <c r="A2783" s="96" t="s">
        <v>399</v>
      </c>
      <c r="B2783" s="96" t="s">
        <v>2950</v>
      </c>
      <c r="C2783" s="96" t="s">
        <v>2998</v>
      </c>
      <c r="D2783" s="265" t="s">
        <v>2951</v>
      </c>
      <c r="E2783" s="105" t="s">
        <v>3565</v>
      </c>
      <c r="F2783" s="96" t="s">
        <v>3566</v>
      </c>
      <c r="G2783" s="96" t="s">
        <v>88</v>
      </c>
      <c r="H2783" s="19" t="s">
        <v>3647</v>
      </c>
      <c r="I2783" s="23" t="e">
        <f>VLOOKUP(H2783,'合同综合查询数据（3月返）'!$A:$A,1,FALSE)</f>
        <v>#N/A</v>
      </c>
      <c r="J2783" s="24" t="s">
        <v>3074</v>
      </c>
      <c r="K2783" s="96" t="s">
        <v>3585</v>
      </c>
      <c r="L2783" s="114"/>
      <c r="M2783" s="26" t="s">
        <v>3568</v>
      </c>
      <c r="N2783" s="106">
        <v>43418</v>
      </c>
      <c r="O2783" s="94" t="s">
        <v>519</v>
      </c>
      <c r="P2783" s="268">
        <v>16227</v>
      </c>
      <c r="Q2783" s="273">
        <v>6</v>
      </c>
      <c r="R2783" s="268">
        <f t="shared" si="68"/>
        <v>97362</v>
      </c>
      <c r="S2783" s="24">
        <v>202303</v>
      </c>
      <c r="T2783" s="127" t="s">
        <v>3652</v>
      </c>
      <c r="U2783" s="40"/>
      <c r="V2783" s="40"/>
      <c r="W2783" s="40"/>
      <c r="X2783" s="106">
        <v>43190</v>
      </c>
      <c r="Y2783" s="106">
        <v>45382</v>
      </c>
    </row>
    <row r="2784" s="9" customFormat="1" customHeight="1" spans="1:25">
      <c r="A2784" s="96" t="s">
        <v>399</v>
      </c>
      <c r="B2784" s="96" t="s">
        <v>2950</v>
      </c>
      <c r="C2784" s="96" t="s">
        <v>2998</v>
      </c>
      <c r="D2784" s="265" t="s">
        <v>2951</v>
      </c>
      <c r="E2784" s="105" t="s">
        <v>3565</v>
      </c>
      <c r="F2784" s="96" t="s">
        <v>3566</v>
      </c>
      <c r="G2784" s="96" t="s">
        <v>88</v>
      </c>
      <c r="H2784" s="19" t="s">
        <v>3647</v>
      </c>
      <c r="I2784" s="23" t="e">
        <f>VLOOKUP(H2784,'合同综合查询数据（3月返）'!$A:$A,1,FALSE)</f>
        <v>#N/A</v>
      </c>
      <c r="J2784" s="24" t="s">
        <v>3074</v>
      </c>
      <c r="K2784" s="96" t="s">
        <v>3585</v>
      </c>
      <c r="L2784" s="114"/>
      <c r="M2784" s="26" t="s">
        <v>3568</v>
      </c>
      <c r="N2784" s="106">
        <v>43422</v>
      </c>
      <c r="O2784" s="94" t="s">
        <v>457</v>
      </c>
      <c r="P2784" s="268">
        <v>5950</v>
      </c>
      <c r="Q2784" s="273">
        <v>8</v>
      </c>
      <c r="R2784" s="268">
        <f t="shared" si="68"/>
        <v>47600</v>
      </c>
      <c r="S2784" s="24">
        <v>202303</v>
      </c>
      <c r="T2784" s="127"/>
      <c r="U2784" s="40"/>
      <c r="V2784" s="40"/>
      <c r="W2784" s="40"/>
      <c r="X2784" s="106">
        <v>43190</v>
      </c>
      <c r="Y2784" s="106">
        <v>45382</v>
      </c>
    </row>
    <row r="2785" s="9" customFormat="1" customHeight="1" spans="1:25">
      <c r="A2785" s="96" t="s">
        <v>399</v>
      </c>
      <c r="B2785" s="96" t="s">
        <v>2950</v>
      </c>
      <c r="C2785" s="96" t="s">
        <v>2998</v>
      </c>
      <c r="D2785" s="265" t="s">
        <v>2951</v>
      </c>
      <c r="E2785" s="105" t="s">
        <v>3565</v>
      </c>
      <c r="F2785" s="96" t="s">
        <v>3566</v>
      </c>
      <c r="G2785" s="96" t="s">
        <v>88</v>
      </c>
      <c r="H2785" s="19" t="s">
        <v>3647</v>
      </c>
      <c r="I2785" s="23" t="e">
        <f>VLOOKUP(H2785,'合同综合查询数据（3月返）'!$A:$A,1,FALSE)</f>
        <v>#N/A</v>
      </c>
      <c r="J2785" s="24" t="s">
        <v>3074</v>
      </c>
      <c r="K2785" s="96" t="s">
        <v>3585</v>
      </c>
      <c r="L2785" s="114"/>
      <c r="M2785" s="26" t="s">
        <v>3568</v>
      </c>
      <c r="N2785" s="106">
        <v>43423</v>
      </c>
      <c r="O2785" s="94" t="s">
        <v>457</v>
      </c>
      <c r="P2785" s="268">
        <v>5950</v>
      </c>
      <c r="Q2785" s="273">
        <v>15</v>
      </c>
      <c r="R2785" s="268">
        <f t="shared" si="68"/>
        <v>89250</v>
      </c>
      <c r="S2785" s="24">
        <v>202303</v>
      </c>
      <c r="T2785" s="127"/>
      <c r="U2785" s="40"/>
      <c r="V2785" s="40"/>
      <c r="W2785" s="40"/>
      <c r="X2785" s="106">
        <v>43190</v>
      </c>
      <c r="Y2785" s="106">
        <v>45382</v>
      </c>
    </row>
    <row r="2786" s="9" customFormat="1" customHeight="1" spans="1:25">
      <c r="A2786" s="96" t="s">
        <v>399</v>
      </c>
      <c r="B2786" s="96" t="s">
        <v>2950</v>
      </c>
      <c r="C2786" s="96" t="s">
        <v>2998</v>
      </c>
      <c r="D2786" s="265" t="s">
        <v>2951</v>
      </c>
      <c r="E2786" s="105" t="s">
        <v>3565</v>
      </c>
      <c r="F2786" s="96" t="s">
        <v>3566</v>
      </c>
      <c r="G2786" s="96" t="s">
        <v>88</v>
      </c>
      <c r="H2786" s="19" t="s">
        <v>3647</v>
      </c>
      <c r="I2786" s="23" t="e">
        <f>VLOOKUP(H2786,'合同综合查询数据（3月返）'!$A:$A,1,FALSE)</f>
        <v>#N/A</v>
      </c>
      <c r="J2786" s="24" t="s">
        <v>3074</v>
      </c>
      <c r="K2786" s="96" t="s">
        <v>3585</v>
      </c>
      <c r="L2786" s="114"/>
      <c r="M2786" s="26" t="s">
        <v>3568</v>
      </c>
      <c r="N2786" s="106">
        <v>43426</v>
      </c>
      <c r="O2786" s="94" t="s">
        <v>457</v>
      </c>
      <c r="P2786" s="268">
        <v>5950</v>
      </c>
      <c r="Q2786" s="273">
        <v>7</v>
      </c>
      <c r="R2786" s="268">
        <f t="shared" si="68"/>
        <v>41650</v>
      </c>
      <c r="S2786" s="24">
        <v>202303</v>
      </c>
      <c r="T2786" s="127"/>
      <c r="U2786" s="40"/>
      <c r="V2786" s="40"/>
      <c r="W2786" s="40"/>
      <c r="X2786" s="106">
        <v>43190</v>
      </c>
      <c r="Y2786" s="106">
        <v>45382</v>
      </c>
    </row>
    <row r="2787" s="9" customFormat="1" customHeight="1" spans="1:25">
      <c r="A2787" s="96" t="s">
        <v>399</v>
      </c>
      <c r="B2787" s="96" t="s">
        <v>2950</v>
      </c>
      <c r="C2787" s="96" t="s">
        <v>2998</v>
      </c>
      <c r="D2787" s="265" t="s">
        <v>2951</v>
      </c>
      <c r="E2787" s="105" t="s">
        <v>3565</v>
      </c>
      <c r="F2787" s="96" t="s">
        <v>3566</v>
      </c>
      <c r="G2787" s="96" t="s">
        <v>88</v>
      </c>
      <c r="H2787" s="19" t="s">
        <v>3647</v>
      </c>
      <c r="I2787" s="23" t="e">
        <f>VLOOKUP(H2787,'合同综合查询数据（3月返）'!$A:$A,1,FALSE)</f>
        <v>#N/A</v>
      </c>
      <c r="J2787" s="24" t="s">
        <v>3074</v>
      </c>
      <c r="K2787" s="96" t="s">
        <v>3585</v>
      </c>
      <c r="L2787" s="114"/>
      <c r="M2787" s="26" t="s">
        <v>3568</v>
      </c>
      <c r="N2787" s="106">
        <v>43427</v>
      </c>
      <c r="O2787" s="94" t="s">
        <v>457</v>
      </c>
      <c r="P2787" s="268">
        <v>5950</v>
      </c>
      <c r="Q2787" s="273">
        <v>1</v>
      </c>
      <c r="R2787" s="268">
        <f t="shared" si="68"/>
        <v>5950</v>
      </c>
      <c r="S2787" s="24">
        <v>202303</v>
      </c>
      <c r="T2787" s="127"/>
      <c r="U2787" s="40"/>
      <c r="V2787" s="40"/>
      <c r="W2787" s="40"/>
      <c r="X2787" s="106">
        <v>43190</v>
      </c>
      <c r="Y2787" s="106">
        <v>45382</v>
      </c>
    </row>
    <row r="2788" s="9" customFormat="1" customHeight="1" spans="1:25">
      <c r="A2788" s="96" t="s">
        <v>399</v>
      </c>
      <c r="B2788" s="96" t="s">
        <v>2950</v>
      </c>
      <c r="C2788" s="96" t="s">
        <v>2998</v>
      </c>
      <c r="D2788" s="265" t="s">
        <v>2951</v>
      </c>
      <c r="E2788" s="105" t="s">
        <v>3565</v>
      </c>
      <c r="F2788" s="96" t="s">
        <v>3566</v>
      </c>
      <c r="G2788" s="96" t="s">
        <v>88</v>
      </c>
      <c r="H2788" s="19" t="s">
        <v>3647</v>
      </c>
      <c r="I2788" s="23" t="e">
        <f>VLOOKUP(H2788,'合同综合查询数据（3月返）'!$A:$A,1,FALSE)</f>
        <v>#N/A</v>
      </c>
      <c r="J2788" s="24" t="s">
        <v>3074</v>
      </c>
      <c r="K2788" s="96" t="s">
        <v>3585</v>
      </c>
      <c r="L2788" s="114"/>
      <c r="M2788" s="26" t="s">
        <v>3568</v>
      </c>
      <c r="N2788" s="106">
        <v>43430</v>
      </c>
      <c r="O2788" s="94" t="s">
        <v>457</v>
      </c>
      <c r="P2788" s="268">
        <v>5950</v>
      </c>
      <c r="Q2788" s="273">
        <v>34</v>
      </c>
      <c r="R2788" s="268">
        <f t="shared" si="68"/>
        <v>202300</v>
      </c>
      <c r="S2788" s="24">
        <v>202303</v>
      </c>
      <c r="T2788" s="127"/>
      <c r="U2788" s="40"/>
      <c r="V2788" s="40"/>
      <c r="W2788" s="40"/>
      <c r="X2788" s="106">
        <v>43190</v>
      </c>
      <c r="Y2788" s="106">
        <v>45382</v>
      </c>
    </row>
    <row r="2789" s="9" customFormat="1" customHeight="1" spans="1:25">
      <c r="A2789" s="96" t="s">
        <v>399</v>
      </c>
      <c r="B2789" s="96" t="s">
        <v>2950</v>
      </c>
      <c r="C2789" s="96" t="s">
        <v>2998</v>
      </c>
      <c r="D2789" s="265" t="s">
        <v>2951</v>
      </c>
      <c r="E2789" s="105" t="s">
        <v>3565</v>
      </c>
      <c r="F2789" s="96" t="s">
        <v>3566</v>
      </c>
      <c r="G2789" s="96" t="s">
        <v>88</v>
      </c>
      <c r="H2789" s="19" t="s">
        <v>3647</v>
      </c>
      <c r="I2789" s="23" t="e">
        <f>VLOOKUP(H2789,'合同综合查询数据（3月返）'!$A:$A,1,FALSE)</f>
        <v>#N/A</v>
      </c>
      <c r="J2789" s="24" t="s">
        <v>3074</v>
      </c>
      <c r="K2789" s="96" t="s">
        <v>3585</v>
      </c>
      <c r="L2789" s="114"/>
      <c r="M2789" s="26" t="s">
        <v>3568</v>
      </c>
      <c r="N2789" s="106">
        <v>43432</v>
      </c>
      <c r="O2789" s="94" t="s">
        <v>457</v>
      </c>
      <c r="P2789" s="268">
        <v>5950</v>
      </c>
      <c r="Q2789" s="273">
        <v>73</v>
      </c>
      <c r="R2789" s="268">
        <f t="shared" si="68"/>
        <v>434350</v>
      </c>
      <c r="S2789" s="24">
        <v>202303</v>
      </c>
      <c r="T2789" s="127"/>
      <c r="U2789" s="40"/>
      <c r="V2789" s="40"/>
      <c r="W2789" s="40"/>
      <c r="X2789" s="106">
        <v>43190</v>
      </c>
      <c r="Y2789" s="106">
        <v>45382</v>
      </c>
    </row>
    <row r="2790" s="9" customFormat="1" customHeight="1" spans="1:25">
      <c r="A2790" s="96" t="s">
        <v>399</v>
      </c>
      <c r="B2790" s="96" t="s">
        <v>2950</v>
      </c>
      <c r="C2790" s="96" t="s">
        <v>2998</v>
      </c>
      <c r="D2790" s="265" t="s">
        <v>2951</v>
      </c>
      <c r="E2790" s="105" t="s">
        <v>3565</v>
      </c>
      <c r="F2790" s="96" t="s">
        <v>3566</v>
      </c>
      <c r="G2790" s="96" t="s">
        <v>88</v>
      </c>
      <c r="H2790" s="19" t="s">
        <v>3647</v>
      </c>
      <c r="I2790" s="23" t="e">
        <f>VLOOKUP(H2790,'合同综合查询数据（3月返）'!$A:$A,1,FALSE)</f>
        <v>#N/A</v>
      </c>
      <c r="J2790" s="24" t="s">
        <v>3074</v>
      </c>
      <c r="K2790" s="96" t="s">
        <v>3585</v>
      </c>
      <c r="L2790" s="114"/>
      <c r="M2790" s="26" t="s">
        <v>3568</v>
      </c>
      <c r="N2790" s="106">
        <v>43433</v>
      </c>
      <c r="O2790" s="94" t="s">
        <v>457</v>
      </c>
      <c r="P2790" s="268">
        <v>5950</v>
      </c>
      <c r="Q2790" s="273">
        <v>24</v>
      </c>
      <c r="R2790" s="268">
        <f t="shared" si="68"/>
        <v>142800</v>
      </c>
      <c r="S2790" s="24">
        <v>202303</v>
      </c>
      <c r="T2790" s="127"/>
      <c r="U2790" s="40"/>
      <c r="V2790" s="40"/>
      <c r="W2790" s="40"/>
      <c r="X2790" s="106">
        <v>43190</v>
      </c>
      <c r="Y2790" s="106">
        <v>45382</v>
      </c>
    </row>
    <row r="2791" s="9" customFormat="1" customHeight="1" spans="1:25">
      <c r="A2791" s="96" t="s">
        <v>399</v>
      </c>
      <c r="B2791" s="96" t="s">
        <v>2950</v>
      </c>
      <c r="C2791" s="96" t="s">
        <v>2998</v>
      </c>
      <c r="D2791" s="265" t="s">
        <v>2951</v>
      </c>
      <c r="E2791" s="105" t="s">
        <v>3565</v>
      </c>
      <c r="F2791" s="96" t="s">
        <v>3566</v>
      </c>
      <c r="G2791" s="96" t="s">
        <v>88</v>
      </c>
      <c r="H2791" s="19" t="s">
        <v>3647</v>
      </c>
      <c r="I2791" s="23" t="e">
        <f>VLOOKUP(H2791,'合同综合查询数据（3月返）'!$A:$A,1,FALSE)</f>
        <v>#N/A</v>
      </c>
      <c r="J2791" s="24" t="s">
        <v>3074</v>
      </c>
      <c r="K2791" s="96" t="s">
        <v>3585</v>
      </c>
      <c r="L2791" s="114"/>
      <c r="M2791" s="26" t="s">
        <v>3568</v>
      </c>
      <c r="N2791" s="106">
        <v>43434</v>
      </c>
      <c r="O2791" s="94" t="s">
        <v>457</v>
      </c>
      <c r="P2791" s="268">
        <v>5950</v>
      </c>
      <c r="Q2791" s="273">
        <v>24</v>
      </c>
      <c r="R2791" s="268">
        <f t="shared" si="68"/>
        <v>142800</v>
      </c>
      <c r="S2791" s="24">
        <v>202303</v>
      </c>
      <c r="T2791" s="127"/>
      <c r="U2791" s="40"/>
      <c r="V2791" s="40"/>
      <c r="W2791" s="40"/>
      <c r="X2791" s="106">
        <v>43190</v>
      </c>
      <c r="Y2791" s="106">
        <v>45382</v>
      </c>
    </row>
    <row r="2792" s="9" customFormat="1" customHeight="1" spans="1:25">
      <c r="A2792" s="96" t="s">
        <v>399</v>
      </c>
      <c r="B2792" s="96" t="s">
        <v>2950</v>
      </c>
      <c r="C2792" s="96" t="s">
        <v>2998</v>
      </c>
      <c r="D2792" s="265" t="s">
        <v>2951</v>
      </c>
      <c r="E2792" s="105" t="s">
        <v>3565</v>
      </c>
      <c r="F2792" s="96" t="s">
        <v>3566</v>
      </c>
      <c r="G2792" s="96" t="s">
        <v>88</v>
      </c>
      <c r="H2792" s="19" t="s">
        <v>3647</v>
      </c>
      <c r="I2792" s="23" t="e">
        <f>VLOOKUP(H2792,'合同综合查询数据（3月返）'!$A:$A,1,FALSE)</f>
        <v>#N/A</v>
      </c>
      <c r="J2792" s="24" t="s">
        <v>3074</v>
      </c>
      <c r="K2792" s="96" t="s">
        <v>3585</v>
      </c>
      <c r="L2792" s="114"/>
      <c r="M2792" s="26" t="s">
        <v>3568</v>
      </c>
      <c r="N2792" s="106">
        <v>43435</v>
      </c>
      <c r="O2792" s="94" t="s">
        <v>457</v>
      </c>
      <c r="P2792" s="268">
        <v>5950</v>
      </c>
      <c r="Q2792" s="273">
        <v>10</v>
      </c>
      <c r="R2792" s="268">
        <f t="shared" si="68"/>
        <v>59500</v>
      </c>
      <c r="S2792" s="24">
        <v>202303</v>
      </c>
      <c r="T2792" s="127"/>
      <c r="U2792" s="40"/>
      <c r="V2792" s="40"/>
      <c r="W2792" s="40"/>
      <c r="X2792" s="106">
        <v>43190</v>
      </c>
      <c r="Y2792" s="106">
        <v>45382</v>
      </c>
    </row>
    <row r="2793" s="9" customFormat="1" customHeight="1" spans="1:25">
      <c r="A2793" s="96" t="s">
        <v>399</v>
      </c>
      <c r="B2793" s="96" t="s">
        <v>2950</v>
      </c>
      <c r="C2793" s="96" t="s">
        <v>2998</v>
      </c>
      <c r="D2793" s="265" t="s">
        <v>2951</v>
      </c>
      <c r="E2793" s="105" t="s">
        <v>3565</v>
      </c>
      <c r="F2793" s="96" t="s">
        <v>3566</v>
      </c>
      <c r="G2793" s="96" t="s">
        <v>88</v>
      </c>
      <c r="H2793" s="19" t="s">
        <v>3647</v>
      </c>
      <c r="I2793" s="23" t="e">
        <f>VLOOKUP(H2793,'合同综合查询数据（3月返）'!$A:$A,1,FALSE)</f>
        <v>#N/A</v>
      </c>
      <c r="J2793" s="24" t="s">
        <v>3074</v>
      </c>
      <c r="K2793" s="96" t="s">
        <v>3585</v>
      </c>
      <c r="L2793" s="114"/>
      <c r="M2793" s="26" t="s">
        <v>3568</v>
      </c>
      <c r="N2793" s="106">
        <v>43438</v>
      </c>
      <c r="O2793" s="94" t="s">
        <v>457</v>
      </c>
      <c r="P2793" s="268">
        <v>5950</v>
      </c>
      <c r="Q2793" s="273">
        <v>24</v>
      </c>
      <c r="R2793" s="268">
        <f t="shared" si="68"/>
        <v>142800</v>
      </c>
      <c r="S2793" s="24">
        <v>202303</v>
      </c>
      <c r="T2793" s="127"/>
      <c r="U2793" s="40"/>
      <c r="V2793" s="40"/>
      <c r="W2793" s="40"/>
      <c r="X2793" s="106">
        <v>43190</v>
      </c>
      <c r="Y2793" s="106">
        <v>45382</v>
      </c>
    </row>
    <row r="2794" s="9" customFormat="1" customHeight="1" spans="1:25">
      <c r="A2794" s="96" t="s">
        <v>399</v>
      </c>
      <c r="B2794" s="96" t="s">
        <v>2950</v>
      </c>
      <c r="C2794" s="96" t="s">
        <v>2998</v>
      </c>
      <c r="D2794" s="265" t="s">
        <v>2951</v>
      </c>
      <c r="E2794" s="105" t="s">
        <v>3565</v>
      </c>
      <c r="F2794" s="96" t="s">
        <v>3566</v>
      </c>
      <c r="G2794" s="96" t="s">
        <v>88</v>
      </c>
      <c r="H2794" s="19" t="s">
        <v>3647</v>
      </c>
      <c r="I2794" s="23" t="e">
        <f>VLOOKUP(H2794,'合同综合查询数据（3月返）'!$A:$A,1,FALSE)</f>
        <v>#N/A</v>
      </c>
      <c r="J2794" s="24" t="s">
        <v>3074</v>
      </c>
      <c r="K2794" s="96" t="s">
        <v>3585</v>
      </c>
      <c r="L2794" s="114"/>
      <c r="M2794" s="26" t="s">
        <v>3568</v>
      </c>
      <c r="N2794" s="106">
        <v>43439</v>
      </c>
      <c r="O2794" s="94" t="s">
        <v>457</v>
      </c>
      <c r="P2794" s="268">
        <v>5950</v>
      </c>
      <c r="Q2794" s="273">
        <v>21</v>
      </c>
      <c r="R2794" s="268">
        <f t="shared" si="68"/>
        <v>124950</v>
      </c>
      <c r="S2794" s="24">
        <v>202303</v>
      </c>
      <c r="T2794" s="127"/>
      <c r="U2794" s="40"/>
      <c r="V2794" s="40"/>
      <c r="W2794" s="40"/>
      <c r="X2794" s="106">
        <v>43190</v>
      </c>
      <c r="Y2794" s="106">
        <v>45382</v>
      </c>
    </row>
    <row r="2795" s="9" customFormat="1" customHeight="1" spans="1:25">
      <c r="A2795" s="96" t="s">
        <v>399</v>
      </c>
      <c r="B2795" s="96" t="s">
        <v>2950</v>
      </c>
      <c r="C2795" s="96" t="s">
        <v>2998</v>
      </c>
      <c r="D2795" s="265" t="s">
        <v>2951</v>
      </c>
      <c r="E2795" s="105" t="s">
        <v>3565</v>
      </c>
      <c r="F2795" s="96" t="s">
        <v>3566</v>
      </c>
      <c r="G2795" s="96" t="s">
        <v>88</v>
      </c>
      <c r="H2795" s="19" t="s">
        <v>3647</v>
      </c>
      <c r="I2795" s="23" t="e">
        <f>VLOOKUP(H2795,'合同综合查询数据（3月返）'!$A:$A,1,FALSE)</f>
        <v>#N/A</v>
      </c>
      <c r="J2795" s="24" t="s">
        <v>3074</v>
      </c>
      <c r="K2795" s="96" t="s">
        <v>3585</v>
      </c>
      <c r="L2795" s="114"/>
      <c r="M2795" s="26" t="s">
        <v>3568</v>
      </c>
      <c r="N2795" s="106">
        <v>43440</v>
      </c>
      <c r="O2795" s="94" t="s">
        <v>457</v>
      </c>
      <c r="P2795" s="268">
        <v>5950</v>
      </c>
      <c r="Q2795" s="273">
        <v>7</v>
      </c>
      <c r="R2795" s="268">
        <f t="shared" si="68"/>
        <v>41650</v>
      </c>
      <c r="S2795" s="24">
        <v>202303</v>
      </c>
      <c r="T2795" s="127"/>
      <c r="U2795" s="40"/>
      <c r="V2795" s="40"/>
      <c r="W2795" s="40"/>
      <c r="X2795" s="106">
        <v>43190</v>
      </c>
      <c r="Y2795" s="106">
        <v>45382</v>
      </c>
    </row>
    <row r="2796" s="9" customFormat="1" customHeight="1" spans="1:25">
      <c r="A2796" s="96" t="s">
        <v>399</v>
      </c>
      <c r="B2796" s="96" t="s">
        <v>2950</v>
      </c>
      <c r="C2796" s="96" t="s">
        <v>2998</v>
      </c>
      <c r="D2796" s="265" t="s">
        <v>2951</v>
      </c>
      <c r="E2796" s="105" t="s">
        <v>3565</v>
      </c>
      <c r="F2796" s="96" t="s">
        <v>3566</v>
      </c>
      <c r="G2796" s="96" t="s">
        <v>88</v>
      </c>
      <c r="H2796" s="19" t="s">
        <v>3647</v>
      </c>
      <c r="I2796" s="23" t="e">
        <f>VLOOKUP(H2796,'合同综合查询数据（3月返）'!$A:$A,1,FALSE)</f>
        <v>#N/A</v>
      </c>
      <c r="J2796" s="24" t="s">
        <v>3074</v>
      </c>
      <c r="K2796" s="96" t="s">
        <v>3585</v>
      </c>
      <c r="L2796" s="114"/>
      <c r="M2796" s="26" t="s">
        <v>3568</v>
      </c>
      <c r="N2796" s="106">
        <v>43441</v>
      </c>
      <c r="O2796" s="94" t="s">
        <v>457</v>
      </c>
      <c r="P2796" s="268">
        <v>5950</v>
      </c>
      <c r="Q2796" s="273">
        <v>10</v>
      </c>
      <c r="R2796" s="268">
        <f t="shared" si="68"/>
        <v>59500</v>
      </c>
      <c r="S2796" s="24">
        <v>202303</v>
      </c>
      <c r="T2796" s="127"/>
      <c r="U2796" s="40"/>
      <c r="V2796" s="40"/>
      <c r="W2796" s="40"/>
      <c r="X2796" s="106">
        <v>43190</v>
      </c>
      <c r="Y2796" s="106">
        <v>45382</v>
      </c>
    </row>
    <row r="2797" s="9" customFormat="1" customHeight="1" spans="1:25">
      <c r="A2797" s="96" t="s">
        <v>399</v>
      </c>
      <c r="B2797" s="96" t="s">
        <v>2950</v>
      </c>
      <c r="C2797" s="96" t="s">
        <v>2998</v>
      </c>
      <c r="D2797" s="265" t="s">
        <v>2951</v>
      </c>
      <c r="E2797" s="105" t="s">
        <v>3565</v>
      </c>
      <c r="F2797" s="96" t="s">
        <v>3566</v>
      </c>
      <c r="G2797" s="96" t="s">
        <v>88</v>
      </c>
      <c r="H2797" s="19" t="s">
        <v>3647</v>
      </c>
      <c r="I2797" s="23" t="e">
        <f>VLOOKUP(H2797,'合同综合查询数据（3月返）'!$A:$A,1,FALSE)</f>
        <v>#N/A</v>
      </c>
      <c r="J2797" s="24" t="s">
        <v>3074</v>
      </c>
      <c r="K2797" s="96" t="s">
        <v>3585</v>
      </c>
      <c r="L2797" s="114"/>
      <c r="M2797" s="26" t="s">
        <v>3568</v>
      </c>
      <c r="N2797" s="106">
        <v>43444</v>
      </c>
      <c r="O2797" s="94" t="s">
        <v>457</v>
      </c>
      <c r="P2797" s="268">
        <v>5950</v>
      </c>
      <c r="Q2797" s="273">
        <v>1</v>
      </c>
      <c r="R2797" s="268">
        <f t="shared" si="68"/>
        <v>5950</v>
      </c>
      <c r="S2797" s="24">
        <v>202303</v>
      </c>
      <c r="T2797" s="127"/>
      <c r="U2797" s="40"/>
      <c r="V2797" s="40"/>
      <c r="W2797" s="40"/>
      <c r="X2797" s="106">
        <v>43190</v>
      </c>
      <c r="Y2797" s="106">
        <v>45382</v>
      </c>
    </row>
    <row r="2798" s="9" customFormat="1" customHeight="1" spans="1:25">
      <c r="A2798" s="96" t="s">
        <v>399</v>
      </c>
      <c r="B2798" s="96" t="s">
        <v>2950</v>
      </c>
      <c r="C2798" s="96" t="s">
        <v>2998</v>
      </c>
      <c r="D2798" s="265" t="s">
        <v>2951</v>
      </c>
      <c r="E2798" s="105" t="s">
        <v>3565</v>
      </c>
      <c r="F2798" s="96" t="s">
        <v>3566</v>
      </c>
      <c r="G2798" s="96" t="s">
        <v>88</v>
      </c>
      <c r="H2798" s="19" t="s">
        <v>3647</v>
      </c>
      <c r="I2798" s="23" t="e">
        <f>VLOOKUP(H2798,'合同综合查询数据（3月返）'!$A:$A,1,FALSE)</f>
        <v>#N/A</v>
      </c>
      <c r="J2798" s="24" t="s">
        <v>3074</v>
      </c>
      <c r="K2798" s="96" t="s">
        <v>3585</v>
      </c>
      <c r="L2798" s="114"/>
      <c r="M2798" s="26" t="s">
        <v>3568</v>
      </c>
      <c r="N2798" s="106">
        <v>43449</v>
      </c>
      <c r="O2798" s="94" t="s">
        <v>457</v>
      </c>
      <c r="P2798" s="268">
        <v>5950</v>
      </c>
      <c r="Q2798" s="273">
        <v>28</v>
      </c>
      <c r="R2798" s="268">
        <f t="shared" si="68"/>
        <v>166600</v>
      </c>
      <c r="S2798" s="24">
        <v>202303</v>
      </c>
      <c r="T2798" s="127"/>
      <c r="U2798" s="40"/>
      <c r="V2798" s="40"/>
      <c r="W2798" s="40"/>
      <c r="X2798" s="106">
        <v>43190</v>
      </c>
      <c r="Y2798" s="106">
        <v>45382</v>
      </c>
    </row>
    <row r="2799" s="9" customFormat="1" customHeight="1" spans="1:25">
      <c r="A2799" s="96" t="s">
        <v>399</v>
      </c>
      <c r="B2799" s="96" t="s">
        <v>2950</v>
      </c>
      <c r="C2799" s="96" t="s">
        <v>2998</v>
      </c>
      <c r="D2799" s="265" t="s">
        <v>2951</v>
      </c>
      <c r="E2799" s="105" t="s">
        <v>3565</v>
      </c>
      <c r="F2799" s="96" t="s">
        <v>3566</v>
      </c>
      <c r="G2799" s="96" t="s">
        <v>88</v>
      </c>
      <c r="H2799" s="19" t="s">
        <v>3647</v>
      </c>
      <c r="I2799" s="23" t="e">
        <f>VLOOKUP(H2799,'合同综合查询数据（3月返）'!$A:$A,1,FALSE)</f>
        <v>#N/A</v>
      </c>
      <c r="J2799" s="24" t="s">
        <v>3074</v>
      </c>
      <c r="K2799" s="96" t="s">
        <v>3585</v>
      </c>
      <c r="L2799" s="114"/>
      <c r="M2799" s="26" t="s">
        <v>3568</v>
      </c>
      <c r="N2799" s="106">
        <v>43450</v>
      </c>
      <c r="O2799" s="94" t="s">
        <v>457</v>
      </c>
      <c r="P2799" s="268">
        <v>5950</v>
      </c>
      <c r="Q2799" s="273">
        <v>11</v>
      </c>
      <c r="R2799" s="268">
        <f t="shared" si="68"/>
        <v>65450</v>
      </c>
      <c r="S2799" s="24">
        <v>202303</v>
      </c>
      <c r="T2799" s="127"/>
      <c r="U2799" s="40"/>
      <c r="V2799" s="40"/>
      <c r="W2799" s="40"/>
      <c r="X2799" s="106">
        <v>43190</v>
      </c>
      <c r="Y2799" s="106">
        <v>45382</v>
      </c>
    </row>
    <row r="2800" s="9" customFormat="1" customHeight="1" spans="1:25">
      <c r="A2800" s="96" t="s">
        <v>399</v>
      </c>
      <c r="B2800" s="96" t="s">
        <v>2950</v>
      </c>
      <c r="C2800" s="96" t="s">
        <v>2998</v>
      </c>
      <c r="D2800" s="265" t="s">
        <v>2951</v>
      </c>
      <c r="E2800" s="105" t="s">
        <v>3565</v>
      </c>
      <c r="F2800" s="96" t="s">
        <v>3566</v>
      </c>
      <c r="G2800" s="96" t="s">
        <v>88</v>
      </c>
      <c r="H2800" s="19" t="s">
        <v>3647</v>
      </c>
      <c r="I2800" s="23" t="e">
        <f>VLOOKUP(H2800,'合同综合查询数据（3月返）'!$A:$A,1,FALSE)</f>
        <v>#N/A</v>
      </c>
      <c r="J2800" s="24" t="s">
        <v>3074</v>
      </c>
      <c r="K2800" s="96" t="s">
        <v>3585</v>
      </c>
      <c r="L2800" s="114"/>
      <c r="M2800" s="26" t="s">
        <v>3568</v>
      </c>
      <c r="N2800" s="106">
        <v>43451</v>
      </c>
      <c r="O2800" s="94" t="s">
        <v>457</v>
      </c>
      <c r="P2800" s="268">
        <v>5950</v>
      </c>
      <c r="Q2800" s="273">
        <v>4</v>
      </c>
      <c r="R2800" s="268">
        <f t="shared" si="68"/>
        <v>23800</v>
      </c>
      <c r="S2800" s="24">
        <v>202303</v>
      </c>
      <c r="T2800" s="127"/>
      <c r="U2800" s="40"/>
      <c r="V2800" s="40"/>
      <c r="W2800" s="40"/>
      <c r="X2800" s="106">
        <v>43190</v>
      </c>
      <c r="Y2800" s="106">
        <v>45382</v>
      </c>
    </row>
    <row r="2801" s="9" customFormat="1" customHeight="1" spans="1:25">
      <c r="A2801" s="96" t="s">
        <v>399</v>
      </c>
      <c r="B2801" s="96" t="s">
        <v>2950</v>
      </c>
      <c r="C2801" s="96" t="s">
        <v>2998</v>
      </c>
      <c r="D2801" s="265" t="s">
        <v>2951</v>
      </c>
      <c r="E2801" s="105" t="s">
        <v>3565</v>
      </c>
      <c r="F2801" s="96" t="s">
        <v>3566</v>
      </c>
      <c r="G2801" s="96" t="s">
        <v>88</v>
      </c>
      <c r="H2801" s="19" t="s">
        <v>3647</v>
      </c>
      <c r="I2801" s="23" t="e">
        <f>VLOOKUP(H2801,'合同综合查询数据（3月返）'!$A:$A,1,FALSE)</f>
        <v>#N/A</v>
      </c>
      <c r="J2801" s="24" t="s">
        <v>3074</v>
      </c>
      <c r="K2801" s="96" t="s">
        <v>3585</v>
      </c>
      <c r="L2801" s="114"/>
      <c r="M2801" s="26" t="s">
        <v>3568</v>
      </c>
      <c r="N2801" s="106">
        <v>43459</v>
      </c>
      <c r="O2801" s="94" t="s">
        <v>457</v>
      </c>
      <c r="P2801" s="268">
        <v>5950</v>
      </c>
      <c r="Q2801" s="273">
        <v>6</v>
      </c>
      <c r="R2801" s="268">
        <f t="shared" si="68"/>
        <v>35700</v>
      </c>
      <c r="S2801" s="24">
        <v>202303</v>
      </c>
      <c r="T2801" s="127"/>
      <c r="U2801" s="40"/>
      <c r="V2801" s="40"/>
      <c r="W2801" s="40"/>
      <c r="X2801" s="106">
        <v>43190</v>
      </c>
      <c r="Y2801" s="106">
        <v>45382</v>
      </c>
    </row>
    <row r="2802" s="9" customFormat="1" customHeight="1" spans="1:25">
      <c r="A2802" s="96" t="s">
        <v>399</v>
      </c>
      <c r="B2802" s="96" t="s">
        <v>2950</v>
      </c>
      <c r="C2802" s="96" t="s">
        <v>2998</v>
      </c>
      <c r="D2802" s="265" t="s">
        <v>2951</v>
      </c>
      <c r="E2802" s="105" t="s">
        <v>3565</v>
      </c>
      <c r="F2802" s="96" t="s">
        <v>3566</v>
      </c>
      <c r="G2802" s="96" t="s">
        <v>88</v>
      </c>
      <c r="H2802" s="19" t="s">
        <v>3647</v>
      </c>
      <c r="I2802" s="23" t="e">
        <f>VLOOKUP(H2802,'合同综合查询数据（3月返）'!$A:$A,1,FALSE)</f>
        <v>#N/A</v>
      </c>
      <c r="J2802" s="24" t="s">
        <v>3074</v>
      </c>
      <c r="K2802" s="96" t="s">
        <v>3585</v>
      </c>
      <c r="L2802" s="114"/>
      <c r="M2802" s="26" t="s">
        <v>3568</v>
      </c>
      <c r="N2802" s="106">
        <v>43460</v>
      </c>
      <c r="O2802" s="94" t="s">
        <v>457</v>
      </c>
      <c r="P2802" s="268">
        <v>5950</v>
      </c>
      <c r="Q2802" s="273">
        <v>2</v>
      </c>
      <c r="R2802" s="268">
        <f t="shared" si="68"/>
        <v>11900</v>
      </c>
      <c r="S2802" s="24">
        <v>202303</v>
      </c>
      <c r="T2802" s="127"/>
      <c r="U2802" s="40"/>
      <c r="V2802" s="40"/>
      <c r="W2802" s="40"/>
      <c r="X2802" s="106">
        <v>43190</v>
      </c>
      <c r="Y2802" s="106">
        <v>45382</v>
      </c>
    </row>
    <row r="2803" s="9" customFormat="1" customHeight="1" spans="1:25">
      <c r="A2803" s="96" t="s">
        <v>399</v>
      </c>
      <c r="B2803" s="96" t="s">
        <v>2950</v>
      </c>
      <c r="C2803" s="96" t="s">
        <v>2998</v>
      </c>
      <c r="D2803" s="265" t="s">
        <v>2951</v>
      </c>
      <c r="E2803" s="105" t="s">
        <v>3565</v>
      </c>
      <c r="F2803" s="96" t="s">
        <v>3566</v>
      </c>
      <c r="G2803" s="96" t="s">
        <v>88</v>
      </c>
      <c r="H2803" s="19" t="s">
        <v>3647</v>
      </c>
      <c r="I2803" s="23" t="e">
        <f>VLOOKUP(H2803,'合同综合查询数据（3月返）'!$A:$A,1,FALSE)</f>
        <v>#N/A</v>
      </c>
      <c r="J2803" s="24" t="s">
        <v>3074</v>
      </c>
      <c r="K2803" s="96" t="s">
        <v>3585</v>
      </c>
      <c r="L2803" s="114"/>
      <c r="M2803" s="26" t="s">
        <v>3568</v>
      </c>
      <c r="N2803" s="106">
        <v>43461</v>
      </c>
      <c r="O2803" s="94" t="s">
        <v>457</v>
      </c>
      <c r="P2803" s="268">
        <v>5950</v>
      </c>
      <c r="Q2803" s="273">
        <v>5</v>
      </c>
      <c r="R2803" s="268">
        <f t="shared" si="68"/>
        <v>29750</v>
      </c>
      <c r="S2803" s="24">
        <v>202303</v>
      </c>
      <c r="T2803" s="127"/>
      <c r="U2803" s="40"/>
      <c r="V2803" s="40"/>
      <c r="W2803" s="40"/>
      <c r="X2803" s="106">
        <v>43190</v>
      </c>
      <c r="Y2803" s="106">
        <v>45382</v>
      </c>
    </row>
    <row r="2804" s="9" customFormat="1" customHeight="1" spans="1:25">
      <c r="A2804" s="96" t="s">
        <v>399</v>
      </c>
      <c r="B2804" s="96" t="s">
        <v>2950</v>
      </c>
      <c r="C2804" s="96" t="s">
        <v>2998</v>
      </c>
      <c r="D2804" s="265" t="s">
        <v>2951</v>
      </c>
      <c r="E2804" s="105" t="s">
        <v>3565</v>
      </c>
      <c r="F2804" s="96" t="s">
        <v>3566</v>
      </c>
      <c r="G2804" s="96" t="s">
        <v>88</v>
      </c>
      <c r="H2804" s="19" t="s">
        <v>3647</v>
      </c>
      <c r="I2804" s="23" t="e">
        <f>VLOOKUP(H2804,'合同综合查询数据（3月返）'!$A:$A,1,FALSE)</f>
        <v>#N/A</v>
      </c>
      <c r="J2804" s="24" t="s">
        <v>3074</v>
      </c>
      <c r="K2804" s="96" t="s">
        <v>3585</v>
      </c>
      <c r="L2804" s="114"/>
      <c r="M2804" s="26" t="s">
        <v>3568</v>
      </c>
      <c r="N2804" s="106">
        <v>43462</v>
      </c>
      <c r="O2804" s="94" t="s">
        <v>457</v>
      </c>
      <c r="P2804" s="268">
        <v>5950</v>
      </c>
      <c r="Q2804" s="273">
        <v>4</v>
      </c>
      <c r="R2804" s="268">
        <f t="shared" si="68"/>
        <v>23800</v>
      </c>
      <c r="S2804" s="24">
        <v>202303</v>
      </c>
      <c r="T2804" s="127"/>
      <c r="U2804" s="40"/>
      <c r="V2804" s="40"/>
      <c r="W2804" s="40"/>
      <c r="X2804" s="106">
        <v>43190</v>
      </c>
      <c r="Y2804" s="106">
        <v>45382</v>
      </c>
    </row>
    <row r="2805" s="9" customFormat="1" customHeight="1" spans="1:25">
      <c r="A2805" s="96" t="s">
        <v>399</v>
      </c>
      <c r="B2805" s="96" t="s">
        <v>2950</v>
      </c>
      <c r="C2805" s="96" t="s">
        <v>2998</v>
      </c>
      <c r="D2805" s="265" t="s">
        <v>2951</v>
      </c>
      <c r="E2805" s="105" t="s">
        <v>3565</v>
      </c>
      <c r="F2805" s="96" t="s">
        <v>3566</v>
      </c>
      <c r="G2805" s="96" t="s">
        <v>88</v>
      </c>
      <c r="H2805" s="19" t="s">
        <v>3647</v>
      </c>
      <c r="I2805" s="23" t="e">
        <f>VLOOKUP(H2805,'合同综合查询数据（3月返）'!$A:$A,1,FALSE)</f>
        <v>#N/A</v>
      </c>
      <c r="J2805" s="24" t="s">
        <v>3074</v>
      </c>
      <c r="K2805" s="96" t="s">
        <v>3585</v>
      </c>
      <c r="L2805" s="114"/>
      <c r="M2805" s="26" t="s">
        <v>3568</v>
      </c>
      <c r="N2805" s="106">
        <v>43463</v>
      </c>
      <c r="O2805" s="94" t="s">
        <v>457</v>
      </c>
      <c r="P2805" s="268">
        <v>5950</v>
      </c>
      <c r="Q2805" s="273">
        <v>2</v>
      </c>
      <c r="R2805" s="268">
        <f t="shared" si="68"/>
        <v>11900</v>
      </c>
      <c r="S2805" s="24">
        <v>202303</v>
      </c>
      <c r="T2805" s="127"/>
      <c r="U2805" s="40"/>
      <c r="V2805" s="40"/>
      <c r="W2805" s="40"/>
      <c r="X2805" s="106">
        <v>43190</v>
      </c>
      <c r="Y2805" s="106">
        <v>45382</v>
      </c>
    </row>
    <row r="2806" s="9" customFormat="1" customHeight="1" spans="1:25">
      <c r="A2806" s="96" t="s">
        <v>399</v>
      </c>
      <c r="B2806" s="96" t="s">
        <v>2950</v>
      </c>
      <c r="C2806" s="96" t="s">
        <v>2998</v>
      </c>
      <c r="D2806" s="265" t="s">
        <v>2951</v>
      </c>
      <c r="E2806" s="105" t="s">
        <v>3565</v>
      </c>
      <c r="F2806" s="96" t="s">
        <v>3566</v>
      </c>
      <c r="G2806" s="96" t="s">
        <v>88</v>
      </c>
      <c r="H2806" s="19" t="s">
        <v>3647</v>
      </c>
      <c r="I2806" s="23" t="e">
        <f>VLOOKUP(H2806,'合同综合查询数据（3月返）'!$A:$A,1,FALSE)</f>
        <v>#N/A</v>
      </c>
      <c r="J2806" s="24" t="s">
        <v>3074</v>
      </c>
      <c r="K2806" s="96" t="s">
        <v>3585</v>
      </c>
      <c r="L2806" s="114"/>
      <c r="M2806" s="26" t="s">
        <v>3568</v>
      </c>
      <c r="N2806" s="106">
        <v>43467</v>
      </c>
      <c r="O2806" s="94" t="s">
        <v>457</v>
      </c>
      <c r="P2806" s="268">
        <v>5950</v>
      </c>
      <c r="Q2806" s="273">
        <v>12</v>
      </c>
      <c r="R2806" s="268">
        <f t="shared" si="68"/>
        <v>71400</v>
      </c>
      <c r="S2806" s="24">
        <v>202303</v>
      </c>
      <c r="T2806" s="127"/>
      <c r="U2806" s="40"/>
      <c r="V2806" s="40"/>
      <c r="W2806" s="40"/>
      <c r="X2806" s="106">
        <v>43190</v>
      </c>
      <c r="Y2806" s="106">
        <v>45382</v>
      </c>
    </row>
    <row r="2807" s="9" customFormat="1" customHeight="1" spans="1:25">
      <c r="A2807" s="96" t="s">
        <v>399</v>
      </c>
      <c r="B2807" s="96" t="s">
        <v>2950</v>
      </c>
      <c r="C2807" s="96" t="s">
        <v>2998</v>
      </c>
      <c r="D2807" s="265" t="s">
        <v>2951</v>
      </c>
      <c r="E2807" s="105" t="s">
        <v>3565</v>
      </c>
      <c r="F2807" s="96" t="s">
        <v>3566</v>
      </c>
      <c r="G2807" s="96" t="s">
        <v>88</v>
      </c>
      <c r="H2807" s="19" t="s">
        <v>3647</v>
      </c>
      <c r="I2807" s="23" t="e">
        <f>VLOOKUP(H2807,'合同综合查询数据（3月返）'!$A:$A,1,FALSE)</f>
        <v>#N/A</v>
      </c>
      <c r="J2807" s="24" t="s">
        <v>3074</v>
      </c>
      <c r="K2807" s="96" t="s">
        <v>3585</v>
      </c>
      <c r="L2807" s="114"/>
      <c r="M2807" s="26" t="s">
        <v>3568</v>
      </c>
      <c r="N2807" s="106">
        <v>43468</v>
      </c>
      <c r="O2807" s="94" t="s">
        <v>457</v>
      </c>
      <c r="P2807" s="268">
        <v>5950</v>
      </c>
      <c r="Q2807" s="273">
        <v>1</v>
      </c>
      <c r="R2807" s="268">
        <f t="shared" si="68"/>
        <v>5950</v>
      </c>
      <c r="S2807" s="24">
        <v>202303</v>
      </c>
      <c r="T2807" s="127"/>
      <c r="U2807" s="40"/>
      <c r="V2807" s="40"/>
      <c r="W2807" s="40"/>
      <c r="X2807" s="106">
        <v>43190</v>
      </c>
      <c r="Y2807" s="106">
        <v>45382</v>
      </c>
    </row>
    <row r="2808" s="9" customFormat="1" customHeight="1" spans="1:25">
      <c r="A2808" s="96" t="s">
        <v>399</v>
      </c>
      <c r="B2808" s="96" t="s">
        <v>2950</v>
      </c>
      <c r="C2808" s="96" t="s">
        <v>2998</v>
      </c>
      <c r="D2808" s="265" t="s">
        <v>2951</v>
      </c>
      <c r="E2808" s="105" t="s">
        <v>3565</v>
      </c>
      <c r="F2808" s="96" t="s">
        <v>3566</v>
      </c>
      <c r="G2808" s="96" t="s">
        <v>88</v>
      </c>
      <c r="H2808" s="19" t="s">
        <v>3647</v>
      </c>
      <c r="I2808" s="23" t="e">
        <f>VLOOKUP(H2808,'合同综合查询数据（3月返）'!$A:$A,1,FALSE)</f>
        <v>#N/A</v>
      </c>
      <c r="J2808" s="24" t="s">
        <v>3074</v>
      </c>
      <c r="K2808" s="96" t="s">
        <v>3585</v>
      </c>
      <c r="L2808" s="114"/>
      <c r="M2808" s="26" t="s">
        <v>3568</v>
      </c>
      <c r="N2808" s="106">
        <v>43474</v>
      </c>
      <c r="O2808" s="94" t="s">
        <v>457</v>
      </c>
      <c r="P2808" s="268">
        <v>5950</v>
      </c>
      <c r="Q2808" s="273">
        <v>22</v>
      </c>
      <c r="R2808" s="268">
        <f t="shared" si="68"/>
        <v>130900</v>
      </c>
      <c r="S2808" s="24">
        <v>202303</v>
      </c>
      <c r="T2808" s="127"/>
      <c r="U2808" s="40"/>
      <c r="V2808" s="40"/>
      <c r="W2808" s="40"/>
      <c r="X2808" s="106">
        <v>43190</v>
      </c>
      <c r="Y2808" s="106">
        <v>45382</v>
      </c>
    </row>
    <row r="2809" s="9" customFormat="1" customHeight="1" spans="1:25">
      <c r="A2809" s="96" t="s">
        <v>399</v>
      </c>
      <c r="B2809" s="96" t="s">
        <v>2950</v>
      </c>
      <c r="C2809" s="96" t="s">
        <v>2998</v>
      </c>
      <c r="D2809" s="265" t="s">
        <v>2951</v>
      </c>
      <c r="E2809" s="105" t="s">
        <v>3565</v>
      </c>
      <c r="F2809" s="96" t="s">
        <v>3566</v>
      </c>
      <c r="G2809" s="96" t="s">
        <v>88</v>
      </c>
      <c r="H2809" s="19" t="s">
        <v>3647</v>
      </c>
      <c r="I2809" s="23" t="e">
        <f>VLOOKUP(H2809,'合同综合查询数据（3月返）'!$A:$A,1,FALSE)</f>
        <v>#N/A</v>
      </c>
      <c r="J2809" s="24" t="s">
        <v>3074</v>
      </c>
      <c r="K2809" s="96" t="s">
        <v>3585</v>
      </c>
      <c r="L2809" s="114"/>
      <c r="M2809" s="26" t="s">
        <v>3568</v>
      </c>
      <c r="N2809" s="106">
        <v>43479</v>
      </c>
      <c r="O2809" s="94" t="s">
        <v>457</v>
      </c>
      <c r="P2809" s="268">
        <v>5950</v>
      </c>
      <c r="Q2809" s="273">
        <v>1</v>
      </c>
      <c r="R2809" s="268">
        <f t="shared" si="68"/>
        <v>5950</v>
      </c>
      <c r="S2809" s="24">
        <v>202303</v>
      </c>
      <c r="T2809" s="127"/>
      <c r="U2809" s="40"/>
      <c r="V2809" s="40"/>
      <c r="W2809" s="40"/>
      <c r="X2809" s="106">
        <v>43190</v>
      </c>
      <c r="Y2809" s="106">
        <v>45382</v>
      </c>
    </row>
    <row r="2810" s="9" customFormat="1" customHeight="1" spans="1:25">
      <c r="A2810" s="96" t="s">
        <v>399</v>
      </c>
      <c r="B2810" s="96" t="s">
        <v>2950</v>
      </c>
      <c r="C2810" s="96" t="s">
        <v>2998</v>
      </c>
      <c r="D2810" s="265" t="s">
        <v>2951</v>
      </c>
      <c r="E2810" s="105" t="s">
        <v>3565</v>
      </c>
      <c r="F2810" s="96" t="s">
        <v>3566</v>
      </c>
      <c r="G2810" s="96" t="s">
        <v>88</v>
      </c>
      <c r="H2810" s="19" t="s">
        <v>3647</v>
      </c>
      <c r="I2810" s="23" t="e">
        <f>VLOOKUP(H2810,'合同综合查询数据（3月返）'!$A:$A,1,FALSE)</f>
        <v>#N/A</v>
      </c>
      <c r="J2810" s="24" t="s">
        <v>3074</v>
      </c>
      <c r="K2810" s="96" t="s">
        <v>3585</v>
      </c>
      <c r="L2810" s="114"/>
      <c r="M2810" s="26" t="s">
        <v>3568</v>
      </c>
      <c r="N2810" s="106">
        <v>43481</v>
      </c>
      <c r="O2810" s="94" t="s">
        <v>457</v>
      </c>
      <c r="P2810" s="268">
        <v>5950</v>
      </c>
      <c r="Q2810" s="273">
        <v>4</v>
      </c>
      <c r="R2810" s="268">
        <f t="shared" ref="R2810:R2873" si="69">ROUND(P2810*Q2810,2)</f>
        <v>23800</v>
      </c>
      <c r="S2810" s="24">
        <v>202303</v>
      </c>
      <c r="T2810" s="127"/>
      <c r="U2810" s="40"/>
      <c r="V2810" s="40"/>
      <c r="W2810" s="40"/>
      <c r="X2810" s="106">
        <v>43190</v>
      </c>
      <c r="Y2810" s="106">
        <v>45382</v>
      </c>
    </row>
    <row r="2811" s="9" customFormat="1" customHeight="1" spans="1:25">
      <c r="A2811" s="96" t="s">
        <v>399</v>
      </c>
      <c r="B2811" s="96" t="s">
        <v>2950</v>
      </c>
      <c r="C2811" s="96" t="s">
        <v>2998</v>
      </c>
      <c r="D2811" s="265" t="s">
        <v>2951</v>
      </c>
      <c r="E2811" s="105" t="s">
        <v>3565</v>
      </c>
      <c r="F2811" s="96" t="s">
        <v>3566</v>
      </c>
      <c r="G2811" s="96" t="s">
        <v>88</v>
      </c>
      <c r="H2811" s="19" t="s">
        <v>3647</v>
      </c>
      <c r="I2811" s="23" t="e">
        <f>VLOOKUP(H2811,'合同综合查询数据（3月返）'!$A:$A,1,FALSE)</f>
        <v>#N/A</v>
      </c>
      <c r="J2811" s="24" t="s">
        <v>3074</v>
      </c>
      <c r="K2811" s="96" t="s">
        <v>3585</v>
      </c>
      <c r="L2811" s="114"/>
      <c r="M2811" s="26" t="s">
        <v>3568</v>
      </c>
      <c r="N2811" s="106">
        <v>43483</v>
      </c>
      <c r="O2811" s="94" t="s">
        <v>457</v>
      </c>
      <c r="P2811" s="268">
        <v>5950</v>
      </c>
      <c r="Q2811" s="273">
        <v>4</v>
      </c>
      <c r="R2811" s="268">
        <f t="shared" si="69"/>
        <v>23800</v>
      </c>
      <c r="S2811" s="24">
        <v>202303</v>
      </c>
      <c r="T2811" s="127"/>
      <c r="U2811" s="40"/>
      <c r="V2811" s="40"/>
      <c r="W2811" s="40"/>
      <c r="X2811" s="106">
        <v>43190</v>
      </c>
      <c r="Y2811" s="106">
        <v>45382</v>
      </c>
    </row>
    <row r="2812" s="9" customFormat="1" customHeight="1" spans="1:25">
      <c r="A2812" s="96" t="s">
        <v>399</v>
      </c>
      <c r="B2812" s="96" t="s">
        <v>2950</v>
      </c>
      <c r="C2812" s="96" t="s">
        <v>2998</v>
      </c>
      <c r="D2812" s="265" t="s">
        <v>2951</v>
      </c>
      <c r="E2812" s="105" t="s">
        <v>3565</v>
      </c>
      <c r="F2812" s="96" t="s">
        <v>3566</v>
      </c>
      <c r="G2812" s="96" t="s">
        <v>88</v>
      </c>
      <c r="H2812" s="19" t="s">
        <v>3647</v>
      </c>
      <c r="I2812" s="23" t="e">
        <f>VLOOKUP(H2812,'合同综合查询数据（3月返）'!$A:$A,1,FALSE)</f>
        <v>#N/A</v>
      </c>
      <c r="J2812" s="24" t="s">
        <v>3074</v>
      </c>
      <c r="K2812" s="96" t="s">
        <v>3585</v>
      </c>
      <c r="L2812" s="114"/>
      <c r="M2812" s="26" t="s">
        <v>3568</v>
      </c>
      <c r="N2812" s="106">
        <v>43484</v>
      </c>
      <c r="O2812" s="94" t="s">
        <v>457</v>
      </c>
      <c r="P2812" s="268">
        <v>5950</v>
      </c>
      <c r="Q2812" s="273">
        <v>12</v>
      </c>
      <c r="R2812" s="268">
        <f t="shared" si="69"/>
        <v>71400</v>
      </c>
      <c r="S2812" s="24">
        <v>202303</v>
      </c>
      <c r="T2812" s="127"/>
      <c r="U2812" s="40"/>
      <c r="V2812" s="40"/>
      <c r="W2812" s="40"/>
      <c r="X2812" s="106">
        <v>43190</v>
      </c>
      <c r="Y2812" s="106">
        <v>45382</v>
      </c>
    </row>
    <row r="2813" s="9" customFormat="1" customHeight="1" spans="1:25">
      <c r="A2813" s="96" t="s">
        <v>399</v>
      </c>
      <c r="B2813" s="96" t="s">
        <v>2950</v>
      </c>
      <c r="C2813" s="96" t="s">
        <v>2998</v>
      </c>
      <c r="D2813" s="265" t="s">
        <v>2951</v>
      </c>
      <c r="E2813" s="105" t="s">
        <v>3565</v>
      </c>
      <c r="F2813" s="96" t="s">
        <v>3566</v>
      </c>
      <c r="G2813" s="96" t="s">
        <v>88</v>
      </c>
      <c r="H2813" s="19" t="s">
        <v>3647</v>
      </c>
      <c r="I2813" s="23" t="e">
        <f>VLOOKUP(H2813,'合同综合查询数据（3月返）'!$A:$A,1,FALSE)</f>
        <v>#N/A</v>
      </c>
      <c r="J2813" s="24" t="s">
        <v>3074</v>
      </c>
      <c r="K2813" s="96" t="s">
        <v>3585</v>
      </c>
      <c r="L2813" s="114"/>
      <c r="M2813" s="26" t="s">
        <v>3568</v>
      </c>
      <c r="N2813" s="106">
        <v>43485</v>
      </c>
      <c r="O2813" s="94" t="s">
        <v>457</v>
      </c>
      <c r="P2813" s="268">
        <v>5950</v>
      </c>
      <c r="Q2813" s="273">
        <v>5</v>
      </c>
      <c r="R2813" s="268">
        <f t="shared" si="69"/>
        <v>29750</v>
      </c>
      <c r="S2813" s="24">
        <v>202303</v>
      </c>
      <c r="T2813" s="127"/>
      <c r="U2813" s="40"/>
      <c r="V2813" s="40"/>
      <c r="W2813" s="40"/>
      <c r="X2813" s="106">
        <v>43190</v>
      </c>
      <c r="Y2813" s="106">
        <v>45382</v>
      </c>
    </row>
    <row r="2814" s="9" customFormat="1" customHeight="1" spans="1:25">
      <c r="A2814" s="96" t="s">
        <v>399</v>
      </c>
      <c r="B2814" s="96" t="s">
        <v>2950</v>
      </c>
      <c r="C2814" s="96" t="s">
        <v>2998</v>
      </c>
      <c r="D2814" s="265" t="s">
        <v>2951</v>
      </c>
      <c r="E2814" s="105" t="s">
        <v>3565</v>
      </c>
      <c r="F2814" s="96" t="s">
        <v>3566</v>
      </c>
      <c r="G2814" s="96" t="s">
        <v>88</v>
      </c>
      <c r="H2814" s="19" t="s">
        <v>3647</v>
      </c>
      <c r="I2814" s="23" t="e">
        <f>VLOOKUP(H2814,'合同综合查询数据（3月返）'!$A:$A,1,FALSE)</f>
        <v>#N/A</v>
      </c>
      <c r="J2814" s="24" t="s">
        <v>3074</v>
      </c>
      <c r="K2814" s="96" t="s">
        <v>3585</v>
      </c>
      <c r="L2814" s="114"/>
      <c r="M2814" s="26" t="s">
        <v>3568</v>
      </c>
      <c r="N2814" s="106">
        <v>43487</v>
      </c>
      <c r="O2814" s="94" t="s">
        <v>457</v>
      </c>
      <c r="P2814" s="268">
        <v>5950</v>
      </c>
      <c r="Q2814" s="273">
        <v>36</v>
      </c>
      <c r="R2814" s="268">
        <f t="shared" si="69"/>
        <v>214200</v>
      </c>
      <c r="S2814" s="24">
        <v>202303</v>
      </c>
      <c r="T2814" s="127"/>
      <c r="U2814" s="40"/>
      <c r="V2814" s="40"/>
      <c r="W2814" s="40"/>
      <c r="X2814" s="106">
        <v>43190</v>
      </c>
      <c r="Y2814" s="106">
        <v>45382</v>
      </c>
    </row>
    <row r="2815" s="9" customFormat="1" customHeight="1" spans="1:25">
      <c r="A2815" s="96" t="s">
        <v>399</v>
      </c>
      <c r="B2815" s="96" t="s">
        <v>2950</v>
      </c>
      <c r="C2815" s="96" t="s">
        <v>2998</v>
      </c>
      <c r="D2815" s="265" t="s">
        <v>2951</v>
      </c>
      <c r="E2815" s="105" t="s">
        <v>3565</v>
      </c>
      <c r="F2815" s="96" t="s">
        <v>3566</v>
      </c>
      <c r="G2815" s="96" t="s">
        <v>88</v>
      </c>
      <c r="H2815" s="19" t="s">
        <v>3647</v>
      </c>
      <c r="I2815" s="23" t="e">
        <f>VLOOKUP(H2815,'合同综合查询数据（3月返）'!$A:$A,1,FALSE)</f>
        <v>#N/A</v>
      </c>
      <c r="J2815" s="24" t="s">
        <v>3074</v>
      </c>
      <c r="K2815" s="96" t="s">
        <v>3585</v>
      </c>
      <c r="L2815" s="114"/>
      <c r="M2815" s="26" t="s">
        <v>3568</v>
      </c>
      <c r="N2815" s="106">
        <v>43488</v>
      </c>
      <c r="O2815" s="94" t="s">
        <v>457</v>
      </c>
      <c r="P2815" s="268">
        <v>5950</v>
      </c>
      <c r="Q2815" s="273">
        <v>5</v>
      </c>
      <c r="R2815" s="268">
        <f t="shared" si="69"/>
        <v>29750</v>
      </c>
      <c r="S2815" s="24">
        <v>202303</v>
      </c>
      <c r="T2815" s="127"/>
      <c r="U2815" s="40"/>
      <c r="V2815" s="40"/>
      <c r="W2815" s="40"/>
      <c r="X2815" s="106">
        <v>43190</v>
      </c>
      <c r="Y2815" s="106">
        <v>45382</v>
      </c>
    </row>
    <row r="2816" s="9" customFormat="1" customHeight="1" spans="1:25">
      <c r="A2816" s="96" t="s">
        <v>399</v>
      </c>
      <c r="B2816" s="96" t="s">
        <v>2950</v>
      </c>
      <c r="C2816" s="96" t="s">
        <v>2998</v>
      </c>
      <c r="D2816" s="265" t="s">
        <v>2951</v>
      </c>
      <c r="E2816" s="105" t="s">
        <v>3565</v>
      </c>
      <c r="F2816" s="96" t="s">
        <v>3566</v>
      </c>
      <c r="G2816" s="96" t="s">
        <v>88</v>
      </c>
      <c r="H2816" s="19" t="s">
        <v>3647</v>
      </c>
      <c r="I2816" s="23" t="e">
        <f>VLOOKUP(H2816,'合同综合查询数据（3月返）'!$A:$A,1,FALSE)</f>
        <v>#N/A</v>
      </c>
      <c r="J2816" s="24" t="s">
        <v>3074</v>
      </c>
      <c r="K2816" s="96" t="s">
        <v>3585</v>
      </c>
      <c r="L2816" s="114"/>
      <c r="M2816" s="26" t="s">
        <v>3568</v>
      </c>
      <c r="N2816" s="106">
        <v>43494</v>
      </c>
      <c r="O2816" s="94" t="s">
        <v>457</v>
      </c>
      <c r="P2816" s="268">
        <v>5950</v>
      </c>
      <c r="Q2816" s="273">
        <v>8</v>
      </c>
      <c r="R2816" s="268">
        <f t="shared" si="69"/>
        <v>47600</v>
      </c>
      <c r="S2816" s="24">
        <v>202303</v>
      </c>
      <c r="T2816" s="127"/>
      <c r="U2816" s="40"/>
      <c r="V2816" s="40"/>
      <c r="W2816" s="40"/>
      <c r="X2816" s="106">
        <v>43190</v>
      </c>
      <c r="Y2816" s="106">
        <v>45382</v>
      </c>
    </row>
    <row r="2817" s="9" customFormat="1" customHeight="1" spans="1:25">
      <c r="A2817" s="96" t="s">
        <v>399</v>
      </c>
      <c r="B2817" s="96" t="s">
        <v>2950</v>
      </c>
      <c r="C2817" s="96" t="s">
        <v>2998</v>
      </c>
      <c r="D2817" s="265" t="s">
        <v>2951</v>
      </c>
      <c r="E2817" s="105" t="s">
        <v>3565</v>
      </c>
      <c r="F2817" s="96" t="s">
        <v>3566</v>
      </c>
      <c r="G2817" s="96" t="s">
        <v>88</v>
      </c>
      <c r="H2817" s="19" t="s">
        <v>3647</v>
      </c>
      <c r="I2817" s="23" t="e">
        <f>VLOOKUP(H2817,'合同综合查询数据（3月返）'!$A:$A,1,FALSE)</f>
        <v>#N/A</v>
      </c>
      <c r="J2817" s="24" t="s">
        <v>3074</v>
      </c>
      <c r="K2817" s="96" t="s">
        <v>3585</v>
      </c>
      <c r="L2817" s="114"/>
      <c r="M2817" s="26" t="s">
        <v>3568</v>
      </c>
      <c r="N2817" s="106">
        <v>43496</v>
      </c>
      <c r="O2817" s="94" t="s">
        <v>457</v>
      </c>
      <c r="P2817" s="268">
        <v>5950</v>
      </c>
      <c r="Q2817" s="273">
        <v>3</v>
      </c>
      <c r="R2817" s="268">
        <f t="shared" si="69"/>
        <v>17850</v>
      </c>
      <c r="S2817" s="24">
        <v>202303</v>
      </c>
      <c r="T2817" s="127"/>
      <c r="U2817" s="40"/>
      <c r="V2817" s="40"/>
      <c r="W2817" s="40"/>
      <c r="X2817" s="106">
        <v>43190</v>
      </c>
      <c r="Y2817" s="106">
        <v>45382</v>
      </c>
    </row>
    <row r="2818" s="9" customFormat="1" customHeight="1" spans="1:25">
      <c r="A2818" s="96" t="s">
        <v>399</v>
      </c>
      <c r="B2818" s="96" t="s">
        <v>2950</v>
      </c>
      <c r="C2818" s="96" t="s">
        <v>2998</v>
      </c>
      <c r="D2818" s="265" t="s">
        <v>2951</v>
      </c>
      <c r="E2818" s="105" t="s">
        <v>3565</v>
      </c>
      <c r="F2818" s="96" t="s">
        <v>3566</v>
      </c>
      <c r="G2818" s="96" t="s">
        <v>88</v>
      </c>
      <c r="H2818" s="19" t="s">
        <v>3647</v>
      </c>
      <c r="I2818" s="23" t="e">
        <f>VLOOKUP(H2818,'合同综合查询数据（3月返）'!$A:$A,1,FALSE)</f>
        <v>#N/A</v>
      </c>
      <c r="J2818" s="24" t="s">
        <v>3074</v>
      </c>
      <c r="K2818" s="96" t="s">
        <v>3585</v>
      </c>
      <c r="L2818" s="114"/>
      <c r="M2818" s="26" t="s">
        <v>3568</v>
      </c>
      <c r="N2818" s="106">
        <v>43516</v>
      </c>
      <c r="O2818" s="94" t="s">
        <v>457</v>
      </c>
      <c r="P2818" s="268">
        <v>5950</v>
      </c>
      <c r="Q2818" s="273">
        <v>5</v>
      </c>
      <c r="R2818" s="268">
        <f t="shared" si="69"/>
        <v>29750</v>
      </c>
      <c r="S2818" s="24">
        <v>202303</v>
      </c>
      <c r="T2818" s="127"/>
      <c r="U2818" s="40"/>
      <c r="V2818" s="40"/>
      <c r="W2818" s="40"/>
      <c r="X2818" s="106">
        <v>43190</v>
      </c>
      <c r="Y2818" s="106">
        <v>45382</v>
      </c>
    </row>
    <row r="2819" s="9" customFormat="1" customHeight="1" spans="1:25">
      <c r="A2819" s="96" t="s">
        <v>399</v>
      </c>
      <c r="B2819" s="96" t="s">
        <v>2950</v>
      </c>
      <c r="C2819" s="96" t="s">
        <v>2998</v>
      </c>
      <c r="D2819" s="265" t="s">
        <v>2951</v>
      </c>
      <c r="E2819" s="105" t="s">
        <v>3565</v>
      </c>
      <c r="F2819" s="96" t="s">
        <v>3566</v>
      </c>
      <c r="G2819" s="96" t="s">
        <v>88</v>
      </c>
      <c r="H2819" s="19" t="s">
        <v>3647</v>
      </c>
      <c r="I2819" s="23" t="e">
        <f>VLOOKUP(H2819,'合同综合查询数据（3月返）'!$A:$A,1,FALSE)</f>
        <v>#N/A</v>
      </c>
      <c r="J2819" s="24" t="s">
        <v>3074</v>
      </c>
      <c r="K2819" s="96" t="s">
        <v>3585</v>
      </c>
      <c r="L2819" s="114"/>
      <c r="M2819" s="26" t="s">
        <v>3568</v>
      </c>
      <c r="N2819" s="106">
        <v>43517</v>
      </c>
      <c r="O2819" s="94" t="s">
        <v>457</v>
      </c>
      <c r="P2819" s="268">
        <v>5950</v>
      </c>
      <c r="Q2819" s="273">
        <v>3</v>
      </c>
      <c r="R2819" s="268">
        <f t="shared" si="69"/>
        <v>17850</v>
      </c>
      <c r="S2819" s="24">
        <v>202303</v>
      </c>
      <c r="T2819" s="127"/>
      <c r="U2819" s="40"/>
      <c r="V2819" s="40"/>
      <c r="W2819" s="40"/>
      <c r="X2819" s="106">
        <v>43190</v>
      </c>
      <c r="Y2819" s="106">
        <v>45382</v>
      </c>
    </row>
    <row r="2820" s="9" customFormat="1" customHeight="1" spans="1:25">
      <c r="A2820" s="96" t="s">
        <v>399</v>
      </c>
      <c r="B2820" s="96" t="s">
        <v>2950</v>
      </c>
      <c r="C2820" s="96" t="s">
        <v>2998</v>
      </c>
      <c r="D2820" s="265" t="s">
        <v>2951</v>
      </c>
      <c r="E2820" s="105" t="s">
        <v>3565</v>
      </c>
      <c r="F2820" s="96" t="s">
        <v>3566</v>
      </c>
      <c r="G2820" s="96" t="s">
        <v>88</v>
      </c>
      <c r="H2820" s="19" t="s">
        <v>3647</v>
      </c>
      <c r="I2820" s="23" t="e">
        <f>VLOOKUP(H2820,'合同综合查询数据（3月返）'!$A:$A,1,FALSE)</f>
        <v>#N/A</v>
      </c>
      <c r="J2820" s="24" t="s">
        <v>3074</v>
      </c>
      <c r="K2820" s="96" t="s">
        <v>3585</v>
      </c>
      <c r="L2820" s="114"/>
      <c r="M2820" s="26" t="s">
        <v>3568</v>
      </c>
      <c r="N2820" s="106">
        <v>43522</v>
      </c>
      <c r="O2820" s="94" t="s">
        <v>457</v>
      </c>
      <c r="P2820" s="268">
        <v>5950</v>
      </c>
      <c r="Q2820" s="273">
        <v>1</v>
      </c>
      <c r="R2820" s="268">
        <f t="shared" si="69"/>
        <v>5950</v>
      </c>
      <c r="S2820" s="24">
        <v>202303</v>
      </c>
      <c r="T2820" s="127"/>
      <c r="U2820" s="40"/>
      <c r="V2820" s="40"/>
      <c r="W2820" s="40"/>
      <c r="X2820" s="106">
        <v>43190</v>
      </c>
      <c r="Y2820" s="106">
        <v>45382</v>
      </c>
    </row>
    <row r="2821" s="9" customFormat="1" customHeight="1" spans="1:25">
      <c r="A2821" s="96" t="s">
        <v>399</v>
      </c>
      <c r="B2821" s="96" t="s">
        <v>2950</v>
      </c>
      <c r="C2821" s="96" t="s">
        <v>2998</v>
      </c>
      <c r="D2821" s="265" t="s">
        <v>2951</v>
      </c>
      <c r="E2821" s="105" t="s">
        <v>3565</v>
      </c>
      <c r="F2821" s="96" t="s">
        <v>3566</v>
      </c>
      <c r="G2821" s="96" t="s">
        <v>88</v>
      </c>
      <c r="H2821" s="19" t="s">
        <v>3647</v>
      </c>
      <c r="I2821" s="23" t="e">
        <f>VLOOKUP(H2821,'合同综合查询数据（3月返）'!$A:$A,1,FALSE)</f>
        <v>#N/A</v>
      </c>
      <c r="J2821" s="24" t="s">
        <v>3074</v>
      </c>
      <c r="K2821" s="96" t="s">
        <v>3585</v>
      </c>
      <c r="L2821" s="114"/>
      <c r="M2821" s="26" t="s">
        <v>3568</v>
      </c>
      <c r="N2821" s="106">
        <v>43525</v>
      </c>
      <c r="O2821" s="94" t="s">
        <v>457</v>
      </c>
      <c r="P2821" s="268">
        <v>5950</v>
      </c>
      <c r="Q2821" s="273">
        <v>2</v>
      </c>
      <c r="R2821" s="268">
        <f t="shared" si="69"/>
        <v>11900</v>
      </c>
      <c r="S2821" s="24">
        <v>202303</v>
      </c>
      <c r="T2821" s="127"/>
      <c r="U2821" s="40"/>
      <c r="V2821" s="40"/>
      <c r="W2821" s="40"/>
      <c r="X2821" s="106">
        <v>43190</v>
      </c>
      <c r="Y2821" s="106">
        <v>45382</v>
      </c>
    </row>
    <row r="2822" s="9" customFormat="1" customHeight="1" spans="1:25">
      <c r="A2822" s="96" t="s">
        <v>399</v>
      </c>
      <c r="B2822" s="96" t="s">
        <v>2950</v>
      </c>
      <c r="C2822" s="96" t="s">
        <v>2998</v>
      </c>
      <c r="D2822" s="265" t="s">
        <v>2951</v>
      </c>
      <c r="E2822" s="105" t="s">
        <v>3565</v>
      </c>
      <c r="F2822" s="96" t="s">
        <v>3566</v>
      </c>
      <c r="G2822" s="96" t="s">
        <v>88</v>
      </c>
      <c r="H2822" s="19" t="s">
        <v>3647</v>
      </c>
      <c r="I2822" s="23" t="e">
        <f>VLOOKUP(H2822,'合同综合查询数据（3月返）'!$A:$A,1,FALSE)</f>
        <v>#N/A</v>
      </c>
      <c r="J2822" s="24" t="s">
        <v>3074</v>
      </c>
      <c r="K2822" s="96" t="s">
        <v>3585</v>
      </c>
      <c r="L2822" s="114"/>
      <c r="M2822" s="26" t="s">
        <v>3568</v>
      </c>
      <c r="N2822" s="106">
        <v>43528</v>
      </c>
      <c r="O2822" s="94" t="s">
        <v>457</v>
      </c>
      <c r="P2822" s="268">
        <v>5950</v>
      </c>
      <c r="Q2822" s="273">
        <v>2</v>
      </c>
      <c r="R2822" s="268">
        <f t="shared" si="69"/>
        <v>11900</v>
      </c>
      <c r="S2822" s="24">
        <v>202303</v>
      </c>
      <c r="T2822" s="127"/>
      <c r="U2822" s="40"/>
      <c r="V2822" s="40"/>
      <c r="W2822" s="40"/>
      <c r="X2822" s="106">
        <v>43190</v>
      </c>
      <c r="Y2822" s="106">
        <v>45382</v>
      </c>
    </row>
    <row r="2823" s="9" customFormat="1" customHeight="1" spans="1:25">
      <c r="A2823" s="96" t="s">
        <v>399</v>
      </c>
      <c r="B2823" s="96" t="s">
        <v>2950</v>
      </c>
      <c r="C2823" s="96" t="s">
        <v>2998</v>
      </c>
      <c r="D2823" s="265" t="s">
        <v>2951</v>
      </c>
      <c r="E2823" s="105" t="s">
        <v>3565</v>
      </c>
      <c r="F2823" s="96" t="s">
        <v>3566</v>
      </c>
      <c r="G2823" s="96" t="s">
        <v>88</v>
      </c>
      <c r="H2823" s="19" t="s">
        <v>3647</v>
      </c>
      <c r="I2823" s="23" t="e">
        <f>VLOOKUP(H2823,'合同综合查询数据（3月返）'!$A:$A,1,FALSE)</f>
        <v>#N/A</v>
      </c>
      <c r="J2823" s="24" t="s">
        <v>3074</v>
      </c>
      <c r="K2823" s="96" t="s">
        <v>3585</v>
      </c>
      <c r="L2823" s="114"/>
      <c r="M2823" s="26" t="s">
        <v>3568</v>
      </c>
      <c r="N2823" s="106">
        <v>43546</v>
      </c>
      <c r="O2823" s="94" t="s">
        <v>457</v>
      </c>
      <c r="P2823" s="268">
        <v>5950</v>
      </c>
      <c r="Q2823" s="273">
        <v>1</v>
      </c>
      <c r="R2823" s="268">
        <f t="shared" si="69"/>
        <v>5950</v>
      </c>
      <c r="S2823" s="24">
        <v>202303</v>
      </c>
      <c r="T2823" s="127"/>
      <c r="U2823" s="40"/>
      <c r="V2823" s="40"/>
      <c r="W2823" s="40"/>
      <c r="X2823" s="106">
        <v>43190</v>
      </c>
      <c r="Y2823" s="106">
        <v>45382</v>
      </c>
    </row>
    <row r="2824" s="9" customFormat="1" customHeight="1" spans="1:25">
      <c r="A2824" s="96" t="s">
        <v>399</v>
      </c>
      <c r="B2824" s="96" t="s">
        <v>2950</v>
      </c>
      <c r="C2824" s="96" t="s">
        <v>2998</v>
      </c>
      <c r="D2824" s="265" t="s">
        <v>2951</v>
      </c>
      <c r="E2824" s="105" t="s">
        <v>3565</v>
      </c>
      <c r="F2824" s="96" t="s">
        <v>3566</v>
      </c>
      <c r="G2824" s="96" t="s">
        <v>88</v>
      </c>
      <c r="H2824" s="19" t="s">
        <v>3647</v>
      </c>
      <c r="I2824" s="23" t="e">
        <f>VLOOKUP(H2824,'合同综合查询数据（3月返）'!$A:$A,1,FALSE)</f>
        <v>#N/A</v>
      </c>
      <c r="J2824" s="24" t="s">
        <v>3074</v>
      </c>
      <c r="K2824" s="96" t="s">
        <v>3585</v>
      </c>
      <c r="L2824" s="114"/>
      <c r="M2824" s="26" t="s">
        <v>3568</v>
      </c>
      <c r="N2824" s="106">
        <v>43550</v>
      </c>
      <c r="O2824" s="94" t="s">
        <v>457</v>
      </c>
      <c r="P2824" s="268">
        <v>5950</v>
      </c>
      <c r="Q2824" s="273">
        <v>2</v>
      </c>
      <c r="R2824" s="268">
        <f t="shared" si="69"/>
        <v>11900</v>
      </c>
      <c r="S2824" s="24">
        <v>202303</v>
      </c>
      <c r="T2824" s="127"/>
      <c r="U2824" s="40"/>
      <c r="V2824" s="40"/>
      <c r="W2824" s="40"/>
      <c r="X2824" s="106">
        <v>43190</v>
      </c>
      <c r="Y2824" s="106">
        <v>45382</v>
      </c>
    </row>
    <row r="2825" s="9" customFormat="1" customHeight="1" spans="1:25">
      <c r="A2825" s="96" t="s">
        <v>399</v>
      </c>
      <c r="B2825" s="96" t="s">
        <v>2950</v>
      </c>
      <c r="C2825" s="96" t="s">
        <v>2998</v>
      </c>
      <c r="D2825" s="265" t="s">
        <v>2951</v>
      </c>
      <c r="E2825" s="105" t="s">
        <v>3565</v>
      </c>
      <c r="F2825" s="96" t="s">
        <v>3566</v>
      </c>
      <c r="G2825" s="96" t="s">
        <v>88</v>
      </c>
      <c r="H2825" s="19" t="s">
        <v>3647</v>
      </c>
      <c r="I2825" s="23" t="e">
        <f>VLOOKUP(H2825,'合同综合查询数据（3月返）'!$A:$A,1,FALSE)</f>
        <v>#N/A</v>
      </c>
      <c r="J2825" s="24" t="s">
        <v>3074</v>
      </c>
      <c r="K2825" s="96" t="s">
        <v>3585</v>
      </c>
      <c r="L2825" s="114"/>
      <c r="M2825" s="26" t="s">
        <v>3568</v>
      </c>
      <c r="N2825" s="106">
        <v>43564</v>
      </c>
      <c r="O2825" s="94" t="s">
        <v>457</v>
      </c>
      <c r="P2825" s="268">
        <v>5950</v>
      </c>
      <c r="Q2825" s="273">
        <v>1</v>
      </c>
      <c r="R2825" s="268">
        <f t="shared" si="69"/>
        <v>5950</v>
      </c>
      <c r="S2825" s="24">
        <v>202303</v>
      </c>
      <c r="T2825" s="127"/>
      <c r="U2825" s="40"/>
      <c r="V2825" s="40"/>
      <c r="W2825" s="40"/>
      <c r="X2825" s="106">
        <v>43190</v>
      </c>
      <c r="Y2825" s="106">
        <v>45382</v>
      </c>
    </row>
    <row r="2826" s="9" customFormat="1" customHeight="1" spans="1:25">
      <c r="A2826" s="96" t="s">
        <v>399</v>
      </c>
      <c r="B2826" s="96" t="s">
        <v>2950</v>
      </c>
      <c r="C2826" s="96" t="s">
        <v>2998</v>
      </c>
      <c r="D2826" s="265" t="s">
        <v>2951</v>
      </c>
      <c r="E2826" s="105" t="s">
        <v>3565</v>
      </c>
      <c r="F2826" s="96" t="s">
        <v>3566</v>
      </c>
      <c r="G2826" s="96" t="s">
        <v>88</v>
      </c>
      <c r="H2826" s="19" t="s">
        <v>3647</v>
      </c>
      <c r="I2826" s="23" t="e">
        <f>VLOOKUP(H2826,'合同综合查询数据（3月返）'!$A:$A,1,FALSE)</f>
        <v>#N/A</v>
      </c>
      <c r="J2826" s="24" t="s">
        <v>3074</v>
      </c>
      <c r="K2826" s="96" t="s">
        <v>3585</v>
      </c>
      <c r="L2826" s="114"/>
      <c r="M2826" s="26" t="s">
        <v>3568</v>
      </c>
      <c r="N2826" s="106">
        <v>43566</v>
      </c>
      <c r="O2826" s="94" t="s">
        <v>3649</v>
      </c>
      <c r="P2826" s="268">
        <v>20284</v>
      </c>
      <c r="Q2826" s="273">
        <v>4</v>
      </c>
      <c r="R2826" s="268">
        <f t="shared" si="69"/>
        <v>81136</v>
      </c>
      <c r="S2826" s="24">
        <v>202303</v>
      </c>
      <c r="T2826" s="127"/>
      <c r="U2826" s="40"/>
      <c r="V2826" s="40"/>
      <c r="W2826" s="40"/>
      <c r="X2826" s="106">
        <v>43190</v>
      </c>
      <c r="Y2826" s="106">
        <v>45382</v>
      </c>
    </row>
    <row r="2827" s="9" customFormat="1" customHeight="1" spans="1:25">
      <c r="A2827" s="96" t="s">
        <v>399</v>
      </c>
      <c r="B2827" s="96" t="s">
        <v>2950</v>
      </c>
      <c r="C2827" s="96" t="s">
        <v>2998</v>
      </c>
      <c r="D2827" s="265" t="s">
        <v>2951</v>
      </c>
      <c r="E2827" s="105" t="s">
        <v>3565</v>
      </c>
      <c r="F2827" s="96" t="s">
        <v>3566</v>
      </c>
      <c r="G2827" s="96" t="s">
        <v>88</v>
      </c>
      <c r="H2827" s="19" t="s">
        <v>3647</v>
      </c>
      <c r="I2827" s="23" t="e">
        <f>VLOOKUP(H2827,'合同综合查询数据（3月返）'!$A:$A,1,FALSE)</f>
        <v>#N/A</v>
      </c>
      <c r="J2827" s="24" t="s">
        <v>3074</v>
      </c>
      <c r="K2827" s="96" t="s">
        <v>3585</v>
      </c>
      <c r="L2827" s="114"/>
      <c r="M2827" s="26" t="s">
        <v>3568</v>
      </c>
      <c r="N2827" s="106">
        <v>43598</v>
      </c>
      <c r="O2827" s="94" t="s">
        <v>457</v>
      </c>
      <c r="P2827" s="268">
        <v>5950</v>
      </c>
      <c r="Q2827" s="273">
        <v>4</v>
      </c>
      <c r="R2827" s="268">
        <f t="shared" si="69"/>
        <v>23800</v>
      </c>
      <c r="S2827" s="24">
        <v>202303</v>
      </c>
      <c r="T2827" s="127" t="s">
        <v>3653</v>
      </c>
      <c r="U2827" s="40"/>
      <c r="V2827" s="40"/>
      <c r="W2827" s="40"/>
      <c r="X2827" s="106">
        <v>43190</v>
      </c>
      <c r="Y2827" s="106">
        <v>45382</v>
      </c>
    </row>
    <row r="2828" s="9" customFormat="1" customHeight="1" spans="1:25">
      <c r="A2828" s="96" t="s">
        <v>399</v>
      </c>
      <c r="B2828" s="96" t="s">
        <v>2950</v>
      </c>
      <c r="C2828" s="96" t="s">
        <v>2998</v>
      </c>
      <c r="D2828" s="265" t="s">
        <v>2951</v>
      </c>
      <c r="E2828" s="105" t="s">
        <v>3565</v>
      </c>
      <c r="F2828" s="96" t="s">
        <v>3566</v>
      </c>
      <c r="G2828" s="96" t="s">
        <v>88</v>
      </c>
      <c r="H2828" s="19" t="s">
        <v>3647</v>
      </c>
      <c r="I2828" s="23" t="e">
        <f>VLOOKUP(H2828,'合同综合查询数据（3月返）'!$A:$A,1,FALSE)</f>
        <v>#N/A</v>
      </c>
      <c r="J2828" s="24" t="s">
        <v>3074</v>
      </c>
      <c r="K2828" s="96" t="s">
        <v>3585</v>
      </c>
      <c r="L2828" s="114"/>
      <c r="M2828" s="26" t="s">
        <v>3568</v>
      </c>
      <c r="N2828" s="106">
        <v>43608</v>
      </c>
      <c r="O2828" s="94" t="s">
        <v>457</v>
      </c>
      <c r="P2828" s="268">
        <v>5950</v>
      </c>
      <c r="Q2828" s="273">
        <v>2</v>
      </c>
      <c r="R2828" s="268">
        <f t="shared" si="69"/>
        <v>11900</v>
      </c>
      <c r="S2828" s="24">
        <v>202303</v>
      </c>
      <c r="T2828" s="127" t="s">
        <v>3654</v>
      </c>
      <c r="U2828" s="40"/>
      <c r="V2828" s="40"/>
      <c r="W2828" s="40"/>
      <c r="X2828" s="106">
        <v>43190</v>
      </c>
      <c r="Y2828" s="106">
        <v>45382</v>
      </c>
    </row>
    <row r="2829" s="9" customFormat="1" customHeight="1" spans="1:25">
      <c r="A2829" s="96" t="s">
        <v>399</v>
      </c>
      <c r="B2829" s="96" t="s">
        <v>2950</v>
      </c>
      <c r="C2829" s="96" t="s">
        <v>2998</v>
      </c>
      <c r="D2829" s="265" t="s">
        <v>2951</v>
      </c>
      <c r="E2829" s="105" t="s">
        <v>3565</v>
      </c>
      <c r="F2829" s="96" t="s">
        <v>3566</v>
      </c>
      <c r="G2829" s="96" t="s">
        <v>88</v>
      </c>
      <c r="H2829" s="19" t="s">
        <v>3647</v>
      </c>
      <c r="I2829" s="23" t="e">
        <f>VLOOKUP(H2829,'合同综合查询数据（3月返）'!$A:$A,1,FALSE)</f>
        <v>#N/A</v>
      </c>
      <c r="J2829" s="24" t="s">
        <v>3074</v>
      </c>
      <c r="K2829" s="96" t="s">
        <v>3585</v>
      </c>
      <c r="L2829" s="114"/>
      <c r="M2829" s="26" t="s">
        <v>3568</v>
      </c>
      <c r="N2829" s="106">
        <v>43330</v>
      </c>
      <c r="O2829" s="94" t="s">
        <v>457</v>
      </c>
      <c r="P2829" s="268">
        <v>5950</v>
      </c>
      <c r="Q2829" s="273">
        <v>17</v>
      </c>
      <c r="R2829" s="268">
        <f t="shared" si="69"/>
        <v>101150</v>
      </c>
      <c r="S2829" s="24">
        <v>202303</v>
      </c>
      <c r="T2829" s="127" t="s">
        <v>3655</v>
      </c>
      <c r="U2829" s="40"/>
      <c r="V2829" s="40"/>
      <c r="W2829" s="40"/>
      <c r="X2829" s="106">
        <v>43190</v>
      </c>
      <c r="Y2829" s="106">
        <v>45382</v>
      </c>
    </row>
    <row r="2830" s="9" customFormat="1" customHeight="1" spans="1:25">
      <c r="A2830" s="96" t="s">
        <v>399</v>
      </c>
      <c r="B2830" s="96" t="s">
        <v>2950</v>
      </c>
      <c r="C2830" s="96" t="s">
        <v>2998</v>
      </c>
      <c r="D2830" s="265" t="s">
        <v>2951</v>
      </c>
      <c r="E2830" s="105" t="s">
        <v>3565</v>
      </c>
      <c r="F2830" s="96" t="s">
        <v>3566</v>
      </c>
      <c r="G2830" s="96" t="s">
        <v>88</v>
      </c>
      <c r="H2830" s="19" t="s">
        <v>3647</v>
      </c>
      <c r="I2830" s="23" t="e">
        <f>VLOOKUP(H2830,'合同综合查询数据（3月返）'!$A:$A,1,FALSE)</f>
        <v>#N/A</v>
      </c>
      <c r="J2830" s="24" t="s">
        <v>3074</v>
      </c>
      <c r="K2830" s="96" t="s">
        <v>3585</v>
      </c>
      <c r="L2830" s="114"/>
      <c r="M2830" s="26" t="s">
        <v>3568</v>
      </c>
      <c r="N2830" s="106">
        <v>43250</v>
      </c>
      <c r="O2830" s="94" t="s">
        <v>470</v>
      </c>
      <c r="P2830" s="268">
        <v>5950</v>
      </c>
      <c r="Q2830" s="273">
        <v>2</v>
      </c>
      <c r="R2830" s="268">
        <f t="shared" si="69"/>
        <v>11900</v>
      </c>
      <c r="S2830" s="24">
        <v>202303</v>
      </c>
      <c r="T2830" s="127"/>
      <c r="U2830" s="40"/>
      <c r="V2830" s="40"/>
      <c r="W2830" s="40"/>
      <c r="X2830" s="106">
        <v>43190</v>
      </c>
      <c r="Y2830" s="106">
        <v>45382</v>
      </c>
    </row>
    <row r="2831" s="9" customFormat="1" customHeight="1" spans="1:25">
      <c r="A2831" s="96" t="s">
        <v>399</v>
      </c>
      <c r="B2831" s="96" t="s">
        <v>2950</v>
      </c>
      <c r="C2831" s="96" t="s">
        <v>2998</v>
      </c>
      <c r="D2831" s="265" t="s">
        <v>2951</v>
      </c>
      <c r="E2831" s="105" t="s">
        <v>3565</v>
      </c>
      <c r="F2831" s="96" t="s">
        <v>3566</v>
      </c>
      <c r="G2831" s="96" t="s">
        <v>88</v>
      </c>
      <c r="H2831" s="19" t="s">
        <v>3647</v>
      </c>
      <c r="I2831" s="23" t="e">
        <f>VLOOKUP(H2831,'合同综合查询数据（3月返）'!$A:$A,1,FALSE)</f>
        <v>#N/A</v>
      </c>
      <c r="J2831" s="24" t="s">
        <v>3074</v>
      </c>
      <c r="K2831" s="96" t="s">
        <v>3585</v>
      </c>
      <c r="L2831" s="114"/>
      <c r="M2831" s="26" t="s">
        <v>3568</v>
      </c>
      <c r="N2831" s="106">
        <v>43250</v>
      </c>
      <c r="O2831" s="94" t="s">
        <v>519</v>
      </c>
      <c r="P2831" s="268">
        <v>16227</v>
      </c>
      <c r="Q2831" s="273">
        <v>6</v>
      </c>
      <c r="R2831" s="268">
        <f t="shared" si="69"/>
        <v>97362</v>
      </c>
      <c r="S2831" s="24">
        <v>202303</v>
      </c>
      <c r="T2831" s="127"/>
      <c r="U2831" s="40"/>
      <c r="V2831" s="40"/>
      <c r="W2831" s="40"/>
      <c r="X2831" s="106">
        <v>43190</v>
      </c>
      <c r="Y2831" s="106">
        <v>45382</v>
      </c>
    </row>
    <row r="2832" s="9" customFormat="1" customHeight="1" spans="1:25">
      <c r="A2832" s="96" t="s">
        <v>399</v>
      </c>
      <c r="B2832" s="96" t="s">
        <v>2950</v>
      </c>
      <c r="C2832" s="96" t="s">
        <v>2998</v>
      </c>
      <c r="D2832" s="265" t="s">
        <v>2951</v>
      </c>
      <c r="E2832" s="105" t="s">
        <v>3565</v>
      </c>
      <c r="F2832" s="96" t="s">
        <v>3566</v>
      </c>
      <c r="G2832" s="96" t="s">
        <v>88</v>
      </c>
      <c r="H2832" s="19" t="s">
        <v>3647</v>
      </c>
      <c r="I2832" s="23" t="e">
        <f>VLOOKUP(H2832,'合同综合查询数据（3月返）'!$A:$A,1,FALSE)</f>
        <v>#N/A</v>
      </c>
      <c r="J2832" s="24" t="s">
        <v>3074</v>
      </c>
      <c r="K2832" s="96" t="s">
        <v>3585</v>
      </c>
      <c r="L2832" s="114"/>
      <c r="M2832" s="26" t="s">
        <v>3568</v>
      </c>
      <c r="N2832" s="106">
        <v>43630</v>
      </c>
      <c r="O2832" s="94" t="s">
        <v>457</v>
      </c>
      <c r="P2832" s="268">
        <v>5950</v>
      </c>
      <c r="Q2832" s="273">
        <v>6</v>
      </c>
      <c r="R2832" s="268">
        <f t="shared" si="69"/>
        <v>35700</v>
      </c>
      <c r="S2832" s="24">
        <v>202303</v>
      </c>
      <c r="T2832" s="127" t="s">
        <v>3656</v>
      </c>
      <c r="U2832" s="40"/>
      <c r="V2832" s="40"/>
      <c r="W2832" s="40"/>
      <c r="X2832" s="106">
        <v>43190</v>
      </c>
      <c r="Y2832" s="106">
        <v>45382</v>
      </c>
    </row>
    <row r="2833" s="9" customFormat="1" customHeight="1" spans="1:25">
      <c r="A2833" s="96" t="s">
        <v>399</v>
      </c>
      <c r="B2833" s="96" t="s">
        <v>2950</v>
      </c>
      <c r="C2833" s="96" t="s">
        <v>2998</v>
      </c>
      <c r="D2833" s="265" t="s">
        <v>2951</v>
      </c>
      <c r="E2833" s="105" t="s">
        <v>3565</v>
      </c>
      <c r="F2833" s="96" t="s">
        <v>3566</v>
      </c>
      <c r="G2833" s="96" t="s">
        <v>88</v>
      </c>
      <c r="H2833" s="19" t="s">
        <v>3647</v>
      </c>
      <c r="I2833" s="23" t="e">
        <f>VLOOKUP(H2833,'合同综合查询数据（3月返）'!$A:$A,1,FALSE)</f>
        <v>#N/A</v>
      </c>
      <c r="J2833" s="24" t="s">
        <v>3074</v>
      </c>
      <c r="K2833" s="96" t="s">
        <v>3585</v>
      </c>
      <c r="L2833" s="114"/>
      <c r="M2833" s="26" t="s">
        <v>3568</v>
      </c>
      <c r="N2833" s="106">
        <v>43637</v>
      </c>
      <c r="O2833" s="94" t="s">
        <v>461</v>
      </c>
      <c r="P2833" s="268">
        <v>8114</v>
      </c>
      <c r="Q2833" s="273">
        <v>2</v>
      </c>
      <c r="R2833" s="268">
        <f t="shared" si="69"/>
        <v>16228</v>
      </c>
      <c r="S2833" s="24">
        <v>202303</v>
      </c>
      <c r="T2833" s="127" t="s">
        <v>3657</v>
      </c>
      <c r="U2833" s="40"/>
      <c r="V2833" s="40"/>
      <c r="W2833" s="40"/>
      <c r="X2833" s="106">
        <v>43190</v>
      </c>
      <c r="Y2833" s="106">
        <v>45382</v>
      </c>
    </row>
    <row r="2834" s="9" customFormat="1" customHeight="1" spans="1:25">
      <c r="A2834" s="96" t="s">
        <v>399</v>
      </c>
      <c r="B2834" s="96" t="s">
        <v>2950</v>
      </c>
      <c r="C2834" s="96" t="s">
        <v>2998</v>
      </c>
      <c r="D2834" s="265" t="s">
        <v>2951</v>
      </c>
      <c r="E2834" s="105" t="s">
        <v>3565</v>
      </c>
      <c r="F2834" s="96" t="s">
        <v>3566</v>
      </c>
      <c r="G2834" s="96" t="s">
        <v>88</v>
      </c>
      <c r="H2834" s="19" t="s">
        <v>3647</v>
      </c>
      <c r="I2834" s="23" t="e">
        <f>VLOOKUP(H2834,'合同综合查询数据（3月返）'!$A:$A,1,FALSE)</f>
        <v>#N/A</v>
      </c>
      <c r="J2834" s="24" t="s">
        <v>3074</v>
      </c>
      <c r="K2834" s="96" t="s">
        <v>3585</v>
      </c>
      <c r="L2834" s="114"/>
      <c r="M2834" s="26" t="s">
        <v>3568</v>
      </c>
      <c r="N2834" s="106">
        <v>43650</v>
      </c>
      <c r="O2834" s="94" t="s">
        <v>457</v>
      </c>
      <c r="P2834" s="268">
        <v>5950</v>
      </c>
      <c r="Q2834" s="273">
        <v>160</v>
      </c>
      <c r="R2834" s="268">
        <f t="shared" si="69"/>
        <v>952000</v>
      </c>
      <c r="S2834" s="24">
        <v>202303</v>
      </c>
      <c r="T2834" s="127"/>
      <c r="U2834" s="40"/>
      <c r="V2834" s="40"/>
      <c r="W2834" s="40"/>
      <c r="X2834" s="106">
        <v>43190</v>
      </c>
      <c r="Y2834" s="106">
        <v>45382</v>
      </c>
    </row>
    <row r="2835" s="9" customFormat="1" customHeight="1" spans="1:25">
      <c r="A2835" s="96" t="s">
        <v>399</v>
      </c>
      <c r="B2835" s="96" t="s">
        <v>2950</v>
      </c>
      <c r="C2835" s="96" t="s">
        <v>2998</v>
      </c>
      <c r="D2835" s="265" t="s">
        <v>2951</v>
      </c>
      <c r="E2835" s="105" t="s">
        <v>3565</v>
      </c>
      <c r="F2835" s="96" t="s">
        <v>3566</v>
      </c>
      <c r="G2835" s="96" t="s">
        <v>88</v>
      </c>
      <c r="H2835" s="19" t="s">
        <v>3647</v>
      </c>
      <c r="I2835" s="23" t="e">
        <f>VLOOKUP(H2835,'合同综合查询数据（3月返）'!$A:$A,1,FALSE)</f>
        <v>#N/A</v>
      </c>
      <c r="J2835" s="24" t="s">
        <v>3074</v>
      </c>
      <c r="K2835" s="96" t="s">
        <v>3585</v>
      </c>
      <c r="L2835" s="114"/>
      <c r="M2835" s="26" t="s">
        <v>3568</v>
      </c>
      <c r="N2835" s="106">
        <v>43651</v>
      </c>
      <c r="O2835" s="94" t="s">
        <v>457</v>
      </c>
      <c r="P2835" s="268">
        <v>5950</v>
      </c>
      <c r="Q2835" s="273">
        <v>1</v>
      </c>
      <c r="R2835" s="268">
        <f t="shared" si="69"/>
        <v>5950</v>
      </c>
      <c r="S2835" s="24">
        <v>202303</v>
      </c>
      <c r="T2835" s="127" t="s">
        <v>3658</v>
      </c>
      <c r="U2835" s="40"/>
      <c r="V2835" s="40"/>
      <c r="W2835" s="40"/>
      <c r="X2835" s="106">
        <v>43190</v>
      </c>
      <c r="Y2835" s="106">
        <v>45382</v>
      </c>
    </row>
    <row r="2836" s="9" customFormat="1" customHeight="1" spans="1:25">
      <c r="A2836" s="96" t="s">
        <v>399</v>
      </c>
      <c r="B2836" s="96" t="s">
        <v>2950</v>
      </c>
      <c r="C2836" s="96" t="s">
        <v>2998</v>
      </c>
      <c r="D2836" s="265" t="s">
        <v>2951</v>
      </c>
      <c r="E2836" s="105" t="s">
        <v>3565</v>
      </c>
      <c r="F2836" s="96" t="s">
        <v>3566</v>
      </c>
      <c r="G2836" s="96" t="s">
        <v>88</v>
      </c>
      <c r="H2836" s="19" t="s">
        <v>3647</v>
      </c>
      <c r="I2836" s="23" t="e">
        <f>VLOOKUP(H2836,'合同综合查询数据（3月返）'!$A:$A,1,FALSE)</f>
        <v>#N/A</v>
      </c>
      <c r="J2836" s="24" t="s">
        <v>3074</v>
      </c>
      <c r="K2836" s="96" t="s">
        <v>3585</v>
      </c>
      <c r="L2836" s="114"/>
      <c r="M2836" s="26" t="s">
        <v>3568</v>
      </c>
      <c r="N2836" s="106">
        <v>43661</v>
      </c>
      <c r="O2836" s="94" t="s">
        <v>457</v>
      </c>
      <c r="P2836" s="268">
        <v>5950</v>
      </c>
      <c r="Q2836" s="273">
        <v>2</v>
      </c>
      <c r="R2836" s="268">
        <f t="shared" si="69"/>
        <v>11900</v>
      </c>
      <c r="S2836" s="24">
        <v>202303</v>
      </c>
      <c r="T2836" s="127" t="s">
        <v>3659</v>
      </c>
      <c r="U2836" s="40"/>
      <c r="V2836" s="40"/>
      <c r="W2836" s="40"/>
      <c r="X2836" s="106">
        <v>43190</v>
      </c>
      <c r="Y2836" s="106">
        <v>45382</v>
      </c>
    </row>
    <row r="2837" s="9" customFormat="1" customHeight="1" spans="1:25">
      <c r="A2837" s="96" t="s">
        <v>399</v>
      </c>
      <c r="B2837" s="96" t="s">
        <v>2950</v>
      </c>
      <c r="C2837" s="96" t="s">
        <v>2998</v>
      </c>
      <c r="D2837" s="265" t="s">
        <v>2951</v>
      </c>
      <c r="E2837" s="105" t="s">
        <v>3565</v>
      </c>
      <c r="F2837" s="96" t="s">
        <v>3566</v>
      </c>
      <c r="G2837" s="96" t="s">
        <v>88</v>
      </c>
      <c r="H2837" s="19" t="s">
        <v>3647</v>
      </c>
      <c r="I2837" s="23" t="e">
        <f>VLOOKUP(H2837,'合同综合查询数据（3月返）'!$A:$A,1,FALSE)</f>
        <v>#N/A</v>
      </c>
      <c r="J2837" s="24" t="s">
        <v>3074</v>
      </c>
      <c r="K2837" s="96" t="s">
        <v>3585</v>
      </c>
      <c r="L2837" s="114"/>
      <c r="M2837" s="26" t="s">
        <v>3568</v>
      </c>
      <c r="N2837" s="106">
        <v>43663</v>
      </c>
      <c r="O2837" s="94" t="s">
        <v>457</v>
      </c>
      <c r="P2837" s="268">
        <v>5950</v>
      </c>
      <c r="Q2837" s="273">
        <v>14</v>
      </c>
      <c r="R2837" s="268">
        <f t="shared" si="69"/>
        <v>83300</v>
      </c>
      <c r="S2837" s="24">
        <v>202303</v>
      </c>
      <c r="T2837" s="127"/>
      <c r="U2837" s="40"/>
      <c r="V2837" s="40"/>
      <c r="W2837" s="40"/>
      <c r="X2837" s="106">
        <v>43190</v>
      </c>
      <c r="Y2837" s="106">
        <v>45382</v>
      </c>
    </row>
    <row r="2838" s="9" customFormat="1" customHeight="1" spans="1:25">
      <c r="A2838" s="96" t="s">
        <v>399</v>
      </c>
      <c r="B2838" s="96" t="s">
        <v>2950</v>
      </c>
      <c r="C2838" s="96" t="s">
        <v>2998</v>
      </c>
      <c r="D2838" s="265" t="s">
        <v>2951</v>
      </c>
      <c r="E2838" s="105" t="s">
        <v>3565</v>
      </c>
      <c r="F2838" s="96" t="s">
        <v>3566</v>
      </c>
      <c r="G2838" s="96" t="s">
        <v>88</v>
      </c>
      <c r="H2838" s="19" t="s">
        <v>3647</v>
      </c>
      <c r="I2838" s="23" t="e">
        <f>VLOOKUP(H2838,'合同综合查询数据（3月返）'!$A:$A,1,FALSE)</f>
        <v>#N/A</v>
      </c>
      <c r="J2838" s="24" t="s">
        <v>3074</v>
      </c>
      <c r="K2838" s="96" t="s">
        <v>3585</v>
      </c>
      <c r="L2838" s="114"/>
      <c r="M2838" s="26" t="s">
        <v>3568</v>
      </c>
      <c r="N2838" s="106">
        <v>43665</v>
      </c>
      <c r="O2838" s="94" t="s">
        <v>457</v>
      </c>
      <c r="P2838" s="268">
        <v>5950</v>
      </c>
      <c r="Q2838" s="273">
        <v>10</v>
      </c>
      <c r="R2838" s="268">
        <f t="shared" si="69"/>
        <v>59500</v>
      </c>
      <c r="S2838" s="24">
        <v>202303</v>
      </c>
      <c r="T2838" s="127"/>
      <c r="U2838" s="40"/>
      <c r="V2838" s="40"/>
      <c r="W2838" s="40"/>
      <c r="X2838" s="106">
        <v>43190</v>
      </c>
      <c r="Y2838" s="106">
        <v>45382</v>
      </c>
    </row>
    <row r="2839" s="9" customFormat="1" customHeight="1" spans="1:25">
      <c r="A2839" s="96" t="s">
        <v>399</v>
      </c>
      <c r="B2839" s="96" t="s">
        <v>2950</v>
      </c>
      <c r="C2839" s="96" t="s">
        <v>2998</v>
      </c>
      <c r="D2839" s="265" t="s">
        <v>2951</v>
      </c>
      <c r="E2839" s="105" t="s">
        <v>3565</v>
      </c>
      <c r="F2839" s="96" t="s">
        <v>3566</v>
      </c>
      <c r="G2839" s="96" t="s">
        <v>88</v>
      </c>
      <c r="H2839" s="19" t="s">
        <v>3647</v>
      </c>
      <c r="I2839" s="23" t="e">
        <f>VLOOKUP(H2839,'合同综合查询数据（3月返）'!$A:$A,1,FALSE)</f>
        <v>#N/A</v>
      </c>
      <c r="J2839" s="24" t="s">
        <v>3074</v>
      </c>
      <c r="K2839" s="96" t="s">
        <v>3585</v>
      </c>
      <c r="L2839" s="114"/>
      <c r="M2839" s="26" t="s">
        <v>3568</v>
      </c>
      <c r="N2839" s="106">
        <v>43669</v>
      </c>
      <c r="O2839" s="94" t="s">
        <v>457</v>
      </c>
      <c r="P2839" s="268">
        <v>5950</v>
      </c>
      <c r="Q2839" s="273">
        <v>13</v>
      </c>
      <c r="R2839" s="268">
        <f t="shared" si="69"/>
        <v>77350</v>
      </c>
      <c r="S2839" s="24">
        <v>202303</v>
      </c>
      <c r="T2839" s="127"/>
      <c r="U2839" s="40"/>
      <c r="V2839" s="40"/>
      <c r="W2839" s="40"/>
      <c r="X2839" s="106">
        <v>43190</v>
      </c>
      <c r="Y2839" s="106">
        <v>45382</v>
      </c>
    </row>
    <row r="2840" s="9" customFormat="1" customHeight="1" spans="1:25">
      <c r="A2840" s="96" t="s">
        <v>399</v>
      </c>
      <c r="B2840" s="96" t="s">
        <v>2950</v>
      </c>
      <c r="C2840" s="96" t="s">
        <v>2998</v>
      </c>
      <c r="D2840" s="265" t="s">
        <v>2951</v>
      </c>
      <c r="E2840" s="105" t="s">
        <v>3565</v>
      </c>
      <c r="F2840" s="96" t="s">
        <v>3566</v>
      </c>
      <c r="G2840" s="96" t="s">
        <v>88</v>
      </c>
      <c r="H2840" s="19" t="s">
        <v>3647</v>
      </c>
      <c r="I2840" s="23" t="e">
        <f>VLOOKUP(H2840,'合同综合查询数据（3月返）'!$A:$A,1,FALSE)</f>
        <v>#N/A</v>
      </c>
      <c r="J2840" s="24" t="s">
        <v>3074</v>
      </c>
      <c r="K2840" s="96" t="s">
        <v>3585</v>
      </c>
      <c r="L2840" s="114"/>
      <c r="M2840" s="26" t="s">
        <v>3568</v>
      </c>
      <c r="N2840" s="106">
        <v>43684</v>
      </c>
      <c r="O2840" s="94" t="s">
        <v>457</v>
      </c>
      <c r="P2840" s="268">
        <v>5950</v>
      </c>
      <c r="Q2840" s="273">
        <v>2</v>
      </c>
      <c r="R2840" s="268">
        <f t="shared" si="69"/>
        <v>11900</v>
      </c>
      <c r="S2840" s="24">
        <v>202303</v>
      </c>
      <c r="T2840" s="127" t="s">
        <v>3660</v>
      </c>
      <c r="U2840" s="40"/>
      <c r="V2840" s="40"/>
      <c r="W2840" s="40"/>
      <c r="X2840" s="106">
        <v>43190</v>
      </c>
      <c r="Y2840" s="106">
        <v>45382</v>
      </c>
    </row>
    <row r="2841" s="9" customFormat="1" customHeight="1" spans="1:25">
      <c r="A2841" s="96" t="s">
        <v>399</v>
      </c>
      <c r="B2841" s="96" t="s">
        <v>2950</v>
      </c>
      <c r="C2841" s="96" t="s">
        <v>2998</v>
      </c>
      <c r="D2841" s="265" t="s">
        <v>2951</v>
      </c>
      <c r="E2841" s="105" t="s">
        <v>3565</v>
      </c>
      <c r="F2841" s="96" t="s">
        <v>3566</v>
      </c>
      <c r="G2841" s="96" t="s">
        <v>88</v>
      </c>
      <c r="H2841" s="19" t="s">
        <v>3647</v>
      </c>
      <c r="I2841" s="23" t="e">
        <f>VLOOKUP(H2841,'合同综合查询数据（3月返）'!$A:$A,1,FALSE)</f>
        <v>#N/A</v>
      </c>
      <c r="J2841" s="24" t="s">
        <v>3074</v>
      </c>
      <c r="K2841" s="96" t="s">
        <v>3585</v>
      </c>
      <c r="L2841" s="114"/>
      <c r="M2841" s="26" t="s">
        <v>3568</v>
      </c>
      <c r="N2841" s="106">
        <v>43691</v>
      </c>
      <c r="O2841" s="94" t="s">
        <v>457</v>
      </c>
      <c r="P2841" s="268">
        <v>5950</v>
      </c>
      <c r="Q2841" s="273">
        <v>2</v>
      </c>
      <c r="R2841" s="268">
        <f t="shared" si="69"/>
        <v>11900</v>
      </c>
      <c r="S2841" s="24">
        <v>202303</v>
      </c>
      <c r="T2841" s="127" t="s">
        <v>3661</v>
      </c>
      <c r="U2841" s="40"/>
      <c r="V2841" s="40"/>
      <c r="W2841" s="40"/>
      <c r="X2841" s="106">
        <v>43190</v>
      </c>
      <c r="Y2841" s="106">
        <v>45382</v>
      </c>
    </row>
    <row r="2842" s="9" customFormat="1" customHeight="1" spans="1:25">
      <c r="A2842" s="96" t="s">
        <v>399</v>
      </c>
      <c r="B2842" s="96" t="s">
        <v>2950</v>
      </c>
      <c r="C2842" s="96" t="s">
        <v>2998</v>
      </c>
      <c r="D2842" s="265" t="s">
        <v>2951</v>
      </c>
      <c r="E2842" s="105" t="s">
        <v>3565</v>
      </c>
      <c r="F2842" s="96" t="s">
        <v>3566</v>
      </c>
      <c r="G2842" s="96" t="s">
        <v>88</v>
      </c>
      <c r="H2842" s="19" t="s">
        <v>3647</v>
      </c>
      <c r="I2842" s="23" t="e">
        <f>VLOOKUP(H2842,'合同综合查询数据（3月返）'!$A:$A,1,FALSE)</f>
        <v>#N/A</v>
      </c>
      <c r="J2842" s="24" t="s">
        <v>3074</v>
      </c>
      <c r="K2842" s="96" t="s">
        <v>3585</v>
      </c>
      <c r="L2842" s="114"/>
      <c r="M2842" s="26" t="s">
        <v>3568</v>
      </c>
      <c r="N2842" s="106">
        <v>43699</v>
      </c>
      <c r="O2842" s="94" t="s">
        <v>457</v>
      </c>
      <c r="P2842" s="268">
        <v>5950</v>
      </c>
      <c r="Q2842" s="273">
        <v>2</v>
      </c>
      <c r="R2842" s="268">
        <f t="shared" si="69"/>
        <v>11900</v>
      </c>
      <c r="S2842" s="24">
        <v>202303</v>
      </c>
      <c r="T2842" s="127" t="s">
        <v>3662</v>
      </c>
      <c r="U2842" s="40"/>
      <c r="V2842" s="40"/>
      <c r="W2842" s="40"/>
      <c r="X2842" s="106">
        <v>43190</v>
      </c>
      <c r="Y2842" s="106">
        <v>45382</v>
      </c>
    </row>
    <row r="2843" s="9" customFormat="1" customHeight="1" spans="1:25">
      <c r="A2843" s="96" t="s">
        <v>399</v>
      </c>
      <c r="B2843" s="96" t="s">
        <v>2950</v>
      </c>
      <c r="C2843" s="96" t="s">
        <v>2998</v>
      </c>
      <c r="D2843" s="265" t="s">
        <v>2951</v>
      </c>
      <c r="E2843" s="105" t="s">
        <v>3565</v>
      </c>
      <c r="F2843" s="96" t="s">
        <v>3566</v>
      </c>
      <c r="G2843" s="96" t="s">
        <v>88</v>
      </c>
      <c r="H2843" s="19" t="s">
        <v>3647</v>
      </c>
      <c r="I2843" s="23" t="e">
        <f>VLOOKUP(H2843,'合同综合查询数据（3月返）'!$A:$A,1,FALSE)</f>
        <v>#N/A</v>
      </c>
      <c r="J2843" s="24" t="s">
        <v>3074</v>
      </c>
      <c r="K2843" s="96" t="s">
        <v>3585</v>
      </c>
      <c r="L2843" s="114"/>
      <c r="M2843" s="26" t="s">
        <v>3568</v>
      </c>
      <c r="N2843" s="106">
        <v>43691</v>
      </c>
      <c r="O2843" s="94" t="s">
        <v>457</v>
      </c>
      <c r="P2843" s="268">
        <v>5950</v>
      </c>
      <c r="Q2843" s="273">
        <v>-1</v>
      </c>
      <c r="R2843" s="268">
        <f t="shared" si="69"/>
        <v>-5950</v>
      </c>
      <c r="S2843" s="24">
        <v>202303</v>
      </c>
      <c r="T2843" s="127" t="s">
        <v>3663</v>
      </c>
      <c r="U2843" s="40"/>
      <c r="V2843" s="40"/>
      <c r="W2843" s="40"/>
      <c r="X2843" s="106">
        <v>43190</v>
      </c>
      <c r="Y2843" s="106">
        <v>45382</v>
      </c>
    </row>
    <row r="2844" s="9" customFormat="1" customHeight="1" spans="1:25">
      <c r="A2844" s="96" t="s">
        <v>399</v>
      </c>
      <c r="B2844" s="96" t="s">
        <v>2950</v>
      </c>
      <c r="C2844" s="96" t="s">
        <v>2998</v>
      </c>
      <c r="D2844" s="265" t="s">
        <v>2951</v>
      </c>
      <c r="E2844" s="105" t="s">
        <v>3565</v>
      </c>
      <c r="F2844" s="96" t="s">
        <v>3566</v>
      </c>
      <c r="G2844" s="96" t="s">
        <v>88</v>
      </c>
      <c r="H2844" s="19" t="s">
        <v>3647</v>
      </c>
      <c r="I2844" s="23" t="e">
        <f>VLOOKUP(H2844,'合同综合查询数据（3月返）'!$A:$A,1,FALSE)</f>
        <v>#N/A</v>
      </c>
      <c r="J2844" s="24" t="s">
        <v>3074</v>
      </c>
      <c r="K2844" s="96" t="s">
        <v>3585</v>
      </c>
      <c r="L2844" s="114"/>
      <c r="M2844" s="26" t="s">
        <v>3568</v>
      </c>
      <c r="N2844" s="106">
        <v>43714</v>
      </c>
      <c r="O2844" s="94" t="s">
        <v>457</v>
      </c>
      <c r="P2844" s="268">
        <v>5950</v>
      </c>
      <c r="Q2844" s="273">
        <v>63</v>
      </c>
      <c r="R2844" s="268">
        <f t="shared" si="69"/>
        <v>374850</v>
      </c>
      <c r="S2844" s="24">
        <v>202303</v>
      </c>
      <c r="T2844" s="127" t="s">
        <v>3664</v>
      </c>
      <c r="U2844" s="40"/>
      <c r="V2844" s="40"/>
      <c r="W2844" s="40"/>
      <c r="X2844" s="106">
        <v>43190</v>
      </c>
      <c r="Y2844" s="106">
        <v>45382</v>
      </c>
    </row>
    <row r="2845" s="9" customFormat="1" customHeight="1" spans="1:25">
      <c r="A2845" s="96" t="s">
        <v>399</v>
      </c>
      <c r="B2845" s="96" t="s">
        <v>2950</v>
      </c>
      <c r="C2845" s="96" t="s">
        <v>2998</v>
      </c>
      <c r="D2845" s="265" t="s">
        <v>2951</v>
      </c>
      <c r="E2845" s="105" t="s">
        <v>3565</v>
      </c>
      <c r="F2845" s="96" t="s">
        <v>3566</v>
      </c>
      <c r="G2845" s="96" t="s">
        <v>88</v>
      </c>
      <c r="H2845" s="19" t="s">
        <v>3647</v>
      </c>
      <c r="I2845" s="23" t="e">
        <f>VLOOKUP(H2845,'合同综合查询数据（3月返）'!$A:$A,1,FALSE)</f>
        <v>#N/A</v>
      </c>
      <c r="J2845" s="24" t="s">
        <v>3074</v>
      </c>
      <c r="K2845" s="96" t="s">
        <v>3585</v>
      </c>
      <c r="L2845" s="114"/>
      <c r="M2845" s="26" t="s">
        <v>3568</v>
      </c>
      <c r="N2845" s="106">
        <v>43720</v>
      </c>
      <c r="O2845" s="94" t="s">
        <v>457</v>
      </c>
      <c r="P2845" s="268">
        <v>5950</v>
      </c>
      <c r="Q2845" s="273">
        <v>4</v>
      </c>
      <c r="R2845" s="268">
        <f t="shared" si="69"/>
        <v>23800</v>
      </c>
      <c r="S2845" s="24">
        <v>202303</v>
      </c>
      <c r="T2845" s="127" t="s">
        <v>3665</v>
      </c>
      <c r="U2845" s="40"/>
      <c r="V2845" s="40"/>
      <c r="W2845" s="40"/>
      <c r="X2845" s="106">
        <v>43190</v>
      </c>
      <c r="Y2845" s="106">
        <v>45382</v>
      </c>
    </row>
    <row r="2846" s="9" customFormat="1" customHeight="1" spans="1:25">
      <c r="A2846" s="96" t="s">
        <v>399</v>
      </c>
      <c r="B2846" s="96" t="s">
        <v>2950</v>
      </c>
      <c r="C2846" s="96" t="s">
        <v>2998</v>
      </c>
      <c r="D2846" s="265" t="s">
        <v>2951</v>
      </c>
      <c r="E2846" s="105" t="s">
        <v>3565</v>
      </c>
      <c r="F2846" s="96" t="s">
        <v>3566</v>
      </c>
      <c r="G2846" s="96" t="s">
        <v>88</v>
      </c>
      <c r="H2846" s="19" t="s">
        <v>3647</v>
      </c>
      <c r="I2846" s="23" t="e">
        <f>VLOOKUP(H2846,'合同综合查询数据（3月返）'!$A:$A,1,FALSE)</f>
        <v>#N/A</v>
      </c>
      <c r="J2846" s="24" t="s">
        <v>3074</v>
      </c>
      <c r="K2846" s="96" t="s">
        <v>3585</v>
      </c>
      <c r="L2846" s="114"/>
      <c r="M2846" s="26" t="s">
        <v>3568</v>
      </c>
      <c r="N2846" s="106">
        <v>43765</v>
      </c>
      <c r="O2846" s="94" t="s">
        <v>457</v>
      </c>
      <c r="P2846" s="268">
        <v>5950</v>
      </c>
      <c r="Q2846" s="273">
        <v>12</v>
      </c>
      <c r="R2846" s="268">
        <f t="shared" si="69"/>
        <v>71400</v>
      </c>
      <c r="S2846" s="24">
        <v>202303</v>
      </c>
      <c r="T2846" s="127" t="s">
        <v>3666</v>
      </c>
      <c r="U2846" s="40"/>
      <c r="V2846" s="40"/>
      <c r="W2846" s="40"/>
      <c r="X2846" s="106">
        <v>43190</v>
      </c>
      <c r="Y2846" s="106">
        <v>45382</v>
      </c>
    </row>
    <row r="2847" s="9" customFormat="1" customHeight="1" spans="1:25">
      <c r="A2847" s="96" t="s">
        <v>399</v>
      </c>
      <c r="B2847" s="96" t="s">
        <v>2950</v>
      </c>
      <c r="C2847" s="96" t="s">
        <v>2998</v>
      </c>
      <c r="D2847" s="265" t="s">
        <v>2951</v>
      </c>
      <c r="E2847" s="105" t="s">
        <v>3565</v>
      </c>
      <c r="F2847" s="96" t="s">
        <v>3566</v>
      </c>
      <c r="G2847" s="96" t="s">
        <v>88</v>
      </c>
      <c r="H2847" s="19" t="s">
        <v>3647</v>
      </c>
      <c r="I2847" s="23" t="e">
        <f>VLOOKUP(H2847,'合同综合查询数据（3月返）'!$A:$A,1,FALSE)</f>
        <v>#N/A</v>
      </c>
      <c r="J2847" s="24" t="s">
        <v>3074</v>
      </c>
      <c r="K2847" s="96" t="s">
        <v>3585</v>
      </c>
      <c r="L2847" s="114"/>
      <c r="M2847" s="26" t="s">
        <v>3568</v>
      </c>
      <c r="N2847" s="106">
        <v>43770</v>
      </c>
      <c r="O2847" s="94" t="s">
        <v>457</v>
      </c>
      <c r="P2847" s="268">
        <v>5950</v>
      </c>
      <c r="Q2847" s="273">
        <v>22</v>
      </c>
      <c r="R2847" s="268">
        <f t="shared" si="69"/>
        <v>130900</v>
      </c>
      <c r="S2847" s="24">
        <v>202303</v>
      </c>
      <c r="T2847" s="127" t="s">
        <v>3667</v>
      </c>
      <c r="U2847" s="40"/>
      <c r="V2847" s="40"/>
      <c r="W2847" s="40"/>
      <c r="X2847" s="106">
        <v>43190</v>
      </c>
      <c r="Y2847" s="106">
        <v>45382</v>
      </c>
    </row>
    <row r="2848" s="9" customFormat="1" customHeight="1" spans="1:25">
      <c r="A2848" s="96" t="s">
        <v>399</v>
      </c>
      <c r="B2848" s="96" t="s">
        <v>2950</v>
      </c>
      <c r="C2848" s="96" t="s">
        <v>2998</v>
      </c>
      <c r="D2848" s="265" t="s">
        <v>2951</v>
      </c>
      <c r="E2848" s="105" t="s">
        <v>3565</v>
      </c>
      <c r="F2848" s="96" t="s">
        <v>3566</v>
      </c>
      <c r="G2848" s="96" t="s">
        <v>88</v>
      </c>
      <c r="H2848" s="19" t="s">
        <v>3647</v>
      </c>
      <c r="I2848" s="23" t="e">
        <f>VLOOKUP(H2848,'合同综合查询数据（3月返）'!$A:$A,1,FALSE)</f>
        <v>#N/A</v>
      </c>
      <c r="J2848" s="24" t="s">
        <v>3074</v>
      </c>
      <c r="K2848" s="96" t="s">
        <v>3585</v>
      </c>
      <c r="L2848" s="114"/>
      <c r="M2848" s="26" t="s">
        <v>3568</v>
      </c>
      <c r="N2848" s="106">
        <v>43791</v>
      </c>
      <c r="O2848" s="94" t="s">
        <v>457</v>
      </c>
      <c r="P2848" s="268">
        <v>5950</v>
      </c>
      <c r="Q2848" s="273">
        <v>1</v>
      </c>
      <c r="R2848" s="268">
        <f t="shared" si="69"/>
        <v>5950</v>
      </c>
      <c r="S2848" s="24">
        <v>202303</v>
      </c>
      <c r="T2848" s="127" t="s">
        <v>3668</v>
      </c>
      <c r="U2848" s="40"/>
      <c r="V2848" s="40"/>
      <c r="W2848" s="40"/>
      <c r="X2848" s="106">
        <v>43190</v>
      </c>
      <c r="Y2848" s="106">
        <v>45382</v>
      </c>
    </row>
    <row r="2849" s="9" customFormat="1" customHeight="1" spans="1:25">
      <c r="A2849" s="96" t="s">
        <v>399</v>
      </c>
      <c r="B2849" s="96" t="s">
        <v>2950</v>
      </c>
      <c r="C2849" s="96" t="s">
        <v>2998</v>
      </c>
      <c r="D2849" s="265" t="s">
        <v>2951</v>
      </c>
      <c r="E2849" s="105" t="s">
        <v>3565</v>
      </c>
      <c r="F2849" s="96" t="s">
        <v>3566</v>
      </c>
      <c r="G2849" s="96" t="s">
        <v>88</v>
      </c>
      <c r="H2849" s="19" t="s">
        <v>3647</v>
      </c>
      <c r="I2849" s="23" t="e">
        <f>VLOOKUP(H2849,'合同综合查询数据（3月返）'!$A:$A,1,FALSE)</f>
        <v>#N/A</v>
      </c>
      <c r="J2849" s="24" t="s">
        <v>3074</v>
      </c>
      <c r="K2849" s="96" t="s">
        <v>3585</v>
      </c>
      <c r="L2849" s="114"/>
      <c r="M2849" s="26" t="s">
        <v>3568</v>
      </c>
      <c r="N2849" s="106">
        <v>43808</v>
      </c>
      <c r="O2849" s="94" t="s">
        <v>457</v>
      </c>
      <c r="P2849" s="268">
        <v>5950</v>
      </c>
      <c r="Q2849" s="273">
        <v>-8</v>
      </c>
      <c r="R2849" s="268">
        <f t="shared" si="69"/>
        <v>-47600</v>
      </c>
      <c r="S2849" s="24">
        <v>202303</v>
      </c>
      <c r="T2849" s="127" t="s">
        <v>3669</v>
      </c>
      <c r="U2849" s="40"/>
      <c r="V2849" s="40"/>
      <c r="W2849" s="40"/>
      <c r="X2849" s="106">
        <v>43190</v>
      </c>
      <c r="Y2849" s="106">
        <v>45382</v>
      </c>
    </row>
    <row r="2850" s="9" customFormat="1" customHeight="1" spans="1:25">
      <c r="A2850" s="96" t="s">
        <v>399</v>
      </c>
      <c r="B2850" s="96" t="s">
        <v>2950</v>
      </c>
      <c r="C2850" s="96" t="s">
        <v>2998</v>
      </c>
      <c r="D2850" s="265" t="s">
        <v>2951</v>
      </c>
      <c r="E2850" s="105" t="s">
        <v>3565</v>
      </c>
      <c r="F2850" s="96" t="s">
        <v>3566</v>
      </c>
      <c r="G2850" s="96" t="s">
        <v>88</v>
      </c>
      <c r="H2850" s="19" t="s">
        <v>3647</v>
      </c>
      <c r="I2850" s="23" t="e">
        <f>VLOOKUP(H2850,'合同综合查询数据（3月返）'!$A:$A,1,FALSE)</f>
        <v>#N/A</v>
      </c>
      <c r="J2850" s="24" t="s">
        <v>3074</v>
      </c>
      <c r="K2850" s="96" t="s">
        <v>3585</v>
      </c>
      <c r="L2850" s="114"/>
      <c r="M2850" s="26" t="s">
        <v>3568</v>
      </c>
      <c r="N2850" s="106">
        <v>43805</v>
      </c>
      <c r="O2850" s="94" t="s">
        <v>457</v>
      </c>
      <c r="P2850" s="268">
        <v>5950</v>
      </c>
      <c r="Q2850" s="273">
        <v>4</v>
      </c>
      <c r="R2850" s="268">
        <f t="shared" si="69"/>
        <v>23800</v>
      </c>
      <c r="S2850" s="24">
        <v>202303</v>
      </c>
      <c r="T2850" s="127" t="s">
        <v>3670</v>
      </c>
      <c r="U2850" s="40"/>
      <c r="V2850" s="40"/>
      <c r="W2850" s="40"/>
      <c r="X2850" s="106">
        <v>43190</v>
      </c>
      <c r="Y2850" s="106">
        <v>45382</v>
      </c>
    </row>
    <row r="2851" s="9" customFormat="1" customHeight="1" spans="1:25">
      <c r="A2851" s="96" t="s">
        <v>399</v>
      </c>
      <c r="B2851" s="96" t="s">
        <v>2950</v>
      </c>
      <c r="C2851" s="96" t="s">
        <v>2998</v>
      </c>
      <c r="D2851" s="265" t="s">
        <v>2951</v>
      </c>
      <c r="E2851" s="105" t="s">
        <v>3565</v>
      </c>
      <c r="F2851" s="96" t="s">
        <v>3566</v>
      </c>
      <c r="G2851" s="96" t="s">
        <v>88</v>
      </c>
      <c r="H2851" s="19" t="s">
        <v>3647</v>
      </c>
      <c r="I2851" s="23" t="e">
        <f>VLOOKUP(H2851,'合同综合查询数据（3月返）'!$A:$A,1,FALSE)</f>
        <v>#N/A</v>
      </c>
      <c r="J2851" s="24" t="s">
        <v>3074</v>
      </c>
      <c r="K2851" s="96" t="s">
        <v>3585</v>
      </c>
      <c r="L2851" s="114"/>
      <c r="M2851" s="26" t="s">
        <v>3568</v>
      </c>
      <c r="N2851" s="106">
        <v>43823</v>
      </c>
      <c r="O2851" s="94" t="s">
        <v>457</v>
      </c>
      <c r="P2851" s="268">
        <v>5950</v>
      </c>
      <c r="Q2851" s="273">
        <v>2</v>
      </c>
      <c r="R2851" s="268">
        <f t="shared" si="69"/>
        <v>11900</v>
      </c>
      <c r="S2851" s="24">
        <v>202303</v>
      </c>
      <c r="T2851" s="127" t="s">
        <v>3671</v>
      </c>
      <c r="U2851" s="40"/>
      <c r="V2851" s="40"/>
      <c r="W2851" s="40"/>
      <c r="X2851" s="106">
        <v>43190</v>
      </c>
      <c r="Y2851" s="106">
        <v>45382</v>
      </c>
    </row>
    <row r="2852" s="9" customFormat="1" customHeight="1" spans="1:25">
      <c r="A2852" s="96" t="s">
        <v>399</v>
      </c>
      <c r="B2852" s="96" t="s">
        <v>2950</v>
      </c>
      <c r="C2852" s="96" t="s">
        <v>2998</v>
      </c>
      <c r="D2852" s="265" t="s">
        <v>2951</v>
      </c>
      <c r="E2852" s="105" t="s">
        <v>3565</v>
      </c>
      <c r="F2852" s="96" t="s">
        <v>3566</v>
      </c>
      <c r="G2852" s="96" t="s">
        <v>88</v>
      </c>
      <c r="H2852" s="19" t="s">
        <v>3647</v>
      </c>
      <c r="I2852" s="23" t="e">
        <f>VLOOKUP(H2852,'合同综合查询数据（3月返）'!$A:$A,1,FALSE)</f>
        <v>#N/A</v>
      </c>
      <c r="J2852" s="24" t="s">
        <v>3074</v>
      </c>
      <c r="K2852" s="96" t="s">
        <v>3585</v>
      </c>
      <c r="L2852" s="114"/>
      <c r="M2852" s="26" t="s">
        <v>3568</v>
      </c>
      <c r="N2852" s="106">
        <v>43849</v>
      </c>
      <c r="O2852" s="94" t="s">
        <v>457</v>
      </c>
      <c r="P2852" s="268">
        <v>5950</v>
      </c>
      <c r="Q2852" s="273">
        <v>4</v>
      </c>
      <c r="R2852" s="268">
        <f t="shared" si="69"/>
        <v>23800</v>
      </c>
      <c r="S2852" s="24">
        <v>202303</v>
      </c>
      <c r="T2852" s="127" t="s">
        <v>3672</v>
      </c>
      <c r="U2852" s="40"/>
      <c r="V2852" s="40"/>
      <c r="W2852" s="40"/>
      <c r="X2852" s="106">
        <v>43190</v>
      </c>
      <c r="Y2852" s="106">
        <v>45382</v>
      </c>
    </row>
    <row r="2853" s="9" customFormat="1" customHeight="1" spans="1:25">
      <c r="A2853" s="96" t="s">
        <v>399</v>
      </c>
      <c r="B2853" s="96" t="s">
        <v>2950</v>
      </c>
      <c r="C2853" s="96" t="s">
        <v>2998</v>
      </c>
      <c r="D2853" s="265" t="s">
        <v>2951</v>
      </c>
      <c r="E2853" s="105" t="s">
        <v>3565</v>
      </c>
      <c r="F2853" s="96" t="s">
        <v>3566</v>
      </c>
      <c r="G2853" s="96" t="s">
        <v>88</v>
      </c>
      <c r="H2853" s="19" t="s">
        <v>3647</v>
      </c>
      <c r="I2853" s="23" t="e">
        <f>VLOOKUP(H2853,'合同综合查询数据（3月返）'!$A:$A,1,FALSE)</f>
        <v>#N/A</v>
      </c>
      <c r="J2853" s="24" t="s">
        <v>3074</v>
      </c>
      <c r="K2853" s="96" t="s">
        <v>3585</v>
      </c>
      <c r="L2853" s="114"/>
      <c r="M2853" s="26" t="s">
        <v>3568</v>
      </c>
      <c r="N2853" s="106">
        <v>43896</v>
      </c>
      <c r="O2853" s="94" t="s">
        <v>457</v>
      </c>
      <c r="P2853" s="268">
        <v>5950</v>
      </c>
      <c r="Q2853" s="273">
        <v>2</v>
      </c>
      <c r="R2853" s="268">
        <f t="shared" si="69"/>
        <v>11900</v>
      </c>
      <c r="S2853" s="24">
        <v>202303</v>
      </c>
      <c r="T2853" s="127" t="s">
        <v>3673</v>
      </c>
      <c r="U2853" s="40"/>
      <c r="V2853" s="40"/>
      <c r="W2853" s="40"/>
      <c r="X2853" s="106">
        <v>43190</v>
      </c>
      <c r="Y2853" s="106">
        <v>45382</v>
      </c>
    </row>
    <row r="2854" s="9" customFormat="1" customHeight="1" spans="1:25">
      <c r="A2854" s="96" t="s">
        <v>399</v>
      </c>
      <c r="B2854" s="96" t="s">
        <v>2950</v>
      </c>
      <c r="C2854" s="96" t="s">
        <v>2998</v>
      </c>
      <c r="D2854" s="265" t="s">
        <v>2951</v>
      </c>
      <c r="E2854" s="105" t="s">
        <v>3565</v>
      </c>
      <c r="F2854" s="96" t="s">
        <v>3566</v>
      </c>
      <c r="G2854" s="96" t="s">
        <v>88</v>
      </c>
      <c r="H2854" s="19" t="s">
        <v>3647</v>
      </c>
      <c r="I2854" s="23" t="e">
        <f>VLOOKUP(H2854,'合同综合查询数据（3月返）'!$A:$A,1,FALSE)</f>
        <v>#N/A</v>
      </c>
      <c r="J2854" s="24" t="s">
        <v>3074</v>
      </c>
      <c r="K2854" s="96" t="s">
        <v>3585</v>
      </c>
      <c r="L2854" s="114"/>
      <c r="M2854" s="26" t="s">
        <v>3568</v>
      </c>
      <c r="N2854" s="106">
        <v>43907</v>
      </c>
      <c r="O2854" s="94" t="s">
        <v>457</v>
      </c>
      <c r="P2854" s="268">
        <v>5950</v>
      </c>
      <c r="Q2854" s="273">
        <v>8</v>
      </c>
      <c r="R2854" s="268">
        <f t="shared" si="69"/>
        <v>47600</v>
      </c>
      <c r="S2854" s="24">
        <v>202303</v>
      </c>
      <c r="T2854" s="127" t="s">
        <v>3674</v>
      </c>
      <c r="U2854" s="40"/>
      <c r="V2854" s="40"/>
      <c r="W2854" s="40"/>
      <c r="X2854" s="106">
        <v>43190</v>
      </c>
      <c r="Y2854" s="106">
        <v>45382</v>
      </c>
    </row>
    <row r="2855" s="9" customFormat="1" customHeight="1" spans="1:25">
      <c r="A2855" s="96" t="s">
        <v>399</v>
      </c>
      <c r="B2855" s="96" t="s">
        <v>2950</v>
      </c>
      <c r="C2855" s="96" t="s">
        <v>2998</v>
      </c>
      <c r="D2855" s="265" t="s">
        <v>2951</v>
      </c>
      <c r="E2855" s="105" t="s">
        <v>3565</v>
      </c>
      <c r="F2855" s="96" t="s">
        <v>3566</v>
      </c>
      <c r="G2855" s="96" t="s">
        <v>88</v>
      </c>
      <c r="H2855" s="19" t="s">
        <v>3647</v>
      </c>
      <c r="I2855" s="23" t="e">
        <f>VLOOKUP(H2855,'合同综合查询数据（3月返）'!$A:$A,1,FALSE)</f>
        <v>#N/A</v>
      </c>
      <c r="J2855" s="24" t="s">
        <v>3074</v>
      </c>
      <c r="K2855" s="96" t="s">
        <v>3585</v>
      </c>
      <c r="L2855" s="114"/>
      <c r="M2855" s="26" t="s">
        <v>3568</v>
      </c>
      <c r="N2855" s="106">
        <v>43931</v>
      </c>
      <c r="O2855" s="94" t="s">
        <v>457</v>
      </c>
      <c r="P2855" s="268">
        <v>5950</v>
      </c>
      <c r="Q2855" s="273">
        <v>-2</v>
      </c>
      <c r="R2855" s="268">
        <f t="shared" si="69"/>
        <v>-11900</v>
      </c>
      <c r="S2855" s="24">
        <v>202303</v>
      </c>
      <c r="T2855" s="127" t="s">
        <v>3675</v>
      </c>
      <c r="U2855" s="40"/>
      <c r="V2855" s="40"/>
      <c r="W2855" s="40"/>
      <c r="X2855" s="106">
        <v>43190</v>
      </c>
      <c r="Y2855" s="106">
        <v>45382</v>
      </c>
    </row>
    <row r="2856" s="9" customFormat="1" customHeight="1" spans="1:25">
      <c r="A2856" s="96" t="s">
        <v>399</v>
      </c>
      <c r="B2856" s="96" t="s">
        <v>2950</v>
      </c>
      <c r="C2856" s="96" t="s">
        <v>2998</v>
      </c>
      <c r="D2856" s="265" t="s">
        <v>2951</v>
      </c>
      <c r="E2856" s="105" t="s">
        <v>3565</v>
      </c>
      <c r="F2856" s="96" t="s">
        <v>3566</v>
      </c>
      <c r="G2856" s="96" t="s">
        <v>88</v>
      </c>
      <c r="H2856" s="19" t="s">
        <v>3647</v>
      </c>
      <c r="I2856" s="23" t="e">
        <f>VLOOKUP(H2856,'合同综合查询数据（3月返）'!$A:$A,1,FALSE)</f>
        <v>#N/A</v>
      </c>
      <c r="J2856" s="24" t="s">
        <v>3074</v>
      </c>
      <c r="K2856" s="94" t="s">
        <v>3585</v>
      </c>
      <c r="L2856" s="114"/>
      <c r="M2856" s="26" t="s">
        <v>3568</v>
      </c>
      <c r="N2856" s="106">
        <v>43993</v>
      </c>
      <c r="O2856" s="94" t="s">
        <v>457</v>
      </c>
      <c r="P2856" s="268">
        <v>5950</v>
      </c>
      <c r="Q2856" s="273">
        <v>9</v>
      </c>
      <c r="R2856" s="268">
        <f t="shared" si="69"/>
        <v>53550</v>
      </c>
      <c r="S2856" s="24">
        <v>202303</v>
      </c>
      <c r="T2856" s="127" t="s">
        <v>3676</v>
      </c>
      <c r="U2856" s="40"/>
      <c r="V2856" s="40"/>
      <c r="W2856" s="40"/>
      <c r="X2856" s="106">
        <v>43190</v>
      </c>
      <c r="Y2856" s="106">
        <v>45382</v>
      </c>
    </row>
    <row r="2857" s="9" customFormat="1" customHeight="1" spans="1:25">
      <c r="A2857" s="96" t="s">
        <v>399</v>
      </c>
      <c r="B2857" s="96" t="s">
        <v>2950</v>
      </c>
      <c r="C2857" s="96" t="s">
        <v>2998</v>
      </c>
      <c r="D2857" s="265" t="s">
        <v>2951</v>
      </c>
      <c r="E2857" s="105" t="s">
        <v>3565</v>
      </c>
      <c r="F2857" s="96" t="s">
        <v>3566</v>
      </c>
      <c r="G2857" s="96" t="s">
        <v>88</v>
      </c>
      <c r="H2857" s="19" t="s">
        <v>3647</v>
      </c>
      <c r="I2857" s="23" t="e">
        <f>VLOOKUP(H2857,'合同综合查询数据（3月返）'!$A:$A,1,FALSE)</f>
        <v>#N/A</v>
      </c>
      <c r="J2857" s="24" t="s">
        <v>3074</v>
      </c>
      <c r="K2857" s="96" t="s">
        <v>3585</v>
      </c>
      <c r="L2857" s="114"/>
      <c r="M2857" s="26" t="s">
        <v>3568</v>
      </c>
      <c r="N2857" s="106">
        <v>43999</v>
      </c>
      <c r="O2857" s="94" t="s">
        <v>457</v>
      </c>
      <c r="P2857" s="268">
        <v>5950</v>
      </c>
      <c r="Q2857" s="273">
        <v>6</v>
      </c>
      <c r="R2857" s="268">
        <f t="shared" si="69"/>
        <v>35700</v>
      </c>
      <c r="S2857" s="24">
        <v>202303</v>
      </c>
      <c r="T2857" s="127" t="s">
        <v>3677</v>
      </c>
      <c r="U2857" s="40"/>
      <c r="V2857" s="40"/>
      <c r="W2857" s="40"/>
      <c r="X2857" s="106">
        <v>43190</v>
      </c>
      <c r="Y2857" s="106">
        <v>45382</v>
      </c>
    </row>
    <row r="2858" s="9" customFormat="1" customHeight="1" spans="1:25">
      <c r="A2858" s="96" t="s">
        <v>399</v>
      </c>
      <c r="B2858" s="96" t="s">
        <v>2950</v>
      </c>
      <c r="C2858" s="96" t="s">
        <v>2998</v>
      </c>
      <c r="D2858" s="265" t="s">
        <v>2951</v>
      </c>
      <c r="E2858" s="105" t="s">
        <v>3565</v>
      </c>
      <c r="F2858" s="96" t="s">
        <v>3566</v>
      </c>
      <c r="G2858" s="96" t="s">
        <v>88</v>
      </c>
      <c r="H2858" s="19" t="s">
        <v>3647</v>
      </c>
      <c r="I2858" s="23" t="e">
        <f>VLOOKUP(H2858,'合同综合查询数据（3月返）'!$A:$A,1,FALSE)</f>
        <v>#N/A</v>
      </c>
      <c r="J2858" s="24" t="s">
        <v>3074</v>
      </c>
      <c r="K2858" s="96" t="s">
        <v>3585</v>
      </c>
      <c r="L2858" s="114"/>
      <c r="M2858" s="26" t="s">
        <v>3568</v>
      </c>
      <c r="N2858" s="106">
        <v>44001</v>
      </c>
      <c r="O2858" s="94" t="s">
        <v>457</v>
      </c>
      <c r="P2858" s="268">
        <v>5950</v>
      </c>
      <c r="Q2858" s="273">
        <v>1</v>
      </c>
      <c r="R2858" s="268">
        <f t="shared" si="69"/>
        <v>5950</v>
      </c>
      <c r="S2858" s="24">
        <v>202303</v>
      </c>
      <c r="T2858" s="127" t="s">
        <v>3678</v>
      </c>
      <c r="U2858" s="40"/>
      <c r="V2858" s="40"/>
      <c r="W2858" s="40"/>
      <c r="X2858" s="106">
        <v>43190</v>
      </c>
      <c r="Y2858" s="106">
        <v>45382</v>
      </c>
    </row>
    <row r="2859" s="9" customFormat="1" customHeight="1" spans="1:25">
      <c r="A2859" s="96" t="s">
        <v>399</v>
      </c>
      <c r="B2859" s="96" t="s">
        <v>2950</v>
      </c>
      <c r="C2859" s="96" t="s">
        <v>2998</v>
      </c>
      <c r="D2859" s="265" t="s">
        <v>2951</v>
      </c>
      <c r="E2859" s="105" t="s">
        <v>3565</v>
      </c>
      <c r="F2859" s="96" t="s">
        <v>3566</v>
      </c>
      <c r="G2859" s="96" t="s">
        <v>88</v>
      </c>
      <c r="H2859" s="19" t="s">
        <v>3647</v>
      </c>
      <c r="I2859" s="23" t="e">
        <f>VLOOKUP(H2859,'合同综合查询数据（3月返）'!$A:$A,1,FALSE)</f>
        <v>#N/A</v>
      </c>
      <c r="J2859" s="24" t="s">
        <v>3074</v>
      </c>
      <c r="K2859" s="96" t="s">
        <v>3585</v>
      </c>
      <c r="L2859" s="114"/>
      <c r="M2859" s="26" t="s">
        <v>3679</v>
      </c>
      <c r="N2859" s="106">
        <v>44004</v>
      </c>
      <c r="O2859" s="94" t="s">
        <v>457</v>
      </c>
      <c r="P2859" s="268">
        <v>5950</v>
      </c>
      <c r="Q2859" s="273">
        <v>3</v>
      </c>
      <c r="R2859" s="268">
        <f t="shared" si="69"/>
        <v>17850</v>
      </c>
      <c r="S2859" s="24">
        <v>202303</v>
      </c>
      <c r="T2859" s="127" t="s">
        <v>3680</v>
      </c>
      <c r="U2859" s="40"/>
      <c r="V2859" s="40"/>
      <c r="W2859" s="40"/>
      <c r="X2859" s="106">
        <v>43190</v>
      </c>
      <c r="Y2859" s="106">
        <v>45382</v>
      </c>
    </row>
    <row r="2860" s="9" customFormat="1" customHeight="1" spans="1:25">
      <c r="A2860" s="96" t="s">
        <v>399</v>
      </c>
      <c r="B2860" s="96" t="s">
        <v>2950</v>
      </c>
      <c r="C2860" s="96" t="s">
        <v>2998</v>
      </c>
      <c r="D2860" s="265" t="s">
        <v>2951</v>
      </c>
      <c r="E2860" s="105" t="s">
        <v>3565</v>
      </c>
      <c r="F2860" s="96" t="s">
        <v>3566</v>
      </c>
      <c r="G2860" s="96" t="s">
        <v>88</v>
      </c>
      <c r="H2860" s="19" t="s">
        <v>3647</v>
      </c>
      <c r="I2860" s="23" t="e">
        <f>VLOOKUP(H2860,'合同综合查询数据（3月返）'!$A:$A,1,FALSE)</f>
        <v>#N/A</v>
      </c>
      <c r="J2860" s="24" t="s">
        <v>3074</v>
      </c>
      <c r="K2860" s="96" t="s">
        <v>3585</v>
      </c>
      <c r="L2860" s="114"/>
      <c r="M2860" s="26" t="s">
        <v>3679</v>
      </c>
      <c r="N2860" s="106">
        <v>44006</v>
      </c>
      <c r="O2860" s="94" t="s">
        <v>457</v>
      </c>
      <c r="P2860" s="268">
        <v>5950</v>
      </c>
      <c r="Q2860" s="273">
        <v>1</v>
      </c>
      <c r="R2860" s="268">
        <f t="shared" si="69"/>
        <v>5950</v>
      </c>
      <c r="S2860" s="24">
        <v>202303</v>
      </c>
      <c r="T2860" s="127" t="s">
        <v>3681</v>
      </c>
      <c r="U2860" s="40"/>
      <c r="V2860" s="40"/>
      <c r="W2860" s="40"/>
      <c r="X2860" s="106">
        <v>43190</v>
      </c>
      <c r="Y2860" s="106">
        <v>45382</v>
      </c>
    </row>
    <row r="2861" s="9" customFormat="1" customHeight="1" spans="1:25">
      <c r="A2861" s="96" t="s">
        <v>399</v>
      </c>
      <c r="B2861" s="96" t="s">
        <v>2950</v>
      </c>
      <c r="C2861" s="96" t="s">
        <v>2998</v>
      </c>
      <c r="D2861" s="265" t="s">
        <v>2951</v>
      </c>
      <c r="E2861" s="105" t="s">
        <v>3565</v>
      </c>
      <c r="F2861" s="96" t="s">
        <v>3566</v>
      </c>
      <c r="G2861" s="96" t="s">
        <v>88</v>
      </c>
      <c r="H2861" s="19" t="s">
        <v>3647</v>
      </c>
      <c r="I2861" s="23" t="e">
        <f>VLOOKUP(H2861,'合同综合查询数据（3月返）'!$A:$A,1,FALSE)</f>
        <v>#N/A</v>
      </c>
      <c r="J2861" s="24" t="s">
        <v>3074</v>
      </c>
      <c r="K2861" s="94" t="s">
        <v>3585</v>
      </c>
      <c r="L2861" s="114"/>
      <c r="M2861" s="26" t="s">
        <v>3568</v>
      </c>
      <c r="N2861" s="106">
        <v>43998</v>
      </c>
      <c r="O2861" s="94" t="s">
        <v>457</v>
      </c>
      <c r="P2861" s="268">
        <v>5950</v>
      </c>
      <c r="Q2861" s="273">
        <v>1</v>
      </c>
      <c r="R2861" s="268">
        <f t="shared" si="69"/>
        <v>5950</v>
      </c>
      <c r="S2861" s="24">
        <v>202303</v>
      </c>
      <c r="T2861" s="127" t="s">
        <v>3682</v>
      </c>
      <c r="U2861" s="40"/>
      <c r="V2861" s="40"/>
      <c r="W2861" s="40"/>
      <c r="X2861" s="106">
        <v>43190</v>
      </c>
      <c r="Y2861" s="106">
        <v>45382</v>
      </c>
    </row>
    <row r="2862" s="9" customFormat="1" customHeight="1" spans="1:25">
      <c r="A2862" s="96" t="s">
        <v>399</v>
      </c>
      <c r="B2862" s="96" t="s">
        <v>2950</v>
      </c>
      <c r="C2862" s="96" t="s">
        <v>2998</v>
      </c>
      <c r="D2862" s="265" t="s">
        <v>2951</v>
      </c>
      <c r="E2862" s="105" t="s">
        <v>3565</v>
      </c>
      <c r="F2862" s="96" t="s">
        <v>3566</v>
      </c>
      <c r="G2862" s="96" t="s">
        <v>88</v>
      </c>
      <c r="H2862" s="117" t="s">
        <v>3683</v>
      </c>
      <c r="I2862" s="23" t="e">
        <f>VLOOKUP(H2862,'合同综合查询数据（3月返）'!$A:$A,1,FALSE)</f>
        <v>#N/A</v>
      </c>
      <c r="J2862" s="24" t="s">
        <v>3074</v>
      </c>
      <c r="K2862" s="96" t="s">
        <v>3585</v>
      </c>
      <c r="L2862" s="114"/>
      <c r="M2862" s="26" t="s">
        <v>3679</v>
      </c>
      <c r="N2862" s="106">
        <v>44006</v>
      </c>
      <c r="O2862" s="94" t="s">
        <v>457</v>
      </c>
      <c r="P2862" s="268">
        <v>3134.7</v>
      </c>
      <c r="Q2862" s="273">
        <v>8</v>
      </c>
      <c r="R2862" s="268">
        <f t="shared" si="69"/>
        <v>25077.6</v>
      </c>
      <c r="S2862" s="24">
        <v>202303</v>
      </c>
      <c r="T2862" s="127" t="s">
        <v>3684</v>
      </c>
      <c r="U2862" s="40"/>
      <c r="V2862" s="40"/>
      <c r="W2862" s="40"/>
      <c r="X2862" s="106">
        <v>44006</v>
      </c>
      <c r="Y2862" s="106">
        <v>45382</v>
      </c>
    </row>
    <row r="2863" s="9" customFormat="1" customHeight="1" spans="1:25">
      <c r="A2863" s="96" t="s">
        <v>399</v>
      </c>
      <c r="B2863" s="96" t="s">
        <v>2950</v>
      </c>
      <c r="C2863" s="96" t="s">
        <v>2998</v>
      </c>
      <c r="D2863" s="265" t="s">
        <v>2951</v>
      </c>
      <c r="E2863" s="105" t="s">
        <v>3565</v>
      </c>
      <c r="F2863" s="96" t="s">
        <v>3566</v>
      </c>
      <c r="G2863" s="96" t="s">
        <v>88</v>
      </c>
      <c r="H2863" s="19" t="s">
        <v>3647</v>
      </c>
      <c r="I2863" s="23" t="e">
        <f>VLOOKUP(H2863,'合同综合查询数据（3月返）'!$A:$A,1,FALSE)</f>
        <v>#N/A</v>
      </c>
      <c r="J2863" s="24" t="s">
        <v>3074</v>
      </c>
      <c r="K2863" s="94" t="s">
        <v>3585</v>
      </c>
      <c r="L2863" s="114"/>
      <c r="M2863" s="26" t="s">
        <v>3568</v>
      </c>
      <c r="N2863" s="106">
        <v>44050</v>
      </c>
      <c r="O2863" s="94" t="s">
        <v>3649</v>
      </c>
      <c r="P2863" s="268">
        <v>20284</v>
      </c>
      <c r="Q2863" s="273">
        <v>-2</v>
      </c>
      <c r="R2863" s="268">
        <f t="shared" si="69"/>
        <v>-40568</v>
      </c>
      <c r="S2863" s="24">
        <v>202303</v>
      </c>
      <c r="T2863" s="127" t="s">
        <v>3685</v>
      </c>
      <c r="U2863" s="40"/>
      <c r="V2863" s="40"/>
      <c r="W2863" s="40"/>
      <c r="X2863" s="106">
        <v>43190</v>
      </c>
      <c r="Y2863" s="106">
        <v>45382</v>
      </c>
    </row>
    <row r="2864" s="9" customFormat="1" customHeight="1" spans="1:25">
      <c r="A2864" s="96" t="s">
        <v>399</v>
      </c>
      <c r="B2864" s="96" t="s">
        <v>2950</v>
      </c>
      <c r="C2864" s="96" t="s">
        <v>2998</v>
      </c>
      <c r="D2864" s="265" t="s">
        <v>2951</v>
      </c>
      <c r="E2864" s="105" t="s">
        <v>3565</v>
      </c>
      <c r="F2864" s="96" t="s">
        <v>3566</v>
      </c>
      <c r="G2864" s="96" t="s">
        <v>88</v>
      </c>
      <c r="H2864" s="19" t="s">
        <v>3647</v>
      </c>
      <c r="I2864" s="23" t="e">
        <f>VLOOKUP(H2864,'合同综合查询数据（3月返）'!$A:$A,1,FALSE)</f>
        <v>#N/A</v>
      </c>
      <c r="J2864" s="24" t="s">
        <v>3074</v>
      </c>
      <c r="K2864" s="94" t="s">
        <v>3585</v>
      </c>
      <c r="L2864" s="114"/>
      <c r="M2864" s="26" t="s">
        <v>3568</v>
      </c>
      <c r="N2864" s="106">
        <v>44061</v>
      </c>
      <c r="O2864" s="94" t="s">
        <v>457</v>
      </c>
      <c r="P2864" s="268">
        <v>5950</v>
      </c>
      <c r="Q2864" s="273">
        <v>2</v>
      </c>
      <c r="R2864" s="268">
        <f t="shared" si="69"/>
        <v>11900</v>
      </c>
      <c r="S2864" s="24">
        <v>202303</v>
      </c>
      <c r="T2864" s="127" t="s">
        <v>3686</v>
      </c>
      <c r="U2864" s="40"/>
      <c r="V2864" s="40"/>
      <c r="W2864" s="40"/>
      <c r="X2864" s="106">
        <v>43190</v>
      </c>
      <c r="Y2864" s="106">
        <v>45382</v>
      </c>
    </row>
    <row r="2865" s="9" customFormat="1" customHeight="1" spans="1:25">
      <c r="A2865" s="96" t="s">
        <v>399</v>
      </c>
      <c r="B2865" s="96" t="s">
        <v>2950</v>
      </c>
      <c r="C2865" s="96" t="s">
        <v>2998</v>
      </c>
      <c r="D2865" s="265" t="s">
        <v>2951</v>
      </c>
      <c r="E2865" s="105" t="s">
        <v>3565</v>
      </c>
      <c r="F2865" s="96" t="s">
        <v>3566</v>
      </c>
      <c r="G2865" s="96" t="s">
        <v>88</v>
      </c>
      <c r="H2865" s="19" t="s">
        <v>3647</v>
      </c>
      <c r="I2865" s="23" t="e">
        <f>VLOOKUP(H2865,'合同综合查询数据（3月返）'!$A:$A,1,FALSE)</f>
        <v>#N/A</v>
      </c>
      <c r="J2865" s="24" t="s">
        <v>3074</v>
      </c>
      <c r="K2865" s="94" t="s">
        <v>3585</v>
      </c>
      <c r="L2865" s="114"/>
      <c r="M2865" s="26" t="s">
        <v>3679</v>
      </c>
      <c r="N2865" s="106">
        <v>44061</v>
      </c>
      <c r="O2865" s="94" t="s">
        <v>457</v>
      </c>
      <c r="P2865" s="268">
        <v>5950</v>
      </c>
      <c r="Q2865" s="273">
        <v>2</v>
      </c>
      <c r="R2865" s="268">
        <f t="shared" si="69"/>
        <v>11900</v>
      </c>
      <c r="S2865" s="24">
        <v>202303</v>
      </c>
      <c r="T2865" s="127" t="s">
        <v>3687</v>
      </c>
      <c r="U2865" s="40"/>
      <c r="V2865" s="40"/>
      <c r="W2865" s="40"/>
      <c r="X2865" s="106">
        <v>43190</v>
      </c>
      <c r="Y2865" s="106">
        <v>45382</v>
      </c>
    </row>
    <row r="2866" s="9" customFormat="1" customHeight="1" spans="1:25">
      <c r="A2866" s="96" t="s">
        <v>399</v>
      </c>
      <c r="B2866" s="96" t="s">
        <v>2950</v>
      </c>
      <c r="C2866" s="96" t="s">
        <v>2998</v>
      </c>
      <c r="D2866" s="265" t="s">
        <v>2951</v>
      </c>
      <c r="E2866" s="105" t="s">
        <v>3565</v>
      </c>
      <c r="F2866" s="96" t="s">
        <v>3566</v>
      </c>
      <c r="G2866" s="96" t="s">
        <v>88</v>
      </c>
      <c r="H2866" s="19" t="s">
        <v>3647</v>
      </c>
      <c r="I2866" s="23" t="e">
        <f>VLOOKUP(H2866,'合同综合查询数据（3月返）'!$A:$A,1,FALSE)</f>
        <v>#N/A</v>
      </c>
      <c r="J2866" s="24" t="s">
        <v>3074</v>
      </c>
      <c r="K2866" s="94" t="s">
        <v>3585</v>
      </c>
      <c r="L2866" s="114"/>
      <c r="M2866" s="26" t="s">
        <v>3568</v>
      </c>
      <c r="N2866" s="106">
        <v>44064</v>
      </c>
      <c r="O2866" s="94" t="s">
        <v>574</v>
      </c>
      <c r="P2866" s="268">
        <v>20284</v>
      </c>
      <c r="Q2866" s="273">
        <v>1</v>
      </c>
      <c r="R2866" s="268">
        <f t="shared" si="69"/>
        <v>20284</v>
      </c>
      <c r="S2866" s="24">
        <v>202303</v>
      </c>
      <c r="T2866" s="127" t="s">
        <v>3688</v>
      </c>
      <c r="U2866" s="40"/>
      <c r="V2866" s="40"/>
      <c r="W2866" s="40"/>
      <c r="X2866" s="106">
        <v>43190</v>
      </c>
      <c r="Y2866" s="106">
        <v>45382</v>
      </c>
    </row>
    <row r="2867" s="9" customFormat="1" customHeight="1" spans="1:25">
      <c r="A2867" s="96" t="s">
        <v>399</v>
      </c>
      <c r="B2867" s="96" t="s">
        <v>2950</v>
      </c>
      <c r="C2867" s="96" t="s">
        <v>2998</v>
      </c>
      <c r="D2867" s="265" t="s">
        <v>2951</v>
      </c>
      <c r="E2867" s="105" t="s">
        <v>3565</v>
      </c>
      <c r="F2867" s="96" t="s">
        <v>3566</v>
      </c>
      <c r="G2867" s="96" t="s">
        <v>88</v>
      </c>
      <c r="H2867" s="19" t="s">
        <v>3647</v>
      </c>
      <c r="I2867" s="23" t="e">
        <f>VLOOKUP(H2867,'合同综合查询数据（3月返）'!$A:$A,1,FALSE)</f>
        <v>#N/A</v>
      </c>
      <c r="J2867" s="24" t="s">
        <v>3074</v>
      </c>
      <c r="K2867" s="94" t="s">
        <v>3585</v>
      </c>
      <c r="L2867" s="114"/>
      <c r="M2867" s="26" t="s">
        <v>3679</v>
      </c>
      <c r="N2867" s="106">
        <v>44071</v>
      </c>
      <c r="O2867" s="94" t="s">
        <v>457</v>
      </c>
      <c r="P2867" s="268">
        <v>5950</v>
      </c>
      <c r="Q2867" s="273">
        <v>1</v>
      </c>
      <c r="R2867" s="268">
        <f t="shared" si="69"/>
        <v>5950</v>
      </c>
      <c r="S2867" s="24">
        <v>202303</v>
      </c>
      <c r="T2867" s="127" t="s">
        <v>3689</v>
      </c>
      <c r="U2867" s="40"/>
      <c r="V2867" s="40"/>
      <c r="W2867" s="40"/>
      <c r="X2867" s="106">
        <v>43190</v>
      </c>
      <c r="Y2867" s="106">
        <v>45382</v>
      </c>
    </row>
    <row r="2868" s="9" customFormat="1" customHeight="1" spans="1:25">
      <c r="A2868" s="96" t="s">
        <v>399</v>
      </c>
      <c r="B2868" s="96" t="s">
        <v>2950</v>
      </c>
      <c r="C2868" s="96" t="s">
        <v>2998</v>
      </c>
      <c r="D2868" s="265" t="s">
        <v>2951</v>
      </c>
      <c r="E2868" s="105" t="s">
        <v>3565</v>
      </c>
      <c r="F2868" s="96" t="s">
        <v>3566</v>
      </c>
      <c r="G2868" s="96" t="s">
        <v>88</v>
      </c>
      <c r="H2868" s="19" t="s">
        <v>3647</v>
      </c>
      <c r="I2868" s="23" t="e">
        <f>VLOOKUP(H2868,'合同综合查询数据（3月返）'!$A:$A,1,FALSE)</f>
        <v>#N/A</v>
      </c>
      <c r="J2868" s="24" t="s">
        <v>3074</v>
      </c>
      <c r="K2868" s="94" t="s">
        <v>3585</v>
      </c>
      <c r="L2868" s="114"/>
      <c r="M2868" s="26" t="s">
        <v>3568</v>
      </c>
      <c r="N2868" s="106">
        <v>44081</v>
      </c>
      <c r="O2868" s="94" t="s">
        <v>457</v>
      </c>
      <c r="P2868" s="268">
        <v>5950</v>
      </c>
      <c r="Q2868" s="273">
        <v>2</v>
      </c>
      <c r="R2868" s="268">
        <f t="shared" si="69"/>
        <v>11900</v>
      </c>
      <c r="S2868" s="24">
        <v>202303</v>
      </c>
      <c r="T2868" s="127" t="s">
        <v>3690</v>
      </c>
      <c r="U2868" s="40"/>
      <c r="V2868" s="40"/>
      <c r="W2868" s="40"/>
      <c r="X2868" s="106">
        <v>43190</v>
      </c>
      <c r="Y2868" s="106">
        <v>45382</v>
      </c>
    </row>
    <row r="2869" s="10" customFormat="1" customHeight="1" spans="1:25">
      <c r="A2869" s="60" t="s">
        <v>399</v>
      </c>
      <c r="B2869" s="60" t="s">
        <v>2950</v>
      </c>
      <c r="C2869" s="60" t="s">
        <v>2998</v>
      </c>
      <c r="D2869" s="263" t="s">
        <v>2951</v>
      </c>
      <c r="E2869" s="63" t="s">
        <v>3565</v>
      </c>
      <c r="F2869" s="60" t="s">
        <v>3566</v>
      </c>
      <c r="G2869" s="60" t="s">
        <v>88</v>
      </c>
      <c r="H2869" s="45" t="s">
        <v>3691</v>
      </c>
      <c r="I2869" s="47" t="e">
        <f>VLOOKUP(H2869,'合同综合查询数据（3月返）'!$A:$A,1,FALSE)</f>
        <v>#N/A</v>
      </c>
      <c r="J2869" s="48" t="s">
        <v>3074</v>
      </c>
      <c r="K2869" s="62" t="s">
        <v>3585</v>
      </c>
      <c r="L2869" s="113"/>
      <c r="M2869" s="50" t="s">
        <v>3568</v>
      </c>
      <c r="N2869" s="267" t="s">
        <v>1225</v>
      </c>
      <c r="O2869" s="62" t="s">
        <v>545</v>
      </c>
      <c r="P2869" s="266">
        <v>0</v>
      </c>
      <c r="Q2869" s="270">
        <v>27</v>
      </c>
      <c r="R2869" s="266">
        <f t="shared" si="69"/>
        <v>0</v>
      </c>
      <c r="S2869" s="48">
        <v>202303</v>
      </c>
      <c r="T2869" s="278" t="s">
        <v>3692</v>
      </c>
      <c r="U2869" s="58"/>
      <c r="V2869" s="58"/>
      <c r="W2869" s="58"/>
      <c r="X2869" s="111"/>
      <c r="Y2869" s="111"/>
    </row>
    <row r="2870" s="9" customFormat="1" customHeight="1" spans="1:25">
      <c r="A2870" s="96" t="s">
        <v>399</v>
      </c>
      <c r="B2870" s="96" t="s">
        <v>2950</v>
      </c>
      <c r="C2870" s="96" t="s">
        <v>2998</v>
      </c>
      <c r="D2870" s="265" t="s">
        <v>2951</v>
      </c>
      <c r="E2870" s="105" t="s">
        <v>3565</v>
      </c>
      <c r="F2870" s="96" t="s">
        <v>3566</v>
      </c>
      <c r="G2870" s="96" t="s">
        <v>88</v>
      </c>
      <c r="H2870" s="19" t="s">
        <v>3647</v>
      </c>
      <c r="I2870" s="23" t="e">
        <f>VLOOKUP(H2870,'合同综合查询数据（3月返）'!$A:$A,1,FALSE)</f>
        <v>#N/A</v>
      </c>
      <c r="J2870" s="24" t="s">
        <v>3074</v>
      </c>
      <c r="K2870" s="96" t="s">
        <v>3585</v>
      </c>
      <c r="L2870" s="114"/>
      <c r="M2870" s="26" t="s">
        <v>3568</v>
      </c>
      <c r="N2870" s="106">
        <v>44133</v>
      </c>
      <c r="O2870" s="94" t="s">
        <v>461</v>
      </c>
      <c r="P2870" s="268">
        <v>8114</v>
      </c>
      <c r="Q2870" s="273">
        <v>1</v>
      </c>
      <c r="R2870" s="268">
        <f t="shared" si="69"/>
        <v>8114</v>
      </c>
      <c r="S2870" s="24">
        <v>202303</v>
      </c>
      <c r="T2870" s="127" t="s">
        <v>3693</v>
      </c>
      <c r="U2870" s="40"/>
      <c r="V2870" s="40"/>
      <c r="W2870" s="40"/>
      <c r="X2870" s="106">
        <v>43190</v>
      </c>
      <c r="Y2870" s="106">
        <v>45382</v>
      </c>
    </row>
    <row r="2871" s="9" customFormat="1" customHeight="1" spans="1:25">
      <c r="A2871" s="96" t="s">
        <v>399</v>
      </c>
      <c r="B2871" s="96" t="s">
        <v>2950</v>
      </c>
      <c r="C2871" s="96" t="s">
        <v>2998</v>
      </c>
      <c r="D2871" s="265" t="s">
        <v>2951</v>
      </c>
      <c r="E2871" s="105" t="s">
        <v>3565</v>
      </c>
      <c r="F2871" s="96" t="s">
        <v>3566</v>
      </c>
      <c r="G2871" s="96" t="s">
        <v>88</v>
      </c>
      <c r="H2871" s="19" t="s">
        <v>3647</v>
      </c>
      <c r="I2871" s="23" t="e">
        <f>VLOOKUP(H2871,'合同综合查询数据（3月返）'!$A:$A,1,FALSE)</f>
        <v>#N/A</v>
      </c>
      <c r="J2871" s="24" t="s">
        <v>3074</v>
      </c>
      <c r="K2871" s="96" t="s">
        <v>3585</v>
      </c>
      <c r="L2871" s="114"/>
      <c r="M2871" s="26" t="s">
        <v>3568</v>
      </c>
      <c r="N2871" s="106">
        <v>44155</v>
      </c>
      <c r="O2871" s="94" t="s">
        <v>461</v>
      </c>
      <c r="P2871" s="268">
        <v>8114</v>
      </c>
      <c r="Q2871" s="273">
        <v>1</v>
      </c>
      <c r="R2871" s="268">
        <f t="shared" si="69"/>
        <v>8114</v>
      </c>
      <c r="S2871" s="24">
        <v>202303</v>
      </c>
      <c r="T2871" s="127" t="s">
        <v>3694</v>
      </c>
      <c r="U2871" s="40"/>
      <c r="V2871" s="40"/>
      <c r="W2871" s="40"/>
      <c r="X2871" s="106">
        <v>43190</v>
      </c>
      <c r="Y2871" s="106">
        <v>45382</v>
      </c>
    </row>
    <row r="2872" s="9" customFormat="1" customHeight="1" spans="1:25">
      <c r="A2872" s="96" t="s">
        <v>399</v>
      </c>
      <c r="B2872" s="96" t="s">
        <v>2950</v>
      </c>
      <c r="C2872" s="96" t="s">
        <v>2998</v>
      </c>
      <c r="D2872" s="265" t="s">
        <v>2951</v>
      </c>
      <c r="E2872" s="105" t="s">
        <v>3565</v>
      </c>
      <c r="F2872" s="96" t="s">
        <v>3566</v>
      </c>
      <c r="G2872" s="96" t="s">
        <v>88</v>
      </c>
      <c r="H2872" s="19" t="s">
        <v>3647</v>
      </c>
      <c r="I2872" s="23" t="e">
        <f>VLOOKUP(H2872,'合同综合查询数据（3月返）'!$A:$A,1,FALSE)</f>
        <v>#N/A</v>
      </c>
      <c r="J2872" s="24" t="s">
        <v>3074</v>
      </c>
      <c r="K2872" s="96" t="s">
        <v>3585</v>
      </c>
      <c r="L2872" s="114"/>
      <c r="M2872" s="26" t="s">
        <v>3568</v>
      </c>
      <c r="N2872" s="106">
        <v>44167</v>
      </c>
      <c r="O2872" s="94" t="s">
        <v>457</v>
      </c>
      <c r="P2872" s="268">
        <v>5950</v>
      </c>
      <c r="Q2872" s="273">
        <v>2</v>
      </c>
      <c r="R2872" s="268">
        <f t="shared" si="69"/>
        <v>11900</v>
      </c>
      <c r="S2872" s="24">
        <v>202303</v>
      </c>
      <c r="T2872" s="127" t="s">
        <v>3695</v>
      </c>
      <c r="U2872" s="40"/>
      <c r="V2872" s="40"/>
      <c r="W2872" s="40"/>
      <c r="X2872" s="106">
        <v>43190</v>
      </c>
      <c r="Y2872" s="106">
        <v>45382</v>
      </c>
    </row>
    <row r="2873" s="9" customFormat="1" customHeight="1" spans="1:25">
      <c r="A2873" s="96" t="s">
        <v>399</v>
      </c>
      <c r="B2873" s="96" t="s">
        <v>2950</v>
      </c>
      <c r="C2873" s="96" t="s">
        <v>2998</v>
      </c>
      <c r="D2873" s="265" t="s">
        <v>2951</v>
      </c>
      <c r="E2873" s="105" t="s">
        <v>3565</v>
      </c>
      <c r="F2873" s="96" t="s">
        <v>3566</v>
      </c>
      <c r="G2873" s="96" t="s">
        <v>88</v>
      </c>
      <c r="H2873" s="19" t="s">
        <v>3647</v>
      </c>
      <c r="I2873" s="23" t="e">
        <f>VLOOKUP(H2873,'合同综合查询数据（3月返）'!$A:$A,1,FALSE)</f>
        <v>#N/A</v>
      </c>
      <c r="J2873" s="24" t="s">
        <v>3074</v>
      </c>
      <c r="K2873" s="96" t="s">
        <v>3585</v>
      </c>
      <c r="L2873" s="114"/>
      <c r="M2873" s="26" t="s">
        <v>3568</v>
      </c>
      <c r="N2873" s="106">
        <v>44215</v>
      </c>
      <c r="O2873" s="94" t="s">
        <v>457</v>
      </c>
      <c r="P2873" s="268">
        <v>5950</v>
      </c>
      <c r="Q2873" s="273">
        <v>18</v>
      </c>
      <c r="R2873" s="268">
        <f t="shared" si="69"/>
        <v>107100</v>
      </c>
      <c r="S2873" s="24">
        <v>202303</v>
      </c>
      <c r="T2873" s="127" t="s">
        <v>3696</v>
      </c>
      <c r="U2873" s="40"/>
      <c r="V2873" s="40"/>
      <c r="W2873" s="40"/>
      <c r="X2873" s="106">
        <v>43190</v>
      </c>
      <c r="Y2873" s="106">
        <v>45382</v>
      </c>
    </row>
    <row r="2874" s="9" customFormat="1" customHeight="1" spans="1:25">
      <c r="A2874" s="96" t="s">
        <v>399</v>
      </c>
      <c r="B2874" s="96" t="s">
        <v>2950</v>
      </c>
      <c r="C2874" s="96" t="s">
        <v>2998</v>
      </c>
      <c r="D2874" s="265" t="s">
        <v>2951</v>
      </c>
      <c r="E2874" s="105" t="s">
        <v>3565</v>
      </c>
      <c r="F2874" s="96" t="s">
        <v>3566</v>
      </c>
      <c r="G2874" s="96" t="s">
        <v>88</v>
      </c>
      <c r="H2874" s="19" t="s">
        <v>3647</v>
      </c>
      <c r="I2874" s="23" t="e">
        <f>VLOOKUP(H2874,'合同综合查询数据（3月返）'!$A:$A,1,FALSE)</f>
        <v>#N/A</v>
      </c>
      <c r="J2874" s="24" t="s">
        <v>3074</v>
      </c>
      <c r="K2874" s="96" t="s">
        <v>3585</v>
      </c>
      <c r="L2874" s="114"/>
      <c r="M2874" s="26" t="s">
        <v>3568</v>
      </c>
      <c r="N2874" s="106">
        <v>44229</v>
      </c>
      <c r="O2874" s="94" t="s">
        <v>457</v>
      </c>
      <c r="P2874" s="268">
        <v>5950</v>
      </c>
      <c r="Q2874" s="273">
        <v>2</v>
      </c>
      <c r="R2874" s="268">
        <f t="shared" ref="R2874:R2914" si="70">ROUND(P2874*Q2874,2)</f>
        <v>11900</v>
      </c>
      <c r="S2874" s="24">
        <v>202303</v>
      </c>
      <c r="T2874" s="127" t="s">
        <v>3697</v>
      </c>
      <c r="U2874" s="40"/>
      <c r="V2874" s="40"/>
      <c r="W2874" s="40"/>
      <c r="X2874" s="106">
        <v>43190</v>
      </c>
      <c r="Y2874" s="106">
        <v>45382</v>
      </c>
    </row>
    <row r="2875" s="9" customFormat="1" customHeight="1" spans="1:25">
      <c r="A2875" s="96" t="s">
        <v>399</v>
      </c>
      <c r="B2875" s="96" t="s">
        <v>2950</v>
      </c>
      <c r="C2875" s="96" t="s">
        <v>2998</v>
      </c>
      <c r="D2875" s="265" t="s">
        <v>2951</v>
      </c>
      <c r="E2875" s="105" t="s">
        <v>3565</v>
      </c>
      <c r="F2875" s="96" t="s">
        <v>3566</v>
      </c>
      <c r="G2875" s="96" t="s">
        <v>88</v>
      </c>
      <c r="H2875" s="19" t="s">
        <v>3647</v>
      </c>
      <c r="I2875" s="23" t="e">
        <f>VLOOKUP(H2875,'合同综合查询数据（3月返）'!$A:$A,1,FALSE)</f>
        <v>#N/A</v>
      </c>
      <c r="J2875" s="24" t="s">
        <v>3074</v>
      </c>
      <c r="K2875" s="96" t="s">
        <v>3585</v>
      </c>
      <c r="L2875" s="114"/>
      <c r="M2875" s="26" t="s">
        <v>3568</v>
      </c>
      <c r="N2875" s="106">
        <v>44232</v>
      </c>
      <c r="O2875" s="94" t="s">
        <v>457</v>
      </c>
      <c r="P2875" s="268">
        <v>5950</v>
      </c>
      <c r="Q2875" s="273">
        <v>2</v>
      </c>
      <c r="R2875" s="268">
        <f t="shared" si="70"/>
        <v>11900</v>
      </c>
      <c r="S2875" s="24">
        <v>202303</v>
      </c>
      <c r="T2875" s="127" t="s">
        <v>3698</v>
      </c>
      <c r="U2875" s="40"/>
      <c r="V2875" s="40"/>
      <c r="W2875" s="40"/>
      <c r="X2875" s="106">
        <v>43190</v>
      </c>
      <c r="Y2875" s="106">
        <v>45382</v>
      </c>
    </row>
    <row r="2876" s="9" customFormat="1" customHeight="1" spans="1:25">
      <c r="A2876" s="96" t="s">
        <v>399</v>
      </c>
      <c r="B2876" s="96" t="s">
        <v>2950</v>
      </c>
      <c r="C2876" s="96" t="s">
        <v>2998</v>
      </c>
      <c r="D2876" s="265" t="s">
        <v>2951</v>
      </c>
      <c r="E2876" s="105" t="s">
        <v>3565</v>
      </c>
      <c r="F2876" s="96" t="s">
        <v>3566</v>
      </c>
      <c r="G2876" s="96" t="s">
        <v>88</v>
      </c>
      <c r="H2876" s="19" t="s">
        <v>3647</v>
      </c>
      <c r="I2876" s="23" t="e">
        <f>VLOOKUP(H2876,'合同综合查询数据（3月返）'!$A:$A,1,FALSE)</f>
        <v>#N/A</v>
      </c>
      <c r="J2876" s="24" t="s">
        <v>3074</v>
      </c>
      <c r="K2876" s="96" t="s">
        <v>3585</v>
      </c>
      <c r="L2876" s="114"/>
      <c r="M2876" s="26" t="s">
        <v>3568</v>
      </c>
      <c r="N2876" s="106">
        <v>44234</v>
      </c>
      <c r="O2876" s="94" t="s">
        <v>457</v>
      </c>
      <c r="P2876" s="268">
        <v>5950</v>
      </c>
      <c r="Q2876" s="273">
        <v>16</v>
      </c>
      <c r="R2876" s="268">
        <f t="shared" si="70"/>
        <v>95200</v>
      </c>
      <c r="S2876" s="24">
        <v>202303</v>
      </c>
      <c r="T2876" s="127" t="s">
        <v>3699</v>
      </c>
      <c r="U2876" s="40"/>
      <c r="V2876" s="40"/>
      <c r="W2876" s="40"/>
      <c r="X2876" s="106">
        <v>43190</v>
      </c>
      <c r="Y2876" s="106">
        <v>45382</v>
      </c>
    </row>
    <row r="2877" s="9" customFormat="1" customHeight="1" spans="1:25">
      <c r="A2877" s="96" t="s">
        <v>399</v>
      </c>
      <c r="B2877" s="96" t="s">
        <v>2950</v>
      </c>
      <c r="C2877" s="96" t="s">
        <v>2998</v>
      </c>
      <c r="D2877" s="265" t="s">
        <v>2951</v>
      </c>
      <c r="E2877" s="105" t="s">
        <v>3565</v>
      </c>
      <c r="F2877" s="96" t="s">
        <v>3566</v>
      </c>
      <c r="G2877" s="96" t="s">
        <v>88</v>
      </c>
      <c r="H2877" s="19" t="s">
        <v>3647</v>
      </c>
      <c r="I2877" s="23" t="e">
        <f>VLOOKUP(H2877,'合同综合查询数据（3月返）'!$A:$A,1,FALSE)</f>
        <v>#N/A</v>
      </c>
      <c r="J2877" s="24" t="s">
        <v>3074</v>
      </c>
      <c r="K2877" s="96" t="s">
        <v>3585</v>
      </c>
      <c r="L2877" s="114"/>
      <c r="M2877" s="26" t="s">
        <v>3568</v>
      </c>
      <c r="N2877" s="106">
        <v>44253</v>
      </c>
      <c r="O2877" s="94" t="s">
        <v>457</v>
      </c>
      <c r="P2877" s="268">
        <v>5950</v>
      </c>
      <c r="Q2877" s="273">
        <v>2</v>
      </c>
      <c r="R2877" s="268">
        <f t="shared" si="70"/>
        <v>11900</v>
      </c>
      <c r="S2877" s="24">
        <v>202303</v>
      </c>
      <c r="T2877" s="127" t="s">
        <v>3700</v>
      </c>
      <c r="U2877" s="40"/>
      <c r="V2877" s="40"/>
      <c r="W2877" s="40"/>
      <c r="X2877" s="106">
        <v>43190</v>
      </c>
      <c r="Y2877" s="106">
        <v>45382</v>
      </c>
    </row>
    <row r="2878" s="9" customFormat="1" customHeight="1" spans="1:25">
      <c r="A2878" s="96" t="s">
        <v>399</v>
      </c>
      <c r="B2878" s="96" t="s">
        <v>2950</v>
      </c>
      <c r="C2878" s="96" t="s">
        <v>2998</v>
      </c>
      <c r="D2878" s="265" t="s">
        <v>2951</v>
      </c>
      <c r="E2878" s="105" t="s">
        <v>3565</v>
      </c>
      <c r="F2878" s="96" t="s">
        <v>3566</v>
      </c>
      <c r="G2878" s="96" t="s">
        <v>88</v>
      </c>
      <c r="H2878" s="19" t="s">
        <v>3647</v>
      </c>
      <c r="I2878" s="23" t="e">
        <f>VLOOKUP(H2878,'合同综合查询数据（3月返）'!$A:$A,1,FALSE)</f>
        <v>#N/A</v>
      </c>
      <c r="J2878" s="24" t="s">
        <v>3074</v>
      </c>
      <c r="K2878" s="96" t="s">
        <v>3585</v>
      </c>
      <c r="L2878" s="114"/>
      <c r="M2878" s="26" t="s">
        <v>3568</v>
      </c>
      <c r="N2878" s="106">
        <v>44254</v>
      </c>
      <c r="O2878" s="94" t="s">
        <v>457</v>
      </c>
      <c r="P2878" s="268">
        <v>5950</v>
      </c>
      <c r="Q2878" s="273">
        <v>4</v>
      </c>
      <c r="R2878" s="268">
        <f t="shared" si="70"/>
        <v>23800</v>
      </c>
      <c r="S2878" s="24">
        <v>202303</v>
      </c>
      <c r="T2878" s="127" t="s">
        <v>3701</v>
      </c>
      <c r="U2878" s="40"/>
      <c r="V2878" s="40"/>
      <c r="W2878" s="40"/>
      <c r="X2878" s="106">
        <v>43190</v>
      </c>
      <c r="Y2878" s="106">
        <v>45382</v>
      </c>
    </row>
    <row r="2879" s="9" customFormat="1" customHeight="1" spans="1:25">
      <c r="A2879" s="96" t="s">
        <v>399</v>
      </c>
      <c r="B2879" s="96" t="s">
        <v>2950</v>
      </c>
      <c r="C2879" s="96" t="s">
        <v>2998</v>
      </c>
      <c r="D2879" s="265" t="s">
        <v>2951</v>
      </c>
      <c r="E2879" s="105" t="s">
        <v>3565</v>
      </c>
      <c r="F2879" s="96" t="s">
        <v>3566</v>
      </c>
      <c r="G2879" s="96" t="s">
        <v>88</v>
      </c>
      <c r="H2879" s="19" t="s">
        <v>3647</v>
      </c>
      <c r="I2879" s="23" t="e">
        <f>VLOOKUP(H2879,'合同综合查询数据（3月返）'!$A:$A,1,FALSE)</f>
        <v>#N/A</v>
      </c>
      <c r="J2879" s="24" t="s">
        <v>3074</v>
      </c>
      <c r="K2879" s="96" t="s">
        <v>3585</v>
      </c>
      <c r="L2879" s="114"/>
      <c r="M2879" s="26" t="s">
        <v>3568</v>
      </c>
      <c r="N2879" s="106">
        <v>44257</v>
      </c>
      <c r="O2879" s="94" t="s">
        <v>457</v>
      </c>
      <c r="P2879" s="268">
        <v>5950</v>
      </c>
      <c r="Q2879" s="273">
        <v>2</v>
      </c>
      <c r="R2879" s="268">
        <f t="shared" si="70"/>
        <v>11900</v>
      </c>
      <c r="S2879" s="24">
        <v>202303</v>
      </c>
      <c r="T2879" s="127" t="s">
        <v>3702</v>
      </c>
      <c r="U2879" s="40"/>
      <c r="V2879" s="40"/>
      <c r="W2879" s="40"/>
      <c r="X2879" s="106">
        <v>43190</v>
      </c>
      <c r="Y2879" s="106">
        <v>45382</v>
      </c>
    </row>
    <row r="2880" s="9" customFormat="1" customHeight="1" spans="1:25">
      <c r="A2880" s="96" t="s">
        <v>399</v>
      </c>
      <c r="B2880" s="96" t="s">
        <v>2950</v>
      </c>
      <c r="C2880" s="96" t="s">
        <v>2998</v>
      </c>
      <c r="D2880" s="265" t="s">
        <v>2951</v>
      </c>
      <c r="E2880" s="105" t="s">
        <v>3565</v>
      </c>
      <c r="F2880" s="96" t="s">
        <v>3566</v>
      </c>
      <c r="G2880" s="96" t="s">
        <v>88</v>
      </c>
      <c r="H2880" s="19" t="s">
        <v>3647</v>
      </c>
      <c r="I2880" s="23" t="e">
        <f>VLOOKUP(H2880,'合同综合查询数据（3月返）'!$A:$A,1,FALSE)</f>
        <v>#N/A</v>
      </c>
      <c r="J2880" s="24" t="s">
        <v>3074</v>
      </c>
      <c r="K2880" s="96" t="s">
        <v>3585</v>
      </c>
      <c r="L2880" s="114"/>
      <c r="M2880" s="26" t="s">
        <v>3568</v>
      </c>
      <c r="N2880" s="106">
        <v>44267</v>
      </c>
      <c r="O2880" s="94" t="s">
        <v>457</v>
      </c>
      <c r="P2880" s="268">
        <v>5950</v>
      </c>
      <c r="Q2880" s="273">
        <v>5</v>
      </c>
      <c r="R2880" s="268">
        <f t="shared" si="70"/>
        <v>29750</v>
      </c>
      <c r="S2880" s="24">
        <v>202303</v>
      </c>
      <c r="T2880" s="127" t="s">
        <v>3703</v>
      </c>
      <c r="U2880" s="40"/>
      <c r="V2880" s="40"/>
      <c r="W2880" s="40"/>
      <c r="X2880" s="106">
        <v>43190</v>
      </c>
      <c r="Y2880" s="106">
        <v>45382</v>
      </c>
    </row>
    <row r="2881" s="9" customFormat="1" customHeight="1" spans="1:25">
      <c r="A2881" s="96" t="s">
        <v>399</v>
      </c>
      <c r="B2881" s="96" t="s">
        <v>2950</v>
      </c>
      <c r="C2881" s="96" t="s">
        <v>2998</v>
      </c>
      <c r="D2881" s="265" t="s">
        <v>2951</v>
      </c>
      <c r="E2881" s="105" t="s">
        <v>3565</v>
      </c>
      <c r="F2881" s="96" t="s">
        <v>3566</v>
      </c>
      <c r="G2881" s="96" t="s">
        <v>88</v>
      </c>
      <c r="H2881" s="19" t="s">
        <v>3647</v>
      </c>
      <c r="I2881" s="23" t="e">
        <f>VLOOKUP(H2881,'合同综合查询数据（3月返）'!$A:$A,1,FALSE)</f>
        <v>#N/A</v>
      </c>
      <c r="J2881" s="24" t="s">
        <v>3074</v>
      </c>
      <c r="K2881" s="96" t="s">
        <v>3585</v>
      </c>
      <c r="L2881" s="114"/>
      <c r="M2881" s="26" t="s">
        <v>3568</v>
      </c>
      <c r="N2881" s="106">
        <v>44270</v>
      </c>
      <c r="O2881" s="94" t="s">
        <v>457</v>
      </c>
      <c r="P2881" s="268">
        <v>5950</v>
      </c>
      <c r="Q2881" s="273">
        <v>1</v>
      </c>
      <c r="R2881" s="268">
        <f t="shared" si="70"/>
        <v>5950</v>
      </c>
      <c r="S2881" s="24">
        <v>202303</v>
      </c>
      <c r="T2881" s="127" t="s">
        <v>3704</v>
      </c>
      <c r="U2881" s="40"/>
      <c r="V2881" s="40"/>
      <c r="W2881" s="40"/>
      <c r="X2881" s="106">
        <v>43190</v>
      </c>
      <c r="Y2881" s="106">
        <v>45382</v>
      </c>
    </row>
    <row r="2882" s="9" customFormat="1" customHeight="1" spans="1:25">
      <c r="A2882" s="96" t="s">
        <v>399</v>
      </c>
      <c r="B2882" s="96" t="s">
        <v>2950</v>
      </c>
      <c r="C2882" s="96" t="s">
        <v>2998</v>
      </c>
      <c r="D2882" s="265" t="s">
        <v>2951</v>
      </c>
      <c r="E2882" s="105" t="s">
        <v>3565</v>
      </c>
      <c r="F2882" s="96" t="s">
        <v>3566</v>
      </c>
      <c r="G2882" s="96" t="s">
        <v>88</v>
      </c>
      <c r="H2882" s="19" t="s">
        <v>3647</v>
      </c>
      <c r="I2882" s="23" t="e">
        <f>VLOOKUP(H2882,'合同综合查询数据（3月返）'!$A:$A,1,FALSE)</f>
        <v>#N/A</v>
      </c>
      <c r="J2882" s="24" t="s">
        <v>3074</v>
      </c>
      <c r="K2882" s="96" t="s">
        <v>3585</v>
      </c>
      <c r="L2882" s="114"/>
      <c r="M2882" s="26" t="s">
        <v>3568</v>
      </c>
      <c r="N2882" s="106">
        <v>44272</v>
      </c>
      <c r="O2882" s="94" t="s">
        <v>457</v>
      </c>
      <c r="P2882" s="268">
        <v>5950</v>
      </c>
      <c r="Q2882" s="273">
        <v>2</v>
      </c>
      <c r="R2882" s="268">
        <f t="shared" si="70"/>
        <v>11900</v>
      </c>
      <c r="S2882" s="24">
        <v>202303</v>
      </c>
      <c r="T2882" s="127" t="s">
        <v>3705</v>
      </c>
      <c r="U2882" s="40"/>
      <c r="V2882" s="40"/>
      <c r="W2882" s="40"/>
      <c r="X2882" s="106">
        <v>43190</v>
      </c>
      <c r="Y2882" s="106">
        <v>45382</v>
      </c>
    </row>
    <row r="2883" s="9" customFormat="1" customHeight="1" spans="1:25">
      <c r="A2883" s="96" t="s">
        <v>399</v>
      </c>
      <c r="B2883" s="96" t="s">
        <v>2950</v>
      </c>
      <c r="C2883" s="96" t="s">
        <v>2998</v>
      </c>
      <c r="D2883" s="265" t="s">
        <v>2951</v>
      </c>
      <c r="E2883" s="105" t="s">
        <v>3565</v>
      </c>
      <c r="F2883" s="96" t="s">
        <v>3566</v>
      </c>
      <c r="G2883" s="96" t="s">
        <v>88</v>
      </c>
      <c r="H2883" s="19" t="s">
        <v>3647</v>
      </c>
      <c r="I2883" s="23" t="e">
        <f>VLOOKUP(H2883,'合同综合查询数据（3月返）'!$A:$A,1,FALSE)</f>
        <v>#N/A</v>
      </c>
      <c r="J2883" s="24" t="s">
        <v>3074</v>
      </c>
      <c r="K2883" s="96" t="s">
        <v>3585</v>
      </c>
      <c r="L2883" s="114"/>
      <c r="M2883" s="26" t="s">
        <v>3568</v>
      </c>
      <c r="N2883" s="106">
        <v>44288</v>
      </c>
      <c r="O2883" s="94" t="s">
        <v>457</v>
      </c>
      <c r="P2883" s="268">
        <v>5950</v>
      </c>
      <c r="Q2883" s="273">
        <v>3</v>
      </c>
      <c r="R2883" s="268">
        <f t="shared" si="70"/>
        <v>17850</v>
      </c>
      <c r="S2883" s="24">
        <v>202303</v>
      </c>
      <c r="T2883" s="127" t="s">
        <v>3706</v>
      </c>
      <c r="U2883" s="40"/>
      <c r="V2883" s="40"/>
      <c r="W2883" s="40"/>
      <c r="X2883" s="106">
        <v>43190</v>
      </c>
      <c r="Y2883" s="106">
        <v>45382</v>
      </c>
    </row>
    <row r="2884" s="9" customFormat="1" customHeight="1" spans="1:25">
      <c r="A2884" s="96" t="s">
        <v>399</v>
      </c>
      <c r="B2884" s="96" t="s">
        <v>2950</v>
      </c>
      <c r="C2884" s="96" t="s">
        <v>2998</v>
      </c>
      <c r="D2884" s="265" t="s">
        <v>2951</v>
      </c>
      <c r="E2884" s="105" t="s">
        <v>3565</v>
      </c>
      <c r="F2884" s="96" t="s">
        <v>3566</v>
      </c>
      <c r="G2884" s="96" t="s">
        <v>88</v>
      </c>
      <c r="H2884" s="19" t="s">
        <v>3647</v>
      </c>
      <c r="I2884" s="23" t="e">
        <f>VLOOKUP(H2884,'合同综合查询数据（3月返）'!$A:$A,1,FALSE)</f>
        <v>#N/A</v>
      </c>
      <c r="J2884" s="24" t="s">
        <v>3074</v>
      </c>
      <c r="K2884" s="96" t="s">
        <v>3585</v>
      </c>
      <c r="L2884" s="114"/>
      <c r="M2884" s="26" t="s">
        <v>3568</v>
      </c>
      <c r="N2884" s="106">
        <v>44308</v>
      </c>
      <c r="O2884" s="94" t="s">
        <v>470</v>
      </c>
      <c r="P2884" s="268">
        <v>5950</v>
      </c>
      <c r="Q2884" s="273">
        <v>-1</v>
      </c>
      <c r="R2884" s="268">
        <f t="shared" si="70"/>
        <v>-5950</v>
      </c>
      <c r="S2884" s="24">
        <v>202303</v>
      </c>
      <c r="T2884" s="127" t="s">
        <v>3707</v>
      </c>
      <c r="U2884" s="40"/>
      <c r="V2884" s="40"/>
      <c r="W2884" s="40"/>
      <c r="X2884" s="106">
        <v>43190</v>
      </c>
      <c r="Y2884" s="106">
        <v>45382</v>
      </c>
    </row>
    <row r="2885" s="9" customFormat="1" customHeight="1" spans="1:25">
      <c r="A2885" s="96" t="s">
        <v>399</v>
      </c>
      <c r="B2885" s="96" t="s">
        <v>2950</v>
      </c>
      <c r="C2885" s="96" t="s">
        <v>2998</v>
      </c>
      <c r="D2885" s="265" t="s">
        <v>2951</v>
      </c>
      <c r="E2885" s="105" t="s">
        <v>3565</v>
      </c>
      <c r="F2885" s="96" t="s">
        <v>3566</v>
      </c>
      <c r="G2885" s="96" t="s">
        <v>88</v>
      </c>
      <c r="H2885" s="19" t="s">
        <v>3647</v>
      </c>
      <c r="I2885" s="23" t="e">
        <f>VLOOKUP(H2885,'合同综合查询数据（3月返）'!$A:$A,1,FALSE)</f>
        <v>#N/A</v>
      </c>
      <c r="J2885" s="24" t="s">
        <v>3074</v>
      </c>
      <c r="K2885" s="96" t="s">
        <v>3585</v>
      </c>
      <c r="L2885" s="114"/>
      <c r="M2885" s="26" t="s">
        <v>3568</v>
      </c>
      <c r="N2885" s="106">
        <v>44309</v>
      </c>
      <c r="O2885" s="94" t="s">
        <v>457</v>
      </c>
      <c r="P2885" s="268">
        <v>5950</v>
      </c>
      <c r="Q2885" s="273">
        <v>2</v>
      </c>
      <c r="R2885" s="268">
        <f t="shared" si="70"/>
        <v>11900</v>
      </c>
      <c r="S2885" s="24">
        <v>202303</v>
      </c>
      <c r="T2885" s="127" t="s">
        <v>3708</v>
      </c>
      <c r="U2885" s="40"/>
      <c r="V2885" s="40"/>
      <c r="W2885" s="40"/>
      <c r="X2885" s="106">
        <v>43190</v>
      </c>
      <c r="Y2885" s="106">
        <v>45382</v>
      </c>
    </row>
    <row r="2886" s="9" customFormat="1" customHeight="1" spans="1:25">
      <c r="A2886" s="96" t="s">
        <v>399</v>
      </c>
      <c r="B2886" s="96" t="s">
        <v>2950</v>
      </c>
      <c r="C2886" s="96" t="s">
        <v>2998</v>
      </c>
      <c r="D2886" s="265" t="s">
        <v>2951</v>
      </c>
      <c r="E2886" s="105" t="s">
        <v>3565</v>
      </c>
      <c r="F2886" s="96" t="s">
        <v>3566</v>
      </c>
      <c r="G2886" s="96" t="s">
        <v>88</v>
      </c>
      <c r="H2886" s="19" t="s">
        <v>3647</v>
      </c>
      <c r="I2886" s="23" t="e">
        <f>VLOOKUP(H2886,'合同综合查询数据（3月返）'!$A:$A,1,FALSE)</f>
        <v>#N/A</v>
      </c>
      <c r="J2886" s="24" t="s">
        <v>3074</v>
      </c>
      <c r="K2886" s="96" t="s">
        <v>3585</v>
      </c>
      <c r="L2886" s="114"/>
      <c r="M2886" s="26" t="s">
        <v>3568</v>
      </c>
      <c r="N2886" s="106">
        <v>44315</v>
      </c>
      <c r="O2886" s="94" t="s">
        <v>457</v>
      </c>
      <c r="P2886" s="268">
        <v>5950</v>
      </c>
      <c r="Q2886" s="273">
        <v>20</v>
      </c>
      <c r="R2886" s="268">
        <f t="shared" si="70"/>
        <v>119000</v>
      </c>
      <c r="S2886" s="24">
        <v>202303</v>
      </c>
      <c r="T2886" s="127" t="s">
        <v>3709</v>
      </c>
      <c r="U2886" s="40"/>
      <c r="V2886" s="40"/>
      <c r="W2886" s="40"/>
      <c r="X2886" s="106">
        <v>43190</v>
      </c>
      <c r="Y2886" s="106">
        <v>45382</v>
      </c>
    </row>
    <row r="2887" s="9" customFormat="1" customHeight="1" spans="1:25">
      <c r="A2887" s="96" t="s">
        <v>399</v>
      </c>
      <c r="B2887" s="96" t="s">
        <v>2950</v>
      </c>
      <c r="C2887" s="96" t="s">
        <v>2998</v>
      </c>
      <c r="D2887" s="265" t="s">
        <v>2951</v>
      </c>
      <c r="E2887" s="105" t="s">
        <v>3565</v>
      </c>
      <c r="F2887" s="96" t="s">
        <v>3566</v>
      </c>
      <c r="G2887" s="96" t="s">
        <v>88</v>
      </c>
      <c r="H2887" s="19" t="s">
        <v>3647</v>
      </c>
      <c r="I2887" s="23" t="e">
        <f>VLOOKUP(H2887,'合同综合查询数据（3月返）'!$A:$A,1,FALSE)</f>
        <v>#N/A</v>
      </c>
      <c r="J2887" s="24" t="s">
        <v>3074</v>
      </c>
      <c r="K2887" s="96" t="s">
        <v>3585</v>
      </c>
      <c r="L2887" s="114"/>
      <c r="M2887" s="26" t="s">
        <v>3568</v>
      </c>
      <c r="N2887" s="106">
        <v>44327</v>
      </c>
      <c r="O2887" s="94" t="s">
        <v>457</v>
      </c>
      <c r="P2887" s="268">
        <v>5950</v>
      </c>
      <c r="Q2887" s="273">
        <v>-2</v>
      </c>
      <c r="R2887" s="268">
        <f t="shared" si="70"/>
        <v>-11900</v>
      </c>
      <c r="S2887" s="24">
        <v>202303</v>
      </c>
      <c r="T2887" s="127" t="s">
        <v>3710</v>
      </c>
      <c r="U2887" s="40"/>
      <c r="V2887" s="40"/>
      <c r="W2887" s="40"/>
      <c r="X2887" s="106">
        <v>43190</v>
      </c>
      <c r="Y2887" s="106">
        <v>45382</v>
      </c>
    </row>
    <row r="2888" s="9" customFormat="1" customHeight="1" spans="1:25">
      <c r="A2888" s="96" t="s">
        <v>399</v>
      </c>
      <c r="B2888" s="96" t="s">
        <v>2950</v>
      </c>
      <c r="C2888" s="96" t="s">
        <v>2998</v>
      </c>
      <c r="D2888" s="265" t="s">
        <v>2951</v>
      </c>
      <c r="E2888" s="105" t="s">
        <v>3565</v>
      </c>
      <c r="F2888" s="96" t="s">
        <v>3566</v>
      </c>
      <c r="G2888" s="96" t="s">
        <v>88</v>
      </c>
      <c r="H2888" s="19" t="s">
        <v>3647</v>
      </c>
      <c r="I2888" s="23" t="e">
        <f>VLOOKUP(H2888,'合同综合查询数据（3月返）'!$A:$A,1,FALSE)</f>
        <v>#N/A</v>
      </c>
      <c r="J2888" s="24" t="s">
        <v>3074</v>
      </c>
      <c r="K2888" s="96" t="s">
        <v>3585</v>
      </c>
      <c r="L2888" s="114"/>
      <c r="M2888" s="26" t="s">
        <v>3679</v>
      </c>
      <c r="N2888" s="106">
        <v>44334</v>
      </c>
      <c r="O2888" s="94" t="s">
        <v>457</v>
      </c>
      <c r="P2888" s="268">
        <v>5950</v>
      </c>
      <c r="Q2888" s="273">
        <v>2</v>
      </c>
      <c r="R2888" s="268">
        <f t="shared" si="70"/>
        <v>11900</v>
      </c>
      <c r="S2888" s="24">
        <v>202303</v>
      </c>
      <c r="T2888" s="127" t="s">
        <v>3711</v>
      </c>
      <c r="U2888" s="40"/>
      <c r="V2888" s="40"/>
      <c r="W2888" s="40"/>
      <c r="X2888" s="106">
        <v>43190</v>
      </c>
      <c r="Y2888" s="106">
        <v>45382</v>
      </c>
    </row>
    <row r="2889" s="9" customFormat="1" customHeight="1" spans="1:25">
      <c r="A2889" s="96" t="s">
        <v>399</v>
      </c>
      <c r="B2889" s="96" t="s">
        <v>2950</v>
      </c>
      <c r="C2889" s="96" t="s">
        <v>2998</v>
      </c>
      <c r="D2889" s="265" t="s">
        <v>2951</v>
      </c>
      <c r="E2889" s="105" t="s">
        <v>3565</v>
      </c>
      <c r="F2889" s="96" t="s">
        <v>3566</v>
      </c>
      <c r="G2889" s="96" t="s">
        <v>88</v>
      </c>
      <c r="H2889" s="19" t="s">
        <v>3647</v>
      </c>
      <c r="I2889" s="23" t="e">
        <f>VLOOKUP(H2889,'合同综合查询数据（3月返）'!$A:$A,1,FALSE)</f>
        <v>#N/A</v>
      </c>
      <c r="J2889" s="24" t="s">
        <v>3074</v>
      </c>
      <c r="K2889" s="96" t="s">
        <v>3585</v>
      </c>
      <c r="L2889" s="114"/>
      <c r="M2889" s="26" t="s">
        <v>3568</v>
      </c>
      <c r="N2889" s="106">
        <v>44336</v>
      </c>
      <c r="O2889" s="94" t="s">
        <v>457</v>
      </c>
      <c r="P2889" s="268">
        <v>5950</v>
      </c>
      <c r="Q2889" s="273">
        <v>6</v>
      </c>
      <c r="R2889" s="268">
        <f t="shared" si="70"/>
        <v>35700</v>
      </c>
      <c r="S2889" s="24">
        <v>202303</v>
      </c>
      <c r="T2889" s="127" t="s">
        <v>3712</v>
      </c>
      <c r="U2889" s="40"/>
      <c r="V2889" s="40"/>
      <c r="W2889" s="40"/>
      <c r="X2889" s="106">
        <v>43190</v>
      </c>
      <c r="Y2889" s="106">
        <v>45382</v>
      </c>
    </row>
    <row r="2890" s="9" customFormat="1" customHeight="1" spans="1:25">
      <c r="A2890" s="96" t="s">
        <v>399</v>
      </c>
      <c r="B2890" s="96" t="s">
        <v>2950</v>
      </c>
      <c r="C2890" s="96" t="s">
        <v>2998</v>
      </c>
      <c r="D2890" s="265" t="s">
        <v>2951</v>
      </c>
      <c r="E2890" s="105" t="s">
        <v>3565</v>
      </c>
      <c r="F2890" s="96" t="s">
        <v>3566</v>
      </c>
      <c r="G2890" s="96" t="s">
        <v>88</v>
      </c>
      <c r="H2890" s="19" t="s">
        <v>3647</v>
      </c>
      <c r="I2890" s="23" t="e">
        <f>VLOOKUP(H2890,'合同综合查询数据（3月返）'!$A:$A,1,FALSE)</f>
        <v>#N/A</v>
      </c>
      <c r="J2890" s="24" t="s">
        <v>3074</v>
      </c>
      <c r="K2890" s="96" t="s">
        <v>3585</v>
      </c>
      <c r="L2890" s="114"/>
      <c r="M2890" s="26" t="s">
        <v>3568</v>
      </c>
      <c r="N2890" s="106">
        <v>44351</v>
      </c>
      <c r="O2890" s="311" t="s">
        <v>457</v>
      </c>
      <c r="P2890" s="268">
        <v>5950</v>
      </c>
      <c r="Q2890" s="273">
        <v>14</v>
      </c>
      <c r="R2890" s="268">
        <f t="shared" si="70"/>
        <v>83300</v>
      </c>
      <c r="S2890" s="24">
        <v>202303</v>
      </c>
      <c r="T2890" s="127" t="s">
        <v>3713</v>
      </c>
      <c r="U2890" s="40"/>
      <c r="V2890" s="40"/>
      <c r="W2890" s="40"/>
      <c r="X2890" s="106">
        <v>43190</v>
      </c>
      <c r="Y2890" s="106">
        <v>45382</v>
      </c>
    </row>
    <row r="2891" s="9" customFormat="1" customHeight="1" spans="1:25">
      <c r="A2891" s="96" t="s">
        <v>399</v>
      </c>
      <c r="B2891" s="96" t="s">
        <v>2950</v>
      </c>
      <c r="C2891" s="96" t="s">
        <v>2998</v>
      </c>
      <c r="D2891" s="265" t="s">
        <v>2951</v>
      </c>
      <c r="E2891" s="105" t="s">
        <v>3565</v>
      </c>
      <c r="F2891" s="96" t="s">
        <v>3566</v>
      </c>
      <c r="G2891" s="96" t="s">
        <v>88</v>
      </c>
      <c r="H2891" s="19" t="s">
        <v>3647</v>
      </c>
      <c r="I2891" s="23" t="e">
        <f>VLOOKUP(H2891,'合同综合查询数据（3月返）'!$A:$A,1,FALSE)</f>
        <v>#N/A</v>
      </c>
      <c r="J2891" s="24" t="s">
        <v>3074</v>
      </c>
      <c r="K2891" s="96" t="s">
        <v>3585</v>
      </c>
      <c r="L2891" s="114"/>
      <c r="M2891" s="26" t="s">
        <v>3568</v>
      </c>
      <c r="N2891" s="106">
        <v>44357</v>
      </c>
      <c r="O2891" s="94" t="s">
        <v>457</v>
      </c>
      <c r="P2891" s="268">
        <v>5950</v>
      </c>
      <c r="Q2891" s="273">
        <v>10</v>
      </c>
      <c r="R2891" s="268">
        <f t="shared" si="70"/>
        <v>59500</v>
      </c>
      <c r="S2891" s="24">
        <v>202303</v>
      </c>
      <c r="T2891" s="127" t="s">
        <v>3714</v>
      </c>
      <c r="U2891" s="40"/>
      <c r="V2891" s="40"/>
      <c r="W2891" s="40"/>
      <c r="X2891" s="106">
        <v>43190</v>
      </c>
      <c r="Y2891" s="106">
        <v>45382</v>
      </c>
    </row>
    <row r="2892" s="9" customFormat="1" customHeight="1" spans="1:25">
      <c r="A2892" s="96" t="s">
        <v>399</v>
      </c>
      <c r="B2892" s="96" t="s">
        <v>2950</v>
      </c>
      <c r="C2892" s="96" t="s">
        <v>2998</v>
      </c>
      <c r="D2892" s="265" t="s">
        <v>2951</v>
      </c>
      <c r="E2892" s="105" t="s">
        <v>3565</v>
      </c>
      <c r="F2892" s="96" t="s">
        <v>3566</v>
      </c>
      <c r="G2892" s="96" t="s">
        <v>88</v>
      </c>
      <c r="H2892" s="19" t="s">
        <v>3647</v>
      </c>
      <c r="I2892" s="23" t="e">
        <f>VLOOKUP(H2892,'合同综合查询数据（3月返）'!$A:$A,1,FALSE)</f>
        <v>#N/A</v>
      </c>
      <c r="J2892" s="24" t="s">
        <v>3074</v>
      </c>
      <c r="K2892" s="96" t="s">
        <v>3585</v>
      </c>
      <c r="L2892" s="114"/>
      <c r="M2892" s="26" t="s">
        <v>3568</v>
      </c>
      <c r="N2892" s="106">
        <v>44358</v>
      </c>
      <c r="O2892" s="94" t="s">
        <v>457</v>
      </c>
      <c r="P2892" s="268">
        <v>5950</v>
      </c>
      <c r="Q2892" s="273">
        <v>4</v>
      </c>
      <c r="R2892" s="268">
        <f t="shared" si="70"/>
        <v>23800</v>
      </c>
      <c r="S2892" s="24">
        <v>202303</v>
      </c>
      <c r="T2892" s="127" t="s">
        <v>3715</v>
      </c>
      <c r="U2892" s="40"/>
      <c r="V2892" s="40"/>
      <c r="W2892" s="40"/>
      <c r="X2892" s="106">
        <v>43190</v>
      </c>
      <c r="Y2892" s="106">
        <v>45382</v>
      </c>
    </row>
    <row r="2893" s="9" customFormat="1" customHeight="1" spans="1:25">
      <c r="A2893" s="96" t="s">
        <v>399</v>
      </c>
      <c r="B2893" s="96" t="s">
        <v>2950</v>
      </c>
      <c r="C2893" s="96" t="s">
        <v>2998</v>
      </c>
      <c r="D2893" s="265" t="s">
        <v>2951</v>
      </c>
      <c r="E2893" s="105" t="s">
        <v>3565</v>
      </c>
      <c r="F2893" s="96" t="s">
        <v>3566</v>
      </c>
      <c r="G2893" s="96" t="s">
        <v>88</v>
      </c>
      <c r="H2893" s="19" t="s">
        <v>3647</v>
      </c>
      <c r="I2893" s="23" t="e">
        <f>VLOOKUP(H2893,'合同综合查询数据（3月返）'!$A:$A,1,FALSE)</f>
        <v>#N/A</v>
      </c>
      <c r="J2893" s="24" t="s">
        <v>3074</v>
      </c>
      <c r="K2893" s="96" t="s">
        <v>3585</v>
      </c>
      <c r="L2893" s="114"/>
      <c r="M2893" s="26" t="s">
        <v>3568</v>
      </c>
      <c r="N2893" s="106">
        <v>44363</v>
      </c>
      <c r="O2893" s="94" t="s">
        <v>457</v>
      </c>
      <c r="P2893" s="268">
        <v>5950</v>
      </c>
      <c r="Q2893" s="273">
        <v>2</v>
      </c>
      <c r="R2893" s="268">
        <f t="shared" si="70"/>
        <v>11900</v>
      </c>
      <c r="S2893" s="24">
        <v>202303</v>
      </c>
      <c r="T2893" s="127" t="s">
        <v>3716</v>
      </c>
      <c r="U2893" s="40"/>
      <c r="V2893" s="40"/>
      <c r="W2893" s="40"/>
      <c r="X2893" s="106">
        <v>43190</v>
      </c>
      <c r="Y2893" s="106">
        <v>45382</v>
      </c>
    </row>
    <row r="2894" s="9" customFormat="1" customHeight="1" spans="1:25">
      <c r="A2894" s="96" t="s">
        <v>399</v>
      </c>
      <c r="B2894" s="96" t="s">
        <v>2950</v>
      </c>
      <c r="C2894" s="96" t="s">
        <v>2998</v>
      </c>
      <c r="D2894" s="265" t="s">
        <v>2951</v>
      </c>
      <c r="E2894" s="105" t="s">
        <v>3565</v>
      </c>
      <c r="F2894" s="96" t="s">
        <v>3566</v>
      </c>
      <c r="G2894" s="96" t="s">
        <v>88</v>
      </c>
      <c r="H2894" s="19" t="s">
        <v>3647</v>
      </c>
      <c r="I2894" s="23" t="e">
        <f>VLOOKUP(H2894,'合同综合查询数据（3月返）'!$A:$A,1,FALSE)</f>
        <v>#N/A</v>
      </c>
      <c r="J2894" s="24" t="s">
        <v>3074</v>
      </c>
      <c r="K2894" s="96" t="s">
        <v>3585</v>
      </c>
      <c r="L2894" s="114"/>
      <c r="M2894" s="26" t="s">
        <v>3568</v>
      </c>
      <c r="N2894" s="106">
        <v>44364</v>
      </c>
      <c r="O2894" s="94" t="s">
        <v>457</v>
      </c>
      <c r="P2894" s="268">
        <v>5950</v>
      </c>
      <c r="Q2894" s="273">
        <v>2</v>
      </c>
      <c r="R2894" s="268">
        <f t="shared" si="70"/>
        <v>11900</v>
      </c>
      <c r="S2894" s="24">
        <v>202303</v>
      </c>
      <c r="T2894" s="127" t="s">
        <v>3717</v>
      </c>
      <c r="U2894" s="40"/>
      <c r="V2894" s="40"/>
      <c r="W2894" s="40"/>
      <c r="X2894" s="106">
        <v>43190</v>
      </c>
      <c r="Y2894" s="106">
        <v>45382</v>
      </c>
    </row>
    <row r="2895" s="9" customFormat="1" customHeight="1" spans="1:25">
      <c r="A2895" s="96" t="s">
        <v>399</v>
      </c>
      <c r="B2895" s="96" t="s">
        <v>2950</v>
      </c>
      <c r="C2895" s="96" t="s">
        <v>2998</v>
      </c>
      <c r="D2895" s="265" t="s">
        <v>2951</v>
      </c>
      <c r="E2895" s="105" t="s">
        <v>3565</v>
      </c>
      <c r="F2895" s="96" t="s">
        <v>3566</v>
      </c>
      <c r="G2895" s="96" t="s">
        <v>88</v>
      </c>
      <c r="H2895" s="19" t="s">
        <v>3647</v>
      </c>
      <c r="I2895" s="23" t="e">
        <f>VLOOKUP(H2895,'合同综合查询数据（3月返）'!$A:$A,1,FALSE)</f>
        <v>#N/A</v>
      </c>
      <c r="J2895" s="24" t="s">
        <v>3074</v>
      </c>
      <c r="K2895" s="96" t="s">
        <v>3585</v>
      </c>
      <c r="L2895" s="114"/>
      <c r="M2895" s="26" t="s">
        <v>3568</v>
      </c>
      <c r="N2895" s="106">
        <v>44371</v>
      </c>
      <c r="O2895" s="94" t="s">
        <v>457</v>
      </c>
      <c r="P2895" s="268">
        <v>5950</v>
      </c>
      <c r="Q2895" s="273">
        <v>7</v>
      </c>
      <c r="R2895" s="268">
        <f t="shared" si="70"/>
        <v>41650</v>
      </c>
      <c r="S2895" s="24">
        <v>202303</v>
      </c>
      <c r="T2895" s="127" t="s">
        <v>3718</v>
      </c>
      <c r="U2895" s="40"/>
      <c r="V2895" s="40"/>
      <c r="W2895" s="40"/>
      <c r="X2895" s="106">
        <v>43190</v>
      </c>
      <c r="Y2895" s="106">
        <v>45382</v>
      </c>
    </row>
    <row r="2896" s="9" customFormat="1" customHeight="1" spans="1:25">
      <c r="A2896" s="96" t="s">
        <v>399</v>
      </c>
      <c r="B2896" s="96" t="s">
        <v>2950</v>
      </c>
      <c r="C2896" s="96" t="s">
        <v>2998</v>
      </c>
      <c r="D2896" s="265" t="s">
        <v>2951</v>
      </c>
      <c r="E2896" s="105" t="s">
        <v>3565</v>
      </c>
      <c r="F2896" s="96" t="s">
        <v>3566</v>
      </c>
      <c r="G2896" s="96" t="s">
        <v>88</v>
      </c>
      <c r="H2896" s="19" t="s">
        <v>3647</v>
      </c>
      <c r="I2896" s="23" t="e">
        <f>VLOOKUP(H2896,'合同综合查询数据（3月返）'!$A:$A,1,FALSE)</f>
        <v>#N/A</v>
      </c>
      <c r="J2896" s="24" t="s">
        <v>3074</v>
      </c>
      <c r="K2896" s="96" t="s">
        <v>3585</v>
      </c>
      <c r="L2896" s="114"/>
      <c r="M2896" s="26" t="s">
        <v>3568</v>
      </c>
      <c r="N2896" s="106">
        <v>44421</v>
      </c>
      <c r="O2896" s="94" t="s">
        <v>457</v>
      </c>
      <c r="P2896" s="268">
        <v>5950</v>
      </c>
      <c r="Q2896" s="273">
        <v>4</v>
      </c>
      <c r="R2896" s="268">
        <f t="shared" si="70"/>
        <v>23800</v>
      </c>
      <c r="S2896" s="24">
        <v>202303</v>
      </c>
      <c r="T2896" s="127" t="s">
        <v>3719</v>
      </c>
      <c r="U2896" s="40"/>
      <c r="V2896" s="40"/>
      <c r="W2896" s="40"/>
      <c r="X2896" s="106">
        <v>43617</v>
      </c>
      <c r="Y2896" s="106">
        <v>45382</v>
      </c>
    </row>
    <row r="2897" s="9" customFormat="1" customHeight="1" spans="1:25">
      <c r="A2897" s="96" t="s">
        <v>399</v>
      </c>
      <c r="B2897" s="96" t="s">
        <v>2950</v>
      </c>
      <c r="C2897" s="96" t="s">
        <v>2998</v>
      </c>
      <c r="D2897" s="265" t="s">
        <v>2951</v>
      </c>
      <c r="E2897" s="105" t="s">
        <v>3565</v>
      </c>
      <c r="F2897" s="96" t="s">
        <v>3566</v>
      </c>
      <c r="G2897" s="96" t="s">
        <v>88</v>
      </c>
      <c r="H2897" s="19" t="s">
        <v>3647</v>
      </c>
      <c r="I2897" s="23" t="e">
        <f>VLOOKUP(H2897,'合同综合查询数据（3月返）'!$A:$A,1,FALSE)</f>
        <v>#N/A</v>
      </c>
      <c r="J2897" s="24" t="s">
        <v>3074</v>
      </c>
      <c r="K2897" s="96" t="s">
        <v>3585</v>
      </c>
      <c r="L2897" s="114"/>
      <c r="M2897" s="26" t="s">
        <v>3568</v>
      </c>
      <c r="N2897" s="106">
        <v>44431</v>
      </c>
      <c r="O2897" s="94" t="s">
        <v>457</v>
      </c>
      <c r="P2897" s="268">
        <v>5950</v>
      </c>
      <c r="Q2897" s="273">
        <v>22</v>
      </c>
      <c r="R2897" s="268">
        <f t="shared" si="70"/>
        <v>130900</v>
      </c>
      <c r="S2897" s="24">
        <v>202303</v>
      </c>
      <c r="T2897" s="127" t="s">
        <v>3720</v>
      </c>
      <c r="U2897" s="40"/>
      <c r="V2897" s="40"/>
      <c r="W2897" s="40"/>
      <c r="X2897" s="106">
        <v>43617</v>
      </c>
      <c r="Y2897" s="106">
        <v>45382</v>
      </c>
    </row>
    <row r="2898" s="9" customFormat="1" customHeight="1" spans="1:25">
      <c r="A2898" s="96" t="s">
        <v>399</v>
      </c>
      <c r="B2898" s="96" t="s">
        <v>2950</v>
      </c>
      <c r="C2898" s="96" t="s">
        <v>2998</v>
      </c>
      <c r="D2898" s="265" t="s">
        <v>2951</v>
      </c>
      <c r="E2898" s="105" t="s">
        <v>3565</v>
      </c>
      <c r="F2898" s="96" t="s">
        <v>3566</v>
      </c>
      <c r="G2898" s="96" t="s">
        <v>88</v>
      </c>
      <c r="H2898" s="19" t="s">
        <v>3647</v>
      </c>
      <c r="I2898" s="23" t="e">
        <f>VLOOKUP(H2898,'合同综合查询数据（3月返）'!$A:$A,1,FALSE)</f>
        <v>#N/A</v>
      </c>
      <c r="J2898" s="24" t="s">
        <v>3074</v>
      </c>
      <c r="K2898" s="96" t="s">
        <v>3585</v>
      </c>
      <c r="L2898" s="114"/>
      <c r="M2898" s="26" t="s">
        <v>3568</v>
      </c>
      <c r="N2898" s="106">
        <v>44434</v>
      </c>
      <c r="O2898" s="94" t="s">
        <v>457</v>
      </c>
      <c r="P2898" s="268">
        <v>5950</v>
      </c>
      <c r="Q2898" s="273">
        <v>4</v>
      </c>
      <c r="R2898" s="268">
        <f t="shared" si="70"/>
        <v>23800</v>
      </c>
      <c r="S2898" s="24">
        <v>202303</v>
      </c>
      <c r="T2898" s="127" t="s">
        <v>3721</v>
      </c>
      <c r="U2898" s="40"/>
      <c r="V2898" s="40"/>
      <c r="W2898" s="40"/>
      <c r="X2898" s="106">
        <v>43617</v>
      </c>
      <c r="Y2898" s="106">
        <v>45382</v>
      </c>
    </row>
    <row r="2899" s="9" customFormat="1" customHeight="1" spans="1:25">
      <c r="A2899" s="96" t="s">
        <v>399</v>
      </c>
      <c r="B2899" s="96" t="s">
        <v>2950</v>
      </c>
      <c r="C2899" s="96" t="s">
        <v>2998</v>
      </c>
      <c r="D2899" s="265" t="s">
        <v>2951</v>
      </c>
      <c r="E2899" s="105" t="s">
        <v>3565</v>
      </c>
      <c r="F2899" s="96" t="s">
        <v>3566</v>
      </c>
      <c r="G2899" s="96" t="s">
        <v>88</v>
      </c>
      <c r="H2899" s="19" t="s">
        <v>3647</v>
      </c>
      <c r="I2899" s="23" t="e">
        <f>VLOOKUP(H2899,'合同综合查询数据（3月返）'!$A:$A,1,FALSE)</f>
        <v>#N/A</v>
      </c>
      <c r="J2899" s="24" t="s">
        <v>3074</v>
      </c>
      <c r="K2899" s="96" t="s">
        <v>3585</v>
      </c>
      <c r="L2899" s="114"/>
      <c r="M2899" s="26" t="s">
        <v>3568</v>
      </c>
      <c r="N2899" s="106">
        <v>44456</v>
      </c>
      <c r="O2899" s="94" t="s">
        <v>457</v>
      </c>
      <c r="P2899" s="268">
        <v>5950</v>
      </c>
      <c r="Q2899" s="273">
        <v>3</v>
      </c>
      <c r="R2899" s="268">
        <f t="shared" si="70"/>
        <v>17850</v>
      </c>
      <c r="S2899" s="24">
        <v>202303</v>
      </c>
      <c r="T2899" s="127" t="s">
        <v>3722</v>
      </c>
      <c r="U2899" s="40"/>
      <c r="V2899" s="40"/>
      <c r="W2899" s="40"/>
      <c r="X2899" s="106">
        <v>43617</v>
      </c>
      <c r="Y2899" s="106">
        <v>45382</v>
      </c>
    </row>
    <row r="2900" s="9" customFormat="1" customHeight="1" spans="1:25">
      <c r="A2900" s="96" t="s">
        <v>399</v>
      </c>
      <c r="B2900" s="96" t="s">
        <v>2950</v>
      </c>
      <c r="C2900" s="96" t="s">
        <v>2998</v>
      </c>
      <c r="D2900" s="265" t="s">
        <v>2951</v>
      </c>
      <c r="E2900" s="105" t="s">
        <v>3565</v>
      </c>
      <c r="F2900" s="96" t="s">
        <v>3566</v>
      </c>
      <c r="G2900" s="96" t="s">
        <v>88</v>
      </c>
      <c r="H2900" s="19" t="s">
        <v>3647</v>
      </c>
      <c r="I2900" s="23" t="e">
        <f>VLOOKUP(H2900,'合同综合查询数据（3月返）'!$A:$A,1,FALSE)</f>
        <v>#N/A</v>
      </c>
      <c r="J2900" s="24" t="s">
        <v>3074</v>
      </c>
      <c r="K2900" s="96" t="s">
        <v>3585</v>
      </c>
      <c r="L2900" s="114"/>
      <c r="M2900" s="26" t="s">
        <v>3568</v>
      </c>
      <c r="N2900" s="106">
        <v>44462</v>
      </c>
      <c r="O2900" s="94" t="s">
        <v>457</v>
      </c>
      <c r="P2900" s="268">
        <v>5950</v>
      </c>
      <c r="Q2900" s="273">
        <v>7</v>
      </c>
      <c r="R2900" s="268">
        <f t="shared" si="70"/>
        <v>41650</v>
      </c>
      <c r="S2900" s="24">
        <v>202303</v>
      </c>
      <c r="T2900" s="127" t="s">
        <v>3723</v>
      </c>
      <c r="U2900" s="40"/>
      <c r="V2900" s="40"/>
      <c r="W2900" s="40"/>
      <c r="X2900" s="106">
        <v>43617</v>
      </c>
      <c r="Y2900" s="106">
        <v>45382</v>
      </c>
    </row>
    <row r="2901" s="9" customFormat="1" customHeight="1" spans="1:25">
      <c r="A2901" s="96" t="s">
        <v>399</v>
      </c>
      <c r="B2901" s="96" t="s">
        <v>2950</v>
      </c>
      <c r="C2901" s="96" t="s">
        <v>2998</v>
      </c>
      <c r="D2901" s="265" t="s">
        <v>2951</v>
      </c>
      <c r="E2901" s="105" t="s">
        <v>3565</v>
      </c>
      <c r="F2901" s="96" t="s">
        <v>3566</v>
      </c>
      <c r="G2901" s="96" t="s">
        <v>88</v>
      </c>
      <c r="H2901" s="19" t="s">
        <v>3647</v>
      </c>
      <c r="I2901" s="23" t="e">
        <f>VLOOKUP(H2901,'合同综合查询数据（3月返）'!$A:$A,1,FALSE)</f>
        <v>#N/A</v>
      </c>
      <c r="J2901" s="24" t="s">
        <v>3074</v>
      </c>
      <c r="K2901" s="96" t="s">
        <v>3585</v>
      </c>
      <c r="L2901" s="114"/>
      <c r="M2901" s="26" t="s">
        <v>3568</v>
      </c>
      <c r="N2901" s="106">
        <v>44497</v>
      </c>
      <c r="O2901" s="94" t="s">
        <v>457</v>
      </c>
      <c r="P2901" s="268">
        <v>5950</v>
      </c>
      <c r="Q2901" s="273">
        <v>3</v>
      </c>
      <c r="R2901" s="268">
        <f t="shared" si="70"/>
        <v>17850</v>
      </c>
      <c r="S2901" s="24">
        <v>202303</v>
      </c>
      <c r="T2901" s="127" t="s">
        <v>3724</v>
      </c>
      <c r="U2901" s="40"/>
      <c r="V2901" s="40"/>
      <c r="W2901" s="40"/>
      <c r="X2901" s="106">
        <v>43617</v>
      </c>
      <c r="Y2901" s="106">
        <v>45382</v>
      </c>
    </row>
    <row r="2902" s="9" customFormat="1" customHeight="1" spans="1:25">
      <c r="A2902" s="96" t="s">
        <v>399</v>
      </c>
      <c r="B2902" s="96" t="s">
        <v>2950</v>
      </c>
      <c r="C2902" s="96" t="s">
        <v>2998</v>
      </c>
      <c r="D2902" s="265" t="s">
        <v>2951</v>
      </c>
      <c r="E2902" s="105" t="s">
        <v>3565</v>
      </c>
      <c r="F2902" s="96" t="s">
        <v>3566</v>
      </c>
      <c r="G2902" s="96" t="s">
        <v>88</v>
      </c>
      <c r="H2902" s="19" t="s">
        <v>3647</v>
      </c>
      <c r="I2902" s="23" t="e">
        <f>VLOOKUP(H2902,'合同综合查询数据（3月返）'!$A:$A,1,FALSE)</f>
        <v>#N/A</v>
      </c>
      <c r="J2902" s="24" t="s">
        <v>3074</v>
      </c>
      <c r="K2902" s="96" t="s">
        <v>3585</v>
      </c>
      <c r="L2902" s="114"/>
      <c r="M2902" s="26" t="s">
        <v>3568</v>
      </c>
      <c r="N2902" s="106">
        <v>44501</v>
      </c>
      <c r="O2902" s="94" t="s">
        <v>457</v>
      </c>
      <c r="P2902" s="268">
        <v>5950</v>
      </c>
      <c r="Q2902" s="273">
        <v>2</v>
      </c>
      <c r="R2902" s="268">
        <f t="shared" si="70"/>
        <v>11900</v>
      </c>
      <c r="S2902" s="24">
        <v>202303</v>
      </c>
      <c r="T2902" s="127" t="s">
        <v>3725</v>
      </c>
      <c r="U2902" s="40"/>
      <c r="V2902" s="40"/>
      <c r="W2902" s="40"/>
      <c r="X2902" s="106">
        <v>43617</v>
      </c>
      <c r="Y2902" s="106">
        <v>45382</v>
      </c>
    </row>
    <row r="2903" s="9" customFormat="1" customHeight="1" spans="1:25">
      <c r="A2903" s="96" t="s">
        <v>399</v>
      </c>
      <c r="B2903" s="96" t="s">
        <v>2950</v>
      </c>
      <c r="C2903" s="96" t="s">
        <v>2998</v>
      </c>
      <c r="D2903" s="265" t="s">
        <v>2951</v>
      </c>
      <c r="E2903" s="105" t="s">
        <v>3565</v>
      </c>
      <c r="F2903" s="96" t="s">
        <v>3566</v>
      </c>
      <c r="G2903" s="96" t="s">
        <v>88</v>
      </c>
      <c r="H2903" s="19" t="s">
        <v>3647</v>
      </c>
      <c r="I2903" s="23" t="e">
        <f>VLOOKUP(H2903,'合同综合查询数据（3月返）'!$A:$A,1,FALSE)</f>
        <v>#N/A</v>
      </c>
      <c r="J2903" s="24" t="s">
        <v>3074</v>
      </c>
      <c r="K2903" s="96" t="s">
        <v>3585</v>
      </c>
      <c r="L2903" s="114"/>
      <c r="M2903" s="26" t="s">
        <v>3568</v>
      </c>
      <c r="N2903" s="106">
        <v>44557</v>
      </c>
      <c r="O2903" s="94" t="s">
        <v>457</v>
      </c>
      <c r="P2903" s="268">
        <v>5950</v>
      </c>
      <c r="Q2903" s="273">
        <v>1</v>
      </c>
      <c r="R2903" s="268">
        <f t="shared" si="70"/>
        <v>5950</v>
      </c>
      <c r="S2903" s="24">
        <v>202303</v>
      </c>
      <c r="T2903" s="127" t="s">
        <v>3726</v>
      </c>
      <c r="U2903" s="40"/>
      <c r="V2903" s="40"/>
      <c r="W2903" s="40"/>
      <c r="X2903" s="106">
        <v>43617</v>
      </c>
      <c r="Y2903" s="106">
        <v>45382</v>
      </c>
    </row>
    <row r="2904" s="9" customFormat="1" customHeight="1" spans="1:25">
      <c r="A2904" s="96" t="s">
        <v>399</v>
      </c>
      <c r="B2904" s="96" t="s">
        <v>2950</v>
      </c>
      <c r="C2904" s="96" t="s">
        <v>2998</v>
      </c>
      <c r="D2904" s="265" t="s">
        <v>2951</v>
      </c>
      <c r="E2904" s="105" t="s">
        <v>3565</v>
      </c>
      <c r="F2904" s="96" t="s">
        <v>3566</v>
      </c>
      <c r="G2904" s="96" t="s">
        <v>88</v>
      </c>
      <c r="H2904" s="19" t="s">
        <v>3647</v>
      </c>
      <c r="I2904" s="23" t="e">
        <f>VLOOKUP(H2904,'合同综合查询数据（3月返）'!$A:$A,1,FALSE)</f>
        <v>#N/A</v>
      </c>
      <c r="J2904" s="24" t="s">
        <v>3074</v>
      </c>
      <c r="K2904" s="96" t="s">
        <v>3585</v>
      </c>
      <c r="L2904" s="114"/>
      <c r="M2904" s="26" t="s">
        <v>3568</v>
      </c>
      <c r="N2904" s="106">
        <v>44559</v>
      </c>
      <c r="O2904" s="94" t="s">
        <v>457</v>
      </c>
      <c r="P2904" s="268">
        <v>5950</v>
      </c>
      <c r="Q2904" s="273">
        <v>25</v>
      </c>
      <c r="R2904" s="268">
        <f t="shared" si="70"/>
        <v>148750</v>
      </c>
      <c r="S2904" s="24">
        <v>202303</v>
      </c>
      <c r="T2904" s="127" t="s">
        <v>3727</v>
      </c>
      <c r="U2904" s="40"/>
      <c r="V2904" s="40"/>
      <c r="W2904" s="40"/>
      <c r="X2904" s="106">
        <v>43617</v>
      </c>
      <c r="Y2904" s="106">
        <v>45382</v>
      </c>
    </row>
    <row r="2905" s="9" customFormat="1" customHeight="1" spans="1:25">
      <c r="A2905" s="96" t="s">
        <v>399</v>
      </c>
      <c r="B2905" s="96" t="s">
        <v>2950</v>
      </c>
      <c r="C2905" s="96" t="s">
        <v>2998</v>
      </c>
      <c r="D2905" s="265" t="s">
        <v>2951</v>
      </c>
      <c r="E2905" s="105" t="s">
        <v>3565</v>
      </c>
      <c r="F2905" s="96" t="s">
        <v>3566</v>
      </c>
      <c r="G2905" s="96" t="s">
        <v>88</v>
      </c>
      <c r="H2905" s="19" t="s">
        <v>3647</v>
      </c>
      <c r="I2905" s="23" t="e">
        <f>VLOOKUP(H2905,'合同综合查询数据（3月返）'!$A:$A,1,FALSE)</f>
        <v>#N/A</v>
      </c>
      <c r="J2905" s="24" t="s">
        <v>3074</v>
      </c>
      <c r="K2905" s="96" t="s">
        <v>3585</v>
      </c>
      <c r="L2905" s="114"/>
      <c r="M2905" s="26" t="s">
        <v>3568</v>
      </c>
      <c r="N2905" s="106">
        <v>44649</v>
      </c>
      <c r="O2905" s="94" t="s">
        <v>457</v>
      </c>
      <c r="P2905" s="268">
        <v>5950</v>
      </c>
      <c r="Q2905" s="273">
        <v>1</v>
      </c>
      <c r="R2905" s="268">
        <f t="shared" si="70"/>
        <v>5950</v>
      </c>
      <c r="S2905" s="24">
        <v>202303</v>
      </c>
      <c r="T2905" s="127" t="s">
        <v>3728</v>
      </c>
      <c r="U2905" s="40"/>
      <c r="V2905" s="40"/>
      <c r="W2905" s="40"/>
      <c r="X2905" s="106">
        <v>43617</v>
      </c>
      <c r="Y2905" s="106">
        <v>45382</v>
      </c>
    </row>
    <row r="2906" s="9" customFormat="1" customHeight="1" spans="1:25">
      <c r="A2906" s="96" t="s">
        <v>399</v>
      </c>
      <c r="B2906" s="96" t="s">
        <v>2950</v>
      </c>
      <c r="C2906" s="96" t="s">
        <v>2998</v>
      </c>
      <c r="D2906" s="265" t="s">
        <v>2951</v>
      </c>
      <c r="E2906" s="105" t="s">
        <v>3565</v>
      </c>
      <c r="F2906" s="96" t="s">
        <v>3566</v>
      </c>
      <c r="G2906" s="96" t="s">
        <v>88</v>
      </c>
      <c r="H2906" s="19" t="s">
        <v>3647</v>
      </c>
      <c r="I2906" s="23" t="e">
        <f>VLOOKUP(H2906,'合同综合查询数据（3月返）'!$A:$A,1,FALSE)</f>
        <v>#N/A</v>
      </c>
      <c r="J2906" s="24" t="s">
        <v>3074</v>
      </c>
      <c r="K2906" s="96" t="s">
        <v>3585</v>
      </c>
      <c r="L2906" s="114"/>
      <c r="M2906" s="26" t="s">
        <v>3568</v>
      </c>
      <c r="N2906" s="106">
        <v>44650</v>
      </c>
      <c r="O2906" s="94" t="s">
        <v>457</v>
      </c>
      <c r="P2906" s="268">
        <v>5950</v>
      </c>
      <c r="Q2906" s="273">
        <v>10</v>
      </c>
      <c r="R2906" s="268">
        <f t="shared" si="70"/>
        <v>59500</v>
      </c>
      <c r="S2906" s="24">
        <v>202303</v>
      </c>
      <c r="T2906" s="127" t="s">
        <v>3729</v>
      </c>
      <c r="U2906" s="40"/>
      <c r="V2906" s="40"/>
      <c r="W2906" s="40"/>
      <c r="X2906" s="106">
        <v>43617</v>
      </c>
      <c r="Y2906" s="106">
        <v>45382</v>
      </c>
    </row>
    <row r="2907" s="9" customFormat="1" customHeight="1" spans="1:25">
      <c r="A2907" s="96" t="s">
        <v>399</v>
      </c>
      <c r="B2907" s="96" t="s">
        <v>2950</v>
      </c>
      <c r="C2907" s="96" t="s">
        <v>2998</v>
      </c>
      <c r="D2907" s="265" t="s">
        <v>2951</v>
      </c>
      <c r="E2907" s="105" t="s">
        <v>3565</v>
      </c>
      <c r="F2907" s="96" t="s">
        <v>3566</v>
      </c>
      <c r="G2907" s="96" t="s">
        <v>88</v>
      </c>
      <c r="H2907" s="19" t="s">
        <v>3647</v>
      </c>
      <c r="I2907" s="23" t="e">
        <f>VLOOKUP(H2907,'合同综合查询数据（3月返）'!$A:$A,1,FALSE)</f>
        <v>#N/A</v>
      </c>
      <c r="J2907" s="24" t="s">
        <v>3074</v>
      </c>
      <c r="K2907" s="96" t="s">
        <v>3585</v>
      </c>
      <c r="L2907" s="114"/>
      <c r="M2907" s="26" t="s">
        <v>3568</v>
      </c>
      <c r="N2907" s="106">
        <v>44650</v>
      </c>
      <c r="O2907" s="94" t="s">
        <v>457</v>
      </c>
      <c r="P2907" s="268">
        <v>5950</v>
      </c>
      <c r="Q2907" s="273">
        <v>-1</v>
      </c>
      <c r="R2907" s="268">
        <f t="shared" si="70"/>
        <v>-5950</v>
      </c>
      <c r="S2907" s="24">
        <v>202303</v>
      </c>
      <c r="T2907" s="127" t="s">
        <v>3730</v>
      </c>
      <c r="U2907" s="40"/>
      <c r="V2907" s="40"/>
      <c r="W2907" s="40"/>
      <c r="X2907" s="106">
        <v>43617</v>
      </c>
      <c r="Y2907" s="106">
        <v>45382</v>
      </c>
    </row>
    <row r="2908" s="9" customFormat="1" customHeight="1" spans="1:25">
      <c r="A2908" s="96" t="s">
        <v>399</v>
      </c>
      <c r="B2908" s="96" t="s">
        <v>2950</v>
      </c>
      <c r="C2908" s="96" t="s">
        <v>2998</v>
      </c>
      <c r="D2908" s="265" t="s">
        <v>2951</v>
      </c>
      <c r="E2908" s="105" t="s">
        <v>3565</v>
      </c>
      <c r="F2908" s="96" t="s">
        <v>3566</v>
      </c>
      <c r="G2908" s="96" t="s">
        <v>88</v>
      </c>
      <c r="H2908" s="19" t="s">
        <v>3647</v>
      </c>
      <c r="I2908" s="23" t="e">
        <f>VLOOKUP(H2908,'合同综合查询数据（3月返）'!$A:$A,1,FALSE)</f>
        <v>#N/A</v>
      </c>
      <c r="J2908" s="24" t="s">
        <v>3074</v>
      </c>
      <c r="K2908" s="96" t="s">
        <v>3585</v>
      </c>
      <c r="L2908" s="114"/>
      <c r="M2908" s="26" t="s">
        <v>3568</v>
      </c>
      <c r="N2908" s="106">
        <v>44664</v>
      </c>
      <c r="O2908" s="94" t="s">
        <v>457</v>
      </c>
      <c r="P2908" s="268">
        <v>5950</v>
      </c>
      <c r="Q2908" s="273">
        <v>3</v>
      </c>
      <c r="R2908" s="268">
        <f t="shared" si="70"/>
        <v>17850</v>
      </c>
      <c r="S2908" s="24">
        <v>202303</v>
      </c>
      <c r="T2908" s="127" t="s">
        <v>3731</v>
      </c>
      <c r="U2908" s="40"/>
      <c r="V2908" s="40"/>
      <c r="W2908" s="40"/>
      <c r="X2908" s="106">
        <v>43617</v>
      </c>
      <c r="Y2908" s="106">
        <v>45382</v>
      </c>
    </row>
    <row r="2909" s="9" customFormat="1" customHeight="1" spans="1:25">
      <c r="A2909" s="96" t="s">
        <v>399</v>
      </c>
      <c r="B2909" s="96" t="s">
        <v>2950</v>
      </c>
      <c r="C2909" s="96" t="s">
        <v>2998</v>
      </c>
      <c r="D2909" s="265" t="s">
        <v>2951</v>
      </c>
      <c r="E2909" s="105" t="s">
        <v>3565</v>
      </c>
      <c r="F2909" s="96" t="s">
        <v>3566</v>
      </c>
      <c r="G2909" s="96" t="s">
        <v>88</v>
      </c>
      <c r="H2909" s="19" t="s">
        <v>3647</v>
      </c>
      <c r="I2909" s="23" t="e">
        <f>VLOOKUP(H2909,'合同综合查询数据（3月返）'!$A:$A,1,FALSE)</f>
        <v>#N/A</v>
      </c>
      <c r="J2909" s="24" t="s">
        <v>3074</v>
      </c>
      <c r="K2909" s="96" t="s">
        <v>3585</v>
      </c>
      <c r="L2909" s="114"/>
      <c r="M2909" s="26" t="s">
        <v>3568</v>
      </c>
      <c r="N2909" s="106">
        <v>44767</v>
      </c>
      <c r="O2909" s="94" t="s">
        <v>457</v>
      </c>
      <c r="P2909" s="268">
        <v>5950</v>
      </c>
      <c r="Q2909" s="273">
        <v>1</v>
      </c>
      <c r="R2909" s="268">
        <f t="shared" si="70"/>
        <v>5950</v>
      </c>
      <c r="S2909" s="24">
        <v>202303</v>
      </c>
      <c r="T2909" s="127" t="s">
        <v>3732</v>
      </c>
      <c r="U2909" s="40"/>
      <c r="V2909" s="40"/>
      <c r="W2909" s="40"/>
      <c r="X2909" s="106">
        <v>43617</v>
      </c>
      <c r="Y2909" s="106">
        <v>45382</v>
      </c>
    </row>
    <row r="2910" s="9" customFormat="1" customHeight="1" spans="1:25">
      <c r="A2910" s="96" t="s">
        <v>399</v>
      </c>
      <c r="B2910" s="96" t="s">
        <v>2950</v>
      </c>
      <c r="C2910" s="96" t="s">
        <v>2998</v>
      </c>
      <c r="D2910" s="265" t="s">
        <v>2951</v>
      </c>
      <c r="E2910" s="105" t="s">
        <v>3565</v>
      </c>
      <c r="F2910" s="96" t="s">
        <v>3566</v>
      </c>
      <c r="G2910" s="96" t="s">
        <v>88</v>
      </c>
      <c r="H2910" s="19" t="s">
        <v>3647</v>
      </c>
      <c r="I2910" s="23" t="e">
        <f>VLOOKUP(H2910,'合同综合查询数据（3月返）'!$A:$A,1,FALSE)</f>
        <v>#N/A</v>
      </c>
      <c r="J2910" s="24" t="s">
        <v>3074</v>
      </c>
      <c r="K2910" s="96" t="s">
        <v>3585</v>
      </c>
      <c r="L2910" s="114"/>
      <c r="M2910" s="26" t="s">
        <v>3568</v>
      </c>
      <c r="N2910" s="106">
        <v>44809</v>
      </c>
      <c r="O2910" s="94" t="s">
        <v>470</v>
      </c>
      <c r="P2910" s="268">
        <v>5950</v>
      </c>
      <c r="Q2910" s="273">
        <v>1</v>
      </c>
      <c r="R2910" s="268">
        <f t="shared" si="70"/>
        <v>5950</v>
      </c>
      <c r="S2910" s="24">
        <v>202303</v>
      </c>
      <c r="T2910" s="127" t="s">
        <v>3707</v>
      </c>
      <c r="U2910" s="40"/>
      <c r="V2910" s="40"/>
      <c r="W2910" s="40"/>
      <c r="X2910" s="106">
        <v>43617</v>
      </c>
      <c r="Y2910" s="106">
        <v>45382</v>
      </c>
    </row>
    <row r="2911" s="9" customFormat="1" customHeight="1" spans="1:25">
      <c r="A2911" s="96" t="s">
        <v>399</v>
      </c>
      <c r="B2911" s="96" t="s">
        <v>2950</v>
      </c>
      <c r="C2911" s="96" t="s">
        <v>2998</v>
      </c>
      <c r="D2911" s="265" t="s">
        <v>2951</v>
      </c>
      <c r="E2911" s="105" t="s">
        <v>3565</v>
      </c>
      <c r="F2911" s="96" t="s">
        <v>3566</v>
      </c>
      <c r="G2911" s="96" t="s">
        <v>88</v>
      </c>
      <c r="H2911" s="19" t="s">
        <v>3647</v>
      </c>
      <c r="I2911" s="23" t="e">
        <f>VLOOKUP(H2911,'合同综合查询数据（3月返）'!$A:$A,1,FALSE)</f>
        <v>#N/A</v>
      </c>
      <c r="J2911" s="24" t="s">
        <v>3074</v>
      </c>
      <c r="K2911" s="96" t="s">
        <v>3585</v>
      </c>
      <c r="L2911" s="114"/>
      <c r="M2911" s="26" t="s">
        <v>3568</v>
      </c>
      <c r="N2911" s="106">
        <v>44861</v>
      </c>
      <c r="O2911" s="94" t="s">
        <v>457</v>
      </c>
      <c r="P2911" s="268">
        <v>5950</v>
      </c>
      <c r="Q2911" s="273">
        <v>-4</v>
      </c>
      <c r="R2911" s="268">
        <f t="shared" si="70"/>
        <v>-23800</v>
      </c>
      <c r="S2911" s="24">
        <v>202303</v>
      </c>
      <c r="T2911" s="127" t="s">
        <v>3719</v>
      </c>
      <c r="U2911" s="40"/>
      <c r="V2911" s="40"/>
      <c r="W2911" s="40"/>
      <c r="X2911" s="106">
        <v>43617</v>
      </c>
      <c r="Y2911" s="106">
        <v>45382</v>
      </c>
    </row>
    <row r="2912" s="9" customFormat="1" customHeight="1" spans="1:25">
      <c r="A2912" s="96" t="s">
        <v>399</v>
      </c>
      <c r="B2912" s="96" t="s">
        <v>2950</v>
      </c>
      <c r="C2912" s="96" t="s">
        <v>2998</v>
      </c>
      <c r="D2912" s="265" t="s">
        <v>2951</v>
      </c>
      <c r="E2912" s="105" t="s">
        <v>3565</v>
      </c>
      <c r="F2912" s="96" t="s">
        <v>3566</v>
      </c>
      <c r="G2912" s="96" t="s">
        <v>88</v>
      </c>
      <c r="H2912" s="19" t="s">
        <v>3647</v>
      </c>
      <c r="I2912" s="23" t="e">
        <f>VLOOKUP(H2912,'合同综合查询数据（3月返）'!$A:$A,1,FALSE)</f>
        <v>#N/A</v>
      </c>
      <c r="J2912" s="24" t="s">
        <v>3074</v>
      </c>
      <c r="K2912" s="96" t="s">
        <v>3585</v>
      </c>
      <c r="L2912" s="114"/>
      <c r="M2912" s="26" t="s">
        <v>3568</v>
      </c>
      <c r="N2912" s="106">
        <v>44937</v>
      </c>
      <c r="O2912" s="94" t="s">
        <v>457</v>
      </c>
      <c r="P2912" s="268">
        <v>5950</v>
      </c>
      <c r="Q2912" s="273">
        <v>-2</v>
      </c>
      <c r="R2912" s="268">
        <f t="shared" si="70"/>
        <v>-11900</v>
      </c>
      <c r="S2912" s="24">
        <v>202303</v>
      </c>
      <c r="T2912" s="127" t="s">
        <v>3733</v>
      </c>
      <c r="U2912" s="40"/>
      <c r="V2912" s="40"/>
      <c r="W2912" s="40"/>
      <c r="X2912" s="106">
        <v>43617</v>
      </c>
      <c r="Y2912" s="106">
        <v>45382</v>
      </c>
    </row>
    <row r="2913" s="9" customFormat="1" customHeight="1" spans="1:25">
      <c r="A2913" s="96" t="s">
        <v>399</v>
      </c>
      <c r="B2913" s="96" t="s">
        <v>2950</v>
      </c>
      <c r="C2913" s="96" t="s">
        <v>2998</v>
      </c>
      <c r="D2913" s="265" t="s">
        <v>2951</v>
      </c>
      <c r="E2913" s="105" t="s">
        <v>3565</v>
      </c>
      <c r="F2913" s="96" t="s">
        <v>3566</v>
      </c>
      <c r="G2913" s="96" t="s">
        <v>88</v>
      </c>
      <c r="H2913" s="19" t="s">
        <v>3647</v>
      </c>
      <c r="I2913" s="23" t="e">
        <f>VLOOKUP(H2913,'合同综合查询数据（3月返）'!$A:$A,1,FALSE)</f>
        <v>#N/A</v>
      </c>
      <c r="J2913" s="24" t="s">
        <v>3074</v>
      </c>
      <c r="K2913" s="96" t="s">
        <v>3585</v>
      </c>
      <c r="L2913" s="114"/>
      <c r="M2913" s="26" t="s">
        <v>3568</v>
      </c>
      <c r="N2913" s="106">
        <v>44942</v>
      </c>
      <c r="O2913" s="94" t="s">
        <v>457</v>
      </c>
      <c r="P2913" s="268">
        <v>5950</v>
      </c>
      <c r="Q2913" s="273">
        <v>2</v>
      </c>
      <c r="R2913" s="268">
        <f t="shared" si="70"/>
        <v>11900</v>
      </c>
      <c r="S2913" s="24">
        <v>202303</v>
      </c>
      <c r="T2913" s="127" t="s">
        <v>3734</v>
      </c>
      <c r="U2913" s="40"/>
      <c r="V2913" s="40"/>
      <c r="W2913" s="40"/>
      <c r="X2913" s="106">
        <v>43617</v>
      </c>
      <c r="Y2913" s="106">
        <v>45382</v>
      </c>
    </row>
    <row r="2914" s="9" customFormat="1" customHeight="1" spans="1:25">
      <c r="A2914" s="96" t="s">
        <v>399</v>
      </c>
      <c r="B2914" s="96" t="s">
        <v>2950</v>
      </c>
      <c r="C2914" s="96" t="s">
        <v>2998</v>
      </c>
      <c r="D2914" s="265" t="s">
        <v>2951</v>
      </c>
      <c r="E2914" s="105" t="s">
        <v>3565</v>
      </c>
      <c r="F2914" s="96" t="s">
        <v>3566</v>
      </c>
      <c r="G2914" s="96" t="s">
        <v>88</v>
      </c>
      <c r="H2914" s="19" t="s">
        <v>3647</v>
      </c>
      <c r="I2914" s="23" t="e">
        <f>VLOOKUP(H2914,'合同综合查询数据（3月返）'!$A:$A,1,FALSE)</f>
        <v>#N/A</v>
      </c>
      <c r="J2914" s="24" t="s">
        <v>3074</v>
      </c>
      <c r="K2914" s="96" t="s">
        <v>3585</v>
      </c>
      <c r="L2914" s="114"/>
      <c r="M2914" s="26" t="s">
        <v>3568</v>
      </c>
      <c r="N2914" s="106">
        <v>44958</v>
      </c>
      <c r="O2914" s="94" t="s">
        <v>457</v>
      </c>
      <c r="P2914" s="268">
        <v>5950</v>
      </c>
      <c r="Q2914" s="273">
        <v>2</v>
      </c>
      <c r="R2914" s="268">
        <f t="shared" si="70"/>
        <v>11900</v>
      </c>
      <c r="S2914" s="24">
        <v>202303</v>
      </c>
      <c r="T2914" s="127" t="s">
        <v>3733</v>
      </c>
      <c r="U2914" s="40"/>
      <c r="V2914" s="40"/>
      <c r="W2914" s="40"/>
      <c r="X2914" s="106">
        <v>43617</v>
      </c>
      <c r="Y2914" s="106">
        <v>45382</v>
      </c>
    </row>
    <row r="2915" s="9" customFormat="1" customHeight="1" spans="1:25">
      <c r="A2915" s="96" t="s">
        <v>399</v>
      </c>
      <c r="B2915" s="96" t="s">
        <v>2950</v>
      </c>
      <c r="C2915" s="96" t="s">
        <v>2998</v>
      </c>
      <c r="D2915" s="265" t="s">
        <v>2951</v>
      </c>
      <c r="E2915" s="105" t="s">
        <v>3565</v>
      </c>
      <c r="F2915" s="96" t="s">
        <v>3566</v>
      </c>
      <c r="G2915" s="96" t="s">
        <v>88</v>
      </c>
      <c r="H2915" s="19" t="s">
        <v>3647</v>
      </c>
      <c r="I2915" s="23" t="e">
        <f>VLOOKUP(H2915,'合同综合查询数据（3月返）'!$A:$A,1,FALSE)</f>
        <v>#N/A</v>
      </c>
      <c r="J2915" s="24" t="s">
        <v>3074</v>
      </c>
      <c r="K2915" s="96" t="s">
        <v>3585</v>
      </c>
      <c r="L2915" s="114"/>
      <c r="M2915" s="26" t="s">
        <v>3568</v>
      </c>
      <c r="N2915" s="106">
        <v>45005</v>
      </c>
      <c r="O2915" s="94" t="s">
        <v>457</v>
      </c>
      <c r="P2915" s="268">
        <v>5950</v>
      </c>
      <c r="Q2915" s="273">
        <v>5</v>
      </c>
      <c r="R2915" s="268">
        <f>ROUND(P2915*Q2915*12/31,2)</f>
        <v>11516.13</v>
      </c>
      <c r="S2915" s="24">
        <v>202303</v>
      </c>
      <c r="T2915" s="312" t="s">
        <v>3735</v>
      </c>
      <c r="U2915" s="40"/>
      <c r="V2915" s="40"/>
      <c r="W2915" s="40"/>
      <c r="X2915" s="106">
        <v>43617</v>
      </c>
      <c r="Y2915" s="106">
        <v>45382</v>
      </c>
    </row>
    <row r="2916" s="9" customFormat="1" customHeight="1" spans="1:25">
      <c r="A2916" s="96" t="s">
        <v>399</v>
      </c>
      <c r="B2916" s="96" t="s">
        <v>2950</v>
      </c>
      <c r="C2916" s="96" t="s">
        <v>2998</v>
      </c>
      <c r="D2916" s="265" t="s">
        <v>2951</v>
      </c>
      <c r="E2916" s="105" t="s">
        <v>3565</v>
      </c>
      <c r="F2916" s="96" t="s">
        <v>3566</v>
      </c>
      <c r="G2916" s="96" t="s">
        <v>88</v>
      </c>
      <c r="H2916" s="19" t="s">
        <v>3736</v>
      </c>
      <c r="I2916" s="23" t="e">
        <f>VLOOKUP(H2916,'合同综合查询数据（3月返）'!$A:$A,1,FALSE)</f>
        <v>#N/A</v>
      </c>
      <c r="J2916" s="24" t="s">
        <v>3074</v>
      </c>
      <c r="K2916" s="96" t="s">
        <v>3737</v>
      </c>
      <c r="L2916" s="114"/>
      <c r="M2916" s="26" t="s">
        <v>3568</v>
      </c>
      <c r="N2916" s="106">
        <v>43574</v>
      </c>
      <c r="O2916" s="94" t="s">
        <v>457</v>
      </c>
      <c r="P2916" s="268">
        <v>5800</v>
      </c>
      <c r="Q2916" s="273">
        <v>1</v>
      </c>
      <c r="R2916" s="268">
        <f t="shared" ref="R2916:R2979" si="71">ROUND(P2916*Q2916,2)</f>
        <v>5800</v>
      </c>
      <c r="S2916" s="24">
        <v>202303</v>
      </c>
      <c r="T2916" s="127" t="s">
        <v>3738</v>
      </c>
      <c r="U2916" s="40"/>
      <c r="V2916" s="40"/>
      <c r="W2916" s="40"/>
      <c r="X2916" s="106">
        <v>43525</v>
      </c>
      <c r="Y2916" s="106">
        <v>45716</v>
      </c>
    </row>
    <row r="2917" s="9" customFormat="1" customHeight="1" spans="1:25">
      <c r="A2917" s="96" t="s">
        <v>399</v>
      </c>
      <c r="B2917" s="96" t="s">
        <v>2950</v>
      </c>
      <c r="C2917" s="96" t="s">
        <v>2998</v>
      </c>
      <c r="D2917" s="265" t="s">
        <v>2951</v>
      </c>
      <c r="E2917" s="105" t="s">
        <v>3565</v>
      </c>
      <c r="F2917" s="96" t="s">
        <v>3566</v>
      </c>
      <c r="G2917" s="96" t="s">
        <v>88</v>
      </c>
      <c r="H2917" s="19" t="s">
        <v>3736</v>
      </c>
      <c r="I2917" s="23" t="e">
        <f>VLOOKUP(H2917,'合同综合查询数据（3月返）'!$A:$A,1,FALSE)</f>
        <v>#N/A</v>
      </c>
      <c r="J2917" s="24" t="s">
        <v>3074</v>
      </c>
      <c r="K2917" s="96" t="s">
        <v>3737</v>
      </c>
      <c r="L2917" s="114"/>
      <c r="M2917" s="26" t="s">
        <v>3568</v>
      </c>
      <c r="N2917" s="106">
        <v>43606</v>
      </c>
      <c r="O2917" s="94" t="s">
        <v>457</v>
      </c>
      <c r="P2917" s="268">
        <v>5800</v>
      </c>
      <c r="Q2917" s="273">
        <v>2</v>
      </c>
      <c r="R2917" s="268">
        <f t="shared" si="71"/>
        <v>11600</v>
      </c>
      <c r="S2917" s="24">
        <v>202303</v>
      </c>
      <c r="T2917" s="127" t="s">
        <v>3739</v>
      </c>
      <c r="U2917" s="40"/>
      <c r="V2917" s="40"/>
      <c r="W2917" s="40"/>
      <c r="X2917" s="106">
        <v>43525</v>
      </c>
      <c r="Y2917" s="106">
        <v>45716</v>
      </c>
    </row>
    <row r="2918" s="9" customFormat="1" customHeight="1" spans="1:25">
      <c r="A2918" s="96" t="s">
        <v>399</v>
      </c>
      <c r="B2918" s="96" t="s">
        <v>2950</v>
      </c>
      <c r="C2918" s="96" t="s">
        <v>2998</v>
      </c>
      <c r="D2918" s="265" t="s">
        <v>2951</v>
      </c>
      <c r="E2918" s="105" t="s">
        <v>3565</v>
      </c>
      <c r="F2918" s="96" t="s">
        <v>3566</v>
      </c>
      <c r="G2918" s="96" t="s">
        <v>88</v>
      </c>
      <c r="H2918" s="19" t="s">
        <v>3736</v>
      </c>
      <c r="I2918" s="23" t="e">
        <f>VLOOKUP(H2918,'合同综合查询数据（3月返）'!$A:$A,1,FALSE)</f>
        <v>#N/A</v>
      </c>
      <c r="J2918" s="24" t="s">
        <v>3074</v>
      </c>
      <c r="K2918" s="96" t="s">
        <v>3737</v>
      </c>
      <c r="L2918" s="114"/>
      <c r="M2918" s="26" t="s">
        <v>3568</v>
      </c>
      <c r="N2918" s="106">
        <v>43665</v>
      </c>
      <c r="O2918" s="94" t="s">
        <v>457</v>
      </c>
      <c r="P2918" s="268">
        <v>5800</v>
      </c>
      <c r="Q2918" s="273">
        <v>28</v>
      </c>
      <c r="R2918" s="268">
        <f t="shared" si="71"/>
        <v>162400</v>
      </c>
      <c r="S2918" s="24">
        <v>202303</v>
      </c>
      <c r="T2918" s="127" t="s">
        <v>3740</v>
      </c>
      <c r="U2918" s="40"/>
      <c r="V2918" s="40"/>
      <c r="W2918" s="40"/>
      <c r="X2918" s="106">
        <v>43525</v>
      </c>
      <c r="Y2918" s="106">
        <v>45716</v>
      </c>
    </row>
    <row r="2919" s="9" customFormat="1" customHeight="1" spans="1:25">
      <c r="A2919" s="96" t="s">
        <v>399</v>
      </c>
      <c r="B2919" s="96" t="s">
        <v>2950</v>
      </c>
      <c r="C2919" s="96" t="s">
        <v>2998</v>
      </c>
      <c r="D2919" s="265" t="s">
        <v>2951</v>
      </c>
      <c r="E2919" s="105" t="s">
        <v>3565</v>
      </c>
      <c r="F2919" s="96" t="s">
        <v>3566</v>
      </c>
      <c r="G2919" s="96" t="s">
        <v>88</v>
      </c>
      <c r="H2919" s="19" t="s">
        <v>3736</v>
      </c>
      <c r="I2919" s="23" t="e">
        <f>VLOOKUP(H2919,'合同综合查询数据（3月返）'!$A:$A,1,FALSE)</f>
        <v>#N/A</v>
      </c>
      <c r="J2919" s="24" t="s">
        <v>3074</v>
      </c>
      <c r="K2919" s="96" t="s">
        <v>3737</v>
      </c>
      <c r="L2919" s="114"/>
      <c r="M2919" s="26" t="s">
        <v>3568</v>
      </c>
      <c r="N2919" s="106">
        <v>43684</v>
      </c>
      <c r="O2919" s="94" t="s">
        <v>457</v>
      </c>
      <c r="P2919" s="268">
        <v>5800</v>
      </c>
      <c r="Q2919" s="273">
        <v>1</v>
      </c>
      <c r="R2919" s="268">
        <f t="shared" si="71"/>
        <v>5800</v>
      </c>
      <c r="S2919" s="24">
        <v>202303</v>
      </c>
      <c r="T2919" s="127" t="s">
        <v>3741</v>
      </c>
      <c r="U2919" s="40"/>
      <c r="V2919" s="40"/>
      <c r="W2919" s="40"/>
      <c r="X2919" s="106">
        <v>43525</v>
      </c>
      <c r="Y2919" s="106">
        <v>45716</v>
      </c>
    </row>
    <row r="2920" s="9" customFormat="1" customHeight="1" spans="1:25">
      <c r="A2920" s="96" t="s">
        <v>399</v>
      </c>
      <c r="B2920" s="96" t="s">
        <v>2950</v>
      </c>
      <c r="C2920" s="96" t="s">
        <v>2998</v>
      </c>
      <c r="D2920" s="265" t="s">
        <v>2951</v>
      </c>
      <c r="E2920" s="105" t="s">
        <v>3565</v>
      </c>
      <c r="F2920" s="96" t="s">
        <v>3566</v>
      </c>
      <c r="G2920" s="96" t="s">
        <v>88</v>
      </c>
      <c r="H2920" s="19" t="s">
        <v>3736</v>
      </c>
      <c r="I2920" s="23" t="e">
        <f>VLOOKUP(H2920,'合同综合查询数据（3月返）'!$A:$A,1,FALSE)</f>
        <v>#N/A</v>
      </c>
      <c r="J2920" s="24" t="s">
        <v>3074</v>
      </c>
      <c r="K2920" s="96" t="s">
        <v>3737</v>
      </c>
      <c r="L2920" s="114"/>
      <c r="M2920" s="26" t="s">
        <v>3568</v>
      </c>
      <c r="N2920" s="106">
        <v>43714</v>
      </c>
      <c r="O2920" s="94" t="s">
        <v>457</v>
      </c>
      <c r="P2920" s="268">
        <v>5800</v>
      </c>
      <c r="Q2920" s="273">
        <v>6</v>
      </c>
      <c r="R2920" s="268">
        <f t="shared" si="71"/>
        <v>34800</v>
      </c>
      <c r="S2920" s="24">
        <v>202303</v>
      </c>
      <c r="T2920" s="127" t="s">
        <v>3742</v>
      </c>
      <c r="U2920" s="40"/>
      <c r="V2920" s="40"/>
      <c r="W2920" s="40"/>
      <c r="X2920" s="106">
        <v>43525</v>
      </c>
      <c r="Y2920" s="106">
        <v>45716</v>
      </c>
    </row>
    <row r="2921" s="9" customFormat="1" customHeight="1" spans="1:25">
      <c r="A2921" s="96" t="s">
        <v>399</v>
      </c>
      <c r="B2921" s="96" t="s">
        <v>2950</v>
      </c>
      <c r="C2921" s="96" t="s">
        <v>2998</v>
      </c>
      <c r="D2921" s="265" t="s">
        <v>2951</v>
      </c>
      <c r="E2921" s="105" t="s">
        <v>3565</v>
      </c>
      <c r="F2921" s="96" t="s">
        <v>3566</v>
      </c>
      <c r="G2921" s="96" t="s">
        <v>88</v>
      </c>
      <c r="H2921" s="19" t="s">
        <v>3736</v>
      </c>
      <c r="I2921" s="23" t="e">
        <f>VLOOKUP(H2921,'合同综合查询数据（3月返）'!$A:$A,1,FALSE)</f>
        <v>#N/A</v>
      </c>
      <c r="J2921" s="24" t="s">
        <v>3074</v>
      </c>
      <c r="K2921" s="96" t="s">
        <v>3737</v>
      </c>
      <c r="L2921" s="114"/>
      <c r="M2921" s="26" t="s">
        <v>3568</v>
      </c>
      <c r="N2921" s="106">
        <v>43720</v>
      </c>
      <c r="O2921" s="94" t="s">
        <v>457</v>
      </c>
      <c r="P2921" s="268">
        <v>5800</v>
      </c>
      <c r="Q2921" s="273">
        <v>32</v>
      </c>
      <c r="R2921" s="268">
        <f t="shared" si="71"/>
        <v>185600</v>
      </c>
      <c r="S2921" s="24">
        <v>202303</v>
      </c>
      <c r="T2921" s="127" t="s">
        <v>3743</v>
      </c>
      <c r="U2921" s="40"/>
      <c r="V2921" s="40"/>
      <c r="W2921" s="40"/>
      <c r="X2921" s="106">
        <v>43525</v>
      </c>
      <c r="Y2921" s="106">
        <v>45716</v>
      </c>
    </row>
    <row r="2922" s="9" customFormat="1" customHeight="1" spans="1:25">
      <c r="A2922" s="96" t="s">
        <v>399</v>
      </c>
      <c r="B2922" s="96" t="s">
        <v>2950</v>
      </c>
      <c r="C2922" s="96" t="s">
        <v>2998</v>
      </c>
      <c r="D2922" s="265" t="s">
        <v>2951</v>
      </c>
      <c r="E2922" s="105" t="s">
        <v>3565</v>
      </c>
      <c r="F2922" s="96" t="s">
        <v>3566</v>
      </c>
      <c r="G2922" s="96" t="s">
        <v>88</v>
      </c>
      <c r="H2922" s="19" t="s">
        <v>3736</v>
      </c>
      <c r="I2922" s="23" t="e">
        <f>VLOOKUP(H2922,'合同综合查询数据（3月返）'!$A:$A,1,FALSE)</f>
        <v>#N/A</v>
      </c>
      <c r="J2922" s="24" t="s">
        <v>3074</v>
      </c>
      <c r="K2922" s="96" t="s">
        <v>3737</v>
      </c>
      <c r="L2922" s="114"/>
      <c r="M2922" s="26" t="s">
        <v>3568</v>
      </c>
      <c r="N2922" s="106">
        <v>43733</v>
      </c>
      <c r="O2922" s="94" t="s">
        <v>457</v>
      </c>
      <c r="P2922" s="268">
        <v>5800</v>
      </c>
      <c r="Q2922" s="273">
        <v>1</v>
      </c>
      <c r="R2922" s="268">
        <f t="shared" si="71"/>
        <v>5800</v>
      </c>
      <c r="S2922" s="24">
        <v>202303</v>
      </c>
      <c r="T2922" s="127" t="s">
        <v>3744</v>
      </c>
      <c r="U2922" s="40"/>
      <c r="V2922" s="40"/>
      <c r="W2922" s="40"/>
      <c r="X2922" s="106">
        <v>43525</v>
      </c>
      <c r="Y2922" s="106">
        <v>45716</v>
      </c>
    </row>
    <row r="2923" s="9" customFormat="1" customHeight="1" spans="1:25">
      <c r="A2923" s="96" t="s">
        <v>399</v>
      </c>
      <c r="B2923" s="96" t="s">
        <v>2950</v>
      </c>
      <c r="C2923" s="96" t="s">
        <v>2998</v>
      </c>
      <c r="D2923" s="265" t="s">
        <v>2951</v>
      </c>
      <c r="E2923" s="105" t="s">
        <v>3565</v>
      </c>
      <c r="F2923" s="96" t="s">
        <v>3566</v>
      </c>
      <c r="G2923" s="96" t="s">
        <v>88</v>
      </c>
      <c r="H2923" s="19" t="s">
        <v>3736</v>
      </c>
      <c r="I2923" s="23" t="e">
        <f>VLOOKUP(H2923,'合同综合查询数据（3月返）'!$A:$A,1,FALSE)</f>
        <v>#N/A</v>
      </c>
      <c r="J2923" s="24" t="s">
        <v>3074</v>
      </c>
      <c r="K2923" s="96" t="s">
        <v>3737</v>
      </c>
      <c r="L2923" s="114"/>
      <c r="M2923" s="26" t="s">
        <v>3568</v>
      </c>
      <c r="N2923" s="106">
        <v>43930</v>
      </c>
      <c r="O2923" s="94" t="s">
        <v>457</v>
      </c>
      <c r="P2923" s="268">
        <v>5800</v>
      </c>
      <c r="Q2923" s="273">
        <v>4</v>
      </c>
      <c r="R2923" s="268">
        <f t="shared" si="71"/>
        <v>23200</v>
      </c>
      <c r="S2923" s="24">
        <v>202303</v>
      </c>
      <c r="T2923" s="127" t="s">
        <v>3745</v>
      </c>
      <c r="U2923" s="40"/>
      <c r="V2923" s="40"/>
      <c r="W2923" s="40"/>
      <c r="X2923" s="106">
        <v>43525</v>
      </c>
      <c r="Y2923" s="106">
        <v>45716</v>
      </c>
    </row>
    <row r="2924" s="9" customFormat="1" customHeight="1" spans="1:25">
      <c r="A2924" s="96" t="s">
        <v>399</v>
      </c>
      <c r="B2924" s="96" t="s">
        <v>2950</v>
      </c>
      <c r="C2924" s="96" t="s">
        <v>2998</v>
      </c>
      <c r="D2924" s="265" t="s">
        <v>2951</v>
      </c>
      <c r="E2924" s="105" t="s">
        <v>3565</v>
      </c>
      <c r="F2924" s="96" t="s">
        <v>3566</v>
      </c>
      <c r="G2924" s="96" t="s">
        <v>88</v>
      </c>
      <c r="H2924" s="19" t="s">
        <v>3736</v>
      </c>
      <c r="I2924" s="23" t="e">
        <f>VLOOKUP(H2924,'合同综合查询数据（3月返）'!$A:$A,1,FALSE)</f>
        <v>#N/A</v>
      </c>
      <c r="J2924" s="24" t="s">
        <v>3074</v>
      </c>
      <c r="K2924" s="96" t="s">
        <v>3737</v>
      </c>
      <c r="L2924" s="114"/>
      <c r="M2924" s="26" t="s">
        <v>3568</v>
      </c>
      <c r="N2924" s="106">
        <v>43938</v>
      </c>
      <c r="O2924" s="94" t="s">
        <v>457</v>
      </c>
      <c r="P2924" s="268">
        <v>5800</v>
      </c>
      <c r="Q2924" s="273">
        <v>2</v>
      </c>
      <c r="R2924" s="268">
        <f t="shared" si="71"/>
        <v>11600</v>
      </c>
      <c r="S2924" s="24">
        <v>202303</v>
      </c>
      <c r="T2924" s="127" t="s">
        <v>3746</v>
      </c>
      <c r="U2924" s="40"/>
      <c r="V2924" s="40"/>
      <c r="W2924" s="40"/>
      <c r="X2924" s="106">
        <v>43525</v>
      </c>
      <c r="Y2924" s="106">
        <v>45716</v>
      </c>
    </row>
    <row r="2925" s="9" customFormat="1" customHeight="1" spans="1:25">
      <c r="A2925" s="96" t="s">
        <v>399</v>
      </c>
      <c r="B2925" s="96" t="s">
        <v>2950</v>
      </c>
      <c r="C2925" s="96" t="s">
        <v>2998</v>
      </c>
      <c r="D2925" s="265" t="s">
        <v>2951</v>
      </c>
      <c r="E2925" s="105" t="s">
        <v>3565</v>
      </c>
      <c r="F2925" s="96" t="s">
        <v>3566</v>
      </c>
      <c r="G2925" s="96" t="s">
        <v>88</v>
      </c>
      <c r="H2925" s="19" t="s">
        <v>3736</v>
      </c>
      <c r="I2925" s="23" t="e">
        <f>VLOOKUP(H2925,'合同综合查询数据（3月返）'!$A:$A,1,FALSE)</f>
        <v>#N/A</v>
      </c>
      <c r="J2925" s="24" t="s">
        <v>3074</v>
      </c>
      <c r="K2925" s="96" t="s">
        <v>3737</v>
      </c>
      <c r="L2925" s="114"/>
      <c r="M2925" s="26" t="s">
        <v>3568</v>
      </c>
      <c r="N2925" s="106">
        <v>43938</v>
      </c>
      <c r="O2925" s="94" t="s">
        <v>457</v>
      </c>
      <c r="P2925" s="268">
        <v>5800</v>
      </c>
      <c r="Q2925" s="273">
        <v>-1</v>
      </c>
      <c r="R2925" s="268">
        <f t="shared" si="71"/>
        <v>-5800</v>
      </c>
      <c r="S2925" s="24">
        <v>202303</v>
      </c>
      <c r="T2925" s="127" t="s">
        <v>3747</v>
      </c>
      <c r="U2925" s="40"/>
      <c r="V2925" s="40"/>
      <c r="W2925" s="40"/>
      <c r="X2925" s="106">
        <v>43525</v>
      </c>
      <c r="Y2925" s="106">
        <v>45716</v>
      </c>
    </row>
    <row r="2926" s="9" customFormat="1" customHeight="1" spans="1:25">
      <c r="A2926" s="96" t="s">
        <v>399</v>
      </c>
      <c r="B2926" s="96" t="s">
        <v>2950</v>
      </c>
      <c r="C2926" s="96" t="s">
        <v>2998</v>
      </c>
      <c r="D2926" s="265" t="s">
        <v>2951</v>
      </c>
      <c r="E2926" s="105" t="s">
        <v>3565</v>
      </c>
      <c r="F2926" s="96" t="s">
        <v>3566</v>
      </c>
      <c r="G2926" s="96" t="s">
        <v>88</v>
      </c>
      <c r="H2926" s="19" t="s">
        <v>3736</v>
      </c>
      <c r="I2926" s="23" t="e">
        <f>VLOOKUP(H2926,'合同综合查询数据（3月返）'!$A:$A,1,FALSE)</f>
        <v>#N/A</v>
      </c>
      <c r="J2926" s="24" t="s">
        <v>3074</v>
      </c>
      <c r="K2926" s="96" t="s">
        <v>3737</v>
      </c>
      <c r="L2926" s="114"/>
      <c r="M2926" s="26" t="s">
        <v>3568</v>
      </c>
      <c r="N2926" s="106">
        <v>43943</v>
      </c>
      <c r="O2926" s="94" t="s">
        <v>457</v>
      </c>
      <c r="P2926" s="268">
        <v>5800</v>
      </c>
      <c r="Q2926" s="273">
        <v>11</v>
      </c>
      <c r="R2926" s="268">
        <f t="shared" si="71"/>
        <v>63800</v>
      </c>
      <c r="S2926" s="24">
        <v>202303</v>
      </c>
      <c r="T2926" s="127" t="s">
        <v>3748</v>
      </c>
      <c r="U2926" s="40"/>
      <c r="V2926" s="40"/>
      <c r="W2926" s="40"/>
      <c r="X2926" s="106">
        <v>43525</v>
      </c>
      <c r="Y2926" s="106">
        <v>45716</v>
      </c>
    </row>
    <row r="2927" s="9" customFormat="1" customHeight="1" spans="1:25">
      <c r="A2927" s="96" t="s">
        <v>399</v>
      </c>
      <c r="B2927" s="96" t="s">
        <v>2950</v>
      </c>
      <c r="C2927" s="96" t="s">
        <v>2998</v>
      </c>
      <c r="D2927" s="265" t="s">
        <v>2951</v>
      </c>
      <c r="E2927" s="105" t="s">
        <v>3565</v>
      </c>
      <c r="F2927" s="96" t="s">
        <v>3566</v>
      </c>
      <c r="G2927" s="96" t="s">
        <v>88</v>
      </c>
      <c r="H2927" s="19" t="s">
        <v>3736</v>
      </c>
      <c r="I2927" s="23" t="e">
        <f>VLOOKUP(H2927,'合同综合查询数据（3月返）'!$A:$A,1,FALSE)</f>
        <v>#N/A</v>
      </c>
      <c r="J2927" s="24" t="s">
        <v>3074</v>
      </c>
      <c r="K2927" s="96" t="s">
        <v>3737</v>
      </c>
      <c r="L2927" s="114"/>
      <c r="M2927" s="26" t="s">
        <v>3568</v>
      </c>
      <c r="N2927" s="106">
        <v>43985</v>
      </c>
      <c r="O2927" s="94" t="s">
        <v>457</v>
      </c>
      <c r="P2927" s="268">
        <v>5800</v>
      </c>
      <c r="Q2927" s="273">
        <v>29</v>
      </c>
      <c r="R2927" s="268">
        <f t="shared" si="71"/>
        <v>168200</v>
      </c>
      <c r="S2927" s="24">
        <v>202303</v>
      </c>
      <c r="T2927" s="127" t="s">
        <v>3749</v>
      </c>
      <c r="U2927" s="40"/>
      <c r="V2927" s="40"/>
      <c r="W2927" s="40"/>
      <c r="X2927" s="106">
        <v>43525</v>
      </c>
      <c r="Y2927" s="106">
        <v>45716</v>
      </c>
    </row>
    <row r="2928" s="9" customFormat="1" customHeight="1" spans="1:25">
      <c r="A2928" s="96" t="s">
        <v>399</v>
      </c>
      <c r="B2928" s="96" t="s">
        <v>2950</v>
      </c>
      <c r="C2928" s="96" t="s">
        <v>2998</v>
      </c>
      <c r="D2928" s="265" t="s">
        <v>2951</v>
      </c>
      <c r="E2928" s="105" t="s">
        <v>3565</v>
      </c>
      <c r="F2928" s="96" t="s">
        <v>3566</v>
      </c>
      <c r="G2928" s="96" t="s">
        <v>88</v>
      </c>
      <c r="H2928" s="19" t="s">
        <v>3736</v>
      </c>
      <c r="I2928" s="23" t="e">
        <f>VLOOKUP(H2928,'合同综合查询数据（3月返）'!$A:$A,1,FALSE)</f>
        <v>#N/A</v>
      </c>
      <c r="J2928" s="24" t="s">
        <v>3074</v>
      </c>
      <c r="K2928" s="96" t="s">
        <v>3737</v>
      </c>
      <c r="L2928" s="114"/>
      <c r="M2928" s="26" t="s">
        <v>3568</v>
      </c>
      <c r="N2928" s="106">
        <v>43987</v>
      </c>
      <c r="O2928" s="94" t="s">
        <v>457</v>
      </c>
      <c r="P2928" s="268">
        <v>5800</v>
      </c>
      <c r="Q2928" s="273">
        <v>3</v>
      </c>
      <c r="R2928" s="268">
        <f t="shared" si="71"/>
        <v>17400</v>
      </c>
      <c r="S2928" s="24">
        <v>202303</v>
      </c>
      <c r="T2928" s="127" t="s">
        <v>3750</v>
      </c>
      <c r="U2928" s="40"/>
      <c r="V2928" s="40"/>
      <c r="W2928" s="40"/>
      <c r="X2928" s="106">
        <v>43525</v>
      </c>
      <c r="Y2928" s="106">
        <v>45716</v>
      </c>
    </row>
    <row r="2929" s="9" customFormat="1" customHeight="1" spans="1:25">
      <c r="A2929" s="96" t="s">
        <v>399</v>
      </c>
      <c r="B2929" s="96" t="s">
        <v>2950</v>
      </c>
      <c r="C2929" s="96" t="s">
        <v>2998</v>
      </c>
      <c r="D2929" s="265" t="s">
        <v>2951</v>
      </c>
      <c r="E2929" s="105" t="s">
        <v>3565</v>
      </c>
      <c r="F2929" s="96" t="s">
        <v>3566</v>
      </c>
      <c r="G2929" s="96" t="s">
        <v>88</v>
      </c>
      <c r="H2929" s="19" t="s">
        <v>3736</v>
      </c>
      <c r="I2929" s="23" t="e">
        <f>VLOOKUP(H2929,'合同综合查询数据（3月返）'!$A:$A,1,FALSE)</f>
        <v>#N/A</v>
      </c>
      <c r="J2929" s="24" t="s">
        <v>3074</v>
      </c>
      <c r="K2929" s="96" t="s">
        <v>3737</v>
      </c>
      <c r="L2929" s="114"/>
      <c r="M2929" s="26" t="s">
        <v>3568</v>
      </c>
      <c r="N2929" s="106">
        <v>43991</v>
      </c>
      <c r="O2929" s="94" t="s">
        <v>457</v>
      </c>
      <c r="P2929" s="268">
        <v>5800</v>
      </c>
      <c r="Q2929" s="273">
        <v>25</v>
      </c>
      <c r="R2929" s="268">
        <f t="shared" si="71"/>
        <v>145000</v>
      </c>
      <c r="S2929" s="24">
        <v>202303</v>
      </c>
      <c r="T2929" s="127" t="s">
        <v>3751</v>
      </c>
      <c r="U2929" s="40"/>
      <c r="V2929" s="40"/>
      <c r="W2929" s="40"/>
      <c r="X2929" s="106">
        <v>43525</v>
      </c>
      <c r="Y2929" s="106">
        <v>45716</v>
      </c>
    </row>
    <row r="2930" s="9" customFormat="1" customHeight="1" spans="1:25">
      <c r="A2930" s="96" t="s">
        <v>399</v>
      </c>
      <c r="B2930" s="96" t="s">
        <v>2950</v>
      </c>
      <c r="C2930" s="96" t="s">
        <v>2998</v>
      </c>
      <c r="D2930" s="265" t="s">
        <v>2951</v>
      </c>
      <c r="E2930" s="105" t="s">
        <v>3565</v>
      </c>
      <c r="F2930" s="96" t="s">
        <v>3566</v>
      </c>
      <c r="G2930" s="96" t="s">
        <v>88</v>
      </c>
      <c r="H2930" s="19" t="s">
        <v>3736</v>
      </c>
      <c r="I2930" s="23" t="e">
        <f>VLOOKUP(H2930,'合同综合查询数据（3月返）'!$A:$A,1,FALSE)</f>
        <v>#N/A</v>
      </c>
      <c r="J2930" s="24" t="s">
        <v>3074</v>
      </c>
      <c r="K2930" s="96" t="s">
        <v>3737</v>
      </c>
      <c r="L2930" s="114"/>
      <c r="M2930" s="26" t="s">
        <v>3568</v>
      </c>
      <c r="N2930" s="106">
        <v>43993</v>
      </c>
      <c r="O2930" s="94" t="s">
        <v>457</v>
      </c>
      <c r="P2930" s="268">
        <v>5800</v>
      </c>
      <c r="Q2930" s="273">
        <v>29</v>
      </c>
      <c r="R2930" s="268">
        <f t="shared" si="71"/>
        <v>168200</v>
      </c>
      <c r="S2930" s="24">
        <v>202303</v>
      </c>
      <c r="T2930" s="127" t="s">
        <v>3752</v>
      </c>
      <c r="U2930" s="40"/>
      <c r="V2930" s="40"/>
      <c r="W2930" s="40"/>
      <c r="X2930" s="106">
        <v>43525</v>
      </c>
      <c r="Y2930" s="106">
        <v>45716</v>
      </c>
    </row>
    <row r="2931" s="9" customFormat="1" customHeight="1" spans="1:25">
      <c r="A2931" s="96" t="s">
        <v>399</v>
      </c>
      <c r="B2931" s="96" t="s">
        <v>2950</v>
      </c>
      <c r="C2931" s="96" t="s">
        <v>2998</v>
      </c>
      <c r="D2931" s="265" t="s">
        <v>2951</v>
      </c>
      <c r="E2931" s="105" t="s">
        <v>3565</v>
      </c>
      <c r="F2931" s="96" t="s">
        <v>3566</v>
      </c>
      <c r="G2931" s="96" t="s">
        <v>88</v>
      </c>
      <c r="H2931" s="19" t="s">
        <v>3736</v>
      </c>
      <c r="I2931" s="23" t="e">
        <f>VLOOKUP(H2931,'合同综合查询数据（3月返）'!$A:$A,1,FALSE)</f>
        <v>#N/A</v>
      </c>
      <c r="J2931" s="24" t="s">
        <v>3074</v>
      </c>
      <c r="K2931" s="96" t="s">
        <v>3737</v>
      </c>
      <c r="L2931" s="114"/>
      <c r="M2931" s="26" t="s">
        <v>3568</v>
      </c>
      <c r="N2931" s="106">
        <v>44004</v>
      </c>
      <c r="O2931" s="94" t="s">
        <v>457</v>
      </c>
      <c r="P2931" s="268">
        <v>5800</v>
      </c>
      <c r="Q2931" s="273">
        <v>30</v>
      </c>
      <c r="R2931" s="268">
        <f t="shared" si="71"/>
        <v>174000</v>
      </c>
      <c r="S2931" s="24">
        <v>202303</v>
      </c>
      <c r="T2931" s="127" t="s">
        <v>3753</v>
      </c>
      <c r="U2931" s="40"/>
      <c r="V2931" s="40"/>
      <c r="W2931" s="40"/>
      <c r="X2931" s="106">
        <v>43525</v>
      </c>
      <c r="Y2931" s="106">
        <v>45716</v>
      </c>
    </row>
    <row r="2932" s="9" customFormat="1" customHeight="1" spans="1:25">
      <c r="A2932" s="96" t="s">
        <v>399</v>
      </c>
      <c r="B2932" s="96" t="s">
        <v>2950</v>
      </c>
      <c r="C2932" s="96" t="s">
        <v>2998</v>
      </c>
      <c r="D2932" s="265" t="s">
        <v>2951</v>
      </c>
      <c r="E2932" s="105" t="s">
        <v>3565</v>
      </c>
      <c r="F2932" s="96" t="s">
        <v>3566</v>
      </c>
      <c r="G2932" s="96" t="s">
        <v>88</v>
      </c>
      <c r="H2932" s="19" t="s">
        <v>3736</v>
      </c>
      <c r="I2932" s="23" t="e">
        <f>VLOOKUP(H2932,'合同综合查询数据（3月返）'!$A:$A,1,FALSE)</f>
        <v>#N/A</v>
      </c>
      <c r="J2932" s="24" t="s">
        <v>3074</v>
      </c>
      <c r="K2932" s="96" t="s">
        <v>3737</v>
      </c>
      <c r="L2932" s="114"/>
      <c r="M2932" s="26" t="s">
        <v>3568</v>
      </c>
      <c r="N2932" s="106">
        <v>43993</v>
      </c>
      <c r="O2932" s="94" t="s">
        <v>457</v>
      </c>
      <c r="P2932" s="268">
        <v>5800</v>
      </c>
      <c r="Q2932" s="273">
        <v>2</v>
      </c>
      <c r="R2932" s="268">
        <f t="shared" si="71"/>
        <v>11600</v>
      </c>
      <c r="S2932" s="24">
        <v>202303</v>
      </c>
      <c r="T2932" s="127" t="s">
        <v>3754</v>
      </c>
      <c r="U2932" s="40"/>
      <c r="V2932" s="40"/>
      <c r="W2932" s="40"/>
      <c r="X2932" s="106">
        <v>43525</v>
      </c>
      <c r="Y2932" s="106">
        <v>45716</v>
      </c>
    </row>
    <row r="2933" s="9" customFormat="1" customHeight="1" spans="1:25">
      <c r="A2933" s="96" t="s">
        <v>399</v>
      </c>
      <c r="B2933" s="96" t="s">
        <v>2950</v>
      </c>
      <c r="C2933" s="96" t="s">
        <v>2998</v>
      </c>
      <c r="D2933" s="265" t="s">
        <v>2951</v>
      </c>
      <c r="E2933" s="105" t="s">
        <v>3565</v>
      </c>
      <c r="F2933" s="96" t="s">
        <v>3566</v>
      </c>
      <c r="G2933" s="96" t="s">
        <v>88</v>
      </c>
      <c r="H2933" s="19" t="s">
        <v>3736</v>
      </c>
      <c r="I2933" s="23" t="e">
        <f>VLOOKUP(H2933,'合同综合查询数据（3月返）'!$A:$A,1,FALSE)</f>
        <v>#N/A</v>
      </c>
      <c r="J2933" s="24" t="s">
        <v>3074</v>
      </c>
      <c r="K2933" s="96" t="s">
        <v>3737</v>
      </c>
      <c r="L2933" s="114"/>
      <c r="M2933" s="26" t="s">
        <v>3568</v>
      </c>
      <c r="N2933" s="106">
        <v>44014</v>
      </c>
      <c r="O2933" s="94" t="s">
        <v>457</v>
      </c>
      <c r="P2933" s="268">
        <v>5800</v>
      </c>
      <c r="Q2933" s="273">
        <v>3</v>
      </c>
      <c r="R2933" s="268">
        <f t="shared" si="71"/>
        <v>17400</v>
      </c>
      <c r="S2933" s="24">
        <v>202303</v>
      </c>
      <c r="T2933" s="127" t="s">
        <v>3755</v>
      </c>
      <c r="U2933" s="40"/>
      <c r="V2933" s="40"/>
      <c r="W2933" s="40"/>
      <c r="X2933" s="106">
        <v>43525</v>
      </c>
      <c r="Y2933" s="106">
        <v>45716</v>
      </c>
    </row>
    <row r="2934" s="9" customFormat="1" customHeight="1" spans="1:25">
      <c r="A2934" s="96" t="s">
        <v>399</v>
      </c>
      <c r="B2934" s="96" t="s">
        <v>2950</v>
      </c>
      <c r="C2934" s="96" t="s">
        <v>2998</v>
      </c>
      <c r="D2934" s="265" t="s">
        <v>2951</v>
      </c>
      <c r="E2934" s="105" t="s">
        <v>3565</v>
      </c>
      <c r="F2934" s="96" t="s">
        <v>3566</v>
      </c>
      <c r="G2934" s="96" t="s">
        <v>88</v>
      </c>
      <c r="H2934" s="19" t="s">
        <v>3736</v>
      </c>
      <c r="I2934" s="23" t="e">
        <f>VLOOKUP(H2934,'合同综合查询数据（3月返）'!$A:$A,1,FALSE)</f>
        <v>#N/A</v>
      </c>
      <c r="J2934" s="24" t="s">
        <v>3074</v>
      </c>
      <c r="K2934" s="96" t="s">
        <v>3737</v>
      </c>
      <c r="L2934" s="114"/>
      <c r="M2934" s="26" t="s">
        <v>3568</v>
      </c>
      <c r="N2934" s="106">
        <v>44027</v>
      </c>
      <c r="O2934" s="94" t="s">
        <v>457</v>
      </c>
      <c r="P2934" s="268">
        <v>5800</v>
      </c>
      <c r="Q2934" s="273">
        <v>38</v>
      </c>
      <c r="R2934" s="268">
        <f t="shared" si="71"/>
        <v>220400</v>
      </c>
      <c r="S2934" s="24">
        <v>202303</v>
      </c>
      <c r="T2934" s="127" t="s">
        <v>3756</v>
      </c>
      <c r="U2934" s="40"/>
      <c r="V2934" s="40"/>
      <c r="W2934" s="40"/>
      <c r="X2934" s="106">
        <v>43525</v>
      </c>
      <c r="Y2934" s="106">
        <v>45716</v>
      </c>
    </row>
    <row r="2935" s="9" customFormat="1" customHeight="1" spans="1:25">
      <c r="A2935" s="96" t="s">
        <v>399</v>
      </c>
      <c r="B2935" s="96" t="s">
        <v>2950</v>
      </c>
      <c r="C2935" s="96" t="s">
        <v>2998</v>
      </c>
      <c r="D2935" s="265" t="s">
        <v>2951</v>
      </c>
      <c r="E2935" s="105" t="s">
        <v>3565</v>
      </c>
      <c r="F2935" s="96" t="s">
        <v>3566</v>
      </c>
      <c r="G2935" s="96" t="s">
        <v>88</v>
      </c>
      <c r="H2935" s="19" t="s">
        <v>3736</v>
      </c>
      <c r="I2935" s="23" t="e">
        <f>VLOOKUP(H2935,'合同综合查询数据（3月返）'!$A:$A,1,FALSE)</f>
        <v>#N/A</v>
      </c>
      <c r="J2935" s="24" t="s">
        <v>3074</v>
      </c>
      <c r="K2935" s="96" t="s">
        <v>3737</v>
      </c>
      <c r="L2935" s="114"/>
      <c r="M2935" s="26" t="s">
        <v>3568</v>
      </c>
      <c r="N2935" s="106">
        <v>44029</v>
      </c>
      <c r="O2935" s="94" t="s">
        <v>457</v>
      </c>
      <c r="P2935" s="268">
        <v>5800</v>
      </c>
      <c r="Q2935" s="273">
        <v>8</v>
      </c>
      <c r="R2935" s="268">
        <f t="shared" si="71"/>
        <v>46400</v>
      </c>
      <c r="S2935" s="24">
        <v>202303</v>
      </c>
      <c r="T2935" s="127" t="s">
        <v>3757</v>
      </c>
      <c r="U2935" s="40"/>
      <c r="V2935" s="40"/>
      <c r="W2935" s="40"/>
      <c r="X2935" s="106">
        <v>43525</v>
      </c>
      <c r="Y2935" s="106">
        <v>45716</v>
      </c>
    </row>
    <row r="2936" s="9" customFormat="1" customHeight="1" spans="1:25">
      <c r="A2936" s="96" t="s">
        <v>399</v>
      </c>
      <c r="B2936" s="96" t="s">
        <v>2950</v>
      </c>
      <c r="C2936" s="96" t="s">
        <v>2998</v>
      </c>
      <c r="D2936" s="265" t="s">
        <v>2951</v>
      </c>
      <c r="E2936" s="105" t="s">
        <v>3565</v>
      </c>
      <c r="F2936" s="96" t="s">
        <v>3566</v>
      </c>
      <c r="G2936" s="96" t="s">
        <v>88</v>
      </c>
      <c r="H2936" s="19" t="s">
        <v>3736</v>
      </c>
      <c r="I2936" s="23" t="e">
        <f>VLOOKUP(H2936,'合同综合查询数据（3月返）'!$A:$A,1,FALSE)</f>
        <v>#N/A</v>
      </c>
      <c r="J2936" s="24" t="s">
        <v>3074</v>
      </c>
      <c r="K2936" s="96" t="s">
        <v>3737</v>
      </c>
      <c r="L2936" s="114"/>
      <c r="M2936" s="26" t="s">
        <v>3568</v>
      </c>
      <c r="N2936" s="106">
        <v>44033</v>
      </c>
      <c r="O2936" s="94" t="s">
        <v>457</v>
      </c>
      <c r="P2936" s="268">
        <v>5800</v>
      </c>
      <c r="Q2936" s="273">
        <v>7</v>
      </c>
      <c r="R2936" s="268">
        <f t="shared" si="71"/>
        <v>40600</v>
      </c>
      <c r="S2936" s="24">
        <v>202303</v>
      </c>
      <c r="T2936" s="127" t="s">
        <v>3758</v>
      </c>
      <c r="U2936" s="40"/>
      <c r="V2936" s="40"/>
      <c r="W2936" s="40"/>
      <c r="X2936" s="106">
        <v>43525</v>
      </c>
      <c r="Y2936" s="106">
        <v>45716</v>
      </c>
    </row>
    <row r="2937" s="9" customFormat="1" customHeight="1" spans="1:25">
      <c r="A2937" s="96" t="s">
        <v>399</v>
      </c>
      <c r="B2937" s="96" t="s">
        <v>2950</v>
      </c>
      <c r="C2937" s="96" t="s">
        <v>2998</v>
      </c>
      <c r="D2937" s="265" t="s">
        <v>2951</v>
      </c>
      <c r="E2937" s="105" t="s">
        <v>3565</v>
      </c>
      <c r="F2937" s="96" t="s">
        <v>3566</v>
      </c>
      <c r="G2937" s="96" t="s">
        <v>88</v>
      </c>
      <c r="H2937" s="19" t="s">
        <v>3736</v>
      </c>
      <c r="I2937" s="23" t="e">
        <f>VLOOKUP(H2937,'合同综合查询数据（3月返）'!$A:$A,1,FALSE)</f>
        <v>#N/A</v>
      </c>
      <c r="J2937" s="24" t="s">
        <v>3074</v>
      </c>
      <c r="K2937" s="96" t="s">
        <v>3737</v>
      </c>
      <c r="L2937" s="114"/>
      <c r="M2937" s="26" t="s">
        <v>3568</v>
      </c>
      <c r="N2937" s="106">
        <v>44034</v>
      </c>
      <c r="O2937" s="94" t="s">
        <v>457</v>
      </c>
      <c r="P2937" s="268">
        <v>5800</v>
      </c>
      <c r="Q2937" s="273">
        <v>2</v>
      </c>
      <c r="R2937" s="268">
        <f t="shared" si="71"/>
        <v>11600</v>
      </c>
      <c r="S2937" s="24">
        <v>202303</v>
      </c>
      <c r="T2937" s="127" t="s">
        <v>3759</v>
      </c>
      <c r="U2937" s="40"/>
      <c r="V2937" s="40"/>
      <c r="W2937" s="40"/>
      <c r="X2937" s="106">
        <v>43525</v>
      </c>
      <c r="Y2937" s="106">
        <v>45716</v>
      </c>
    </row>
    <row r="2938" s="9" customFormat="1" customHeight="1" spans="1:25">
      <c r="A2938" s="96" t="s">
        <v>399</v>
      </c>
      <c r="B2938" s="96" t="s">
        <v>2950</v>
      </c>
      <c r="C2938" s="96" t="s">
        <v>2998</v>
      </c>
      <c r="D2938" s="265" t="s">
        <v>2951</v>
      </c>
      <c r="E2938" s="105" t="s">
        <v>3565</v>
      </c>
      <c r="F2938" s="96" t="s">
        <v>3566</v>
      </c>
      <c r="G2938" s="96" t="s">
        <v>88</v>
      </c>
      <c r="H2938" s="19" t="s">
        <v>3736</v>
      </c>
      <c r="I2938" s="23" t="e">
        <f>VLOOKUP(H2938,'合同综合查询数据（3月返）'!$A:$A,1,FALSE)</f>
        <v>#N/A</v>
      </c>
      <c r="J2938" s="24" t="s">
        <v>3074</v>
      </c>
      <c r="K2938" s="96" t="s">
        <v>3737</v>
      </c>
      <c r="L2938" s="114"/>
      <c r="M2938" s="26" t="s">
        <v>3568</v>
      </c>
      <c r="N2938" s="106">
        <v>44046</v>
      </c>
      <c r="O2938" s="94" t="s">
        <v>457</v>
      </c>
      <c r="P2938" s="268">
        <v>5800</v>
      </c>
      <c r="Q2938" s="273">
        <v>80</v>
      </c>
      <c r="R2938" s="268">
        <f t="shared" si="71"/>
        <v>464000</v>
      </c>
      <c r="S2938" s="24">
        <v>202303</v>
      </c>
      <c r="T2938" s="127" t="s">
        <v>3760</v>
      </c>
      <c r="U2938" s="40"/>
      <c r="V2938" s="40"/>
      <c r="W2938" s="40"/>
      <c r="X2938" s="106">
        <v>43525</v>
      </c>
      <c r="Y2938" s="106">
        <v>45716</v>
      </c>
    </row>
    <row r="2939" s="9" customFormat="1" customHeight="1" spans="1:25">
      <c r="A2939" s="96" t="s">
        <v>399</v>
      </c>
      <c r="B2939" s="96" t="s">
        <v>2950</v>
      </c>
      <c r="C2939" s="96" t="s">
        <v>2998</v>
      </c>
      <c r="D2939" s="265" t="s">
        <v>2951</v>
      </c>
      <c r="E2939" s="105" t="s">
        <v>3565</v>
      </c>
      <c r="F2939" s="96" t="s">
        <v>3566</v>
      </c>
      <c r="G2939" s="96" t="s">
        <v>88</v>
      </c>
      <c r="H2939" s="19" t="s">
        <v>3736</v>
      </c>
      <c r="I2939" s="23" t="e">
        <f>VLOOKUP(H2939,'合同综合查询数据（3月返）'!$A:$A,1,FALSE)</f>
        <v>#N/A</v>
      </c>
      <c r="J2939" s="24" t="s">
        <v>3074</v>
      </c>
      <c r="K2939" s="96" t="s">
        <v>3737</v>
      </c>
      <c r="L2939" s="114"/>
      <c r="M2939" s="26" t="s">
        <v>3568</v>
      </c>
      <c r="N2939" s="106">
        <v>44056</v>
      </c>
      <c r="O2939" s="94" t="s">
        <v>457</v>
      </c>
      <c r="P2939" s="268">
        <v>5800</v>
      </c>
      <c r="Q2939" s="273">
        <v>12</v>
      </c>
      <c r="R2939" s="268">
        <f t="shared" si="71"/>
        <v>69600</v>
      </c>
      <c r="S2939" s="24">
        <v>202303</v>
      </c>
      <c r="T2939" s="127" t="s">
        <v>3761</v>
      </c>
      <c r="U2939" s="40"/>
      <c r="V2939" s="40"/>
      <c r="W2939" s="40"/>
      <c r="X2939" s="106">
        <v>43525</v>
      </c>
      <c r="Y2939" s="106">
        <v>45716</v>
      </c>
    </row>
    <row r="2940" s="9" customFormat="1" customHeight="1" spans="1:25">
      <c r="A2940" s="96" t="s">
        <v>399</v>
      </c>
      <c r="B2940" s="96" t="s">
        <v>2950</v>
      </c>
      <c r="C2940" s="96" t="s">
        <v>2998</v>
      </c>
      <c r="D2940" s="265" t="s">
        <v>2951</v>
      </c>
      <c r="E2940" s="105" t="s">
        <v>3565</v>
      </c>
      <c r="F2940" s="96" t="s">
        <v>3566</v>
      </c>
      <c r="G2940" s="96" t="s">
        <v>88</v>
      </c>
      <c r="H2940" s="19" t="s">
        <v>3736</v>
      </c>
      <c r="I2940" s="23" t="e">
        <f>VLOOKUP(H2940,'合同综合查询数据（3月返）'!$A:$A,1,FALSE)</f>
        <v>#N/A</v>
      </c>
      <c r="J2940" s="24" t="s">
        <v>3074</v>
      </c>
      <c r="K2940" s="96" t="s">
        <v>3737</v>
      </c>
      <c r="L2940" s="114"/>
      <c r="M2940" s="26" t="s">
        <v>3568</v>
      </c>
      <c r="N2940" s="106">
        <v>44056</v>
      </c>
      <c r="O2940" s="94" t="s">
        <v>470</v>
      </c>
      <c r="P2940" s="268">
        <v>5950</v>
      </c>
      <c r="Q2940" s="273">
        <v>6</v>
      </c>
      <c r="R2940" s="268">
        <f t="shared" si="71"/>
        <v>35700</v>
      </c>
      <c r="S2940" s="24">
        <v>202303</v>
      </c>
      <c r="T2940" s="127" t="s">
        <v>3762</v>
      </c>
      <c r="U2940" s="40"/>
      <c r="V2940" s="40"/>
      <c r="W2940" s="40"/>
      <c r="X2940" s="106">
        <v>43525</v>
      </c>
      <c r="Y2940" s="106">
        <v>45716</v>
      </c>
    </row>
    <row r="2941" s="9" customFormat="1" customHeight="1" spans="1:25">
      <c r="A2941" s="96" t="s">
        <v>399</v>
      </c>
      <c r="B2941" s="96" t="s">
        <v>2950</v>
      </c>
      <c r="C2941" s="96" t="s">
        <v>2998</v>
      </c>
      <c r="D2941" s="265" t="s">
        <v>2951</v>
      </c>
      <c r="E2941" s="105" t="s">
        <v>3565</v>
      </c>
      <c r="F2941" s="96" t="s">
        <v>3566</v>
      </c>
      <c r="G2941" s="96" t="s">
        <v>88</v>
      </c>
      <c r="H2941" s="19" t="s">
        <v>3736</v>
      </c>
      <c r="I2941" s="23" t="e">
        <f>VLOOKUP(H2941,'合同综合查询数据（3月返）'!$A:$A,1,FALSE)</f>
        <v>#N/A</v>
      </c>
      <c r="J2941" s="24" t="s">
        <v>3074</v>
      </c>
      <c r="K2941" s="96" t="s">
        <v>3737</v>
      </c>
      <c r="L2941" s="114"/>
      <c r="M2941" s="26" t="s">
        <v>3568</v>
      </c>
      <c r="N2941" s="106">
        <v>44056</v>
      </c>
      <c r="O2941" s="94" t="s">
        <v>461</v>
      </c>
      <c r="P2941" s="268">
        <v>8114</v>
      </c>
      <c r="Q2941" s="273">
        <v>4</v>
      </c>
      <c r="R2941" s="268">
        <f t="shared" si="71"/>
        <v>32456</v>
      </c>
      <c r="S2941" s="24">
        <v>202303</v>
      </c>
      <c r="T2941" s="127" t="s">
        <v>3763</v>
      </c>
      <c r="U2941" s="40"/>
      <c r="V2941" s="40"/>
      <c r="W2941" s="40"/>
      <c r="X2941" s="106">
        <v>43525</v>
      </c>
      <c r="Y2941" s="106">
        <v>45716</v>
      </c>
    </row>
    <row r="2942" s="9" customFormat="1" customHeight="1" spans="1:25">
      <c r="A2942" s="96" t="s">
        <v>399</v>
      </c>
      <c r="B2942" s="96" t="s">
        <v>2950</v>
      </c>
      <c r="C2942" s="96" t="s">
        <v>2998</v>
      </c>
      <c r="D2942" s="265" t="s">
        <v>2951</v>
      </c>
      <c r="E2942" s="105" t="s">
        <v>3565</v>
      </c>
      <c r="F2942" s="96" t="s">
        <v>3566</v>
      </c>
      <c r="G2942" s="96" t="s">
        <v>88</v>
      </c>
      <c r="H2942" s="19" t="s">
        <v>3736</v>
      </c>
      <c r="I2942" s="23" t="e">
        <f>VLOOKUP(H2942,'合同综合查询数据（3月返）'!$A:$A,1,FALSE)</f>
        <v>#N/A</v>
      </c>
      <c r="J2942" s="24" t="s">
        <v>3074</v>
      </c>
      <c r="K2942" s="96" t="s">
        <v>3737</v>
      </c>
      <c r="L2942" s="114"/>
      <c r="M2942" s="26" t="s">
        <v>3568</v>
      </c>
      <c r="N2942" s="106">
        <v>44056</v>
      </c>
      <c r="O2942" s="94" t="s">
        <v>574</v>
      </c>
      <c r="P2942" s="268">
        <v>20284</v>
      </c>
      <c r="Q2942" s="273">
        <v>8</v>
      </c>
      <c r="R2942" s="268">
        <f t="shared" si="71"/>
        <v>162272</v>
      </c>
      <c r="S2942" s="24">
        <v>202303</v>
      </c>
      <c r="T2942" s="127" t="s">
        <v>3764</v>
      </c>
      <c r="U2942" s="40"/>
      <c r="V2942" s="40"/>
      <c r="W2942" s="40"/>
      <c r="X2942" s="106">
        <v>43525</v>
      </c>
      <c r="Y2942" s="106">
        <v>45716</v>
      </c>
    </row>
    <row r="2943" s="9" customFormat="1" customHeight="1" spans="1:25">
      <c r="A2943" s="96" t="s">
        <v>399</v>
      </c>
      <c r="B2943" s="96" t="s">
        <v>2950</v>
      </c>
      <c r="C2943" s="96" t="s">
        <v>2998</v>
      </c>
      <c r="D2943" s="265" t="s">
        <v>2951</v>
      </c>
      <c r="E2943" s="105" t="s">
        <v>3565</v>
      </c>
      <c r="F2943" s="96" t="s">
        <v>3566</v>
      </c>
      <c r="G2943" s="96" t="s">
        <v>88</v>
      </c>
      <c r="H2943" s="19" t="s">
        <v>3736</v>
      </c>
      <c r="I2943" s="23" t="e">
        <f>VLOOKUP(H2943,'合同综合查询数据（3月返）'!$A:$A,1,FALSE)</f>
        <v>#N/A</v>
      </c>
      <c r="J2943" s="24" t="s">
        <v>3074</v>
      </c>
      <c r="K2943" s="96" t="s">
        <v>3737</v>
      </c>
      <c r="L2943" s="114"/>
      <c r="M2943" s="26" t="s">
        <v>3568</v>
      </c>
      <c r="N2943" s="106">
        <v>44060</v>
      </c>
      <c r="O2943" s="94" t="s">
        <v>457</v>
      </c>
      <c r="P2943" s="268">
        <v>5800</v>
      </c>
      <c r="Q2943" s="273">
        <v>22</v>
      </c>
      <c r="R2943" s="268">
        <f t="shared" si="71"/>
        <v>127600</v>
      </c>
      <c r="S2943" s="24">
        <v>202303</v>
      </c>
      <c r="T2943" s="127" t="s">
        <v>3765</v>
      </c>
      <c r="U2943" s="40"/>
      <c r="V2943" s="40"/>
      <c r="W2943" s="40"/>
      <c r="X2943" s="106">
        <v>43525</v>
      </c>
      <c r="Y2943" s="106">
        <v>45716</v>
      </c>
    </row>
    <row r="2944" s="9" customFormat="1" customHeight="1" spans="1:25">
      <c r="A2944" s="96" t="s">
        <v>399</v>
      </c>
      <c r="B2944" s="96" t="s">
        <v>2950</v>
      </c>
      <c r="C2944" s="96" t="s">
        <v>2998</v>
      </c>
      <c r="D2944" s="265" t="s">
        <v>2951</v>
      </c>
      <c r="E2944" s="105" t="s">
        <v>3565</v>
      </c>
      <c r="F2944" s="96" t="s">
        <v>3566</v>
      </c>
      <c r="G2944" s="96" t="s">
        <v>88</v>
      </c>
      <c r="H2944" s="19" t="s">
        <v>3736</v>
      </c>
      <c r="I2944" s="23" t="e">
        <f>VLOOKUP(H2944,'合同综合查询数据（3月返）'!$A:$A,1,FALSE)</f>
        <v>#N/A</v>
      </c>
      <c r="J2944" s="24" t="s">
        <v>3074</v>
      </c>
      <c r="K2944" s="96" t="s">
        <v>3737</v>
      </c>
      <c r="L2944" s="114"/>
      <c r="M2944" s="26" t="s">
        <v>3568</v>
      </c>
      <c r="N2944" s="106">
        <v>44061</v>
      </c>
      <c r="O2944" s="94" t="s">
        <v>457</v>
      </c>
      <c r="P2944" s="268">
        <v>5800</v>
      </c>
      <c r="Q2944" s="273">
        <v>27</v>
      </c>
      <c r="R2944" s="268">
        <f t="shared" si="71"/>
        <v>156600</v>
      </c>
      <c r="S2944" s="24">
        <v>202303</v>
      </c>
      <c r="T2944" s="127" t="s">
        <v>3766</v>
      </c>
      <c r="U2944" s="40"/>
      <c r="V2944" s="40"/>
      <c r="W2944" s="40"/>
      <c r="X2944" s="106">
        <v>43525</v>
      </c>
      <c r="Y2944" s="106">
        <v>45716</v>
      </c>
    </row>
    <row r="2945" s="9" customFormat="1" customHeight="1" spans="1:25">
      <c r="A2945" s="96" t="s">
        <v>399</v>
      </c>
      <c r="B2945" s="96" t="s">
        <v>2950</v>
      </c>
      <c r="C2945" s="96" t="s">
        <v>2998</v>
      </c>
      <c r="D2945" s="265" t="s">
        <v>2951</v>
      </c>
      <c r="E2945" s="105" t="s">
        <v>3565</v>
      </c>
      <c r="F2945" s="96" t="s">
        <v>3566</v>
      </c>
      <c r="G2945" s="96" t="s">
        <v>88</v>
      </c>
      <c r="H2945" s="19" t="s">
        <v>3736</v>
      </c>
      <c r="I2945" s="23" t="e">
        <f>VLOOKUP(H2945,'合同综合查询数据（3月返）'!$A:$A,1,FALSE)</f>
        <v>#N/A</v>
      </c>
      <c r="J2945" s="24" t="s">
        <v>3074</v>
      </c>
      <c r="K2945" s="96" t="s">
        <v>3737</v>
      </c>
      <c r="L2945" s="114"/>
      <c r="M2945" s="26" t="s">
        <v>3568</v>
      </c>
      <c r="N2945" s="106">
        <v>44062</v>
      </c>
      <c r="O2945" s="94" t="s">
        <v>457</v>
      </c>
      <c r="P2945" s="268">
        <v>5800</v>
      </c>
      <c r="Q2945" s="273">
        <v>22</v>
      </c>
      <c r="R2945" s="268">
        <f t="shared" si="71"/>
        <v>127600</v>
      </c>
      <c r="S2945" s="24">
        <v>202303</v>
      </c>
      <c r="T2945" s="127" t="s">
        <v>3767</v>
      </c>
      <c r="U2945" s="40"/>
      <c r="V2945" s="40"/>
      <c r="W2945" s="40"/>
      <c r="X2945" s="106">
        <v>43525</v>
      </c>
      <c r="Y2945" s="106">
        <v>45716</v>
      </c>
    </row>
    <row r="2946" s="9" customFormat="1" customHeight="1" spans="1:25">
      <c r="A2946" s="96" t="s">
        <v>399</v>
      </c>
      <c r="B2946" s="96" t="s">
        <v>2950</v>
      </c>
      <c r="C2946" s="96" t="s">
        <v>2998</v>
      </c>
      <c r="D2946" s="265" t="s">
        <v>2951</v>
      </c>
      <c r="E2946" s="105" t="s">
        <v>3565</v>
      </c>
      <c r="F2946" s="96" t="s">
        <v>3566</v>
      </c>
      <c r="G2946" s="96" t="s">
        <v>88</v>
      </c>
      <c r="H2946" s="19" t="s">
        <v>3736</v>
      </c>
      <c r="I2946" s="23" t="e">
        <f>VLOOKUP(H2946,'合同综合查询数据（3月返）'!$A:$A,1,FALSE)</f>
        <v>#N/A</v>
      </c>
      <c r="J2946" s="24" t="s">
        <v>3074</v>
      </c>
      <c r="K2946" s="96" t="s">
        <v>3737</v>
      </c>
      <c r="L2946" s="114"/>
      <c r="M2946" s="26" t="s">
        <v>3568</v>
      </c>
      <c r="N2946" s="106">
        <v>44064</v>
      </c>
      <c r="O2946" s="94" t="s">
        <v>457</v>
      </c>
      <c r="P2946" s="268">
        <v>5800</v>
      </c>
      <c r="Q2946" s="273">
        <v>2</v>
      </c>
      <c r="R2946" s="268">
        <f t="shared" si="71"/>
        <v>11600</v>
      </c>
      <c r="S2946" s="24">
        <v>202303</v>
      </c>
      <c r="T2946" s="127" t="s">
        <v>3768</v>
      </c>
      <c r="U2946" s="40"/>
      <c r="V2946" s="40"/>
      <c r="W2946" s="40"/>
      <c r="X2946" s="106">
        <v>43525</v>
      </c>
      <c r="Y2946" s="106">
        <v>45716</v>
      </c>
    </row>
    <row r="2947" s="9" customFormat="1" customHeight="1" spans="1:25">
      <c r="A2947" s="96" t="s">
        <v>399</v>
      </c>
      <c r="B2947" s="96" t="s">
        <v>2950</v>
      </c>
      <c r="C2947" s="96" t="s">
        <v>2998</v>
      </c>
      <c r="D2947" s="265" t="s">
        <v>2951</v>
      </c>
      <c r="E2947" s="105" t="s">
        <v>3565</v>
      </c>
      <c r="F2947" s="96" t="s">
        <v>3566</v>
      </c>
      <c r="G2947" s="96" t="s">
        <v>88</v>
      </c>
      <c r="H2947" s="19" t="s">
        <v>3736</v>
      </c>
      <c r="I2947" s="23" t="e">
        <f>VLOOKUP(H2947,'合同综合查询数据（3月返）'!$A:$A,1,FALSE)</f>
        <v>#N/A</v>
      </c>
      <c r="J2947" s="24" t="s">
        <v>3074</v>
      </c>
      <c r="K2947" s="96" t="s">
        <v>3737</v>
      </c>
      <c r="L2947" s="114"/>
      <c r="M2947" s="26" t="s">
        <v>3568</v>
      </c>
      <c r="N2947" s="106">
        <v>44068</v>
      </c>
      <c r="O2947" s="94" t="s">
        <v>457</v>
      </c>
      <c r="P2947" s="268">
        <v>5800</v>
      </c>
      <c r="Q2947" s="273">
        <v>18</v>
      </c>
      <c r="R2947" s="268">
        <f t="shared" si="71"/>
        <v>104400</v>
      </c>
      <c r="S2947" s="24">
        <v>202303</v>
      </c>
      <c r="T2947" s="127" t="s">
        <v>3769</v>
      </c>
      <c r="U2947" s="40"/>
      <c r="V2947" s="40"/>
      <c r="W2947" s="40"/>
      <c r="X2947" s="106">
        <v>43525</v>
      </c>
      <c r="Y2947" s="106">
        <v>45716</v>
      </c>
    </row>
    <row r="2948" s="9" customFormat="1" customHeight="1" spans="1:25">
      <c r="A2948" s="96" t="s">
        <v>399</v>
      </c>
      <c r="B2948" s="96" t="s">
        <v>2950</v>
      </c>
      <c r="C2948" s="96" t="s">
        <v>2998</v>
      </c>
      <c r="D2948" s="265" t="s">
        <v>2951</v>
      </c>
      <c r="E2948" s="105" t="s">
        <v>3565</v>
      </c>
      <c r="F2948" s="96" t="s">
        <v>3566</v>
      </c>
      <c r="G2948" s="96" t="s">
        <v>88</v>
      </c>
      <c r="H2948" s="19" t="s">
        <v>3736</v>
      </c>
      <c r="I2948" s="23" t="e">
        <f>VLOOKUP(H2948,'合同综合查询数据（3月返）'!$A:$A,1,FALSE)</f>
        <v>#N/A</v>
      </c>
      <c r="J2948" s="24" t="s">
        <v>3074</v>
      </c>
      <c r="K2948" s="96" t="s">
        <v>3737</v>
      </c>
      <c r="L2948" s="114"/>
      <c r="M2948" s="26" t="s">
        <v>3568</v>
      </c>
      <c r="N2948" s="106">
        <v>44076</v>
      </c>
      <c r="O2948" s="94" t="s">
        <v>457</v>
      </c>
      <c r="P2948" s="268">
        <v>5800</v>
      </c>
      <c r="Q2948" s="273">
        <v>7</v>
      </c>
      <c r="R2948" s="268">
        <f t="shared" si="71"/>
        <v>40600</v>
      </c>
      <c r="S2948" s="24">
        <v>202303</v>
      </c>
      <c r="T2948" s="127" t="s">
        <v>3770</v>
      </c>
      <c r="U2948" s="40"/>
      <c r="V2948" s="40"/>
      <c r="W2948" s="40"/>
      <c r="X2948" s="106">
        <v>43525</v>
      </c>
      <c r="Y2948" s="106">
        <v>45716</v>
      </c>
    </row>
    <row r="2949" s="9" customFormat="1" customHeight="1" spans="1:25">
      <c r="A2949" s="96" t="s">
        <v>399</v>
      </c>
      <c r="B2949" s="96" t="s">
        <v>2950</v>
      </c>
      <c r="C2949" s="96" t="s">
        <v>2998</v>
      </c>
      <c r="D2949" s="265" t="s">
        <v>2951</v>
      </c>
      <c r="E2949" s="105" t="s">
        <v>3565</v>
      </c>
      <c r="F2949" s="96" t="s">
        <v>3566</v>
      </c>
      <c r="G2949" s="96" t="s">
        <v>88</v>
      </c>
      <c r="H2949" s="19" t="s">
        <v>3736</v>
      </c>
      <c r="I2949" s="23" t="e">
        <f>VLOOKUP(H2949,'合同综合查询数据（3月返）'!$A:$A,1,FALSE)</f>
        <v>#N/A</v>
      </c>
      <c r="J2949" s="24" t="s">
        <v>3074</v>
      </c>
      <c r="K2949" s="96" t="s">
        <v>3737</v>
      </c>
      <c r="L2949" s="114"/>
      <c r="M2949" s="26" t="s">
        <v>3568</v>
      </c>
      <c r="N2949" s="106">
        <v>44078</v>
      </c>
      <c r="O2949" s="94" t="s">
        <v>457</v>
      </c>
      <c r="P2949" s="268">
        <v>5800</v>
      </c>
      <c r="Q2949" s="273">
        <v>63</v>
      </c>
      <c r="R2949" s="268">
        <f t="shared" si="71"/>
        <v>365400</v>
      </c>
      <c r="S2949" s="24">
        <v>202303</v>
      </c>
      <c r="T2949" s="127" t="s">
        <v>3771</v>
      </c>
      <c r="U2949" s="40"/>
      <c r="V2949" s="40"/>
      <c r="W2949" s="40"/>
      <c r="X2949" s="106">
        <v>43525</v>
      </c>
      <c r="Y2949" s="106">
        <v>45716</v>
      </c>
    </row>
    <row r="2950" s="9" customFormat="1" customHeight="1" spans="1:25">
      <c r="A2950" s="96" t="s">
        <v>399</v>
      </c>
      <c r="B2950" s="96" t="s">
        <v>2950</v>
      </c>
      <c r="C2950" s="96" t="s">
        <v>2998</v>
      </c>
      <c r="D2950" s="265" t="s">
        <v>2951</v>
      </c>
      <c r="E2950" s="105" t="s">
        <v>3565</v>
      </c>
      <c r="F2950" s="96" t="s">
        <v>3566</v>
      </c>
      <c r="G2950" s="96" t="s">
        <v>88</v>
      </c>
      <c r="H2950" s="19" t="s">
        <v>3736</v>
      </c>
      <c r="I2950" s="23" t="e">
        <f>VLOOKUP(H2950,'合同综合查询数据（3月返）'!$A:$A,1,FALSE)</f>
        <v>#N/A</v>
      </c>
      <c r="J2950" s="24" t="s">
        <v>3074</v>
      </c>
      <c r="K2950" s="96" t="s">
        <v>3737</v>
      </c>
      <c r="L2950" s="114"/>
      <c r="M2950" s="26" t="s">
        <v>3568</v>
      </c>
      <c r="N2950" s="106">
        <v>44091</v>
      </c>
      <c r="O2950" s="94" t="s">
        <v>457</v>
      </c>
      <c r="P2950" s="268">
        <v>5800</v>
      </c>
      <c r="Q2950" s="273">
        <v>1</v>
      </c>
      <c r="R2950" s="268">
        <f t="shared" si="71"/>
        <v>5800</v>
      </c>
      <c r="S2950" s="24">
        <v>202303</v>
      </c>
      <c r="T2950" s="127" t="s">
        <v>3772</v>
      </c>
      <c r="U2950" s="40"/>
      <c r="V2950" s="40"/>
      <c r="W2950" s="40"/>
      <c r="X2950" s="106">
        <v>43525</v>
      </c>
      <c r="Y2950" s="106">
        <v>45716</v>
      </c>
    </row>
    <row r="2951" s="9" customFormat="1" customHeight="1" spans="1:25">
      <c r="A2951" s="96" t="s">
        <v>399</v>
      </c>
      <c r="B2951" s="96" t="s">
        <v>2950</v>
      </c>
      <c r="C2951" s="96" t="s">
        <v>2998</v>
      </c>
      <c r="D2951" s="265" t="s">
        <v>2951</v>
      </c>
      <c r="E2951" s="105" t="s">
        <v>3565</v>
      </c>
      <c r="F2951" s="96" t="s">
        <v>3566</v>
      </c>
      <c r="G2951" s="96" t="s">
        <v>88</v>
      </c>
      <c r="H2951" s="19" t="s">
        <v>3736</v>
      </c>
      <c r="I2951" s="23" t="e">
        <f>VLOOKUP(H2951,'合同综合查询数据（3月返）'!$A:$A,1,FALSE)</f>
        <v>#N/A</v>
      </c>
      <c r="J2951" s="24" t="s">
        <v>3074</v>
      </c>
      <c r="K2951" s="96" t="s">
        <v>3737</v>
      </c>
      <c r="L2951" s="114"/>
      <c r="M2951" s="26" t="s">
        <v>3568</v>
      </c>
      <c r="N2951" s="106">
        <v>44104</v>
      </c>
      <c r="O2951" s="94" t="s">
        <v>457</v>
      </c>
      <c r="P2951" s="268">
        <v>5800</v>
      </c>
      <c r="Q2951" s="273">
        <v>9</v>
      </c>
      <c r="R2951" s="268">
        <f t="shared" si="71"/>
        <v>52200</v>
      </c>
      <c r="S2951" s="24">
        <v>202303</v>
      </c>
      <c r="T2951" s="127" t="s">
        <v>3773</v>
      </c>
      <c r="U2951" s="40"/>
      <c r="V2951" s="40"/>
      <c r="W2951" s="40"/>
      <c r="X2951" s="106">
        <v>43525</v>
      </c>
      <c r="Y2951" s="106">
        <v>45716</v>
      </c>
    </row>
    <row r="2952" s="9" customFormat="1" customHeight="1" spans="1:25">
      <c r="A2952" s="96" t="s">
        <v>399</v>
      </c>
      <c r="B2952" s="96" t="s">
        <v>2950</v>
      </c>
      <c r="C2952" s="96" t="s">
        <v>2998</v>
      </c>
      <c r="D2952" s="265" t="s">
        <v>2951</v>
      </c>
      <c r="E2952" s="105" t="s">
        <v>3565</v>
      </c>
      <c r="F2952" s="96" t="s">
        <v>3566</v>
      </c>
      <c r="G2952" s="96" t="s">
        <v>88</v>
      </c>
      <c r="H2952" s="19" t="s">
        <v>3736</v>
      </c>
      <c r="I2952" s="23" t="e">
        <f>VLOOKUP(H2952,'合同综合查询数据（3月返）'!$A:$A,1,FALSE)</f>
        <v>#N/A</v>
      </c>
      <c r="J2952" s="24" t="s">
        <v>3074</v>
      </c>
      <c r="K2952" s="96" t="s">
        <v>3737</v>
      </c>
      <c r="L2952" s="114"/>
      <c r="M2952" s="26" t="s">
        <v>3568</v>
      </c>
      <c r="N2952" s="106">
        <v>44128</v>
      </c>
      <c r="O2952" s="94" t="s">
        <v>457</v>
      </c>
      <c r="P2952" s="268">
        <v>5800</v>
      </c>
      <c r="Q2952" s="273">
        <v>30</v>
      </c>
      <c r="R2952" s="268">
        <f t="shared" si="71"/>
        <v>174000</v>
      </c>
      <c r="S2952" s="24">
        <v>202303</v>
      </c>
      <c r="T2952" s="127" t="s">
        <v>3774</v>
      </c>
      <c r="U2952" s="40"/>
      <c r="V2952" s="40"/>
      <c r="W2952" s="40"/>
      <c r="X2952" s="106">
        <v>43525</v>
      </c>
      <c r="Y2952" s="106">
        <v>45716</v>
      </c>
    </row>
    <row r="2953" s="9" customFormat="1" customHeight="1" spans="1:25">
      <c r="A2953" s="96" t="s">
        <v>399</v>
      </c>
      <c r="B2953" s="96" t="s">
        <v>2950</v>
      </c>
      <c r="C2953" s="96" t="s">
        <v>2998</v>
      </c>
      <c r="D2953" s="265" t="s">
        <v>2951</v>
      </c>
      <c r="E2953" s="105" t="s">
        <v>3565</v>
      </c>
      <c r="F2953" s="96" t="s">
        <v>3566</v>
      </c>
      <c r="G2953" s="96" t="s">
        <v>88</v>
      </c>
      <c r="H2953" s="19" t="s">
        <v>3736</v>
      </c>
      <c r="I2953" s="23" t="e">
        <f>VLOOKUP(H2953,'合同综合查询数据（3月返）'!$A:$A,1,FALSE)</f>
        <v>#N/A</v>
      </c>
      <c r="J2953" s="24" t="s">
        <v>3074</v>
      </c>
      <c r="K2953" s="96" t="s">
        <v>3737</v>
      </c>
      <c r="L2953" s="114"/>
      <c r="M2953" s="26" t="s">
        <v>3568</v>
      </c>
      <c r="N2953" s="106">
        <v>44175</v>
      </c>
      <c r="O2953" s="94" t="s">
        <v>457</v>
      </c>
      <c r="P2953" s="268">
        <v>5800</v>
      </c>
      <c r="Q2953" s="273">
        <v>2</v>
      </c>
      <c r="R2953" s="268">
        <f t="shared" si="71"/>
        <v>11600</v>
      </c>
      <c r="S2953" s="24">
        <v>202303</v>
      </c>
      <c r="T2953" s="127" t="s">
        <v>3775</v>
      </c>
      <c r="U2953" s="40"/>
      <c r="V2953" s="40"/>
      <c r="W2953" s="40"/>
      <c r="X2953" s="106">
        <v>43525</v>
      </c>
      <c r="Y2953" s="106">
        <v>45716</v>
      </c>
    </row>
    <row r="2954" s="9" customFormat="1" customHeight="1" spans="1:25">
      <c r="A2954" s="96" t="s">
        <v>399</v>
      </c>
      <c r="B2954" s="96" t="s">
        <v>2950</v>
      </c>
      <c r="C2954" s="96" t="s">
        <v>2998</v>
      </c>
      <c r="D2954" s="265" t="s">
        <v>2951</v>
      </c>
      <c r="E2954" s="105" t="s">
        <v>3565</v>
      </c>
      <c r="F2954" s="96" t="s">
        <v>3566</v>
      </c>
      <c r="G2954" s="96" t="s">
        <v>88</v>
      </c>
      <c r="H2954" s="19" t="s">
        <v>3736</v>
      </c>
      <c r="I2954" s="23" t="e">
        <f>VLOOKUP(H2954,'合同综合查询数据（3月返）'!$A:$A,1,FALSE)</f>
        <v>#N/A</v>
      </c>
      <c r="J2954" s="24" t="s">
        <v>3074</v>
      </c>
      <c r="K2954" s="96" t="s">
        <v>3737</v>
      </c>
      <c r="L2954" s="114"/>
      <c r="M2954" s="26" t="s">
        <v>3568</v>
      </c>
      <c r="N2954" s="106">
        <v>44180</v>
      </c>
      <c r="O2954" s="94" t="s">
        <v>470</v>
      </c>
      <c r="P2954" s="268">
        <v>5950</v>
      </c>
      <c r="Q2954" s="273">
        <v>4</v>
      </c>
      <c r="R2954" s="268">
        <f t="shared" si="71"/>
        <v>23800</v>
      </c>
      <c r="S2954" s="24">
        <v>202303</v>
      </c>
      <c r="T2954" s="127" t="s">
        <v>3776</v>
      </c>
      <c r="U2954" s="40"/>
      <c r="V2954" s="40"/>
      <c r="W2954" s="40"/>
      <c r="X2954" s="106">
        <v>43525</v>
      </c>
      <c r="Y2954" s="106">
        <v>45716</v>
      </c>
    </row>
    <row r="2955" s="9" customFormat="1" customHeight="1" spans="1:25">
      <c r="A2955" s="96" t="s">
        <v>399</v>
      </c>
      <c r="B2955" s="96" t="s">
        <v>2950</v>
      </c>
      <c r="C2955" s="96" t="s">
        <v>2998</v>
      </c>
      <c r="D2955" s="265" t="s">
        <v>2951</v>
      </c>
      <c r="E2955" s="105" t="s">
        <v>3565</v>
      </c>
      <c r="F2955" s="96" t="s">
        <v>3566</v>
      </c>
      <c r="G2955" s="96" t="s">
        <v>88</v>
      </c>
      <c r="H2955" s="19" t="s">
        <v>3736</v>
      </c>
      <c r="I2955" s="23" t="e">
        <f>VLOOKUP(H2955,'合同综合查询数据（3月返）'!$A:$A,1,FALSE)</f>
        <v>#N/A</v>
      </c>
      <c r="J2955" s="24" t="s">
        <v>3074</v>
      </c>
      <c r="K2955" s="96" t="s">
        <v>3737</v>
      </c>
      <c r="L2955" s="114"/>
      <c r="M2955" s="26" t="s">
        <v>3568</v>
      </c>
      <c r="N2955" s="106">
        <v>44188</v>
      </c>
      <c r="O2955" s="94" t="s">
        <v>457</v>
      </c>
      <c r="P2955" s="268">
        <v>5800</v>
      </c>
      <c r="Q2955" s="273">
        <v>18</v>
      </c>
      <c r="R2955" s="268">
        <f t="shared" si="71"/>
        <v>104400</v>
      </c>
      <c r="S2955" s="24">
        <v>202303</v>
      </c>
      <c r="T2955" s="127" t="s">
        <v>3777</v>
      </c>
      <c r="U2955" s="40"/>
      <c r="V2955" s="40"/>
      <c r="W2955" s="40"/>
      <c r="X2955" s="106">
        <v>43525</v>
      </c>
      <c r="Y2955" s="106">
        <v>45716</v>
      </c>
    </row>
    <row r="2956" s="9" customFormat="1" customHeight="1" spans="1:25">
      <c r="A2956" s="96" t="s">
        <v>399</v>
      </c>
      <c r="B2956" s="96" t="s">
        <v>2950</v>
      </c>
      <c r="C2956" s="96" t="s">
        <v>2998</v>
      </c>
      <c r="D2956" s="265" t="s">
        <v>2951</v>
      </c>
      <c r="E2956" s="105" t="s">
        <v>3565</v>
      </c>
      <c r="F2956" s="96" t="s">
        <v>3566</v>
      </c>
      <c r="G2956" s="96" t="s">
        <v>88</v>
      </c>
      <c r="H2956" s="19" t="s">
        <v>3736</v>
      </c>
      <c r="I2956" s="23" t="e">
        <f>VLOOKUP(H2956,'合同综合查询数据（3月返）'!$A:$A,1,FALSE)</f>
        <v>#N/A</v>
      </c>
      <c r="J2956" s="24" t="s">
        <v>3074</v>
      </c>
      <c r="K2956" s="96" t="s">
        <v>3737</v>
      </c>
      <c r="L2956" s="114"/>
      <c r="M2956" s="26" t="s">
        <v>3568</v>
      </c>
      <c r="N2956" s="106">
        <v>44195</v>
      </c>
      <c r="O2956" s="94" t="s">
        <v>457</v>
      </c>
      <c r="P2956" s="268">
        <v>5800</v>
      </c>
      <c r="Q2956" s="273">
        <v>26</v>
      </c>
      <c r="R2956" s="268">
        <f t="shared" si="71"/>
        <v>150800</v>
      </c>
      <c r="S2956" s="24">
        <v>202303</v>
      </c>
      <c r="T2956" s="127" t="s">
        <v>3778</v>
      </c>
      <c r="U2956" s="40"/>
      <c r="V2956" s="40"/>
      <c r="W2956" s="40"/>
      <c r="X2956" s="106">
        <v>43525</v>
      </c>
      <c r="Y2956" s="106">
        <v>45716</v>
      </c>
    </row>
    <row r="2957" s="9" customFormat="1" customHeight="1" spans="1:25">
      <c r="A2957" s="96" t="s">
        <v>399</v>
      </c>
      <c r="B2957" s="96" t="s">
        <v>2950</v>
      </c>
      <c r="C2957" s="96" t="s">
        <v>2998</v>
      </c>
      <c r="D2957" s="265" t="s">
        <v>2951</v>
      </c>
      <c r="E2957" s="105" t="s">
        <v>3565</v>
      </c>
      <c r="F2957" s="96" t="s">
        <v>3566</v>
      </c>
      <c r="G2957" s="96" t="s">
        <v>88</v>
      </c>
      <c r="H2957" s="19" t="s">
        <v>3736</v>
      </c>
      <c r="I2957" s="23" t="e">
        <f>VLOOKUP(H2957,'合同综合查询数据（3月返）'!$A:$A,1,FALSE)</f>
        <v>#N/A</v>
      </c>
      <c r="J2957" s="24" t="s">
        <v>3074</v>
      </c>
      <c r="K2957" s="96" t="s">
        <v>3737</v>
      </c>
      <c r="L2957" s="114"/>
      <c r="M2957" s="26" t="s">
        <v>3568</v>
      </c>
      <c r="N2957" s="106">
        <v>44200</v>
      </c>
      <c r="O2957" s="94" t="s">
        <v>457</v>
      </c>
      <c r="P2957" s="268">
        <v>5800</v>
      </c>
      <c r="Q2957" s="273">
        <v>8</v>
      </c>
      <c r="R2957" s="268">
        <f t="shared" si="71"/>
        <v>46400</v>
      </c>
      <c r="S2957" s="24">
        <v>202303</v>
      </c>
      <c r="T2957" s="127" t="s">
        <v>3779</v>
      </c>
      <c r="U2957" s="40"/>
      <c r="V2957" s="40"/>
      <c r="W2957" s="40"/>
      <c r="X2957" s="106">
        <v>43525</v>
      </c>
      <c r="Y2957" s="106">
        <v>45716</v>
      </c>
    </row>
    <row r="2958" s="9" customFormat="1" customHeight="1" spans="1:25">
      <c r="A2958" s="96" t="s">
        <v>399</v>
      </c>
      <c r="B2958" s="96" t="s">
        <v>2950</v>
      </c>
      <c r="C2958" s="96" t="s">
        <v>2998</v>
      </c>
      <c r="D2958" s="265" t="s">
        <v>2951</v>
      </c>
      <c r="E2958" s="105" t="s">
        <v>3565</v>
      </c>
      <c r="F2958" s="96" t="s">
        <v>3566</v>
      </c>
      <c r="G2958" s="96" t="s">
        <v>88</v>
      </c>
      <c r="H2958" s="19" t="s">
        <v>3736</v>
      </c>
      <c r="I2958" s="23" t="e">
        <f>VLOOKUP(H2958,'合同综合查询数据（3月返）'!$A:$A,1,FALSE)</f>
        <v>#N/A</v>
      </c>
      <c r="J2958" s="24" t="s">
        <v>3074</v>
      </c>
      <c r="K2958" s="96" t="s">
        <v>3737</v>
      </c>
      <c r="L2958" s="114"/>
      <c r="M2958" s="26" t="s">
        <v>3568</v>
      </c>
      <c r="N2958" s="106">
        <v>44204</v>
      </c>
      <c r="O2958" s="94" t="s">
        <v>457</v>
      </c>
      <c r="P2958" s="268">
        <v>5800</v>
      </c>
      <c r="Q2958" s="273">
        <v>4</v>
      </c>
      <c r="R2958" s="268">
        <f t="shared" si="71"/>
        <v>23200</v>
      </c>
      <c r="S2958" s="24">
        <v>202303</v>
      </c>
      <c r="T2958" s="127" t="s">
        <v>3780</v>
      </c>
      <c r="U2958" s="40"/>
      <c r="V2958" s="40"/>
      <c r="W2958" s="40"/>
      <c r="X2958" s="106">
        <v>43525</v>
      </c>
      <c r="Y2958" s="106">
        <v>45716</v>
      </c>
    </row>
    <row r="2959" s="9" customFormat="1" customHeight="1" spans="1:25">
      <c r="A2959" s="96" t="s">
        <v>399</v>
      </c>
      <c r="B2959" s="96" t="s">
        <v>2950</v>
      </c>
      <c r="C2959" s="96" t="s">
        <v>2998</v>
      </c>
      <c r="D2959" s="265" t="s">
        <v>2951</v>
      </c>
      <c r="E2959" s="105" t="s">
        <v>3565</v>
      </c>
      <c r="F2959" s="96" t="s">
        <v>3566</v>
      </c>
      <c r="G2959" s="96" t="s">
        <v>88</v>
      </c>
      <c r="H2959" s="19" t="s">
        <v>3736</v>
      </c>
      <c r="I2959" s="23" t="e">
        <f>VLOOKUP(H2959,'合同综合查询数据（3月返）'!$A:$A,1,FALSE)</f>
        <v>#N/A</v>
      </c>
      <c r="J2959" s="24" t="s">
        <v>3074</v>
      </c>
      <c r="K2959" s="96" t="s">
        <v>3737</v>
      </c>
      <c r="L2959" s="114"/>
      <c r="M2959" s="26" t="s">
        <v>3568</v>
      </c>
      <c r="N2959" s="106">
        <v>44211</v>
      </c>
      <c r="O2959" s="94" t="s">
        <v>457</v>
      </c>
      <c r="P2959" s="268">
        <v>5800</v>
      </c>
      <c r="Q2959" s="273">
        <v>2</v>
      </c>
      <c r="R2959" s="268">
        <f t="shared" si="71"/>
        <v>11600</v>
      </c>
      <c r="S2959" s="24">
        <v>202303</v>
      </c>
      <c r="T2959" s="127" t="s">
        <v>3781</v>
      </c>
      <c r="U2959" s="40"/>
      <c r="V2959" s="40"/>
      <c r="W2959" s="40"/>
      <c r="X2959" s="106">
        <v>43525</v>
      </c>
      <c r="Y2959" s="106">
        <v>45716</v>
      </c>
    </row>
    <row r="2960" s="9" customFormat="1" customHeight="1" spans="1:25">
      <c r="A2960" s="96" t="s">
        <v>399</v>
      </c>
      <c r="B2960" s="96" t="s">
        <v>2950</v>
      </c>
      <c r="C2960" s="96" t="s">
        <v>2998</v>
      </c>
      <c r="D2960" s="265" t="s">
        <v>2951</v>
      </c>
      <c r="E2960" s="105" t="s">
        <v>3565</v>
      </c>
      <c r="F2960" s="96" t="s">
        <v>3566</v>
      </c>
      <c r="G2960" s="96" t="s">
        <v>88</v>
      </c>
      <c r="H2960" s="19" t="s">
        <v>3736</v>
      </c>
      <c r="I2960" s="23" t="e">
        <f>VLOOKUP(H2960,'合同综合查询数据（3月返）'!$A:$A,1,FALSE)</f>
        <v>#N/A</v>
      </c>
      <c r="J2960" s="24" t="s">
        <v>3074</v>
      </c>
      <c r="K2960" s="96" t="s">
        <v>3737</v>
      </c>
      <c r="L2960" s="114"/>
      <c r="M2960" s="26" t="s">
        <v>3568</v>
      </c>
      <c r="N2960" s="106">
        <v>44212</v>
      </c>
      <c r="O2960" s="94" t="s">
        <v>457</v>
      </c>
      <c r="P2960" s="268">
        <v>5800</v>
      </c>
      <c r="Q2960" s="273">
        <v>44</v>
      </c>
      <c r="R2960" s="268">
        <f t="shared" si="71"/>
        <v>255200</v>
      </c>
      <c r="S2960" s="24">
        <v>202303</v>
      </c>
      <c r="T2960" s="127" t="s">
        <v>3782</v>
      </c>
      <c r="U2960" s="40"/>
      <c r="V2960" s="40"/>
      <c r="W2960" s="40"/>
      <c r="X2960" s="106">
        <v>43525</v>
      </c>
      <c r="Y2960" s="106">
        <v>45716</v>
      </c>
    </row>
    <row r="2961" s="9" customFormat="1" customHeight="1" spans="1:25">
      <c r="A2961" s="96" t="s">
        <v>399</v>
      </c>
      <c r="B2961" s="96" t="s">
        <v>2950</v>
      </c>
      <c r="C2961" s="96" t="s">
        <v>2998</v>
      </c>
      <c r="D2961" s="265" t="s">
        <v>2951</v>
      </c>
      <c r="E2961" s="105" t="s">
        <v>3565</v>
      </c>
      <c r="F2961" s="96" t="s">
        <v>3566</v>
      </c>
      <c r="G2961" s="96" t="s">
        <v>88</v>
      </c>
      <c r="H2961" s="19" t="s">
        <v>3736</v>
      </c>
      <c r="I2961" s="23" t="e">
        <f>VLOOKUP(H2961,'合同综合查询数据（3月返）'!$A:$A,1,FALSE)</f>
        <v>#N/A</v>
      </c>
      <c r="J2961" s="24" t="s">
        <v>3074</v>
      </c>
      <c r="K2961" s="96" t="s">
        <v>3737</v>
      </c>
      <c r="L2961" s="114"/>
      <c r="M2961" s="26" t="s">
        <v>3568</v>
      </c>
      <c r="N2961" s="106">
        <v>44214</v>
      </c>
      <c r="O2961" s="94" t="s">
        <v>457</v>
      </c>
      <c r="P2961" s="268">
        <v>5800</v>
      </c>
      <c r="Q2961" s="273">
        <v>10</v>
      </c>
      <c r="R2961" s="268">
        <f t="shared" si="71"/>
        <v>58000</v>
      </c>
      <c r="S2961" s="24">
        <v>202303</v>
      </c>
      <c r="T2961" s="127" t="s">
        <v>3783</v>
      </c>
      <c r="U2961" s="40"/>
      <c r="V2961" s="40"/>
      <c r="W2961" s="40"/>
      <c r="X2961" s="106">
        <v>43525</v>
      </c>
      <c r="Y2961" s="106">
        <v>45716</v>
      </c>
    </row>
    <row r="2962" s="9" customFormat="1" customHeight="1" spans="1:25">
      <c r="A2962" s="96" t="s">
        <v>399</v>
      </c>
      <c r="B2962" s="96" t="s">
        <v>2950</v>
      </c>
      <c r="C2962" s="96" t="s">
        <v>2998</v>
      </c>
      <c r="D2962" s="265" t="s">
        <v>2951</v>
      </c>
      <c r="E2962" s="105" t="s">
        <v>3565</v>
      </c>
      <c r="F2962" s="96" t="s">
        <v>3566</v>
      </c>
      <c r="G2962" s="96" t="s">
        <v>88</v>
      </c>
      <c r="H2962" s="19" t="s">
        <v>3736</v>
      </c>
      <c r="I2962" s="23" t="e">
        <f>VLOOKUP(H2962,'合同综合查询数据（3月返）'!$A:$A,1,FALSE)</f>
        <v>#N/A</v>
      </c>
      <c r="J2962" s="24" t="s">
        <v>3074</v>
      </c>
      <c r="K2962" s="96" t="s">
        <v>3737</v>
      </c>
      <c r="L2962" s="114"/>
      <c r="M2962" s="26" t="s">
        <v>3568</v>
      </c>
      <c r="N2962" s="106">
        <v>44215</v>
      </c>
      <c r="O2962" s="94" t="s">
        <v>457</v>
      </c>
      <c r="P2962" s="268">
        <v>5800</v>
      </c>
      <c r="Q2962" s="273">
        <v>28</v>
      </c>
      <c r="R2962" s="268">
        <f t="shared" si="71"/>
        <v>162400</v>
      </c>
      <c r="S2962" s="24">
        <v>202303</v>
      </c>
      <c r="T2962" s="127" t="s">
        <v>3784</v>
      </c>
      <c r="U2962" s="40"/>
      <c r="V2962" s="40"/>
      <c r="W2962" s="40"/>
      <c r="X2962" s="106">
        <v>43525</v>
      </c>
      <c r="Y2962" s="106">
        <v>45716</v>
      </c>
    </row>
    <row r="2963" s="9" customFormat="1" customHeight="1" spans="1:25">
      <c r="A2963" s="96" t="s">
        <v>399</v>
      </c>
      <c r="B2963" s="96" t="s">
        <v>2950</v>
      </c>
      <c r="C2963" s="96" t="s">
        <v>2998</v>
      </c>
      <c r="D2963" s="265" t="s">
        <v>2951</v>
      </c>
      <c r="E2963" s="105" t="s">
        <v>3565</v>
      </c>
      <c r="F2963" s="96" t="s">
        <v>3566</v>
      </c>
      <c r="G2963" s="96" t="s">
        <v>88</v>
      </c>
      <c r="H2963" s="19" t="s">
        <v>3736</v>
      </c>
      <c r="I2963" s="23" t="e">
        <f>VLOOKUP(H2963,'合同综合查询数据（3月返）'!$A:$A,1,FALSE)</f>
        <v>#N/A</v>
      </c>
      <c r="J2963" s="24" t="s">
        <v>3074</v>
      </c>
      <c r="K2963" s="96" t="s">
        <v>3737</v>
      </c>
      <c r="L2963" s="114"/>
      <c r="M2963" s="26" t="s">
        <v>3568</v>
      </c>
      <c r="N2963" s="106">
        <v>44218</v>
      </c>
      <c r="O2963" s="94" t="s">
        <v>457</v>
      </c>
      <c r="P2963" s="268">
        <v>5800</v>
      </c>
      <c r="Q2963" s="273">
        <v>70</v>
      </c>
      <c r="R2963" s="268">
        <f t="shared" si="71"/>
        <v>406000</v>
      </c>
      <c r="S2963" s="24">
        <v>202303</v>
      </c>
      <c r="T2963" s="127" t="s">
        <v>3785</v>
      </c>
      <c r="U2963" s="40"/>
      <c r="V2963" s="40"/>
      <c r="W2963" s="40"/>
      <c r="X2963" s="106">
        <v>43525</v>
      </c>
      <c r="Y2963" s="106">
        <v>45716</v>
      </c>
    </row>
    <row r="2964" s="9" customFormat="1" customHeight="1" spans="1:25">
      <c r="A2964" s="96" t="s">
        <v>399</v>
      </c>
      <c r="B2964" s="96" t="s">
        <v>2950</v>
      </c>
      <c r="C2964" s="96" t="s">
        <v>2998</v>
      </c>
      <c r="D2964" s="265" t="s">
        <v>2951</v>
      </c>
      <c r="E2964" s="105" t="s">
        <v>3565</v>
      </c>
      <c r="F2964" s="96" t="s">
        <v>3566</v>
      </c>
      <c r="G2964" s="96" t="s">
        <v>88</v>
      </c>
      <c r="H2964" s="19" t="s">
        <v>3736</v>
      </c>
      <c r="I2964" s="23" t="e">
        <f>VLOOKUP(H2964,'合同综合查询数据（3月返）'!$A:$A,1,FALSE)</f>
        <v>#N/A</v>
      </c>
      <c r="J2964" s="24" t="s">
        <v>3074</v>
      </c>
      <c r="K2964" s="96" t="s">
        <v>3737</v>
      </c>
      <c r="L2964" s="114"/>
      <c r="M2964" s="26" t="s">
        <v>3568</v>
      </c>
      <c r="N2964" s="106">
        <v>44223</v>
      </c>
      <c r="O2964" s="94" t="s">
        <v>457</v>
      </c>
      <c r="P2964" s="268">
        <v>5800</v>
      </c>
      <c r="Q2964" s="273">
        <v>36</v>
      </c>
      <c r="R2964" s="268">
        <f t="shared" si="71"/>
        <v>208800</v>
      </c>
      <c r="S2964" s="24">
        <v>202303</v>
      </c>
      <c r="T2964" s="127" t="s">
        <v>3786</v>
      </c>
      <c r="U2964" s="40"/>
      <c r="V2964" s="40"/>
      <c r="W2964" s="40"/>
      <c r="X2964" s="106">
        <v>43525</v>
      </c>
      <c r="Y2964" s="106">
        <v>45716</v>
      </c>
    </row>
    <row r="2965" s="9" customFormat="1" customHeight="1" spans="1:25">
      <c r="A2965" s="96" t="s">
        <v>399</v>
      </c>
      <c r="B2965" s="96" t="s">
        <v>2950</v>
      </c>
      <c r="C2965" s="96" t="s">
        <v>2998</v>
      </c>
      <c r="D2965" s="265" t="s">
        <v>2951</v>
      </c>
      <c r="E2965" s="105" t="s">
        <v>3565</v>
      </c>
      <c r="F2965" s="96" t="s">
        <v>3566</v>
      </c>
      <c r="G2965" s="96" t="s">
        <v>88</v>
      </c>
      <c r="H2965" s="19" t="s">
        <v>3736</v>
      </c>
      <c r="I2965" s="23" t="e">
        <f>VLOOKUP(H2965,'合同综合查询数据（3月返）'!$A:$A,1,FALSE)</f>
        <v>#N/A</v>
      </c>
      <c r="J2965" s="24" t="s">
        <v>3074</v>
      </c>
      <c r="K2965" s="96" t="s">
        <v>3737</v>
      </c>
      <c r="L2965" s="114"/>
      <c r="M2965" s="26" t="s">
        <v>3568</v>
      </c>
      <c r="N2965" s="106">
        <v>44228</v>
      </c>
      <c r="O2965" s="94" t="s">
        <v>457</v>
      </c>
      <c r="P2965" s="268">
        <v>5800</v>
      </c>
      <c r="Q2965" s="273">
        <v>42</v>
      </c>
      <c r="R2965" s="268">
        <f t="shared" si="71"/>
        <v>243600</v>
      </c>
      <c r="S2965" s="24">
        <v>202303</v>
      </c>
      <c r="T2965" s="127" t="s">
        <v>3787</v>
      </c>
      <c r="U2965" s="40"/>
      <c r="V2965" s="40"/>
      <c r="W2965" s="40"/>
      <c r="X2965" s="106">
        <v>43525</v>
      </c>
      <c r="Y2965" s="106">
        <v>45716</v>
      </c>
    </row>
    <row r="2966" s="9" customFormat="1" customHeight="1" spans="1:25">
      <c r="A2966" s="96" t="s">
        <v>399</v>
      </c>
      <c r="B2966" s="96" t="s">
        <v>2950</v>
      </c>
      <c r="C2966" s="96" t="s">
        <v>2998</v>
      </c>
      <c r="D2966" s="265" t="s">
        <v>2951</v>
      </c>
      <c r="E2966" s="105" t="s">
        <v>3565</v>
      </c>
      <c r="F2966" s="96" t="s">
        <v>3566</v>
      </c>
      <c r="G2966" s="96" t="s">
        <v>88</v>
      </c>
      <c r="H2966" s="19" t="s">
        <v>3736</v>
      </c>
      <c r="I2966" s="23" t="e">
        <f>VLOOKUP(H2966,'合同综合查询数据（3月返）'!$A:$A,1,FALSE)</f>
        <v>#N/A</v>
      </c>
      <c r="J2966" s="24" t="s">
        <v>3074</v>
      </c>
      <c r="K2966" s="96" t="s">
        <v>3737</v>
      </c>
      <c r="L2966" s="114"/>
      <c r="M2966" s="26" t="s">
        <v>3568</v>
      </c>
      <c r="N2966" s="106">
        <v>44231</v>
      </c>
      <c r="O2966" s="94" t="s">
        <v>457</v>
      </c>
      <c r="P2966" s="268">
        <v>5800</v>
      </c>
      <c r="Q2966" s="273">
        <v>6</v>
      </c>
      <c r="R2966" s="268">
        <f t="shared" si="71"/>
        <v>34800</v>
      </c>
      <c r="S2966" s="24">
        <v>202303</v>
      </c>
      <c r="T2966" s="127" t="s">
        <v>3788</v>
      </c>
      <c r="U2966" s="40"/>
      <c r="V2966" s="40"/>
      <c r="W2966" s="40"/>
      <c r="X2966" s="106">
        <v>43525</v>
      </c>
      <c r="Y2966" s="106">
        <v>45716</v>
      </c>
    </row>
    <row r="2967" s="9" customFormat="1" customHeight="1" spans="1:25">
      <c r="A2967" s="96" t="s">
        <v>399</v>
      </c>
      <c r="B2967" s="96" t="s">
        <v>2950</v>
      </c>
      <c r="C2967" s="96" t="s">
        <v>2998</v>
      </c>
      <c r="D2967" s="265" t="s">
        <v>2951</v>
      </c>
      <c r="E2967" s="105" t="s">
        <v>3565</v>
      </c>
      <c r="F2967" s="96" t="s">
        <v>3566</v>
      </c>
      <c r="G2967" s="96" t="s">
        <v>88</v>
      </c>
      <c r="H2967" s="19" t="s">
        <v>3736</v>
      </c>
      <c r="I2967" s="23" t="e">
        <f>VLOOKUP(H2967,'合同综合查询数据（3月返）'!$A:$A,1,FALSE)</f>
        <v>#N/A</v>
      </c>
      <c r="J2967" s="24" t="s">
        <v>3074</v>
      </c>
      <c r="K2967" s="96" t="s">
        <v>3737</v>
      </c>
      <c r="L2967" s="114"/>
      <c r="M2967" s="26" t="s">
        <v>3568</v>
      </c>
      <c r="N2967" s="106">
        <v>44232</v>
      </c>
      <c r="O2967" s="94" t="s">
        <v>457</v>
      </c>
      <c r="P2967" s="268">
        <v>5800</v>
      </c>
      <c r="Q2967" s="273">
        <v>14</v>
      </c>
      <c r="R2967" s="268">
        <f t="shared" si="71"/>
        <v>81200</v>
      </c>
      <c r="S2967" s="24">
        <v>202303</v>
      </c>
      <c r="T2967" s="127" t="s">
        <v>3789</v>
      </c>
      <c r="U2967" s="40"/>
      <c r="V2967" s="40"/>
      <c r="W2967" s="40"/>
      <c r="X2967" s="106">
        <v>43525</v>
      </c>
      <c r="Y2967" s="106">
        <v>45716</v>
      </c>
    </row>
    <row r="2968" s="9" customFormat="1" customHeight="1" spans="1:25">
      <c r="A2968" s="96" t="s">
        <v>399</v>
      </c>
      <c r="B2968" s="96" t="s">
        <v>2950</v>
      </c>
      <c r="C2968" s="96" t="s">
        <v>2998</v>
      </c>
      <c r="D2968" s="265" t="s">
        <v>2951</v>
      </c>
      <c r="E2968" s="105" t="s">
        <v>3565</v>
      </c>
      <c r="F2968" s="96" t="s">
        <v>3566</v>
      </c>
      <c r="G2968" s="96" t="s">
        <v>88</v>
      </c>
      <c r="H2968" s="19" t="s">
        <v>3736</v>
      </c>
      <c r="I2968" s="23" t="e">
        <f>VLOOKUP(H2968,'合同综合查询数据（3月返）'!$A:$A,1,FALSE)</f>
        <v>#N/A</v>
      </c>
      <c r="J2968" s="24" t="s">
        <v>3074</v>
      </c>
      <c r="K2968" s="96" t="s">
        <v>3737</v>
      </c>
      <c r="L2968" s="114"/>
      <c r="M2968" s="26" t="s">
        <v>3568</v>
      </c>
      <c r="N2968" s="106">
        <v>44251</v>
      </c>
      <c r="O2968" s="94" t="s">
        <v>457</v>
      </c>
      <c r="P2968" s="268">
        <v>5800</v>
      </c>
      <c r="Q2968" s="273">
        <v>6</v>
      </c>
      <c r="R2968" s="268">
        <f t="shared" si="71"/>
        <v>34800</v>
      </c>
      <c r="S2968" s="24">
        <v>202303</v>
      </c>
      <c r="T2968" s="127" t="s">
        <v>3790</v>
      </c>
      <c r="U2968" s="40"/>
      <c r="V2968" s="40"/>
      <c r="W2968" s="40"/>
      <c r="X2968" s="106">
        <v>43525</v>
      </c>
      <c r="Y2968" s="106">
        <v>45716</v>
      </c>
    </row>
    <row r="2969" s="9" customFormat="1" customHeight="1" spans="1:25">
      <c r="A2969" s="96" t="s">
        <v>399</v>
      </c>
      <c r="B2969" s="96" t="s">
        <v>2950</v>
      </c>
      <c r="C2969" s="96" t="s">
        <v>2998</v>
      </c>
      <c r="D2969" s="265" t="s">
        <v>2951</v>
      </c>
      <c r="E2969" s="105" t="s">
        <v>3565</v>
      </c>
      <c r="F2969" s="96" t="s">
        <v>3566</v>
      </c>
      <c r="G2969" s="96" t="s">
        <v>88</v>
      </c>
      <c r="H2969" s="19" t="s">
        <v>3736</v>
      </c>
      <c r="I2969" s="23" t="e">
        <f>VLOOKUP(H2969,'合同综合查询数据（3月返）'!$A:$A,1,FALSE)</f>
        <v>#N/A</v>
      </c>
      <c r="J2969" s="24" t="s">
        <v>3074</v>
      </c>
      <c r="K2969" s="96" t="s">
        <v>3737</v>
      </c>
      <c r="L2969" s="114"/>
      <c r="M2969" s="26" t="s">
        <v>3568</v>
      </c>
      <c r="N2969" s="106">
        <v>44259</v>
      </c>
      <c r="O2969" s="94" t="s">
        <v>457</v>
      </c>
      <c r="P2969" s="268">
        <v>5800</v>
      </c>
      <c r="Q2969" s="273">
        <v>54</v>
      </c>
      <c r="R2969" s="268">
        <f t="shared" si="71"/>
        <v>313200</v>
      </c>
      <c r="S2969" s="24">
        <v>202303</v>
      </c>
      <c r="T2969" s="127" t="s">
        <v>3791</v>
      </c>
      <c r="U2969" s="40"/>
      <c r="V2969" s="40"/>
      <c r="W2969" s="40"/>
      <c r="X2969" s="106">
        <v>43525</v>
      </c>
      <c r="Y2969" s="106">
        <v>45716</v>
      </c>
    </row>
    <row r="2970" s="9" customFormat="1" customHeight="1" spans="1:25">
      <c r="A2970" s="96" t="s">
        <v>399</v>
      </c>
      <c r="B2970" s="96" t="s">
        <v>2950</v>
      </c>
      <c r="C2970" s="96" t="s">
        <v>2998</v>
      </c>
      <c r="D2970" s="265" t="s">
        <v>2951</v>
      </c>
      <c r="E2970" s="105" t="s">
        <v>3565</v>
      </c>
      <c r="F2970" s="96" t="s">
        <v>3566</v>
      </c>
      <c r="G2970" s="96" t="s">
        <v>88</v>
      </c>
      <c r="H2970" s="19" t="s">
        <v>3736</v>
      </c>
      <c r="I2970" s="23" t="e">
        <f>VLOOKUP(H2970,'合同综合查询数据（3月返）'!$A:$A,1,FALSE)</f>
        <v>#N/A</v>
      </c>
      <c r="J2970" s="24" t="s">
        <v>3074</v>
      </c>
      <c r="K2970" s="96" t="s">
        <v>3737</v>
      </c>
      <c r="L2970" s="114"/>
      <c r="M2970" s="26" t="s">
        <v>3568</v>
      </c>
      <c r="N2970" s="106">
        <v>44265</v>
      </c>
      <c r="O2970" s="94" t="s">
        <v>457</v>
      </c>
      <c r="P2970" s="268">
        <v>5800</v>
      </c>
      <c r="Q2970" s="273">
        <v>14</v>
      </c>
      <c r="R2970" s="268">
        <f t="shared" si="71"/>
        <v>81200</v>
      </c>
      <c r="S2970" s="24">
        <v>202303</v>
      </c>
      <c r="T2970" s="127" t="s">
        <v>3792</v>
      </c>
      <c r="U2970" s="40"/>
      <c r="V2970" s="40"/>
      <c r="W2970" s="40"/>
      <c r="X2970" s="106">
        <v>43525</v>
      </c>
      <c r="Y2970" s="106">
        <v>45716</v>
      </c>
    </row>
    <row r="2971" s="9" customFormat="1" customHeight="1" spans="1:25">
      <c r="A2971" s="96" t="s">
        <v>399</v>
      </c>
      <c r="B2971" s="96" t="s">
        <v>2950</v>
      </c>
      <c r="C2971" s="96" t="s">
        <v>2998</v>
      </c>
      <c r="D2971" s="265" t="s">
        <v>2951</v>
      </c>
      <c r="E2971" s="105" t="s">
        <v>3565</v>
      </c>
      <c r="F2971" s="96" t="s">
        <v>3566</v>
      </c>
      <c r="G2971" s="96" t="s">
        <v>88</v>
      </c>
      <c r="H2971" s="19" t="s">
        <v>3736</v>
      </c>
      <c r="I2971" s="23" t="e">
        <f>VLOOKUP(H2971,'合同综合查询数据（3月返）'!$A:$A,1,FALSE)</f>
        <v>#N/A</v>
      </c>
      <c r="J2971" s="24" t="s">
        <v>3074</v>
      </c>
      <c r="K2971" s="96" t="s">
        <v>3737</v>
      </c>
      <c r="L2971" s="114"/>
      <c r="M2971" s="26" t="s">
        <v>3568</v>
      </c>
      <c r="N2971" s="106">
        <v>44271</v>
      </c>
      <c r="O2971" s="94" t="s">
        <v>457</v>
      </c>
      <c r="P2971" s="268">
        <v>5800</v>
      </c>
      <c r="Q2971" s="273">
        <v>4</v>
      </c>
      <c r="R2971" s="268">
        <f t="shared" si="71"/>
        <v>23200</v>
      </c>
      <c r="S2971" s="24">
        <v>202303</v>
      </c>
      <c r="T2971" s="127" t="s">
        <v>3793</v>
      </c>
      <c r="U2971" s="40"/>
      <c r="V2971" s="40"/>
      <c r="W2971" s="40"/>
      <c r="X2971" s="106">
        <v>43525</v>
      </c>
      <c r="Y2971" s="106">
        <v>45716</v>
      </c>
    </row>
    <row r="2972" s="9" customFormat="1" customHeight="1" spans="1:25">
      <c r="A2972" s="96" t="s">
        <v>399</v>
      </c>
      <c r="B2972" s="96" t="s">
        <v>2950</v>
      </c>
      <c r="C2972" s="96" t="s">
        <v>2998</v>
      </c>
      <c r="D2972" s="265" t="s">
        <v>2951</v>
      </c>
      <c r="E2972" s="105" t="s">
        <v>3565</v>
      </c>
      <c r="F2972" s="96" t="s">
        <v>3566</v>
      </c>
      <c r="G2972" s="96" t="s">
        <v>88</v>
      </c>
      <c r="H2972" s="19" t="s">
        <v>3736</v>
      </c>
      <c r="I2972" s="23" t="e">
        <f>VLOOKUP(H2972,'合同综合查询数据（3月返）'!$A:$A,1,FALSE)</f>
        <v>#N/A</v>
      </c>
      <c r="J2972" s="24" t="s">
        <v>3074</v>
      </c>
      <c r="K2972" s="96" t="s">
        <v>3737</v>
      </c>
      <c r="L2972" s="114"/>
      <c r="M2972" s="26" t="s">
        <v>3568</v>
      </c>
      <c r="N2972" s="106">
        <v>44278</v>
      </c>
      <c r="O2972" s="94" t="s">
        <v>457</v>
      </c>
      <c r="P2972" s="268">
        <v>5800</v>
      </c>
      <c r="Q2972" s="273">
        <v>3</v>
      </c>
      <c r="R2972" s="268">
        <f t="shared" si="71"/>
        <v>17400</v>
      </c>
      <c r="S2972" s="24">
        <v>202303</v>
      </c>
      <c r="T2972" s="127" t="s">
        <v>3794</v>
      </c>
      <c r="U2972" s="40"/>
      <c r="V2972" s="40"/>
      <c r="W2972" s="40"/>
      <c r="X2972" s="106">
        <v>43525</v>
      </c>
      <c r="Y2972" s="106">
        <v>45716</v>
      </c>
    </row>
    <row r="2973" s="9" customFormat="1" customHeight="1" spans="1:25">
      <c r="A2973" s="96" t="s">
        <v>399</v>
      </c>
      <c r="B2973" s="96" t="s">
        <v>2950</v>
      </c>
      <c r="C2973" s="96" t="s">
        <v>2998</v>
      </c>
      <c r="D2973" s="265" t="s">
        <v>2951</v>
      </c>
      <c r="E2973" s="105" t="s">
        <v>3565</v>
      </c>
      <c r="F2973" s="96" t="s">
        <v>3566</v>
      </c>
      <c r="G2973" s="96" t="s">
        <v>88</v>
      </c>
      <c r="H2973" s="19" t="s">
        <v>3736</v>
      </c>
      <c r="I2973" s="23" t="e">
        <f>VLOOKUP(H2973,'合同综合查询数据（3月返）'!$A:$A,1,FALSE)</f>
        <v>#N/A</v>
      </c>
      <c r="J2973" s="24" t="s">
        <v>3074</v>
      </c>
      <c r="K2973" s="96" t="s">
        <v>3737</v>
      </c>
      <c r="L2973" s="114"/>
      <c r="M2973" s="26" t="s">
        <v>3568</v>
      </c>
      <c r="N2973" s="106">
        <v>44281</v>
      </c>
      <c r="O2973" s="94" t="s">
        <v>457</v>
      </c>
      <c r="P2973" s="268">
        <v>5800</v>
      </c>
      <c r="Q2973" s="273">
        <v>45</v>
      </c>
      <c r="R2973" s="268">
        <f t="shared" si="71"/>
        <v>261000</v>
      </c>
      <c r="S2973" s="24">
        <v>202303</v>
      </c>
      <c r="T2973" s="127" t="s">
        <v>3795</v>
      </c>
      <c r="U2973" s="40"/>
      <c r="V2973" s="40"/>
      <c r="W2973" s="40"/>
      <c r="X2973" s="106">
        <v>43525</v>
      </c>
      <c r="Y2973" s="106">
        <v>45716</v>
      </c>
    </row>
    <row r="2974" s="9" customFormat="1" customHeight="1" spans="1:25">
      <c r="A2974" s="96" t="s">
        <v>399</v>
      </c>
      <c r="B2974" s="96" t="s">
        <v>2950</v>
      </c>
      <c r="C2974" s="96" t="s">
        <v>2998</v>
      </c>
      <c r="D2974" s="265" t="s">
        <v>2951</v>
      </c>
      <c r="E2974" s="105" t="s">
        <v>3565</v>
      </c>
      <c r="F2974" s="96" t="s">
        <v>3566</v>
      </c>
      <c r="G2974" s="96" t="s">
        <v>88</v>
      </c>
      <c r="H2974" s="19" t="s">
        <v>3736</v>
      </c>
      <c r="I2974" s="23" t="e">
        <f>VLOOKUP(H2974,'合同综合查询数据（3月返）'!$A:$A,1,FALSE)</f>
        <v>#N/A</v>
      </c>
      <c r="J2974" s="24" t="s">
        <v>3074</v>
      </c>
      <c r="K2974" s="96" t="s">
        <v>3737</v>
      </c>
      <c r="L2974" s="114"/>
      <c r="M2974" s="26" t="s">
        <v>3568</v>
      </c>
      <c r="N2974" s="106">
        <v>44288</v>
      </c>
      <c r="O2974" s="94" t="s">
        <v>457</v>
      </c>
      <c r="P2974" s="268">
        <v>5800</v>
      </c>
      <c r="Q2974" s="273">
        <v>38</v>
      </c>
      <c r="R2974" s="268">
        <f t="shared" si="71"/>
        <v>220400</v>
      </c>
      <c r="S2974" s="24">
        <v>202303</v>
      </c>
      <c r="T2974" s="127" t="s">
        <v>3796</v>
      </c>
      <c r="U2974" s="40"/>
      <c r="V2974" s="40"/>
      <c r="W2974" s="40"/>
      <c r="X2974" s="106">
        <v>43525</v>
      </c>
      <c r="Y2974" s="106">
        <v>45716</v>
      </c>
    </row>
    <row r="2975" s="9" customFormat="1" customHeight="1" spans="1:25">
      <c r="A2975" s="96" t="s">
        <v>399</v>
      </c>
      <c r="B2975" s="96" t="s">
        <v>2950</v>
      </c>
      <c r="C2975" s="96" t="s">
        <v>2998</v>
      </c>
      <c r="D2975" s="265" t="s">
        <v>2951</v>
      </c>
      <c r="E2975" s="105" t="s">
        <v>3565</v>
      </c>
      <c r="F2975" s="96" t="s">
        <v>3566</v>
      </c>
      <c r="G2975" s="96" t="s">
        <v>88</v>
      </c>
      <c r="H2975" s="19" t="s">
        <v>3736</v>
      </c>
      <c r="I2975" s="23" t="e">
        <f>VLOOKUP(H2975,'合同综合查询数据（3月返）'!$A:$A,1,FALSE)</f>
        <v>#N/A</v>
      </c>
      <c r="J2975" s="24" t="s">
        <v>3074</v>
      </c>
      <c r="K2975" s="96" t="s">
        <v>3737</v>
      </c>
      <c r="L2975" s="114"/>
      <c r="M2975" s="26" t="s">
        <v>3568</v>
      </c>
      <c r="N2975" s="106">
        <v>44292</v>
      </c>
      <c r="O2975" s="94" t="s">
        <v>457</v>
      </c>
      <c r="P2975" s="268">
        <v>5800</v>
      </c>
      <c r="Q2975" s="273">
        <v>8</v>
      </c>
      <c r="R2975" s="268">
        <f t="shared" si="71"/>
        <v>46400</v>
      </c>
      <c r="S2975" s="24">
        <v>202303</v>
      </c>
      <c r="T2975" s="127" t="s">
        <v>3797</v>
      </c>
      <c r="U2975" s="40"/>
      <c r="V2975" s="40"/>
      <c r="W2975" s="40"/>
      <c r="X2975" s="106">
        <v>43525</v>
      </c>
      <c r="Y2975" s="106">
        <v>45716</v>
      </c>
    </row>
    <row r="2976" s="9" customFormat="1" customHeight="1" spans="1:25">
      <c r="A2976" s="96" t="s">
        <v>399</v>
      </c>
      <c r="B2976" s="96" t="s">
        <v>2950</v>
      </c>
      <c r="C2976" s="96" t="s">
        <v>2998</v>
      </c>
      <c r="D2976" s="265" t="s">
        <v>2951</v>
      </c>
      <c r="E2976" s="105" t="s">
        <v>3565</v>
      </c>
      <c r="F2976" s="96" t="s">
        <v>3566</v>
      </c>
      <c r="G2976" s="96" t="s">
        <v>88</v>
      </c>
      <c r="H2976" s="19" t="s">
        <v>3736</v>
      </c>
      <c r="I2976" s="23" t="e">
        <f>VLOOKUP(H2976,'合同综合查询数据（3月返）'!$A:$A,1,FALSE)</f>
        <v>#N/A</v>
      </c>
      <c r="J2976" s="24" t="s">
        <v>3074</v>
      </c>
      <c r="K2976" s="96" t="s">
        <v>3737</v>
      </c>
      <c r="L2976" s="114"/>
      <c r="M2976" s="26" t="s">
        <v>3568</v>
      </c>
      <c r="N2976" s="106">
        <v>44294</v>
      </c>
      <c r="O2976" s="94" t="s">
        <v>457</v>
      </c>
      <c r="P2976" s="268">
        <v>5800</v>
      </c>
      <c r="Q2976" s="273">
        <v>10</v>
      </c>
      <c r="R2976" s="268">
        <f t="shared" si="71"/>
        <v>58000</v>
      </c>
      <c r="S2976" s="24">
        <v>202303</v>
      </c>
      <c r="T2976" s="127" t="s">
        <v>3798</v>
      </c>
      <c r="U2976" s="40"/>
      <c r="V2976" s="40"/>
      <c r="W2976" s="40"/>
      <c r="X2976" s="106">
        <v>43525</v>
      </c>
      <c r="Y2976" s="106">
        <v>45716</v>
      </c>
    </row>
    <row r="2977" s="9" customFormat="1" customHeight="1" spans="1:25">
      <c r="A2977" s="96" t="s">
        <v>399</v>
      </c>
      <c r="B2977" s="96" t="s">
        <v>2950</v>
      </c>
      <c r="C2977" s="96" t="s">
        <v>2998</v>
      </c>
      <c r="D2977" s="265" t="s">
        <v>2951</v>
      </c>
      <c r="E2977" s="105" t="s">
        <v>3565</v>
      </c>
      <c r="F2977" s="96" t="s">
        <v>3566</v>
      </c>
      <c r="G2977" s="96" t="s">
        <v>88</v>
      </c>
      <c r="H2977" s="19" t="s">
        <v>3736</v>
      </c>
      <c r="I2977" s="23" t="e">
        <f>VLOOKUP(H2977,'合同综合查询数据（3月返）'!$A:$A,1,FALSE)</f>
        <v>#N/A</v>
      </c>
      <c r="J2977" s="24" t="s">
        <v>3074</v>
      </c>
      <c r="K2977" s="96" t="s">
        <v>3737</v>
      </c>
      <c r="L2977" s="114"/>
      <c r="M2977" s="26" t="s">
        <v>3568</v>
      </c>
      <c r="N2977" s="106">
        <v>44295</v>
      </c>
      <c r="O2977" s="94" t="s">
        <v>457</v>
      </c>
      <c r="P2977" s="268">
        <v>5800</v>
      </c>
      <c r="Q2977" s="273">
        <v>15</v>
      </c>
      <c r="R2977" s="268">
        <f t="shared" si="71"/>
        <v>87000</v>
      </c>
      <c r="S2977" s="24">
        <v>202303</v>
      </c>
      <c r="T2977" s="127" t="s">
        <v>3799</v>
      </c>
      <c r="U2977" s="40"/>
      <c r="V2977" s="40"/>
      <c r="W2977" s="40"/>
      <c r="X2977" s="106">
        <v>43525</v>
      </c>
      <c r="Y2977" s="106">
        <v>45716</v>
      </c>
    </row>
    <row r="2978" s="9" customFormat="1" customHeight="1" spans="1:25">
      <c r="A2978" s="96" t="s">
        <v>399</v>
      </c>
      <c r="B2978" s="96" t="s">
        <v>2950</v>
      </c>
      <c r="C2978" s="96" t="s">
        <v>2998</v>
      </c>
      <c r="D2978" s="265" t="s">
        <v>2951</v>
      </c>
      <c r="E2978" s="105" t="s">
        <v>3565</v>
      </c>
      <c r="F2978" s="96" t="s">
        <v>3566</v>
      </c>
      <c r="G2978" s="96" t="s">
        <v>88</v>
      </c>
      <c r="H2978" s="19" t="s">
        <v>3736</v>
      </c>
      <c r="I2978" s="23" t="e">
        <f>VLOOKUP(H2978,'合同综合查询数据（3月返）'!$A:$A,1,FALSE)</f>
        <v>#N/A</v>
      </c>
      <c r="J2978" s="24" t="s">
        <v>3074</v>
      </c>
      <c r="K2978" s="96" t="s">
        <v>3737</v>
      </c>
      <c r="L2978" s="114"/>
      <c r="M2978" s="26" t="s">
        <v>3568</v>
      </c>
      <c r="N2978" s="106">
        <v>44298</v>
      </c>
      <c r="O2978" s="94" t="s">
        <v>457</v>
      </c>
      <c r="P2978" s="268">
        <v>5800</v>
      </c>
      <c r="Q2978" s="273">
        <v>3</v>
      </c>
      <c r="R2978" s="268">
        <f t="shared" si="71"/>
        <v>17400</v>
      </c>
      <c r="S2978" s="24">
        <v>202303</v>
      </c>
      <c r="T2978" s="127" t="s">
        <v>3800</v>
      </c>
      <c r="U2978" s="40"/>
      <c r="V2978" s="40"/>
      <c r="W2978" s="40"/>
      <c r="X2978" s="106">
        <v>43525</v>
      </c>
      <c r="Y2978" s="106">
        <v>45716</v>
      </c>
    </row>
    <row r="2979" s="9" customFormat="1" customHeight="1" spans="1:25">
      <c r="A2979" s="96" t="s">
        <v>399</v>
      </c>
      <c r="B2979" s="96" t="s">
        <v>2950</v>
      </c>
      <c r="C2979" s="96" t="s">
        <v>2998</v>
      </c>
      <c r="D2979" s="265" t="s">
        <v>2951</v>
      </c>
      <c r="E2979" s="105" t="s">
        <v>3565</v>
      </c>
      <c r="F2979" s="96" t="s">
        <v>3566</v>
      </c>
      <c r="G2979" s="96" t="s">
        <v>88</v>
      </c>
      <c r="H2979" s="19" t="s">
        <v>3736</v>
      </c>
      <c r="I2979" s="23" t="e">
        <f>VLOOKUP(H2979,'合同综合查询数据（3月返）'!$A:$A,1,FALSE)</f>
        <v>#N/A</v>
      </c>
      <c r="J2979" s="24" t="s">
        <v>3074</v>
      </c>
      <c r="K2979" s="96" t="s">
        <v>3737</v>
      </c>
      <c r="L2979" s="114"/>
      <c r="M2979" s="26" t="s">
        <v>3568</v>
      </c>
      <c r="N2979" s="106">
        <v>44299</v>
      </c>
      <c r="O2979" s="94" t="s">
        <v>457</v>
      </c>
      <c r="P2979" s="268">
        <v>5800</v>
      </c>
      <c r="Q2979" s="273">
        <v>8</v>
      </c>
      <c r="R2979" s="268">
        <f t="shared" si="71"/>
        <v>46400</v>
      </c>
      <c r="S2979" s="24">
        <v>202303</v>
      </c>
      <c r="T2979" s="127" t="s">
        <v>3801</v>
      </c>
      <c r="U2979" s="40"/>
      <c r="V2979" s="40"/>
      <c r="W2979" s="40"/>
      <c r="X2979" s="106">
        <v>43525</v>
      </c>
      <c r="Y2979" s="106">
        <v>45716</v>
      </c>
    </row>
    <row r="2980" s="9" customFormat="1" customHeight="1" spans="1:25">
      <c r="A2980" s="96" t="s">
        <v>399</v>
      </c>
      <c r="B2980" s="96" t="s">
        <v>2950</v>
      </c>
      <c r="C2980" s="96" t="s">
        <v>2998</v>
      </c>
      <c r="D2980" s="265" t="s">
        <v>2951</v>
      </c>
      <c r="E2980" s="105" t="s">
        <v>3565</v>
      </c>
      <c r="F2980" s="96" t="s">
        <v>3566</v>
      </c>
      <c r="G2980" s="96" t="s">
        <v>88</v>
      </c>
      <c r="H2980" s="19" t="s">
        <v>3736</v>
      </c>
      <c r="I2980" s="23" t="e">
        <f>VLOOKUP(H2980,'合同综合查询数据（3月返）'!$A:$A,1,FALSE)</f>
        <v>#N/A</v>
      </c>
      <c r="J2980" s="24" t="s">
        <v>3074</v>
      </c>
      <c r="K2980" s="96" t="s">
        <v>3737</v>
      </c>
      <c r="L2980" s="114"/>
      <c r="M2980" s="26" t="s">
        <v>3568</v>
      </c>
      <c r="N2980" s="106">
        <v>44308</v>
      </c>
      <c r="O2980" s="94" t="s">
        <v>457</v>
      </c>
      <c r="P2980" s="268">
        <v>5800</v>
      </c>
      <c r="Q2980" s="273">
        <v>8</v>
      </c>
      <c r="R2980" s="268">
        <f t="shared" ref="R2980:R3043" si="72">ROUND(P2980*Q2980,2)</f>
        <v>46400</v>
      </c>
      <c r="S2980" s="24">
        <v>202303</v>
      </c>
      <c r="T2980" s="127" t="s">
        <v>3802</v>
      </c>
      <c r="U2980" s="40"/>
      <c r="V2980" s="40"/>
      <c r="W2980" s="40"/>
      <c r="X2980" s="106">
        <v>43525</v>
      </c>
      <c r="Y2980" s="106">
        <v>45716</v>
      </c>
    </row>
    <row r="2981" s="9" customFormat="1" customHeight="1" spans="1:25">
      <c r="A2981" s="96" t="s">
        <v>399</v>
      </c>
      <c r="B2981" s="96" t="s">
        <v>2950</v>
      </c>
      <c r="C2981" s="96" t="s">
        <v>2998</v>
      </c>
      <c r="D2981" s="265" t="s">
        <v>2951</v>
      </c>
      <c r="E2981" s="105" t="s">
        <v>3565</v>
      </c>
      <c r="F2981" s="96" t="s">
        <v>3566</v>
      </c>
      <c r="G2981" s="96" t="s">
        <v>88</v>
      </c>
      <c r="H2981" s="19" t="s">
        <v>3736</v>
      </c>
      <c r="I2981" s="23" t="e">
        <f>VLOOKUP(H2981,'合同综合查询数据（3月返）'!$A:$A,1,FALSE)</f>
        <v>#N/A</v>
      </c>
      <c r="J2981" s="24" t="s">
        <v>3074</v>
      </c>
      <c r="K2981" s="96" t="s">
        <v>3737</v>
      </c>
      <c r="L2981" s="114"/>
      <c r="M2981" s="26" t="s">
        <v>3568</v>
      </c>
      <c r="N2981" s="106">
        <v>44309</v>
      </c>
      <c r="O2981" s="94" t="s">
        <v>457</v>
      </c>
      <c r="P2981" s="268">
        <v>5800</v>
      </c>
      <c r="Q2981" s="273">
        <v>3</v>
      </c>
      <c r="R2981" s="268">
        <f t="shared" si="72"/>
        <v>17400</v>
      </c>
      <c r="S2981" s="24">
        <v>202303</v>
      </c>
      <c r="T2981" s="127" t="s">
        <v>3803</v>
      </c>
      <c r="U2981" s="40"/>
      <c r="V2981" s="40"/>
      <c r="W2981" s="40"/>
      <c r="X2981" s="106">
        <v>43525</v>
      </c>
      <c r="Y2981" s="106">
        <v>45716</v>
      </c>
    </row>
    <row r="2982" s="9" customFormat="1" customHeight="1" spans="1:25">
      <c r="A2982" s="96" t="s">
        <v>399</v>
      </c>
      <c r="B2982" s="96" t="s">
        <v>2950</v>
      </c>
      <c r="C2982" s="96" t="s">
        <v>2998</v>
      </c>
      <c r="D2982" s="265" t="s">
        <v>2951</v>
      </c>
      <c r="E2982" s="105" t="s">
        <v>3565</v>
      </c>
      <c r="F2982" s="96" t="s">
        <v>3566</v>
      </c>
      <c r="G2982" s="96" t="s">
        <v>88</v>
      </c>
      <c r="H2982" s="19" t="s">
        <v>3736</v>
      </c>
      <c r="I2982" s="23" t="e">
        <f>VLOOKUP(H2982,'合同综合查询数据（3月返）'!$A:$A,1,FALSE)</f>
        <v>#N/A</v>
      </c>
      <c r="J2982" s="24" t="s">
        <v>3074</v>
      </c>
      <c r="K2982" s="96" t="s">
        <v>3737</v>
      </c>
      <c r="L2982" s="114"/>
      <c r="M2982" s="26" t="s">
        <v>3568</v>
      </c>
      <c r="N2982" s="106">
        <v>44313</v>
      </c>
      <c r="O2982" s="94" t="s">
        <v>457</v>
      </c>
      <c r="P2982" s="268">
        <v>5800</v>
      </c>
      <c r="Q2982" s="273">
        <v>5</v>
      </c>
      <c r="R2982" s="268">
        <f t="shared" si="72"/>
        <v>29000</v>
      </c>
      <c r="S2982" s="24">
        <v>202303</v>
      </c>
      <c r="T2982" s="127" t="s">
        <v>3804</v>
      </c>
      <c r="U2982" s="40"/>
      <c r="V2982" s="40"/>
      <c r="W2982" s="40"/>
      <c r="X2982" s="106">
        <v>43525</v>
      </c>
      <c r="Y2982" s="106">
        <v>45716</v>
      </c>
    </row>
    <row r="2983" s="9" customFormat="1" customHeight="1" spans="1:25">
      <c r="A2983" s="96" t="s">
        <v>399</v>
      </c>
      <c r="B2983" s="96" t="s">
        <v>2950</v>
      </c>
      <c r="C2983" s="96" t="s">
        <v>2998</v>
      </c>
      <c r="D2983" s="265" t="s">
        <v>2951</v>
      </c>
      <c r="E2983" s="105" t="s">
        <v>3565</v>
      </c>
      <c r="F2983" s="96" t="s">
        <v>3566</v>
      </c>
      <c r="G2983" s="96" t="s">
        <v>88</v>
      </c>
      <c r="H2983" s="19" t="s">
        <v>3736</v>
      </c>
      <c r="I2983" s="23" t="e">
        <f>VLOOKUP(H2983,'合同综合查询数据（3月返）'!$A:$A,1,FALSE)</f>
        <v>#N/A</v>
      </c>
      <c r="J2983" s="24" t="s">
        <v>3074</v>
      </c>
      <c r="K2983" s="96" t="s">
        <v>3737</v>
      </c>
      <c r="L2983" s="114"/>
      <c r="M2983" s="26" t="s">
        <v>3568</v>
      </c>
      <c r="N2983" s="106">
        <v>44315</v>
      </c>
      <c r="O2983" s="94" t="s">
        <v>457</v>
      </c>
      <c r="P2983" s="268">
        <v>5800</v>
      </c>
      <c r="Q2983" s="273">
        <v>10</v>
      </c>
      <c r="R2983" s="268">
        <f t="shared" si="72"/>
        <v>58000</v>
      </c>
      <c r="S2983" s="24">
        <v>202303</v>
      </c>
      <c r="T2983" s="127" t="s">
        <v>3805</v>
      </c>
      <c r="U2983" s="40"/>
      <c r="V2983" s="40"/>
      <c r="W2983" s="40"/>
      <c r="X2983" s="106">
        <v>43525</v>
      </c>
      <c r="Y2983" s="106">
        <v>45716</v>
      </c>
    </row>
    <row r="2984" s="9" customFormat="1" customHeight="1" spans="1:25">
      <c r="A2984" s="96" t="s">
        <v>399</v>
      </c>
      <c r="B2984" s="96" t="s">
        <v>2950</v>
      </c>
      <c r="C2984" s="96" t="s">
        <v>2998</v>
      </c>
      <c r="D2984" s="265" t="s">
        <v>2951</v>
      </c>
      <c r="E2984" s="105" t="s">
        <v>3565</v>
      </c>
      <c r="F2984" s="96" t="s">
        <v>3566</v>
      </c>
      <c r="G2984" s="96" t="s">
        <v>88</v>
      </c>
      <c r="H2984" s="19" t="s">
        <v>3736</v>
      </c>
      <c r="I2984" s="23" t="e">
        <f>VLOOKUP(H2984,'合同综合查询数据（3月返）'!$A:$A,1,FALSE)</f>
        <v>#N/A</v>
      </c>
      <c r="J2984" s="24" t="s">
        <v>3074</v>
      </c>
      <c r="K2984" s="96" t="s">
        <v>3737</v>
      </c>
      <c r="L2984" s="114"/>
      <c r="M2984" s="26" t="s">
        <v>3568</v>
      </c>
      <c r="N2984" s="106">
        <v>44330</v>
      </c>
      <c r="O2984" s="94" t="s">
        <v>457</v>
      </c>
      <c r="P2984" s="268">
        <v>5800</v>
      </c>
      <c r="Q2984" s="273">
        <v>6</v>
      </c>
      <c r="R2984" s="268">
        <f t="shared" si="72"/>
        <v>34800</v>
      </c>
      <c r="S2984" s="24">
        <v>202303</v>
      </c>
      <c r="T2984" s="127" t="s">
        <v>3806</v>
      </c>
      <c r="U2984" s="40"/>
      <c r="V2984" s="40"/>
      <c r="W2984" s="40"/>
      <c r="X2984" s="106">
        <v>43525</v>
      </c>
      <c r="Y2984" s="106">
        <v>45716</v>
      </c>
    </row>
    <row r="2985" s="9" customFormat="1" customHeight="1" spans="1:25">
      <c r="A2985" s="96" t="s">
        <v>399</v>
      </c>
      <c r="B2985" s="96" t="s">
        <v>2950</v>
      </c>
      <c r="C2985" s="96" t="s">
        <v>2998</v>
      </c>
      <c r="D2985" s="265" t="s">
        <v>2951</v>
      </c>
      <c r="E2985" s="105" t="s">
        <v>3565</v>
      </c>
      <c r="F2985" s="96" t="s">
        <v>3566</v>
      </c>
      <c r="G2985" s="96" t="s">
        <v>88</v>
      </c>
      <c r="H2985" s="19" t="s">
        <v>3736</v>
      </c>
      <c r="I2985" s="23" t="e">
        <f>VLOOKUP(H2985,'合同综合查询数据（3月返）'!$A:$A,1,FALSE)</f>
        <v>#N/A</v>
      </c>
      <c r="J2985" s="24" t="s">
        <v>3074</v>
      </c>
      <c r="K2985" s="96" t="s">
        <v>3737</v>
      </c>
      <c r="L2985" s="114"/>
      <c r="M2985" s="26" t="s">
        <v>3568</v>
      </c>
      <c r="N2985" s="106">
        <v>44342</v>
      </c>
      <c r="O2985" s="94" t="s">
        <v>457</v>
      </c>
      <c r="P2985" s="268">
        <v>5800</v>
      </c>
      <c r="Q2985" s="273">
        <v>8</v>
      </c>
      <c r="R2985" s="268">
        <f t="shared" si="72"/>
        <v>46400</v>
      </c>
      <c r="S2985" s="24">
        <v>202303</v>
      </c>
      <c r="T2985" s="127" t="s">
        <v>3807</v>
      </c>
      <c r="U2985" s="40"/>
      <c r="V2985" s="40"/>
      <c r="W2985" s="40"/>
      <c r="X2985" s="106">
        <v>43525</v>
      </c>
      <c r="Y2985" s="106">
        <v>45716</v>
      </c>
    </row>
    <row r="2986" s="9" customFormat="1" customHeight="1" spans="1:25">
      <c r="A2986" s="96" t="s">
        <v>399</v>
      </c>
      <c r="B2986" s="96" t="s">
        <v>2950</v>
      </c>
      <c r="C2986" s="96" t="s">
        <v>2998</v>
      </c>
      <c r="D2986" s="265" t="s">
        <v>2951</v>
      </c>
      <c r="E2986" s="105" t="s">
        <v>3565</v>
      </c>
      <c r="F2986" s="96" t="s">
        <v>3566</v>
      </c>
      <c r="G2986" s="96" t="s">
        <v>88</v>
      </c>
      <c r="H2986" s="19" t="s">
        <v>3736</v>
      </c>
      <c r="I2986" s="23" t="e">
        <f>VLOOKUP(H2986,'合同综合查询数据（3月返）'!$A:$A,1,FALSE)</f>
        <v>#N/A</v>
      </c>
      <c r="J2986" s="24" t="s">
        <v>3074</v>
      </c>
      <c r="K2986" s="96" t="s">
        <v>3737</v>
      </c>
      <c r="L2986" s="114"/>
      <c r="M2986" s="26" t="s">
        <v>3679</v>
      </c>
      <c r="N2986" s="106">
        <v>44349</v>
      </c>
      <c r="O2986" s="94" t="s">
        <v>457</v>
      </c>
      <c r="P2986" s="268">
        <v>5800</v>
      </c>
      <c r="Q2986" s="273">
        <v>10</v>
      </c>
      <c r="R2986" s="268">
        <f t="shared" si="72"/>
        <v>58000</v>
      </c>
      <c r="S2986" s="24">
        <v>202303</v>
      </c>
      <c r="T2986" s="127" t="s">
        <v>3808</v>
      </c>
      <c r="U2986" s="40"/>
      <c r="V2986" s="40"/>
      <c r="W2986" s="40"/>
      <c r="X2986" s="106">
        <v>43525</v>
      </c>
      <c r="Y2986" s="106">
        <v>45716</v>
      </c>
    </row>
    <row r="2987" s="9" customFormat="1" customHeight="1" spans="1:25">
      <c r="A2987" s="96" t="s">
        <v>399</v>
      </c>
      <c r="B2987" s="96" t="s">
        <v>2950</v>
      </c>
      <c r="C2987" s="96" t="s">
        <v>2998</v>
      </c>
      <c r="D2987" s="265" t="s">
        <v>2951</v>
      </c>
      <c r="E2987" s="105" t="s">
        <v>3565</v>
      </c>
      <c r="F2987" s="96" t="s">
        <v>3566</v>
      </c>
      <c r="G2987" s="96" t="s">
        <v>88</v>
      </c>
      <c r="H2987" s="19" t="s">
        <v>3736</v>
      </c>
      <c r="I2987" s="23" t="e">
        <f>VLOOKUP(H2987,'合同综合查询数据（3月返）'!$A:$A,1,FALSE)</f>
        <v>#N/A</v>
      </c>
      <c r="J2987" s="24" t="s">
        <v>3074</v>
      </c>
      <c r="K2987" s="96" t="s">
        <v>3737</v>
      </c>
      <c r="L2987" s="114"/>
      <c r="M2987" s="26" t="s">
        <v>3568</v>
      </c>
      <c r="N2987" s="106">
        <v>44358</v>
      </c>
      <c r="O2987" s="94" t="s">
        <v>457</v>
      </c>
      <c r="P2987" s="268">
        <v>5800</v>
      </c>
      <c r="Q2987" s="273">
        <v>2</v>
      </c>
      <c r="R2987" s="268">
        <f t="shared" si="72"/>
        <v>11600</v>
      </c>
      <c r="S2987" s="24">
        <v>202303</v>
      </c>
      <c r="T2987" s="127" t="s">
        <v>3809</v>
      </c>
      <c r="U2987" s="40"/>
      <c r="V2987" s="40"/>
      <c r="W2987" s="40"/>
      <c r="X2987" s="106">
        <v>43525</v>
      </c>
      <c r="Y2987" s="106">
        <v>45716</v>
      </c>
    </row>
    <row r="2988" s="9" customFormat="1" customHeight="1" spans="1:25">
      <c r="A2988" s="96" t="s">
        <v>399</v>
      </c>
      <c r="B2988" s="96" t="s">
        <v>2950</v>
      </c>
      <c r="C2988" s="96" t="s">
        <v>2998</v>
      </c>
      <c r="D2988" s="265" t="s">
        <v>2951</v>
      </c>
      <c r="E2988" s="105" t="s">
        <v>3565</v>
      </c>
      <c r="F2988" s="96" t="s">
        <v>3566</v>
      </c>
      <c r="G2988" s="96" t="s">
        <v>88</v>
      </c>
      <c r="H2988" s="19" t="s">
        <v>3736</v>
      </c>
      <c r="I2988" s="23" t="e">
        <f>VLOOKUP(H2988,'合同综合查询数据（3月返）'!$A:$A,1,FALSE)</f>
        <v>#N/A</v>
      </c>
      <c r="J2988" s="24" t="s">
        <v>3074</v>
      </c>
      <c r="K2988" s="96" t="s">
        <v>3737</v>
      </c>
      <c r="L2988" s="114"/>
      <c r="M2988" s="26" t="s">
        <v>3568</v>
      </c>
      <c r="N2988" s="106">
        <v>44363</v>
      </c>
      <c r="O2988" s="94" t="s">
        <v>457</v>
      </c>
      <c r="P2988" s="268">
        <v>5800</v>
      </c>
      <c r="Q2988" s="273">
        <v>1</v>
      </c>
      <c r="R2988" s="268">
        <f t="shared" si="72"/>
        <v>5800</v>
      </c>
      <c r="S2988" s="24">
        <v>202303</v>
      </c>
      <c r="T2988" s="127" t="s">
        <v>3810</v>
      </c>
      <c r="U2988" s="40"/>
      <c r="V2988" s="40"/>
      <c r="W2988" s="40"/>
      <c r="X2988" s="106">
        <v>43525</v>
      </c>
      <c r="Y2988" s="106">
        <v>45716</v>
      </c>
    </row>
    <row r="2989" s="9" customFormat="1" customHeight="1" spans="1:25">
      <c r="A2989" s="96" t="s">
        <v>399</v>
      </c>
      <c r="B2989" s="96" t="s">
        <v>2950</v>
      </c>
      <c r="C2989" s="96" t="s">
        <v>2998</v>
      </c>
      <c r="D2989" s="265" t="s">
        <v>2951</v>
      </c>
      <c r="E2989" s="105" t="s">
        <v>3565</v>
      </c>
      <c r="F2989" s="96" t="s">
        <v>3566</v>
      </c>
      <c r="G2989" s="96" t="s">
        <v>88</v>
      </c>
      <c r="H2989" s="19" t="s">
        <v>3736</v>
      </c>
      <c r="I2989" s="23" t="e">
        <f>VLOOKUP(H2989,'合同综合查询数据（3月返）'!$A:$A,1,FALSE)</f>
        <v>#N/A</v>
      </c>
      <c r="J2989" s="24" t="s">
        <v>3074</v>
      </c>
      <c r="K2989" s="96" t="s">
        <v>3737</v>
      </c>
      <c r="L2989" s="114"/>
      <c r="M2989" s="26" t="s">
        <v>3568</v>
      </c>
      <c r="N2989" s="106">
        <v>44368</v>
      </c>
      <c r="O2989" s="94" t="s">
        <v>457</v>
      </c>
      <c r="P2989" s="268">
        <v>5800</v>
      </c>
      <c r="Q2989" s="273">
        <v>4</v>
      </c>
      <c r="R2989" s="268">
        <f t="shared" si="72"/>
        <v>23200</v>
      </c>
      <c r="S2989" s="24">
        <v>202303</v>
      </c>
      <c r="T2989" s="127" t="s">
        <v>3811</v>
      </c>
      <c r="U2989" s="40"/>
      <c r="V2989" s="40"/>
      <c r="W2989" s="40"/>
      <c r="X2989" s="106">
        <v>43525</v>
      </c>
      <c r="Y2989" s="106">
        <v>45716</v>
      </c>
    </row>
    <row r="2990" s="9" customFormat="1" customHeight="1" spans="1:25">
      <c r="A2990" s="96" t="s">
        <v>399</v>
      </c>
      <c r="B2990" s="96" t="s">
        <v>2950</v>
      </c>
      <c r="C2990" s="96" t="s">
        <v>2998</v>
      </c>
      <c r="D2990" s="265" t="s">
        <v>2951</v>
      </c>
      <c r="E2990" s="105" t="s">
        <v>3565</v>
      </c>
      <c r="F2990" s="96" t="s">
        <v>3566</v>
      </c>
      <c r="G2990" s="96" t="s">
        <v>88</v>
      </c>
      <c r="H2990" s="19" t="s">
        <v>3736</v>
      </c>
      <c r="I2990" s="23" t="e">
        <f>VLOOKUP(H2990,'合同综合查询数据（3月返）'!$A:$A,1,FALSE)</f>
        <v>#N/A</v>
      </c>
      <c r="J2990" s="24" t="s">
        <v>3074</v>
      </c>
      <c r="K2990" s="96" t="s">
        <v>3737</v>
      </c>
      <c r="L2990" s="40"/>
      <c r="M2990" s="26" t="s">
        <v>3568</v>
      </c>
      <c r="N2990" s="106">
        <v>44382</v>
      </c>
      <c r="O2990" s="94" t="s">
        <v>457</v>
      </c>
      <c r="P2990" s="268">
        <v>5800</v>
      </c>
      <c r="Q2990" s="273">
        <v>70</v>
      </c>
      <c r="R2990" s="268">
        <f t="shared" si="72"/>
        <v>406000</v>
      </c>
      <c r="S2990" s="24">
        <v>202303</v>
      </c>
      <c r="T2990" s="127" t="s">
        <v>3812</v>
      </c>
      <c r="U2990" s="40"/>
      <c r="V2990" s="40"/>
      <c r="W2990" s="40"/>
      <c r="X2990" s="106">
        <v>43525</v>
      </c>
      <c r="Y2990" s="106">
        <v>45716</v>
      </c>
    </row>
    <row r="2991" s="9" customFormat="1" customHeight="1" spans="1:25">
      <c r="A2991" s="96" t="s">
        <v>399</v>
      </c>
      <c r="B2991" s="96" t="s">
        <v>2950</v>
      </c>
      <c r="C2991" s="96" t="s">
        <v>2998</v>
      </c>
      <c r="D2991" s="265" t="s">
        <v>2951</v>
      </c>
      <c r="E2991" s="105" t="s">
        <v>3565</v>
      </c>
      <c r="F2991" s="96" t="s">
        <v>3566</v>
      </c>
      <c r="G2991" s="96" t="s">
        <v>88</v>
      </c>
      <c r="H2991" s="19" t="s">
        <v>3736</v>
      </c>
      <c r="I2991" s="23" t="e">
        <f>VLOOKUP(H2991,'合同综合查询数据（3月返）'!$A:$A,1,FALSE)</f>
        <v>#N/A</v>
      </c>
      <c r="J2991" s="24" t="s">
        <v>3074</v>
      </c>
      <c r="K2991" s="96" t="s">
        <v>3737</v>
      </c>
      <c r="L2991" s="40"/>
      <c r="M2991" s="26" t="s">
        <v>3568</v>
      </c>
      <c r="N2991" s="106">
        <v>44386</v>
      </c>
      <c r="O2991" s="94" t="s">
        <v>457</v>
      </c>
      <c r="P2991" s="268">
        <v>5800</v>
      </c>
      <c r="Q2991" s="273">
        <v>15</v>
      </c>
      <c r="R2991" s="268">
        <f t="shared" si="72"/>
        <v>87000</v>
      </c>
      <c r="S2991" s="24">
        <v>202303</v>
      </c>
      <c r="T2991" s="127" t="s">
        <v>3813</v>
      </c>
      <c r="U2991" s="40"/>
      <c r="V2991" s="40"/>
      <c r="W2991" s="40"/>
      <c r="X2991" s="106">
        <v>43525</v>
      </c>
      <c r="Y2991" s="106">
        <v>45716</v>
      </c>
    </row>
    <row r="2992" s="9" customFormat="1" customHeight="1" spans="1:25">
      <c r="A2992" s="96" t="s">
        <v>399</v>
      </c>
      <c r="B2992" s="96" t="s">
        <v>2950</v>
      </c>
      <c r="C2992" s="96" t="s">
        <v>2998</v>
      </c>
      <c r="D2992" s="265" t="s">
        <v>2951</v>
      </c>
      <c r="E2992" s="105" t="s">
        <v>3565</v>
      </c>
      <c r="F2992" s="96" t="s">
        <v>3566</v>
      </c>
      <c r="G2992" s="96" t="s">
        <v>88</v>
      </c>
      <c r="H2992" s="19" t="s">
        <v>3736</v>
      </c>
      <c r="I2992" s="23" t="e">
        <f>VLOOKUP(H2992,'合同综合查询数据（3月返）'!$A:$A,1,FALSE)</f>
        <v>#N/A</v>
      </c>
      <c r="J2992" s="24" t="s">
        <v>3074</v>
      </c>
      <c r="K2992" s="96" t="s">
        <v>3737</v>
      </c>
      <c r="L2992" s="114"/>
      <c r="M2992" s="26" t="s">
        <v>3568</v>
      </c>
      <c r="N2992" s="106">
        <v>44396</v>
      </c>
      <c r="O2992" s="94" t="s">
        <v>457</v>
      </c>
      <c r="P2992" s="268">
        <v>5800</v>
      </c>
      <c r="Q2992" s="273">
        <v>4</v>
      </c>
      <c r="R2992" s="268">
        <f t="shared" si="72"/>
        <v>23200</v>
      </c>
      <c r="S2992" s="24">
        <v>202303</v>
      </c>
      <c r="T2992" s="127" t="s">
        <v>3814</v>
      </c>
      <c r="U2992" s="40"/>
      <c r="V2992" s="40"/>
      <c r="W2992" s="40"/>
      <c r="X2992" s="106">
        <v>43525</v>
      </c>
      <c r="Y2992" s="106">
        <v>45716</v>
      </c>
    </row>
    <row r="2993" s="9" customFormat="1" customHeight="1" spans="1:25">
      <c r="A2993" s="96" t="s">
        <v>399</v>
      </c>
      <c r="B2993" s="96" t="s">
        <v>2950</v>
      </c>
      <c r="C2993" s="96" t="s">
        <v>2998</v>
      </c>
      <c r="D2993" s="265" t="s">
        <v>2951</v>
      </c>
      <c r="E2993" s="105" t="s">
        <v>3565</v>
      </c>
      <c r="F2993" s="96" t="s">
        <v>3566</v>
      </c>
      <c r="G2993" s="96" t="s">
        <v>88</v>
      </c>
      <c r="H2993" s="19" t="s">
        <v>3736</v>
      </c>
      <c r="I2993" s="23" t="e">
        <f>VLOOKUP(H2993,'合同综合查询数据（3月返）'!$A:$A,1,FALSE)</f>
        <v>#N/A</v>
      </c>
      <c r="J2993" s="24" t="s">
        <v>3074</v>
      </c>
      <c r="K2993" s="96" t="s">
        <v>3737</v>
      </c>
      <c r="L2993" s="114"/>
      <c r="M2993" s="26" t="s">
        <v>3568</v>
      </c>
      <c r="N2993" s="106">
        <v>44407</v>
      </c>
      <c r="O2993" s="94" t="s">
        <v>457</v>
      </c>
      <c r="P2993" s="268">
        <v>5800</v>
      </c>
      <c r="Q2993" s="273">
        <v>8</v>
      </c>
      <c r="R2993" s="268">
        <f t="shared" si="72"/>
        <v>46400</v>
      </c>
      <c r="S2993" s="24">
        <v>202303</v>
      </c>
      <c r="T2993" s="127" t="s">
        <v>3815</v>
      </c>
      <c r="U2993" s="40"/>
      <c r="V2993" s="40"/>
      <c r="W2993" s="40"/>
      <c r="X2993" s="106">
        <v>43525</v>
      </c>
      <c r="Y2993" s="106">
        <v>45716</v>
      </c>
    </row>
    <row r="2994" s="9" customFormat="1" customHeight="1" spans="1:25">
      <c r="A2994" s="96" t="s">
        <v>399</v>
      </c>
      <c r="B2994" s="96" t="s">
        <v>2950</v>
      </c>
      <c r="C2994" s="96" t="s">
        <v>2998</v>
      </c>
      <c r="D2994" s="265" t="s">
        <v>2951</v>
      </c>
      <c r="E2994" s="105" t="s">
        <v>3565</v>
      </c>
      <c r="F2994" s="96" t="s">
        <v>3566</v>
      </c>
      <c r="G2994" s="96" t="s">
        <v>88</v>
      </c>
      <c r="H2994" s="19" t="s">
        <v>3736</v>
      </c>
      <c r="I2994" s="23" t="e">
        <f>VLOOKUP(H2994,'合同综合查询数据（3月返）'!$A:$A,1,FALSE)</f>
        <v>#N/A</v>
      </c>
      <c r="J2994" s="24" t="s">
        <v>3074</v>
      </c>
      <c r="K2994" s="96" t="s">
        <v>3737</v>
      </c>
      <c r="L2994" s="114"/>
      <c r="M2994" s="26" t="s">
        <v>3568</v>
      </c>
      <c r="N2994" s="106">
        <v>44419</v>
      </c>
      <c r="O2994" s="94" t="s">
        <v>457</v>
      </c>
      <c r="P2994" s="268">
        <v>5800</v>
      </c>
      <c r="Q2994" s="273">
        <v>3</v>
      </c>
      <c r="R2994" s="268">
        <f t="shared" si="72"/>
        <v>17400</v>
      </c>
      <c r="S2994" s="24">
        <v>202303</v>
      </c>
      <c r="T2994" s="127" t="s">
        <v>3816</v>
      </c>
      <c r="U2994" s="40"/>
      <c r="V2994" s="40"/>
      <c r="W2994" s="40"/>
      <c r="X2994" s="106">
        <v>43525</v>
      </c>
      <c r="Y2994" s="106">
        <v>45716</v>
      </c>
    </row>
    <row r="2995" s="9" customFormat="1" customHeight="1" spans="1:25">
      <c r="A2995" s="96" t="s">
        <v>399</v>
      </c>
      <c r="B2995" s="96" t="s">
        <v>2950</v>
      </c>
      <c r="C2995" s="96" t="s">
        <v>2998</v>
      </c>
      <c r="D2995" s="265" t="s">
        <v>2951</v>
      </c>
      <c r="E2995" s="105" t="s">
        <v>3565</v>
      </c>
      <c r="F2995" s="96" t="s">
        <v>3566</v>
      </c>
      <c r="G2995" s="96" t="s">
        <v>88</v>
      </c>
      <c r="H2995" s="19" t="s">
        <v>3736</v>
      </c>
      <c r="I2995" s="23" t="e">
        <f>VLOOKUP(H2995,'合同综合查询数据（3月返）'!$A:$A,1,FALSE)</f>
        <v>#N/A</v>
      </c>
      <c r="J2995" s="24" t="s">
        <v>3074</v>
      </c>
      <c r="K2995" s="96" t="s">
        <v>3737</v>
      </c>
      <c r="L2995" s="114"/>
      <c r="M2995" s="26" t="s">
        <v>3568</v>
      </c>
      <c r="N2995" s="106">
        <v>44421</v>
      </c>
      <c r="O2995" s="94" t="s">
        <v>457</v>
      </c>
      <c r="P2995" s="268">
        <v>5800</v>
      </c>
      <c r="Q2995" s="273">
        <v>3</v>
      </c>
      <c r="R2995" s="268">
        <f t="shared" si="72"/>
        <v>17400</v>
      </c>
      <c r="S2995" s="24">
        <v>202303</v>
      </c>
      <c r="T2995" s="127" t="s">
        <v>3817</v>
      </c>
      <c r="U2995" s="40"/>
      <c r="V2995" s="40"/>
      <c r="W2995" s="40"/>
      <c r="X2995" s="106">
        <v>43525</v>
      </c>
      <c r="Y2995" s="106">
        <v>45716</v>
      </c>
    </row>
    <row r="2996" s="9" customFormat="1" customHeight="1" spans="1:25">
      <c r="A2996" s="96" t="s">
        <v>399</v>
      </c>
      <c r="B2996" s="96" t="s">
        <v>2950</v>
      </c>
      <c r="C2996" s="96" t="s">
        <v>2998</v>
      </c>
      <c r="D2996" s="265" t="s">
        <v>2951</v>
      </c>
      <c r="E2996" s="105" t="s">
        <v>3565</v>
      </c>
      <c r="F2996" s="96" t="s">
        <v>3566</v>
      </c>
      <c r="G2996" s="96" t="s">
        <v>88</v>
      </c>
      <c r="H2996" s="19" t="s">
        <v>3736</v>
      </c>
      <c r="I2996" s="23" t="e">
        <f>VLOOKUP(H2996,'合同综合查询数据（3月返）'!$A:$A,1,FALSE)</f>
        <v>#N/A</v>
      </c>
      <c r="J2996" s="24" t="s">
        <v>3074</v>
      </c>
      <c r="K2996" s="96" t="s">
        <v>3737</v>
      </c>
      <c r="L2996" s="114"/>
      <c r="M2996" s="26" t="s">
        <v>3568</v>
      </c>
      <c r="N2996" s="106">
        <v>44422</v>
      </c>
      <c r="O2996" s="94" t="s">
        <v>457</v>
      </c>
      <c r="P2996" s="268">
        <v>5800</v>
      </c>
      <c r="Q2996" s="273">
        <v>48</v>
      </c>
      <c r="R2996" s="268">
        <f t="shared" si="72"/>
        <v>278400</v>
      </c>
      <c r="S2996" s="24">
        <v>202303</v>
      </c>
      <c r="T2996" s="127" t="s">
        <v>3818</v>
      </c>
      <c r="U2996" s="40"/>
      <c r="V2996" s="40"/>
      <c r="W2996" s="40"/>
      <c r="X2996" s="106">
        <v>43525</v>
      </c>
      <c r="Y2996" s="106">
        <v>45716</v>
      </c>
    </row>
    <row r="2997" s="9" customFormat="1" customHeight="1" spans="1:25">
      <c r="A2997" s="96" t="s">
        <v>399</v>
      </c>
      <c r="B2997" s="96" t="s">
        <v>2950</v>
      </c>
      <c r="C2997" s="96" t="s">
        <v>2998</v>
      </c>
      <c r="D2997" s="265" t="s">
        <v>2951</v>
      </c>
      <c r="E2997" s="105" t="s">
        <v>3565</v>
      </c>
      <c r="F2997" s="96" t="s">
        <v>3566</v>
      </c>
      <c r="G2997" s="96" t="s">
        <v>88</v>
      </c>
      <c r="H2997" s="19" t="s">
        <v>3736</v>
      </c>
      <c r="I2997" s="23" t="e">
        <f>VLOOKUP(H2997,'合同综合查询数据（3月返）'!$A:$A,1,FALSE)</f>
        <v>#N/A</v>
      </c>
      <c r="J2997" s="24" t="s">
        <v>3074</v>
      </c>
      <c r="K2997" s="96" t="s">
        <v>3737</v>
      </c>
      <c r="L2997" s="114"/>
      <c r="M2997" s="26" t="s">
        <v>3568</v>
      </c>
      <c r="N2997" s="106">
        <v>44439</v>
      </c>
      <c r="O2997" s="94" t="s">
        <v>457</v>
      </c>
      <c r="P2997" s="268">
        <v>5800</v>
      </c>
      <c r="Q2997" s="273">
        <v>10</v>
      </c>
      <c r="R2997" s="268">
        <f t="shared" si="72"/>
        <v>58000</v>
      </c>
      <c r="S2997" s="24">
        <v>202303</v>
      </c>
      <c r="T2997" s="127" t="s">
        <v>3819</v>
      </c>
      <c r="U2997" s="40"/>
      <c r="V2997" s="40"/>
      <c r="W2997" s="40"/>
      <c r="X2997" s="106">
        <v>43525</v>
      </c>
      <c r="Y2997" s="106">
        <v>45716</v>
      </c>
    </row>
    <row r="2998" s="9" customFormat="1" customHeight="1" spans="1:25">
      <c r="A2998" s="96" t="s">
        <v>399</v>
      </c>
      <c r="B2998" s="96" t="s">
        <v>2950</v>
      </c>
      <c r="C2998" s="96" t="s">
        <v>2998</v>
      </c>
      <c r="D2998" s="265" t="s">
        <v>2951</v>
      </c>
      <c r="E2998" s="105" t="s">
        <v>3565</v>
      </c>
      <c r="F2998" s="96" t="s">
        <v>3566</v>
      </c>
      <c r="G2998" s="96" t="s">
        <v>88</v>
      </c>
      <c r="H2998" s="19" t="s">
        <v>3736</v>
      </c>
      <c r="I2998" s="23" t="e">
        <f>VLOOKUP(H2998,'合同综合查询数据（3月返）'!$A:$A,1,FALSE)</f>
        <v>#N/A</v>
      </c>
      <c r="J2998" s="24" t="s">
        <v>3074</v>
      </c>
      <c r="K2998" s="96" t="s">
        <v>3737</v>
      </c>
      <c r="L2998" s="114"/>
      <c r="M2998" s="26" t="s">
        <v>3568</v>
      </c>
      <c r="N2998" s="106">
        <v>44552</v>
      </c>
      <c r="O2998" s="94" t="s">
        <v>457</v>
      </c>
      <c r="P2998" s="268">
        <v>5800</v>
      </c>
      <c r="Q2998" s="273">
        <v>4</v>
      </c>
      <c r="R2998" s="268">
        <f t="shared" si="72"/>
        <v>23200</v>
      </c>
      <c r="S2998" s="24">
        <v>202303</v>
      </c>
      <c r="T2998" s="127" t="s">
        <v>3820</v>
      </c>
      <c r="U2998" s="40"/>
      <c r="V2998" s="40"/>
      <c r="W2998" s="40"/>
      <c r="X2998" s="106">
        <v>43525</v>
      </c>
      <c r="Y2998" s="106">
        <v>45716</v>
      </c>
    </row>
    <row r="2999" s="9" customFormat="1" customHeight="1" spans="1:25">
      <c r="A2999" s="96" t="s">
        <v>399</v>
      </c>
      <c r="B2999" s="96" t="s">
        <v>2950</v>
      </c>
      <c r="C2999" s="96" t="s">
        <v>2998</v>
      </c>
      <c r="D2999" s="265" t="s">
        <v>2951</v>
      </c>
      <c r="E2999" s="105" t="s">
        <v>3565</v>
      </c>
      <c r="F2999" s="96" t="s">
        <v>3566</v>
      </c>
      <c r="G2999" s="96" t="s">
        <v>88</v>
      </c>
      <c r="H2999" s="19" t="s">
        <v>3736</v>
      </c>
      <c r="I2999" s="23" t="e">
        <f>VLOOKUP(H2999,'合同综合查询数据（3月返）'!$A:$A,1,FALSE)</f>
        <v>#N/A</v>
      </c>
      <c r="J2999" s="24" t="s">
        <v>3074</v>
      </c>
      <c r="K2999" s="96" t="s">
        <v>3737</v>
      </c>
      <c r="L2999" s="114"/>
      <c r="M2999" s="26" t="s">
        <v>3568</v>
      </c>
      <c r="N2999" s="106">
        <v>44560</v>
      </c>
      <c r="O2999" s="94" t="s">
        <v>457</v>
      </c>
      <c r="P2999" s="268">
        <v>5800</v>
      </c>
      <c r="Q2999" s="273">
        <v>27</v>
      </c>
      <c r="R2999" s="268">
        <f t="shared" si="72"/>
        <v>156600</v>
      </c>
      <c r="S2999" s="24">
        <v>202303</v>
      </c>
      <c r="T2999" s="127" t="s">
        <v>3821</v>
      </c>
      <c r="U2999" s="40"/>
      <c r="V2999" s="40"/>
      <c r="W2999" s="40"/>
      <c r="X2999" s="106">
        <v>43525</v>
      </c>
      <c r="Y2999" s="106">
        <v>45716</v>
      </c>
    </row>
    <row r="3000" s="9" customFormat="1" customHeight="1" spans="1:25">
      <c r="A3000" s="96" t="s">
        <v>399</v>
      </c>
      <c r="B3000" s="96" t="s">
        <v>2950</v>
      </c>
      <c r="C3000" s="96" t="s">
        <v>2998</v>
      </c>
      <c r="D3000" s="265" t="s">
        <v>2951</v>
      </c>
      <c r="E3000" s="105" t="s">
        <v>3565</v>
      </c>
      <c r="F3000" s="96" t="s">
        <v>3566</v>
      </c>
      <c r="G3000" s="96" t="s">
        <v>88</v>
      </c>
      <c r="H3000" s="19" t="s">
        <v>3736</v>
      </c>
      <c r="I3000" s="23" t="e">
        <f>VLOOKUP(H3000,'合同综合查询数据（3月返）'!$A:$A,1,FALSE)</f>
        <v>#N/A</v>
      </c>
      <c r="J3000" s="24" t="s">
        <v>3074</v>
      </c>
      <c r="K3000" s="96" t="s">
        <v>3737</v>
      </c>
      <c r="L3000" s="114"/>
      <c r="M3000" s="26" t="s">
        <v>3568</v>
      </c>
      <c r="N3000" s="106">
        <v>44620</v>
      </c>
      <c r="O3000" s="94" t="s">
        <v>457</v>
      </c>
      <c r="P3000" s="268">
        <v>5800</v>
      </c>
      <c r="Q3000" s="273">
        <v>4</v>
      </c>
      <c r="R3000" s="268">
        <f t="shared" si="72"/>
        <v>23200</v>
      </c>
      <c r="S3000" s="24">
        <v>202303</v>
      </c>
      <c r="T3000" s="127" t="s">
        <v>3822</v>
      </c>
      <c r="U3000" s="40"/>
      <c r="V3000" s="40"/>
      <c r="W3000" s="40"/>
      <c r="X3000" s="106">
        <v>43525</v>
      </c>
      <c r="Y3000" s="106">
        <v>45716</v>
      </c>
    </row>
    <row r="3001" s="9" customFormat="1" customHeight="1" spans="1:25">
      <c r="A3001" s="96" t="s">
        <v>399</v>
      </c>
      <c r="B3001" s="96" t="s">
        <v>2950</v>
      </c>
      <c r="C3001" s="96" t="s">
        <v>2998</v>
      </c>
      <c r="D3001" s="265" t="s">
        <v>2951</v>
      </c>
      <c r="E3001" s="105" t="s">
        <v>3565</v>
      </c>
      <c r="F3001" s="96" t="s">
        <v>3566</v>
      </c>
      <c r="G3001" s="96" t="s">
        <v>88</v>
      </c>
      <c r="H3001" s="19" t="s">
        <v>3736</v>
      </c>
      <c r="I3001" s="23" t="e">
        <f>VLOOKUP(H3001,'合同综合查询数据（3月返）'!$A:$A,1,FALSE)</f>
        <v>#N/A</v>
      </c>
      <c r="J3001" s="24" t="s">
        <v>3074</v>
      </c>
      <c r="K3001" s="96" t="s">
        <v>3737</v>
      </c>
      <c r="L3001" s="114"/>
      <c r="M3001" s="26" t="s">
        <v>3568</v>
      </c>
      <c r="N3001" s="106">
        <v>44621</v>
      </c>
      <c r="O3001" s="94" t="s">
        <v>457</v>
      </c>
      <c r="P3001" s="268">
        <v>5800</v>
      </c>
      <c r="Q3001" s="273">
        <v>1</v>
      </c>
      <c r="R3001" s="268">
        <f t="shared" si="72"/>
        <v>5800</v>
      </c>
      <c r="S3001" s="24">
        <v>202303</v>
      </c>
      <c r="T3001" s="127" t="s">
        <v>3823</v>
      </c>
      <c r="U3001" s="40"/>
      <c r="V3001" s="40"/>
      <c r="W3001" s="40"/>
      <c r="X3001" s="106">
        <v>43525</v>
      </c>
      <c r="Y3001" s="106">
        <v>45716</v>
      </c>
    </row>
    <row r="3002" s="9" customFormat="1" customHeight="1" spans="1:25">
      <c r="A3002" s="96" t="s">
        <v>399</v>
      </c>
      <c r="B3002" s="96" t="s">
        <v>2950</v>
      </c>
      <c r="C3002" s="96" t="s">
        <v>2998</v>
      </c>
      <c r="D3002" s="265" t="s">
        <v>2951</v>
      </c>
      <c r="E3002" s="105" t="s">
        <v>3565</v>
      </c>
      <c r="F3002" s="96" t="s">
        <v>3566</v>
      </c>
      <c r="G3002" s="96" t="s">
        <v>88</v>
      </c>
      <c r="H3002" s="19" t="s">
        <v>3736</v>
      </c>
      <c r="I3002" s="23" t="e">
        <f>VLOOKUP(H3002,'合同综合查询数据（3月返）'!$A:$A,1,FALSE)</f>
        <v>#N/A</v>
      </c>
      <c r="J3002" s="24" t="s">
        <v>3074</v>
      </c>
      <c r="K3002" s="96" t="s">
        <v>3737</v>
      </c>
      <c r="L3002" s="114"/>
      <c r="M3002" s="26" t="s">
        <v>3568</v>
      </c>
      <c r="N3002" s="106">
        <v>44650</v>
      </c>
      <c r="O3002" s="94" t="s">
        <v>457</v>
      </c>
      <c r="P3002" s="268">
        <v>5800</v>
      </c>
      <c r="Q3002" s="273">
        <v>-3</v>
      </c>
      <c r="R3002" s="268">
        <f t="shared" si="72"/>
        <v>-17400</v>
      </c>
      <c r="S3002" s="24">
        <v>202303</v>
      </c>
      <c r="T3002" s="127" t="s">
        <v>3824</v>
      </c>
      <c r="U3002" s="40"/>
      <c r="V3002" s="40"/>
      <c r="W3002" s="40"/>
      <c r="X3002" s="106">
        <v>43525</v>
      </c>
      <c r="Y3002" s="106">
        <v>45716</v>
      </c>
    </row>
    <row r="3003" s="9" customFormat="1" customHeight="1" spans="1:25">
      <c r="A3003" s="96" t="s">
        <v>399</v>
      </c>
      <c r="B3003" s="96" t="s">
        <v>2950</v>
      </c>
      <c r="C3003" s="96" t="s">
        <v>2998</v>
      </c>
      <c r="D3003" s="265" t="s">
        <v>2951</v>
      </c>
      <c r="E3003" s="105" t="s">
        <v>3565</v>
      </c>
      <c r="F3003" s="96" t="s">
        <v>3566</v>
      </c>
      <c r="G3003" s="96" t="s">
        <v>88</v>
      </c>
      <c r="H3003" s="19" t="s">
        <v>3736</v>
      </c>
      <c r="I3003" s="23" t="e">
        <f>VLOOKUP(H3003,'合同综合查询数据（3月返）'!$A:$A,1,FALSE)</f>
        <v>#N/A</v>
      </c>
      <c r="J3003" s="24" t="s">
        <v>3074</v>
      </c>
      <c r="K3003" s="96" t="s">
        <v>3737</v>
      </c>
      <c r="L3003" s="114"/>
      <c r="M3003" s="26" t="s">
        <v>3568</v>
      </c>
      <c r="N3003" s="106">
        <v>44725</v>
      </c>
      <c r="O3003" s="94" t="s">
        <v>574</v>
      </c>
      <c r="P3003" s="268">
        <v>20284</v>
      </c>
      <c r="Q3003" s="273">
        <v>2</v>
      </c>
      <c r="R3003" s="268">
        <f t="shared" si="72"/>
        <v>40568</v>
      </c>
      <c r="S3003" s="24">
        <v>202303</v>
      </c>
      <c r="T3003" s="127" t="s">
        <v>3825</v>
      </c>
      <c r="U3003" s="40"/>
      <c r="V3003" s="40"/>
      <c r="W3003" s="40"/>
      <c r="X3003" s="106">
        <v>43525</v>
      </c>
      <c r="Y3003" s="106">
        <v>45716</v>
      </c>
    </row>
    <row r="3004" s="9" customFormat="1" customHeight="1" spans="1:25">
      <c r="A3004" s="96" t="s">
        <v>399</v>
      </c>
      <c r="B3004" s="96" t="s">
        <v>2950</v>
      </c>
      <c r="C3004" s="96" t="s">
        <v>2998</v>
      </c>
      <c r="D3004" s="265" t="s">
        <v>2951</v>
      </c>
      <c r="E3004" s="105" t="s">
        <v>3565</v>
      </c>
      <c r="F3004" s="96" t="s">
        <v>3566</v>
      </c>
      <c r="G3004" s="96" t="s">
        <v>88</v>
      </c>
      <c r="H3004" s="19" t="s">
        <v>3736</v>
      </c>
      <c r="I3004" s="23" t="e">
        <f>VLOOKUP(H3004,'合同综合查询数据（3月返）'!$A:$A,1,FALSE)</f>
        <v>#N/A</v>
      </c>
      <c r="J3004" s="24" t="s">
        <v>3074</v>
      </c>
      <c r="K3004" s="96" t="s">
        <v>3737</v>
      </c>
      <c r="L3004" s="114"/>
      <c r="M3004" s="26" t="s">
        <v>3568</v>
      </c>
      <c r="N3004" s="106">
        <v>44734</v>
      </c>
      <c r="O3004" s="94" t="s">
        <v>457</v>
      </c>
      <c r="P3004" s="268">
        <v>5800</v>
      </c>
      <c r="Q3004" s="273">
        <v>5</v>
      </c>
      <c r="R3004" s="268">
        <f t="shared" si="72"/>
        <v>29000</v>
      </c>
      <c r="S3004" s="24">
        <v>202303</v>
      </c>
      <c r="T3004" s="127" t="s">
        <v>3826</v>
      </c>
      <c r="U3004" s="40"/>
      <c r="V3004" s="40"/>
      <c r="W3004" s="40"/>
      <c r="X3004" s="106">
        <v>43525</v>
      </c>
      <c r="Y3004" s="106">
        <v>45716</v>
      </c>
    </row>
    <row r="3005" s="9" customFormat="1" customHeight="1" spans="1:25">
      <c r="A3005" s="96" t="s">
        <v>399</v>
      </c>
      <c r="B3005" s="96" t="s">
        <v>2950</v>
      </c>
      <c r="C3005" s="96" t="s">
        <v>2998</v>
      </c>
      <c r="D3005" s="265" t="s">
        <v>2951</v>
      </c>
      <c r="E3005" s="105" t="s">
        <v>3565</v>
      </c>
      <c r="F3005" s="96" t="s">
        <v>3566</v>
      </c>
      <c r="G3005" s="96" t="s">
        <v>88</v>
      </c>
      <c r="H3005" s="19" t="s">
        <v>3736</v>
      </c>
      <c r="I3005" s="23" t="e">
        <f>VLOOKUP(H3005,'合同综合查询数据（3月返）'!$A:$A,1,FALSE)</f>
        <v>#N/A</v>
      </c>
      <c r="J3005" s="24" t="s">
        <v>3074</v>
      </c>
      <c r="K3005" s="96" t="s">
        <v>3737</v>
      </c>
      <c r="L3005" s="114"/>
      <c r="M3005" s="26" t="s">
        <v>3568</v>
      </c>
      <c r="N3005" s="106">
        <v>44748</v>
      </c>
      <c r="O3005" s="94" t="s">
        <v>457</v>
      </c>
      <c r="P3005" s="268">
        <v>5800</v>
      </c>
      <c r="Q3005" s="273">
        <v>4</v>
      </c>
      <c r="R3005" s="268">
        <f t="shared" si="72"/>
        <v>23200</v>
      </c>
      <c r="S3005" s="24">
        <v>202303</v>
      </c>
      <c r="T3005" s="127" t="s">
        <v>3827</v>
      </c>
      <c r="U3005" s="40"/>
      <c r="V3005" s="40"/>
      <c r="W3005" s="40"/>
      <c r="X3005" s="106">
        <v>43525</v>
      </c>
      <c r="Y3005" s="106">
        <v>45716</v>
      </c>
    </row>
    <row r="3006" s="9" customFormat="1" customHeight="1" spans="1:25">
      <c r="A3006" s="96" t="s">
        <v>399</v>
      </c>
      <c r="B3006" s="96" t="s">
        <v>2950</v>
      </c>
      <c r="C3006" s="96" t="s">
        <v>2998</v>
      </c>
      <c r="D3006" s="265" t="s">
        <v>2951</v>
      </c>
      <c r="E3006" s="105" t="s">
        <v>3565</v>
      </c>
      <c r="F3006" s="96" t="s">
        <v>3566</v>
      </c>
      <c r="G3006" s="96" t="s">
        <v>88</v>
      </c>
      <c r="H3006" s="19" t="s">
        <v>3736</v>
      </c>
      <c r="I3006" s="23" t="e">
        <f>VLOOKUP(H3006,'合同综合查询数据（3月返）'!$A:$A,1,FALSE)</f>
        <v>#N/A</v>
      </c>
      <c r="J3006" s="24" t="s">
        <v>3074</v>
      </c>
      <c r="K3006" s="96" t="s">
        <v>3737</v>
      </c>
      <c r="L3006" s="114"/>
      <c r="M3006" s="26" t="s">
        <v>3568</v>
      </c>
      <c r="N3006" s="106">
        <v>44755</v>
      </c>
      <c r="O3006" s="94" t="s">
        <v>457</v>
      </c>
      <c r="P3006" s="268">
        <v>5800</v>
      </c>
      <c r="Q3006" s="273">
        <v>1</v>
      </c>
      <c r="R3006" s="268">
        <f t="shared" si="72"/>
        <v>5800</v>
      </c>
      <c r="S3006" s="24">
        <v>202303</v>
      </c>
      <c r="T3006" s="97" t="s">
        <v>3828</v>
      </c>
      <c r="U3006" s="40"/>
      <c r="V3006" s="40"/>
      <c r="W3006" s="40"/>
      <c r="X3006" s="106">
        <v>43525</v>
      </c>
      <c r="Y3006" s="106">
        <v>45716</v>
      </c>
    </row>
    <row r="3007" s="9" customFormat="1" customHeight="1" spans="1:25">
      <c r="A3007" s="96" t="s">
        <v>399</v>
      </c>
      <c r="B3007" s="96" t="s">
        <v>2950</v>
      </c>
      <c r="C3007" s="96" t="s">
        <v>2998</v>
      </c>
      <c r="D3007" s="265" t="s">
        <v>2951</v>
      </c>
      <c r="E3007" s="105" t="s">
        <v>3565</v>
      </c>
      <c r="F3007" s="96" t="s">
        <v>3566</v>
      </c>
      <c r="G3007" s="96" t="s">
        <v>88</v>
      </c>
      <c r="H3007" s="19" t="s">
        <v>3736</v>
      </c>
      <c r="I3007" s="23" t="e">
        <f>VLOOKUP(H3007,'合同综合查询数据（3月返）'!$A:$A,1,FALSE)</f>
        <v>#N/A</v>
      </c>
      <c r="J3007" s="24" t="s">
        <v>3074</v>
      </c>
      <c r="K3007" s="96" t="s">
        <v>3737</v>
      </c>
      <c r="L3007" s="114"/>
      <c r="M3007" s="26" t="s">
        <v>3679</v>
      </c>
      <c r="N3007" s="106">
        <v>44776</v>
      </c>
      <c r="O3007" s="94" t="s">
        <v>457</v>
      </c>
      <c r="P3007" s="268">
        <v>5800</v>
      </c>
      <c r="Q3007" s="273">
        <v>1</v>
      </c>
      <c r="R3007" s="268">
        <f t="shared" si="72"/>
        <v>5800</v>
      </c>
      <c r="S3007" s="24">
        <v>202303</v>
      </c>
      <c r="T3007" s="97" t="s">
        <v>3829</v>
      </c>
      <c r="U3007" s="40"/>
      <c r="V3007" s="40"/>
      <c r="W3007" s="40"/>
      <c r="X3007" s="106">
        <v>43525</v>
      </c>
      <c r="Y3007" s="106">
        <v>45716</v>
      </c>
    </row>
    <row r="3008" s="9" customFormat="1" customHeight="1" spans="1:25">
      <c r="A3008" s="96" t="s">
        <v>399</v>
      </c>
      <c r="B3008" s="96" t="s">
        <v>2950</v>
      </c>
      <c r="C3008" s="96" t="s">
        <v>2998</v>
      </c>
      <c r="D3008" s="265" t="s">
        <v>2951</v>
      </c>
      <c r="E3008" s="105" t="s">
        <v>3565</v>
      </c>
      <c r="F3008" s="96" t="s">
        <v>3566</v>
      </c>
      <c r="G3008" s="96" t="s">
        <v>88</v>
      </c>
      <c r="H3008" s="19" t="s">
        <v>3736</v>
      </c>
      <c r="I3008" s="23" t="e">
        <f>VLOOKUP(H3008,'合同综合查询数据（3月返）'!$A:$A,1,FALSE)</f>
        <v>#N/A</v>
      </c>
      <c r="J3008" s="24" t="s">
        <v>3074</v>
      </c>
      <c r="K3008" s="96" t="s">
        <v>3737</v>
      </c>
      <c r="L3008" s="114"/>
      <c r="M3008" s="26" t="s">
        <v>3568</v>
      </c>
      <c r="N3008" s="106">
        <v>44806</v>
      </c>
      <c r="O3008" s="94" t="s">
        <v>457</v>
      </c>
      <c r="P3008" s="268">
        <v>5800</v>
      </c>
      <c r="Q3008" s="273">
        <v>3</v>
      </c>
      <c r="R3008" s="268">
        <f t="shared" si="72"/>
        <v>17400</v>
      </c>
      <c r="S3008" s="24">
        <v>202303</v>
      </c>
      <c r="T3008" s="97" t="s">
        <v>3830</v>
      </c>
      <c r="U3008" s="40"/>
      <c r="V3008" s="40"/>
      <c r="W3008" s="40"/>
      <c r="X3008" s="106">
        <v>43525</v>
      </c>
      <c r="Y3008" s="106">
        <v>45716</v>
      </c>
    </row>
    <row r="3009" s="9" customFormat="1" customHeight="1" spans="1:25">
      <c r="A3009" s="96" t="s">
        <v>399</v>
      </c>
      <c r="B3009" s="96" t="s">
        <v>2950</v>
      </c>
      <c r="C3009" s="96" t="s">
        <v>2998</v>
      </c>
      <c r="D3009" s="265" t="s">
        <v>2951</v>
      </c>
      <c r="E3009" s="105" t="s">
        <v>3565</v>
      </c>
      <c r="F3009" s="96" t="s">
        <v>3566</v>
      </c>
      <c r="G3009" s="96" t="s">
        <v>88</v>
      </c>
      <c r="H3009" s="19" t="s">
        <v>3736</v>
      </c>
      <c r="I3009" s="23" t="e">
        <f>VLOOKUP(H3009,'合同综合查询数据（3月返）'!$A:$A,1,FALSE)</f>
        <v>#N/A</v>
      </c>
      <c r="J3009" s="24" t="s">
        <v>3074</v>
      </c>
      <c r="K3009" s="96" t="s">
        <v>3737</v>
      </c>
      <c r="L3009" s="114"/>
      <c r="M3009" s="26" t="s">
        <v>3568</v>
      </c>
      <c r="N3009" s="106">
        <v>44810</v>
      </c>
      <c r="O3009" s="94" t="s">
        <v>457</v>
      </c>
      <c r="P3009" s="268">
        <v>5800</v>
      </c>
      <c r="Q3009" s="273">
        <v>4</v>
      </c>
      <c r="R3009" s="268">
        <f t="shared" si="72"/>
        <v>23200</v>
      </c>
      <c r="S3009" s="24">
        <v>202303</v>
      </c>
      <c r="T3009" s="97" t="s">
        <v>3831</v>
      </c>
      <c r="U3009" s="40"/>
      <c r="V3009" s="40"/>
      <c r="W3009" s="40"/>
      <c r="X3009" s="106">
        <v>43525</v>
      </c>
      <c r="Y3009" s="106">
        <v>45716</v>
      </c>
    </row>
    <row r="3010" s="9" customFormat="1" customHeight="1" spans="1:25">
      <c r="A3010" s="96" t="s">
        <v>399</v>
      </c>
      <c r="B3010" s="96" t="s">
        <v>2950</v>
      </c>
      <c r="C3010" s="96" t="s">
        <v>2998</v>
      </c>
      <c r="D3010" s="265" t="s">
        <v>2951</v>
      </c>
      <c r="E3010" s="105" t="s">
        <v>3565</v>
      </c>
      <c r="F3010" s="96" t="s">
        <v>3566</v>
      </c>
      <c r="G3010" s="96" t="s">
        <v>88</v>
      </c>
      <c r="H3010" s="19" t="s">
        <v>3736</v>
      </c>
      <c r="I3010" s="23" t="e">
        <f>VLOOKUP(H3010,'合同综合查询数据（3月返）'!$A:$A,1,FALSE)</f>
        <v>#N/A</v>
      </c>
      <c r="J3010" s="24" t="s">
        <v>3074</v>
      </c>
      <c r="K3010" s="96" t="s">
        <v>3737</v>
      </c>
      <c r="L3010" s="114"/>
      <c r="M3010" s="26" t="s">
        <v>3568</v>
      </c>
      <c r="N3010" s="106">
        <v>44831</v>
      </c>
      <c r="O3010" s="94" t="s">
        <v>457</v>
      </c>
      <c r="P3010" s="268">
        <v>5800</v>
      </c>
      <c r="Q3010" s="273">
        <v>16</v>
      </c>
      <c r="R3010" s="268">
        <f t="shared" si="72"/>
        <v>92800</v>
      </c>
      <c r="S3010" s="24">
        <v>202303</v>
      </c>
      <c r="T3010" s="97" t="s">
        <v>3832</v>
      </c>
      <c r="U3010" s="40"/>
      <c r="V3010" s="40"/>
      <c r="W3010" s="40"/>
      <c r="X3010" s="106">
        <v>43525</v>
      </c>
      <c r="Y3010" s="106">
        <v>45716</v>
      </c>
    </row>
    <row r="3011" s="9" customFormat="1" customHeight="1" spans="1:25">
      <c r="A3011" s="96" t="s">
        <v>399</v>
      </c>
      <c r="B3011" s="96" t="s">
        <v>2950</v>
      </c>
      <c r="C3011" s="96" t="s">
        <v>2998</v>
      </c>
      <c r="D3011" s="265" t="s">
        <v>2951</v>
      </c>
      <c r="E3011" s="105" t="s">
        <v>3565</v>
      </c>
      <c r="F3011" s="96" t="s">
        <v>3566</v>
      </c>
      <c r="G3011" s="96" t="s">
        <v>88</v>
      </c>
      <c r="H3011" s="19" t="s">
        <v>3736</v>
      </c>
      <c r="I3011" s="23" t="e">
        <f>VLOOKUP(H3011,'合同综合查询数据（3月返）'!$A:$A,1,FALSE)</f>
        <v>#N/A</v>
      </c>
      <c r="J3011" s="24" t="s">
        <v>3074</v>
      </c>
      <c r="K3011" s="96" t="s">
        <v>3737</v>
      </c>
      <c r="L3011" s="114"/>
      <c r="M3011" s="26" t="s">
        <v>3568</v>
      </c>
      <c r="N3011" s="106">
        <v>44865</v>
      </c>
      <c r="O3011" s="94" t="s">
        <v>457</v>
      </c>
      <c r="P3011" s="268">
        <v>5800</v>
      </c>
      <c r="Q3011" s="273">
        <v>15</v>
      </c>
      <c r="R3011" s="268">
        <f t="shared" si="72"/>
        <v>87000</v>
      </c>
      <c r="S3011" s="24">
        <v>202303</v>
      </c>
      <c r="T3011" s="97" t="s">
        <v>3833</v>
      </c>
      <c r="U3011" s="40"/>
      <c r="V3011" s="40"/>
      <c r="W3011" s="40"/>
      <c r="X3011" s="106">
        <v>43525</v>
      </c>
      <c r="Y3011" s="106">
        <v>45716</v>
      </c>
    </row>
    <row r="3012" s="9" customFormat="1" customHeight="1" spans="1:25">
      <c r="A3012" s="96" t="s">
        <v>399</v>
      </c>
      <c r="B3012" s="96" t="s">
        <v>2950</v>
      </c>
      <c r="C3012" s="96" t="s">
        <v>2998</v>
      </c>
      <c r="D3012" s="265" t="s">
        <v>2951</v>
      </c>
      <c r="E3012" s="105" t="s">
        <v>3565</v>
      </c>
      <c r="F3012" s="96" t="s">
        <v>3566</v>
      </c>
      <c r="G3012" s="96" t="s">
        <v>88</v>
      </c>
      <c r="H3012" s="19" t="s">
        <v>3736</v>
      </c>
      <c r="I3012" s="23" t="e">
        <f>VLOOKUP(H3012,'合同综合查询数据（3月返）'!$A:$A,1,FALSE)</f>
        <v>#N/A</v>
      </c>
      <c r="J3012" s="24" t="s">
        <v>3074</v>
      </c>
      <c r="K3012" s="96" t="s">
        <v>3737</v>
      </c>
      <c r="L3012" s="114"/>
      <c r="M3012" s="26" t="s">
        <v>3568</v>
      </c>
      <c r="N3012" s="106">
        <v>44873</v>
      </c>
      <c r="O3012" s="94" t="s">
        <v>457</v>
      </c>
      <c r="P3012" s="268">
        <v>5800</v>
      </c>
      <c r="Q3012" s="273">
        <v>4</v>
      </c>
      <c r="R3012" s="268">
        <f t="shared" si="72"/>
        <v>23200</v>
      </c>
      <c r="S3012" s="24">
        <v>202303</v>
      </c>
      <c r="T3012" s="97" t="s">
        <v>3834</v>
      </c>
      <c r="U3012" s="40"/>
      <c r="V3012" s="40"/>
      <c r="W3012" s="40"/>
      <c r="X3012" s="106">
        <v>43525</v>
      </c>
      <c r="Y3012" s="106">
        <v>45716</v>
      </c>
    </row>
    <row r="3013" s="9" customFormat="1" customHeight="1" spans="1:25">
      <c r="A3013" s="96" t="s">
        <v>399</v>
      </c>
      <c r="B3013" s="96" t="s">
        <v>2950</v>
      </c>
      <c r="C3013" s="96" t="s">
        <v>2998</v>
      </c>
      <c r="D3013" s="265" t="s">
        <v>2951</v>
      </c>
      <c r="E3013" s="105" t="s">
        <v>3565</v>
      </c>
      <c r="F3013" s="96" t="s">
        <v>3566</v>
      </c>
      <c r="G3013" s="96" t="s">
        <v>88</v>
      </c>
      <c r="H3013" s="19" t="s">
        <v>3736</v>
      </c>
      <c r="I3013" s="23" t="e">
        <f>VLOOKUP(H3013,'合同综合查询数据（3月返）'!$A:$A,1,FALSE)</f>
        <v>#N/A</v>
      </c>
      <c r="J3013" s="24" t="s">
        <v>3074</v>
      </c>
      <c r="K3013" s="96" t="s">
        <v>3737</v>
      </c>
      <c r="L3013" s="114"/>
      <c r="M3013" s="26" t="s">
        <v>3568</v>
      </c>
      <c r="N3013" s="106">
        <v>44895</v>
      </c>
      <c r="O3013" s="94" t="s">
        <v>574</v>
      </c>
      <c r="P3013" s="268">
        <v>20284</v>
      </c>
      <c r="Q3013" s="273">
        <v>2</v>
      </c>
      <c r="R3013" s="268">
        <f t="shared" si="72"/>
        <v>40568</v>
      </c>
      <c r="S3013" s="24">
        <v>202303</v>
      </c>
      <c r="T3013" s="97" t="s">
        <v>3835</v>
      </c>
      <c r="U3013" s="40"/>
      <c r="V3013" s="40"/>
      <c r="W3013" s="40"/>
      <c r="X3013" s="106">
        <v>43525</v>
      </c>
      <c r="Y3013" s="106">
        <v>45716</v>
      </c>
    </row>
    <row r="3014" s="9" customFormat="1" customHeight="1" spans="1:25">
      <c r="A3014" s="96" t="s">
        <v>399</v>
      </c>
      <c r="B3014" s="96" t="s">
        <v>2950</v>
      </c>
      <c r="C3014" s="96" t="s">
        <v>2998</v>
      </c>
      <c r="D3014" s="265" t="s">
        <v>2951</v>
      </c>
      <c r="E3014" s="105" t="s">
        <v>3565</v>
      </c>
      <c r="F3014" s="96" t="s">
        <v>3566</v>
      </c>
      <c r="G3014" s="96" t="s">
        <v>78</v>
      </c>
      <c r="H3014" s="19" t="s">
        <v>3736</v>
      </c>
      <c r="I3014" s="23" t="e">
        <f>VLOOKUP(H3014,'合同综合查询数据（3月返）'!$A:$A,1,FALSE)</f>
        <v>#N/A</v>
      </c>
      <c r="J3014" s="24" t="s">
        <v>475</v>
      </c>
      <c r="K3014" s="96" t="s">
        <v>3836</v>
      </c>
      <c r="L3014" s="114"/>
      <c r="M3014" s="26" t="s">
        <v>3568</v>
      </c>
      <c r="N3014" s="106"/>
      <c r="O3014" s="40">
        <v>0</v>
      </c>
      <c r="P3014" s="268">
        <v>3412</v>
      </c>
      <c r="Q3014" s="273">
        <v>0</v>
      </c>
      <c r="R3014" s="268">
        <f t="shared" si="72"/>
        <v>0</v>
      </c>
      <c r="S3014" s="24">
        <v>202303</v>
      </c>
      <c r="T3014" s="127" t="s">
        <v>3837</v>
      </c>
      <c r="U3014" s="40"/>
      <c r="V3014" s="40"/>
      <c r="W3014" s="40"/>
      <c r="X3014" s="106">
        <v>43525</v>
      </c>
      <c r="Y3014" s="106">
        <v>45716</v>
      </c>
    </row>
    <row r="3015" s="9" customFormat="1" customHeight="1" spans="1:25">
      <c r="A3015" s="96" t="s">
        <v>399</v>
      </c>
      <c r="B3015" s="96" t="s">
        <v>2950</v>
      </c>
      <c r="C3015" s="96" t="s">
        <v>2998</v>
      </c>
      <c r="D3015" s="265" t="s">
        <v>2951</v>
      </c>
      <c r="E3015" s="105" t="s">
        <v>3565</v>
      </c>
      <c r="F3015" s="96" t="s">
        <v>3566</v>
      </c>
      <c r="G3015" s="96" t="s">
        <v>67</v>
      </c>
      <c r="H3015" s="19" t="s">
        <v>3838</v>
      </c>
      <c r="I3015" s="23" t="e">
        <f>VLOOKUP(H3015,'合同综合查询数据（3月返）'!$A:$A,1,FALSE)</f>
        <v>#N/A</v>
      </c>
      <c r="J3015" s="24" t="s">
        <v>67</v>
      </c>
      <c r="K3015" s="96" t="s">
        <v>3585</v>
      </c>
      <c r="L3015" s="114"/>
      <c r="M3015" s="249"/>
      <c r="N3015" s="106">
        <v>43234</v>
      </c>
      <c r="O3015" s="94" t="s">
        <v>71</v>
      </c>
      <c r="P3015" s="268">
        <v>400</v>
      </c>
      <c r="Q3015" s="273">
        <v>400</v>
      </c>
      <c r="R3015" s="268">
        <f t="shared" si="72"/>
        <v>160000</v>
      </c>
      <c r="S3015" s="24">
        <v>202303</v>
      </c>
      <c r="T3015" s="127" t="s">
        <v>3839</v>
      </c>
      <c r="U3015" s="40"/>
      <c r="V3015" s="40"/>
      <c r="W3015" s="40"/>
      <c r="X3015" s="106">
        <v>43190</v>
      </c>
      <c r="Y3015" s="106">
        <v>45382</v>
      </c>
    </row>
    <row r="3016" s="9" customFormat="1" customHeight="1" spans="1:25">
      <c r="A3016" s="96" t="s">
        <v>399</v>
      </c>
      <c r="B3016" s="96" t="s">
        <v>2950</v>
      </c>
      <c r="C3016" s="96" t="s">
        <v>2998</v>
      </c>
      <c r="D3016" s="265" t="s">
        <v>2951</v>
      </c>
      <c r="E3016" s="105" t="s">
        <v>3565</v>
      </c>
      <c r="F3016" s="96" t="s">
        <v>3566</v>
      </c>
      <c r="G3016" s="96" t="s">
        <v>67</v>
      </c>
      <c r="H3016" s="19" t="s">
        <v>3838</v>
      </c>
      <c r="I3016" s="23" t="e">
        <f>VLOOKUP(H3016,'合同综合查询数据（3月返）'!$A:$A,1,FALSE)</f>
        <v>#N/A</v>
      </c>
      <c r="J3016" s="24" t="s">
        <v>67</v>
      </c>
      <c r="K3016" s="96" t="s">
        <v>3585</v>
      </c>
      <c r="L3016" s="114"/>
      <c r="M3016" s="249"/>
      <c r="N3016" s="106">
        <v>43484</v>
      </c>
      <c r="O3016" s="94" t="s">
        <v>71</v>
      </c>
      <c r="P3016" s="268">
        <v>232</v>
      </c>
      <c r="Q3016" s="273">
        <v>400</v>
      </c>
      <c r="R3016" s="268">
        <f t="shared" si="72"/>
        <v>92800</v>
      </c>
      <c r="S3016" s="24">
        <v>202303</v>
      </c>
      <c r="T3016" s="127" t="s">
        <v>3840</v>
      </c>
      <c r="U3016" s="40"/>
      <c r="V3016" s="40"/>
      <c r="W3016" s="40"/>
      <c r="X3016" s="106">
        <v>43190</v>
      </c>
      <c r="Y3016" s="106">
        <v>45382</v>
      </c>
    </row>
    <row r="3017" s="10" customFormat="1" customHeight="1" spans="1:25">
      <c r="A3017" s="60" t="s">
        <v>399</v>
      </c>
      <c r="B3017" s="60" t="s">
        <v>2950</v>
      </c>
      <c r="C3017" s="60" t="s">
        <v>2998</v>
      </c>
      <c r="D3017" s="263" t="s">
        <v>2951</v>
      </c>
      <c r="E3017" s="63" t="s">
        <v>3565</v>
      </c>
      <c r="F3017" s="60" t="s">
        <v>3566</v>
      </c>
      <c r="G3017" s="60" t="s">
        <v>67</v>
      </c>
      <c r="H3017" s="45" t="s">
        <v>3841</v>
      </c>
      <c r="I3017" s="47" t="e">
        <f>VLOOKUP(H3017,'合同综合查询数据（3月返）'!$A:$A,1,FALSE)</f>
        <v>#N/A</v>
      </c>
      <c r="J3017" s="48" t="s">
        <v>67</v>
      </c>
      <c r="K3017" s="60" t="s">
        <v>3842</v>
      </c>
      <c r="L3017" s="113"/>
      <c r="M3017" s="277"/>
      <c r="N3017" s="111">
        <v>42278</v>
      </c>
      <c r="O3017" s="62" t="s">
        <v>71</v>
      </c>
      <c r="P3017" s="266">
        <v>120000</v>
      </c>
      <c r="Q3017" s="270">
        <v>1</v>
      </c>
      <c r="R3017" s="266">
        <f t="shared" si="72"/>
        <v>120000</v>
      </c>
      <c r="S3017" s="48">
        <v>202303</v>
      </c>
      <c r="T3017" s="125"/>
      <c r="U3017" s="58"/>
      <c r="V3017" s="58"/>
      <c r="W3017" s="58"/>
      <c r="X3017" s="111"/>
      <c r="Y3017" s="111"/>
    </row>
    <row r="3018" s="9" customFormat="1" customHeight="1" spans="1:25">
      <c r="A3018" s="96" t="s">
        <v>399</v>
      </c>
      <c r="B3018" s="96" t="s">
        <v>2950</v>
      </c>
      <c r="C3018" s="96" t="s">
        <v>2998</v>
      </c>
      <c r="D3018" s="265" t="s">
        <v>2951</v>
      </c>
      <c r="E3018" s="105" t="s">
        <v>3565</v>
      </c>
      <c r="F3018" s="96" t="s">
        <v>3566</v>
      </c>
      <c r="G3018" s="96" t="s">
        <v>67</v>
      </c>
      <c r="H3018" s="19" t="s">
        <v>3843</v>
      </c>
      <c r="I3018" s="23" t="e">
        <f>VLOOKUP(H3018,'合同综合查询数据（3月返）'!$A:$A,1,FALSE)</f>
        <v>#N/A</v>
      </c>
      <c r="J3018" s="24" t="s">
        <v>67</v>
      </c>
      <c r="K3018" s="96" t="s">
        <v>3844</v>
      </c>
      <c r="L3018" s="114"/>
      <c r="M3018" s="249"/>
      <c r="N3018" s="106">
        <v>43651</v>
      </c>
      <c r="O3018" s="94" t="s">
        <v>71</v>
      </c>
      <c r="P3018" s="268">
        <v>400</v>
      </c>
      <c r="Q3018" s="273">
        <v>59</v>
      </c>
      <c r="R3018" s="268">
        <f t="shared" si="72"/>
        <v>23600</v>
      </c>
      <c r="S3018" s="24">
        <v>202303</v>
      </c>
      <c r="T3018" s="127"/>
      <c r="U3018" s="40"/>
      <c r="V3018" s="40"/>
      <c r="W3018" s="40"/>
      <c r="X3018" s="106">
        <v>43466</v>
      </c>
      <c r="Y3018" s="106">
        <v>45382</v>
      </c>
    </row>
    <row r="3019" s="9" customFormat="1" customHeight="1" spans="1:25">
      <c r="A3019" s="96" t="s">
        <v>399</v>
      </c>
      <c r="B3019" s="96" t="s">
        <v>2950</v>
      </c>
      <c r="C3019" s="96" t="s">
        <v>2998</v>
      </c>
      <c r="D3019" s="265" t="s">
        <v>2951</v>
      </c>
      <c r="E3019" s="105" t="s">
        <v>3565</v>
      </c>
      <c r="F3019" s="96" t="s">
        <v>3566</v>
      </c>
      <c r="G3019" s="96" t="s">
        <v>67</v>
      </c>
      <c r="H3019" s="19" t="s">
        <v>3843</v>
      </c>
      <c r="I3019" s="23" t="e">
        <f>VLOOKUP(H3019,'合同综合查询数据（3月返）'!$A:$A,1,FALSE)</f>
        <v>#N/A</v>
      </c>
      <c r="J3019" s="24" t="s">
        <v>67</v>
      </c>
      <c r="K3019" s="96" t="s">
        <v>3844</v>
      </c>
      <c r="L3019" s="114"/>
      <c r="M3019" s="249"/>
      <c r="N3019" s="106">
        <v>43651</v>
      </c>
      <c r="O3019" s="94" t="s">
        <v>71</v>
      </c>
      <c r="P3019" s="268">
        <v>400</v>
      </c>
      <c r="Q3019" s="273">
        <v>44</v>
      </c>
      <c r="R3019" s="268">
        <f t="shared" si="72"/>
        <v>17600</v>
      </c>
      <c r="S3019" s="24">
        <v>202303</v>
      </c>
      <c r="T3019" s="127"/>
      <c r="U3019" s="40"/>
      <c r="V3019" s="40"/>
      <c r="W3019" s="40"/>
      <c r="X3019" s="106">
        <v>43466</v>
      </c>
      <c r="Y3019" s="106">
        <v>45382</v>
      </c>
    </row>
    <row r="3020" s="9" customFormat="1" customHeight="1" spans="1:25">
      <c r="A3020" s="96" t="s">
        <v>399</v>
      </c>
      <c r="B3020" s="96" t="s">
        <v>2950</v>
      </c>
      <c r="C3020" s="96" t="s">
        <v>2998</v>
      </c>
      <c r="D3020" s="265" t="s">
        <v>2951</v>
      </c>
      <c r="E3020" s="105" t="s">
        <v>3565</v>
      </c>
      <c r="F3020" s="96" t="s">
        <v>3566</v>
      </c>
      <c r="G3020" s="24" t="s">
        <v>302</v>
      </c>
      <c r="H3020" s="19" t="s">
        <v>3845</v>
      </c>
      <c r="I3020" s="23" t="e">
        <f>VLOOKUP(H3020,'合同综合查询数据（3月返）'!$A:$A,1,FALSE)</f>
        <v>#N/A</v>
      </c>
      <c r="J3020" s="24" t="s">
        <v>302</v>
      </c>
      <c r="K3020" s="94" t="s">
        <v>3846</v>
      </c>
      <c r="L3020" s="114"/>
      <c r="M3020" s="249"/>
      <c r="N3020" s="106">
        <v>43965</v>
      </c>
      <c r="O3020" s="94" t="s">
        <v>440</v>
      </c>
      <c r="P3020" s="268">
        <v>4500</v>
      </c>
      <c r="Q3020" s="273">
        <v>1</v>
      </c>
      <c r="R3020" s="268">
        <f t="shared" si="72"/>
        <v>4500</v>
      </c>
      <c r="S3020" s="24">
        <v>202303</v>
      </c>
      <c r="T3020" s="127" t="s">
        <v>3846</v>
      </c>
      <c r="U3020" s="40"/>
      <c r="V3020" s="40"/>
      <c r="W3020" s="40"/>
      <c r="X3020" s="106">
        <v>43964</v>
      </c>
      <c r="Y3020" s="106">
        <v>45058</v>
      </c>
    </row>
    <row r="3021" s="9" customFormat="1" customHeight="1" spans="1:25">
      <c r="A3021" s="96" t="s">
        <v>399</v>
      </c>
      <c r="B3021" s="96" t="s">
        <v>2950</v>
      </c>
      <c r="C3021" s="96" t="s">
        <v>2998</v>
      </c>
      <c r="D3021" s="265" t="s">
        <v>2951</v>
      </c>
      <c r="E3021" s="105" t="s">
        <v>3565</v>
      </c>
      <c r="F3021" s="96" t="s">
        <v>3566</v>
      </c>
      <c r="G3021" s="24" t="s">
        <v>302</v>
      </c>
      <c r="H3021" s="19" t="s">
        <v>3845</v>
      </c>
      <c r="I3021" s="23" t="e">
        <f>VLOOKUP(H3021,'合同综合查询数据（3月返）'!$A:$A,1,FALSE)</f>
        <v>#N/A</v>
      </c>
      <c r="J3021" s="24" t="s">
        <v>302</v>
      </c>
      <c r="K3021" s="94" t="s">
        <v>3847</v>
      </c>
      <c r="L3021" s="114"/>
      <c r="M3021" s="249"/>
      <c r="N3021" s="106">
        <v>43965</v>
      </c>
      <c r="O3021" s="94" t="s">
        <v>440</v>
      </c>
      <c r="P3021" s="268">
        <v>4500</v>
      </c>
      <c r="Q3021" s="273">
        <v>1</v>
      </c>
      <c r="R3021" s="268">
        <f t="shared" si="72"/>
        <v>4500</v>
      </c>
      <c r="S3021" s="24">
        <v>202303</v>
      </c>
      <c r="T3021" s="127" t="s">
        <v>3847</v>
      </c>
      <c r="U3021" s="40"/>
      <c r="V3021" s="40"/>
      <c r="W3021" s="40"/>
      <c r="X3021" s="106">
        <v>43964</v>
      </c>
      <c r="Y3021" s="106">
        <v>45058</v>
      </c>
    </row>
    <row r="3022" s="10" customFormat="1" customHeight="1" spans="1:25">
      <c r="A3022" s="60" t="s">
        <v>399</v>
      </c>
      <c r="B3022" s="60" t="s">
        <v>2950</v>
      </c>
      <c r="C3022" s="60" t="s">
        <v>2998</v>
      </c>
      <c r="D3022" s="263" t="s">
        <v>2951</v>
      </c>
      <c r="E3022" s="63" t="s">
        <v>3565</v>
      </c>
      <c r="F3022" s="60" t="s">
        <v>3566</v>
      </c>
      <c r="G3022" s="48" t="s">
        <v>31</v>
      </c>
      <c r="H3022" s="45" t="s">
        <v>3848</v>
      </c>
      <c r="I3022" s="47" t="e">
        <f>VLOOKUP(H3022,'合同综合查询数据（3月返）'!$A:$A,1,FALSE)</f>
        <v>#N/A</v>
      </c>
      <c r="J3022" s="48" t="s">
        <v>451</v>
      </c>
      <c r="K3022" s="62" t="s">
        <v>3335</v>
      </c>
      <c r="L3022" s="113" t="s">
        <v>3849</v>
      </c>
      <c r="M3022" s="277" t="s">
        <v>3568</v>
      </c>
      <c r="N3022" s="111">
        <v>44959</v>
      </c>
      <c r="O3022" s="62" t="s">
        <v>37</v>
      </c>
      <c r="P3022" s="266">
        <v>0</v>
      </c>
      <c r="Q3022" s="270">
        <v>512</v>
      </c>
      <c r="R3022" s="266">
        <f t="shared" si="72"/>
        <v>0</v>
      </c>
      <c r="S3022" s="48">
        <v>202303</v>
      </c>
      <c r="T3022" s="125" t="s">
        <v>3850</v>
      </c>
      <c r="U3022" s="58"/>
      <c r="V3022" s="58"/>
      <c r="W3022" s="58"/>
      <c r="X3022" s="111"/>
      <c r="Y3022" s="111"/>
    </row>
    <row r="3023" s="10" customFormat="1" customHeight="1" spans="1:25">
      <c r="A3023" s="60" t="s">
        <v>399</v>
      </c>
      <c r="B3023" s="60" t="s">
        <v>2950</v>
      </c>
      <c r="C3023" s="60" t="s">
        <v>2998</v>
      </c>
      <c r="D3023" s="263" t="s">
        <v>2951</v>
      </c>
      <c r="E3023" s="63" t="s">
        <v>3565</v>
      </c>
      <c r="F3023" s="60" t="s">
        <v>3566</v>
      </c>
      <c r="G3023" s="48" t="s">
        <v>31</v>
      </c>
      <c r="H3023" s="45" t="s">
        <v>3848</v>
      </c>
      <c r="I3023" s="47" t="e">
        <f>VLOOKUP(H3023,'合同综合查询数据（3月返）'!$A:$A,1,FALSE)</f>
        <v>#N/A</v>
      </c>
      <c r="J3023" s="48" t="s">
        <v>451</v>
      </c>
      <c r="K3023" s="62" t="s">
        <v>3335</v>
      </c>
      <c r="L3023" s="113" t="s">
        <v>3849</v>
      </c>
      <c r="M3023" s="277" t="s">
        <v>3568</v>
      </c>
      <c r="N3023" s="111">
        <v>44959</v>
      </c>
      <c r="O3023" s="62" t="s">
        <v>37</v>
      </c>
      <c r="P3023" s="266">
        <v>0</v>
      </c>
      <c r="Q3023" s="270">
        <v>8</v>
      </c>
      <c r="R3023" s="266">
        <f t="shared" si="72"/>
        <v>0</v>
      </c>
      <c r="S3023" s="48">
        <v>202303</v>
      </c>
      <c r="T3023" s="125" t="s">
        <v>3851</v>
      </c>
      <c r="U3023" s="58"/>
      <c r="V3023" s="58"/>
      <c r="W3023" s="58"/>
      <c r="X3023" s="111"/>
      <c r="Y3023" s="111"/>
    </row>
    <row r="3024" s="10" customFormat="1" customHeight="1" spans="1:25">
      <c r="A3024" s="60" t="s">
        <v>399</v>
      </c>
      <c r="B3024" s="60" t="s">
        <v>2950</v>
      </c>
      <c r="C3024" s="60" t="s">
        <v>2998</v>
      </c>
      <c r="D3024" s="263" t="s">
        <v>2951</v>
      </c>
      <c r="E3024" s="63" t="s">
        <v>3565</v>
      </c>
      <c r="F3024" s="60" t="s">
        <v>3566</v>
      </c>
      <c r="G3024" s="48" t="s">
        <v>31</v>
      </c>
      <c r="H3024" s="45" t="s">
        <v>3848</v>
      </c>
      <c r="I3024" s="47" t="e">
        <f>VLOOKUP(H3024,'合同综合查询数据（3月返）'!$A:$A,1,FALSE)</f>
        <v>#N/A</v>
      </c>
      <c r="J3024" s="48" t="s">
        <v>451</v>
      </c>
      <c r="K3024" s="62" t="s">
        <v>3335</v>
      </c>
      <c r="L3024" s="113" t="s">
        <v>3849</v>
      </c>
      <c r="M3024" s="277" t="s">
        <v>3568</v>
      </c>
      <c r="N3024" s="111">
        <v>44959</v>
      </c>
      <c r="O3024" s="62" t="s">
        <v>152</v>
      </c>
      <c r="P3024" s="266">
        <v>0</v>
      </c>
      <c r="Q3024" s="270">
        <v>2</v>
      </c>
      <c r="R3024" s="266">
        <f t="shared" si="72"/>
        <v>0</v>
      </c>
      <c r="S3024" s="48">
        <v>202303</v>
      </c>
      <c r="T3024" s="125" t="s">
        <v>3852</v>
      </c>
      <c r="U3024" s="58"/>
      <c r="V3024" s="58"/>
      <c r="W3024" s="58"/>
      <c r="X3024" s="111"/>
      <c r="Y3024" s="111"/>
    </row>
    <row r="3025" s="9" customFormat="1" customHeight="1" spans="1:25">
      <c r="A3025" s="96" t="s">
        <v>399</v>
      </c>
      <c r="B3025" s="96" t="s">
        <v>2950</v>
      </c>
      <c r="C3025" s="96" t="s">
        <v>2828</v>
      </c>
      <c r="D3025" s="265" t="s">
        <v>2951</v>
      </c>
      <c r="E3025" s="105" t="s">
        <v>3853</v>
      </c>
      <c r="F3025" s="96" t="s">
        <v>3854</v>
      </c>
      <c r="G3025" s="96" t="s">
        <v>31</v>
      </c>
      <c r="H3025" s="313" t="s">
        <v>3855</v>
      </c>
      <c r="I3025" s="23" t="str">
        <f>VLOOKUP(H3025,'合同综合查询数据（3月返）'!$A:$A,1,FALSE)</f>
        <v>182315IDC00083</v>
      </c>
      <c r="J3025" s="24" t="s">
        <v>3856</v>
      </c>
      <c r="K3025" s="96" t="s">
        <v>2829</v>
      </c>
      <c r="L3025" s="114" t="s">
        <v>3857</v>
      </c>
      <c r="M3025" s="249" t="s">
        <v>3858</v>
      </c>
      <c r="N3025" s="28"/>
      <c r="O3025" s="96" t="s">
        <v>37</v>
      </c>
      <c r="P3025" s="268">
        <v>0</v>
      </c>
      <c r="Q3025" s="273">
        <v>288</v>
      </c>
      <c r="R3025" s="268">
        <f t="shared" si="72"/>
        <v>0</v>
      </c>
      <c r="S3025" s="24">
        <v>202303</v>
      </c>
      <c r="T3025" s="127" t="s">
        <v>3859</v>
      </c>
      <c r="U3025" s="40"/>
      <c r="V3025" s="40"/>
      <c r="W3025" s="40"/>
      <c r="X3025" s="293">
        <v>44927</v>
      </c>
      <c r="Y3025" s="293">
        <v>45107</v>
      </c>
    </row>
    <row r="3026" s="9" customFormat="1" customHeight="1" spans="1:25">
      <c r="A3026" s="96" t="s">
        <v>399</v>
      </c>
      <c r="B3026" s="96" t="s">
        <v>2950</v>
      </c>
      <c r="C3026" s="96" t="s">
        <v>2828</v>
      </c>
      <c r="D3026" s="265" t="s">
        <v>2951</v>
      </c>
      <c r="E3026" s="105" t="s">
        <v>3853</v>
      </c>
      <c r="F3026" s="96" t="s">
        <v>3854</v>
      </c>
      <c r="G3026" s="96" t="s">
        <v>31</v>
      </c>
      <c r="H3026" s="313" t="s">
        <v>3855</v>
      </c>
      <c r="I3026" s="23" t="str">
        <f>VLOOKUP(H3026,'合同综合查询数据（3月返）'!$A:$A,1,FALSE)</f>
        <v>182315IDC00083</v>
      </c>
      <c r="J3026" s="24" t="s">
        <v>3856</v>
      </c>
      <c r="K3026" s="96" t="s">
        <v>3860</v>
      </c>
      <c r="L3026" s="114"/>
      <c r="M3026" s="249" t="s">
        <v>3861</v>
      </c>
      <c r="N3026" s="106">
        <v>43525</v>
      </c>
      <c r="O3026" s="96" t="s">
        <v>37</v>
      </c>
      <c r="P3026" s="268">
        <v>0</v>
      </c>
      <c r="Q3026" s="273">
        <v>544</v>
      </c>
      <c r="R3026" s="268">
        <f t="shared" si="72"/>
        <v>0</v>
      </c>
      <c r="S3026" s="24">
        <v>202303</v>
      </c>
      <c r="T3026" s="127" t="s">
        <v>3862</v>
      </c>
      <c r="U3026" s="40"/>
      <c r="V3026" s="40"/>
      <c r="W3026" s="40"/>
      <c r="X3026" s="293">
        <v>44927</v>
      </c>
      <c r="Y3026" s="293">
        <v>45107</v>
      </c>
    </row>
    <row r="3027" s="9" customFormat="1" customHeight="1" spans="1:25">
      <c r="A3027" s="96" t="s">
        <v>399</v>
      </c>
      <c r="B3027" s="96" t="s">
        <v>2950</v>
      </c>
      <c r="C3027" s="96" t="s">
        <v>2828</v>
      </c>
      <c r="D3027" s="265" t="s">
        <v>2951</v>
      </c>
      <c r="E3027" s="105" t="s">
        <v>3853</v>
      </c>
      <c r="F3027" s="96" t="s">
        <v>3854</v>
      </c>
      <c r="G3027" s="96" t="s">
        <v>31</v>
      </c>
      <c r="H3027" s="313" t="s">
        <v>3855</v>
      </c>
      <c r="I3027" s="23" t="str">
        <f>VLOOKUP(H3027,'合同综合查询数据（3月返）'!$A:$A,1,FALSE)</f>
        <v>182315IDC00083</v>
      </c>
      <c r="J3027" s="24" t="s">
        <v>3856</v>
      </c>
      <c r="K3027" s="96" t="s">
        <v>3860</v>
      </c>
      <c r="L3027" s="114" t="s">
        <v>3863</v>
      </c>
      <c r="M3027" s="249" t="s">
        <v>3861</v>
      </c>
      <c r="N3027" s="28"/>
      <c r="O3027" s="96" t="s">
        <v>37</v>
      </c>
      <c r="P3027" s="268">
        <v>0</v>
      </c>
      <c r="Q3027" s="273">
        <v>256</v>
      </c>
      <c r="R3027" s="268">
        <f t="shared" si="72"/>
        <v>0</v>
      </c>
      <c r="S3027" s="24">
        <v>202303</v>
      </c>
      <c r="T3027" s="127" t="s">
        <v>3864</v>
      </c>
      <c r="U3027" s="40"/>
      <c r="V3027" s="40"/>
      <c r="W3027" s="40"/>
      <c r="X3027" s="293">
        <v>44927</v>
      </c>
      <c r="Y3027" s="293">
        <v>45107</v>
      </c>
    </row>
    <row r="3028" s="9" customFormat="1" customHeight="1" spans="1:25">
      <c r="A3028" s="96" t="s">
        <v>399</v>
      </c>
      <c r="B3028" s="96" t="s">
        <v>2950</v>
      </c>
      <c r="C3028" s="96" t="s">
        <v>2828</v>
      </c>
      <c r="D3028" s="265" t="s">
        <v>2951</v>
      </c>
      <c r="E3028" s="105" t="s">
        <v>3853</v>
      </c>
      <c r="F3028" s="96" t="s">
        <v>3854</v>
      </c>
      <c r="G3028" s="96" t="s">
        <v>31</v>
      </c>
      <c r="H3028" s="313" t="s">
        <v>3855</v>
      </c>
      <c r="I3028" s="23" t="str">
        <f>VLOOKUP(H3028,'合同综合查询数据（3月返）'!$A:$A,1,FALSE)</f>
        <v>182315IDC00083</v>
      </c>
      <c r="J3028" s="24" t="s">
        <v>3856</v>
      </c>
      <c r="K3028" s="96" t="s">
        <v>3860</v>
      </c>
      <c r="L3028" s="114" t="s">
        <v>3863</v>
      </c>
      <c r="M3028" s="249" t="s">
        <v>3861</v>
      </c>
      <c r="N3028" s="28">
        <v>44274</v>
      </c>
      <c r="O3028" s="96" t="s">
        <v>37</v>
      </c>
      <c r="P3028" s="268">
        <v>0</v>
      </c>
      <c r="Q3028" s="273">
        <v>128</v>
      </c>
      <c r="R3028" s="268">
        <f t="shared" si="72"/>
        <v>0</v>
      </c>
      <c r="S3028" s="24">
        <v>202303</v>
      </c>
      <c r="T3028" s="127" t="s">
        <v>3865</v>
      </c>
      <c r="U3028" s="40"/>
      <c r="V3028" s="40"/>
      <c r="W3028" s="40"/>
      <c r="X3028" s="293">
        <v>44927</v>
      </c>
      <c r="Y3028" s="293">
        <v>45107</v>
      </c>
    </row>
    <row r="3029" s="9" customFormat="1" customHeight="1" spans="1:25">
      <c r="A3029" s="96" t="s">
        <v>399</v>
      </c>
      <c r="B3029" s="96" t="s">
        <v>2950</v>
      </c>
      <c r="C3029" s="96" t="s">
        <v>2828</v>
      </c>
      <c r="D3029" s="265" t="s">
        <v>2951</v>
      </c>
      <c r="E3029" s="105" t="s">
        <v>3853</v>
      </c>
      <c r="F3029" s="96" t="s">
        <v>3854</v>
      </c>
      <c r="G3029" s="96" t="s">
        <v>31</v>
      </c>
      <c r="H3029" s="313" t="s">
        <v>3855</v>
      </c>
      <c r="I3029" s="23" t="str">
        <f>VLOOKUP(H3029,'合同综合查询数据（3月返）'!$A:$A,1,FALSE)</f>
        <v>182315IDC00083</v>
      </c>
      <c r="J3029" s="24" t="s">
        <v>3856</v>
      </c>
      <c r="K3029" s="96" t="s">
        <v>3860</v>
      </c>
      <c r="L3029" s="114" t="s">
        <v>3863</v>
      </c>
      <c r="M3029" s="249" t="s">
        <v>3861</v>
      </c>
      <c r="N3029" s="28">
        <v>44785</v>
      </c>
      <c r="O3029" s="96" t="s">
        <v>37</v>
      </c>
      <c r="P3029" s="268">
        <v>0</v>
      </c>
      <c r="Q3029" s="273">
        <v>-176</v>
      </c>
      <c r="R3029" s="268">
        <f t="shared" si="72"/>
        <v>0</v>
      </c>
      <c r="S3029" s="24">
        <v>202303</v>
      </c>
      <c r="T3029" s="127" t="s">
        <v>3866</v>
      </c>
      <c r="U3029" s="40"/>
      <c r="V3029" s="40"/>
      <c r="W3029" s="40"/>
      <c r="X3029" s="293">
        <v>44927</v>
      </c>
      <c r="Y3029" s="293">
        <v>45107</v>
      </c>
    </row>
    <row r="3030" s="9" customFormat="1" customHeight="1" spans="1:25">
      <c r="A3030" s="96" t="s">
        <v>399</v>
      </c>
      <c r="B3030" s="96" t="s">
        <v>2950</v>
      </c>
      <c r="C3030" s="96" t="s">
        <v>2828</v>
      </c>
      <c r="D3030" s="265" t="s">
        <v>2951</v>
      </c>
      <c r="E3030" s="105" t="s">
        <v>3853</v>
      </c>
      <c r="F3030" s="96" t="s">
        <v>3854</v>
      </c>
      <c r="G3030" s="96" t="s">
        <v>31</v>
      </c>
      <c r="H3030" s="313" t="s">
        <v>3855</v>
      </c>
      <c r="I3030" s="23" t="str">
        <f>VLOOKUP(H3030,'合同综合查询数据（3月返）'!$A:$A,1,FALSE)</f>
        <v>182315IDC00083</v>
      </c>
      <c r="J3030" s="24" t="s">
        <v>3856</v>
      </c>
      <c r="K3030" s="96" t="s">
        <v>3860</v>
      </c>
      <c r="L3030" s="114" t="s">
        <v>3863</v>
      </c>
      <c r="M3030" s="249" t="s">
        <v>3861</v>
      </c>
      <c r="N3030" s="28">
        <v>44785</v>
      </c>
      <c r="O3030" s="96" t="s">
        <v>37</v>
      </c>
      <c r="P3030" s="268">
        <v>0</v>
      </c>
      <c r="Q3030" s="273">
        <v>-208</v>
      </c>
      <c r="R3030" s="268">
        <f t="shared" si="72"/>
        <v>0</v>
      </c>
      <c r="S3030" s="24">
        <v>202303</v>
      </c>
      <c r="T3030" s="127" t="s">
        <v>3867</v>
      </c>
      <c r="U3030" s="40"/>
      <c r="V3030" s="40"/>
      <c r="W3030" s="40"/>
      <c r="X3030" s="293">
        <v>44927</v>
      </c>
      <c r="Y3030" s="293">
        <v>45107</v>
      </c>
    </row>
    <row r="3031" s="9" customFormat="1" customHeight="1" spans="1:25">
      <c r="A3031" s="96" t="s">
        <v>399</v>
      </c>
      <c r="B3031" s="96" t="s">
        <v>2950</v>
      </c>
      <c r="C3031" s="96" t="s">
        <v>2828</v>
      </c>
      <c r="D3031" s="265" t="s">
        <v>2951</v>
      </c>
      <c r="E3031" s="105" t="s">
        <v>3853</v>
      </c>
      <c r="F3031" s="96" t="s">
        <v>3854</v>
      </c>
      <c r="G3031" s="96" t="s">
        <v>31</v>
      </c>
      <c r="H3031" s="313" t="s">
        <v>3855</v>
      </c>
      <c r="I3031" s="23" t="str">
        <f>VLOOKUP(H3031,'合同综合查询数据（3月返）'!$A:$A,1,FALSE)</f>
        <v>182315IDC00083</v>
      </c>
      <c r="J3031" s="24" t="s">
        <v>3856</v>
      </c>
      <c r="K3031" s="96" t="s">
        <v>3868</v>
      </c>
      <c r="L3031" s="114" t="s">
        <v>3869</v>
      </c>
      <c r="M3031" s="249" t="s">
        <v>3858</v>
      </c>
      <c r="N3031" s="28"/>
      <c r="O3031" s="96" t="s">
        <v>37</v>
      </c>
      <c r="P3031" s="268">
        <v>0</v>
      </c>
      <c r="Q3031" s="273">
        <v>128</v>
      </c>
      <c r="R3031" s="268">
        <f t="shared" si="72"/>
        <v>0</v>
      </c>
      <c r="S3031" s="24">
        <v>202303</v>
      </c>
      <c r="T3031" s="127" t="s">
        <v>2958</v>
      </c>
      <c r="U3031" s="40"/>
      <c r="V3031" s="40"/>
      <c r="W3031" s="40"/>
      <c r="X3031" s="293">
        <v>44927</v>
      </c>
      <c r="Y3031" s="293">
        <v>45107</v>
      </c>
    </row>
    <row r="3032" s="9" customFormat="1" customHeight="1" spans="1:25">
      <c r="A3032" s="96" t="s">
        <v>399</v>
      </c>
      <c r="B3032" s="96" t="s">
        <v>2950</v>
      </c>
      <c r="C3032" s="96" t="s">
        <v>2828</v>
      </c>
      <c r="D3032" s="265" t="s">
        <v>2951</v>
      </c>
      <c r="E3032" s="105" t="s">
        <v>3853</v>
      </c>
      <c r="F3032" s="96" t="s">
        <v>3854</v>
      </c>
      <c r="G3032" s="96" t="s">
        <v>31</v>
      </c>
      <c r="H3032" s="313" t="s">
        <v>3855</v>
      </c>
      <c r="I3032" s="23" t="str">
        <f>VLOOKUP(H3032,'合同综合查询数据（3月返）'!$A:$A,1,FALSE)</f>
        <v>182315IDC00083</v>
      </c>
      <c r="J3032" s="24" t="s">
        <v>3856</v>
      </c>
      <c r="K3032" s="96" t="s">
        <v>3870</v>
      </c>
      <c r="L3032" s="114"/>
      <c r="M3032" s="249" t="s">
        <v>3858</v>
      </c>
      <c r="N3032" s="28">
        <v>43617</v>
      </c>
      <c r="O3032" s="96" t="s">
        <v>37</v>
      </c>
      <c r="P3032" s="268">
        <v>0</v>
      </c>
      <c r="Q3032" s="273">
        <v>288</v>
      </c>
      <c r="R3032" s="268">
        <f t="shared" si="72"/>
        <v>0</v>
      </c>
      <c r="S3032" s="24">
        <v>202303</v>
      </c>
      <c r="T3032" s="127" t="s">
        <v>2974</v>
      </c>
      <c r="U3032" s="40"/>
      <c r="V3032" s="40"/>
      <c r="W3032" s="40"/>
      <c r="X3032" s="293">
        <v>44927</v>
      </c>
      <c r="Y3032" s="293">
        <v>45107</v>
      </c>
    </row>
    <row r="3033" s="9" customFormat="1" customHeight="1" spans="1:25">
      <c r="A3033" s="96" t="s">
        <v>399</v>
      </c>
      <c r="B3033" s="96" t="s">
        <v>2950</v>
      </c>
      <c r="C3033" s="96" t="s">
        <v>2828</v>
      </c>
      <c r="D3033" s="265" t="s">
        <v>2951</v>
      </c>
      <c r="E3033" s="105" t="s">
        <v>3853</v>
      </c>
      <c r="F3033" s="96" t="s">
        <v>3854</v>
      </c>
      <c r="G3033" s="96" t="s">
        <v>31</v>
      </c>
      <c r="H3033" s="313" t="s">
        <v>3855</v>
      </c>
      <c r="I3033" s="23" t="str">
        <f>VLOOKUP(H3033,'合同综合查询数据（3月返）'!$A:$A,1,FALSE)</f>
        <v>182315IDC00083</v>
      </c>
      <c r="J3033" s="24" t="s">
        <v>3856</v>
      </c>
      <c r="K3033" s="96" t="s">
        <v>3870</v>
      </c>
      <c r="L3033" s="114" t="s">
        <v>3871</v>
      </c>
      <c r="M3033" s="26" t="s">
        <v>3858</v>
      </c>
      <c r="N3033" s="28"/>
      <c r="O3033" s="96" t="s">
        <v>152</v>
      </c>
      <c r="P3033" s="268">
        <v>0</v>
      </c>
      <c r="Q3033" s="273">
        <v>1</v>
      </c>
      <c r="R3033" s="268">
        <f t="shared" si="72"/>
        <v>0</v>
      </c>
      <c r="S3033" s="24">
        <v>202303</v>
      </c>
      <c r="T3033" s="127" t="s">
        <v>3172</v>
      </c>
      <c r="U3033" s="40"/>
      <c r="V3033" s="40"/>
      <c r="W3033" s="40"/>
      <c r="X3033" s="293">
        <v>44927</v>
      </c>
      <c r="Y3033" s="293">
        <v>45107</v>
      </c>
    </row>
    <row r="3034" s="9" customFormat="1" customHeight="1" spans="1:25">
      <c r="A3034" s="96" t="s">
        <v>399</v>
      </c>
      <c r="B3034" s="96" t="s">
        <v>2950</v>
      </c>
      <c r="C3034" s="96" t="s">
        <v>2828</v>
      </c>
      <c r="D3034" s="265" t="s">
        <v>2951</v>
      </c>
      <c r="E3034" s="105" t="s">
        <v>3853</v>
      </c>
      <c r="F3034" s="96" t="s">
        <v>3854</v>
      </c>
      <c r="G3034" s="96" t="s">
        <v>31</v>
      </c>
      <c r="H3034" s="313" t="s">
        <v>3855</v>
      </c>
      <c r="I3034" s="23" t="str">
        <f>VLOOKUP(H3034,'合同综合查询数据（3月返）'!$A:$A,1,FALSE)</f>
        <v>182315IDC00083</v>
      </c>
      <c r="J3034" s="24" t="s">
        <v>3856</v>
      </c>
      <c r="K3034" s="96" t="s">
        <v>2829</v>
      </c>
      <c r="L3034" s="114" t="s">
        <v>3857</v>
      </c>
      <c r="M3034" s="26" t="s">
        <v>3858</v>
      </c>
      <c r="N3034" s="28"/>
      <c r="O3034" s="96" t="s">
        <v>152</v>
      </c>
      <c r="P3034" s="268">
        <v>0</v>
      </c>
      <c r="Q3034" s="273">
        <v>1</v>
      </c>
      <c r="R3034" s="268">
        <f t="shared" si="72"/>
        <v>0</v>
      </c>
      <c r="S3034" s="24">
        <v>202303</v>
      </c>
      <c r="T3034" s="127" t="s">
        <v>3172</v>
      </c>
      <c r="U3034" s="40"/>
      <c r="V3034" s="40"/>
      <c r="W3034" s="40"/>
      <c r="X3034" s="293">
        <v>44927</v>
      </c>
      <c r="Y3034" s="293">
        <v>45107</v>
      </c>
    </row>
    <row r="3035" s="9" customFormat="1" customHeight="1" spans="1:25">
      <c r="A3035" s="96" t="s">
        <v>399</v>
      </c>
      <c r="B3035" s="96" t="s">
        <v>2950</v>
      </c>
      <c r="C3035" s="96" t="s">
        <v>2828</v>
      </c>
      <c r="D3035" s="265" t="s">
        <v>2951</v>
      </c>
      <c r="E3035" s="105" t="s">
        <v>3853</v>
      </c>
      <c r="F3035" s="96" t="s">
        <v>3854</v>
      </c>
      <c r="G3035" s="96" t="s">
        <v>31</v>
      </c>
      <c r="H3035" s="313" t="s">
        <v>3855</v>
      </c>
      <c r="I3035" s="23" t="str">
        <f>VLOOKUP(H3035,'合同综合查询数据（3月返）'!$A:$A,1,FALSE)</f>
        <v>182315IDC00083</v>
      </c>
      <c r="J3035" s="24" t="s">
        <v>3856</v>
      </c>
      <c r="K3035" s="96" t="s">
        <v>3860</v>
      </c>
      <c r="L3035" s="114" t="s">
        <v>3872</v>
      </c>
      <c r="M3035" s="249" t="s">
        <v>3861</v>
      </c>
      <c r="N3035" s="28"/>
      <c r="O3035" s="96" t="s">
        <v>152</v>
      </c>
      <c r="P3035" s="268">
        <v>0</v>
      </c>
      <c r="Q3035" s="273">
        <v>1</v>
      </c>
      <c r="R3035" s="268">
        <f t="shared" si="72"/>
        <v>0</v>
      </c>
      <c r="S3035" s="24">
        <v>202303</v>
      </c>
      <c r="T3035" s="127" t="s">
        <v>3172</v>
      </c>
      <c r="U3035" s="40"/>
      <c r="V3035" s="40"/>
      <c r="W3035" s="40"/>
      <c r="X3035" s="293">
        <v>44927</v>
      </c>
      <c r="Y3035" s="293">
        <v>45107</v>
      </c>
    </row>
    <row r="3036" s="9" customFormat="1" customHeight="1" spans="1:25">
      <c r="A3036" s="96" t="s">
        <v>399</v>
      </c>
      <c r="B3036" s="96" t="s">
        <v>2950</v>
      </c>
      <c r="C3036" s="96" t="s">
        <v>2828</v>
      </c>
      <c r="D3036" s="265" t="s">
        <v>2951</v>
      </c>
      <c r="E3036" s="105" t="s">
        <v>3853</v>
      </c>
      <c r="F3036" s="96" t="s">
        <v>3854</v>
      </c>
      <c r="G3036" s="96" t="s">
        <v>31</v>
      </c>
      <c r="H3036" s="313" t="s">
        <v>3855</v>
      </c>
      <c r="I3036" s="23" t="str">
        <f>VLOOKUP(H3036,'合同综合查询数据（3月返）'!$A:$A,1,FALSE)</f>
        <v>182315IDC00083</v>
      </c>
      <c r="J3036" s="24" t="s">
        <v>3856</v>
      </c>
      <c r="K3036" s="96" t="s">
        <v>3860</v>
      </c>
      <c r="L3036" s="114" t="s">
        <v>3872</v>
      </c>
      <c r="M3036" s="249" t="s">
        <v>3861</v>
      </c>
      <c r="N3036" s="28"/>
      <c r="O3036" s="96" t="s">
        <v>152</v>
      </c>
      <c r="P3036" s="268">
        <v>0</v>
      </c>
      <c r="Q3036" s="273">
        <v>1</v>
      </c>
      <c r="R3036" s="268">
        <f t="shared" si="72"/>
        <v>0</v>
      </c>
      <c r="S3036" s="24">
        <v>202303</v>
      </c>
      <c r="T3036" s="127" t="s">
        <v>3172</v>
      </c>
      <c r="U3036" s="40"/>
      <c r="V3036" s="40"/>
      <c r="W3036" s="40"/>
      <c r="X3036" s="293">
        <v>44927</v>
      </c>
      <c r="Y3036" s="293">
        <v>45107</v>
      </c>
    </row>
    <row r="3037" s="9" customFormat="1" customHeight="1" spans="1:25">
      <c r="A3037" s="96" t="s">
        <v>399</v>
      </c>
      <c r="B3037" s="96" t="s">
        <v>2950</v>
      </c>
      <c r="C3037" s="96" t="s">
        <v>2828</v>
      </c>
      <c r="D3037" s="265" t="s">
        <v>2951</v>
      </c>
      <c r="E3037" s="105" t="s">
        <v>3853</v>
      </c>
      <c r="F3037" s="96" t="s">
        <v>3854</v>
      </c>
      <c r="G3037" s="96" t="s">
        <v>88</v>
      </c>
      <c r="H3037" s="313" t="s">
        <v>3855</v>
      </c>
      <c r="I3037" s="23" t="str">
        <f>VLOOKUP(H3037,'合同综合查询数据（3月返）'!$A:$A,1,FALSE)</f>
        <v>182315IDC00083</v>
      </c>
      <c r="J3037" s="24" t="s">
        <v>126</v>
      </c>
      <c r="K3037" s="96" t="s">
        <v>2829</v>
      </c>
      <c r="L3037" s="114"/>
      <c r="M3037" s="26" t="s">
        <v>3858</v>
      </c>
      <c r="N3037" s="106"/>
      <c r="O3037" s="94" t="s">
        <v>127</v>
      </c>
      <c r="P3037" s="268">
        <v>5000</v>
      </c>
      <c r="Q3037" s="273">
        <v>9</v>
      </c>
      <c r="R3037" s="268">
        <f t="shared" si="72"/>
        <v>45000</v>
      </c>
      <c r="S3037" s="24">
        <v>202303</v>
      </c>
      <c r="T3037" s="127" t="s">
        <v>3873</v>
      </c>
      <c r="U3037" s="40"/>
      <c r="V3037" s="40"/>
      <c r="W3037" s="40"/>
      <c r="X3037" s="293">
        <v>44927</v>
      </c>
      <c r="Y3037" s="293">
        <v>45107</v>
      </c>
    </row>
    <row r="3038" s="9" customFormat="1" customHeight="1" spans="1:25">
      <c r="A3038" s="96" t="s">
        <v>399</v>
      </c>
      <c r="B3038" s="96" t="s">
        <v>2950</v>
      </c>
      <c r="C3038" s="96" t="s">
        <v>2828</v>
      </c>
      <c r="D3038" s="265" t="s">
        <v>2951</v>
      </c>
      <c r="E3038" s="105" t="s">
        <v>3853</v>
      </c>
      <c r="F3038" s="96" t="s">
        <v>3854</v>
      </c>
      <c r="G3038" s="96" t="s">
        <v>88</v>
      </c>
      <c r="H3038" s="313" t="s">
        <v>3855</v>
      </c>
      <c r="I3038" s="23" t="str">
        <f>VLOOKUP(H3038,'合同综合查询数据（3月返）'!$A:$A,1,FALSE)</f>
        <v>182315IDC00083</v>
      </c>
      <c r="J3038" s="24" t="s">
        <v>126</v>
      </c>
      <c r="K3038" s="96" t="s">
        <v>2829</v>
      </c>
      <c r="L3038" s="114"/>
      <c r="M3038" s="26" t="s">
        <v>3858</v>
      </c>
      <c r="N3038" s="106">
        <v>43405</v>
      </c>
      <c r="O3038" s="94" t="s">
        <v>127</v>
      </c>
      <c r="P3038" s="268">
        <v>5000</v>
      </c>
      <c r="Q3038" s="273">
        <v>1</v>
      </c>
      <c r="R3038" s="268">
        <f t="shared" si="72"/>
        <v>5000</v>
      </c>
      <c r="S3038" s="24">
        <v>202303</v>
      </c>
      <c r="T3038" s="127" t="s">
        <v>3874</v>
      </c>
      <c r="U3038" s="40"/>
      <c r="V3038" s="40"/>
      <c r="W3038" s="40"/>
      <c r="X3038" s="293">
        <v>44927</v>
      </c>
      <c r="Y3038" s="293">
        <v>45107</v>
      </c>
    </row>
    <row r="3039" s="9" customFormat="1" customHeight="1" spans="1:25">
      <c r="A3039" s="96" t="s">
        <v>399</v>
      </c>
      <c r="B3039" s="96" t="s">
        <v>2950</v>
      </c>
      <c r="C3039" s="96" t="s">
        <v>2828</v>
      </c>
      <c r="D3039" s="265" t="s">
        <v>2951</v>
      </c>
      <c r="E3039" s="105" t="s">
        <v>3853</v>
      </c>
      <c r="F3039" s="96" t="s">
        <v>3854</v>
      </c>
      <c r="G3039" s="96" t="s">
        <v>88</v>
      </c>
      <c r="H3039" s="313" t="s">
        <v>3855</v>
      </c>
      <c r="I3039" s="23" t="str">
        <f>VLOOKUP(H3039,'合同综合查询数据（3月返）'!$A:$A,1,FALSE)</f>
        <v>182315IDC00083</v>
      </c>
      <c r="J3039" s="24" t="s">
        <v>126</v>
      </c>
      <c r="K3039" s="96" t="s">
        <v>2829</v>
      </c>
      <c r="L3039" s="114"/>
      <c r="M3039" s="26" t="s">
        <v>3858</v>
      </c>
      <c r="N3039" s="106">
        <v>43525</v>
      </c>
      <c r="O3039" s="94" t="s">
        <v>127</v>
      </c>
      <c r="P3039" s="268">
        <v>5000</v>
      </c>
      <c r="Q3039" s="273">
        <v>1</v>
      </c>
      <c r="R3039" s="268">
        <f t="shared" si="72"/>
        <v>5000</v>
      </c>
      <c r="S3039" s="24">
        <v>202303</v>
      </c>
      <c r="T3039" s="127" t="s">
        <v>3875</v>
      </c>
      <c r="U3039" s="40"/>
      <c r="V3039" s="40"/>
      <c r="W3039" s="40"/>
      <c r="X3039" s="293">
        <v>44927</v>
      </c>
      <c r="Y3039" s="293">
        <v>45107</v>
      </c>
    </row>
    <row r="3040" s="9" customFormat="1" customHeight="1" spans="1:25">
      <c r="A3040" s="96" t="s">
        <v>399</v>
      </c>
      <c r="B3040" s="96" t="s">
        <v>2950</v>
      </c>
      <c r="C3040" s="96" t="s">
        <v>2828</v>
      </c>
      <c r="D3040" s="265" t="s">
        <v>2951</v>
      </c>
      <c r="E3040" s="105" t="s">
        <v>3853</v>
      </c>
      <c r="F3040" s="96" t="s">
        <v>3854</v>
      </c>
      <c r="G3040" s="96" t="s">
        <v>88</v>
      </c>
      <c r="H3040" s="313" t="s">
        <v>3855</v>
      </c>
      <c r="I3040" s="23" t="str">
        <f>VLOOKUP(H3040,'合同综合查询数据（3月返）'!$A:$A,1,FALSE)</f>
        <v>182315IDC00083</v>
      </c>
      <c r="J3040" s="24" t="s">
        <v>126</v>
      </c>
      <c r="K3040" s="96" t="s">
        <v>3870</v>
      </c>
      <c r="L3040" s="114" t="s">
        <v>3871</v>
      </c>
      <c r="M3040" s="26" t="s">
        <v>3858</v>
      </c>
      <c r="N3040" s="28">
        <v>43617</v>
      </c>
      <c r="O3040" s="94" t="s">
        <v>127</v>
      </c>
      <c r="P3040" s="268">
        <v>5000</v>
      </c>
      <c r="Q3040" s="273">
        <v>5</v>
      </c>
      <c r="R3040" s="268">
        <f t="shared" si="72"/>
        <v>25000</v>
      </c>
      <c r="S3040" s="24">
        <v>202303</v>
      </c>
      <c r="T3040" s="127" t="s">
        <v>3876</v>
      </c>
      <c r="U3040" s="40"/>
      <c r="V3040" s="40"/>
      <c r="W3040" s="40"/>
      <c r="X3040" s="293">
        <v>44927</v>
      </c>
      <c r="Y3040" s="293">
        <v>45107</v>
      </c>
    </row>
    <row r="3041" s="9" customFormat="1" customHeight="1" spans="1:25">
      <c r="A3041" s="96" t="s">
        <v>399</v>
      </c>
      <c r="B3041" s="96" t="s">
        <v>2950</v>
      </c>
      <c r="C3041" s="96" t="s">
        <v>2828</v>
      </c>
      <c r="D3041" s="265" t="s">
        <v>2951</v>
      </c>
      <c r="E3041" s="105" t="s">
        <v>3853</v>
      </c>
      <c r="F3041" s="96" t="s">
        <v>3854</v>
      </c>
      <c r="G3041" s="96" t="s">
        <v>88</v>
      </c>
      <c r="H3041" s="313" t="s">
        <v>3855</v>
      </c>
      <c r="I3041" s="23" t="str">
        <f>VLOOKUP(H3041,'合同综合查询数据（3月返）'!$A:$A,1,FALSE)</f>
        <v>182315IDC00083</v>
      </c>
      <c r="J3041" s="24" t="s">
        <v>126</v>
      </c>
      <c r="K3041" s="96" t="s">
        <v>3860</v>
      </c>
      <c r="L3041" s="114" t="s">
        <v>3872</v>
      </c>
      <c r="M3041" s="26" t="s">
        <v>3861</v>
      </c>
      <c r="N3041" s="28">
        <v>43525</v>
      </c>
      <c r="O3041" s="94" t="s">
        <v>127</v>
      </c>
      <c r="P3041" s="268">
        <v>5000</v>
      </c>
      <c r="Q3041" s="273">
        <v>9</v>
      </c>
      <c r="R3041" s="268">
        <f t="shared" si="72"/>
        <v>45000</v>
      </c>
      <c r="S3041" s="24">
        <v>202303</v>
      </c>
      <c r="T3041" s="127" t="s">
        <v>3877</v>
      </c>
      <c r="U3041" s="40"/>
      <c r="V3041" s="40"/>
      <c r="W3041" s="40"/>
      <c r="X3041" s="293">
        <v>44927</v>
      </c>
      <c r="Y3041" s="293">
        <v>45107</v>
      </c>
    </row>
    <row r="3042" s="9" customFormat="1" customHeight="1" spans="1:25">
      <c r="A3042" s="96" t="s">
        <v>399</v>
      </c>
      <c r="B3042" s="96" t="s">
        <v>2950</v>
      </c>
      <c r="C3042" s="96" t="s">
        <v>2828</v>
      </c>
      <c r="D3042" s="265" t="s">
        <v>2951</v>
      </c>
      <c r="E3042" s="105" t="s">
        <v>3853</v>
      </c>
      <c r="F3042" s="96" t="s">
        <v>3854</v>
      </c>
      <c r="G3042" s="96" t="s">
        <v>88</v>
      </c>
      <c r="H3042" s="313" t="s">
        <v>3855</v>
      </c>
      <c r="I3042" s="23" t="str">
        <f>VLOOKUP(H3042,'合同综合查询数据（3月返）'!$A:$A,1,FALSE)</f>
        <v>182315IDC00083</v>
      </c>
      <c r="J3042" s="24" t="s">
        <v>126</v>
      </c>
      <c r="K3042" s="96" t="s">
        <v>3860</v>
      </c>
      <c r="L3042" s="114" t="s">
        <v>3872</v>
      </c>
      <c r="M3042" s="26" t="s">
        <v>3861</v>
      </c>
      <c r="N3042" s="28">
        <v>43769</v>
      </c>
      <c r="O3042" s="94" t="s">
        <v>127</v>
      </c>
      <c r="P3042" s="268">
        <v>5000</v>
      </c>
      <c r="Q3042" s="273">
        <v>3</v>
      </c>
      <c r="R3042" s="268">
        <f t="shared" si="72"/>
        <v>15000</v>
      </c>
      <c r="S3042" s="24">
        <v>202303</v>
      </c>
      <c r="T3042" s="127" t="s">
        <v>3878</v>
      </c>
      <c r="U3042" s="40"/>
      <c r="V3042" s="40"/>
      <c r="W3042" s="40"/>
      <c r="X3042" s="293">
        <v>44927</v>
      </c>
      <c r="Y3042" s="293">
        <v>45107</v>
      </c>
    </row>
    <row r="3043" s="9" customFormat="1" customHeight="1" spans="1:25">
      <c r="A3043" s="96" t="s">
        <v>399</v>
      </c>
      <c r="B3043" s="96" t="s">
        <v>2950</v>
      </c>
      <c r="C3043" s="96" t="s">
        <v>2828</v>
      </c>
      <c r="D3043" s="265" t="s">
        <v>2951</v>
      </c>
      <c r="E3043" s="105" t="s">
        <v>3853</v>
      </c>
      <c r="F3043" s="96" t="s">
        <v>3854</v>
      </c>
      <c r="G3043" s="96" t="s">
        <v>88</v>
      </c>
      <c r="H3043" s="313" t="s">
        <v>3855</v>
      </c>
      <c r="I3043" s="23" t="str">
        <f>VLOOKUP(H3043,'合同综合查询数据（3月返）'!$A:$A,1,FALSE)</f>
        <v>182315IDC00083</v>
      </c>
      <c r="J3043" s="24" t="s">
        <v>126</v>
      </c>
      <c r="K3043" s="96" t="s">
        <v>3860</v>
      </c>
      <c r="L3043" s="114" t="s">
        <v>3872</v>
      </c>
      <c r="M3043" s="26" t="s">
        <v>3861</v>
      </c>
      <c r="N3043" s="28">
        <v>44785</v>
      </c>
      <c r="O3043" s="94" t="s">
        <v>127</v>
      </c>
      <c r="P3043" s="268">
        <v>5000</v>
      </c>
      <c r="Q3043" s="273">
        <v>-7</v>
      </c>
      <c r="R3043" s="268">
        <f t="shared" si="72"/>
        <v>-35000</v>
      </c>
      <c r="S3043" s="24">
        <v>202303</v>
      </c>
      <c r="T3043" s="127" t="s">
        <v>3879</v>
      </c>
      <c r="U3043" s="40"/>
      <c r="V3043" s="40"/>
      <c r="W3043" s="40"/>
      <c r="X3043" s="293">
        <v>44927</v>
      </c>
      <c r="Y3043" s="293">
        <v>45107</v>
      </c>
    </row>
    <row r="3044" s="9" customFormat="1" customHeight="1" spans="1:25">
      <c r="A3044" s="96" t="s">
        <v>399</v>
      </c>
      <c r="B3044" s="96" t="s">
        <v>2950</v>
      </c>
      <c r="C3044" s="96" t="s">
        <v>2828</v>
      </c>
      <c r="D3044" s="265" t="s">
        <v>2951</v>
      </c>
      <c r="E3044" s="105" t="s">
        <v>3853</v>
      </c>
      <c r="F3044" s="96" t="s">
        <v>3880</v>
      </c>
      <c r="G3044" s="96" t="s">
        <v>31</v>
      </c>
      <c r="H3044" s="313" t="s">
        <v>3855</v>
      </c>
      <c r="I3044" s="23" t="str">
        <f>VLOOKUP(H3044,'合同综合查询数据（3月返）'!$A:$A,1,FALSE)</f>
        <v>182315IDC00083</v>
      </c>
      <c r="J3044" s="24" t="s">
        <v>33</v>
      </c>
      <c r="K3044" s="96" t="s">
        <v>2971</v>
      </c>
      <c r="L3044" s="114" t="s">
        <v>3880</v>
      </c>
      <c r="M3044" s="26" t="s">
        <v>3881</v>
      </c>
      <c r="N3044" s="190">
        <v>43678</v>
      </c>
      <c r="O3044" s="96" t="s">
        <v>37</v>
      </c>
      <c r="P3044" s="268">
        <v>0</v>
      </c>
      <c r="Q3044" s="273">
        <v>288</v>
      </c>
      <c r="R3044" s="268">
        <f t="shared" ref="R3044:R3107" si="73">ROUND(P3044*Q3044,2)</f>
        <v>0</v>
      </c>
      <c r="S3044" s="24">
        <v>202303</v>
      </c>
      <c r="T3044" s="127" t="s">
        <v>3882</v>
      </c>
      <c r="U3044" s="40"/>
      <c r="V3044" s="40"/>
      <c r="W3044" s="40"/>
      <c r="X3044" s="293">
        <v>44927</v>
      </c>
      <c r="Y3044" s="293">
        <v>45107</v>
      </c>
    </row>
    <row r="3045" s="9" customFormat="1" customHeight="1" spans="1:25">
      <c r="A3045" s="96" t="s">
        <v>399</v>
      </c>
      <c r="B3045" s="96" t="s">
        <v>2950</v>
      </c>
      <c r="C3045" s="96" t="s">
        <v>2828</v>
      </c>
      <c r="D3045" s="265" t="s">
        <v>2951</v>
      </c>
      <c r="E3045" s="105" t="s">
        <v>3853</v>
      </c>
      <c r="F3045" s="96" t="s">
        <v>3880</v>
      </c>
      <c r="G3045" s="96" t="s">
        <v>31</v>
      </c>
      <c r="H3045" s="313" t="s">
        <v>3855</v>
      </c>
      <c r="I3045" s="23" t="str">
        <f>VLOOKUP(H3045,'合同综合查询数据（3月返）'!$A:$A,1,FALSE)</f>
        <v>182315IDC00083</v>
      </c>
      <c r="J3045" s="24" t="s">
        <v>33</v>
      </c>
      <c r="K3045" s="96" t="s">
        <v>2971</v>
      </c>
      <c r="L3045" s="114" t="s">
        <v>3880</v>
      </c>
      <c r="M3045" s="26" t="s">
        <v>3881</v>
      </c>
      <c r="N3045" s="190">
        <v>44773</v>
      </c>
      <c r="O3045" s="96" t="s">
        <v>37</v>
      </c>
      <c r="P3045" s="268">
        <v>0</v>
      </c>
      <c r="Q3045" s="273">
        <v>-288</v>
      </c>
      <c r="R3045" s="268">
        <f t="shared" si="73"/>
        <v>0</v>
      </c>
      <c r="S3045" s="24">
        <v>202303</v>
      </c>
      <c r="T3045" s="127" t="s">
        <v>3883</v>
      </c>
      <c r="U3045" s="40"/>
      <c r="V3045" s="40"/>
      <c r="W3045" s="40"/>
      <c r="X3045" s="293">
        <v>44927</v>
      </c>
      <c r="Y3045" s="293">
        <v>45107</v>
      </c>
    </row>
    <row r="3046" s="9" customFormat="1" customHeight="1" spans="1:25">
      <c r="A3046" s="96" t="s">
        <v>399</v>
      </c>
      <c r="B3046" s="96" t="s">
        <v>2950</v>
      </c>
      <c r="C3046" s="96" t="s">
        <v>2828</v>
      </c>
      <c r="D3046" s="265" t="s">
        <v>2951</v>
      </c>
      <c r="E3046" s="105" t="s">
        <v>3853</v>
      </c>
      <c r="F3046" s="96" t="s">
        <v>3880</v>
      </c>
      <c r="G3046" s="96" t="s">
        <v>31</v>
      </c>
      <c r="H3046" s="313" t="s">
        <v>3855</v>
      </c>
      <c r="I3046" s="23" t="str">
        <f>VLOOKUP(H3046,'合同综合查询数据（3月返）'!$A:$A,1,FALSE)</f>
        <v>182315IDC00083</v>
      </c>
      <c r="J3046" s="24" t="s">
        <v>33</v>
      </c>
      <c r="K3046" s="96" t="s">
        <v>2971</v>
      </c>
      <c r="L3046" s="114" t="s">
        <v>3880</v>
      </c>
      <c r="M3046" s="26" t="s">
        <v>3881</v>
      </c>
      <c r="N3046" s="190" t="s">
        <v>1225</v>
      </c>
      <c r="O3046" s="96" t="s">
        <v>152</v>
      </c>
      <c r="P3046" s="268">
        <v>0</v>
      </c>
      <c r="Q3046" s="273">
        <v>1</v>
      </c>
      <c r="R3046" s="268">
        <f t="shared" si="73"/>
        <v>0</v>
      </c>
      <c r="S3046" s="24">
        <v>202303</v>
      </c>
      <c r="T3046" s="127" t="s">
        <v>3884</v>
      </c>
      <c r="U3046" s="40"/>
      <c r="V3046" s="40"/>
      <c r="W3046" s="40"/>
      <c r="X3046" s="293">
        <v>44927</v>
      </c>
      <c r="Y3046" s="293">
        <v>45107</v>
      </c>
    </row>
    <row r="3047" s="9" customFormat="1" customHeight="1" spans="1:25">
      <c r="A3047" s="96" t="s">
        <v>399</v>
      </c>
      <c r="B3047" s="96" t="s">
        <v>2950</v>
      </c>
      <c r="C3047" s="96" t="s">
        <v>2828</v>
      </c>
      <c r="D3047" s="265" t="s">
        <v>2951</v>
      </c>
      <c r="E3047" s="105" t="s">
        <v>3853</v>
      </c>
      <c r="F3047" s="96" t="s">
        <v>3880</v>
      </c>
      <c r="G3047" s="96" t="s">
        <v>31</v>
      </c>
      <c r="H3047" s="313" t="s">
        <v>3855</v>
      </c>
      <c r="I3047" s="23" t="str">
        <f>VLOOKUP(H3047,'合同综合查询数据（3月返）'!$A:$A,1,FALSE)</f>
        <v>182315IDC00083</v>
      </c>
      <c r="J3047" s="24" t="s">
        <v>33</v>
      </c>
      <c r="K3047" s="96" t="s">
        <v>2971</v>
      </c>
      <c r="L3047" s="114" t="s">
        <v>3880</v>
      </c>
      <c r="M3047" s="26" t="s">
        <v>3881</v>
      </c>
      <c r="N3047" s="190">
        <v>44773</v>
      </c>
      <c r="O3047" s="96" t="s">
        <v>152</v>
      </c>
      <c r="P3047" s="268">
        <v>0</v>
      </c>
      <c r="Q3047" s="273">
        <v>-1</v>
      </c>
      <c r="R3047" s="268">
        <f t="shared" si="73"/>
        <v>0</v>
      </c>
      <c r="S3047" s="24">
        <v>202303</v>
      </c>
      <c r="T3047" s="127" t="s">
        <v>3885</v>
      </c>
      <c r="U3047" s="40"/>
      <c r="V3047" s="40"/>
      <c r="W3047" s="40"/>
      <c r="X3047" s="293">
        <v>44927</v>
      </c>
      <c r="Y3047" s="293">
        <v>45107</v>
      </c>
    </row>
    <row r="3048" s="9" customFormat="1" customHeight="1" spans="1:25">
      <c r="A3048" s="96" t="s">
        <v>399</v>
      </c>
      <c r="B3048" s="96" t="s">
        <v>2950</v>
      </c>
      <c r="C3048" s="96" t="s">
        <v>2828</v>
      </c>
      <c r="D3048" s="265" t="s">
        <v>2951</v>
      </c>
      <c r="E3048" s="105" t="s">
        <v>3853</v>
      </c>
      <c r="F3048" s="96" t="s">
        <v>3880</v>
      </c>
      <c r="G3048" s="96" t="s">
        <v>88</v>
      </c>
      <c r="H3048" s="313" t="s">
        <v>3855</v>
      </c>
      <c r="I3048" s="23" t="str">
        <f>VLOOKUP(H3048,'合同综合查询数据（3月返）'!$A:$A,1,FALSE)</f>
        <v>182315IDC00083</v>
      </c>
      <c r="J3048" s="24" t="s">
        <v>126</v>
      </c>
      <c r="K3048" s="96" t="s">
        <v>2971</v>
      </c>
      <c r="L3048" s="114" t="s">
        <v>3880</v>
      </c>
      <c r="M3048" s="26" t="s">
        <v>3881</v>
      </c>
      <c r="N3048" s="190">
        <v>43678</v>
      </c>
      <c r="O3048" s="96" t="s">
        <v>92</v>
      </c>
      <c r="P3048" s="268">
        <v>3500</v>
      </c>
      <c r="Q3048" s="273">
        <v>6</v>
      </c>
      <c r="R3048" s="268">
        <f t="shared" si="73"/>
        <v>21000</v>
      </c>
      <c r="S3048" s="24">
        <v>202303</v>
      </c>
      <c r="T3048" s="127" t="s">
        <v>3886</v>
      </c>
      <c r="U3048" s="40"/>
      <c r="V3048" s="40"/>
      <c r="W3048" s="40"/>
      <c r="X3048" s="293">
        <v>44927</v>
      </c>
      <c r="Y3048" s="293">
        <v>45107</v>
      </c>
    </row>
    <row r="3049" s="9" customFormat="1" customHeight="1" spans="1:25">
      <c r="A3049" s="96" t="s">
        <v>399</v>
      </c>
      <c r="B3049" s="96" t="s">
        <v>2950</v>
      </c>
      <c r="C3049" s="96" t="s">
        <v>2828</v>
      </c>
      <c r="D3049" s="265" t="s">
        <v>2951</v>
      </c>
      <c r="E3049" s="105" t="s">
        <v>3853</v>
      </c>
      <c r="F3049" s="96" t="s">
        <v>3880</v>
      </c>
      <c r="G3049" s="96" t="s">
        <v>88</v>
      </c>
      <c r="H3049" s="313" t="s">
        <v>3855</v>
      </c>
      <c r="I3049" s="23" t="str">
        <f>VLOOKUP(H3049,'合同综合查询数据（3月返）'!$A:$A,1,FALSE)</f>
        <v>182315IDC00083</v>
      </c>
      <c r="J3049" s="24" t="s">
        <v>126</v>
      </c>
      <c r="K3049" s="96" t="s">
        <v>2971</v>
      </c>
      <c r="L3049" s="114" t="s">
        <v>3880</v>
      </c>
      <c r="M3049" s="26" t="s">
        <v>3881</v>
      </c>
      <c r="N3049" s="190">
        <v>44773</v>
      </c>
      <c r="O3049" s="96" t="s">
        <v>92</v>
      </c>
      <c r="P3049" s="268">
        <v>3500</v>
      </c>
      <c r="Q3049" s="273">
        <v>-6</v>
      </c>
      <c r="R3049" s="268">
        <f t="shared" si="73"/>
        <v>-21000</v>
      </c>
      <c r="S3049" s="24">
        <v>202303</v>
      </c>
      <c r="T3049" s="127" t="s">
        <v>3887</v>
      </c>
      <c r="U3049" s="40"/>
      <c r="V3049" s="40"/>
      <c r="W3049" s="40"/>
      <c r="X3049" s="293">
        <v>44927</v>
      </c>
      <c r="Y3049" s="293">
        <v>45107</v>
      </c>
    </row>
    <row r="3050" s="9" customFormat="1" customHeight="1" spans="1:25">
      <c r="A3050" s="96" t="s">
        <v>399</v>
      </c>
      <c r="B3050" s="96" t="s">
        <v>2950</v>
      </c>
      <c r="C3050" s="96" t="s">
        <v>2828</v>
      </c>
      <c r="D3050" s="265" t="s">
        <v>2951</v>
      </c>
      <c r="E3050" s="105" t="s">
        <v>3853</v>
      </c>
      <c r="F3050" s="96" t="s">
        <v>3854</v>
      </c>
      <c r="G3050" s="96" t="s">
        <v>31</v>
      </c>
      <c r="H3050" s="313" t="s">
        <v>3855</v>
      </c>
      <c r="I3050" s="23" t="str">
        <f>VLOOKUP(H3050,'合同综合查询数据（3月返）'!$A:$A,1,FALSE)</f>
        <v>182315IDC00083</v>
      </c>
      <c r="J3050" s="24" t="s">
        <v>33</v>
      </c>
      <c r="K3050" s="96" t="s">
        <v>2829</v>
      </c>
      <c r="L3050" s="114" t="s">
        <v>3888</v>
      </c>
      <c r="M3050" s="26" t="s">
        <v>2987</v>
      </c>
      <c r="N3050" s="190">
        <v>44805</v>
      </c>
      <c r="O3050" s="96" t="s">
        <v>37</v>
      </c>
      <c r="P3050" s="268">
        <v>0</v>
      </c>
      <c r="Q3050" s="273">
        <v>288</v>
      </c>
      <c r="R3050" s="268">
        <f t="shared" si="73"/>
        <v>0</v>
      </c>
      <c r="S3050" s="24">
        <v>202303</v>
      </c>
      <c r="T3050" s="127" t="s">
        <v>3889</v>
      </c>
      <c r="U3050" s="40"/>
      <c r="V3050" s="40"/>
      <c r="W3050" s="40"/>
      <c r="X3050" s="293">
        <v>44927</v>
      </c>
      <c r="Y3050" s="293">
        <v>45107</v>
      </c>
    </row>
    <row r="3051" s="9" customFormat="1" customHeight="1" spans="1:25">
      <c r="A3051" s="96" t="s">
        <v>399</v>
      </c>
      <c r="B3051" s="96" t="s">
        <v>2950</v>
      </c>
      <c r="C3051" s="96" t="s">
        <v>2828</v>
      </c>
      <c r="D3051" s="265" t="s">
        <v>2951</v>
      </c>
      <c r="E3051" s="105" t="s">
        <v>3853</v>
      </c>
      <c r="F3051" s="96" t="s">
        <v>3854</v>
      </c>
      <c r="G3051" s="96" t="s">
        <v>88</v>
      </c>
      <c r="H3051" s="313" t="s">
        <v>3855</v>
      </c>
      <c r="I3051" s="23" t="str">
        <f>VLOOKUP(H3051,'合同综合查询数据（3月返）'!$A:$A,1,FALSE)</f>
        <v>182315IDC00083</v>
      </c>
      <c r="J3051" s="24" t="s">
        <v>126</v>
      </c>
      <c r="K3051" s="96" t="s">
        <v>2829</v>
      </c>
      <c r="L3051" s="114" t="s">
        <v>3888</v>
      </c>
      <c r="M3051" s="26" t="s">
        <v>2987</v>
      </c>
      <c r="N3051" s="190">
        <v>44805</v>
      </c>
      <c r="O3051" s="96" t="s">
        <v>127</v>
      </c>
      <c r="P3051" s="268">
        <v>5000</v>
      </c>
      <c r="Q3051" s="273">
        <v>2</v>
      </c>
      <c r="R3051" s="268">
        <f t="shared" si="73"/>
        <v>10000</v>
      </c>
      <c r="S3051" s="24">
        <v>202303</v>
      </c>
      <c r="T3051" s="127" t="s">
        <v>3890</v>
      </c>
      <c r="U3051" s="40"/>
      <c r="V3051" s="40"/>
      <c r="W3051" s="40"/>
      <c r="X3051" s="293">
        <v>44927</v>
      </c>
      <c r="Y3051" s="293">
        <v>45107</v>
      </c>
    </row>
    <row r="3052" s="9" customFormat="1" customHeight="1" spans="1:25">
      <c r="A3052" s="96" t="s">
        <v>399</v>
      </c>
      <c r="B3052" s="96" t="s">
        <v>2950</v>
      </c>
      <c r="C3052" s="96" t="s">
        <v>2828</v>
      </c>
      <c r="D3052" s="265" t="s">
        <v>2951</v>
      </c>
      <c r="E3052" s="105" t="s">
        <v>3853</v>
      </c>
      <c r="F3052" s="96" t="s">
        <v>3854</v>
      </c>
      <c r="G3052" s="96" t="s">
        <v>88</v>
      </c>
      <c r="H3052" s="313" t="s">
        <v>3855</v>
      </c>
      <c r="I3052" s="23" t="str">
        <f>VLOOKUP(H3052,'合同综合查询数据（3月返）'!$A:$A,1,FALSE)</f>
        <v>182315IDC00083</v>
      </c>
      <c r="J3052" s="24" t="s">
        <v>126</v>
      </c>
      <c r="K3052" s="96" t="s">
        <v>2829</v>
      </c>
      <c r="L3052" s="114" t="s">
        <v>3888</v>
      </c>
      <c r="M3052" s="26" t="s">
        <v>2987</v>
      </c>
      <c r="N3052" s="190">
        <v>44835</v>
      </c>
      <c r="O3052" s="96" t="s">
        <v>127</v>
      </c>
      <c r="P3052" s="268">
        <v>5000</v>
      </c>
      <c r="Q3052" s="273">
        <v>2</v>
      </c>
      <c r="R3052" s="268">
        <f t="shared" si="73"/>
        <v>10000</v>
      </c>
      <c r="S3052" s="24">
        <v>202303</v>
      </c>
      <c r="T3052" s="127" t="s">
        <v>3891</v>
      </c>
      <c r="U3052" s="40"/>
      <c r="V3052" s="40"/>
      <c r="W3052" s="40"/>
      <c r="X3052" s="293">
        <v>44927</v>
      </c>
      <c r="Y3052" s="293">
        <v>45107</v>
      </c>
    </row>
    <row r="3053" s="10" customFormat="1" customHeight="1" spans="1:25">
      <c r="A3053" s="60" t="s">
        <v>399</v>
      </c>
      <c r="B3053" s="60" t="s">
        <v>2950</v>
      </c>
      <c r="C3053" s="60" t="s">
        <v>2912</v>
      </c>
      <c r="D3053" s="263" t="s">
        <v>2951</v>
      </c>
      <c r="E3053" s="63" t="s">
        <v>3892</v>
      </c>
      <c r="F3053" s="60" t="s">
        <v>3893</v>
      </c>
      <c r="G3053" s="60" t="s">
        <v>31</v>
      </c>
      <c r="H3053" s="45" t="s">
        <v>3894</v>
      </c>
      <c r="I3053" s="47" t="e">
        <f>VLOOKUP(H3053,'合同综合查询数据（3月返）'!$A:$A,1,FALSE)</f>
        <v>#N/A</v>
      </c>
      <c r="J3053" s="48" t="s">
        <v>33</v>
      </c>
      <c r="K3053" s="60" t="s">
        <v>2912</v>
      </c>
      <c r="L3053" s="113" t="s">
        <v>3893</v>
      </c>
      <c r="M3053" s="50" t="s">
        <v>3895</v>
      </c>
      <c r="N3053" s="51" t="s">
        <v>1225</v>
      </c>
      <c r="O3053" s="60" t="s">
        <v>37</v>
      </c>
      <c r="P3053" s="266">
        <v>0</v>
      </c>
      <c r="Q3053" s="270">
        <v>544</v>
      </c>
      <c r="R3053" s="266">
        <f t="shared" si="73"/>
        <v>0</v>
      </c>
      <c r="S3053" s="48">
        <v>202303</v>
      </c>
      <c r="T3053" s="125" t="s">
        <v>3896</v>
      </c>
      <c r="U3053" s="58"/>
      <c r="V3053" s="58"/>
      <c r="W3053" s="58"/>
      <c r="X3053" s="111"/>
      <c r="Y3053" s="111"/>
    </row>
    <row r="3054" s="10" customFormat="1" customHeight="1" spans="1:25">
      <c r="A3054" s="60" t="s">
        <v>399</v>
      </c>
      <c r="B3054" s="60" t="s">
        <v>2950</v>
      </c>
      <c r="C3054" s="60" t="s">
        <v>2912</v>
      </c>
      <c r="D3054" s="263" t="s">
        <v>2951</v>
      </c>
      <c r="E3054" s="63" t="s">
        <v>3892</v>
      </c>
      <c r="F3054" s="60" t="s">
        <v>3893</v>
      </c>
      <c r="G3054" s="60" t="s">
        <v>31</v>
      </c>
      <c r="H3054" s="45" t="s">
        <v>3894</v>
      </c>
      <c r="I3054" s="47" t="e">
        <f>VLOOKUP(H3054,'合同综合查询数据（3月返）'!$A:$A,1,FALSE)</f>
        <v>#N/A</v>
      </c>
      <c r="J3054" s="48" t="s">
        <v>33</v>
      </c>
      <c r="K3054" s="60" t="s">
        <v>2912</v>
      </c>
      <c r="L3054" s="113" t="s">
        <v>3897</v>
      </c>
      <c r="M3054" s="50" t="s">
        <v>3895</v>
      </c>
      <c r="N3054" s="51" t="s">
        <v>1225</v>
      </c>
      <c r="O3054" s="60" t="s">
        <v>37</v>
      </c>
      <c r="P3054" s="266">
        <v>0</v>
      </c>
      <c r="Q3054" s="270">
        <v>288</v>
      </c>
      <c r="R3054" s="266">
        <f t="shared" si="73"/>
        <v>0</v>
      </c>
      <c r="S3054" s="48">
        <v>202303</v>
      </c>
      <c r="T3054" s="125" t="s">
        <v>3898</v>
      </c>
      <c r="U3054" s="58"/>
      <c r="V3054" s="58"/>
      <c r="W3054" s="58"/>
      <c r="X3054" s="111"/>
      <c r="Y3054" s="111"/>
    </row>
    <row r="3055" s="10" customFormat="1" customHeight="1" spans="1:25">
      <c r="A3055" s="60" t="s">
        <v>399</v>
      </c>
      <c r="B3055" s="60" t="s">
        <v>2950</v>
      </c>
      <c r="C3055" s="60" t="s">
        <v>2912</v>
      </c>
      <c r="D3055" s="263" t="s">
        <v>2951</v>
      </c>
      <c r="E3055" s="63" t="s">
        <v>3892</v>
      </c>
      <c r="F3055" s="60" t="s">
        <v>3893</v>
      </c>
      <c r="G3055" s="60" t="s">
        <v>31</v>
      </c>
      <c r="H3055" s="45" t="s">
        <v>3894</v>
      </c>
      <c r="I3055" s="47" t="e">
        <f>VLOOKUP(H3055,'合同综合查询数据（3月返）'!$A:$A,1,FALSE)</f>
        <v>#N/A</v>
      </c>
      <c r="J3055" s="48" t="s">
        <v>33</v>
      </c>
      <c r="K3055" s="60" t="s">
        <v>2912</v>
      </c>
      <c r="L3055" s="113" t="s">
        <v>3899</v>
      </c>
      <c r="M3055" s="50" t="s">
        <v>3900</v>
      </c>
      <c r="N3055" s="51" t="s">
        <v>1225</v>
      </c>
      <c r="O3055" s="60" t="s">
        <v>37</v>
      </c>
      <c r="P3055" s="266">
        <v>0</v>
      </c>
      <c r="Q3055" s="270">
        <v>288</v>
      </c>
      <c r="R3055" s="266">
        <f t="shared" si="73"/>
        <v>0</v>
      </c>
      <c r="S3055" s="48">
        <v>202303</v>
      </c>
      <c r="T3055" s="125" t="s">
        <v>3898</v>
      </c>
      <c r="U3055" s="58"/>
      <c r="V3055" s="58"/>
      <c r="W3055" s="58"/>
      <c r="X3055" s="111"/>
      <c r="Y3055" s="111"/>
    </row>
    <row r="3056" s="10" customFormat="1" customHeight="1" spans="1:25">
      <c r="A3056" s="314" t="s">
        <v>399</v>
      </c>
      <c r="B3056" s="314" t="s">
        <v>2950</v>
      </c>
      <c r="C3056" s="314" t="s">
        <v>2912</v>
      </c>
      <c r="D3056" s="263" t="s">
        <v>2951</v>
      </c>
      <c r="E3056" s="315" t="s">
        <v>3892</v>
      </c>
      <c r="F3056" s="314" t="s">
        <v>3893</v>
      </c>
      <c r="G3056" s="314" t="s">
        <v>31</v>
      </c>
      <c r="H3056" s="45" t="s">
        <v>3894</v>
      </c>
      <c r="I3056" s="47" t="e">
        <f>VLOOKUP(H3056,'合同综合查询数据（3月返）'!$A:$A,1,FALSE)</f>
        <v>#N/A</v>
      </c>
      <c r="J3056" s="48" t="s">
        <v>33</v>
      </c>
      <c r="K3056" s="314" t="s">
        <v>2912</v>
      </c>
      <c r="L3056" s="316" t="s">
        <v>3893</v>
      </c>
      <c r="M3056" s="50" t="s">
        <v>3895</v>
      </c>
      <c r="N3056" s="51">
        <v>44271</v>
      </c>
      <c r="O3056" s="138" t="s">
        <v>37</v>
      </c>
      <c r="P3056" s="266">
        <v>0</v>
      </c>
      <c r="Q3056" s="266">
        <v>32</v>
      </c>
      <c r="R3056" s="266">
        <f t="shared" si="73"/>
        <v>0</v>
      </c>
      <c r="S3056" s="48">
        <v>202303</v>
      </c>
      <c r="T3056" s="125" t="s">
        <v>3901</v>
      </c>
      <c r="U3056" s="58"/>
      <c r="V3056" s="58"/>
      <c r="W3056" s="58"/>
      <c r="X3056" s="111"/>
      <c r="Y3056" s="111"/>
    </row>
    <row r="3057" s="10" customFormat="1" customHeight="1" spans="1:25">
      <c r="A3057" s="314" t="s">
        <v>399</v>
      </c>
      <c r="B3057" s="314" t="s">
        <v>2950</v>
      </c>
      <c r="C3057" s="314" t="s">
        <v>2912</v>
      </c>
      <c r="D3057" s="263" t="s">
        <v>2951</v>
      </c>
      <c r="E3057" s="315" t="s">
        <v>3892</v>
      </c>
      <c r="F3057" s="314" t="s">
        <v>3893</v>
      </c>
      <c r="G3057" s="314" t="s">
        <v>31</v>
      </c>
      <c r="H3057" s="45" t="s">
        <v>3894</v>
      </c>
      <c r="I3057" s="47" t="e">
        <f>VLOOKUP(H3057,'合同综合查询数据（3月返）'!$A:$A,1,FALSE)</f>
        <v>#N/A</v>
      </c>
      <c r="J3057" s="48" t="s">
        <v>33</v>
      </c>
      <c r="K3057" s="314" t="s">
        <v>2912</v>
      </c>
      <c r="L3057" s="316" t="s">
        <v>3902</v>
      </c>
      <c r="M3057" s="50" t="s">
        <v>3895</v>
      </c>
      <c r="N3057" s="51">
        <v>44013</v>
      </c>
      <c r="O3057" s="138" t="s">
        <v>37</v>
      </c>
      <c r="P3057" s="266">
        <v>0</v>
      </c>
      <c r="Q3057" s="270">
        <v>288</v>
      </c>
      <c r="R3057" s="266">
        <f t="shared" si="73"/>
        <v>0</v>
      </c>
      <c r="S3057" s="48">
        <v>202303</v>
      </c>
      <c r="T3057" s="125" t="s">
        <v>3903</v>
      </c>
      <c r="U3057" s="58"/>
      <c r="V3057" s="58"/>
      <c r="W3057" s="58"/>
      <c r="X3057" s="111"/>
      <c r="Y3057" s="111"/>
    </row>
    <row r="3058" s="10" customFormat="1" customHeight="1" spans="1:25">
      <c r="A3058" s="314" t="s">
        <v>399</v>
      </c>
      <c r="B3058" s="314" t="s">
        <v>2950</v>
      </c>
      <c r="C3058" s="314" t="s">
        <v>2912</v>
      </c>
      <c r="D3058" s="263" t="s">
        <v>2951</v>
      </c>
      <c r="E3058" s="315" t="s">
        <v>3892</v>
      </c>
      <c r="F3058" s="314" t="s">
        <v>3893</v>
      </c>
      <c r="G3058" s="314" t="s">
        <v>31</v>
      </c>
      <c r="H3058" s="45" t="s">
        <v>3894</v>
      </c>
      <c r="I3058" s="47" t="e">
        <f>VLOOKUP(H3058,'合同综合查询数据（3月返）'!$A:$A,1,FALSE)</f>
        <v>#N/A</v>
      </c>
      <c r="J3058" s="48" t="s">
        <v>1019</v>
      </c>
      <c r="K3058" s="314" t="s">
        <v>2912</v>
      </c>
      <c r="L3058" s="316" t="s">
        <v>3904</v>
      </c>
      <c r="M3058" s="50" t="s">
        <v>3905</v>
      </c>
      <c r="N3058" s="51">
        <v>44044</v>
      </c>
      <c r="O3058" s="138" t="s">
        <v>37</v>
      </c>
      <c r="P3058" s="266">
        <v>0</v>
      </c>
      <c r="Q3058" s="270">
        <v>576</v>
      </c>
      <c r="R3058" s="266">
        <f t="shared" si="73"/>
        <v>0</v>
      </c>
      <c r="S3058" s="48">
        <v>202303</v>
      </c>
      <c r="T3058" s="125" t="s">
        <v>3906</v>
      </c>
      <c r="U3058" s="58"/>
      <c r="V3058" s="58"/>
      <c r="W3058" s="58"/>
      <c r="X3058" s="111"/>
      <c r="Y3058" s="111"/>
    </row>
    <row r="3059" s="10" customFormat="1" customHeight="1" spans="1:25">
      <c r="A3059" s="314" t="s">
        <v>399</v>
      </c>
      <c r="B3059" s="314" t="s">
        <v>2950</v>
      </c>
      <c r="C3059" s="314" t="s">
        <v>2912</v>
      </c>
      <c r="D3059" s="263" t="s">
        <v>2951</v>
      </c>
      <c r="E3059" s="315" t="s">
        <v>3892</v>
      </c>
      <c r="F3059" s="314" t="s">
        <v>3893</v>
      </c>
      <c r="G3059" s="314" t="s">
        <v>31</v>
      </c>
      <c r="H3059" s="45" t="s">
        <v>3894</v>
      </c>
      <c r="I3059" s="47" t="e">
        <f>VLOOKUP(H3059,'合同综合查询数据（3月返）'!$A:$A,1,FALSE)</f>
        <v>#N/A</v>
      </c>
      <c r="J3059" s="48" t="s">
        <v>33</v>
      </c>
      <c r="K3059" s="314" t="s">
        <v>2912</v>
      </c>
      <c r="L3059" s="316" t="s">
        <v>3902</v>
      </c>
      <c r="M3059" s="50" t="s">
        <v>3895</v>
      </c>
      <c r="N3059" s="51">
        <v>44333</v>
      </c>
      <c r="O3059" s="267" t="s">
        <v>37</v>
      </c>
      <c r="P3059" s="266">
        <v>0</v>
      </c>
      <c r="Q3059" s="266">
        <v>128</v>
      </c>
      <c r="R3059" s="266">
        <f t="shared" si="73"/>
        <v>0</v>
      </c>
      <c r="S3059" s="48">
        <v>202303</v>
      </c>
      <c r="T3059" s="125" t="s">
        <v>3907</v>
      </c>
      <c r="U3059" s="58"/>
      <c r="V3059" s="58"/>
      <c r="W3059" s="58"/>
      <c r="X3059" s="111"/>
      <c r="Y3059" s="111"/>
    </row>
    <row r="3060" s="10" customFormat="1" customHeight="1" spans="1:25">
      <c r="A3060" s="314" t="s">
        <v>399</v>
      </c>
      <c r="B3060" s="314" t="s">
        <v>2950</v>
      </c>
      <c r="C3060" s="314" t="s">
        <v>2912</v>
      </c>
      <c r="D3060" s="263" t="s">
        <v>2951</v>
      </c>
      <c r="E3060" s="315" t="s">
        <v>3892</v>
      </c>
      <c r="F3060" s="314" t="s">
        <v>3893</v>
      </c>
      <c r="G3060" s="314" t="s">
        <v>31</v>
      </c>
      <c r="H3060" s="45" t="s">
        <v>3894</v>
      </c>
      <c r="I3060" s="47" t="e">
        <f>VLOOKUP(H3060,'合同综合查询数据（3月返）'!$A:$A,1,FALSE)</f>
        <v>#N/A</v>
      </c>
      <c r="J3060" s="48" t="s">
        <v>33</v>
      </c>
      <c r="K3060" s="314" t="s">
        <v>2912</v>
      </c>
      <c r="L3060" s="316" t="s">
        <v>3902</v>
      </c>
      <c r="M3060" s="50" t="s">
        <v>3895</v>
      </c>
      <c r="N3060" s="51">
        <v>44414</v>
      </c>
      <c r="O3060" s="267" t="s">
        <v>37</v>
      </c>
      <c r="P3060" s="266">
        <v>0</v>
      </c>
      <c r="Q3060" s="266">
        <v>128</v>
      </c>
      <c r="R3060" s="266">
        <f t="shared" si="73"/>
        <v>0</v>
      </c>
      <c r="S3060" s="48">
        <v>202303</v>
      </c>
      <c r="T3060" s="125" t="s">
        <v>3908</v>
      </c>
      <c r="U3060" s="58"/>
      <c r="V3060" s="58"/>
      <c r="W3060" s="58"/>
      <c r="X3060" s="111"/>
      <c r="Y3060" s="111"/>
    </row>
    <row r="3061" s="10" customFormat="1" customHeight="1" spans="1:25">
      <c r="A3061" s="314" t="s">
        <v>399</v>
      </c>
      <c r="B3061" s="314" t="s">
        <v>2950</v>
      </c>
      <c r="C3061" s="314" t="s">
        <v>2912</v>
      </c>
      <c r="D3061" s="263" t="s">
        <v>2951</v>
      </c>
      <c r="E3061" s="315" t="s">
        <v>3892</v>
      </c>
      <c r="F3061" s="314" t="s">
        <v>3893</v>
      </c>
      <c r="G3061" s="314" t="s">
        <v>31</v>
      </c>
      <c r="H3061" s="45" t="s">
        <v>3894</v>
      </c>
      <c r="I3061" s="47" t="e">
        <f>VLOOKUP(H3061,'合同综合查询数据（3月返）'!$A:$A,1,FALSE)</f>
        <v>#N/A</v>
      </c>
      <c r="J3061" s="48" t="s">
        <v>33</v>
      </c>
      <c r="K3061" s="314" t="s">
        <v>2912</v>
      </c>
      <c r="L3061" s="316" t="s">
        <v>3893</v>
      </c>
      <c r="M3061" s="50" t="s">
        <v>3895</v>
      </c>
      <c r="N3061" s="51">
        <v>44773</v>
      </c>
      <c r="O3061" s="267" t="s">
        <v>37</v>
      </c>
      <c r="P3061" s="266">
        <v>0</v>
      </c>
      <c r="Q3061" s="266">
        <v>-544</v>
      </c>
      <c r="R3061" s="266">
        <f t="shared" si="73"/>
        <v>0</v>
      </c>
      <c r="S3061" s="48">
        <v>202303</v>
      </c>
      <c r="T3061" s="125" t="s">
        <v>3909</v>
      </c>
      <c r="U3061" s="58"/>
      <c r="V3061" s="58"/>
      <c r="W3061" s="58"/>
      <c r="X3061" s="111"/>
      <c r="Y3061" s="111"/>
    </row>
    <row r="3062" s="10" customFormat="1" customHeight="1" spans="1:25">
      <c r="A3062" s="314" t="s">
        <v>399</v>
      </c>
      <c r="B3062" s="314" t="s">
        <v>2950</v>
      </c>
      <c r="C3062" s="314" t="s">
        <v>2912</v>
      </c>
      <c r="D3062" s="263" t="s">
        <v>2951</v>
      </c>
      <c r="E3062" s="315" t="s">
        <v>3892</v>
      </c>
      <c r="F3062" s="314" t="s">
        <v>3893</v>
      </c>
      <c r="G3062" s="314" t="s">
        <v>31</v>
      </c>
      <c r="H3062" s="45" t="s">
        <v>3894</v>
      </c>
      <c r="I3062" s="47" t="e">
        <f>VLOOKUP(H3062,'合同综合查询数据（3月返）'!$A:$A,1,FALSE)</f>
        <v>#N/A</v>
      </c>
      <c r="J3062" s="48" t="s">
        <v>33</v>
      </c>
      <c r="K3062" s="314" t="s">
        <v>2912</v>
      </c>
      <c r="L3062" s="316" t="s">
        <v>3893</v>
      </c>
      <c r="M3062" s="50" t="s">
        <v>3895</v>
      </c>
      <c r="N3062" s="51">
        <v>44773</v>
      </c>
      <c r="O3062" s="267" t="s">
        <v>37</v>
      </c>
      <c r="P3062" s="266">
        <v>0</v>
      </c>
      <c r="Q3062" s="266">
        <v>-32</v>
      </c>
      <c r="R3062" s="266">
        <f t="shared" si="73"/>
        <v>0</v>
      </c>
      <c r="S3062" s="48">
        <v>202303</v>
      </c>
      <c r="T3062" s="125" t="s">
        <v>3910</v>
      </c>
      <c r="U3062" s="58"/>
      <c r="V3062" s="58"/>
      <c r="W3062" s="58"/>
      <c r="X3062" s="111"/>
      <c r="Y3062" s="111"/>
    </row>
    <row r="3063" s="10" customFormat="1" customHeight="1" spans="1:25">
      <c r="A3063" s="314" t="s">
        <v>399</v>
      </c>
      <c r="B3063" s="314" t="s">
        <v>2950</v>
      </c>
      <c r="C3063" s="314" t="s">
        <v>2912</v>
      </c>
      <c r="D3063" s="263" t="s">
        <v>2951</v>
      </c>
      <c r="E3063" s="315" t="s">
        <v>3892</v>
      </c>
      <c r="F3063" s="314" t="s">
        <v>3893</v>
      </c>
      <c r="G3063" s="314" t="s">
        <v>31</v>
      </c>
      <c r="H3063" s="45" t="s">
        <v>3911</v>
      </c>
      <c r="I3063" s="47" t="e">
        <f>VLOOKUP(H3063,'合同综合查询数据（3月返）'!$A:$A,1,FALSE)</f>
        <v>#N/A</v>
      </c>
      <c r="J3063" s="48" t="s">
        <v>33</v>
      </c>
      <c r="K3063" s="314" t="s">
        <v>2912</v>
      </c>
      <c r="L3063" s="316" t="s">
        <v>3902</v>
      </c>
      <c r="M3063" s="50" t="s">
        <v>3895</v>
      </c>
      <c r="N3063" s="51">
        <v>44810</v>
      </c>
      <c r="O3063" s="267" t="s">
        <v>37</v>
      </c>
      <c r="P3063" s="266">
        <v>0</v>
      </c>
      <c r="Q3063" s="266">
        <v>32</v>
      </c>
      <c r="R3063" s="266">
        <f t="shared" si="73"/>
        <v>0</v>
      </c>
      <c r="S3063" s="48">
        <v>202303</v>
      </c>
      <c r="T3063" s="125" t="s">
        <v>3912</v>
      </c>
      <c r="U3063" s="58"/>
      <c r="V3063" s="58"/>
      <c r="W3063" s="58"/>
      <c r="X3063" s="111"/>
      <c r="Y3063" s="111"/>
    </row>
    <row r="3064" s="10" customFormat="1" customHeight="1" spans="1:25">
      <c r="A3064" s="314" t="s">
        <v>399</v>
      </c>
      <c r="B3064" s="314" t="s">
        <v>2950</v>
      </c>
      <c r="C3064" s="314" t="s">
        <v>2912</v>
      </c>
      <c r="D3064" s="263" t="s">
        <v>2951</v>
      </c>
      <c r="E3064" s="315" t="s">
        <v>3892</v>
      </c>
      <c r="F3064" s="314" t="s">
        <v>3893</v>
      </c>
      <c r="G3064" s="314" t="s">
        <v>31</v>
      </c>
      <c r="H3064" s="45" t="s">
        <v>3894</v>
      </c>
      <c r="I3064" s="47" t="e">
        <f>VLOOKUP(H3064,'合同综合查询数据（3月返）'!$A:$A,1,FALSE)</f>
        <v>#N/A</v>
      </c>
      <c r="J3064" s="48" t="s">
        <v>33</v>
      </c>
      <c r="K3064" s="314" t="s">
        <v>2912</v>
      </c>
      <c r="L3064" s="316" t="s">
        <v>3893</v>
      </c>
      <c r="M3064" s="50" t="s">
        <v>3895</v>
      </c>
      <c r="N3064" s="51"/>
      <c r="O3064" s="60" t="s">
        <v>152</v>
      </c>
      <c r="P3064" s="266">
        <v>0</v>
      </c>
      <c r="Q3064" s="266">
        <v>1</v>
      </c>
      <c r="R3064" s="266">
        <f t="shared" si="73"/>
        <v>0</v>
      </c>
      <c r="S3064" s="48">
        <v>202303</v>
      </c>
      <c r="T3064" s="125" t="s">
        <v>3172</v>
      </c>
      <c r="U3064" s="58"/>
      <c r="V3064" s="58"/>
      <c r="W3064" s="58"/>
      <c r="X3064" s="111"/>
      <c r="Y3064" s="111"/>
    </row>
    <row r="3065" s="10" customFormat="1" customHeight="1" spans="1:25">
      <c r="A3065" s="314" t="s">
        <v>399</v>
      </c>
      <c r="B3065" s="314" t="s">
        <v>2950</v>
      </c>
      <c r="C3065" s="314" t="s">
        <v>2912</v>
      </c>
      <c r="D3065" s="263" t="s">
        <v>2951</v>
      </c>
      <c r="E3065" s="315" t="s">
        <v>3892</v>
      </c>
      <c r="F3065" s="314" t="s">
        <v>3893</v>
      </c>
      <c r="G3065" s="314" t="s">
        <v>31</v>
      </c>
      <c r="H3065" s="45" t="s">
        <v>3894</v>
      </c>
      <c r="I3065" s="47" t="e">
        <f>VLOOKUP(H3065,'合同综合查询数据（3月返）'!$A:$A,1,FALSE)</f>
        <v>#N/A</v>
      </c>
      <c r="J3065" s="48" t="s">
        <v>33</v>
      </c>
      <c r="K3065" s="314" t="s">
        <v>2912</v>
      </c>
      <c r="L3065" s="113" t="s">
        <v>3897</v>
      </c>
      <c r="M3065" s="50" t="s">
        <v>3895</v>
      </c>
      <c r="N3065" s="51"/>
      <c r="O3065" s="60" t="s">
        <v>152</v>
      </c>
      <c r="P3065" s="266">
        <v>0</v>
      </c>
      <c r="Q3065" s="266">
        <v>1</v>
      </c>
      <c r="R3065" s="266">
        <f t="shared" si="73"/>
        <v>0</v>
      </c>
      <c r="S3065" s="48">
        <v>202303</v>
      </c>
      <c r="T3065" s="125" t="s">
        <v>3172</v>
      </c>
      <c r="U3065" s="58"/>
      <c r="V3065" s="58"/>
      <c r="W3065" s="58"/>
      <c r="X3065" s="111"/>
      <c r="Y3065" s="111"/>
    </row>
    <row r="3066" s="10" customFormat="1" customHeight="1" spans="1:25">
      <c r="A3066" s="314" t="s">
        <v>399</v>
      </c>
      <c r="B3066" s="314" t="s">
        <v>2950</v>
      </c>
      <c r="C3066" s="314" t="s">
        <v>2912</v>
      </c>
      <c r="D3066" s="263" t="s">
        <v>2951</v>
      </c>
      <c r="E3066" s="315" t="s">
        <v>3892</v>
      </c>
      <c r="F3066" s="314" t="s">
        <v>3893</v>
      </c>
      <c r="G3066" s="314" t="s">
        <v>31</v>
      </c>
      <c r="H3066" s="45" t="s">
        <v>3894</v>
      </c>
      <c r="I3066" s="47" t="e">
        <f>VLOOKUP(H3066,'合同综合查询数据（3月返）'!$A:$A,1,FALSE)</f>
        <v>#N/A</v>
      </c>
      <c r="J3066" s="48" t="s">
        <v>33</v>
      </c>
      <c r="K3066" s="314" t="s">
        <v>2912</v>
      </c>
      <c r="L3066" s="316" t="s">
        <v>3902</v>
      </c>
      <c r="M3066" s="50" t="s">
        <v>3895</v>
      </c>
      <c r="N3066" s="51"/>
      <c r="O3066" s="60" t="s">
        <v>152</v>
      </c>
      <c r="P3066" s="266">
        <v>0</v>
      </c>
      <c r="Q3066" s="266">
        <v>1</v>
      </c>
      <c r="R3066" s="266">
        <f t="shared" si="73"/>
        <v>0</v>
      </c>
      <c r="S3066" s="48">
        <v>202303</v>
      </c>
      <c r="T3066" s="125" t="s">
        <v>3172</v>
      </c>
      <c r="U3066" s="58"/>
      <c r="V3066" s="58"/>
      <c r="W3066" s="58"/>
      <c r="X3066" s="111"/>
      <c r="Y3066" s="111"/>
    </row>
    <row r="3067" s="10" customFormat="1" customHeight="1" spans="1:25">
      <c r="A3067" s="314" t="s">
        <v>399</v>
      </c>
      <c r="B3067" s="314" t="s">
        <v>2950</v>
      </c>
      <c r="C3067" s="314" t="s">
        <v>2912</v>
      </c>
      <c r="D3067" s="263" t="s">
        <v>2951</v>
      </c>
      <c r="E3067" s="315" t="s">
        <v>3892</v>
      </c>
      <c r="F3067" s="314" t="s">
        <v>3893</v>
      </c>
      <c r="G3067" s="314" t="s">
        <v>31</v>
      </c>
      <c r="H3067" s="45" t="s">
        <v>3894</v>
      </c>
      <c r="I3067" s="47" t="e">
        <f>VLOOKUP(H3067,'合同综合查询数据（3月返）'!$A:$A,1,FALSE)</f>
        <v>#N/A</v>
      </c>
      <c r="J3067" s="48" t="s">
        <v>33</v>
      </c>
      <c r="K3067" s="314" t="s">
        <v>2912</v>
      </c>
      <c r="L3067" s="113" t="s">
        <v>3899</v>
      </c>
      <c r="M3067" s="50" t="s">
        <v>3900</v>
      </c>
      <c r="N3067" s="51"/>
      <c r="O3067" s="60" t="s">
        <v>152</v>
      </c>
      <c r="P3067" s="266">
        <v>0</v>
      </c>
      <c r="Q3067" s="266">
        <v>1</v>
      </c>
      <c r="R3067" s="266">
        <f t="shared" si="73"/>
        <v>0</v>
      </c>
      <c r="S3067" s="48">
        <v>202303</v>
      </c>
      <c r="T3067" s="125" t="s">
        <v>3172</v>
      </c>
      <c r="U3067" s="58"/>
      <c r="V3067" s="58"/>
      <c r="W3067" s="58"/>
      <c r="X3067" s="111"/>
      <c r="Y3067" s="111"/>
    </row>
    <row r="3068" s="10" customFormat="1" customHeight="1" spans="1:25">
      <c r="A3068" s="60" t="s">
        <v>399</v>
      </c>
      <c r="B3068" s="60" t="s">
        <v>2950</v>
      </c>
      <c r="C3068" s="60" t="s">
        <v>2912</v>
      </c>
      <c r="D3068" s="263" t="s">
        <v>2951</v>
      </c>
      <c r="E3068" s="63" t="s">
        <v>3892</v>
      </c>
      <c r="F3068" s="60" t="s">
        <v>3893</v>
      </c>
      <c r="G3068" s="60" t="s">
        <v>88</v>
      </c>
      <c r="H3068" s="45" t="s">
        <v>3894</v>
      </c>
      <c r="I3068" s="47" t="e">
        <f>VLOOKUP(H3068,'合同综合查询数据（3月返）'!$A:$A,1,FALSE)</f>
        <v>#N/A</v>
      </c>
      <c r="J3068" s="48" t="s">
        <v>126</v>
      </c>
      <c r="K3068" s="60" t="s">
        <v>2912</v>
      </c>
      <c r="L3068" s="113"/>
      <c r="M3068" s="50" t="s">
        <v>3895</v>
      </c>
      <c r="N3068" s="51">
        <v>42309</v>
      </c>
      <c r="O3068" s="138" t="s">
        <v>127</v>
      </c>
      <c r="P3068" s="266">
        <v>5000</v>
      </c>
      <c r="Q3068" s="270">
        <v>11</v>
      </c>
      <c r="R3068" s="266">
        <f t="shared" si="73"/>
        <v>55000</v>
      </c>
      <c r="S3068" s="48">
        <v>202303</v>
      </c>
      <c r="T3068" s="125" t="s">
        <v>3913</v>
      </c>
      <c r="U3068" s="58"/>
      <c r="V3068" s="58"/>
      <c r="W3068" s="58"/>
      <c r="X3068" s="111"/>
      <c r="Y3068" s="111"/>
    </row>
    <row r="3069" s="10" customFormat="1" customHeight="1" spans="1:25">
      <c r="A3069" s="60" t="s">
        <v>399</v>
      </c>
      <c r="B3069" s="60" t="s">
        <v>2950</v>
      </c>
      <c r="C3069" s="60" t="s">
        <v>2912</v>
      </c>
      <c r="D3069" s="263" t="s">
        <v>2951</v>
      </c>
      <c r="E3069" s="63" t="s">
        <v>3892</v>
      </c>
      <c r="F3069" s="60" t="s">
        <v>3893</v>
      </c>
      <c r="G3069" s="60" t="s">
        <v>88</v>
      </c>
      <c r="H3069" s="45" t="s">
        <v>3894</v>
      </c>
      <c r="I3069" s="47" t="e">
        <f>VLOOKUP(H3069,'合同综合查询数据（3月返）'!$A:$A,1,FALSE)</f>
        <v>#N/A</v>
      </c>
      <c r="J3069" s="48" t="s">
        <v>126</v>
      </c>
      <c r="K3069" s="60" t="s">
        <v>2912</v>
      </c>
      <c r="L3069" s="113"/>
      <c r="M3069" s="50" t="s">
        <v>3914</v>
      </c>
      <c r="N3069" s="51">
        <v>43497</v>
      </c>
      <c r="O3069" s="138" t="s">
        <v>127</v>
      </c>
      <c r="P3069" s="266">
        <v>5000</v>
      </c>
      <c r="Q3069" s="270">
        <v>10</v>
      </c>
      <c r="R3069" s="266">
        <f t="shared" si="73"/>
        <v>50000</v>
      </c>
      <c r="S3069" s="48">
        <v>202303</v>
      </c>
      <c r="T3069" s="125" t="s">
        <v>3915</v>
      </c>
      <c r="U3069" s="58"/>
      <c r="V3069" s="58"/>
      <c r="W3069" s="58"/>
      <c r="X3069" s="111"/>
      <c r="Y3069" s="111"/>
    </row>
    <row r="3070" s="10" customFormat="1" customHeight="1" spans="1:25">
      <c r="A3070" s="60" t="s">
        <v>399</v>
      </c>
      <c r="B3070" s="60" t="s">
        <v>2950</v>
      </c>
      <c r="C3070" s="60" t="s">
        <v>2912</v>
      </c>
      <c r="D3070" s="263" t="s">
        <v>2951</v>
      </c>
      <c r="E3070" s="63" t="s">
        <v>3892</v>
      </c>
      <c r="F3070" s="60" t="s">
        <v>3893</v>
      </c>
      <c r="G3070" s="60" t="s">
        <v>88</v>
      </c>
      <c r="H3070" s="45" t="s">
        <v>3894</v>
      </c>
      <c r="I3070" s="47" t="e">
        <f>VLOOKUP(H3070,'合同综合查询数据（3月返）'!$A:$A,1,FALSE)</f>
        <v>#N/A</v>
      </c>
      <c r="J3070" s="48" t="s">
        <v>126</v>
      </c>
      <c r="K3070" s="60" t="s">
        <v>2912</v>
      </c>
      <c r="L3070" s="113"/>
      <c r="M3070" s="50" t="s">
        <v>3914</v>
      </c>
      <c r="N3070" s="51">
        <v>43497</v>
      </c>
      <c r="O3070" s="138" t="s">
        <v>127</v>
      </c>
      <c r="P3070" s="266">
        <v>5000</v>
      </c>
      <c r="Q3070" s="270">
        <v>2</v>
      </c>
      <c r="R3070" s="266">
        <f t="shared" si="73"/>
        <v>10000</v>
      </c>
      <c r="S3070" s="48">
        <v>202303</v>
      </c>
      <c r="T3070" s="125" t="s">
        <v>3915</v>
      </c>
      <c r="U3070" s="58"/>
      <c r="V3070" s="58"/>
      <c r="W3070" s="58"/>
      <c r="X3070" s="111"/>
      <c r="Y3070" s="111"/>
    </row>
    <row r="3071" s="10" customFormat="1" customHeight="1" spans="1:25">
      <c r="A3071" s="314" t="s">
        <v>399</v>
      </c>
      <c r="B3071" s="314" t="s">
        <v>2950</v>
      </c>
      <c r="C3071" s="314" t="s">
        <v>2912</v>
      </c>
      <c r="D3071" s="263" t="s">
        <v>2951</v>
      </c>
      <c r="E3071" s="315" t="s">
        <v>3892</v>
      </c>
      <c r="F3071" s="314" t="s">
        <v>3893</v>
      </c>
      <c r="G3071" s="314" t="s">
        <v>88</v>
      </c>
      <c r="H3071" s="45" t="s">
        <v>3894</v>
      </c>
      <c r="I3071" s="47" t="e">
        <f>VLOOKUP(H3071,'合同综合查询数据（3月返）'!$A:$A,1,FALSE)</f>
        <v>#N/A</v>
      </c>
      <c r="J3071" s="48" t="s">
        <v>126</v>
      </c>
      <c r="K3071" s="314" t="s">
        <v>2912</v>
      </c>
      <c r="L3071" s="316" t="s">
        <v>3902</v>
      </c>
      <c r="M3071" s="50" t="s">
        <v>3895</v>
      </c>
      <c r="N3071" s="51">
        <v>44013</v>
      </c>
      <c r="O3071" s="138" t="s">
        <v>127</v>
      </c>
      <c r="P3071" s="266">
        <v>5000</v>
      </c>
      <c r="Q3071" s="270">
        <v>8</v>
      </c>
      <c r="R3071" s="266">
        <f t="shared" si="73"/>
        <v>40000</v>
      </c>
      <c r="S3071" s="48">
        <v>202303</v>
      </c>
      <c r="T3071" s="125" t="s">
        <v>3916</v>
      </c>
      <c r="U3071" s="58"/>
      <c r="V3071" s="58"/>
      <c r="W3071" s="58"/>
      <c r="X3071" s="111"/>
      <c r="Y3071" s="111"/>
    </row>
    <row r="3072" s="10" customFormat="1" customHeight="1" spans="1:25">
      <c r="A3072" s="314" t="s">
        <v>399</v>
      </c>
      <c r="B3072" s="314" t="s">
        <v>2950</v>
      </c>
      <c r="C3072" s="314" t="s">
        <v>2912</v>
      </c>
      <c r="D3072" s="263" t="s">
        <v>2951</v>
      </c>
      <c r="E3072" s="315" t="s">
        <v>3892</v>
      </c>
      <c r="F3072" s="314" t="s">
        <v>3893</v>
      </c>
      <c r="G3072" s="314" t="s">
        <v>88</v>
      </c>
      <c r="H3072" s="45" t="s">
        <v>3894</v>
      </c>
      <c r="I3072" s="47" t="e">
        <f>VLOOKUP(H3072,'合同综合查询数据（3月返）'!$A:$A,1,FALSE)</f>
        <v>#N/A</v>
      </c>
      <c r="J3072" s="48" t="s">
        <v>1033</v>
      </c>
      <c r="K3072" s="314" t="s">
        <v>2912</v>
      </c>
      <c r="L3072" s="316" t="s">
        <v>3904</v>
      </c>
      <c r="M3072" s="50" t="s">
        <v>3905</v>
      </c>
      <c r="N3072" s="51">
        <v>44044</v>
      </c>
      <c r="O3072" s="138" t="s">
        <v>127</v>
      </c>
      <c r="P3072" s="266">
        <v>5000</v>
      </c>
      <c r="Q3072" s="266">
        <v>3</v>
      </c>
      <c r="R3072" s="266">
        <f t="shared" si="73"/>
        <v>15000</v>
      </c>
      <c r="S3072" s="48">
        <v>202303</v>
      </c>
      <c r="T3072" s="125" t="s">
        <v>3917</v>
      </c>
      <c r="U3072" s="58"/>
      <c r="V3072" s="58"/>
      <c r="W3072" s="58"/>
      <c r="X3072" s="111"/>
      <c r="Y3072" s="111"/>
    </row>
    <row r="3073" s="10" customFormat="1" customHeight="1" spans="1:25">
      <c r="A3073" s="314" t="s">
        <v>399</v>
      </c>
      <c r="B3073" s="314" t="s">
        <v>2950</v>
      </c>
      <c r="C3073" s="314" t="s">
        <v>2912</v>
      </c>
      <c r="D3073" s="263" t="s">
        <v>2951</v>
      </c>
      <c r="E3073" s="315" t="s">
        <v>3892</v>
      </c>
      <c r="F3073" s="314" t="s">
        <v>3893</v>
      </c>
      <c r="G3073" s="314" t="s">
        <v>88</v>
      </c>
      <c r="H3073" s="45" t="s">
        <v>3894</v>
      </c>
      <c r="I3073" s="47" t="e">
        <f>VLOOKUP(H3073,'合同综合查询数据（3月返）'!$A:$A,1,FALSE)</f>
        <v>#N/A</v>
      </c>
      <c r="J3073" s="48" t="s">
        <v>126</v>
      </c>
      <c r="K3073" s="314" t="s">
        <v>2912</v>
      </c>
      <c r="L3073" s="316" t="s">
        <v>3902</v>
      </c>
      <c r="M3073" s="50" t="s">
        <v>3895</v>
      </c>
      <c r="N3073" s="51">
        <v>44333</v>
      </c>
      <c r="O3073" s="138" t="s">
        <v>127</v>
      </c>
      <c r="P3073" s="266">
        <v>5000</v>
      </c>
      <c r="Q3073" s="266">
        <v>3</v>
      </c>
      <c r="R3073" s="266">
        <f t="shared" si="73"/>
        <v>15000</v>
      </c>
      <c r="S3073" s="48">
        <v>202303</v>
      </c>
      <c r="T3073" s="125" t="s">
        <v>3918</v>
      </c>
      <c r="U3073" s="58"/>
      <c r="V3073" s="58"/>
      <c r="W3073" s="58"/>
      <c r="X3073" s="111"/>
      <c r="Y3073" s="111"/>
    </row>
    <row r="3074" s="10" customFormat="1" customHeight="1" spans="1:25">
      <c r="A3074" s="314" t="s">
        <v>399</v>
      </c>
      <c r="B3074" s="314" t="s">
        <v>2950</v>
      </c>
      <c r="C3074" s="314" t="s">
        <v>2912</v>
      </c>
      <c r="D3074" s="263" t="s">
        <v>2951</v>
      </c>
      <c r="E3074" s="315" t="s">
        <v>3892</v>
      </c>
      <c r="F3074" s="314" t="s">
        <v>3893</v>
      </c>
      <c r="G3074" s="314" t="s">
        <v>88</v>
      </c>
      <c r="H3074" s="45" t="s">
        <v>3894</v>
      </c>
      <c r="I3074" s="47" t="e">
        <f>VLOOKUP(H3074,'合同综合查询数据（3月返）'!$A:$A,1,FALSE)</f>
        <v>#N/A</v>
      </c>
      <c r="J3074" s="48" t="s">
        <v>126</v>
      </c>
      <c r="K3074" s="314" t="s">
        <v>2912</v>
      </c>
      <c r="L3074" s="316" t="s">
        <v>3902</v>
      </c>
      <c r="M3074" s="50" t="s">
        <v>3895</v>
      </c>
      <c r="N3074" s="51">
        <v>44420</v>
      </c>
      <c r="O3074" s="138" t="s">
        <v>127</v>
      </c>
      <c r="P3074" s="266">
        <v>5000</v>
      </c>
      <c r="Q3074" s="266">
        <v>-2</v>
      </c>
      <c r="R3074" s="266">
        <f t="shared" si="73"/>
        <v>-10000</v>
      </c>
      <c r="S3074" s="48">
        <v>202303</v>
      </c>
      <c r="T3074" s="125" t="s">
        <v>3919</v>
      </c>
      <c r="U3074" s="58"/>
      <c r="V3074" s="58"/>
      <c r="W3074" s="58"/>
      <c r="X3074" s="111"/>
      <c r="Y3074" s="111"/>
    </row>
    <row r="3075" s="10" customFormat="1" customHeight="1" spans="1:25">
      <c r="A3075" s="60" t="s">
        <v>399</v>
      </c>
      <c r="B3075" s="60" t="s">
        <v>2950</v>
      </c>
      <c r="C3075" s="60" t="s">
        <v>2912</v>
      </c>
      <c r="D3075" s="263" t="s">
        <v>2951</v>
      </c>
      <c r="E3075" s="63" t="s">
        <v>3892</v>
      </c>
      <c r="F3075" s="60" t="s">
        <v>3893</v>
      </c>
      <c r="G3075" s="60" t="s">
        <v>88</v>
      </c>
      <c r="H3075" s="45" t="s">
        <v>3894</v>
      </c>
      <c r="I3075" s="47" t="e">
        <f>VLOOKUP(H3075,'合同综合查询数据（3月返）'!$A:$A,1,FALSE)</f>
        <v>#N/A</v>
      </c>
      <c r="J3075" s="48" t="s">
        <v>126</v>
      </c>
      <c r="K3075" s="60" t="s">
        <v>2912</v>
      </c>
      <c r="L3075" s="316" t="s">
        <v>3893</v>
      </c>
      <c r="M3075" s="50" t="s">
        <v>3895</v>
      </c>
      <c r="N3075" s="51">
        <v>44773</v>
      </c>
      <c r="O3075" s="138" t="s">
        <v>127</v>
      </c>
      <c r="P3075" s="266">
        <v>5000</v>
      </c>
      <c r="Q3075" s="266">
        <v>-11</v>
      </c>
      <c r="R3075" s="266">
        <f t="shared" si="73"/>
        <v>-55000</v>
      </c>
      <c r="S3075" s="48">
        <v>202303</v>
      </c>
      <c r="T3075" s="125" t="s">
        <v>3920</v>
      </c>
      <c r="U3075" s="58"/>
      <c r="V3075" s="58"/>
      <c r="W3075" s="58"/>
      <c r="X3075" s="111"/>
      <c r="Y3075" s="111"/>
    </row>
    <row r="3076" s="10" customFormat="1" customHeight="1" spans="1:25">
      <c r="A3076" s="314" t="s">
        <v>399</v>
      </c>
      <c r="B3076" s="314" t="s">
        <v>2950</v>
      </c>
      <c r="C3076" s="314" t="s">
        <v>2912</v>
      </c>
      <c r="D3076" s="263" t="s">
        <v>2951</v>
      </c>
      <c r="E3076" s="315" t="s">
        <v>3892</v>
      </c>
      <c r="F3076" s="314" t="s">
        <v>3893</v>
      </c>
      <c r="G3076" s="314" t="s">
        <v>88</v>
      </c>
      <c r="H3076" s="45" t="s">
        <v>3894</v>
      </c>
      <c r="I3076" s="47" t="e">
        <f>VLOOKUP(H3076,'合同综合查询数据（3月返）'!$A:$A,1,FALSE)</f>
        <v>#N/A</v>
      </c>
      <c r="J3076" s="48" t="s">
        <v>126</v>
      </c>
      <c r="K3076" s="314" t="s">
        <v>2912</v>
      </c>
      <c r="L3076" s="316" t="s">
        <v>3902</v>
      </c>
      <c r="M3076" s="50" t="s">
        <v>3895</v>
      </c>
      <c r="N3076" s="51">
        <v>44773</v>
      </c>
      <c r="O3076" s="138" t="s">
        <v>127</v>
      </c>
      <c r="P3076" s="266">
        <v>5000</v>
      </c>
      <c r="Q3076" s="266">
        <v>-1</v>
      </c>
      <c r="R3076" s="266">
        <f t="shared" si="73"/>
        <v>-5000</v>
      </c>
      <c r="S3076" s="48">
        <v>202303</v>
      </c>
      <c r="T3076" s="125" t="s">
        <v>3921</v>
      </c>
      <c r="U3076" s="58"/>
      <c r="V3076" s="58"/>
      <c r="W3076" s="58"/>
      <c r="X3076" s="111"/>
      <c r="Y3076" s="111"/>
    </row>
    <row r="3077" s="10" customFormat="1" customHeight="1" spans="1:25">
      <c r="A3077" s="60" t="s">
        <v>399</v>
      </c>
      <c r="B3077" s="60" t="s">
        <v>2950</v>
      </c>
      <c r="C3077" s="60" t="s">
        <v>3134</v>
      </c>
      <c r="D3077" s="263" t="s">
        <v>2951</v>
      </c>
      <c r="E3077" s="63" t="s">
        <v>3922</v>
      </c>
      <c r="F3077" s="60" t="s">
        <v>3923</v>
      </c>
      <c r="G3077" s="60" t="s">
        <v>31</v>
      </c>
      <c r="H3077" s="45" t="s">
        <v>3924</v>
      </c>
      <c r="I3077" s="47" t="e">
        <f>VLOOKUP(H3077,'合同综合查询数据（3月返）'!$A:$A,1,FALSE)</f>
        <v>#N/A</v>
      </c>
      <c r="J3077" s="48" t="s">
        <v>33</v>
      </c>
      <c r="K3077" s="60" t="s">
        <v>3155</v>
      </c>
      <c r="L3077" s="113" t="s">
        <v>3925</v>
      </c>
      <c r="M3077" s="50" t="s">
        <v>3926</v>
      </c>
      <c r="N3077" s="51">
        <v>43787</v>
      </c>
      <c r="O3077" s="138" t="s">
        <v>37</v>
      </c>
      <c r="P3077" s="266">
        <v>0</v>
      </c>
      <c r="Q3077" s="270">
        <v>384</v>
      </c>
      <c r="R3077" s="266">
        <f t="shared" si="73"/>
        <v>0</v>
      </c>
      <c r="S3077" s="48">
        <v>202303</v>
      </c>
      <c r="T3077" s="125" t="s">
        <v>3927</v>
      </c>
      <c r="U3077" s="58"/>
      <c r="V3077" s="58"/>
      <c r="W3077" s="58"/>
      <c r="X3077" s="111"/>
      <c r="Y3077" s="111"/>
    </row>
    <row r="3078" s="10" customFormat="1" customHeight="1" spans="1:25">
      <c r="A3078" s="60" t="s">
        <v>399</v>
      </c>
      <c r="B3078" s="60" t="s">
        <v>2950</v>
      </c>
      <c r="C3078" s="60" t="s">
        <v>3134</v>
      </c>
      <c r="D3078" s="263" t="s">
        <v>2951</v>
      </c>
      <c r="E3078" s="63" t="s">
        <v>3922</v>
      </c>
      <c r="F3078" s="60" t="s">
        <v>3923</v>
      </c>
      <c r="G3078" s="60" t="s">
        <v>31</v>
      </c>
      <c r="H3078" s="45" t="s">
        <v>3924</v>
      </c>
      <c r="I3078" s="47" t="e">
        <f>VLOOKUP(H3078,'合同综合查询数据（3月返）'!$A:$A,1,FALSE)</f>
        <v>#N/A</v>
      </c>
      <c r="J3078" s="48" t="s">
        <v>33</v>
      </c>
      <c r="K3078" s="60" t="s">
        <v>3155</v>
      </c>
      <c r="L3078" s="113" t="s">
        <v>3928</v>
      </c>
      <c r="M3078" s="50" t="s">
        <v>3929</v>
      </c>
      <c r="N3078" s="51" t="s">
        <v>1225</v>
      </c>
      <c r="O3078" s="138" t="s">
        <v>37</v>
      </c>
      <c r="P3078" s="266">
        <v>0</v>
      </c>
      <c r="Q3078" s="270">
        <v>288</v>
      </c>
      <c r="R3078" s="266">
        <f t="shared" si="73"/>
        <v>0</v>
      </c>
      <c r="S3078" s="48">
        <v>202303</v>
      </c>
      <c r="T3078" s="125" t="s">
        <v>3930</v>
      </c>
      <c r="U3078" s="58"/>
      <c r="V3078" s="58"/>
      <c r="W3078" s="58"/>
      <c r="X3078" s="111"/>
      <c r="Y3078" s="111"/>
    </row>
    <row r="3079" s="10" customFormat="1" customHeight="1" spans="1:25">
      <c r="A3079" s="60" t="s">
        <v>399</v>
      </c>
      <c r="B3079" s="60" t="s">
        <v>2950</v>
      </c>
      <c r="C3079" s="60" t="s">
        <v>3134</v>
      </c>
      <c r="D3079" s="263" t="s">
        <v>2951</v>
      </c>
      <c r="E3079" s="63" t="s">
        <v>3922</v>
      </c>
      <c r="F3079" s="60" t="s">
        <v>3923</v>
      </c>
      <c r="G3079" s="60" t="s">
        <v>31</v>
      </c>
      <c r="H3079" s="45" t="s">
        <v>3924</v>
      </c>
      <c r="I3079" s="47" t="e">
        <f>VLOOKUP(H3079,'合同综合查询数据（3月返）'!$A:$A,1,FALSE)</f>
        <v>#N/A</v>
      </c>
      <c r="J3079" s="48" t="s">
        <v>33</v>
      </c>
      <c r="K3079" s="60" t="s">
        <v>3155</v>
      </c>
      <c r="L3079" s="113" t="s">
        <v>3931</v>
      </c>
      <c r="M3079" s="50" t="s">
        <v>3926</v>
      </c>
      <c r="N3079" s="51" t="s">
        <v>1225</v>
      </c>
      <c r="O3079" s="138" t="s">
        <v>37</v>
      </c>
      <c r="P3079" s="266">
        <v>0</v>
      </c>
      <c r="Q3079" s="270">
        <v>288</v>
      </c>
      <c r="R3079" s="266">
        <f t="shared" si="73"/>
        <v>0</v>
      </c>
      <c r="S3079" s="48">
        <v>202303</v>
      </c>
      <c r="T3079" s="125" t="s">
        <v>3930</v>
      </c>
      <c r="U3079" s="58"/>
      <c r="V3079" s="58"/>
      <c r="W3079" s="58"/>
      <c r="X3079" s="111"/>
      <c r="Y3079" s="111"/>
    </row>
    <row r="3080" s="10" customFormat="1" customHeight="1" spans="1:25">
      <c r="A3080" s="60" t="s">
        <v>399</v>
      </c>
      <c r="B3080" s="60" t="s">
        <v>2950</v>
      </c>
      <c r="C3080" s="60" t="s">
        <v>3134</v>
      </c>
      <c r="D3080" s="263" t="s">
        <v>2951</v>
      </c>
      <c r="E3080" s="63" t="s">
        <v>3922</v>
      </c>
      <c r="F3080" s="60" t="s">
        <v>3923</v>
      </c>
      <c r="G3080" s="60" t="s">
        <v>31</v>
      </c>
      <c r="H3080" s="45" t="s">
        <v>3924</v>
      </c>
      <c r="I3080" s="47" t="e">
        <f>VLOOKUP(H3080,'合同综合查询数据（3月返）'!$A:$A,1,FALSE)</f>
        <v>#N/A</v>
      </c>
      <c r="J3080" s="48" t="s">
        <v>33</v>
      </c>
      <c r="K3080" s="60" t="s">
        <v>3155</v>
      </c>
      <c r="L3080" s="113" t="s">
        <v>3925</v>
      </c>
      <c r="M3080" s="50" t="s">
        <v>3926</v>
      </c>
      <c r="N3080" s="51" t="s">
        <v>1225</v>
      </c>
      <c r="O3080" s="138" t="s">
        <v>37</v>
      </c>
      <c r="P3080" s="266">
        <v>0</v>
      </c>
      <c r="Q3080" s="270">
        <v>288</v>
      </c>
      <c r="R3080" s="266">
        <f t="shared" si="73"/>
        <v>0</v>
      </c>
      <c r="S3080" s="48">
        <v>202303</v>
      </c>
      <c r="T3080" s="125" t="s">
        <v>3930</v>
      </c>
      <c r="U3080" s="58"/>
      <c r="V3080" s="58"/>
      <c r="W3080" s="58"/>
      <c r="X3080" s="111"/>
      <c r="Y3080" s="111"/>
    </row>
    <row r="3081" s="10" customFormat="1" customHeight="1" spans="1:25">
      <c r="A3081" s="60" t="s">
        <v>399</v>
      </c>
      <c r="B3081" s="60" t="s">
        <v>2950</v>
      </c>
      <c r="C3081" s="60" t="s">
        <v>3134</v>
      </c>
      <c r="D3081" s="263" t="s">
        <v>2951</v>
      </c>
      <c r="E3081" s="63" t="s">
        <v>3922</v>
      </c>
      <c r="F3081" s="60" t="s">
        <v>3923</v>
      </c>
      <c r="G3081" s="60" t="s">
        <v>31</v>
      </c>
      <c r="H3081" s="45" t="s">
        <v>3924</v>
      </c>
      <c r="I3081" s="47" t="e">
        <f>VLOOKUP(H3081,'合同综合查询数据（3月返）'!$A:$A,1,FALSE)</f>
        <v>#N/A</v>
      </c>
      <c r="J3081" s="48" t="s">
        <v>33</v>
      </c>
      <c r="K3081" s="60" t="s">
        <v>3155</v>
      </c>
      <c r="L3081" s="113" t="s">
        <v>3932</v>
      </c>
      <c r="M3081" s="62" t="s">
        <v>3933</v>
      </c>
      <c r="N3081" s="51">
        <v>43525</v>
      </c>
      <c r="O3081" s="138" t="s">
        <v>37</v>
      </c>
      <c r="P3081" s="266">
        <v>0</v>
      </c>
      <c r="Q3081" s="270">
        <v>288</v>
      </c>
      <c r="R3081" s="266">
        <f t="shared" si="73"/>
        <v>0</v>
      </c>
      <c r="S3081" s="48">
        <v>202303</v>
      </c>
      <c r="T3081" s="125" t="s">
        <v>3934</v>
      </c>
      <c r="U3081" s="58"/>
      <c r="V3081" s="58"/>
      <c r="W3081" s="58"/>
      <c r="X3081" s="111"/>
      <c r="Y3081" s="111"/>
    </row>
    <row r="3082" s="10" customFormat="1" customHeight="1" spans="1:25">
      <c r="A3082" s="60" t="s">
        <v>399</v>
      </c>
      <c r="B3082" s="60" t="s">
        <v>2950</v>
      </c>
      <c r="C3082" s="60" t="s">
        <v>3134</v>
      </c>
      <c r="D3082" s="263" t="s">
        <v>2951</v>
      </c>
      <c r="E3082" s="63" t="s">
        <v>3922</v>
      </c>
      <c r="F3082" s="60" t="s">
        <v>3923</v>
      </c>
      <c r="G3082" s="60" t="s">
        <v>31</v>
      </c>
      <c r="H3082" s="45" t="s">
        <v>3924</v>
      </c>
      <c r="I3082" s="47" t="e">
        <f>VLOOKUP(H3082,'合同综合查询数据（3月返）'!$A:$A,1,FALSE)</f>
        <v>#N/A</v>
      </c>
      <c r="J3082" s="48" t="s">
        <v>33</v>
      </c>
      <c r="K3082" s="60" t="s">
        <v>3155</v>
      </c>
      <c r="L3082" s="113" t="s">
        <v>3925</v>
      </c>
      <c r="M3082" s="50" t="s">
        <v>3926</v>
      </c>
      <c r="N3082" s="51">
        <v>44574</v>
      </c>
      <c r="O3082" s="138" t="s">
        <v>37</v>
      </c>
      <c r="P3082" s="266">
        <v>0</v>
      </c>
      <c r="Q3082" s="270">
        <v>128</v>
      </c>
      <c r="R3082" s="266">
        <f t="shared" si="73"/>
        <v>0</v>
      </c>
      <c r="S3082" s="48">
        <v>202303</v>
      </c>
      <c r="T3082" s="125" t="s">
        <v>3935</v>
      </c>
      <c r="U3082" s="58"/>
      <c r="V3082" s="58"/>
      <c r="W3082" s="58"/>
      <c r="X3082" s="111"/>
      <c r="Y3082" s="111"/>
    </row>
    <row r="3083" s="10" customFormat="1" customHeight="1" spans="1:25">
      <c r="A3083" s="60" t="s">
        <v>399</v>
      </c>
      <c r="B3083" s="60" t="s">
        <v>2950</v>
      </c>
      <c r="C3083" s="60" t="s">
        <v>3134</v>
      </c>
      <c r="D3083" s="263" t="s">
        <v>2951</v>
      </c>
      <c r="E3083" s="63" t="s">
        <v>3922</v>
      </c>
      <c r="F3083" s="60" t="s">
        <v>3923</v>
      </c>
      <c r="G3083" s="60" t="s">
        <v>31</v>
      </c>
      <c r="H3083" s="45" t="s">
        <v>3924</v>
      </c>
      <c r="I3083" s="47" t="e">
        <f>VLOOKUP(H3083,'合同综合查询数据（3月返）'!$A:$A,1,FALSE)</f>
        <v>#N/A</v>
      </c>
      <c r="J3083" s="48" t="s">
        <v>33</v>
      </c>
      <c r="K3083" s="60" t="s">
        <v>3155</v>
      </c>
      <c r="L3083" s="113" t="s">
        <v>3928</v>
      </c>
      <c r="M3083" s="50" t="s">
        <v>3929</v>
      </c>
      <c r="N3083" s="51">
        <v>44712</v>
      </c>
      <c r="O3083" s="138" t="s">
        <v>37</v>
      </c>
      <c r="P3083" s="266">
        <v>0</v>
      </c>
      <c r="Q3083" s="270">
        <v>-288</v>
      </c>
      <c r="R3083" s="266">
        <f t="shared" si="73"/>
        <v>0</v>
      </c>
      <c r="S3083" s="48">
        <v>202303</v>
      </c>
      <c r="T3083" s="125" t="s">
        <v>3936</v>
      </c>
      <c r="U3083" s="58"/>
      <c r="V3083" s="58"/>
      <c r="W3083" s="58"/>
      <c r="X3083" s="111"/>
      <c r="Y3083" s="111"/>
    </row>
    <row r="3084" s="10" customFormat="1" customHeight="1" spans="1:25">
      <c r="A3084" s="60" t="s">
        <v>399</v>
      </c>
      <c r="B3084" s="60" t="s">
        <v>2950</v>
      </c>
      <c r="C3084" s="60" t="s">
        <v>3134</v>
      </c>
      <c r="D3084" s="263" t="s">
        <v>2951</v>
      </c>
      <c r="E3084" s="63" t="s">
        <v>3922</v>
      </c>
      <c r="F3084" s="60" t="s">
        <v>3923</v>
      </c>
      <c r="G3084" s="60" t="s">
        <v>31</v>
      </c>
      <c r="H3084" s="45" t="s">
        <v>3924</v>
      </c>
      <c r="I3084" s="47" t="e">
        <f>VLOOKUP(H3084,'合同综合查询数据（3月返）'!$A:$A,1,FALSE)</f>
        <v>#N/A</v>
      </c>
      <c r="J3084" s="48" t="s">
        <v>33</v>
      </c>
      <c r="K3084" s="60" t="s">
        <v>3155</v>
      </c>
      <c r="L3084" s="113" t="s">
        <v>3928</v>
      </c>
      <c r="M3084" s="50" t="s">
        <v>3929</v>
      </c>
      <c r="N3084" s="51"/>
      <c r="O3084" s="138" t="s">
        <v>152</v>
      </c>
      <c r="P3084" s="266">
        <v>0</v>
      </c>
      <c r="Q3084" s="270">
        <v>1</v>
      </c>
      <c r="R3084" s="266">
        <f t="shared" si="73"/>
        <v>0</v>
      </c>
      <c r="S3084" s="48">
        <v>202303</v>
      </c>
      <c r="T3084" s="125" t="s">
        <v>3172</v>
      </c>
      <c r="U3084" s="58"/>
      <c r="V3084" s="58"/>
      <c r="W3084" s="58"/>
      <c r="X3084" s="111"/>
      <c r="Y3084" s="111"/>
    </row>
    <row r="3085" s="10" customFormat="1" customHeight="1" spans="1:25">
      <c r="A3085" s="60" t="s">
        <v>399</v>
      </c>
      <c r="B3085" s="60" t="s">
        <v>2950</v>
      </c>
      <c r="C3085" s="60" t="s">
        <v>3134</v>
      </c>
      <c r="D3085" s="263" t="s">
        <v>2951</v>
      </c>
      <c r="E3085" s="63" t="s">
        <v>3922</v>
      </c>
      <c r="F3085" s="60" t="s">
        <v>3923</v>
      </c>
      <c r="G3085" s="60" t="s">
        <v>31</v>
      </c>
      <c r="H3085" s="45" t="s">
        <v>3924</v>
      </c>
      <c r="I3085" s="47" t="e">
        <f>VLOOKUP(H3085,'合同综合查询数据（3月返）'!$A:$A,1,FALSE)</f>
        <v>#N/A</v>
      </c>
      <c r="J3085" s="48" t="s">
        <v>33</v>
      </c>
      <c r="K3085" s="60" t="s">
        <v>3155</v>
      </c>
      <c r="L3085" s="113" t="s">
        <v>3928</v>
      </c>
      <c r="M3085" s="62" t="s">
        <v>3929</v>
      </c>
      <c r="N3085" s="51">
        <v>44712</v>
      </c>
      <c r="O3085" s="138" t="s">
        <v>152</v>
      </c>
      <c r="P3085" s="266">
        <v>0</v>
      </c>
      <c r="Q3085" s="270">
        <v>-1</v>
      </c>
      <c r="R3085" s="266">
        <f t="shared" si="73"/>
        <v>0</v>
      </c>
      <c r="S3085" s="48">
        <v>202303</v>
      </c>
      <c r="T3085" s="125" t="s">
        <v>3937</v>
      </c>
      <c r="U3085" s="58"/>
      <c r="V3085" s="58"/>
      <c r="W3085" s="58"/>
      <c r="X3085" s="111"/>
      <c r="Y3085" s="111"/>
    </row>
    <row r="3086" s="10" customFormat="1" customHeight="1" spans="1:25">
      <c r="A3086" s="60" t="s">
        <v>399</v>
      </c>
      <c r="B3086" s="60" t="s">
        <v>2950</v>
      </c>
      <c r="C3086" s="60" t="s">
        <v>3134</v>
      </c>
      <c r="D3086" s="263" t="s">
        <v>2951</v>
      </c>
      <c r="E3086" s="63" t="s">
        <v>3922</v>
      </c>
      <c r="F3086" s="60" t="s">
        <v>3923</v>
      </c>
      <c r="G3086" s="60" t="s">
        <v>31</v>
      </c>
      <c r="H3086" s="45" t="s">
        <v>3924</v>
      </c>
      <c r="I3086" s="47" t="e">
        <f>VLOOKUP(H3086,'合同综合查询数据（3月返）'!$A:$A,1,FALSE)</f>
        <v>#N/A</v>
      </c>
      <c r="J3086" s="48" t="s">
        <v>33</v>
      </c>
      <c r="K3086" s="60" t="s">
        <v>3155</v>
      </c>
      <c r="L3086" s="113" t="s">
        <v>3931</v>
      </c>
      <c r="M3086" s="50" t="s">
        <v>3926</v>
      </c>
      <c r="N3086" s="51"/>
      <c r="O3086" s="138" t="s">
        <v>152</v>
      </c>
      <c r="P3086" s="266">
        <v>0</v>
      </c>
      <c r="Q3086" s="270">
        <v>1</v>
      </c>
      <c r="R3086" s="266">
        <f t="shared" si="73"/>
        <v>0</v>
      </c>
      <c r="S3086" s="48">
        <v>202303</v>
      </c>
      <c r="T3086" s="125" t="s">
        <v>3172</v>
      </c>
      <c r="U3086" s="58"/>
      <c r="V3086" s="58"/>
      <c r="W3086" s="58"/>
      <c r="X3086" s="111"/>
      <c r="Y3086" s="111"/>
    </row>
    <row r="3087" s="10" customFormat="1" customHeight="1" spans="1:25">
      <c r="A3087" s="60" t="s">
        <v>399</v>
      </c>
      <c r="B3087" s="60" t="s">
        <v>2950</v>
      </c>
      <c r="C3087" s="60" t="s">
        <v>3134</v>
      </c>
      <c r="D3087" s="263" t="s">
        <v>2951</v>
      </c>
      <c r="E3087" s="63" t="s">
        <v>3922</v>
      </c>
      <c r="F3087" s="60" t="s">
        <v>3923</v>
      </c>
      <c r="G3087" s="60" t="s">
        <v>31</v>
      </c>
      <c r="H3087" s="45" t="s">
        <v>3924</v>
      </c>
      <c r="I3087" s="47" t="e">
        <f>VLOOKUP(H3087,'合同综合查询数据（3月返）'!$A:$A,1,FALSE)</f>
        <v>#N/A</v>
      </c>
      <c r="J3087" s="48" t="s">
        <v>33</v>
      </c>
      <c r="K3087" s="60" t="s">
        <v>3155</v>
      </c>
      <c r="L3087" s="113" t="s">
        <v>3925</v>
      </c>
      <c r="M3087" s="50" t="s">
        <v>3926</v>
      </c>
      <c r="N3087" s="51"/>
      <c r="O3087" s="138" t="s">
        <v>152</v>
      </c>
      <c r="P3087" s="266">
        <v>0</v>
      </c>
      <c r="Q3087" s="270">
        <v>2</v>
      </c>
      <c r="R3087" s="266">
        <f t="shared" si="73"/>
        <v>0</v>
      </c>
      <c r="S3087" s="48">
        <v>202303</v>
      </c>
      <c r="T3087" s="125" t="s">
        <v>3938</v>
      </c>
      <c r="U3087" s="58"/>
      <c r="V3087" s="58"/>
      <c r="W3087" s="58"/>
      <c r="X3087" s="111"/>
      <c r="Y3087" s="111"/>
    </row>
    <row r="3088" s="10" customFormat="1" customHeight="1" spans="1:25">
      <c r="A3088" s="60" t="s">
        <v>399</v>
      </c>
      <c r="B3088" s="60" t="s">
        <v>2950</v>
      </c>
      <c r="C3088" s="60" t="s">
        <v>3134</v>
      </c>
      <c r="D3088" s="263" t="s">
        <v>2951</v>
      </c>
      <c r="E3088" s="63" t="s">
        <v>3922</v>
      </c>
      <c r="F3088" s="60" t="s">
        <v>3923</v>
      </c>
      <c r="G3088" s="60" t="s">
        <v>31</v>
      </c>
      <c r="H3088" s="45" t="s">
        <v>3924</v>
      </c>
      <c r="I3088" s="47" t="e">
        <f>VLOOKUP(H3088,'合同综合查询数据（3月返）'!$A:$A,1,FALSE)</f>
        <v>#N/A</v>
      </c>
      <c r="J3088" s="48" t="s">
        <v>33</v>
      </c>
      <c r="K3088" s="60" t="s">
        <v>3155</v>
      </c>
      <c r="L3088" s="113" t="s">
        <v>3932</v>
      </c>
      <c r="M3088" s="50" t="s">
        <v>3933</v>
      </c>
      <c r="N3088" s="51"/>
      <c r="O3088" s="138" t="s">
        <v>152</v>
      </c>
      <c r="P3088" s="266">
        <v>0</v>
      </c>
      <c r="Q3088" s="270">
        <v>1</v>
      </c>
      <c r="R3088" s="266">
        <f t="shared" si="73"/>
        <v>0</v>
      </c>
      <c r="S3088" s="48">
        <v>202303</v>
      </c>
      <c r="T3088" s="125" t="s">
        <v>3172</v>
      </c>
      <c r="U3088" s="58"/>
      <c r="V3088" s="58"/>
      <c r="W3088" s="58"/>
      <c r="X3088" s="111"/>
      <c r="Y3088" s="111"/>
    </row>
    <row r="3089" s="10" customFormat="1" customHeight="1" spans="1:25">
      <c r="A3089" s="60" t="s">
        <v>399</v>
      </c>
      <c r="B3089" s="60" t="s">
        <v>2950</v>
      </c>
      <c r="C3089" s="60" t="s">
        <v>3134</v>
      </c>
      <c r="D3089" s="263" t="s">
        <v>2951</v>
      </c>
      <c r="E3089" s="63" t="s">
        <v>3922</v>
      </c>
      <c r="F3089" s="60" t="s">
        <v>3923</v>
      </c>
      <c r="G3089" s="60" t="s">
        <v>88</v>
      </c>
      <c r="H3089" s="45" t="s">
        <v>3924</v>
      </c>
      <c r="I3089" s="47" t="e">
        <f>VLOOKUP(H3089,'合同综合查询数据（3月返）'!$A:$A,1,FALSE)</f>
        <v>#N/A</v>
      </c>
      <c r="J3089" s="48" t="s">
        <v>126</v>
      </c>
      <c r="K3089" s="60" t="s">
        <v>3155</v>
      </c>
      <c r="L3089" s="113"/>
      <c r="M3089" s="50" t="s">
        <v>3939</v>
      </c>
      <c r="N3089" s="51">
        <v>43497</v>
      </c>
      <c r="O3089" s="138" t="s">
        <v>92</v>
      </c>
      <c r="P3089" s="266">
        <v>3750</v>
      </c>
      <c r="Q3089" s="270">
        <v>15</v>
      </c>
      <c r="R3089" s="266">
        <f t="shared" si="73"/>
        <v>56250</v>
      </c>
      <c r="S3089" s="48">
        <v>202303</v>
      </c>
      <c r="T3089" s="125" t="s">
        <v>3940</v>
      </c>
      <c r="U3089" s="58"/>
      <c r="V3089" s="58"/>
      <c r="W3089" s="58"/>
      <c r="X3089" s="111"/>
      <c r="Y3089" s="111"/>
    </row>
    <row r="3090" s="10" customFormat="1" customHeight="1" spans="1:25">
      <c r="A3090" s="60" t="s">
        <v>399</v>
      </c>
      <c r="B3090" s="60" t="s">
        <v>2950</v>
      </c>
      <c r="C3090" s="60" t="s">
        <v>3134</v>
      </c>
      <c r="D3090" s="263" t="s">
        <v>2951</v>
      </c>
      <c r="E3090" s="63" t="s">
        <v>3922</v>
      </c>
      <c r="F3090" s="60" t="s">
        <v>3923</v>
      </c>
      <c r="G3090" s="60" t="s">
        <v>88</v>
      </c>
      <c r="H3090" s="45" t="s">
        <v>3924</v>
      </c>
      <c r="I3090" s="47" t="e">
        <f>VLOOKUP(H3090,'合同综合查询数据（3月返）'!$A:$A,1,FALSE)</f>
        <v>#N/A</v>
      </c>
      <c r="J3090" s="48" t="s">
        <v>126</v>
      </c>
      <c r="K3090" s="60" t="s">
        <v>3155</v>
      </c>
      <c r="L3090" s="113"/>
      <c r="M3090" s="50" t="s">
        <v>3933</v>
      </c>
      <c r="N3090" s="51">
        <v>43525</v>
      </c>
      <c r="O3090" s="60" t="s">
        <v>92</v>
      </c>
      <c r="P3090" s="266">
        <v>3750</v>
      </c>
      <c r="Q3090" s="266">
        <v>5</v>
      </c>
      <c r="R3090" s="266">
        <f t="shared" si="73"/>
        <v>18750</v>
      </c>
      <c r="S3090" s="48">
        <v>202303</v>
      </c>
      <c r="T3090" s="125"/>
      <c r="U3090" s="58"/>
      <c r="V3090" s="58"/>
      <c r="W3090" s="58"/>
      <c r="X3090" s="111"/>
      <c r="Y3090" s="111"/>
    </row>
    <row r="3091" s="10" customFormat="1" customHeight="1" spans="1:25">
      <c r="A3091" s="60" t="s">
        <v>399</v>
      </c>
      <c r="B3091" s="60" t="s">
        <v>2950</v>
      </c>
      <c r="C3091" s="60" t="s">
        <v>3134</v>
      </c>
      <c r="D3091" s="263" t="s">
        <v>2951</v>
      </c>
      <c r="E3091" s="63" t="s">
        <v>3922</v>
      </c>
      <c r="F3091" s="60" t="s">
        <v>3923</v>
      </c>
      <c r="G3091" s="60" t="s">
        <v>88</v>
      </c>
      <c r="H3091" s="45" t="s">
        <v>3924</v>
      </c>
      <c r="I3091" s="47" t="e">
        <f>VLOOKUP(H3091,'合同综合查询数据（3月返）'!$A:$A,1,FALSE)</f>
        <v>#N/A</v>
      </c>
      <c r="J3091" s="48" t="s">
        <v>126</v>
      </c>
      <c r="K3091" s="60" t="s">
        <v>3155</v>
      </c>
      <c r="L3091" s="113" t="s">
        <v>3925</v>
      </c>
      <c r="M3091" s="50" t="s">
        <v>3926</v>
      </c>
      <c r="N3091" s="51">
        <v>43787</v>
      </c>
      <c r="O3091" s="60" t="s">
        <v>92</v>
      </c>
      <c r="P3091" s="266">
        <v>3750</v>
      </c>
      <c r="Q3091" s="266">
        <v>4</v>
      </c>
      <c r="R3091" s="266">
        <f t="shared" si="73"/>
        <v>15000</v>
      </c>
      <c r="S3091" s="48">
        <v>202303</v>
      </c>
      <c r="T3091" s="125" t="s">
        <v>3941</v>
      </c>
      <c r="U3091" s="58"/>
      <c r="V3091" s="58"/>
      <c r="W3091" s="58"/>
      <c r="X3091" s="111"/>
      <c r="Y3091" s="111"/>
    </row>
    <row r="3092" s="10" customFormat="1" customHeight="1" spans="1:25">
      <c r="A3092" s="60" t="s">
        <v>399</v>
      </c>
      <c r="B3092" s="60" t="s">
        <v>2950</v>
      </c>
      <c r="C3092" s="60" t="s">
        <v>3134</v>
      </c>
      <c r="D3092" s="263" t="s">
        <v>2951</v>
      </c>
      <c r="E3092" s="63" t="s">
        <v>3922</v>
      </c>
      <c r="F3092" s="60" t="s">
        <v>3923</v>
      </c>
      <c r="G3092" s="60" t="s">
        <v>88</v>
      </c>
      <c r="H3092" s="45" t="s">
        <v>3924</v>
      </c>
      <c r="I3092" s="47" t="e">
        <f>VLOOKUP(H3092,'合同综合查询数据（3月返）'!$A:$A,1,FALSE)</f>
        <v>#N/A</v>
      </c>
      <c r="J3092" s="48" t="s">
        <v>126</v>
      </c>
      <c r="K3092" s="60" t="s">
        <v>3155</v>
      </c>
      <c r="L3092" s="113" t="s">
        <v>3942</v>
      </c>
      <c r="M3092" s="50" t="s">
        <v>3926</v>
      </c>
      <c r="N3092" s="51">
        <v>44013</v>
      </c>
      <c r="O3092" s="60" t="s">
        <v>92</v>
      </c>
      <c r="P3092" s="266">
        <v>3750</v>
      </c>
      <c r="Q3092" s="266">
        <v>-5</v>
      </c>
      <c r="R3092" s="266">
        <f t="shared" si="73"/>
        <v>-18750</v>
      </c>
      <c r="S3092" s="48">
        <v>202303</v>
      </c>
      <c r="T3092" s="125" t="s">
        <v>3943</v>
      </c>
      <c r="U3092" s="58"/>
      <c r="V3092" s="58"/>
      <c r="W3092" s="58"/>
      <c r="X3092" s="111"/>
      <c r="Y3092" s="111"/>
    </row>
    <row r="3093" s="10" customFormat="1" customHeight="1" spans="1:25">
      <c r="A3093" s="60" t="s">
        <v>399</v>
      </c>
      <c r="B3093" s="60" t="s">
        <v>2950</v>
      </c>
      <c r="C3093" s="60" t="s">
        <v>3134</v>
      </c>
      <c r="D3093" s="263" t="s">
        <v>2951</v>
      </c>
      <c r="E3093" s="63" t="s">
        <v>3922</v>
      </c>
      <c r="F3093" s="60" t="s">
        <v>3923</v>
      </c>
      <c r="G3093" s="60" t="s">
        <v>88</v>
      </c>
      <c r="H3093" s="45" t="s">
        <v>3924</v>
      </c>
      <c r="I3093" s="47" t="e">
        <f>VLOOKUP(H3093,'合同综合查询数据（3月返）'!$A:$A,1,FALSE)</f>
        <v>#N/A</v>
      </c>
      <c r="J3093" s="48" t="s">
        <v>126</v>
      </c>
      <c r="K3093" s="60" t="s">
        <v>3155</v>
      </c>
      <c r="L3093" s="113" t="s">
        <v>3942</v>
      </c>
      <c r="M3093" s="62" t="s">
        <v>3926</v>
      </c>
      <c r="N3093" s="51">
        <v>44013</v>
      </c>
      <c r="O3093" s="60" t="s">
        <v>92</v>
      </c>
      <c r="P3093" s="266">
        <v>3750</v>
      </c>
      <c r="Q3093" s="266">
        <v>6</v>
      </c>
      <c r="R3093" s="266">
        <f t="shared" si="73"/>
        <v>22500</v>
      </c>
      <c r="S3093" s="48">
        <v>202303</v>
      </c>
      <c r="T3093" s="125" t="s">
        <v>3944</v>
      </c>
      <c r="U3093" s="58"/>
      <c r="V3093" s="58"/>
      <c r="W3093" s="58"/>
      <c r="X3093" s="111"/>
      <c r="Y3093" s="111"/>
    </row>
    <row r="3094" s="10" customFormat="1" customHeight="1" spans="1:25">
      <c r="A3094" s="60" t="s">
        <v>399</v>
      </c>
      <c r="B3094" s="60" t="s">
        <v>2950</v>
      </c>
      <c r="C3094" s="60" t="s">
        <v>3134</v>
      </c>
      <c r="D3094" s="263" t="s">
        <v>2951</v>
      </c>
      <c r="E3094" s="63" t="s">
        <v>3922</v>
      </c>
      <c r="F3094" s="60" t="s">
        <v>3923</v>
      </c>
      <c r="G3094" s="60" t="s">
        <v>88</v>
      </c>
      <c r="H3094" s="45" t="s">
        <v>3924</v>
      </c>
      <c r="I3094" s="47" t="e">
        <f>VLOOKUP(H3094,'合同综合查询数据（3月返）'!$A:$A,1,FALSE)</f>
        <v>#N/A</v>
      </c>
      <c r="J3094" s="48" t="s">
        <v>126</v>
      </c>
      <c r="K3094" s="60" t="s">
        <v>3155</v>
      </c>
      <c r="L3094" s="113" t="s">
        <v>3925</v>
      </c>
      <c r="M3094" s="50" t="s">
        <v>3926</v>
      </c>
      <c r="N3094" s="51">
        <v>44574</v>
      </c>
      <c r="O3094" s="60" t="s">
        <v>92</v>
      </c>
      <c r="P3094" s="266">
        <v>3750</v>
      </c>
      <c r="Q3094" s="266">
        <v>1</v>
      </c>
      <c r="R3094" s="266">
        <f t="shared" si="73"/>
        <v>3750</v>
      </c>
      <c r="S3094" s="48">
        <v>202303</v>
      </c>
      <c r="T3094" s="125" t="s">
        <v>3945</v>
      </c>
      <c r="U3094" s="58"/>
      <c r="V3094" s="58"/>
      <c r="W3094" s="58"/>
      <c r="X3094" s="111"/>
      <c r="Y3094" s="111"/>
    </row>
    <row r="3095" s="10" customFormat="1" customHeight="1" spans="1:25">
      <c r="A3095" s="60" t="s">
        <v>399</v>
      </c>
      <c r="B3095" s="60" t="s">
        <v>2950</v>
      </c>
      <c r="C3095" s="60" t="s">
        <v>3134</v>
      </c>
      <c r="D3095" s="263" t="s">
        <v>2951</v>
      </c>
      <c r="E3095" s="63" t="s">
        <v>3922</v>
      </c>
      <c r="F3095" s="60" t="s">
        <v>3923</v>
      </c>
      <c r="G3095" s="60" t="s">
        <v>88</v>
      </c>
      <c r="H3095" s="45" t="s">
        <v>3924</v>
      </c>
      <c r="I3095" s="47" t="e">
        <f>VLOOKUP(H3095,'合同综合查询数据（3月返）'!$A:$A,1,FALSE)</f>
        <v>#N/A</v>
      </c>
      <c r="J3095" s="48" t="s">
        <v>126</v>
      </c>
      <c r="K3095" s="60" t="s">
        <v>3155</v>
      </c>
      <c r="L3095" s="113" t="s">
        <v>3928</v>
      </c>
      <c r="M3095" s="62" t="s">
        <v>3929</v>
      </c>
      <c r="N3095" s="51">
        <v>44712</v>
      </c>
      <c r="O3095" s="60" t="s">
        <v>92</v>
      </c>
      <c r="P3095" s="266">
        <v>3750</v>
      </c>
      <c r="Q3095" s="266">
        <v>-4</v>
      </c>
      <c r="R3095" s="266">
        <f t="shared" si="73"/>
        <v>-15000</v>
      </c>
      <c r="S3095" s="48">
        <v>202303</v>
      </c>
      <c r="T3095" s="125" t="s">
        <v>3946</v>
      </c>
      <c r="U3095" s="58"/>
      <c r="V3095" s="58"/>
      <c r="W3095" s="58"/>
      <c r="X3095" s="111"/>
      <c r="Y3095" s="111"/>
    </row>
    <row r="3096" s="10" customFormat="1" customHeight="1" spans="1:25">
      <c r="A3096" s="60" t="s">
        <v>399</v>
      </c>
      <c r="B3096" s="60" t="s">
        <v>2950</v>
      </c>
      <c r="C3096" s="60" t="s">
        <v>3134</v>
      </c>
      <c r="D3096" s="263" t="s">
        <v>2951</v>
      </c>
      <c r="E3096" s="63" t="s">
        <v>3922</v>
      </c>
      <c r="F3096" s="60" t="s">
        <v>3923</v>
      </c>
      <c r="G3096" s="60" t="s">
        <v>88</v>
      </c>
      <c r="H3096" s="45" t="s">
        <v>3924</v>
      </c>
      <c r="I3096" s="47" t="e">
        <f>VLOOKUP(H3096,'合同综合查询数据（3月返）'!$A:$A,1,FALSE)</f>
        <v>#N/A</v>
      </c>
      <c r="J3096" s="48" t="s">
        <v>126</v>
      </c>
      <c r="K3096" s="60" t="s">
        <v>3155</v>
      </c>
      <c r="L3096" s="113" t="s">
        <v>3942</v>
      </c>
      <c r="M3096" s="62" t="s">
        <v>3926</v>
      </c>
      <c r="N3096" s="51">
        <v>44734</v>
      </c>
      <c r="O3096" s="60" t="s">
        <v>92</v>
      </c>
      <c r="P3096" s="266">
        <v>3750</v>
      </c>
      <c r="Q3096" s="266">
        <v>-3</v>
      </c>
      <c r="R3096" s="266">
        <f t="shared" si="73"/>
        <v>-11250</v>
      </c>
      <c r="S3096" s="48">
        <v>202303</v>
      </c>
      <c r="T3096" s="125" t="s">
        <v>3947</v>
      </c>
      <c r="U3096" s="58"/>
      <c r="V3096" s="58"/>
      <c r="W3096" s="58"/>
      <c r="X3096" s="111"/>
      <c r="Y3096" s="111"/>
    </row>
    <row r="3097" s="10" customFormat="1" customHeight="1" spans="1:25">
      <c r="A3097" s="60" t="s">
        <v>399</v>
      </c>
      <c r="B3097" s="60" t="s">
        <v>2950</v>
      </c>
      <c r="C3097" s="60" t="s">
        <v>3134</v>
      </c>
      <c r="D3097" s="263" t="s">
        <v>2951</v>
      </c>
      <c r="E3097" s="63" t="s">
        <v>3922</v>
      </c>
      <c r="F3097" s="60" t="s">
        <v>3923</v>
      </c>
      <c r="G3097" s="60" t="s">
        <v>88</v>
      </c>
      <c r="H3097" s="45" t="s">
        <v>3924</v>
      </c>
      <c r="I3097" s="47" t="e">
        <f>VLOOKUP(H3097,'合同综合查询数据（3月返）'!$A:$A,1,FALSE)</f>
        <v>#N/A</v>
      </c>
      <c r="J3097" s="48" t="s">
        <v>126</v>
      </c>
      <c r="K3097" s="60" t="s">
        <v>3155</v>
      </c>
      <c r="L3097" s="113" t="s">
        <v>3925</v>
      </c>
      <c r="M3097" s="50" t="s">
        <v>3926</v>
      </c>
      <c r="N3097" s="51">
        <v>44782</v>
      </c>
      <c r="O3097" s="60" t="s">
        <v>92</v>
      </c>
      <c r="P3097" s="266">
        <v>3750</v>
      </c>
      <c r="Q3097" s="266">
        <v>-3</v>
      </c>
      <c r="R3097" s="266">
        <f t="shared" si="73"/>
        <v>-11250</v>
      </c>
      <c r="S3097" s="48">
        <v>202303</v>
      </c>
      <c r="T3097" s="125" t="s">
        <v>3948</v>
      </c>
      <c r="U3097" s="58"/>
      <c r="V3097" s="58"/>
      <c r="W3097" s="58"/>
      <c r="X3097" s="111"/>
      <c r="Y3097" s="111"/>
    </row>
    <row r="3098" s="10" customFormat="1" customHeight="1" spans="1:25">
      <c r="A3098" s="60" t="s">
        <v>399</v>
      </c>
      <c r="B3098" s="60" t="s">
        <v>2950</v>
      </c>
      <c r="C3098" s="60" t="s">
        <v>3134</v>
      </c>
      <c r="D3098" s="263" t="s">
        <v>2951</v>
      </c>
      <c r="E3098" s="63" t="s">
        <v>3922</v>
      </c>
      <c r="F3098" s="60" t="s">
        <v>3923</v>
      </c>
      <c r="G3098" s="60" t="s">
        <v>31</v>
      </c>
      <c r="H3098" s="45" t="s">
        <v>3949</v>
      </c>
      <c r="I3098" s="47" t="e">
        <f>VLOOKUP(H3098,'合同综合查询数据（3月返）'!$A:$A,1,FALSE)</f>
        <v>#N/A</v>
      </c>
      <c r="J3098" s="48" t="s">
        <v>33</v>
      </c>
      <c r="K3098" s="60" t="s">
        <v>3155</v>
      </c>
      <c r="L3098" s="113" t="s">
        <v>3950</v>
      </c>
      <c r="M3098" s="50" t="s">
        <v>3951</v>
      </c>
      <c r="N3098" s="51">
        <v>44917</v>
      </c>
      <c r="O3098" s="60" t="s">
        <v>37</v>
      </c>
      <c r="P3098" s="266">
        <v>0</v>
      </c>
      <c r="Q3098" s="266">
        <v>80</v>
      </c>
      <c r="R3098" s="266">
        <f t="shared" si="73"/>
        <v>0</v>
      </c>
      <c r="S3098" s="48">
        <v>202303</v>
      </c>
      <c r="T3098" s="125" t="s">
        <v>3952</v>
      </c>
      <c r="U3098" s="58"/>
      <c r="V3098" s="58"/>
      <c r="W3098" s="58"/>
      <c r="X3098" s="111"/>
      <c r="Y3098" s="111"/>
    </row>
    <row r="3099" s="10" customFormat="1" customHeight="1" spans="1:25">
      <c r="A3099" s="60" t="s">
        <v>399</v>
      </c>
      <c r="B3099" s="60" t="s">
        <v>2950</v>
      </c>
      <c r="C3099" s="60" t="s">
        <v>3134</v>
      </c>
      <c r="D3099" s="263" t="s">
        <v>2951</v>
      </c>
      <c r="E3099" s="63" t="s">
        <v>3922</v>
      </c>
      <c r="F3099" s="60" t="s">
        <v>3923</v>
      </c>
      <c r="G3099" s="60" t="s">
        <v>31</v>
      </c>
      <c r="H3099" s="45" t="s">
        <v>3949</v>
      </c>
      <c r="I3099" s="47" t="e">
        <f>VLOOKUP(H3099,'合同综合查询数据（3月返）'!$A:$A,1,FALSE)</f>
        <v>#N/A</v>
      </c>
      <c r="J3099" s="48" t="s">
        <v>33</v>
      </c>
      <c r="K3099" s="60" t="s">
        <v>3155</v>
      </c>
      <c r="L3099" s="113" t="s">
        <v>3950</v>
      </c>
      <c r="M3099" s="50" t="s">
        <v>3951</v>
      </c>
      <c r="N3099" s="51">
        <v>44939</v>
      </c>
      <c r="O3099" s="60" t="s">
        <v>37</v>
      </c>
      <c r="P3099" s="266">
        <v>0</v>
      </c>
      <c r="Q3099" s="266">
        <v>48</v>
      </c>
      <c r="R3099" s="266">
        <f t="shared" si="73"/>
        <v>0</v>
      </c>
      <c r="S3099" s="48">
        <v>202303</v>
      </c>
      <c r="T3099" s="125" t="s">
        <v>3953</v>
      </c>
      <c r="U3099" s="58"/>
      <c r="V3099" s="58"/>
      <c r="W3099" s="58"/>
      <c r="X3099" s="111"/>
      <c r="Y3099" s="111"/>
    </row>
    <row r="3100" s="10" customFormat="1" customHeight="1" spans="1:25">
      <c r="A3100" s="60" t="s">
        <v>399</v>
      </c>
      <c r="B3100" s="60" t="s">
        <v>2950</v>
      </c>
      <c r="C3100" s="60" t="s">
        <v>3134</v>
      </c>
      <c r="D3100" s="263" t="s">
        <v>2951</v>
      </c>
      <c r="E3100" s="63" t="s">
        <v>3922</v>
      </c>
      <c r="F3100" s="60" t="s">
        <v>3923</v>
      </c>
      <c r="G3100" s="60" t="s">
        <v>88</v>
      </c>
      <c r="H3100" s="45" t="s">
        <v>3949</v>
      </c>
      <c r="I3100" s="47" t="e">
        <f>VLOOKUP(H3100,'合同综合查询数据（3月返）'!$A:$A,1,FALSE)</f>
        <v>#N/A</v>
      </c>
      <c r="J3100" s="48" t="s">
        <v>126</v>
      </c>
      <c r="K3100" s="60" t="s">
        <v>3155</v>
      </c>
      <c r="L3100" s="113" t="s">
        <v>3950</v>
      </c>
      <c r="M3100" s="50" t="s">
        <v>3951</v>
      </c>
      <c r="N3100" s="51">
        <v>44917</v>
      </c>
      <c r="O3100" s="60" t="s">
        <v>92</v>
      </c>
      <c r="P3100" s="266">
        <v>3750</v>
      </c>
      <c r="Q3100" s="266">
        <v>1</v>
      </c>
      <c r="R3100" s="266">
        <f t="shared" si="73"/>
        <v>3750</v>
      </c>
      <c r="S3100" s="48">
        <v>202303</v>
      </c>
      <c r="T3100" s="125" t="s">
        <v>3954</v>
      </c>
      <c r="U3100" s="58"/>
      <c r="V3100" s="58"/>
      <c r="W3100" s="58"/>
      <c r="X3100" s="111"/>
      <c r="Y3100" s="111"/>
    </row>
    <row r="3101" s="9" customFormat="1" customHeight="1" spans="1:25">
      <c r="A3101" s="96" t="s">
        <v>399</v>
      </c>
      <c r="B3101" s="96" t="s">
        <v>2950</v>
      </c>
      <c r="C3101" s="96" t="s">
        <v>3118</v>
      </c>
      <c r="D3101" s="265" t="s">
        <v>2951</v>
      </c>
      <c r="E3101" s="105" t="s">
        <v>3955</v>
      </c>
      <c r="F3101" s="96" t="s">
        <v>3956</v>
      </c>
      <c r="G3101" s="96" t="s">
        <v>31</v>
      </c>
      <c r="H3101" s="313" t="s">
        <v>3957</v>
      </c>
      <c r="I3101" s="23" t="str">
        <f>VLOOKUP(H3101,'合同综合查询数据（3月返）'!$A:$A,1,FALSE)</f>
        <v>182315IDC00082 </v>
      </c>
      <c r="J3101" s="24" t="s">
        <v>3856</v>
      </c>
      <c r="K3101" s="96" t="s">
        <v>3525</v>
      </c>
      <c r="L3101" s="114" t="s">
        <v>3956</v>
      </c>
      <c r="M3101" s="26" t="s">
        <v>3958</v>
      </c>
      <c r="N3101" s="106">
        <v>43490</v>
      </c>
      <c r="O3101" s="96" t="s">
        <v>37</v>
      </c>
      <c r="P3101" s="268">
        <v>0</v>
      </c>
      <c r="Q3101" s="273">
        <v>288</v>
      </c>
      <c r="R3101" s="268">
        <f t="shared" si="73"/>
        <v>0</v>
      </c>
      <c r="S3101" s="24">
        <v>202303</v>
      </c>
      <c r="T3101" s="127" t="s">
        <v>3959</v>
      </c>
      <c r="U3101" s="40"/>
      <c r="V3101" s="40"/>
      <c r="W3101" s="40"/>
      <c r="X3101" s="293">
        <v>44927</v>
      </c>
      <c r="Y3101" s="293">
        <v>45107</v>
      </c>
    </row>
    <row r="3102" s="9" customFormat="1" customHeight="1" spans="1:25">
      <c r="A3102" s="96" t="s">
        <v>399</v>
      </c>
      <c r="B3102" s="96" t="s">
        <v>2950</v>
      </c>
      <c r="C3102" s="96" t="s">
        <v>3118</v>
      </c>
      <c r="D3102" s="265" t="s">
        <v>2951</v>
      </c>
      <c r="E3102" s="105" t="s">
        <v>3955</v>
      </c>
      <c r="F3102" s="96" t="s">
        <v>3956</v>
      </c>
      <c r="G3102" s="96" t="s">
        <v>31</v>
      </c>
      <c r="H3102" s="313" t="s">
        <v>3957</v>
      </c>
      <c r="I3102" s="23" t="str">
        <f>VLOOKUP(H3102,'合同综合查询数据（3月返）'!$A:$A,1,FALSE)</f>
        <v>182315IDC00082 </v>
      </c>
      <c r="J3102" s="24" t="s">
        <v>3856</v>
      </c>
      <c r="K3102" s="96" t="s">
        <v>3525</v>
      </c>
      <c r="L3102" s="114" t="s">
        <v>3956</v>
      </c>
      <c r="M3102" s="26" t="s">
        <v>3958</v>
      </c>
      <c r="N3102" s="106">
        <v>44335</v>
      </c>
      <c r="O3102" s="199" t="s">
        <v>37</v>
      </c>
      <c r="P3102" s="268">
        <v>0</v>
      </c>
      <c r="Q3102" s="273">
        <v>128</v>
      </c>
      <c r="R3102" s="268">
        <f t="shared" si="73"/>
        <v>0</v>
      </c>
      <c r="S3102" s="24">
        <v>202303</v>
      </c>
      <c r="T3102" s="127" t="s">
        <v>3960</v>
      </c>
      <c r="U3102" s="40"/>
      <c r="V3102" s="40"/>
      <c r="W3102" s="40"/>
      <c r="X3102" s="293">
        <v>44927</v>
      </c>
      <c r="Y3102" s="293">
        <v>45107</v>
      </c>
    </row>
    <row r="3103" s="9" customFormat="1" customHeight="1" spans="1:25">
      <c r="A3103" s="96" t="s">
        <v>399</v>
      </c>
      <c r="B3103" s="96" t="s">
        <v>2950</v>
      </c>
      <c r="C3103" s="96" t="s">
        <v>3118</v>
      </c>
      <c r="D3103" s="265" t="s">
        <v>2951</v>
      </c>
      <c r="E3103" s="105" t="s">
        <v>3955</v>
      </c>
      <c r="F3103" s="96" t="s">
        <v>3956</v>
      </c>
      <c r="G3103" s="96" t="s">
        <v>31</v>
      </c>
      <c r="H3103" s="313" t="s">
        <v>3957</v>
      </c>
      <c r="I3103" s="23" t="str">
        <f>VLOOKUP(H3103,'合同综合查询数据（3月返）'!$A:$A,1,FALSE)</f>
        <v>182315IDC00082 </v>
      </c>
      <c r="J3103" s="24" t="s">
        <v>3856</v>
      </c>
      <c r="K3103" s="96" t="s">
        <v>3525</v>
      </c>
      <c r="L3103" s="114" t="s">
        <v>3956</v>
      </c>
      <c r="M3103" s="26" t="s">
        <v>3958</v>
      </c>
      <c r="N3103" s="106">
        <v>44414</v>
      </c>
      <c r="O3103" s="199" t="s">
        <v>37</v>
      </c>
      <c r="P3103" s="268">
        <v>0</v>
      </c>
      <c r="Q3103" s="273">
        <v>128</v>
      </c>
      <c r="R3103" s="268">
        <f t="shared" si="73"/>
        <v>0</v>
      </c>
      <c r="S3103" s="24">
        <v>202303</v>
      </c>
      <c r="T3103" s="127" t="s">
        <v>3961</v>
      </c>
      <c r="U3103" s="40"/>
      <c r="V3103" s="40"/>
      <c r="W3103" s="40"/>
      <c r="X3103" s="293">
        <v>44927</v>
      </c>
      <c r="Y3103" s="293">
        <v>45107</v>
      </c>
    </row>
    <row r="3104" s="9" customFormat="1" customHeight="1" spans="1:25">
      <c r="A3104" s="96" t="s">
        <v>399</v>
      </c>
      <c r="B3104" s="96" t="s">
        <v>2950</v>
      </c>
      <c r="C3104" s="96" t="s">
        <v>3118</v>
      </c>
      <c r="D3104" s="265" t="s">
        <v>2951</v>
      </c>
      <c r="E3104" s="105" t="s">
        <v>3955</v>
      </c>
      <c r="F3104" s="96" t="s">
        <v>3956</v>
      </c>
      <c r="G3104" s="96" t="s">
        <v>31</v>
      </c>
      <c r="H3104" s="313" t="s">
        <v>3957</v>
      </c>
      <c r="I3104" s="23" t="str">
        <f>VLOOKUP(H3104,'合同综合查询数据（3月返）'!$A:$A,1,FALSE)</f>
        <v>182315IDC00082 </v>
      </c>
      <c r="J3104" s="24" t="s">
        <v>3856</v>
      </c>
      <c r="K3104" s="96" t="s">
        <v>3525</v>
      </c>
      <c r="L3104" s="114" t="s">
        <v>3956</v>
      </c>
      <c r="M3104" s="26" t="s">
        <v>3958</v>
      </c>
      <c r="N3104" s="106">
        <v>44869</v>
      </c>
      <c r="O3104" s="199" t="s">
        <v>37</v>
      </c>
      <c r="P3104" s="268">
        <v>0</v>
      </c>
      <c r="Q3104" s="273">
        <v>-128</v>
      </c>
      <c r="R3104" s="268">
        <f t="shared" si="73"/>
        <v>0</v>
      </c>
      <c r="S3104" s="24">
        <v>202303</v>
      </c>
      <c r="T3104" s="127" t="s">
        <v>3962</v>
      </c>
      <c r="U3104" s="40"/>
      <c r="V3104" s="40"/>
      <c r="W3104" s="40"/>
      <c r="X3104" s="293">
        <v>44927</v>
      </c>
      <c r="Y3104" s="293">
        <v>45107</v>
      </c>
    </row>
    <row r="3105" s="9" customFormat="1" customHeight="1" spans="1:25">
      <c r="A3105" s="96" t="s">
        <v>399</v>
      </c>
      <c r="B3105" s="96" t="s">
        <v>2950</v>
      </c>
      <c r="C3105" s="96" t="s">
        <v>3118</v>
      </c>
      <c r="D3105" s="265" t="s">
        <v>2951</v>
      </c>
      <c r="E3105" s="105" t="s">
        <v>3955</v>
      </c>
      <c r="F3105" s="96" t="s">
        <v>3956</v>
      </c>
      <c r="G3105" s="96" t="s">
        <v>31</v>
      </c>
      <c r="H3105" s="313" t="s">
        <v>3957</v>
      </c>
      <c r="I3105" s="23" t="str">
        <f>VLOOKUP(H3105,'合同综合查询数据（3月返）'!$A:$A,1,FALSE)</f>
        <v>182315IDC00082 </v>
      </c>
      <c r="J3105" s="24" t="s">
        <v>3856</v>
      </c>
      <c r="K3105" s="96" t="s">
        <v>3525</v>
      </c>
      <c r="L3105" s="114" t="s">
        <v>3956</v>
      </c>
      <c r="M3105" s="26"/>
      <c r="N3105" s="106"/>
      <c r="O3105" s="96" t="s">
        <v>152</v>
      </c>
      <c r="P3105" s="268">
        <v>0</v>
      </c>
      <c r="Q3105" s="273">
        <v>1</v>
      </c>
      <c r="R3105" s="268">
        <f t="shared" si="73"/>
        <v>0</v>
      </c>
      <c r="S3105" s="24">
        <v>202303</v>
      </c>
      <c r="T3105" s="127" t="s">
        <v>3963</v>
      </c>
      <c r="U3105" s="40"/>
      <c r="V3105" s="40"/>
      <c r="W3105" s="40"/>
      <c r="X3105" s="293">
        <v>44927</v>
      </c>
      <c r="Y3105" s="293">
        <v>45107</v>
      </c>
    </row>
    <row r="3106" s="9" customFormat="1" customHeight="1" spans="1:25">
      <c r="A3106" s="96" t="s">
        <v>399</v>
      </c>
      <c r="B3106" s="96" t="s">
        <v>2950</v>
      </c>
      <c r="C3106" s="96" t="s">
        <v>3118</v>
      </c>
      <c r="D3106" s="265" t="s">
        <v>2951</v>
      </c>
      <c r="E3106" s="105" t="s">
        <v>3955</v>
      </c>
      <c r="F3106" s="96" t="s">
        <v>3956</v>
      </c>
      <c r="G3106" s="96" t="s">
        <v>88</v>
      </c>
      <c r="H3106" s="313" t="s">
        <v>3957</v>
      </c>
      <c r="I3106" s="23" t="str">
        <f>VLOOKUP(H3106,'合同综合查询数据（3月返）'!$A:$A,1,FALSE)</f>
        <v>182315IDC00082 </v>
      </c>
      <c r="J3106" s="24" t="s">
        <v>126</v>
      </c>
      <c r="K3106" s="96" t="s">
        <v>3525</v>
      </c>
      <c r="L3106" s="114" t="s">
        <v>3956</v>
      </c>
      <c r="M3106" s="26" t="s">
        <v>3958</v>
      </c>
      <c r="N3106" s="106">
        <v>43490</v>
      </c>
      <c r="O3106" s="94" t="s">
        <v>3534</v>
      </c>
      <c r="P3106" s="268">
        <v>5850</v>
      </c>
      <c r="Q3106" s="273">
        <v>7</v>
      </c>
      <c r="R3106" s="268">
        <f t="shared" si="73"/>
        <v>40950</v>
      </c>
      <c r="S3106" s="24">
        <v>202303</v>
      </c>
      <c r="T3106" s="127" t="s">
        <v>3964</v>
      </c>
      <c r="U3106" s="40"/>
      <c r="V3106" s="40"/>
      <c r="W3106" s="40"/>
      <c r="X3106" s="293">
        <v>44927</v>
      </c>
      <c r="Y3106" s="293">
        <v>45107</v>
      </c>
    </row>
    <row r="3107" s="9" customFormat="1" customHeight="1" spans="1:25">
      <c r="A3107" s="96" t="s">
        <v>399</v>
      </c>
      <c r="B3107" s="96" t="s">
        <v>2950</v>
      </c>
      <c r="C3107" s="96" t="s">
        <v>3118</v>
      </c>
      <c r="D3107" s="265" t="s">
        <v>2951</v>
      </c>
      <c r="E3107" s="105" t="s">
        <v>3955</v>
      </c>
      <c r="F3107" s="96" t="s">
        <v>3956</v>
      </c>
      <c r="G3107" s="96" t="s">
        <v>88</v>
      </c>
      <c r="H3107" s="313" t="s">
        <v>3957</v>
      </c>
      <c r="I3107" s="23" t="str">
        <f>VLOOKUP(H3107,'合同综合查询数据（3月返）'!$A:$A,1,FALSE)</f>
        <v>182315IDC00082 </v>
      </c>
      <c r="J3107" s="24" t="s">
        <v>126</v>
      </c>
      <c r="K3107" s="96" t="s">
        <v>3525</v>
      </c>
      <c r="L3107" s="114" t="s">
        <v>3956</v>
      </c>
      <c r="M3107" s="26" t="s">
        <v>3958</v>
      </c>
      <c r="N3107" s="106">
        <v>44335</v>
      </c>
      <c r="O3107" s="94" t="s">
        <v>3534</v>
      </c>
      <c r="P3107" s="268">
        <v>5850</v>
      </c>
      <c r="Q3107" s="273">
        <v>2</v>
      </c>
      <c r="R3107" s="268">
        <f t="shared" si="73"/>
        <v>11700</v>
      </c>
      <c r="S3107" s="24">
        <v>202303</v>
      </c>
      <c r="T3107" s="127" t="s">
        <v>3965</v>
      </c>
      <c r="U3107" s="40"/>
      <c r="V3107" s="40"/>
      <c r="W3107" s="40"/>
      <c r="X3107" s="293">
        <v>44927</v>
      </c>
      <c r="Y3107" s="293">
        <v>45107</v>
      </c>
    </row>
    <row r="3108" s="9" customFormat="1" customHeight="1" spans="1:25">
      <c r="A3108" s="96" t="s">
        <v>399</v>
      </c>
      <c r="B3108" s="96" t="s">
        <v>2950</v>
      </c>
      <c r="C3108" s="96" t="s">
        <v>3118</v>
      </c>
      <c r="D3108" s="265" t="s">
        <v>2951</v>
      </c>
      <c r="E3108" s="105" t="s">
        <v>3955</v>
      </c>
      <c r="F3108" s="96" t="s">
        <v>3956</v>
      </c>
      <c r="G3108" s="96" t="s">
        <v>88</v>
      </c>
      <c r="H3108" s="313" t="s">
        <v>3957</v>
      </c>
      <c r="I3108" s="23" t="str">
        <f>VLOOKUP(H3108,'合同综合查询数据（3月返）'!$A:$A,1,FALSE)</f>
        <v>182315IDC00082 </v>
      </c>
      <c r="J3108" s="24" t="s">
        <v>126</v>
      </c>
      <c r="K3108" s="96" t="s">
        <v>3525</v>
      </c>
      <c r="L3108" s="114" t="s">
        <v>3956</v>
      </c>
      <c r="M3108" s="26" t="s">
        <v>3958</v>
      </c>
      <c r="N3108" s="106">
        <v>44728</v>
      </c>
      <c r="O3108" s="94" t="s">
        <v>3534</v>
      </c>
      <c r="P3108" s="268">
        <v>5850</v>
      </c>
      <c r="Q3108" s="273">
        <v>-4</v>
      </c>
      <c r="R3108" s="268">
        <f t="shared" ref="R3108:R3157" si="74">ROUND(P3108*Q3108,2)</f>
        <v>-23400</v>
      </c>
      <c r="S3108" s="24">
        <v>202303</v>
      </c>
      <c r="T3108" s="127" t="s">
        <v>3966</v>
      </c>
      <c r="U3108" s="40"/>
      <c r="V3108" s="40"/>
      <c r="W3108" s="40"/>
      <c r="X3108" s="293">
        <v>44927</v>
      </c>
      <c r="Y3108" s="293">
        <v>45107</v>
      </c>
    </row>
    <row r="3109" s="9" customFormat="1" customHeight="1" spans="1:25">
      <c r="A3109" s="96" t="s">
        <v>399</v>
      </c>
      <c r="B3109" s="96" t="s">
        <v>2950</v>
      </c>
      <c r="C3109" s="96" t="s">
        <v>2998</v>
      </c>
      <c r="D3109" s="265" t="s">
        <v>2951</v>
      </c>
      <c r="E3109" s="105" t="s">
        <v>3967</v>
      </c>
      <c r="F3109" s="96" t="s">
        <v>3968</v>
      </c>
      <c r="G3109" s="96" t="s">
        <v>31</v>
      </c>
      <c r="H3109" s="313" t="s">
        <v>3969</v>
      </c>
      <c r="I3109" s="23" t="str">
        <f>VLOOKUP(H3109,'合同综合查询数据（3月返）'!$A:$A,1,FALSE)</f>
        <v>182315IDC00081</v>
      </c>
      <c r="J3109" s="24" t="s">
        <v>33</v>
      </c>
      <c r="K3109" s="96" t="s">
        <v>3970</v>
      </c>
      <c r="L3109" s="114" t="s">
        <v>3971</v>
      </c>
      <c r="M3109" s="26" t="s">
        <v>3972</v>
      </c>
      <c r="N3109" s="311">
        <v>43617</v>
      </c>
      <c r="O3109" s="96" t="s">
        <v>37</v>
      </c>
      <c r="P3109" s="268">
        <v>0</v>
      </c>
      <c r="Q3109" s="273">
        <v>544</v>
      </c>
      <c r="R3109" s="268">
        <f t="shared" si="74"/>
        <v>0</v>
      </c>
      <c r="S3109" s="24">
        <v>202303</v>
      </c>
      <c r="T3109" s="127" t="s">
        <v>3973</v>
      </c>
      <c r="U3109" s="40"/>
      <c r="V3109" s="40"/>
      <c r="W3109" s="40"/>
      <c r="X3109" s="293">
        <v>44927</v>
      </c>
      <c r="Y3109" s="293">
        <v>45107</v>
      </c>
    </row>
    <row r="3110" s="9" customFormat="1" customHeight="1" spans="1:25">
      <c r="A3110" s="96" t="s">
        <v>399</v>
      </c>
      <c r="B3110" s="96" t="s">
        <v>2950</v>
      </c>
      <c r="C3110" s="96" t="s">
        <v>2998</v>
      </c>
      <c r="D3110" s="265" t="s">
        <v>2951</v>
      </c>
      <c r="E3110" s="105" t="s">
        <v>3967</v>
      </c>
      <c r="F3110" s="96" t="s">
        <v>3968</v>
      </c>
      <c r="G3110" s="96" t="s">
        <v>31</v>
      </c>
      <c r="H3110" s="313" t="s">
        <v>3969</v>
      </c>
      <c r="I3110" s="23" t="str">
        <f>VLOOKUP(H3110,'合同综合查询数据（3月返）'!$A:$A,1,FALSE)</f>
        <v>182315IDC00081</v>
      </c>
      <c r="J3110" s="24" t="s">
        <v>33</v>
      </c>
      <c r="K3110" s="96" t="s">
        <v>3970</v>
      </c>
      <c r="L3110" s="114" t="s">
        <v>3971</v>
      </c>
      <c r="M3110" s="26" t="s">
        <v>3972</v>
      </c>
      <c r="N3110" s="311">
        <v>44773</v>
      </c>
      <c r="O3110" s="96" t="s">
        <v>37</v>
      </c>
      <c r="P3110" s="268">
        <v>0</v>
      </c>
      <c r="Q3110" s="273">
        <v>-384</v>
      </c>
      <c r="R3110" s="268">
        <f t="shared" si="74"/>
        <v>0</v>
      </c>
      <c r="S3110" s="24">
        <v>202303</v>
      </c>
      <c r="T3110" s="127" t="s">
        <v>3974</v>
      </c>
      <c r="U3110" s="40"/>
      <c r="V3110" s="40"/>
      <c r="W3110" s="40"/>
      <c r="X3110" s="293">
        <v>44927</v>
      </c>
      <c r="Y3110" s="293">
        <v>45107</v>
      </c>
    </row>
    <row r="3111" s="9" customFormat="1" customHeight="1" spans="1:25">
      <c r="A3111" s="96" t="s">
        <v>399</v>
      </c>
      <c r="B3111" s="96" t="s">
        <v>2950</v>
      </c>
      <c r="C3111" s="96" t="s">
        <v>2998</v>
      </c>
      <c r="D3111" s="265" t="s">
        <v>2951</v>
      </c>
      <c r="E3111" s="105" t="s">
        <v>3967</v>
      </c>
      <c r="F3111" s="96" t="s">
        <v>3968</v>
      </c>
      <c r="G3111" s="96" t="s">
        <v>88</v>
      </c>
      <c r="H3111" s="313" t="s">
        <v>3969</v>
      </c>
      <c r="I3111" s="23" t="str">
        <f>VLOOKUP(H3111,'合同综合查询数据（3月返）'!$A:$A,1,FALSE)</f>
        <v>182315IDC00081</v>
      </c>
      <c r="J3111" s="24" t="s">
        <v>126</v>
      </c>
      <c r="K3111" s="96" t="s">
        <v>3970</v>
      </c>
      <c r="L3111" s="114" t="s">
        <v>3971</v>
      </c>
      <c r="M3111" s="26" t="s">
        <v>3972</v>
      </c>
      <c r="N3111" s="311">
        <v>43617</v>
      </c>
      <c r="O3111" s="26" t="s">
        <v>92</v>
      </c>
      <c r="P3111" s="268">
        <v>4091</v>
      </c>
      <c r="Q3111" s="273">
        <v>11</v>
      </c>
      <c r="R3111" s="268">
        <f t="shared" si="74"/>
        <v>45001</v>
      </c>
      <c r="S3111" s="24">
        <v>202303</v>
      </c>
      <c r="T3111" s="127" t="s">
        <v>3975</v>
      </c>
      <c r="U3111" s="40"/>
      <c r="V3111" s="40"/>
      <c r="W3111" s="40"/>
      <c r="X3111" s="293">
        <v>44927</v>
      </c>
      <c r="Y3111" s="293">
        <v>45107</v>
      </c>
    </row>
    <row r="3112" s="9" customFormat="1" customHeight="1" spans="1:25">
      <c r="A3112" s="96" t="s">
        <v>399</v>
      </c>
      <c r="B3112" s="96" t="s">
        <v>2950</v>
      </c>
      <c r="C3112" s="96" t="s">
        <v>2998</v>
      </c>
      <c r="D3112" s="265" t="s">
        <v>2951</v>
      </c>
      <c r="E3112" s="105" t="s">
        <v>3967</v>
      </c>
      <c r="F3112" s="96" t="s">
        <v>3968</v>
      </c>
      <c r="G3112" s="96" t="s">
        <v>88</v>
      </c>
      <c r="H3112" s="313" t="s">
        <v>3969</v>
      </c>
      <c r="I3112" s="23" t="str">
        <f>VLOOKUP(H3112,'合同综合查询数据（3月返）'!$A:$A,1,FALSE)</f>
        <v>182315IDC00081</v>
      </c>
      <c r="J3112" s="24" t="s">
        <v>126</v>
      </c>
      <c r="K3112" s="96" t="s">
        <v>3970</v>
      </c>
      <c r="L3112" s="114" t="s">
        <v>3971</v>
      </c>
      <c r="M3112" s="26" t="s">
        <v>3972</v>
      </c>
      <c r="N3112" s="311">
        <v>44712</v>
      </c>
      <c r="O3112" s="26" t="s">
        <v>92</v>
      </c>
      <c r="P3112" s="268">
        <v>4091</v>
      </c>
      <c r="Q3112" s="273">
        <v>-7</v>
      </c>
      <c r="R3112" s="268">
        <f t="shared" si="74"/>
        <v>-28637</v>
      </c>
      <c r="S3112" s="24">
        <v>202303</v>
      </c>
      <c r="T3112" s="127" t="s">
        <v>3976</v>
      </c>
      <c r="U3112" s="40"/>
      <c r="V3112" s="40"/>
      <c r="W3112" s="40"/>
      <c r="X3112" s="293">
        <v>44927</v>
      </c>
      <c r="Y3112" s="293">
        <v>45107</v>
      </c>
    </row>
    <row r="3113" s="9" customFormat="1" customHeight="1" spans="1:25">
      <c r="A3113" s="96" t="s">
        <v>399</v>
      </c>
      <c r="B3113" s="96" t="s">
        <v>2950</v>
      </c>
      <c r="C3113" s="96" t="s">
        <v>2998</v>
      </c>
      <c r="D3113" s="265" t="s">
        <v>2951</v>
      </c>
      <c r="E3113" s="105" t="s">
        <v>3977</v>
      </c>
      <c r="F3113" s="96" t="s">
        <v>3978</v>
      </c>
      <c r="G3113" s="96" t="s">
        <v>31</v>
      </c>
      <c r="H3113" s="19" t="s">
        <v>3979</v>
      </c>
      <c r="I3113" s="23" t="e">
        <f>VLOOKUP(H3113,'合同综合查询数据（3月返）'!$A:$A,1,FALSE)</f>
        <v>#N/A</v>
      </c>
      <c r="J3113" s="24" t="s">
        <v>33</v>
      </c>
      <c r="K3113" s="96" t="s">
        <v>3980</v>
      </c>
      <c r="L3113" s="114" t="s">
        <v>3978</v>
      </c>
      <c r="M3113" s="26" t="s">
        <v>3981</v>
      </c>
      <c r="N3113" s="106">
        <v>43709</v>
      </c>
      <c r="O3113" s="94" t="s">
        <v>37</v>
      </c>
      <c r="P3113" s="268">
        <v>0</v>
      </c>
      <c r="Q3113" s="273">
        <v>544</v>
      </c>
      <c r="R3113" s="268">
        <f t="shared" si="74"/>
        <v>0</v>
      </c>
      <c r="S3113" s="24">
        <v>202303</v>
      </c>
      <c r="T3113" s="127" t="s">
        <v>3982</v>
      </c>
      <c r="U3113" s="40"/>
      <c r="V3113" s="40"/>
      <c r="W3113" s="40"/>
      <c r="X3113" s="106"/>
      <c r="Y3113" s="106"/>
    </row>
    <row r="3114" s="9" customFormat="1" customHeight="1" spans="1:25">
      <c r="A3114" s="96" t="s">
        <v>399</v>
      </c>
      <c r="B3114" s="96" t="s">
        <v>2950</v>
      </c>
      <c r="C3114" s="96" t="s">
        <v>2998</v>
      </c>
      <c r="D3114" s="265" t="s">
        <v>2951</v>
      </c>
      <c r="E3114" s="105" t="s">
        <v>3977</v>
      </c>
      <c r="F3114" s="96" t="s">
        <v>3978</v>
      </c>
      <c r="G3114" s="96" t="s">
        <v>31</v>
      </c>
      <c r="H3114" s="19" t="s">
        <v>3979</v>
      </c>
      <c r="I3114" s="23" t="e">
        <f>VLOOKUP(H3114,'合同综合查询数据（3月返）'!$A:$A,1,FALSE)</f>
        <v>#N/A</v>
      </c>
      <c r="J3114" s="24" t="s">
        <v>33</v>
      </c>
      <c r="K3114" s="96" t="s">
        <v>3980</v>
      </c>
      <c r="L3114" s="114" t="s">
        <v>3978</v>
      </c>
      <c r="M3114" s="26" t="s">
        <v>3981</v>
      </c>
      <c r="N3114" s="106">
        <v>44712</v>
      </c>
      <c r="O3114" s="94" t="s">
        <v>37</v>
      </c>
      <c r="P3114" s="268">
        <v>0</v>
      </c>
      <c r="Q3114" s="273">
        <v>-544</v>
      </c>
      <c r="R3114" s="268">
        <f t="shared" si="74"/>
        <v>0</v>
      </c>
      <c r="S3114" s="24">
        <v>202303</v>
      </c>
      <c r="T3114" s="127" t="s">
        <v>3983</v>
      </c>
      <c r="U3114" s="40"/>
      <c r="V3114" s="40"/>
      <c r="W3114" s="40"/>
      <c r="X3114" s="106"/>
      <c r="Y3114" s="106"/>
    </row>
    <row r="3115" s="9" customFormat="1" customHeight="1" spans="1:25">
      <c r="A3115" s="96" t="s">
        <v>399</v>
      </c>
      <c r="B3115" s="96" t="s">
        <v>2950</v>
      </c>
      <c r="C3115" s="96" t="s">
        <v>2998</v>
      </c>
      <c r="D3115" s="265" t="s">
        <v>2951</v>
      </c>
      <c r="E3115" s="105" t="s">
        <v>3977</v>
      </c>
      <c r="F3115" s="96" t="s">
        <v>3978</v>
      </c>
      <c r="G3115" s="96" t="s">
        <v>88</v>
      </c>
      <c r="H3115" s="19" t="s">
        <v>3979</v>
      </c>
      <c r="I3115" s="23" t="e">
        <f>VLOOKUP(H3115,'合同综合查询数据（3月返）'!$A:$A,1,FALSE)</f>
        <v>#N/A</v>
      </c>
      <c r="J3115" s="24" t="s">
        <v>126</v>
      </c>
      <c r="K3115" s="96" t="s">
        <v>3980</v>
      </c>
      <c r="L3115" s="114" t="s">
        <v>3978</v>
      </c>
      <c r="M3115" s="26" t="s">
        <v>3981</v>
      </c>
      <c r="N3115" s="106">
        <v>43709</v>
      </c>
      <c r="O3115" s="94" t="s">
        <v>92</v>
      </c>
      <c r="P3115" s="268">
        <v>5000</v>
      </c>
      <c r="Q3115" s="273">
        <v>8</v>
      </c>
      <c r="R3115" s="268">
        <f t="shared" si="74"/>
        <v>40000</v>
      </c>
      <c r="S3115" s="24">
        <v>202303</v>
      </c>
      <c r="T3115" s="127" t="s">
        <v>3984</v>
      </c>
      <c r="U3115" s="40"/>
      <c r="V3115" s="40"/>
      <c r="W3115" s="40"/>
      <c r="X3115" s="106"/>
      <c r="Y3115" s="106"/>
    </row>
    <row r="3116" s="9" customFormat="1" customHeight="1" spans="1:25">
      <c r="A3116" s="96" t="s">
        <v>399</v>
      </c>
      <c r="B3116" s="96" t="s">
        <v>2950</v>
      </c>
      <c r="C3116" s="96" t="s">
        <v>2998</v>
      </c>
      <c r="D3116" s="265" t="s">
        <v>2951</v>
      </c>
      <c r="E3116" s="105" t="s">
        <v>3977</v>
      </c>
      <c r="F3116" s="96" t="s">
        <v>3978</v>
      </c>
      <c r="G3116" s="96" t="s">
        <v>88</v>
      </c>
      <c r="H3116" s="19" t="s">
        <v>3979</v>
      </c>
      <c r="I3116" s="23" t="e">
        <f>VLOOKUP(H3116,'合同综合查询数据（3月返）'!$A:$A,1,FALSE)</f>
        <v>#N/A</v>
      </c>
      <c r="J3116" s="24" t="s">
        <v>126</v>
      </c>
      <c r="K3116" s="96" t="s">
        <v>3980</v>
      </c>
      <c r="L3116" s="114" t="s">
        <v>3978</v>
      </c>
      <c r="M3116" s="26" t="s">
        <v>3981</v>
      </c>
      <c r="N3116" s="106">
        <v>44712</v>
      </c>
      <c r="O3116" s="94" t="s">
        <v>92</v>
      </c>
      <c r="P3116" s="268">
        <v>5000</v>
      </c>
      <c r="Q3116" s="273">
        <v>-8</v>
      </c>
      <c r="R3116" s="268">
        <f t="shared" si="74"/>
        <v>-40000</v>
      </c>
      <c r="S3116" s="24">
        <v>202303</v>
      </c>
      <c r="T3116" s="127" t="s">
        <v>3985</v>
      </c>
      <c r="U3116" s="40"/>
      <c r="V3116" s="40"/>
      <c r="W3116" s="40"/>
      <c r="X3116" s="106"/>
      <c r="Y3116" s="106"/>
    </row>
    <row r="3117" s="10" customFormat="1" customHeight="1" spans="1:25">
      <c r="A3117" s="60" t="s">
        <v>61</v>
      </c>
      <c r="B3117" s="60" t="s">
        <v>2950</v>
      </c>
      <c r="C3117" s="60" t="s">
        <v>2998</v>
      </c>
      <c r="D3117" s="62" t="s">
        <v>85</v>
      </c>
      <c r="E3117" s="63" t="s">
        <v>3986</v>
      </c>
      <c r="F3117" s="60" t="s">
        <v>3987</v>
      </c>
      <c r="G3117" s="60" t="s">
        <v>88</v>
      </c>
      <c r="H3117" s="45" t="s">
        <v>3988</v>
      </c>
      <c r="I3117" s="47" t="e">
        <f>VLOOKUP(H3117,'合同综合查询数据（3月返）'!$A:$A,1,FALSE)</f>
        <v>#N/A</v>
      </c>
      <c r="J3117" s="48" t="s">
        <v>90</v>
      </c>
      <c r="K3117" s="60" t="s">
        <v>3989</v>
      </c>
      <c r="L3117" s="113"/>
      <c r="M3117" s="50" t="s">
        <v>3990</v>
      </c>
      <c r="N3117" s="309">
        <v>42200</v>
      </c>
      <c r="O3117" s="309" t="s">
        <v>513</v>
      </c>
      <c r="P3117" s="266">
        <v>33390</v>
      </c>
      <c r="Q3117" s="270">
        <v>2</v>
      </c>
      <c r="R3117" s="266">
        <f t="shared" si="74"/>
        <v>66780</v>
      </c>
      <c r="S3117" s="48">
        <v>202303</v>
      </c>
      <c r="T3117" s="125"/>
      <c r="U3117" s="58"/>
      <c r="V3117" s="58"/>
      <c r="W3117" s="58"/>
      <c r="X3117" s="111"/>
      <c r="Y3117" s="111"/>
    </row>
    <row r="3118" s="10" customFormat="1" customHeight="1" spans="1:25">
      <c r="A3118" s="60" t="s">
        <v>61</v>
      </c>
      <c r="B3118" s="60" t="s">
        <v>2950</v>
      </c>
      <c r="C3118" s="60" t="s">
        <v>2998</v>
      </c>
      <c r="D3118" s="62" t="s">
        <v>85</v>
      </c>
      <c r="E3118" s="63" t="s">
        <v>3986</v>
      </c>
      <c r="F3118" s="60" t="s">
        <v>3987</v>
      </c>
      <c r="G3118" s="60" t="s">
        <v>88</v>
      </c>
      <c r="H3118" s="45" t="s">
        <v>3988</v>
      </c>
      <c r="I3118" s="47" t="e">
        <f>VLOOKUP(H3118,'合同综合查询数据（3月返）'!$A:$A,1,FALSE)</f>
        <v>#N/A</v>
      </c>
      <c r="J3118" s="48" t="s">
        <v>90</v>
      </c>
      <c r="K3118" s="60" t="s">
        <v>3989</v>
      </c>
      <c r="L3118" s="113"/>
      <c r="M3118" s="50" t="s">
        <v>3990</v>
      </c>
      <c r="N3118" s="309">
        <v>42200</v>
      </c>
      <c r="O3118" s="309" t="s">
        <v>511</v>
      </c>
      <c r="P3118" s="266">
        <v>14310</v>
      </c>
      <c r="Q3118" s="270">
        <v>3</v>
      </c>
      <c r="R3118" s="266">
        <f t="shared" si="74"/>
        <v>42930</v>
      </c>
      <c r="S3118" s="48">
        <v>202303</v>
      </c>
      <c r="T3118" s="125"/>
      <c r="U3118" s="58"/>
      <c r="V3118" s="58"/>
      <c r="W3118" s="58"/>
      <c r="X3118" s="111"/>
      <c r="Y3118" s="111"/>
    </row>
    <row r="3119" s="10" customFormat="1" customHeight="1" spans="1:25">
      <c r="A3119" s="60" t="s">
        <v>61</v>
      </c>
      <c r="B3119" s="60" t="s">
        <v>2950</v>
      </c>
      <c r="C3119" s="60" t="s">
        <v>2998</v>
      </c>
      <c r="D3119" s="62" t="s">
        <v>85</v>
      </c>
      <c r="E3119" s="63" t="s">
        <v>3986</v>
      </c>
      <c r="F3119" s="60" t="s">
        <v>3987</v>
      </c>
      <c r="G3119" s="60" t="s">
        <v>88</v>
      </c>
      <c r="H3119" s="45" t="s">
        <v>3988</v>
      </c>
      <c r="I3119" s="47" t="e">
        <f>VLOOKUP(H3119,'合同综合查询数据（3月返）'!$A:$A,1,FALSE)</f>
        <v>#N/A</v>
      </c>
      <c r="J3119" s="48" t="s">
        <v>90</v>
      </c>
      <c r="K3119" s="60" t="s">
        <v>3989</v>
      </c>
      <c r="L3119" s="113" t="s">
        <v>3991</v>
      </c>
      <c r="M3119" s="50" t="s">
        <v>3990</v>
      </c>
      <c r="N3119" s="309">
        <v>42200</v>
      </c>
      <c r="O3119" s="309" t="s">
        <v>457</v>
      </c>
      <c r="P3119" s="266">
        <v>6996</v>
      </c>
      <c r="Q3119" s="270">
        <v>5</v>
      </c>
      <c r="R3119" s="266">
        <f t="shared" si="74"/>
        <v>34980</v>
      </c>
      <c r="S3119" s="48">
        <v>202303</v>
      </c>
      <c r="T3119" s="125"/>
      <c r="U3119" s="58"/>
      <c r="V3119" s="58"/>
      <c r="W3119" s="58"/>
      <c r="X3119" s="111"/>
      <c r="Y3119" s="111"/>
    </row>
    <row r="3120" s="10" customFormat="1" customHeight="1" spans="1:25">
      <c r="A3120" s="60" t="s">
        <v>61</v>
      </c>
      <c r="B3120" s="60" t="s">
        <v>2950</v>
      </c>
      <c r="C3120" s="60" t="s">
        <v>2998</v>
      </c>
      <c r="D3120" s="62" t="s">
        <v>85</v>
      </c>
      <c r="E3120" s="63" t="s">
        <v>3986</v>
      </c>
      <c r="F3120" s="60" t="s">
        <v>3987</v>
      </c>
      <c r="G3120" s="60" t="s">
        <v>88</v>
      </c>
      <c r="H3120" s="45" t="s">
        <v>3988</v>
      </c>
      <c r="I3120" s="47" t="e">
        <f>VLOOKUP(H3120,'合同综合查询数据（3月返）'!$A:$A,1,FALSE)</f>
        <v>#N/A</v>
      </c>
      <c r="J3120" s="48" t="s">
        <v>90</v>
      </c>
      <c r="K3120" s="60" t="s">
        <v>3989</v>
      </c>
      <c r="L3120" s="113"/>
      <c r="M3120" s="50" t="s">
        <v>3990</v>
      </c>
      <c r="N3120" s="309">
        <v>42237</v>
      </c>
      <c r="O3120" s="309" t="s">
        <v>509</v>
      </c>
      <c r="P3120" s="266">
        <v>12720</v>
      </c>
      <c r="Q3120" s="270">
        <v>7</v>
      </c>
      <c r="R3120" s="266">
        <f t="shared" si="74"/>
        <v>89040</v>
      </c>
      <c r="S3120" s="48">
        <v>202303</v>
      </c>
      <c r="T3120" s="125"/>
      <c r="U3120" s="58"/>
      <c r="V3120" s="58"/>
      <c r="W3120" s="58"/>
      <c r="X3120" s="111"/>
      <c r="Y3120" s="111"/>
    </row>
    <row r="3121" s="10" customFormat="1" customHeight="1" spans="1:25">
      <c r="A3121" s="60" t="s">
        <v>61</v>
      </c>
      <c r="B3121" s="60" t="s">
        <v>2950</v>
      </c>
      <c r="C3121" s="60" t="s">
        <v>2998</v>
      </c>
      <c r="D3121" s="62" t="s">
        <v>85</v>
      </c>
      <c r="E3121" s="63" t="s">
        <v>3986</v>
      </c>
      <c r="F3121" s="60" t="s">
        <v>3987</v>
      </c>
      <c r="G3121" s="60" t="s">
        <v>88</v>
      </c>
      <c r="H3121" s="45" t="s">
        <v>3988</v>
      </c>
      <c r="I3121" s="47" t="e">
        <f>VLOOKUP(H3121,'合同综合查询数据（3月返）'!$A:$A,1,FALSE)</f>
        <v>#N/A</v>
      </c>
      <c r="J3121" s="48" t="s">
        <v>90</v>
      </c>
      <c r="K3121" s="60" t="s">
        <v>3989</v>
      </c>
      <c r="L3121" s="113"/>
      <c r="M3121" s="50" t="s">
        <v>3990</v>
      </c>
      <c r="N3121" s="51">
        <v>43130</v>
      </c>
      <c r="O3121" s="138" t="s">
        <v>506</v>
      </c>
      <c r="P3121" s="266">
        <v>9540</v>
      </c>
      <c r="Q3121" s="270">
        <v>2</v>
      </c>
      <c r="R3121" s="266">
        <f t="shared" si="74"/>
        <v>19080</v>
      </c>
      <c r="S3121" s="48">
        <v>202303</v>
      </c>
      <c r="T3121" s="125"/>
      <c r="U3121" s="58"/>
      <c r="V3121" s="58"/>
      <c r="W3121" s="58"/>
      <c r="X3121" s="111"/>
      <c r="Y3121" s="111"/>
    </row>
    <row r="3122" s="10" customFormat="1" customHeight="1" spans="1:25">
      <c r="A3122" s="60" t="s">
        <v>61</v>
      </c>
      <c r="B3122" s="60" t="s">
        <v>2950</v>
      </c>
      <c r="C3122" s="60" t="s">
        <v>2998</v>
      </c>
      <c r="D3122" s="62" t="s">
        <v>85</v>
      </c>
      <c r="E3122" s="63" t="s">
        <v>3986</v>
      </c>
      <c r="F3122" s="60" t="s">
        <v>3987</v>
      </c>
      <c r="G3122" s="60" t="s">
        <v>88</v>
      </c>
      <c r="H3122" s="45" t="s">
        <v>3988</v>
      </c>
      <c r="I3122" s="47" t="e">
        <f>VLOOKUP(H3122,'合同综合查询数据（3月返）'!$A:$A,1,FALSE)</f>
        <v>#N/A</v>
      </c>
      <c r="J3122" s="48" t="s">
        <v>90</v>
      </c>
      <c r="K3122" s="60" t="s">
        <v>3989</v>
      </c>
      <c r="L3122" s="113"/>
      <c r="M3122" s="50" t="s">
        <v>3990</v>
      </c>
      <c r="N3122" s="51">
        <v>43222</v>
      </c>
      <c r="O3122" s="138" t="s">
        <v>457</v>
      </c>
      <c r="P3122" s="266">
        <v>6996</v>
      </c>
      <c r="Q3122" s="270">
        <v>1</v>
      </c>
      <c r="R3122" s="266">
        <f t="shared" si="74"/>
        <v>6996</v>
      </c>
      <c r="S3122" s="48">
        <v>202303</v>
      </c>
      <c r="T3122" s="125"/>
      <c r="U3122" s="58"/>
      <c r="V3122" s="58"/>
      <c r="W3122" s="58"/>
      <c r="X3122" s="111"/>
      <c r="Y3122" s="111"/>
    </row>
    <row r="3123" s="10" customFormat="1" customHeight="1" spans="1:25">
      <c r="A3123" s="60" t="s">
        <v>61</v>
      </c>
      <c r="B3123" s="60" t="s">
        <v>2950</v>
      </c>
      <c r="C3123" s="60" t="s">
        <v>2998</v>
      </c>
      <c r="D3123" s="62" t="s">
        <v>85</v>
      </c>
      <c r="E3123" s="63" t="s">
        <v>3986</v>
      </c>
      <c r="F3123" s="60" t="s">
        <v>3987</v>
      </c>
      <c r="G3123" s="60" t="s">
        <v>88</v>
      </c>
      <c r="H3123" s="45" t="s">
        <v>3988</v>
      </c>
      <c r="I3123" s="47" t="e">
        <f>VLOOKUP(H3123,'合同综合查询数据（3月返）'!$A:$A,1,FALSE)</f>
        <v>#N/A</v>
      </c>
      <c r="J3123" s="48" t="s">
        <v>90</v>
      </c>
      <c r="K3123" s="60" t="s">
        <v>3989</v>
      </c>
      <c r="L3123" s="113"/>
      <c r="M3123" s="50" t="s">
        <v>3990</v>
      </c>
      <c r="N3123" s="309">
        <v>43670</v>
      </c>
      <c r="O3123" s="309" t="s">
        <v>509</v>
      </c>
      <c r="P3123" s="266">
        <v>12720</v>
      </c>
      <c r="Q3123" s="270">
        <v>1</v>
      </c>
      <c r="R3123" s="266">
        <f t="shared" si="74"/>
        <v>12720</v>
      </c>
      <c r="S3123" s="48">
        <v>202303</v>
      </c>
      <c r="T3123" s="125" t="s">
        <v>3992</v>
      </c>
      <c r="U3123" s="58"/>
      <c r="V3123" s="58"/>
      <c r="W3123" s="58"/>
      <c r="X3123" s="111"/>
      <c r="Y3123" s="111"/>
    </row>
    <row r="3124" s="10" customFormat="1" customHeight="1" spans="1:25">
      <c r="A3124" s="60" t="s">
        <v>61</v>
      </c>
      <c r="B3124" s="60" t="s">
        <v>2950</v>
      </c>
      <c r="C3124" s="60" t="s">
        <v>2998</v>
      </c>
      <c r="D3124" s="62" t="s">
        <v>85</v>
      </c>
      <c r="E3124" s="63" t="s">
        <v>3986</v>
      </c>
      <c r="F3124" s="60" t="s">
        <v>3987</v>
      </c>
      <c r="G3124" s="60" t="s">
        <v>88</v>
      </c>
      <c r="H3124" s="45" t="s">
        <v>3988</v>
      </c>
      <c r="I3124" s="47" t="e">
        <f>VLOOKUP(H3124,'合同综合查询数据（3月返）'!$A:$A,1,FALSE)</f>
        <v>#N/A</v>
      </c>
      <c r="J3124" s="48" t="s">
        <v>90</v>
      </c>
      <c r="K3124" s="60" t="s">
        <v>3989</v>
      </c>
      <c r="L3124" s="113"/>
      <c r="M3124" s="50" t="s">
        <v>3990</v>
      </c>
      <c r="N3124" s="309">
        <v>43700</v>
      </c>
      <c r="O3124" s="309" t="s">
        <v>509</v>
      </c>
      <c r="P3124" s="266">
        <v>12720</v>
      </c>
      <c r="Q3124" s="270">
        <v>-1</v>
      </c>
      <c r="R3124" s="266">
        <f t="shared" si="74"/>
        <v>-12720</v>
      </c>
      <c r="S3124" s="48">
        <v>202303</v>
      </c>
      <c r="T3124" s="125" t="s">
        <v>3993</v>
      </c>
      <c r="U3124" s="58"/>
      <c r="V3124" s="58"/>
      <c r="W3124" s="58"/>
      <c r="X3124" s="111"/>
      <c r="Y3124" s="111"/>
    </row>
    <row r="3125" s="10" customFormat="1" customHeight="1" spans="1:25">
      <c r="A3125" s="60" t="s">
        <v>61</v>
      </c>
      <c r="B3125" s="60" t="s">
        <v>2950</v>
      </c>
      <c r="C3125" s="60" t="s">
        <v>2998</v>
      </c>
      <c r="D3125" s="62" t="s">
        <v>85</v>
      </c>
      <c r="E3125" s="63" t="s">
        <v>3986</v>
      </c>
      <c r="F3125" s="60" t="s">
        <v>3987</v>
      </c>
      <c r="G3125" s="60" t="s">
        <v>88</v>
      </c>
      <c r="H3125" s="45" t="s">
        <v>3988</v>
      </c>
      <c r="I3125" s="47" t="e">
        <f>VLOOKUP(H3125,'合同综合查询数据（3月返）'!$A:$A,1,FALSE)</f>
        <v>#N/A</v>
      </c>
      <c r="J3125" s="48" t="s">
        <v>90</v>
      </c>
      <c r="K3125" s="60" t="s">
        <v>3989</v>
      </c>
      <c r="L3125" s="113"/>
      <c r="M3125" s="50" t="s">
        <v>3990</v>
      </c>
      <c r="N3125" s="309">
        <v>43783</v>
      </c>
      <c r="O3125" s="309" t="s">
        <v>3994</v>
      </c>
      <c r="P3125" s="266">
        <v>33390</v>
      </c>
      <c r="Q3125" s="270">
        <v>1</v>
      </c>
      <c r="R3125" s="266">
        <f t="shared" si="74"/>
        <v>33390</v>
      </c>
      <c r="S3125" s="48">
        <v>202303</v>
      </c>
      <c r="T3125" s="125" t="s">
        <v>3995</v>
      </c>
      <c r="U3125" s="58"/>
      <c r="V3125" s="58"/>
      <c r="W3125" s="58"/>
      <c r="X3125" s="111"/>
      <c r="Y3125" s="111"/>
    </row>
    <row r="3126" s="10" customFormat="1" customHeight="1" spans="1:25">
      <c r="A3126" s="60" t="s">
        <v>61</v>
      </c>
      <c r="B3126" s="60" t="s">
        <v>2950</v>
      </c>
      <c r="C3126" s="60" t="s">
        <v>2998</v>
      </c>
      <c r="D3126" s="62" t="s">
        <v>85</v>
      </c>
      <c r="E3126" s="63" t="s">
        <v>3986</v>
      </c>
      <c r="F3126" s="60" t="s">
        <v>3987</v>
      </c>
      <c r="G3126" s="60" t="s">
        <v>88</v>
      </c>
      <c r="H3126" s="45" t="s">
        <v>3988</v>
      </c>
      <c r="I3126" s="47" t="e">
        <f>VLOOKUP(H3126,'合同综合查询数据（3月返）'!$A:$A,1,FALSE)</f>
        <v>#N/A</v>
      </c>
      <c r="J3126" s="48" t="s">
        <v>90</v>
      </c>
      <c r="K3126" s="60" t="s">
        <v>3989</v>
      </c>
      <c r="L3126" s="113"/>
      <c r="M3126" s="50" t="s">
        <v>3990</v>
      </c>
      <c r="N3126" s="309">
        <v>43825</v>
      </c>
      <c r="O3126" s="309" t="s">
        <v>509</v>
      </c>
      <c r="P3126" s="266">
        <v>12720</v>
      </c>
      <c r="Q3126" s="270">
        <v>-2</v>
      </c>
      <c r="R3126" s="266">
        <f t="shared" si="74"/>
        <v>-25440</v>
      </c>
      <c r="S3126" s="48">
        <v>202303</v>
      </c>
      <c r="T3126" s="125" t="s">
        <v>3996</v>
      </c>
      <c r="U3126" s="58"/>
      <c r="V3126" s="58"/>
      <c r="W3126" s="58"/>
      <c r="X3126" s="111"/>
      <c r="Y3126" s="111"/>
    </row>
    <row r="3127" s="10" customFormat="1" customHeight="1" spans="1:25">
      <c r="A3127" s="60" t="s">
        <v>61</v>
      </c>
      <c r="B3127" s="60" t="s">
        <v>2950</v>
      </c>
      <c r="C3127" s="60" t="s">
        <v>2998</v>
      </c>
      <c r="D3127" s="62" t="s">
        <v>85</v>
      </c>
      <c r="E3127" s="63" t="s">
        <v>3986</v>
      </c>
      <c r="F3127" s="60" t="s">
        <v>3987</v>
      </c>
      <c r="G3127" s="60" t="s">
        <v>88</v>
      </c>
      <c r="H3127" s="45" t="s">
        <v>3988</v>
      </c>
      <c r="I3127" s="47" t="e">
        <f>VLOOKUP(H3127,'合同综合查询数据（3月返）'!$A:$A,1,FALSE)</f>
        <v>#N/A</v>
      </c>
      <c r="J3127" s="48" t="s">
        <v>90</v>
      </c>
      <c r="K3127" s="60" t="s">
        <v>3989</v>
      </c>
      <c r="L3127" s="113"/>
      <c r="M3127" s="50" t="s">
        <v>3990</v>
      </c>
      <c r="N3127" s="51">
        <v>43908</v>
      </c>
      <c r="O3127" s="138" t="s">
        <v>457</v>
      </c>
      <c r="P3127" s="266">
        <v>6996</v>
      </c>
      <c r="Q3127" s="270">
        <v>1</v>
      </c>
      <c r="R3127" s="266">
        <f t="shared" si="74"/>
        <v>6996</v>
      </c>
      <c r="S3127" s="48">
        <v>202303</v>
      </c>
      <c r="T3127" s="125" t="s">
        <v>3997</v>
      </c>
      <c r="U3127" s="58"/>
      <c r="V3127" s="58"/>
      <c r="W3127" s="58"/>
      <c r="X3127" s="111"/>
      <c r="Y3127" s="111"/>
    </row>
    <row r="3128" s="10" customFormat="1" customHeight="1" spans="1:25">
      <c r="A3128" s="60" t="s">
        <v>61</v>
      </c>
      <c r="B3128" s="60" t="s">
        <v>2950</v>
      </c>
      <c r="C3128" s="60" t="s">
        <v>2998</v>
      </c>
      <c r="D3128" s="62" t="s">
        <v>85</v>
      </c>
      <c r="E3128" s="63" t="s">
        <v>3986</v>
      </c>
      <c r="F3128" s="60" t="s">
        <v>3987</v>
      </c>
      <c r="G3128" s="60" t="s">
        <v>88</v>
      </c>
      <c r="H3128" s="45" t="s">
        <v>3988</v>
      </c>
      <c r="I3128" s="47" t="e">
        <f>VLOOKUP(H3128,'合同综合查询数据（3月返）'!$A:$A,1,FALSE)</f>
        <v>#N/A</v>
      </c>
      <c r="J3128" s="48" t="s">
        <v>90</v>
      </c>
      <c r="K3128" s="60" t="s">
        <v>3989</v>
      </c>
      <c r="L3128" s="113"/>
      <c r="M3128" s="50" t="s">
        <v>3990</v>
      </c>
      <c r="N3128" s="51">
        <v>44153</v>
      </c>
      <c r="O3128" s="309" t="s">
        <v>511</v>
      </c>
      <c r="P3128" s="266">
        <v>14310</v>
      </c>
      <c r="Q3128" s="270">
        <v>1</v>
      </c>
      <c r="R3128" s="266">
        <f t="shared" si="74"/>
        <v>14310</v>
      </c>
      <c r="S3128" s="48">
        <v>202303</v>
      </c>
      <c r="T3128" s="125" t="s">
        <v>3998</v>
      </c>
      <c r="U3128" s="58"/>
      <c r="V3128" s="58"/>
      <c r="W3128" s="58"/>
      <c r="X3128" s="111"/>
      <c r="Y3128" s="111"/>
    </row>
    <row r="3129" s="10" customFormat="1" customHeight="1" spans="1:25">
      <c r="A3129" s="60" t="s">
        <v>61</v>
      </c>
      <c r="B3129" s="60" t="s">
        <v>2950</v>
      </c>
      <c r="C3129" s="60" t="s">
        <v>2998</v>
      </c>
      <c r="D3129" s="62" t="s">
        <v>85</v>
      </c>
      <c r="E3129" s="63" t="s">
        <v>3986</v>
      </c>
      <c r="F3129" s="60" t="s">
        <v>3987</v>
      </c>
      <c r="G3129" s="60" t="s">
        <v>88</v>
      </c>
      <c r="H3129" s="45" t="s">
        <v>3988</v>
      </c>
      <c r="I3129" s="47" t="e">
        <f>VLOOKUP(H3129,'合同综合查询数据（3月返）'!$A:$A,1,FALSE)</f>
        <v>#N/A</v>
      </c>
      <c r="J3129" s="48" t="s">
        <v>90</v>
      </c>
      <c r="K3129" s="60" t="s">
        <v>3989</v>
      </c>
      <c r="L3129" s="113"/>
      <c r="M3129" s="50" t="s">
        <v>3990</v>
      </c>
      <c r="N3129" s="51">
        <v>44272</v>
      </c>
      <c r="O3129" s="309" t="s">
        <v>457</v>
      </c>
      <c r="P3129" s="266">
        <v>6996</v>
      </c>
      <c r="Q3129" s="270">
        <v>2</v>
      </c>
      <c r="R3129" s="266">
        <f t="shared" si="74"/>
        <v>13992</v>
      </c>
      <c r="S3129" s="48">
        <v>202303</v>
      </c>
      <c r="T3129" s="125" t="s">
        <v>3999</v>
      </c>
      <c r="U3129" s="58"/>
      <c r="V3129" s="58"/>
      <c r="W3129" s="58"/>
      <c r="X3129" s="111"/>
      <c r="Y3129" s="111"/>
    </row>
    <row r="3130" s="10" customFormat="1" customHeight="1" spans="1:25">
      <c r="A3130" s="60" t="s">
        <v>61</v>
      </c>
      <c r="B3130" s="60" t="s">
        <v>2950</v>
      </c>
      <c r="C3130" s="60" t="s">
        <v>2998</v>
      </c>
      <c r="D3130" s="62" t="s">
        <v>85</v>
      </c>
      <c r="E3130" s="63" t="s">
        <v>3986</v>
      </c>
      <c r="F3130" s="60" t="s">
        <v>3987</v>
      </c>
      <c r="G3130" s="60" t="s">
        <v>88</v>
      </c>
      <c r="H3130" s="45" t="s">
        <v>3988</v>
      </c>
      <c r="I3130" s="47" t="e">
        <f>VLOOKUP(H3130,'合同综合查询数据（3月返）'!$A:$A,1,FALSE)</f>
        <v>#N/A</v>
      </c>
      <c r="J3130" s="48" t="s">
        <v>90</v>
      </c>
      <c r="K3130" s="60" t="s">
        <v>3989</v>
      </c>
      <c r="L3130" s="113"/>
      <c r="M3130" s="50" t="s">
        <v>3990</v>
      </c>
      <c r="N3130" s="51">
        <v>44273</v>
      </c>
      <c r="O3130" s="309" t="s">
        <v>3629</v>
      </c>
      <c r="P3130" s="266">
        <v>13992</v>
      </c>
      <c r="Q3130" s="270">
        <v>1</v>
      </c>
      <c r="R3130" s="266">
        <f t="shared" si="74"/>
        <v>13992</v>
      </c>
      <c r="S3130" s="48">
        <v>202303</v>
      </c>
      <c r="T3130" s="125" t="s">
        <v>4000</v>
      </c>
      <c r="U3130" s="58"/>
      <c r="V3130" s="58"/>
      <c r="W3130" s="58"/>
      <c r="X3130" s="111"/>
      <c r="Y3130" s="111"/>
    </row>
    <row r="3131" s="10" customFormat="1" customHeight="1" spans="1:25">
      <c r="A3131" s="60" t="s">
        <v>61</v>
      </c>
      <c r="B3131" s="60" t="s">
        <v>2950</v>
      </c>
      <c r="C3131" s="60" t="s">
        <v>2998</v>
      </c>
      <c r="D3131" s="62" t="s">
        <v>85</v>
      </c>
      <c r="E3131" s="63" t="s">
        <v>3986</v>
      </c>
      <c r="F3131" s="60" t="s">
        <v>3987</v>
      </c>
      <c r="G3131" s="60" t="s">
        <v>88</v>
      </c>
      <c r="H3131" s="45" t="s">
        <v>3988</v>
      </c>
      <c r="I3131" s="47" t="e">
        <f>VLOOKUP(H3131,'合同综合查询数据（3月返）'!$A:$A,1,FALSE)</f>
        <v>#N/A</v>
      </c>
      <c r="J3131" s="48" t="s">
        <v>90</v>
      </c>
      <c r="K3131" s="60" t="s">
        <v>3989</v>
      </c>
      <c r="L3131" s="113"/>
      <c r="M3131" s="50" t="s">
        <v>3990</v>
      </c>
      <c r="N3131" s="51">
        <v>44285</v>
      </c>
      <c r="O3131" s="309" t="s">
        <v>3629</v>
      </c>
      <c r="P3131" s="266">
        <v>13992</v>
      </c>
      <c r="Q3131" s="270">
        <v>1</v>
      </c>
      <c r="R3131" s="266">
        <f t="shared" si="74"/>
        <v>13992</v>
      </c>
      <c r="S3131" s="48">
        <v>202303</v>
      </c>
      <c r="T3131" s="125" t="s">
        <v>4001</v>
      </c>
      <c r="U3131" s="58"/>
      <c r="V3131" s="58"/>
      <c r="W3131" s="58"/>
      <c r="X3131" s="111"/>
      <c r="Y3131" s="111"/>
    </row>
    <row r="3132" s="10" customFormat="1" customHeight="1" spans="1:25">
      <c r="A3132" s="60" t="s">
        <v>61</v>
      </c>
      <c r="B3132" s="60" t="s">
        <v>2950</v>
      </c>
      <c r="C3132" s="60" t="s">
        <v>2998</v>
      </c>
      <c r="D3132" s="62" t="s">
        <v>85</v>
      </c>
      <c r="E3132" s="63" t="s">
        <v>3986</v>
      </c>
      <c r="F3132" s="60" t="s">
        <v>3987</v>
      </c>
      <c r="G3132" s="60" t="s">
        <v>88</v>
      </c>
      <c r="H3132" s="45" t="s">
        <v>3988</v>
      </c>
      <c r="I3132" s="47" t="e">
        <f>VLOOKUP(H3132,'合同综合查询数据（3月返）'!$A:$A,1,FALSE)</f>
        <v>#N/A</v>
      </c>
      <c r="J3132" s="48" t="s">
        <v>90</v>
      </c>
      <c r="K3132" s="60" t="s">
        <v>3989</v>
      </c>
      <c r="L3132" s="113"/>
      <c r="M3132" s="50" t="s">
        <v>3990</v>
      </c>
      <c r="N3132" s="51">
        <v>44305</v>
      </c>
      <c r="O3132" s="309" t="s">
        <v>3629</v>
      </c>
      <c r="P3132" s="266">
        <v>13992</v>
      </c>
      <c r="Q3132" s="270">
        <v>1</v>
      </c>
      <c r="R3132" s="266">
        <f t="shared" si="74"/>
        <v>13992</v>
      </c>
      <c r="S3132" s="48">
        <v>202303</v>
      </c>
      <c r="T3132" s="125" t="s">
        <v>4002</v>
      </c>
      <c r="U3132" s="58"/>
      <c r="V3132" s="58"/>
      <c r="W3132" s="58"/>
      <c r="X3132" s="111"/>
      <c r="Y3132" s="111"/>
    </row>
    <row r="3133" s="10" customFormat="1" customHeight="1" spans="1:25">
      <c r="A3133" s="60" t="s">
        <v>61</v>
      </c>
      <c r="B3133" s="60" t="s">
        <v>2950</v>
      </c>
      <c r="C3133" s="60" t="s">
        <v>2998</v>
      </c>
      <c r="D3133" s="62" t="s">
        <v>85</v>
      </c>
      <c r="E3133" s="63" t="s">
        <v>3986</v>
      </c>
      <c r="F3133" s="60" t="s">
        <v>3987</v>
      </c>
      <c r="G3133" s="60" t="s">
        <v>88</v>
      </c>
      <c r="H3133" s="45" t="s">
        <v>3988</v>
      </c>
      <c r="I3133" s="47" t="e">
        <f>VLOOKUP(H3133,'合同综合查询数据（3月返）'!$A:$A,1,FALSE)</f>
        <v>#N/A</v>
      </c>
      <c r="J3133" s="48" t="s">
        <v>90</v>
      </c>
      <c r="K3133" s="60" t="s">
        <v>3989</v>
      </c>
      <c r="L3133" s="113"/>
      <c r="M3133" s="50" t="s">
        <v>3990</v>
      </c>
      <c r="N3133" s="51">
        <v>44305</v>
      </c>
      <c r="O3133" s="309" t="s">
        <v>457</v>
      </c>
      <c r="P3133" s="266">
        <v>6996</v>
      </c>
      <c r="Q3133" s="270">
        <v>1</v>
      </c>
      <c r="R3133" s="266">
        <f t="shared" si="74"/>
        <v>6996</v>
      </c>
      <c r="S3133" s="48">
        <v>202303</v>
      </c>
      <c r="T3133" s="125" t="s">
        <v>4003</v>
      </c>
      <c r="U3133" s="58"/>
      <c r="V3133" s="58"/>
      <c r="W3133" s="58"/>
      <c r="X3133" s="111"/>
      <c r="Y3133" s="111"/>
    </row>
    <row r="3134" s="10" customFormat="1" customHeight="1" spans="1:25">
      <c r="A3134" s="60" t="s">
        <v>61</v>
      </c>
      <c r="B3134" s="60" t="s">
        <v>2950</v>
      </c>
      <c r="C3134" s="60" t="s">
        <v>2998</v>
      </c>
      <c r="D3134" s="62" t="s">
        <v>85</v>
      </c>
      <c r="E3134" s="63" t="s">
        <v>3986</v>
      </c>
      <c r="F3134" s="60" t="s">
        <v>3987</v>
      </c>
      <c r="G3134" s="60" t="s">
        <v>88</v>
      </c>
      <c r="H3134" s="45" t="s">
        <v>3988</v>
      </c>
      <c r="I3134" s="47" t="e">
        <f>VLOOKUP(H3134,'合同综合查询数据（3月返）'!$A:$A,1,FALSE)</f>
        <v>#N/A</v>
      </c>
      <c r="J3134" s="48" t="s">
        <v>90</v>
      </c>
      <c r="K3134" s="60" t="s">
        <v>3989</v>
      </c>
      <c r="L3134" s="113"/>
      <c r="M3134" s="50" t="s">
        <v>3990</v>
      </c>
      <c r="N3134" s="51">
        <v>44651</v>
      </c>
      <c r="O3134" s="309" t="s">
        <v>461</v>
      </c>
      <c r="P3134" s="266">
        <v>13992</v>
      </c>
      <c r="Q3134" s="270">
        <v>2</v>
      </c>
      <c r="R3134" s="266">
        <f t="shared" si="74"/>
        <v>27984</v>
      </c>
      <c r="S3134" s="48">
        <v>202303</v>
      </c>
      <c r="T3134" s="125" t="s">
        <v>4004</v>
      </c>
      <c r="U3134" s="58"/>
      <c r="V3134" s="58"/>
      <c r="W3134" s="58"/>
      <c r="X3134" s="111"/>
      <c r="Y3134" s="111"/>
    </row>
    <row r="3135" s="10" customFormat="1" customHeight="1" spans="1:25">
      <c r="A3135" s="60" t="s">
        <v>61</v>
      </c>
      <c r="B3135" s="60" t="s">
        <v>2950</v>
      </c>
      <c r="C3135" s="60" t="s">
        <v>2998</v>
      </c>
      <c r="D3135" s="62" t="s">
        <v>85</v>
      </c>
      <c r="E3135" s="63" t="s">
        <v>3986</v>
      </c>
      <c r="F3135" s="60" t="s">
        <v>3987</v>
      </c>
      <c r="G3135" s="60" t="s">
        <v>88</v>
      </c>
      <c r="H3135" s="45" t="s">
        <v>3988</v>
      </c>
      <c r="I3135" s="47" t="e">
        <f>VLOOKUP(H3135,'合同综合查询数据（3月返）'!$A:$A,1,FALSE)</f>
        <v>#N/A</v>
      </c>
      <c r="J3135" s="48" t="s">
        <v>90</v>
      </c>
      <c r="K3135" s="60" t="s">
        <v>3989</v>
      </c>
      <c r="L3135" s="113"/>
      <c r="M3135" s="50" t="s">
        <v>3990</v>
      </c>
      <c r="N3135" s="51">
        <v>44694</v>
      </c>
      <c r="O3135" s="309" t="s">
        <v>511</v>
      </c>
      <c r="P3135" s="266">
        <v>14310</v>
      </c>
      <c r="Q3135" s="270">
        <v>-2</v>
      </c>
      <c r="R3135" s="266">
        <f t="shared" si="74"/>
        <v>-28620</v>
      </c>
      <c r="S3135" s="48">
        <v>202303</v>
      </c>
      <c r="T3135" s="125" t="s">
        <v>4005</v>
      </c>
      <c r="U3135" s="58"/>
      <c r="V3135" s="58"/>
      <c r="W3135" s="58"/>
      <c r="X3135" s="111"/>
      <c r="Y3135" s="51"/>
    </row>
    <row r="3136" s="10" customFormat="1" customHeight="1" spans="1:25">
      <c r="A3136" s="60" t="s">
        <v>61</v>
      </c>
      <c r="B3136" s="60" t="s">
        <v>2950</v>
      </c>
      <c r="C3136" s="60" t="s">
        <v>2998</v>
      </c>
      <c r="D3136" s="62" t="s">
        <v>85</v>
      </c>
      <c r="E3136" s="63" t="s">
        <v>3986</v>
      </c>
      <c r="F3136" s="60" t="s">
        <v>3987</v>
      </c>
      <c r="G3136" s="60" t="s">
        <v>88</v>
      </c>
      <c r="H3136" s="45" t="s">
        <v>3988</v>
      </c>
      <c r="I3136" s="47" t="e">
        <f>VLOOKUP(H3136,'合同综合查询数据（3月返）'!$A:$A,1,FALSE)</f>
        <v>#N/A</v>
      </c>
      <c r="J3136" s="48" t="s">
        <v>90</v>
      </c>
      <c r="K3136" s="60" t="s">
        <v>3989</v>
      </c>
      <c r="L3136" s="113"/>
      <c r="M3136" s="50" t="s">
        <v>3990</v>
      </c>
      <c r="N3136" s="51">
        <v>44799</v>
      </c>
      <c r="O3136" s="309" t="s">
        <v>461</v>
      </c>
      <c r="P3136" s="266">
        <v>13992</v>
      </c>
      <c r="Q3136" s="270">
        <v>1</v>
      </c>
      <c r="R3136" s="266">
        <f t="shared" si="74"/>
        <v>13992</v>
      </c>
      <c r="S3136" s="48">
        <v>202303</v>
      </c>
      <c r="T3136" s="125" t="s">
        <v>4006</v>
      </c>
      <c r="U3136" s="58"/>
      <c r="V3136" s="58"/>
      <c r="W3136" s="58"/>
      <c r="X3136" s="111"/>
      <c r="Y3136" s="51"/>
    </row>
    <row r="3137" s="10" customFormat="1" customHeight="1" spans="1:25">
      <c r="A3137" s="60" t="s">
        <v>61</v>
      </c>
      <c r="B3137" s="60" t="s">
        <v>2950</v>
      </c>
      <c r="C3137" s="60" t="s">
        <v>2998</v>
      </c>
      <c r="D3137" s="62" t="s">
        <v>85</v>
      </c>
      <c r="E3137" s="63" t="s">
        <v>3986</v>
      </c>
      <c r="F3137" s="60" t="s">
        <v>3987</v>
      </c>
      <c r="G3137" s="60" t="s">
        <v>88</v>
      </c>
      <c r="H3137" s="45" t="s">
        <v>4007</v>
      </c>
      <c r="I3137" s="47" t="e">
        <f>VLOOKUP(H3137,'合同综合查询数据（3月返）'!$A:$A,1,FALSE)</f>
        <v>#N/A</v>
      </c>
      <c r="J3137" s="48" t="s">
        <v>90</v>
      </c>
      <c r="K3137" s="60" t="s">
        <v>3989</v>
      </c>
      <c r="L3137" s="113"/>
      <c r="M3137" s="50" t="s">
        <v>3990</v>
      </c>
      <c r="N3137" s="51">
        <v>44799</v>
      </c>
      <c r="O3137" s="309" t="s">
        <v>461</v>
      </c>
      <c r="P3137" s="266">
        <v>13992</v>
      </c>
      <c r="Q3137" s="270">
        <v>3</v>
      </c>
      <c r="R3137" s="266">
        <f t="shared" si="74"/>
        <v>41976</v>
      </c>
      <c r="S3137" s="48">
        <v>202303</v>
      </c>
      <c r="T3137" s="125" t="s">
        <v>4008</v>
      </c>
      <c r="U3137" s="58"/>
      <c r="V3137" s="58"/>
      <c r="W3137" s="58"/>
      <c r="X3137" s="111"/>
      <c r="Y3137" s="51"/>
    </row>
    <row r="3138" s="10" customFormat="1" customHeight="1" spans="1:25">
      <c r="A3138" s="60" t="s">
        <v>61</v>
      </c>
      <c r="B3138" s="60" t="s">
        <v>2950</v>
      </c>
      <c r="C3138" s="60" t="s">
        <v>2998</v>
      </c>
      <c r="D3138" s="62" t="s">
        <v>85</v>
      </c>
      <c r="E3138" s="63" t="s">
        <v>3986</v>
      </c>
      <c r="F3138" s="60" t="s">
        <v>3987</v>
      </c>
      <c r="G3138" s="60" t="s">
        <v>88</v>
      </c>
      <c r="H3138" s="45" t="s">
        <v>3988</v>
      </c>
      <c r="I3138" s="47" t="e">
        <f>VLOOKUP(H3138,'合同综合查询数据（3月返）'!$A:$A,1,FALSE)</f>
        <v>#N/A</v>
      </c>
      <c r="J3138" s="48" t="s">
        <v>90</v>
      </c>
      <c r="K3138" s="60" t="s">
        <v>3989</v>
      </c>
      <c r="L3138" s="113"/>
      <c r="M3138" s="50" t="s">
        <v>3990</v>
      </c>
      <c r="N3138" s="51">
        <v>44573</v>
      </c>
      <c r="O3138" s="309" t="s">
        <v>513</v>
      </c>
      <c r="P3138" s="266">
        <v>33390</v>
      </c>
      <c r="Q3138" s="270">
        <v>-2</v>
      </c>
      <c r="R3138" s="266">
        <f t="shared" si="74"/>
        <v>-66780</v>
      </c>
      <c r="S3138" s="48">
        <v>202303</v>
      </c>
      <c r="T3138" s="125" t="s">
        <v>4009</v>
      </c>
      <c r="U3138" s="58"/>
      <c r="V3138" s="58"/>
      <c r="W3138" s="58"/>
      <c r="X3138" s="111"/>
      <c r="Y3138" s="51"/>
    </row>
    <row r="3139" s="10" customFormat="1" customHeight="1" spans="1:25">
      <c r="A3139" s="60" t="s">
        <v>61</v>
      </c>
      <c r="B3139" s="60" t="s">
        <v>2950</v>
      </c>
      <c r="C3139" s="60" t="s">
        <v>2998</v>
      </c>
      <c r="D3139" s="62" t="s">
        <v>85</v>
      </c>
      <c r="E3139" s="63" t="s">
        <v>3986</v>
      </c>
      <c r="F3139" s="60" t="s">
        <v>3987</v>
      </c>
      <c r="G3139" s="60" t="s">
        <v>88</v>
      </c>
      <c r="H3139" s="45" t="s">
        <v>4010</v>
      </c>
      <c r="I3139" s="47" t="e">
        <f>VLOOKUP(H3139,'合同综合查询数据（3月返）'!$A:$A,1,FALSE)</f>
        <v>#N/A</v>
      </c>
      <c r="J3139" s="48" t="s">
        <v>90</v>
      </c>
      <c r="K3139" s="60" t="s">
        <v>3989</v>
      </c>
      <c r="L3139" s="113"/>
      <c r="M3139" s="50" t="s">
        <v>3990</v>
      </c>
      <c r="N3139" s="51">
        <v>44574</v>
      </c>
      <c r="O3139" s="309" t="s">
        <v>574</v>
      </c>
      <c r="P3139" s="266">
        <v>38160</v>
      </c>
      <c r="Q3139" s="270">
        <v>2</v>
      </c>
      <c r="R3139" s="266">
        <f t="shared" si="74"/>
        <v>76320</v>
      </c>
      <c r="S3139" s="48">
        <v>202303</v>
      </c>
      <c r="T3139" s="125" t="s">
        <v>4009</v>
      </c>
      <c r="U3139" s="58"/>
      <c r="V3139" s="58"/>
      <c r="W3139" s="58"/>
      <c r="X3139" s="111"/>
      <c r="Y3139" s="51"/>
    </row>
    <row r="3140" s="9" customFormat="1" customHeight="1" spans="1:25">
      <c r="A3140" s="96" t="s">
        <v>61</v>
      </c>
      <c r="B3140" s="96" t="s">
        <v>2950</v>
      </c>
      <c r="C3140" s="96" t="s">
        <v>2998</v>
      </c>
      <c r="D3140" s="94" t="s">
        <v>85</v>
      </c>
      <c r="E3140" s="105" t="s">
        <v>3986</v>
      </c>
      <c r="F3140" s="96" t="s">
        <v>3987</v>
      </c>
      <c r="G3140" s="96" t="s">
        <v>88</v>
      </c>
      <c r="H3140" s="19" t="s">
        <v>4011</v>
      </c>
      <c r="I3140" s="23" t="e">
        <f>VLOOKUP(H3140,'合同综合查询数据（3月返）'!$A:$A,1,FALSE)</f>
        <v>#N/A</v>
      </c>
      <c r="J3140" s="24" t="s">
        <v>90</v>
      </c>
      <c r="K3140" s="96" t="s">
        <v>3989</v>
      </c>
      <c r="L3140" s="114"/>
      <c r="M3140" s="26" t="s">
        <v>4012</v>
      </c>
      <c r="N3140" s="28">
        <v>44522</v>
      </c>
      <c r="O3140" s="311" t="s">
        <v>457</v>
      </c>
      <c r="P3140" s="268">
        <v>4400</v>
      </c>
      <c r="Q3140" s="273">
        <v>5</v>
      </c>
      <c r="R3140" s="268">
        <f t="shared" si="74"/>
        <v>22000</v>
      </c>
      <c r="S3140" s="24">
        <v>202303</v>
      </c>
      <c r="T3140" s="127" t="s">
        <v>4013</v>
      </c>
      <c r="U3140" s="40"/>
      <c r="V3140" s="40"/>
      <c r="W3140" s="40"/>
      <c r="X3140" s="106">
        <v>44774</v>
      </c>
      <c r="Y3140" s="106">
        <v>45260</v>
      </c>
    </row>
    <row r="3141" s="9" customFormat="1" customHeight="1" spans="1:25">
      <c r="A3141" s="96" t="s">
        <v>61</v>
      </c>
      <c r="B3141" s="96" t="s">
        <v>2950</v>
      </c>
      <c r="C3141" s="96" t="s">
        <v>2998</v>
      </c>
      <c r="D3141" s="94" t="s">
        <v>85</v>
      </c>
      <c r="E3141" s="105" t="s">
        <v>3986</v>
      </c>
      <c r="F3141" s="96" t="s">
        <v>3987</v>
      </c>
      <c r="G3141" s="96" t="s">
        <v>88</v>
      </c>
      <c r="H3141" s="19" t="s">
        <v>4011</v>
      </c>
      <c r="I3141" s="23" t="e">
        <f>VLOOKUP(H3141,'合同综合查询数据（3月返）'!$A:$A,1,FALSE)</f>
        <v>#N/A</v>
      </c>
      <c r="J3141" s="24" t="s">
        <v>90</v>
      </c>
      <c r="K3141" s="96" t="s">
        <v>3989</v>
      </c>
      <c r="L3141" s="114"/>
      <c r="M3141" s="26" t="s">
        <v>4012</v>
      </c>
      <c r="N3141" s="28">
        <v>44537</v>
      </c>
      <c r="O3141" s="311" t="s">
        <v>457</v>
      </c>
      <c r="P3141" s="268">
        <v>4400</v>
      </c>
      <c r="Q3141" s="273">
        <v>2</v>
      </c>
      <c r="R3141" s="268">
        <f t="shared" si="74"/>
        <v>8800</v>
      </c>
      <c r="S3141" s="24">
        <v>202303</v>
      </c>
      <c r="T3141" s="127" t="s">
        <v>4014</v>
      </c>
      <c r="U3141" s="40"/>
      <c r="V3141" s="40"/>
      <c r="W3141" s="40"/>
      <c r="X3141" s="106">
        <v>44774</v>
      </c>
      <c r="Y3141" s="106">
        <v>45260</v>
      </c>
    </row>
    <row r="3142" s="9" customFormat="1" customHeight="1" spans="1:25">
      <c r="A3142" s="96" t="s">
        <v>61</v>
      </c>
      <c r="B3142" s="96" t="s">
        <v>2950</v>
      </c>
      <c r="C3142" s="96" t="s">
        <v>2998</v>
      </c>
      <c r="D3142" s="94" t="s">
        <v>85</v>
      </c>
      <c r="E3142" s="105" t="s">
        <v>3986</v>
      </c>
      <c r="F3142" s="96" t="s">
        <v>3987</v>
      </c>
      <c r="G3142" s="96" t="s">
        <v>88</v>
      </c>
      <c r="H3142" s="19" t="s">
        <v>4011</v>
      </c>
      <c r="I3142" s="23" t="e">
        <f>VLOOKUP(H3142,'合同综合查询数据（3月返）'!$A:$A,1,FALSE)</f>
        <v>#N/A</v>
      </c>
      <c r="J3142" s="24" t="s">
        <v>90</v>
      </c>
      <c r="K3142" s="96" t="s">
        <v>3989</v>
      </c>
      <c r="L3142" s="114"/>
      <c r="M3142" s="26" t="s">
        <v>4012</v>
      </c>
      <c r="N3142" s="28">
        <v>44546</v>
      </c>
      <c r="O3142" s="311" t="s">
        <v>457</v>
      </c>
      <c r="P3142" s="268">
        <v>4400</v>
      </c>
      <c r="Q3142" s="273">
        <v>4</v>
      </c>
      <c r="R3142" s="268">
        <f t="shared" si="74"/>
        <v>17600</v>
      </c>
      <c r="S3142" s="24">
        <v>202303</v>
      </c>
      <c r="T3142" s="127" t="s">
        <v>4015</v>
      </c>
      <c r="U3142" s="40"/>
      <c r="V3142" s="40"/>
      <c r="W3142" s="40"/>
      <c r="X3142" s="106">
        <v>44774</v>
      </c>
      <c r="Y3142" s="106">
        <v>45260</v>
      </c>
    </row>
    <row r="3143" s="9" customFormat="1" customHeight="1" spans="1:25">
      <c r="A3143" s="96" t="s">
        <v>61</v>
      </c>
      <c r="B3143" s="96" t="s">
        <v>2950</v>
      </c>
      <c r="C3143" s="96" t="s">
        <v>2998</v>
      </c>
      <c r="D3143" s="94" t="s">
        <v>85</v>
      </c>
      <c r="E3143" s="105" t="s">
        <v>3986</v>
      </c>
      <c r="F3143" s="96" t="s">
        <v>3987</v>
      </c>
      <c r="G3143" s="96" t="s">
        <v>88</v>
      </c>
      <c r="H3143" s="19" t="s">
        <v>4011</v>
      </c>
      <c r="I3143" s="23" t="e">
        <f>VLOOKUP(H3143,'合同综合查询数据（3月返）'!$A:$A,1,FALSE)</f>
        <v>#N/A</v>
      </c>
      <c r="J3143" s="24" t="s">
        <v>90</v>
      </c>
      <c r="K3143" s="96" t="s">
        <v>3989</v>
      </c>
      <c r="L3143" s="114"/>
      <c r="M3143" s="26" t="s">
        <v>4012</v>
      </c>
      <c r="N3143" s="28">
        <v>44559</v>
      </c>
      <c r="O3143" s="311" t="s">
        <v>457</v>
      </c>
      <c r="P3143" s="268">
        <v>4400</v>
      </c>
      <c r="Q3143" s="273">
        <v>11</v>
      </c>
      <c r="R3143" s="268">
        <f t="shared" si="74"/>
        <v>48400</v>
      </c>
      <c r="S3143" s="24">
        <v>202303</v>
      </c>
      <c r="T3143" s="127" t="s">
        <v>4016</v>
      </c>
      <c r="U3143" s="40"/>
      <c r="V3143" s="40"/>
      <c r="W3143" s="40"/>
      <c r="X3143" s="106">
        <v>44774</v>
      </c>
      <c r="Y3143" s="106">
        <v>45260</v>
      </c>
    </row>
    <row r="3144" s="9" customFormat="1" customHeight="1" spans="1:25">
      <c r="A3144" s="96" t="s">
        <v>61</v>
      </c>
      <c r="B3144" s="96" t="s">
        <v>2950</v>
      </c>
      <c r="C3144" s="96" t="s">
        <v>2998</v>
      </c>
      <c r="D3144" s="94" t="s">
        <v>85</v>
      </c>
      <c r="E3144" s="105" t="s">
        <v>3986</v>
      </c>
      <c r="F3144" s="96" t="s">
        <v>3987</v>
      </c>
      <c r="G3144" s="96" t="s">
        <v>88</v>
      </c>
      <c r="H3144" s="19" t="s">
        <v>4011</v>
      </c>
      <c r="I3144" s="23" t="e">
        <f>VLOOKUP(H3144,'合同综合查询数据（3月返）'!$A:$A,1,FALSE)</f>
        <v>#N/A</v>
      </c>
      <c r="J3144" s="24" t="s">
        <v>90</v>
      </c>
      <c r="K3144" s="96" t="s">
        <v>3989</v>
      </c>
      <c r="L3144" s="114"/>
      <c r="M3144" s="26" t="s">
        <v>4012</v>
      </c>
      <c r="N3144" s="28">
        <v>44599</v>
      </c>
      <c r="O3144" s="311" t="s">
        <v>457</v>
      </c>
      <c r="P3144" s="268">
        <v>4400</v>
      </c>
      <c r="Q3144" s="273">
        <v>13</v>
      </c>
      <c r="R3144" s="268">
        <f t="shared" si="74"/>
        <v>57200</v>
      </c>
      <c r="S3144" s="24">
        <v>202303</v>
      </c>
      <c r="T3144" s="127" t="s">
        <v>4017</v>
      </c>
      <c r="U3144" s="40"/>
      <c r="V3144" s="40"/>
      <c r="W3144" s="40"/>
      <c r="X3144" s="106">
        <v>44774</v>
      </c>
      <c r="Y3144" s="106">
        <v>45260</v>
      </c>
    </row>
    <row r="3145" s="9" customFormat="1" customHeight="1" spans="1:25">
      <c r="A3145" s="96" t="s">
        <v>61</v>
      </c>
      <c r="B3145" s="96" t="s">
        <v>2950</v>
      </c>
      <c r="C3145" s="96" t="s">
        <v>2998</v>
      </c>
      <c r="D3145" s="94" t="s">
        <v>85</v>
      </c>
      <c r="E3145" s="105" t="s">
        <v>3986</v>
      </c>
      <c r="F3145" s="96" t="s">
        <v>3987</v>
      </c>
      <c r="G3145" s="96" t="s">
        <v>88</v>
      </c>
      <c r="H3145" s="19" t="s">
        <v>4011</v>
      </c>
      <c r="I3145" s="23" t="e">
        <f>VLOOKUP(H3145,'合同综合查询数据（3月返）'!$A:$A,1,FALSE)</f>
        <v>#N/A</v>
      </c>
      <c r="J3145" s="24" t="s">
        <v>90</v>
      </c>
      <c r="K3145" s="96" t="s">
        <v>3989</v>
      </c>
      <c r="L3145" s="114"/>
      <c r="M3145" s="26" t="s">
        <v>4012</v>
      </c>
      <c r="N3145" s="28">
        <v>44609</v>
      </c>
      <c r="O3145" s="311" t="s">
        <v>457</v>
      </c>
      <c r="P3145" s="268">
        <v>4400</v>
      </c>
      <c r="Q3145" s="273">
        <v>1</v>
      </c>
      <c r="R3145" s="268">
        <f t="shared" si="74"/>
        <v>4400</v>
      </c>
      <c r="S3145" s="24">
        <v>202303</v>
      </c>
      <c r="T3145" s="127" t="s">
        <v>4018</v>
      </c>
      <c r="U3145" s="40"/>
      <c r="V3145" s="40"/>
      <c r="W3145" s="40"/>
      <c r="X3145" s="106">
        <v>44774</v>
      </c>
      <c r="Y3145" s="106">
        <v>45260</v>
      </c>
    </row>
    <row r="3146" s="9" customFormat="1" customHeight="1" spans="1:25">
      <c r="A3146" s="96" t="s">
        <v>61</v>
      </c>
      <c r="B3146" s="96" t="s">
        <v>2950</v>
      </c>
      <c r="C3146" s="96" t="s">
        <v>2998</v>
      </c>
      <c r="D3146" s="94" t="s">
        <v>85</v>
      </c>
      <c r="E3146" s="105" t="s">
        <v>3986</v>
      </c>
      <c r="F3146" s="96" t="s">
        <v>3987</v>
      </c>
      <c r="G3146" s="96" t="s">
        <v>88</v>
      </c>
      <c r="H3146" s="19" t="s">
        <v>4011</v>
      </c>
      <c r="I3146" s="23" t="e">
        <f>VLOOKUP(H3146,'合同综合查询数据（3月返）'!$A:$A,1,FALSE)</f>
        <v>#N/A</v>
      </c>
      <c r="J3146" s="24" t="s">
        <v>90</v>
      </c>
      <c r="K3146" s="96" t="s">
        <v>3989</v>
      </c>
      <c r="L3146" s="114"/>
      <c r="M3146" s="26" t="s">
        <v>4012</v>
      </c>
      <c r="N3146" s="28">
        <v>44650</v>
      </c>
      <c r="O3146" s="311" t="s">
        <v>457</v>
      </c>
      <c r="P3146" s="268">
        <v>4400</v>
      </c>
      <c r="Q3146" s="273">
        <v>2</v>
      </c>
      <c r="R3146" s="268">
        <f t="shared" si="74"/>
        <v>8800</v>
      </c>
      <c r="S3146" s="24">
        <v>202303</v>
      </c>
      <c r="T3146" s="127" t="s">
        <v>4019</v>
      </c>
      <c r="U3146" s="40"/>
      <c r="V3146" s="40"/>
      <c r="W3146" s="40"/>
      <c r="X3146" s="106">
        <v>44774</v>
      </c>
      <c r="Y3146" s="106">
        <v>45260</v>
      </c>
    </row>
    <row r="3147" s="9" customFormat="1" customHeight="1" spans="1:25">
      <c r="A3147" s="96" t="s">
        <v>61</v>
      </c>
      <c r="B3147" s="96" t="s">
        <v>2950</v>
      </c>
      <c r="C3147" s="96" t="s">
        <v>2998</v>
      </c>
      <c r="D3147" s="94" t="s">
        <v>85</v>
      </c>
      <c r="E3147" s="105" t="s">
        <v>3986</v>
      </c>
      <c r="F3147" s="96" t="s">
        <v>3987</v>
      </c>
      <c r="G3147" s="96" t="s">
        <v>88</v>
      </c>
      <c r="H3147" s="19" t="s">
        <v>4011</v>
      </c>
      <c r="I3147" s="23" t="e">
        <f>VLOOKUP(H3147,'合同综合查询数据（3月返）'!$A:$A,1,FALSE)</f>
        <v>#N/A</v>
      </c>
      <c r="J3147" s="24" t="s">
        <v>90</v>
      </c>
      <c r="K3147" s="96" t="s">
        <v>3989</v>
      </c>
      <c r="L3147" s="114"/>
      <c r="M3147" s="26" t="s">
        <v>4012</v>
      </c>
      <c r="N3147" s="28">
        <v>44669</v>
      </c>
      <c r="O3147" s="311" t="s">
        <v>457</v>
      </c>
      <c r="P3147" s="268">
        <v>4400</v>
      </c>
      <c r="Q3147" s="273">
        <v>1</v>
      </c>
      <c r="R3147" s="268">
        <f t="shared" si="74"/>
        <v>4400</v>
      </c>
      <c r="S3147" s="24">
        <v>202303</v>
      </c>
      <c r="T3147" s="127" t="s">
        <v>4020</v>
      </c>
      <c r="U3147" s="40"/>
      <c r="V3147" s="40"/>
      <c r="W3147" s="40"/>
      <c r="X3147" s="106">
        <v>44774</v>
      </c>
      <c r="Y3147" s="106">
        <v>45260</v>
      </c>
    </row>
    <row r="3148" s="9" customFormat="1" customHeight="1" spans="1:25">
      <c r="A3148" s="96" t="s">
        <v>61</v>
      </c>
      <c r="B3148" s="96" t="s">
        <v>2950</v>
      </c>
      <c r="C3148" s="96" t="s">
        <v>2998</v>
      </c>
      <c r="D3148" s="94" t="s">
        <v>85</v>
      </c>
      <c r="E3148" s="105" t="s">
        <v>3986</v>
      </c>
      <c r="F3148" s="96" t="s">
        <v>3987</v>
      </c>
      <c r="G3148" s="96" t="s">
        <v>88</v>
      </c>
      <c r="H3148" s="19" t="s">
        <v>4011</v>
      </c>
      <c r="I3148" s="23" t="e">
        <f>VLOOKUP(H3148,'合同综合查询数据（3月返）'!$A:$A,1,FALSE)</f>
        <v>#N/A</v>
      </c>
      <c r="J3148" s="24" t="s">
        <v>90</v>
      </c>
      <c r="K3148" s="96" t="s">
        <v>3989</v>
      </c>
      <c r="L3148" s="114"/>
      <c r="M3148" s="26" t="s">
        <v>4012</v>
      </c>
      <c r="N3148" s="28">
        <v>44673</v>
      </c>
      <c r="O3148" s="311" t="s">
        <v>457</v>
      </c>
      <c r="P3148" s="268">
        <v>4400</v>
      </c>
      <c r="Q3148" s="273">
        <v>6</v>
      </c>
      <c r="R3148" s="268">
        <f t="shared" si="74"/>
        <v>26400</v>
      </c>
      <c r="S3148" s="24">
        <v>202303</v>
      </c>
      <c r="T3148" s="127" t="s">
        <v>4021</v>
      </c>
      <c r="U3148" s="40"/>
      <c r="V3148" s="40"/>
      <c r="W3148" s="40"/>
      <c r="X3148" s="106">
        <v>44774</v>
      </c>
      <c r="Y3148" s="106">
        <v>45260</v>
      </c>
    </row>
    <row r="3149" s="9" customFormat="1" customHeight="1" spans="1:25">
      <c r="A3149" s="96" t="s">
        <v>61</v>
      </c>
      <c r="B3149" s="96" t="s">
        <v>2950</v>
      </c>
      <c r="C3149" s="96" t="s">
        <v>2998</v>
      </c>
      <c r="D3149" s="94" t="s">
        <v>85</v>
      </c>
      <c r="E3149" s="105" t="s">
        <v>3986</v>
      </c>
      <c r="F3149" s="96" t="s">
        <v>3987</v>
      </c>
      <c r="G3149" s="96" t="s">
        <v>88</v>
      </c>
      <c r="H3149" s="19" t="s">
        <v>4011</v>
      </c>
      <c r="I3149" s="23" t="e">
        <f>VLOOKUP(H3149,'合同综合查询数据（3月返）'!$A:$A,1,FALSE)</f>
        <v>#N/A</v>
      </c>
      <c r="J3149" s="24" t="s">
        <v>90</v>
      </c>
      <c r="K3149" s="96" t="s">
        <v>3989</v>
      </c>
      <c r="L3149" s="114"/>
      <c r="M3149" s="26" t="s">
        <v>4012</v>
      </c>
      <c r="N3149" s="28">
        <v>44687</v>
      </c>
      <c r="O3149" s="311" t="s">
        <v>457</v>
      </c>
      <c r="P3149" s="268">
        <v>4400</v>
      </c>
      <c r="Q3149" s="273">
        <v>1</v>
      </c>
      <c r="R3149" s="268">
        <f t="shared" si="74"/>
        <v>4400</v>
      </c>
      <c r="S3149" s="24">
        <v>202303</v>
      </c>
      <c r="T3149" s="127" t="s">
        <v>4022</v>
      </c>
      <c r="U3149" s="40"/>
      <c r="V3149" s="40"/>
      <c r="W3149" s="40"/>
      <c r="X3149" s="106">
        <v>44774</v>
      </c>
      <c r="Y3149" s="106">
        <v>45260</v>
      </c>
    </row>
    <row r="3150" s="9" customFormat="1" customHeight="1" spans="1:25">
      <c r="A3150" s="96" t="s">
        <v>61</v>
      </c>
      <c r="B3150" s="96" t="s">
        <v>2950</v>
      </c>
      <c r="C3150" s="96" t="s">
        <v>2998</v>
      </c>
      <c r="D3150" s="94" t="s">
        <v>85</v>
      </c>
      <c r="E3150" s="105" t="s">
        <v>3986</v>
      </c>
      <c r="F3150" s="96" t="s">
        <v>3987</v>
      </c>
      <c r="G3150" s="96" t="s">
        <v>88</v>
      </c>
      <c r="H3150" s="19" t="s">
        <v>4011</v>
      </c>
      <c r="I3150" s="23" t="e">
        <f>VLOOKUP(H3150,'合同综合查询数据（3月返）'!$A:$A,1,FALSE)</f>
        <v>#N/A</v>
      </c>
      <c r="J3150" s="24" t="s">
        <v>90</v>
      </c>
      <c r="K3150" s="96" t="s">
        <v>3989</v>
      </c>
      <c r="L3150" s="114"/>
      <c r="M3150" s="26" t="s">
        <v>4012</v>
      </c>
      <c r="N3150" s="28">
        <v>44704</v>
      </c>
      <c r="O3150" s="311" t="s">
        <v>457</v>
      </c>
      <c r="P3150" s="268">
        <v>4400</v>
      </c>
      <c r="Q3150" s="273">
        <v>1</v>
      </c>
      <c r="R3150" s="268">
        <f t="shared" si="74"/>
        <v>4400</v>
      </c>
      <c r="S3150" s="24">
        <v>202303</v>
      </c>
      <c r="T3150" s="97" t="s">
        <v>4023</v>
      </c>
      <c r="U3150" s="40"/>
      <c r="V3150" s="40"/>
      <c r="W3150" s="40"/>
      <c r="X3150" s="106">
        <v>44774</v>
      </c>
      <c r="Y3150" s="106">
        <v>45260</v>
      </c>
    </row>
    <row r="3151" s="9" customFormat="1" customHeight="1" spans="1:25">
      <c r="A3151" s="96" t="s">
        <v>61</v>
      </c>
      <c r="B3151" s="96" t="s">
        <v>2950</v>
      </c>
      <c r="C3151" s="96" t="s">
        <v>2998</v>
      </c>
      <c r="D3151" s="94" t="s">
        <v>85</v>
      </c>
      <c r="E3151" s="105" t="s">
        <v>3986</v>
      </c>
      <c r="F3151" s="96" t="s">
        <v>3987</v>
      </c>
      <c r="G3151" s="96" t="s">
        <v>88</v>
      </c>
      <c r="H3151" s="19" t="s">
        <v>4011</v>
      </c>
      <c r="I3151" s="23" t="e">
        <f>VLOOKUP(H3151,'合同综合查询数据（3月返）'!$A:$A,1,FALSE)</f>
        <v>#N/A</v>
      </c>
      <c r="J3151" s="24" t="s">
        <v>90</v>
      </c>
      <c r="K3151" s="96" t="s">
        <v>3989</v>
      </c>
      <c r="L3151" s="114"/>
      <c r="M3151" s="26" t="s">
        <v>4012</v>
      </c>
      <c r="N3151" s="28">
        <v>44722</v>
      </c>
      <c r="O3151" s="311" t="s">
        <v>457</v>
      </c>
      <c r="P3151" s="268">
        <v>4400</v>
      </c>
      <c r="Q3151" s="273">
        <v>2</v>
      </c>
      <c r="R3151" s="268">
        <f t="shared" si="74"/>
        <v>8800</v>
      </c>
      <c r="S3151" s="24">
        <v>202303</v>
      </c>
      <c r="T3151" s="97" t="s">
        <v>4024</v>
      </c>
      <c r="U3151" s="40"/>
      <c r="V3151" s="40"/>
      <c r="W3151" s="40"/>
      <c r="X3151" s="106">
        <v>44774</v>
      </c>
      <c r="Y3151" s="106">
        <v>45260</v>
      </c>
    </row>
    <row r="3152" s="9" customFormat="1" customHeight="1" spans="1:25">
      <c r="A3152" s="96" t="s">
        <v>61</v>
      </c>
      <c r="B3152" s="96" t="s">
        <v>2950</v>
      </c>
      <c r="C3152" s="96" t="s">
        <v>2998</v>
      </c>
      <c r="D3152" s="94" t="s">
        <v>85</v>
      </c>
      <c r="E3152" s="105" t="s">
        <v>3986</v>
      </c>
      <c r="F3152" s="96" t="s">
        <v>3987</v>
      </c>
      <c r="G3152" s="96" t="s">
        <v>88</v>
      </c>
      <c r="H3152" s="19" t="s">
        <v>4011</v>
      </c>
      <c r="I3152" s="23" t="e">
        <f>VLOOKUP(H3152,'合同综合查询数据（3月返）'!$A:$A,1,FALSE)</f>
        <v>#N/A</v>
      </c>
      <c r="J3152" s="24" t="s">
        <v>90</v>
      </c>
      <c r="K3152" s="96" t="s">
        <v>3989</v>
      </c>
      <c r="L3152" s="114"/>
      <c r="M3152" s="26" t="s">
        <v>4012</v>
      </c>
      <c r="N3152" s="28">
        <v>44774</v>
      </c>
      <c r="O3152" s="311" t="s">
        <v>127</v>
      </c>
      <c r="P3152" s="268">
        <v>4200</v>
      </c>
      <c r="Q3152" s="273">
        <v>5</v>
      </c>
      <c r="R3152" s="268">
        <f t="shared" si="74"/>
        <v>21000</v>
      </c>
      <c r="S3152" s="24">
        <v>202303</v>
      </c>
      <c r="T3152" s="97" t="s">
        <v>4025</v>
      </c>
      <c r="U3152" s="40"/>
      <c r="V3152" s="40"/>
      <c r="W3152" s="40"/>
      <c r="X3152" s="106">
        <v>44774</v>
      </c>
      <c r="Y3152" s="106">
        <v>45260</v>
      </c>
    </row>
    <row r="3153" s="9" customFormat="1" customHeight="1" spans="1:25">
      <c r="A3153" s="96" t="s">
        <v>61</v>
      </c>
      <c r="B3153" s="96" t="s">
        <v>2950</v>
      </c>
      <c r="C3153" s="96" t="s">
        <v>2998</v>
      </c>
      <c r="D3153" s="94" t="s">
        <v>85</v>
      </c>
      <c r="E3153" s="105" t="s">
        <v>3986</v>
      </c>
      <c r="F3153" s="96" t="s">
        <v>3987</v>
      </c>
      <c r="G3153" s="96" t="s">
        <v>88</v>
      </c>
      <c r="H3153" s="19" t="s">
        <v>4011</v>
      </c>
      <c r="I3153" s="23" t="e">
        <f>VLOOKUP(H3153,'合同综合查询数据（3月返）'!$A:$A,1,FALSE)</f>
        <v>#N/A</v>
      </c>
      <c r="J3153" s="24" t="s">
        <v>90</v>
      </c>
      <c r="K3153" s="96" t="s">
        <v>3989</v>
      </c>
      <c r="L3153" s="114"/>
      <c r="M3153" s="26" t="s">
        <v>4012</v>
      </c>
      <c r="N3153" s="28">
        <v>44827</v>
      </c>
      <c r="O3153" s="311" t="s">
        <v>457</v>
      </c>
      <c r="P3153" s="268">
        <v>4400</v>
      </c>
      <c r="Q3153" s="273">
        <v>3</v>
      </c>
      <c r="R3153" s="268">
        <f t="shared" si="74"/>
        <v>13200</v>
      </c>
      <c r="S3153" s="24">
        <v>202303</v>
      </c>
      <c r="T3153" s="97" t="s">
        <v>4026</v>
      </c>
      <c r="U3153" s="40"/>
      <c r="V3153" s="40"/>
      <c r="W3153" s="40"/>
      <c r="X3153" s="106">
        <v>44774</v>
      </c>
      <c r="Y3153" s="106">
        <v>45260</v>
      </c>
    </row>
    <row r="3154" s="9" customFormat="1" customHeight="1" spans="1:25">
      <c r="A3154" s="96" t="s">
        <v>61</v>
      </c>
      <c r="B3154" s="96" t="s">
        <v>2950</v>
      </c>
      <c r="C3154" s="96" t="s">
        <v>2998</v>
      </c>
      <c r="D3154" s="94" t="s">
        <v>85</v>
      </c>
      <c r="E3154" s="105" t="s">
        <v>3986</v>
      </c>
      <c r="F3154" s="96" t="s">
        <v>3987</v>
      </c>
      <c r="G3154" s="96" t="s">
        <v>88</v>
      </c>
      <c r="H3154" s="19" t="s">
        <v>4011</v>
      </c>
      <c r="I3154" s="23" t="e">
        <f>VLOOKUP(H3154,'合同综合查询数据（3月返）'!$A:$A,1,FALSE)</f>
        <v>#N/A</v>
      </c>
      <c r="J3154" s="24" t="s">
        <v>90</v>
      </c>
      <c r="K3154" s="96" t="s">
        <v>3989</v>
      </c>
      <c r="L3154" s="114"/>
      <c r="M3154" s="26" t="s">
        <v>4012</v>
      </c>
      <c r="N3154" s="28">
        <v>44831</v>
      </c>
      <c r="O3154" s="311" t="s">
        <v>457</v>
      </c>
      <c r="P3154" s="268">
        <v>4400</v>
      </c>
      <c r="Q3154" s="273">
        <v>4</v>
      </c>
      <c r="R3154" s="268">
        <f t="shared" si="74"/>
        <v>17600</v>
      </c>
      <c r="S3154" s="24">
        <v>202303</v>
      </c>
      <c r="T3154" s="97" t="s">
        <v>4027</v>
      </c>
      <c r="U3154" s="40"/>
      <c r="V3154" s="40"/>
      <c r="W3154" s="40"/>
      <c r="X3154" s="106">
        <v>44774</v>
      </c>
      <c r="Y3154" s="106">
        <v>45260</v>
      </c>
    </row>
    <row r="3155" s="9" customFormat="1" customHeight="1" spans="1:25">
      <c r="A3155" s="96" t="s">
        <v>61</v>
      </c>
      <c r="B3155" s="96" t="s">
        <v>2950</v>
      </c>
      <c r="C3155" s="96" t="s">
        <v>2998</v>
      </c>
      <c r="D3155" s="94" t="s">
        <v>85</v>
      </c>
      <c r="E3155" s="105" t="s">
        <v>3986</v>
      </c>
      <c r="F3155" s="96" t="s">
        <v>3987</v>
      </c>
      <c r="G3155" s="96" t="s">
        <v>88</v>
      </c>
      <c r="H3155" s="19" t="s">
        <v>4011</v>
      </c>
      <c r="I3155" s="23" t="e">
        <f>VLOOKUP(H3155,'合同综合查询数据（3月返）'!$A:$A,1,FALSE)</f>
        <v>#N/A</v>
      </c>
      <c r="J3155" s="24" t="s">
        <v>90</v>
      </c>
      <c r="K3155" s="96" t="s">
        <v>3989</v>
      </c>
      <c r="L3155" s="114"/>
      <c r="M3155" s="26" t="s">
        <v>4012</v>
      </c>
      <c r="N3155" s="28">
        <v>44894</v>
      </c>
      <c r="O3155" s="311" t="s">
        <v>457</v>
      </c>
      <c r="P3155" s="268">
        <v>4400</v>
      </c>
      <c r="Q3155" s="273">
        <v>16</v>
      </c>
      <c r="R3155" s="268">
        <f t="shared" si="74"/>
        <v>70400</v>
      </c>
      <c r="S3155" s="24">
        <v>202303</v>
      </c>
      <c r="T3155" s="97" t="s">
        <v>4028</v>
      </c>
      <c r="U3155" s="40"/>
      <c r="V3155" s="40"/>
      <c r="W3155" s="40"/>
      <c r="X3155" s="106">
        <v>44774</v>
      </c>
      <c r="Y3155" s="106">
        <v>45260</v>
      </c>
    </row>
    <row r="3156" s="9" customFormat="1" customHeight="1" spans="1:25">
      <c r="A3156" s="96" t="s">
        <v>61</v>
      </c>
      <c r="B3156" s="96" t="s">
        <v>2950</v>
      </c>
      <c r="C3156" s="96" t="s">
        <v>2998</v>
      </c>
      <c r="D3156" s="94" t="s">
        <v>85</v>
      </c>
      <c r="E3156" s="105" t="s">
        <v>3986</v>
      </c>
      <c r="F3156" s="96" t="s">
        <v>3987</v>
      </c>
      <c r="G3156" s="96" t="s">
        <v>88</v>
      </c>
      <c r="H3156" s="19" t="s">
        <v>4011</v>
      </c>
      <c r="I3156" s="23" t="e">
        <f>VLOOKUP(H3156,'合同综合查询数据（3月返）'!$A:$A,1,FALSE)</f>
        <v>#N/A</v>
      </c>
      <c r="J3156" s="24" t="s">
        <v>90</v>
      </c>
      <c r="K3156" s="96" t="s">
        <v>3989</v>
      </c>
      <c r="L3156" s="114"/>
      <c r="M3156" s="26" t="s">
        <v>4012</v>
      </c>
      <c r="N3156" s="28">
        <v>44909</v>
      </c>
      <c r="O3156" s="311" t="s">
        <v>457</v>
      </c>
      <c r="P3156" s="268">
        <v>4400</v>
      </c>
      <c r="Q3156" s="273">
        <v>3</v>
      </c>
      <c r="R3156" s="268">
        <f t="shared" si="74"/>
        <v>13200</v>
      </c>
      <c r="S3156" s="24">
        <v>202303</v>
      </c>
      <c r="T3156" s="97" t="s">
        <v>4029</v>
      </c>
      <c r="U3156" s="40"/>
      <c r="V3156" s="40"/>
      <c r="W3156" s="40"/>
      <c r="X3156" s="106">
        <v>44774</v>
      </c>
      <c r="Y3156" s="106">
        <v>45260</v>
      </c>
    </row>
    <row r="3157" s="9" customFormat="1" customHeight="1" spans="1:25">
      <c r="A3157" s="96" t="s">
        <v>61</v>
      </c>
      <c r="B3157" s="96" t="s">
        <v>2950</v>
      </c>
      <c r="C3157" s="96" t="s">
        <v>2998</v>
      </c>
      <c r="D3157" s="94" t="s">
        <v>85</v>
      </c>
      <c r="E3157" s="105" t="s">
        <v>3986</v>
      </c>
      <c r="F3157" s="96" t="s">
        <v>3987</v>
      </c>
      <c r="G3157" s="96" t="s">
        <v>88</v>
      </c>
      <c r="H3157" s="300" t="s">
        <v>4011</v>
      </c>
      <c r="I3157" s="23" t="e">
        <f>VLOOKUP(H3157,'合同综合查询数据（3月返）'!$A:$A,1,FALSE)</f>
        <v>#N/A</v>
      </c>
      <c r="J3157" s="24" t="s">
        <v>90</v>
      </c>
      <c r="K3157" s="96" t="s">
        <v>3989</v>
      </c>
      <c r="L3157" s="114"/>
      <c r="M3157" s="26" t="s">
        <v>4012</v>
      </c>
      <c r="N3157" s="28">
        <v>44925</v>
      </c>
      <c r="O3157" s="311" t="s">
        <v>457</v>
      </c>
      <c r="P3157" s="268">
        <v>4400</v>
      </c>
      <c r="Q3157" s="273">
        <v>2</v>
      </c>
      <c r="R3157" s="268">
        <f t="shared" si="74"/>
        <v>8800</v>
      </c>
      <c r="S3157" s="24">
        <v>202303</v>
      </c>
      <c r="T3157" s="97" t="s">
        <v>4030</v>
      </c>
      <c r="U3157" s="40"/>
      <c r="V3157" s="40"/>
      <c r="W3157" s="40"/>
      <c r="X3157" s="106">
        <v>44774</v>
      </c>
      <c r="Y3157" s="106">
        <v>45260</v>
      </c>
    </row>
    <row r="3158" s="9" customFormat="1" customHeight="1" spans="1:25">
      <c r="A3158" s="96" t="s">
        <v>61</v>
      </c>
      <c r="B3158" s="96" t="s">
        <v>2950</v>
      </c>
      <c r="C3158" s="96" t="s">
        <v>2998</v>
      </c>
      <c r="D3158" s="94" t="s">
        <v>85</v>
      </c>
      <c r="E3158" s="105" t="s">
        <v>3986</v>
      </c>
      <c r="F3158" s="96" t="s">
        <v>3987</v>
      </c>
      <c r="G3158" s="96" t="s">
        <v>88</v>
      </c>
      <c r="H3158" s="300" t="s">
        <v>4011</v>
      </c>
      <c r="I3158" s="23" t="e">
        <f>VLOOKUP(H3158,'合同综合查询数据（3月返）'!$A:$A,1,FALSE)</f>
        <v>#N/A</v>
      </c>
      <c r="J3158" s="24" t="s">
        <v>90</v>
      </c>
      <c r="K3158" s="96" t="s">
        <v>3989</v>
      </c>
      <c r="L3158" s="114"/>
      <c r="M3158" s="26" t="s">
        <v>4012</v>
      </c>
      <c r="N3158" s="28">
        <v>44999</v>
      </c>
      <c r="O3158" s="311" t="s">
        <v>457</v>
      </c>
      <c r="P3158" s="268">
        <v>4400</v>
      </c>
      <c r="Q3158" s="273">
        <v>3</v>
      </c>
      <c r="R3158" s="268">
        <f>ROUND(P3158*Q3158*18/31,2)</f>
        <v>7664.52</v>
      </c>
      <c r="S3158" s="24">
        <v>202303</v>
      </c>
      <c r="T3158" s="318" t="s">
        <v>4031</v>
      </c>
      <c r="U3158" s="40"/>
      <c r="V3158" s="40"/>
      <c r="W3158" s="40"/>
      <c r="X3158" s="106">
        <v>44774</v>
      </c>
      <c r="Y3158" s="106">
        <v>45260</v>
      </c>
    </row>
    <row r="3159" s="9" customFormat="1" customHeight="1" spans="1:25">
      <c r="A3159" s="96" t="s">
        <v>61</v>
      </c>
      <c r="B3159" s="96" t="s">
        <v>2950</v>
      </c>
      <c r="C3159" s="96" t="s">
        <v>2998</v>
      </c>
      <c r="D3159" s="94" t="s">
        <v>85</v>
      </c>
      <c r="E3159" s="105" t="s">
        <v>3986</v>
      </c>
      <c r="F3159" s="96" t="s">
        <v>3987</v>
      </c>
      <c r="G3159" s="96" t="s">
        <v>88</v>
      </c>
      <c r="H3159" s="300" t="s">
        <v>4011</v>
      </c>
      <c r="I3159" s="23" t="e">
        <f>VLOOKUP(H3159,'合同综合查询数据（3月返）'!$A:$A,1,FALSE)</f>
        <v>#N/A</v>
      </c>
      <c r="J3159" s="24" t="s">
        <v>90</v>
      </c>
      <c r="K3159" s="96" t="s">
        <v>3989</v>
      </c>
      <c r="L3159" s="114"/>
      <c r="M3159" s="26" t="s">
        <v>4012</v>
      </c>
      <c r="N3159" s="28">
        <v>45007</v>
      </c>
      <c r="O3159" s="311" t="s">
        <v>457</v>
      </c>
      <c r="P3159" s="268">
        <v>4400</v>
      </c>
      <c r="Q3159" s="273">
        <v>3</v>
      </c>
      <c r="R3159" s="268">
        <f>ROUND(P3159*Q3159*10/31,2)</f>
        <v>4258.06</v>
      </c>
      <c r="S3159" s="24">
        <v>202303</v>
      </c>
      <c r="T3159" s="318" t="s">
        <v>4032</v>
      </c>
      <c r="U3159" s="40"/>
      <c r="V3159" s="40"/>
      <c r="W3159" s="40"/>
      <c r="X3159" s="106">
        <v>44774</v>
      </c>
      <c r="Y3159" s="106">
        <v>45260</v>
      </c>
    </row>
    <row r="3160" s="9" customFormat="1" customHeight="1" spans="1:25">
      <c r="A3160" s="96" t="s">
        <v>61</v>
      </c>
      <c r="B3160" s="96" t="s">
        <v>2950</v>
      </c>
      <c r="C3160" s="96" t="s">
        <v>2998</v>
      </c>
      <c r="D3160" s="94" t="s">
        <v>85</v>
      </c>
      <c r="E3160" s="105" t="s">
        <v>3986</v>
      </c>
      <c r="F3160" s="96" t="s">
        <v>3987</v>
      </c>
      <c r="G3160" s="96" t="s">
        <v>88</v>
      </c>
      <c r="H3160" s="300" t="s">
        <v>4011</v>
      </c>
      <c r="I3160" s="23" t="e">
        <f>VLOOKUP(H3160,'合同综合查询数据（3月返）'!$A:$A,1,FALSE)</f>
        <v>#N/A</v>
      </c>
      <c r="J3160" s="24" t="s">
        <v>90</v>
      </c>
      <c r="K3160" s="96" t="s">
        <v>3989</v>
      </c>
      <c r="L3160" s="114"/>
      <c r="M3160" s="26" t="s">
        <v>4012</v>
      </c>
      <c r="N3160" s="28">
        <v>45009</v>
      </c>
      <c r="O3160" s="311" t="s">
        <v>457</v>
      </c>
      <c r="P3160" s="268">
        <v>4400</v>
      </c>
      <c r="Q3160" s="273">
        <v>3</v>
      </c>
      <c r="R3160" s="268">
        <f>ROUND(P3160*Q3160*8/31,2)</f>
        <v>3406.45</v>
      </c>
      <c r="S3160" s="24">
        <v>202303</v>
      </c>
      <c r="T3160" s="318" t="s">
        <v>4033</v>
      </c>
      <c r="U3160" s="40"/>
      <c r="V3160" s="40"/>
      <c r="W3160" s="40"/>
      <c r="X3160" s="106">
        <v>44774</v>
      </c>
      <c r="Y3160" s="106">
        <v>45260</v>
      </c>
    </row>
    <row r="3161" s="9" customFormat="1" customHeight="1" spans="1:25">
      <c r="A3161" s="96" t="s">
        <v>61</v>
      </c>
      <c r="B3161" s="96" t="s">
        <v>2950</v>
      </c>
      <c r="C3161" s="96" t="s">
        <v>2998</v>
      </c>
      <c r="D3161" s="94" t="s">
        <v>85</v>
      </c>
      <c r="E3161" s="105" t="s">
        <v>4034</v>
      </c>
      <c r="F3161" s="96" t="s">
        <v>4035</v>
      </c>
      <c r="G3161" s="96" t="s">
        <v>88</v>
      </c>
      <c r="H3161" s="19" t="s">
        <v>4036</v>
      </c>
      <c r="I3161" s="23" t="e">
        <f>VLOOKUP(H3161,'合同综合查询数据（3月返）'!$A:$A,1,FALSE)</f>
        <v>#N/A</v>
      </c>
      <c r="J3161" s="24" t="s">
        <v>90</v>
      </c>
      <c r="K3161" s="96" t="s">
        <v>4037</v>
      </c>
      <c r="L3161" s="114"/>
      <c r="M3161" s="26" t="s">
        <v>3568</v>
      </c>
      <c r="N3161" s="28">
        <v>44418</v>
      </c>
      <c r="O3161" s="311" t="s">
        <v>457</v>
      </c>
      <c r="P3161" s="268">
        <v>5400</v>
      </c>
      <c r="Q3161" s="273">
        <v>22</v>
      </c>
      <c r="R3161" s="268">
        <f t="shared" ref="R3161:R3224" si="75">ROUND(P3161*Q3161,2)</f>
        <v>118800</v>
      </c>
      <c r="S3161" s="24">
        <v>202303</v>
      </c>
      <c r="T3161" s="127" t="s">
        <v>4038</v>
      </c>
      <c r="U3161" s="40"/>
      <c r="V3161" s="40"/>
      <c r="W3161" s="40"/>
      <c r="X3161" s="28">
        <v>44378</v>
      </c>
      <c r="Y3161" s="28">
        <v>45473</v>
      </c>
    </row>
    <row r="3162" s="9" customFormat="1" customHeight="1" spans="1:25">
      <c r="A3162" s="96" t="s">
        <v>61</v>
      </c>
      <c r="B3162" s="96" t="s">
        <v>2950</v>
      </c>
      <c r="C3162" s="96" t="s">
        <v>2998</v>
      </c>
      <c r="D3162" s="94" t="s">
        <v>85</v>
      </c>
      <c r="E3162" s="105" t="s">
        <v>4034</v>
      </c>
      <c r="F3162" s="96" t="s">
        <v>4035</v>
      </c>
      <c r="G3162" s="96" t="s">
        <v>88</v>
      </c>
      <c r="H3162" s="19" t="s">
        <v>4036</v>
      </c>
      <c r="I3162" s="23" t="e">
        <f>VLOOKUP(H3162,'合同综合查询数据（3月返）'!$A:$A,1,FALSE)</f>
        <v>#N/A</v>
      </c>
      <c r="J3162" s="24" t="s">
        <v>90</v>
      </c>
      <c r="K3162" s="96" t="s">
        <v>4037</v>
      </c>
      <c r="L3162" s="114"/>
      <c r="M3162" s="26" t="s">
        <v>3568</v>
      </c>
      <c r="N3162" s="28">
        <v>44418</v>
      </c>
      <c r="O3162" s="311" t="s">
        <v>574</v>
      </c>
      <c r="P3162" s="268">
        <v>18068</v>
      </c>
      <c r="Q3162" s="273">
        <v>12</v>
      </c>
      <c r="R3162" s="268">
        <f t="shared" si="75"/>
        <v>216816</v>
      </c>
      <c r="S3162" s="24">
        <v>202303</v>
      </c>
      <c r="T3162" s="127" t="s">
        <v>4039</v>
      </c>
      <c r="U3162" s="40"/>
      <c r="V3162" s="40"/>
      <c r="W3162" s="40"/>
      <c r="X3162" s="28">
        <v>44378</v>
      </c>
      <c r="Y3162" s="28">
        <v>45473</v>
      </c>
    </row>
    <row r="3163" s="9" customFormat="1" customHeight="1" spans="1:25">
      <c r="A3163" s="96" t="s">
        <v>61</v>
      </c>
      <c r="B3163" s="96" t="s">
        <v>2950</v>
      </c>
      <c r="C3163" s="96" t="s">
        <v>2998</v>
      </c>
      <c r="D3163" s="94" t="s">
        <v>85</v>
      </c>
      <c r="E3163" s="105" t="s">
        <v>4034</v>
      </c>
      <c r="F3163" s="96" t="s">
        <v>4035</v>
      </c>
      <c r="G3163" s="96" t="s">
        <v>88</v>
      </c>
      <c r="H3163" s="19" t="s">
        <v>4036</v>
      </c>
      <c r="I3163" s="23" t="e">
        <f>VLOOKUP(H3163,'合同综合查询数据（3月返）'!$A:$A,1,FALSE)</f>
        <v>#N/A</v>
      </c>
      <c r="J3163" s="24" t="s">
        <v>90</v>
      </c>
      <c r="K3163" s="96" t="s">
        <v>4037</v>
      </c>
      <c r="L3163" s="114"/>
      <c r="M3163" s="26" t="s">
        <v>3568</v>
      </c>
      <c r="N3163" s="28">
        <v>44425</v>
      </c>
      <c r="O3163" s="311" t="s">
        <v>457</v>
      </c>
      <c r="P3163" s="268">
        <v>5400</v>
      </c>
      <c r="Q3163" s="273">
        <v>43</v>
      </c>
      <c r="R3163" s="268">
        <f t="shared" si="75"/>
        <v>232200</v>
      </c>
      <c r="S3163" s="24">
        <v>202303</v>
      </c>
      <c r="T3163" s="127" t="s">
        <v>4040</v>
      </c>
      <c r="U3163" s="40"/>
      <c r="V3163" s="40"/>
      <c r="W3163" s="40"/>
      <c r="X3163" s="28">
        <v>44378</v>
      </c>
      <c r="Y3163" s="28">
        <v>45473</v>
      </c>
    </row>
    <row r="3164" s="9" customFormat="1" customHeight="1" spans="1:25">
      <c r="A3164" s="96" t="s">
        <v>61</v>
      </c>
      <c r="B3164" s="96" t="s">
        <v>2950</v>
      </c>
      <c r="C3164" s="96" t="s">
        <v>2998</v>
      </c>
      <c r="D3164" s="94" t="s">
        <v>85</v>
      </c>
      <c r="E3164" s="105" t="s">
        <v>4034</v>
      </c>
      <c r="F3164" s="96" t="s">
        <v>4035</v>
      </c>
      <c r="G3164" s="96" t="s">
        <v>88</v>
      </c>
      <c r="H3164" s="19" t="s">
        <v>4036</v>
      </c>
      <c r="I3164" s="23" t="e">
        <f>VLOOKUP(H3164,'合同综合查询数据（3月返）'!$A:$A,1,FALSE)</f>
        <v>#N/A</v>
      </c>
      <c r="J3164" s="24" t="s">
        <v>90</v>
      </c>
      <c r="K3164" s="96" t="s">
        <v>4037</v>
      </c>
      <c r="L3164" s="114"/>
      <c r="M3164" s="26" t="s">
        <v>3568</v>
      </c>
      <c r="N3164" s="28">
        <v>44431</v>
      </c>
      <c r="O3164" s="311" t="s">
        <v>457</v>
      </c>
      <c r="P3164" s="268">
        <v>5400</v>
      </c>
      <c r="Q3164" s="273">
        <v>3</v>
      </c>
      <c r="R3164" s="268">
        <f t="shared" si="75"/>
        <v>16200</v>
      </c>
      <c r="S3164" s="24">
        <v>202303</v>
      </c>
      <c r="T3164" s="127" t="s">
        <v>4041</v>
      </c>
      <c r="U3164" s="40"/>
      <c r="V3164" s="40"/>
      <c r="W3164" s="40"/>
      <c r="X3164" s="28">
        <v>44378</v>
      </c>
      <c r="Y3164" s="28">
        <v>45473</v>
      </c>
    </row>
    <row r="3165" s="9" customFormat="1" customHeight="1" spans="1:25">
      <c r="A3165" s="96" t="s">
        <v>61</v>
      </c>
      <c r="B3165" s="96" t="s">
        <v>2950</v>
      </c>
      <c r="C3165" s="96" t="s">
        <v>2998</v>
      </c>
      <c r="D3165" s="94" t="s">
        <v>85</v>
      </c>
      <c r="E3165" s="105" t="s">
        <v>4034</v>
      </c>
      <c r="F3165" s="96" t="s">
        <v>4035</v>
      </c>
      <c r="G3165" s="96" t="s">
        <v>88</v>
      </c>
      <c r="H3165" s="19" t="s">
        <v>4036</v>
      </c>
      <c r="I3165" s="23" t="e">
        <f>VLOOKUP(H3165,'合同综合查询数据（3月返）'!$A:$A,1,FALSE)</f>
        <v>#N/A</v>
      </c>
      <c r="J3165" s="24" t="s">
        <v>90</v>
      </c>
      <c r="K3165" s="96" t="s">
        <v>4037</v>
      </c>
      <c r="L3165" s="114"/>
      <c r="M3165" s="26" t="s">
        <v>3568</v>
      </c>
      <c r="N3165" s="106">
        <v>44434</v>
      </c>
      <c r="O3165" s="311" t="s">
        <v>457</v>
      </c>
      <c r="P3165" s="268">
        <v>5400</v>
      </c>
      <c r="Q3165" s="273">
        <v>4</v>
      </c>
      <c r="R3165" s="268">
        <f t="shared" si="75"/>
        <v>21600</v>
      </c>
      <c r="S3165" s="24">
        <v>202303</v>
      </c>
      <c r="T3165" s="127" t="s">
        <v>4042</v>
      </c>
      <c r="U3165" s="40"/>
      <c r="V3165" s="40"/>
      <c r="W3165" s="40"/>
      <c r="X3165" s="28">
        <v>44378</v>
      </c>
      <c r="Y3165" s="28">
        <v>45473</v>
      </c>
    </row>
    <row r="3166" s="9" customFormat="1" customHeight="1" spans="1:25">
      <c r="A3166" s="96" t="s">
        <v>61</v>
      </c>
      <c r="B3166" s="96" t="s">
        <v>2950</v>
      </c>
      <c r="C3166" s="96" t="s">
        <v>2998</v>
      </c>
      <c r="D3166" s="94" t="s">
        <v>85</v>
      </c>
      <c r="E3166" s="105" t="s">
        <v>4034</v>
      </c>
      <c r="F3166" s="96" t="s">
        <v>4035</v>
      </c>
      <c r="G3166" s="96" t="s">
        <v>88</v>
      </c>
      <c r="H3166" s="19" t="s">
        <v>4036</v>
      </c>
      <c r="I3166" s="23" t="e">
        <f>VLOOKUP(H3166,'合同综合查询数据（3月返）'!$A:$A,1,FALSE)</f>
        <v>#N/A</v>
      </c>
      <c r="J3166" s="24" t="s">
        <v>90</v>
      </c>
      <c r="K3166" s="96" t="s">
        <v>4037</v>
      </c>
      <c r="L3166" s="114"/>
      <c r="M3166" s="26" t="s">
        <v>3568</v>
      </c>
      <c r="N3166" s="106">
        <v>44435</v>
      </c>
      <c r="O3166" s="311" t="s">
        <v>457</v>
      </c>
      <c r="P3166" s="268">
        <v>5400</v>
      </c>
      <c r="Q3166" s="273">
        <v>14</v>
      </c>
      <c r="R3166" s="268">
        <f t="shared" si="75"/>
        <v>75600</v>
      </c>
      <c r="S3166" s="24">
        <v>202303</v>
      </c>
      <c r="T3166" s="127" t="s">
        <v>4043</v>
      </c>
      <c r="U3166" s="40"/>
      <c r="V3166" s="40"/>
      <c r="W3166" s="40"/>
      <c r="X3166" s="28">
        <v>44378</v>
      </c>
      <c r="Y3166" s="28">
        <v>45473</v>
      </c>
    </row>
    <row r="3167" s="9" customFormat="1" customHeight="1" spans="1:25">
      <c r="A3167" s="96" t="s">
        <v>61</v>
      </c>
      <c r="B3167" s="96" t="s">
        <v>2950</v>
      </c>
      <c r="C3167" s="96" t="s">
        <v>2998</v>
      </c>
      <c r="D3167" s="94" t="s">
        <v>85</v>
      </c>
      <c r="E3167" s="105" t="s">
        <v>4034</v>
      </c>
      <c r="F3167" s="96" t="s">
        <v>4035</v>
      </c>
      <c r="G3167" s="96" t="s">
        <v>88</v>
      </c>
      <c r="H3167" s="19" t="s">
        <v>4036</v>
      </c>
      <c r="I3167" s="23" t="e">
        <f>VLOOKUP(H3167,'合同综合查询数据（3月返）'!$A:$A,1,FALSE)</f>
        <v>#N/A</v>
      </c>
      <c r="J3167" s="24" t="s">
        <v>90</v>
      </c>
      <c r="K3167" s="96" t="s">
        <v>4037</v>
      </c>
      <c r="L3167" s="114"/>
      <c r="M3167" s="26" t="s">
        <v>3568</v>
      </c>
      <c r="N3167" s="106">
        <v>44438</v>
      </c>
      <c r="O3167" s="311" t="s">
        <v>457</v>
      </c>
      <c r="P3167" s="268">
        <v>5400</v>
      </c>
      <c r="Q3167" s="273">
        <v>5</v>
      </c>
      <c r="R3167" s="268">
        <f t="shared" si="75"/>
        <v>27000</v>
      </c>
      <c r="S3167" s="24">
        <v>202303</v>
      </c>
      <c r="T3167" s="127" t="s">
        <v>4044</v>
      </c>
      <c r="U3167" s="40"/>
      <c r="V3167" s="40"/>
      <c r="W3167" s="40"/>
      <c r="X3167" s="28">
        <v>44378</v>
      </c>
      <c r="Y3167" s="28">
        <v>45473</v>
      </c>
    </row>
    <row r="3168" s="9" customFormat="1" customHeight="1" spans="1:25">
      <c r="A3168" s="96" t="s">
        <v>61</v>
      </c>
      <c r="B3168" s="96" t="s">
        <v>2950</v>
      </c>
      <c r="C3168" s="96" t="s">
        <v>2998</v>
      </c>
      <c r="D3168" s="94" t="s">
        <v>85</v>
      </c>
      <c r="E3168" s="105" t="s">
        <v>4034</v>
      </c>
      <c r="F3168" s="96" t="s">
        <v>4035</v>
      </c>
      <c r="G3168" s="96" t="s">
        <v>88</v>
      </c>
      <c r="H3168" s="19" t="s">
        <v>4036</v>
      </c>
      <c r="I3168" s="23" t="e">
        <f>VLOOKUP(H3168,'合同综合查询数据（3月返）'!$A:$A,1,FALSE)</f>
        <v>#N/A</v>
      </c>
      <c r="J3168" s="24" t="s">
        <v>90</v>
      </c>
      <c r="K3168" s="96" t="s">
        <v>4037</v>
      </c>
      <c r="L3168" s="114"/>
      <c r="M3168" s="26" t="s">
        <v>3568</v>
      </c>
      <c r="N3168" s="28">
        <v>44443</v>
      </c>
      <c r="O3168" s="311" t="s">
        <v>457</v>
      </c>
      <c r="P3168" s="268">
        <v>5400</v>
      </c>
      <c r="Q3168" s="273">
        <v>43</v>
      </c>
      <c r="R3168" s="268">
        <f t="shared" si="75"/>
        <v>232200</v>
      </c>
      <c r="S3168" s="24">
        <v>202303</v>
      </c>
      <c r="T3168" s="127" t="s">
        <v>4045</v>
      </c>
      <c r="U3168" s="40"/>
      <c r="V3168" s="40"/>
      <c r="W3168" s="40"/>
      <c r="X3168" s="28">
        <v>44378</v>
      </c>
      <c r="Y3168" s="28">
        <v>45473</v>
      </c>
    </row>
    <row r="3169" s="9" customFormat="1" customHeight="1" spans="1:25">
      <c r="A3169" s="96" t="s">
        <v>61</v>
      </c>
      <c r="B3169" s="96" t="s">
        <v>2950</v>
      </c>
      <c r="C3169" s="96" t="s">
        <v>2998</v>
      </c>
      <c r="D3169" s="94" t="s">
        <v>85</v>
      </c>
      <c r="E3169" s="105" t="s">
        <v>4034</v>
      </c>
      <c r="F3169" s="96" t="s">
        <v>4035</v>
      </c>
      <c r="G3169" s="96" t="s">
        <v>88</v>
      </c>
      <c r="H3169" s="19" t="s">
        <v>4036</v>
      </c>
      <c r="I3169" s="23" t="e">
        <f>VLOOKUP(H3169,'合同综合查询数据（3月返）'!$A:$A,1,FALSE)</f>
        <v>#N/A</v>
      </c>
      <c r="J3169" s="24" t="s">
        <v>90</v>
      </c>
      <c r="K3169" s="96" t="s">
        <v>4037</v>
      </c>
      <c r="L3169" s="114"/>
      <c r="M3169" s="26" t="s">
        <v>3568</v>
      </c>
      <c r="N3169" s="28">
        <v>44446</v>
      </c>
      <c r="O3169" s="311" t="s">
        <v>457</v>
      </c>
      <c r="P3169" s="268">
        <v>5400</v>
      </c>
      <c r="Q3169" s="273">
        <v>75</v>
      </c>
      <c r="R3169" s="268">
        <f t="shared" si="75"/>
        <v>405000</v>
      </c>
      <c r="S3169" s="24">
        <v>202303</v>
      </c>
      <c r="T3169" s="127" t="s">
        <v>4046</v>
      </c>
      <c r="U3169" s="40"/>
      <c r="V3169" s="40"/>
      <c r="W3169" s="40"/>
      <c r="X3169" s="28">
        <v>44378</v>
      </c>
      <c r="Y3169" s="28">
        <v>45473</v>
      </c>
    </row>
    <row r="3170" s="9" customFormat="1" customHeight="1" spans="1:25">
      <c r="A3170" s="96" t="s">
        <v>61</v>
      </c>
      <c r="B3170" s="96" t="s">
        <v>2950</v>
      </c>
      <c r="C3170" s="96" t="s">
        <v>2998</v>
      </c>
      <c r="D3170" s="94" t="s">
        <v>85</v>
      </c>
      <c r="E3170" s="105" t="s">
        <v>4034</v>
      </c>
      <c r="F3170" s="96" t="s">
        <v>4035</v>
      </c>
      <c r="G3170" s="96" t="s">
        <v>88</v>
      </c>
      <c r="H3170" s="19" t="s">
        <v>4036</v>
      </c>
      <c r="I3170" s="23" t="e">
        <f>VLOOKUP(H3170,'合同综合查询数据（3月返）'!$A:$A,1,FALSE)</f>
        <v>#N/A</v>
      </c>
      <c r="J3170" s="24" t="s">
        <v>90</v>
      </c>
      <c r="K3170" s="96" t="s">
        <v>4037</v>
      </c>
      <c r="L3170" s="114"/>
      <c r="M3170" s="26" t="s">
        <v>3568</v>
      </c>
      <c r="N3170" s="28">
        <v>44452</v>
      </c>
      <c r="O3170" s="311" t="s">
        <v>457</v>
      </c>
      <c r="P3170" s="268">
        <v>5400</v>
      </c>
      <c r="Q3170" s="273">
        <v>90</v>
      </c>
      <c r="R3170" s="268">
        <f t="shared" si="75"/>
        <v>486000</v>
      </c>
      <c r="S3170" s="24">
        <v>202303</v>
      </c>
      <c r="T3170" s="127" t="s">
        <v>4047</v>
      </c>
      <c r="U3170" s="40"/>
      <c r="V3170" s="40"/>
      <c r="W3170" s="40"/>
      <c r="X3170" s="28">
        <v>44378</v>
      </c>
      <c r="Y3170" s="28">
        <v>45473</v>
      </c>
    </row>
    <row r="3171" s="9" customFormat="1" customHeight="1" spans="1:25">
      <c r="A3171" s="96" t="s">
        <v>61</v>
      </c>
      <c r="B3171" s="96" t="s">
        <v>2950</v>
      </c>
      <c r="C3171" s="96" t="s">
        <v>2998</v>
      </c>
      <c r="D3171" s="94" t="s">
        <v>85</v>
      </c>
      <c r="E3171" s="105" t="s">
        <v>4034</v>
      </c>
      <c r="F3171" s="96" t="s">
        <v>4035</v>
      </c>
      <c r="G3171" s="96" t="s">
        <v>88</v>
      </c>
      <c r="H3171" s="19" t="s">
        <v>4036</v>
      </c>
      <c r="I3171" s="23" t="e">
        <f>VLOOKUP(H3171,'合同综合查询数据（3月返）'!$A:$A,1,FALSE)</f>
        <v>#N/A</v>
      </c>
      <c r="J3171" s="24" t="s">
        <v>90</v>
      </c>
      <c r="K3171" s="96" t="s">
        <v>4037</v>
      </c>
      <c r="L3171" s="114"/>
      <c r="M3171" s="26" t="s">
        <v>3568</v>
      </c>
      <c r="N3171" s="28">
        <v>44459</v>
      </c>
      <c r="O3171" s="311" t="s">
        <v>545</v>
      </c>
      <c r="P3171" s="268">
        <v>0</v>
      </c>
      <c r="Q3171" s="273">
        <v>24</v>
      </c>
      <c r="R3171" s="268">
        <f t="shared" si="75"/>
        <v>0</v>
      </c>
      <c r="S3171" s="24">
        <v>202303</v>
      </c>
      <c r="T3171" s="127" t="s">
        <v>4048</v>
      </c>
      <c r="U3171" s="40"/>
      <c r="V3171" s="40"/>
      <c r="W3171" s="40"/>
      <c r="X3171" s="28">
        <v>44378</v>
      </c>
      <c r="Y3171" s="28">
        <v>45473</v>
      </c>
    </row>
    <row r="3172" s="9" customFormat="1" customHeight="1" spans="1:25">
      <c r="A3172" s="96" t="s">
        <v>61</v>
      </c>
      <c r="B3172" s="96" t="s">
        <v>2950</v>
      </c>
      <c r="C3172" s="96" t="s">
        <v>2998</v>
      </c>
      <c r="D3172" s="94" t="s">
        <v>85</v>
      </c>
      <c r="E3172" s="105" t="s">
        <v>4034</v>
      </c>
      <c r="F3172" s="96" t="s">
        <v>4035</v>
      </c>
      <c r="G3172" s="96" t="s">
        <v>88</v>
      </c>
      <c r="H3172" s="19" t="s">
        <v>4036</v>
      </c>
      <c r="I3172" s="23" t="e">
        <f>VLOOKUP(H3172,'合同综合查询数据（3月返）'!$A:$A,1,FALSE)</f>
        <v>#N/A</v>
      </c>
      <c r="J3172" s="24" t="s">
        <v>90</v>
      </c>
      <c r="K3172" s="96" t="s">
        <v>4037</v>
      </c>
      <c r="L3172" s="114"/>
      <c r="M3172" s="26" t="s">
        <v>3568</v>
      </c>
      <c r="N3172" s="28">
        <v>44465</v>
      </c>
      <c r="O3172" s="311" t="s">
        <v>457</v>
      </c>
      <c r="P3172" s="268">
        <v>5400</v>
      </c>
      <c r="Q3172" s="273">
        <v>60</v>
      </c>
      <c r="R3172" s="268">
        <f t="shared" si="75"/>
        <v>324000</v>
      </c>
      <c r="S3172" s="24">
        <v>202303</v>
      </c>
      <c r="T3172" s="127" t="s">
        <v>4049</v>
      </c>
      <c r="U3172" s="40"/>
      <c r="V3172" s="40"/>
      <c r="W3172" s="40"/>
      <c r="X3172" s="28">
        <v>44378</v>
      </c>
      <c r="Y3172" s="28">
        <v>45473</v>
      </c>
    </row>
    <row r="3173" s="9" customFormat="1" customHeight="1" spans="1:25">
      <c r="A3173" s="96" t="s">
        <v>61</v>
      </c>
      <c r="B3173" s="96" t="s">
        <v>2950</v>
      </c>
      <c r="C3173" s="96" t="s">
        <v>2998</v>
      </c>
      <c r="D3173" s="94" t="s">
        <v>85</v>
      </c>
      <c r="E3173" s="105" t="s">
        <v>4034</v>
      </c>
      <c r="F3173" s="96" t="s">
        <v>4035</v>
      </c>
      <c r="G3173" s="96" t="s">
        <v>88</v>
      </c>
      <c r="H3173" s="19" t="s">
        <v>4036</v>
      </c>
      <c r="I3173" s="23" t="e">
        <f>VLOOKUP(H3173,'合同综合查询数据（3月返）'!$A:$A,1,FALSE)</f>
        <v>#N/A</v>
      </c>
      <c r="J3173" s="24" t="s">
        <v>90</v>
      </c>
      <c r="K3173" s="96" t="s">
        <v>4037</v>
      </c>
      <c r="L3173" s="114"/>
      <c r="M3173" s="26" t="s">
        <v>3568</v>
      </c>
      <c r="N3173" s="28">
        <v>44466</v>
      </c>
      <c r="O3173" s="311" t="s">
        <v>457</v>
      </c>
      <c r="P3173" s="268">
        <v>5400</v>
      </c>
      <c r="Q3173" s="273">
        <v>62</v>
      </c>
      <c r="R3173" s="268">
        <f t="shared" si="75"/>
        <v>334800</v>
      </c>
      <c r="S3173" s="24">
        <v>202303</v>
      </c>
      <c r="T3173" s="127" t="s">
        <v>4050</v>
      </c>
      <c r="U3173" s="40"/>
      <c r="V3173" s="40"/>
      <c r="W3173" s="40"/>
      <c r="X3173" s="28">
        <v>44378</v>
      </c>
      <c r="Y3173" s="28">
        <v>45473</v>
      </c>
    </row>
    <row r="3174" s="9" customFormat="1" customHeight="1" spans="1:25">
      <c r="A3174" s="96" t="s">
        <v>61</v>
      </c>
      <c r="B3174" s="96" t="s">
        <v>2950</v>
      </c>
      <c r="C3174" s="96" t="s">
        <v>2998</v>
      </c>
      <c r="D3174" s="94" t="s">
        <v>85</v>
      </c>
      <c r="E3174" s="105" t="s">
        <v>4034</v>
      </c>
      <c r="F3174" s="96" t="s">
        <v>4035</v>
      </c>
      <c r="G3174" s="96" t="s">
        <v>88</v>
      </c>
      <c r="H3174" s="19" t="s">
        <v>4036</v>
      </c>
      <c r="I3174" s="23" t="e">
        <f>VLOOKUP(H3174,'合同综合查询数据（3月返）'!$A:$A,1,FALSE)</f>
        <v>#N/A</v>
      </c>
      <c r="J3174" s="24" t="s">
        <v>90</v>
      </c>
      <c r="K3174" s="96" t="s">
        <v>4037</v>
      </c>
      <c r="L3174" s="114"/>
      <c r="M3174" s="26" t="s">
        <v>3568</v>
      </c>
      <c r="N3174" s="28">
        <v>44467</v>
      </c>
      <c r="O3174" s="311" t="s">
        <v>457</v>
      </c>
      <c r="P3174" s="268">
        <v>5400</v>
      </c>
      <c r="Q3174" s="273">
        <v>38</v>
      </c>
      <c r="R3174" s="268">
        <f t="shared" si="75"/>
        <v>205200</v>
      </c>
      <c r="S3174" s="24">
        <v>202303</v>
      </c>
      <c r="T3174" s="127" t="s">
        <v>4051</v>
      </c>
      <c r="U3174" s="40"/>
      <c r="V3174" s="40"/>
      <c r="W3174" s="40"/>
      <c r="X3174" s="28">
        <v>44378</v>
      </c>
      <c r="Y3174" s="28">
        <v>45473</v>
      </c>
    </row>
    <row r="3175" s="9" customFormat="1" customHeight="1" spans="1:25">
      <c r="A3175" s="96" t="s">
        <v>61</v>
      </c>
      <c r="B3175" s="96" t="s">
        <v>2950</v>
      </c>
      <c r="C3175" s="96" t="s">
        <v>2998</v>
      </c>
      <c r="D3175" s="94" t="s">
        <v>85</v>
      </c>
      <c r="E3175" s="105" t="s">
        <v>4034</v>
      </c>
      <c r="F3175" s="96" t="s">
        <v>4035</v>
      </c>
      <c r="G3175" s="96" t="s">
        <v>88</v>
      </c>
      <c r="H3175" s="19" t="s">
        <v>4036</v>
      </c>
      <c r="I3175" s="23" t="e">
        <f>VLOOKUP(H3175,'合同综合查询数据（3月返）'!$A:$A,1,FALSE)</f>
        <v>#N/A</v>
      </c>
      <c r="J3175" s="24" t="s">
        <v>90</v>
      </c>
      <c r="K3175" s="96" t="s">
        <v>4037</v>
      </c>
      <c r="L3175" s="114"/>
      <c r="M3175" s="26" t="s">
        <v>3568</v>
      </c>
      <c r="N3175" s="28">
        <v>44468</v>
      </c>
      <c r="O3175" s="311" t="s">
        <v>457</v>
      </c>
      <c r="P3175" s="268">
        <v>5400</v>
      </c>
      <c r="Q3175" s="273">
        <v>108</v>
      </c>
      <c r="R3175" s="268">
        <f t="shared" si="75"/>
        <v>583200</v>
      </c>
      <c r="S3175" s="24">
        <v>202303</v>
      </c>
      <c r="T3175" s="127" t="s">
        <v>4052</v>
      </c>
      <c r="U3175" s="40"/>
      <c r="V3175" s="40"/>
      <c r="W3175" s="40"/>
      <c r="X3175" s="28">
        <v>44378</v>
      </c>
      <c r="Y3175" s="28">
        <v>45473</v>
      </c>
    </row>
    <row r="3176" s="9" customFormat="1" customHeight="1" spans="1:25">
      <c r="A3176" s="96" t="s">
        <v>61</v>
      </c>
      <c r="B3176" s="96" t="s">
        <v>2950</v>
      </c>
      <c r="C3176" s="96" t="s">
        <v>2998</v>
      </c>
      <c r="D3176" s="94" t="s">
        <v>85</v>
      </c>
      <c r="E3176" s="105" t="s">
        <v>4034</v>
      </c>
      <c r="F3176" s="96" t="s">
        <v>4035</v>
      </c>
      <c r="G3176" s="96" t="s">
        <v>88</v>
      </c>
      <c r="H3176" s="19" t="s">
        <v>4036</v>
      </c>
      <c r="I3176" s="23" t="e">
        <f>VLOOKUP(H3176,'合同综合查询数据（3月返）'!$A:$A,1,FALSE)</f>
        <v>#N/A</v>
      </c>
      <c r="J3176" s="24" t="s">
        <v>90</v>
      </c>
      <c r="K3176" s="96" t="s">
        <v>4037</v>
      </c>
      <c r="L3176" s="114"/>
      <c r="M3176" s="26" t="s">
        <v>3568</v>
      </c>
      <c r="N3176" s="28">
        <v>44469</v>
      </c>
      <c r="O3176" s="311" t="s">
        <v>457</v>
      </c>
      <c r="P3176" s="268">
        <v>5400</v>
      </c>
      <c r="Q3176" s="273">
        <v>15</v>
      </c>
      <c r="R3176" s="268">
        <f t="shared" si="75"/>
        <v>81000</v>
      </c>
      <c r="S3176" s="24">
        <v>202303</v>
      </c>
      <c r="T3176" s="127" t="s">
        <v>4053</v>
      </c>
      <c r="U3176" s="40"/>
      <c r="V3176" s="40"/>
      <c r="W3176" s="40"/>
      <c r="X3176" s="28">
        <v>44378</v>
      </c>
      <c r="Y3176" s="28">
        <v>45473</v>
      </c>
    </row>
    <row r="3177" s="9" customFormat="1" customHeight="1" spans="1:25">
      <c r="A3177" s="96" t="s">
        <v>61</v>
      </c>
      <c r="B3177" s="96" t="s">
        <v>2950</v>
      </c>
      <c r="C3177" s="96" t="s">
        <v>2998</v>
      </c>
      <c r="D3177" s="94" t="s">
        <v>85</v>
      </c>
      <c r="E3177" s="105" t="s">
        <v>4034</v>
      </c>
      <c r="F3177" s="96" t="s">
        <v>4035</v>
      </c>
      <c r="G3177" s="96" t="s">
        <v>88</v>
      </c>
      <c r="H3177" s="19" t="s">
        <v>4036</v>
      </c>
      <c r="I3177" s="23" t="e">
        <f>VLOOKUP(H3177,'合同综合查询数据（3月返）'!$A:$A,1,FALSE)</f>
        <v>#N/A</v>
      </c>
      <c r="J3177" s="24" t="s">
        <v>90</v>
      </c>
      <c r="K3177" s="96" t="s">
        <v>4037</v>
      </c>
      <c r="L3177" s="114"/>
      <c r="M3177" s="26" t="s">
        <v>3568</v>
      </c>
      <c r="N3177" s="28">
        <v>44483</v>
      </c>
      <c r="O3177" s="311" t="s">
        <v>457</v>
      </c>
      <c r="P3177" s="268">
        <v>5400</v>
      </c>
      <c r="Q3177" s="273">
        <v>51</v>
      </c>
      <c r="R3177" s="268">
        <f t="shared" si="75"/>
        <v>275400</v>
      </c>
      <c r="S3177" s="24">
        <v>202303</v>
      </c>
      <c r="T3177" s="127" t="s">
        <v>4054</v>
      </c>
      <c r="U3177" s="40"/>
      <c r="V3177" s="40"/>
      <c r="W3177" s="40"/>
      <c r="X3177" s="28">
        <v>44378</v>
      </c>
      <c r="Y3177" s="28">
        <v>45473</v>
      </c>
    </row>
    <row r="3178" s="9" customFormat="1" customHeight="1" spans="1:25">
      <c r="A3178" s="96" t="s">
        <v>61</v>
      </c>
      <c r="B3178" s="96" t="s">
        <v>2950</v>
      </c>
      <c r="C3178" s="96" t="s">
        <v>2998</v>
      </c>
      <c r="D3178" s="94" t="s">
        <v>85</v>
      </c>
      <c r="E3178" s="105" t="s">
        <v>4034</v>
      </c>
      <c r="F3178" s="96" t="s">
        <v>4035</v>
      </c>
      <c r="G3178" s="96" t="s">
        <v>88</v>
      </c>
      <c r="H3178" s="19" t="s">
        <v>4036</v>
      </c>
      <c r="I3178" s="23" t="e">
        <f>VLOOKUP(H3178,'合同综合查询数据（3月返）'!$A:$A,1,FALSE)</f>
        <v>#N/A</v>
      </c>
      <c r="J3178" s="24" t="s">
        <v>90</v>
      </c>
      <c r="K3178" s="96" t="s">
        <v>4037</v>
      </c>
      <c r="L3178" s="114"/>
      <c r="M3178" s="26" t="s">
        <v>3568</v>
      </c>
      <c r="N3178" s="28">
        <v>44484</v>
      </c>
      <c r="O3178" s="311" t="s">
        <v>457</v>
      </c>
      <c r="P3178" s="268">
        <v>5400</v>
      </c>
      <c r="Q3178" s="273">
        <v>16</v>
      </c>
      <c r="R3178" s="268">
        <f t="shared" si="75"/>
        <v>86400</v>
      </c>
      <c r="S3178" s="24">
        <v>202303</v>
      </c>
      <c r="T3178" s="127" t="s">
        <v>4055</v>
      </c>
      <c r="U3178" s="40"/>
      <c r="V3178" s="40"/>
      <c r="W3178" s="40"/>
      <c r="X3178" s="28">
        <v>44378</v>
      </c>
      <c r="Y3178" s="28">
        <v>45473</v>
      </c>
    </row>
    <row r="3179" s="9" customFormat="1" customHeight="1" spans="1:25">
      <c r="A3179" s="96" t="s">
        <v>61</v>
      </c>
      <c r="B3179" s="96" t="s">
        <v>2950</v>
      </c>
      <c r="C3179" s="96" t="s">
        <v>2998</v>
      </c>
      <c r="D3179" s="94" t="s">
        <v>85</v>
      </c>
      <c r="E3179" s="105" t="s">
        <v>4034</v>
      </c>
      <c r="F3179" s="96" t="s">
        <v>4035</v>
      </c>
      <c r="G3179" s="96" t="s">
        <v>88</v>
      </c>
      <c r="H3179" s="19" t="s">
        <v>4036</v>
      </c>
      <c r="I3179" s="23" t="e">
        <f>VLOOKUP(H3179,'合同综合查询数据（3月返）'!$A:$A,1,FALSE)</f>
        <v>#N/A</v>
      </c>
      <c r="J3179" s="24" t="s">
        <v>90</v>
      </c>
      <c r="K3179" s="96" t="s">
        <v>4037</v>
      </c>
      <c r="L3179" s="114"/>
      <c r="M3179" s="26" t="s">
        <v>3568</v>
      </c>
      <c r="N3179" s="28">
        <v>44487</v>
      </c>
      <c r="O3179" s="311" t="s">
        <v>457</v>
      </c>
      <c r="P3179" s="268">
        <v>5400</v>
      </c>
      <c r="Q3179" s="273">
        <v>2</v>
      </c>
      <c r="R3179" s="268">
        <f t="shared" si="75"/>
        <v>10800</v>
      </c>
      <c r="S3179" s="24">
        <v>202303</v>
      </c>
      <c r="T3179" s="127" t="s">
        <v>4056</v>
      </c>
      <c r="U3179" s="40"/>
      <c r="V3179" s="40"/>
      <c r="W3179" s="40"/>
      <c r="X3179" s="28">
        <v>44378</v>
      </c>
      <c r="Y3179" s="28">
        <v>45473</v>
      </c>
    </row>
    <row r="3180" s="9" customFormat="1" customHeight="1" spans="1:25">
      <c r="A3180" s="96" t="s">
        <v>61</v>
      </c>
      <c r="B3180" s="96" t="s">
        <v>2950</v>
      </c>
      <c r="C3180" s="96" t="s">
        <v>2998</v>
      </c>
      <c r="D3180" s="94" t="s">
        <v>85</v>
      </c>
      <c r="E3180" s="105" t="s">
        <v>4034</v>
      </c>
      <c r="F3180" s="96" t="s">
        <v>4035</v>
      </c>
      <c r="G3180" s="96" t="s">
        <v>88</v>
      </c>
      <c r="H3180" s="19" t="s">
        <v>4036</v>
      </c>
      <c r="I3180" s="23" t="e">
        <f>VLOOKUP(H3180,'合同综合查询数据（3月返）'!$A:$A,1,FALSE)</f>
        <v>#N/A</v>
      </c>
      <c r="J3180" s="24" t="s">
        <v>90</v>
      </c>
      <c r="K3180" s="96" t="s">
        <v>4037</v>
      </c>
      <c r="L3180" s="114"/>
      <c r="M3180" s="26" t="s">
        <v>3568</v>
      </c>
      <c r="N3180" s="28">
        <v>44489</v>
      </c>
      <c r="O3180" s="311" t="s">
        <v>457</v>
      </c>
      <c r="P3180" s="268">
        <v>5400</v>
      </c>
      <c r="Q3180" s="273">
        <v>12</v>
      </c>
      <c r="R3180" s="268">
        <f t="shared" si="75"/>
        <v>64800</v>
      </c>
      <c r="S3180" s="24">
        <v>202303</v>
      </c>
      <c r="T3180" s="127" t="s">
        <v>4057</v>
      </c>
      <c r="U3180" s="40"/>
      <c r="V3180" s="40"/>
      <c r="W3180" s="40"/>
      <c r="X3180" s="28">
        <v>44378</v>
      </c>
      <c r="Y3180" s="28">
        <v>45473</v>
      </c>
    </row>
    <row r="3181" s="9" customFormat="1" customHeight="1" spans="1:25">
      <c r="A3181" s="96" t="s">
        <v>61</v>
      </c>
      <c r="B3181" s="96" t="s">
        <v>2950</v>
      </c>
      <c r="C3181" s="96" t="s">
        <v>2998</v>
      </c>
      <c r="D3181" s="94" t="s">
        <v>85</v>
      </c>
      <c r="E3181" s="105" t="s">
        <v>4034</v>
      </c>
      <c r="F3181" s="96" t="s">
        <v>4035</v>
      </c>
      <c r="G3181" s="96" t="s">
        <v>88</v>
      </c>
      <c r="H3181" s="19" t="s">
        <v>4036</v>
      </c>
      <c r="I3181" s="23" t="e">
        <f>VLOOKUP(H3181,'合同综合查询数据（3月返）'!$A:$A,1,FALSE)</f>
        <v>#N/A</v>
      </c>
      <c r="J3181" s="24" t="s">
        <v>90</v>
      </c>
      <c r="K3181" s="96" t="s">
        <v>4037</v>
      </c>
      <c r="L3181" s="114"/>
      <c r="M3181" s="26" t="s">
        <v>3568</v>
      </c>
      <c r="N3181" s="28">
        <v>44526</v>
      </c>
      <c r="O3181" s="311" t="s">
        <v>457</v>
      </c>
      <c r="P3181" s="268">
        <v>5400</v>
      </c>
      <c r="Q3181" s="273">
        <v>18</v>
      </c>
      <c r="R3181" s="268">
        <f t="shared" si="75"/>
        <v>97200</v>
      </c>
      <c r="S3181" s="24">
        <v>202303</v>
      </c>
      <c r="T3181" s="127" t="s">
        <v>4058</v>
      </c>
      <c r="U3181" s="40"/>
      <c r="V3181" s="40"/>
      <c r="W3181" s="40"/>
      <c r="X3181" s="28">
        <v>44378</v>
      </c>
      <c r="Y3181" s="28">
        <v>45473</v>
      </c>
    </row>
    <row r="3182" s="9" customFormat="1" customHeight="1" spans="1:25">
      <c r="A3182" s="96" t="s">
        <v>61</v>
      </c>
      <c r="B3182" s="96" t="s">
        <v>2950</v>
      </c>
      <c r="C3182" s="96" t="s">
        <v>2998</v>
      </c>
      <c r="D3182" s="94" t="s">
        <v>85</v>
      </c>
      <c r="E3182" s="105" t="s">
        <v>4034</v>
      </c>
      <c r="F3182" s="96" t="s">
        <v>4035</v>
      </c>
      <c r="G3182" s="96" t="s">
        <v>88</v>
      </c>
      <c r="H3182" s="19" t="s">
        <v>4036</v>
      </c>
      <c r="I3182" s="23" t="e">
        <f>VLOOKUP(H3182,'合同综合查询数据（3月返）'!$A:$A,1,FALSE)</f>
        <v>#N/A</v>
      </c>
      <c r="J3182" s="24" t="s">
        <v>90</v>
      </c>
      <c r="K3182" s="96" t="s">
        <v>4037</v>
      </c>
      <c r="L3182" s="114"/>
      <c r="M3182" s="26" t="s">
        <v>3568</v>
      </c>
      <c r="N3182" s="28">
        <v>44530</v>
      </c>
      <c r="O3182" s="311" t="s">
        <v>457</v>
      </c>
      <c r="P3182" s="268">
        <v>5400</v>
      </c>
      <c r="Q3182" s="273">
        <v>21</v>
      </c>
      <c r="R3182" s="268">
        <f t="shared" si="75"/>
        <v>113400</v>
      </c>
      <c r="S3182" s="24">
        <v>202303</v>
      </c>
      <c r="T3182" s="127" t="s">
        <v>4059</v>
      </c>
      <c r="U3182" s="40"/>
      <c r="V3182" s="40"/>
      <c r="W3182" s="40"/>
      <c r="X3182" s="28">
        <v>44378</v>
      </c>
      <c r="Y3182" s="28">
        <v>45473</v>
      </c>
    </row>
    <row r="3183" s="9" customFormat="1" customHeight="1" spans="1:25">
      <c r="A3183" s="96" t="s">
        <v>61</v>
      </c>
      <c r="B3183" s="96" t="s">
        <v>2950</v>
      </c>
      <c r="C3183" s="96" t="s">
        <v>2998</v>
      </c>
      <c r="D3183" s="94" t="s">
        <v>85</v>
      </c>
      <c r="E3183" s="105" t="s">
        <v>4034</v>
      </c>
      <c r="F3183" s="96" t="s">
        <v>4035</v>
      </c>
      <c r="G3183" s="96" t="s">
        <v>88</v>
      </c>
      <c r="H3183" s="19" t="s">
        <v>4060</v>
      </c>
      <c r="I3183" s="23" t="e">
        <f>VLOOKUP(H3183,'合同综合查询数据（3月返）'!$A:$A,1,FALSE)</f>
        <v>#N/A</v>
      </c>
      <c r="J3183" s="24" t="s">
        <v>90</v>
      </c>
      <c r="K3183" s="96" t="s">
        <v>4061</v>
      </c>
      <c r="L3183" s="114"/>
      <c r="M3183" s="26" t="s">
        <v>3568</v>
      </c>
      <c r="N3183" s="28">
        <v>44565</v>
      </c>
      <c r="O3183" s="311" t="s">
        <v>457</v>
      </c>
      <c r="P3183" s="268">
        <v>5400</v>
      </c>
      <c r="Q3183" s="273">
        <v>8</v>
      </c>
      <c r="R3183" s="268">
        <f t="shared" si="75"/>
        <v>43200</v>
      </c>
      <c r="S3183" s="24">
        <v>202303</v>
      </c>
      <c r="T3183" s="127" t="s">
        <v>4062</v>
      </c>
      <c r="U3183" s="40"/>
      <c r="V3183" s="40"/>
      <c r="W3183" s="40"/>
      <c r="X3183" s="28">
        <v>44501</v>
      </c>
      <c r="Y3183" s="28">
        <v>45596</v>
      </c>
    </row>
    <row r="3184" s="9" customFormat="1" customHeight="1" spans="1:25">
      <c r="A3184" s="96" t="s">
        <v>61</v>
      </c>
      <c r="B3184" s="96" t="s">
        <v>2950</v>
      </c>
      <c r="C3184" s="96" t="s">
        <v>2998</v>
      </c>
      <c r="D3184" s="94" t="s">
        <v>85</v>
      </c>
      <c r="E3184" s="105" t="s">
        <v>4034</v>
      </c>
      <c r="F3184" s="96" t="s">
        <v>4035</v>
      </c>
      <c r="G3184" s="96" t="s">
        <v>88</v>
      </c>
      <c r="H3184" s="19" t="s">
        <v>4060</v>
      </c>
      <c r="I3184" s="23" t="e">
        <f>VLOOKUP(H3184,'合同综合查询数据（3月返）'!$A:$A,1,FALSE)</f>
        <v>#N/A</v>
      </c>
      <c r="J3184" s="24" t="s">
        <v>90</v>
      </c>
      <c r="K3184" s="96" t="s">
        <v>4061</v>
      </c>
      <c r="L3184" s="114"/>
      <c r="M3184" s="26" t="s">
        <v>3568</v>
      </c>
      <c r="N3184" s="28">
        <v>44566</v>
      </c>
      <c r="O3184" s="311" t="s">
        <v>457</v>
      </c>
      <c r="P3184" s="268">
        <v>5400</v>
      </c>
      <c r="Q3184" s="273">
        <v>2</v>
      </c>
      <c r="R3184" s="268">
        <f t="shared" si="75"/>
        <v>10800</v>
      </c>
      <c r="S3184" s="24">
        <v>202303</v>
      </c>
      <c r="T3184" s="127" t="s">
        <v>4063</v>
      </c>
      <c r="U3184" s="40"/>
      <c r="V3184" s="40"/>
      <c r="W3184" s="40"/>
      <c r="X3184" s="28">
        <v>44501</v>
      </c>
      <c r="Y3184" s="28">
        <v>45596</v>
      </c>
    </row>
    <row r="3185" s="9" customFormat="1" customHeight="1" spans="1:25">
      <c r="A3185" s="96" t="s">
        <v>61</v>
      </c>
      <c r="B3185" s="96" t="s">
        <v>2950</v>
      </c>
      <c r="C3185" s="96" t="s">
        <v>2998</v>
      </c>
      <c r="D3185" s="94" t="s">
        <v>85</v>
      </c>
      <c r="E3185" s="105" t="s">
        <v>4034</v>
      </c>
      <c r="F3185" s="96" t="s">
        <v>4035</v>
      </c>
      <c r="G3185" s="96" t="s">
        <v>88</v>
      </c>
      <c r="H3185" s="19" t="s">
        <v>4060</v>
      </c>
      <c r="I3185" s="23" t="e">
        <f>VLOOKUP(H3185,'合同综合查询数据（3月返）'!$A:$A,1,FALSE)</f>
        <v>#N/A</v>
      </c>
      <c r="J3185" s="24" t="s">
        <v>90</v>
      </c>
      <c r="K3185" s="96" t="s">
        <v>4061</v>
      </c>
      <c r="L3185" s="114"/>
      <c r="M3185" s="26" t="s">
        <v>3568</v>
      </c>
      <c r="N3185" s="28">
        <v>44568</v>
      </c>
      <c r="O3185" s="311" t="s">
        <v>457</v>
      </c>
      <c r="P3185" s="268">
        <v>0</v>
      </c>
      <c r="Q3185" s="273">
        <v>63</v>
      </c>
      <c r="R3185" s="268">
        <f t="shared" si="75"/>
        <v>0</v>
      </c>
      <c r="S3185" s="24">
        <v>202303</v>
      </c>
      <c r="T3185" s="127" t="s">
        <v>4064</v>
      </c>
      <c r="U3185" s="40"/>
      <c r="V3185" s="40"/>
      <c r="W3185" s="40"/>
      <c r="X3185" s="28">
        <v>44501</v>
      </c>
      <c r="Y3185" s="28">
        <v>45596</v>
      </c>
    </row>
    <row r="3186" s="9" customFormat="1" customHeight="1" spans="1:25">
      <c r="A3186" s="96" t="s">
        <v>61</v>
      </c>
      <c r="B3186" s="96" t="s">
        <v>2950</v>
      </c>
      <c r="C3186" s="96" t="s">
        <v>2998</v>
      </c>
      <c r="D3186" s="94" t="s">
        <v>85</v>
      </c>
      <c r="E3186" s="105" t="s">
        <v>4034</v>
      </c>
      <c r="F3186" s="96" t="s">
        <v>4035</v>
      </c>
      <c r="G3186" s="96" t="s">
        <v>88</v>
      </c>
      <c r="H3186" s="19" t="s">
        <v>4060</v>
      </c>
      <c r="I3186" s="23" t="e">
        <f>VLOOKUP(H3186,'合同综合查询数据（3月返）'!$A:$A,1,FALSE)</f>
        <v>#N/A</v>
      </c>
      <c r="J3186" s="24" t="s">
        <v>90</v>
      </c>
      <c r="K3186" s="96" t="s">
        <v>4061</v>
      </c>
      <c r="L3186" s="114"/>
      <c r="M3186" s="26" t="s">
        <v>3568</v>
      </c>
      <c r="N3186" s="28">
        <v>44579</v>
      </c>
      <c r="O3186" s="311" t="s">
        <v>457</v>
      </c>
      <c r="P3186" s="268">
        <v>0</v>
      </c>
      <c r="Q3186" s="273">
        <v>-63</v>
      </c>
      <c r="R3186" s="268">
        <f t="shared" si="75"/>
        <v>0</v>
      </c>
      <c r="S3186" s="24">
        <v>202303</v>
      </c>
      <c r="T3186" s="127" t="s">
        <v>4064</v>
      </c>
      <c r="U3186" s="40"/>
      <c r="V3186" s="40"/>
      <c r="W3186" s="40"/>
      <c r="X3186" s="28">
        <v>44501</v>
      </c>
      <c r="Y3186" s="28">
        <v>45596</v>
      </c>
    </row>
    <row r="3187" s="9" customFormat="1" customHeight="1" spans="1:25">
      <c r="A3187" s="96" t="s">
        <v>61</v>
      </c>
      <c r="B3187" s="96" t="s">
        <v>2950</v>
      </c>
      <c r="C3187" s="96" t="s">
        <v>2998</v>
      </c>
      <c r="D3187" s="94" t="s">
        <v>85</v>
      </c>
      <c r="E3187" s="105" t="s">
        <v>4034</v>
      </c>
      <c r="F3187" s="96" t="s">
        <v>4035</v>
      </c>
      <c r="G3187" s="96" t="s">
        <v>88</v>
      </c>
      <c r="H3187" s="19" t="s">
        <v>4060</v>
      </c>
      <c r="I3187" s="23" t="e">
        <f>VLOOKUP(H3187,'合同综合查询数据（3月返）'!$A:$A,1,FALSE)</f>
        <v>#N/A</v>
      </c>
      <c r="J3187" s="24" t="s">
        <v>90</v>
      </c>
      <c r="K3187" s="96" t="s">
        <v>4061</v>
      </c>
      <c r="L3187" s="114"/>
      <c r="M3187" s="26" t="s">
        <v>3568</v>
      </c>
      <c r="N3187" s="28">
        <v>44579</v>
      </c>
      <c r="O3187" s="311" t="s">
        <v>545</v>
      </c>
      <c r="P3187" s="268">
        <v>0</v>
      </c>
      <c r="Q3187" s="273">
        <v>2</v>
      </c>
      <c r="R3187" s="268">
        <f t="shared" si="75"/>
        <v>0</v>
      </c>
      <c r="S3187" s="24">
        <v>202303</v>
      </c>
      <c r="T3187" s="127" t="s">
        <v>4065</v>
      </c>
      <c r="U3187" s="40"/>
      <c r="V3187" s="40"/>
      <c r="W3187" s="40"/>
      <c r="X3187" s="28">
        <v>44501</v>
      </c>
      <c r="Y3187" s="28">
        <v>45596</v>
      </c>
    </row>
    <row r="3188" s="9" customFormat="1" customHeight="1" spans="1:25">
      <c r="A3188" s="96" t="s">
        <v>61</v>
      </c>
      <c r="B3188" s="96" t="s">
        <v>2950</v>
      </c>
      <c r="C3188" s="96" t="s">
        <v>2998</v>
      </c>
      <c r="D3188" s="94" t="s">
        <v>85</v>
      </c>
      <c r="E3188" s="105" t="s">
        <v>4034</v>
      </c>
      <c r="F3188" s="96" t="s">
        <v>4035</v>
      </c>
      <c r="G3188" s="96" t="s">
        <v>88</v>
      </c>
      <c r="H3188" s="19" t="s">
        <v>4060</v>
      </c>
      <c r="I3188" s="23" t="e">
        <f>VLOOKUP(H3188,'合同综合查询数据（3月返）'!$A:$A,1,FALSE)</f>
        <v>#N/A</v>
      </c>
      <c r="J3188" s="24" t="s">
        <v>90</v>
      </c>
      <c r="K3188" s="96" t="s">
        <v>4061</v>
      </c>
      <c r="L3188" s="114"/>
      <c r="M3188" s="26" t="s">
        <v>3568</v>
      </c>
      <c r="N3188" s="28">
        <v>44644</v>
      </c>
      <c r="O3188" s="311" t="s">
        <v>457</v>
      </c>
      <c r="P3188" s="268">
        <v>5400</v>
      </c>
      <c r="Q3188" s="273">
        <v>8</v>
      </c>
      <c r="R3188" s="268">
        <f t="shared" si="75"/>
        <v>43200</v>
      </c>
      <c r="S3188" s="24">
        <v>202303</v>
      </c>
      <c r="T3188" s="127" t="s">
        <v>4066</v>
      </c>
      <c r="U3188" s="40"/>
      <c r="V3188" s="40"/>
      <c r="W3188" s="40"/>
      <c r="X3188" s="28">
        <v>44501</v>
      </c>
      <c r="Y3188" s="28">
        <v>45596</v>
      </c>
    </row>
    <row r="3189" s="9" customFormat="1" customHeight="1" spans="1:25">
      <c r="A3189" s="96" t="s">
        <v>61</v>
      </c>
      <c r="B3189" s="96" t="s">
        <v>2950</v>
      </c>
      <c r="C3189" s="96" t="s">
        <v>2998</v>
      </c>
      <c r="D3189" s="94" t="s">
        <v>85</v>
      </c>
      <c r="E3189" s="105" t="s">
        <v>4034</v>
      </c>
      <c r="F3189" s="96" t="s">
        <v>4035</v>
      </c>
      <c r="G3189" s="96" t="s">
        <v>88</v>
      </c>
      <c r="H3189" s="19" t="s">
        <v>4060</v>
      </c>
      <c r="I3189" s="23" t="e">
        <f>VLOOKUP(H3189,'合同综合查询数据（3月返）'!$A:$A,1,FALSE)</f>
        <v>#N/A</v>
      </c>
      <c r="J3189" s="24" t="s">
        <v>90</v>
      </c>
      <c r="K3189" s="96" t="s">
        <v>4061</v>
      </c>
      <c r="L3189" s="114"/>
      <c r="M3189" s="26" t="s">
        <v>3568</v>
      </c>
      <c r="N3189" s="28">
        <v>44649</v>
      </c>
      <c r="O3189" s="311" t="s">
        <v>457</v>
      </c>
      <c r="P3189" s="268">
        <v>5400</v>
      </c>
      <c r="Q3189" s="273">
        <v>13</v>
      </c>
      <c r="R3189" s="268">
        <f t="shared" si="75"/>
        <v>70200</v>
      </c>
      <c r="S3189" s="24">
        <v>202303</v>
      </c>
      <c r="T3189" s="127" t="s">
        <v>4067</v>
      </c>
      <c r="U3189" s="40"/>
      <c r="V3189" s="40"/>
      <c r="W3189" s="40"/>
      <c r="X3189" s="28">
        <v>44501</v>
      </c>
      <c r="Y3189" s="28">
        <v>45596</v>
      </c>
    </row>
    <row r="3190" s="9" customFormat="1" customHeight="1" spans="1:25">
      <c r="A3190" s="96" t="s">
        <v>61</v>
      </c>
      <c r="B3190" s="96" t="s">
        <v>2950</v>
      </c>
      <c r="C3190" s="96" t="s">
        <v>2998</v>
      </c>
      <c r="D3190" s="94" t="s">
        <v>85</v>
      </c>
      <c r="E3190" s="105" t="s">
        <v>4034</v>
      </c>
      <c r="F3190" s="96" t="s">
        <v>4035</v>
      </c>
      <c r="G3190" s="96" t="s">
        <v>88</v>
      </c>
      <c r="H3190" s="19" t="s">
        <v>4060</v>
      </c>
      <c r="I3190" s="23" t="e">
        <f>VLOOKUP(H3190,'合同综合查询数据（3月返）'!$A:$A,1,FALSE)</f>
        <v>#N/A</v>
      </c>
      <c r="J3190" s="24" t="s">
        <v>90</v>
      </c>
      <c r="K3190" s="96" t="s">
        <v>4061</v>
      </c>
      <c r="L3190" s="114"/>
      <c r="M3190" s="26" t="s">
        <v>3568</v>
      </c>
      <c r="N3190" s="28">
        <v>44652</v>
      </c>
      <c r="O3190" s="311" t="s">
        <v>457</v>
      </c>
      <c r="P3190" s="268">
        <v>5400</v>
      </c>
      <c r="Q3190" s="273">
        <v>14</v>
      </c>
      <c r="R3190" s="268">
        <f t="shared" si="75"/>
        <v>75600</v>
      </c>
      <c r="S3190" s="24">
        <v>202303</v>
      </c>
      <c r="T3190" s="127" t="s">
        <v>4068</v>
      </c>
      <c r="U3190" s="40"/>
      <c r="V3190" s="40"/>
      <c r="W3190" s="40"/>
      <c r="X3190" s="28">
        <v>44501</v>
      </c>
      <c r="Y3190" s="28">
        <v>45596</v>
      </c>
    </row>
    <row r="3191" s="9" customFormat="1" customHeight="1" spans="1:25">
      <c r="A3191" s="96" t="s">
        <v>61</v>
      </c>
      <c r="B3191" s="96" t="s">
        <v>2950</v>
      </c>
      <c r="C3191" s="96" t="s">
        <v>2998</v>
      </c>
      <c r="D3191" s="94" t="s">
        <v>85</v>
      </c>
      <c r="E3191" s="105" t="s">
        <v>4034</v>
      </c>
      <c r="F3191" s="96" t="s">
        <v>4035</v>
      </c>
      <c r="G3191" s="96" t="s">
        <v>88</v>
      </c>
      <c r="H3191" s="19" t="s">
        <v>4060</v>
      </c>
      <c r="I3191" s="23" t="e">
        <f>VLOOKUP(H3191,'合同综合查询数据（3月返）'!$A:$A,1,FALSE)</f>
        <v>#N/A</v>
      </c>
      <c r="J3191" s="24" t="s">
        <v>90</v>
      </c>
      <c r="K3191" s="96" t="s">
        <v>4061</v>
      </c>
      <c r="L3191" s="114"/>
      <c r="M3191" s="26" t="s">
        <v>3568</v>
      </c>
      <c r="N3191" s="28">
        <v>44653</v>
      </c>
      <c r="O3191" s="311" t="s">
        <v>457</v>
      </c>
      <c r="P3191" s="268">
        <v>5400</v>
      </c>
      <c r="Q3191" s="273">
        <v>26</v>
      </c>
      <c r="R3191" s="268">
        <f t="shared" si="75"/>
        <v>140400</v>
      </c>
      <c r="S3191" s="24">
        <v>202303</v>
      </c>
      <c r="T3191" s="127" t="s">
        <v>4069</v>
      </c>
      <c r="U3191" s="40"/>
      <c r="V3191" s="40"/>
      <c r="W3191" s="40"/>
      <c r="X3191" s="28">
        <v>44501</v>
      </c>
      <c r="Y3191" s="28">
        <v>45596</v>
      </c>
    </row>
    <row r="3192" s="9" customFormat="1" customHeight="1" spans="1:25">
      <c r="A3192" s="96" t="s">
        <v>61</v>
      </c>
      <c r="B3192" s="96" t="s">
        <v>2950</v>
      </c>
      <c r="C3192" s="96" t="s">
        <v>2998</v>
      </c>
      <c r="D3192" s="94" t="s">
        <v>85</v>
      </c>
      <c r="E3192" s="105" t="s">
        <v>4034</v>
      </c>
      <c r="F3192" s="96" t="s">
        <v>4035</v>
      </c>
      <c r="G3192" s="96" t="s">
        <v>88</v>
      </c>
      <c r="H3192" s="19" t="s">
        <v>4060</v>
      </c>
      <c r="I3192" s="23" t="e">
        <f>VLOOKUP(H3192,'合同综合查询数据（3月返）'!$A:$A,1,FALSE)</f>
        <v>#N/A</v>
      </c>
      <c r="J3192" s="24" t="s">
        <v>90</v>
      </c>
      <c r="K3192" s="96" t="s">
        <v>4061</v>
      </c>
      <c r="L3192" s="114"/>
      <c r="M3192" s="26" t="s">
        <v>3568</v>
      </c>
      <c r="N3192" s="28">
        <v>44669</v>
      </c>
      <c r="O3192" s="311" t="s">
        <v>457</v>
      </c>
      <c r="P3192" s="268">
        <v>5400</v>
      </c>
      <c r="Q3192" s="273">
        <v>86</v>
      </c>
      <c r="R3192" s="268">
        <f t="shared" si="75"/>
        <v>464400</v>
      </c>
      <c r="S3192" s="24">
        <v>202303</v>
      </c>
      <c r="T3192" s="127" t="s">
        <v>4070</v>
      </c>
      <c r="U3192" s="40"/>
      <c r="V3192" s="40"/>
      <c r="W3192" s="40"/>
      <c r="X3192" s="28">
        <v>44501</v>
      </c>
      <c r="Y3192" s="28">
        <v>45596</v>
      </c>
    </row>
    <row r="3193" s="9" customFormat="1" customHeight="1" spans="1:25">
      <c r="A3193" s="96" t="s">
        <v>61</v>
      </c>
      <c r="B3193" s="96" t="s">
        <v>2950</v>
      </c>
      <c r="C3193" s="96" t="s">
        <v>2998</v>
      </c>
      <c r="D3193" s="94" t="s">
        <v>85</v>
      </c>
      <c r="E3193" s="105" t="s">
        <v>4034</v>
      </c>
      <c r="F3193" s="96" t="s">
        <v>4035</v>
      </c>
      <c r="G3193" s="96" t="s">
        <v>88</v>
      </c>
      <c r="H3193" s="19" t="s">
        <v>4060</v>
      </c>
      <c r="I3193" s="23" t="e">
        <f>VLOOKUP(H3193,'合同综合查询数据（3月返）'!$A:$A,1,FALSE)</f>
        <v>#N/A</v>
      </c>
      <c r="J3193" s="24" t="s">
        <v>90</v>
      </c>
      <c r="K3193" s="96" t="s">
        <v>4061</v>
      </c>
      <c r="L3193" s="114"/>
      <c r="M3193" s="26" t="s">
        <v>3568</v>
      </c>
      <c r="N3193" s="28">
        <v>44670</v>
      </c>
      <c r="O3193" s="311" t="s">
        <v>457</v>
      </c>
      <c r="P3193" s="268">
        <v>5400</v>
      </c>
      <c r="Q3193" s="273">
        <v>19</v>
      </c>
      <c r="R3193" s="268">
        <f t="shared" si="75"/>
        <v>102600</v>
      </c>
      <c r="S3193" s="24">
        <v>202303</v>
      </c>
      <c r="T3193" s="127" t="s">
        <v>4071</v>
      </c>
      <c r="U3193" s="40"/>
      <c r="V3193" s="40"/>
      <c r="W3193" s="40"/>
      <c r="X3193" s="28">
        <v>44501</v>
      </c>
      <c r="Y3193" s="28">
        <v>45596</v>
      </c>
    </row>
    <row r="3194" s="9" customFormat="1" customHeight="1" spans="1:25">
      <c r="A3194" s="96" t="s">
        <v>61</v>
      </c>
      <c r="B3194" s="96" t="s">
        <v>2950</v>
      </c>
      <c r="C3194" s="96" t="s">
        <v>2998</v>
      </c>
      <c r="D3194" s="94" t="s">
        <v>85</v>
      </c>
      <c r="E3194" s="105" t="s">
        <v>4034</v>
      </c>
      <c r="F3194" s="96" t="s">
        <v>4035</v>
      </c>
      <c r="G3194" s="96" t="s">
        <v>88</v>
      </c>
      <c r="H3194" s="19" t="s">
        <v>4060</v>
      </c>
      <c r="I3194" s="23" t="e">
        <f>VLOOKUP(H3194,'合同综合查询数据（3月返）'!$A:$A,1,FALSE)</f>
        <v>#N/A</v>
      </c>
      <c r="J3194" s="24" t="s">
        <v>90</v>
      </c>
      <c r="K3194" s="96" t="s">
        <v>4061</v>
      </c>
      <c r="L3194" s="114"/>
      <c r="M3194" s="26" t="s">
        <v>3568</v>
      </c>
      <c r="N3194" s="28">
        <v>44879</v>
      </c>
      <c r="O3194" s="311" t="s">
        <v>457</v>
      </c>
      <c r="P3194" s="268">
        <v>5400</v>
      </c>
      <c r="Q3194" s="273">
        <v>5</v>
      </c>
      <c r="R3194" s="268">
        <f t="shared" si="75"/>
        <v>27000</v>
      </c>
      <c r="S3194" s="24">
        <v>202303</v>
      </c>
      <c r="T3194" s="127" t="s">
        <v>4072</v>
      </c>
      <c r="U3194" s="40"/>
      <c r="V3194" s="40"/>
      <c r="W3194" s="40"/>
      <c r="X3194" s="28">
        <v>44501</v>
      </c>
      <c r="Y3194" s="28">
        <v>45596</v>
      </c>
    </row>
    <row r="3195" s="9" customFormat="1" customHeight="1" spans="1:25">
      <c r="A3195" s="96" t="s">
        <v>61</v>
      </c>
      <c r="B3195" s="96" t="s">
        <v>2950</v>
      </c>
      <c r="C3195" s="96" t="s">
        <v>2998</v>
      </c>
      <c r="D3195" s="94" t="s">
        <v>85</v>
      </c>
      <c r="E3195" s="105" t="s">
        <v>4034</v>
      </c>
      <c r="F3195" s="96" t="s">
        <v>4035</v>
      </c>
      <c r="G3195" s="96" t="s">
        <v>88</v>
      </c>
      <c r="H3195" s="19" t="s">
        <v>4060</v>
      </c>
      <c r="I3195" s="23" t="e">
        <f>VLOOKUP(H3195,'合同综合查询数据（3月返）'!$A:$A,1,FALSE)</f>
        <v>#N/A</v>
      </c>
      <c r="J3195" s="24" t="s">
        <v>90</v>
      </c>
      <c r="K3195" s="96" t="s">
        <v>4061</v>
      </c>
      <c r="L3195" s="114"/>
      <c r="M3195" s="26" t="s">
        <v>3568</v>
      </c>
      <c r="N3195" s="28">
        <v>44938</v>
      </c>
      <c r="O3195" s="311" t="s">
        <v>457</v>
      </c>
      <c r="P3195" s="268">
        <v>5400</v>
      </c>
      <c r="Q3195" s="273">
        <v>1</v>
      </c>
      <c r="R3195" s="268">
        <f t="shared" si="75"/>
        <v>5400</v>
      </c>
      <c r="S3195" s="24">
        <v>202303</v>
      </c>
      <c r="T3195" s="127" t="s">
        <v>4073</v>
      </c>
      <c r="U3195" s="40"/>
      <c r="V3195" s="40"/>
      <c r="W3195" s="40"/>
      <c r="X3195" s="28">
        <v>44501</v>
      </c>
      <c r="Y3195" s="28">
        <v>45596</v>
      </c>
    </row>
    <row r="3196" s="9" customFormat="1" customHeight="1" spans="1:25">
      <c r="A3196" s="94" t="s">
        <v>61</v>
      </c>
      <c r="B3196" s="94" t="s">
        <v>4074</v>
      </c>
      <c r="C3196" s="94" t="s">
        <v>2998</v>
      </c>
      <c r="D3196" s="94" t="s">
        <v>2951</v>
      </c>
      <c r="E3196" s="105" t="s">
        <v>4075</v>
      </c>
      <c r="F3196" s="96" t="s">
        <v>4076</v>
      </c>
      <c r="G3196" s="96" t="s">
        <v>67</v>
      </c>
      <c r="H3196" s="19" t="s">
        <v>4077</v>
      </c>
      <c r="I3196" s="23" t="e">
        <f>VLOOKUP(H3196,'合同综合查询数据（3月返）'!$A:$A,1,FALSE)</f>
        <v>#N/A</v>
      </c>
      <c r="J3196" s="24" t="s">
        <v>67</v>
      </c>
      <c r="K3196" s="94" t="s">
        <v>3335</v>
      </c>
      <c r="L3196" s="94"/>
      <c r="M3196" s="249"/>
      <c r="N3196" s="106">
        <v>43800</v>
      </c>
      <c r="O3196" s="94" t="s">
        <v>71</v>
      </c>
      <c r="P3196" s="317">
        <v>378</v>
      </c>
      <c r="Q3196" s="273">
        <v>60</v>
      </c>
      <c r="R3196" s="268">
        <f t="shared" si="75"/>
        <v>22680</v>
      </c>
      <c r="S3196" s="24">
        <v>202303</v>
      </c>
      <c r="T3196" s="127" t="s">
        <v>4078</v>
      </c>
      <c r="U3196" s="97"/>
      <c r="V3196" s="128"/>
      <c r="W3196" s="97"/>
      <c r="X3196" s="106">
        <v>43800</v>
      </c>
      <c r="Y3196" s="106">
        <v>45260</v>
      </c>
    </row>
    <row r="3197" s="9" customFormat="1" customHeight="1" spans="1:25">
      <c r="A3197" s="94" t="s">
        <v>61</v>
      </c>
      <c r="B3197" s="94" t="s">
        <v>4074</v>
      </c>
      <c r="C3197" s="94" t="s">
        <v>2998</v>
      </c>
      <c r="D3197" s="94" t="s">
        <v>2951</v>
      </c>
      <c r="E3197" s="105" t="s">
        <v>4075</v>
      </c>
      <c r="F3197" s="96" t="s">
        <v>4076</v>
      </c>
      <c r="G3197" s="96" t="s">
        <v>67</v>
      </c>
      <c r="H3197" s="19" t="s">
        <v>4077</v>
      </c>
      <c r="I3197" s="23" t="e">
        <f>VLOOKUP(H3197,'合同综合查询数据（3月返）'!$A:$A,1,FALSE)</f>
        <v>#N/A</v>
      </c>
      <c r="J3197" s="24" t="s">
        <v>67</v>
      </c>
      <c r="K3197" s="94" t="s">
        <v>3335</v>
      </c>
      <c r="L3197" s="94"/>
      <c r="M3197" s="249"/>
      <c r="N3197" s="106">
        <v>43800</v>
      </c>
      <c r="O3197" s="94" t="s">
        <v>71</v>
      </c>
      <c r="P3197" s="317">
        <v>378</v>
      </c>
      <c r="Q3197" s="273">
        <v>80</v>
      </c>
      <c r="R3197" s="268">
        <f t="shared" si="75"/>
        <v>30240</v>
      </c>
      <c r="S3197" s="24">
        <v>202303</v>
      </c>
      <c r="T3197" s="127" t="s">
        <v>4079</v>
      </c>
      <c r="U3197" s="97"/>
      <c r="V3197" s="128"/>
      <c r="W3197" s="97"/>
      <c r="X3197" s="106">
        <v>43800</v>
      </c>
      <c r="Y3197" s="106">
        <v>45260</v>
      </c>
    </row>
    <row r="3198" s="9" customFormat="1" customHeight="1" spans="1:25">
      <c r="A3198" s="94" t="s">
        <v>61</v>
      </c>
      <c r="B3198" s="94" t="s">
        <v>4074</v>
      </c>
      <c r="C3198" s="94" t="s">
        <v>2998</v>
      </c>
      <c r="D3198" s="94" t="s">
        <v>2951</v>
      </c>
      <c r="E3198" s="105" t="s">
        <v>4075</v>
      </c>
      <c r="F3198" s="96" t="s">
        <v>4076</v>
      </c>
      <c r="G3198" s="96" t="s">
        <v>67</v>
      </c>
      <c r="H3198" s="19" t="s">
        <v>4080</v>
      </c>
      <c r="I3198" s="23" t="e">
        <f>VLOOKUP(H3198,'合同综合查询数据（3月返）'!$A:$A,1,FALSE)</f>
        <v>#N/A</v>
      </c>
      <c r="J3198" s="24" t="s">
        <v>67</v>
      </c>
      <c r="K3198" s="94" t="s">
        <v>3335</v>
      </c>
      <c r="L3198" s="94"/>
      <c r="M3198" s="249"/>
      <c r="N3198" s="106">
        <v>44231</v>
      </c>
      <c r="O3198" s="94" t="s">
        <v>71</v>
      </c>
      <c r="P3198" s="317">
        <v>378</v>
      </c>
      <c r="Q3198" s="273">
        <v>130</v>
      </c>
      <c r="R3198" s="268">
        <f t="shared" si="75"/>
        <v>49140</v>
      </c>
      <c r="S3198" s="24">
        <v>202303</v>
      </c>
      <c r="T3198" s="127" t="s">
        <v>4081</v>
      </c>
      <c r="U3198" s="97"/>
      <c r="V3198" s="128"/>
      <c r="W3198" s="97"/>
      <c r="X3198" s="106">
        <v>44166</v>
      </c>
      <c r="Y3198" s="106">
        <v>45260</v>
      </c>
    </row>
    <row r="3199" s="9" customFormat="1" customHeight="1" spans="1:25">
      <c r="A3199" s="94" t="s">
        <v>61</v>
      </c>
      <c r="B3199" s="94" t="s">
        <v>4074</v>
      </c>
      <c r="C3199" s="94" t="s">
        <v>2998</v>
      </c>
      <c r="D3199" s="94" t="s">
        <v>2951</v>
      </c>
      <c r="E3199" s="105" t="s">
        <v>4075</v>
      </c>
      <c r="F3199" s="96" t="s">
        <v>4076</v>
      </c>
      <c r="G3199" s="96" t="s">
        <v>67</v>
      </c>
      <c r="H3199" s="19" t="s">
        <v>4080</v>
      </c>
      <c r="I3199" s="23" t="e">
        <f>VLOOKUP(H3199,'合同综合查询数据（3月返）'!$A:$A,1,FALSE)</f>
        <v>#N/A</v>
      </c>
      <c r="J3199" s="24" t="s">
        <v>4082</v>
      </c>
      <c r="K3199" s="94" t="s">
        <v>3335</v>
      </c>
      <c r="L3199" s="94"/>
      <c r="M3199" s="249"/>
      <c r="N3199" s="106">
        <v>44231</v>
      </c>
      <c r="O3199" s="94" t="s">
        <v>37</v>
      </c>
      <c r="P3199" s="317">
        <v>3000</v>
      </c>
      <c r="Q3199" s="273">
        <v>1</v>
      </c>
      <c r="R3199" s="268">
        <f t="shared" si="75"/>
        <v>3000</v>
      </c>
      <c r="S3199" s="24">
        <v>202303</v>
      </c>
      <c r="T3199" s="127" t="s">
        <v>4083</v>
      </c>
      <c r="U3199" s="97"/>
      <c r="V3199" s="128"/>
      <c r="W3199" s="97"/>
      <c r="X3199" s="106">
        <v>44166</v>
      </c>
      <c r="Y3199" s="106">
        <v>45260</v>
      </c>
    </row>
    <row r="3200" s="9" customFormat="1" customHeight="1" spans="1:25">
      <c r="A3200" s="94" t="s">
        <v>61</v>
      </c>
      <c r="B3200" s="94" t="s">
        <v>4074</v>
      </c>
      <c r="C3200" s="94" t="s">
        <v>2998</v>
      </c>
      <c r="D3200" s="94" t="s">
        <v>2951</v>
      </c>
      <c r="E3200" s="105" t="s">
        <v>4075</v>
      </c>
      <c r="F3200" s="96" t="s">
        <v>4076</v>
      </c>
      <c r="G3200" s="96" t="s">
        <v>67</v>
      </c>
      <c r="H3200" s="19" t="s">
        <v>4080</v>
      </c>
      <c r="I3200" s="23" t="e">
        <f>VLOOKUP(H3200,'合同综合查询数据（3月返）'!$A:$A,1,FALSE)</f>
        <v>#N/A</v>
      </c>
      <c r="J3200" s="24" t="s">
        <v>67</v>
      </c>
      <c r="K3200" s="94" t="s">
        <v>3335</v>
      </c>
      <c r="L3200" s="94"/>
      <c r="M3200" s="249"/>
      <c r="N3200" s="106">
        <v>44284</v>
      </c>
      <c r="O3200" s="94" t="s">
        <v>71</v>
      </c>
      <c r="P3200" s="317">
        <v>378</v>
      </c>
      <c r="Q3200" s="273">
        <v>90</v>
      </c>
      <c r="R3200" s="268">
        <f t="shared" si="75"/>
        <v>34020</v>
      </c>
      <c r="S3200" s="24">
        <v>202303</v>
      </c>
      <c r="T3200" s="127" t="s">
        <v>4084</v>
      </c>
      <c r="U3200" s="97"/>
      <c r="V3200" s="128"/>
      <c r="W3200" s="97"/>
      <c r="X3200" s="106">
        <v>44166</v>
      </c>
      <c r="Y3200" s="106">
        <v>45260</v>
      </c>
    </row>
    <row r="3201" s="9" customFormat="1" customHeight="1" spans="1:25">
      <c r="A3201" s="94" t="s">
        <v>61</v>
      </c>
      <c r="B3201" s="94" t="s">
        <v>4074</v>
      </c>
      <c r="C3201" s="94" t="s">
        <v>2998</v>
      </c>
      <c r="D3201" s="94" t="s">
        <v>2951</v>
      </c>
      <c r="E3201" s="105" t="s">
        <v>4075</v>
      </c>
      <c r="F3201" s="96" t="s">
        <v>4076</v>
      </c>
      <c r="G3201" s="96" t="s">
        <v>67</v>
      </c>
      <c r="H3201" s="19" t="s">
        <v>4080</v>
      </c>
      <c r="I3201" s="23" t="e">
        <f>VLOOKUP(H3201,'合同综合查询数据（3月返）'!$A:$A,1,FALSE)</f>
        <v>#N/A</v>
      </c>
      <c r="J3201" s="24" t="s">
        <v>67</v>
      </c>
      <c r="K3201" s="94" t="s">
        <v>3335</v>
      </c>
      <c r="L3201" s="94"/>
      <c r="M3201" s="249"/>
      <c r="N3201" s="106">
        <v>44284</v>
      </c>
      <c r="O3201" s="94" t="s">
        <v>71</v>
      </c>
      <c r="P3201" s="317">
        <v>378</v>
      </c>
      <c r="Q3201" s="273">
        <v>73</v>
      </c>
      <c r="R3201" s="268">
        <f t="shared" si="75"/>
        <v>27594</v>
      </c>
      <c r="S3201" s="24">
        <v>202303</v>
      </c>
      <c r="T3201" s="127" t="s">
        <v>4085</v>
      </c>
      <c r="U3201" s="97"/>
      <c r="V3201" s="128"/>
      <c r="W3201" s="97"/>
      <c r="X3201" s="106">
        <v>44166</v>
      </c>
      <c r="Y3201" s="106">
        <v>45260</v>
      </c>
    </row>
    <row r="3202" s="9" customFormat="1" customHeight="1" spans="1:25">
      <c r="A3202" s="94" t="s">
        <v>61</v>
      </c>
      <c r="B3202" s="94" t="s">
        <v>4074</v>
      </c>
      <c r="C3202" s="94" t="s">
        <v>2998</v>
      </c>
      <c r="D3202" s="94" t="s">
        <v>2951</v>
      </c>
      <c r="E3202" s="105" t="s">
        <v>4075</v>
      </c>
      <c r="F3202" s="96" t="s">
        <v>4076</v>
      </c>
      <c r="G3202" s="96" t="s">
        <v>67</v>
      </c>
      <c r="H3202" s="19" t="s">
        <v>4080</v>
      </c>
      <c r="I3202" s="23" t="e">
        <f>VLOOKUP(H3202,'合同综合查询数据（3月返）'!$A:$A,1,FALSE)</f>
        <v>#N/A</v>
      </c>
      <c r="J3202" s="24" t="s">
        <v>67</v>
      </c>
      <c r="K3202" s="94" t="s">
        <v>3335</v>
      </c>
      <c r="L3202" s="94"/>
      <c r="M3202" s="249"/>
      <c r="N3202" s="106">
        <v>44284</v>
      </c>
      <c r="O3202" s="94" t="s">
        <v>71</v>
      </c>
      <c r="P3202" s="317">
        <v>378</v>
      </c>
      <c r="Q3202" s="273">
        <v>95</v>
      </c>
      <c r="R3202" s="268">
        <f t="shared" si="75"/>
        <v>35910</v>
      </c>
      <c r="S3202" s="24">
        <v>202303</v>
      </c>
      <c r="T3202" s="127" t="s">
        <v>4086</v>
      </c>
      <c r="U3202" s="97"/>
      <c r="V3202" s="128"/>
      <c r="W3202" s="97"/>
      <c r="X3202" s="106">
        <v>44166</v>
      </c>
      <c r="Y3202" s="106">
        <v>45260</v>
      </c>
    </row>
    <row r="3203" s="9" customFormat="1" customHeight="1" spans="1:25">
      <c r="A3203" s="94" t="s">
        <v>61</v>
      </c>
      <c r="B3203" s="94" t="s">
        <v>4074</v>
      </c>
      <c r="C3203" s="94" t="s">
        <v>2998</v>
      </c>
      <c r="D3203" s="94" t="s">
        <v>2951</v>
      </c>
      <c r="E3203" s="105" t="s">
        <v>4075</v>
      </c>
      <c r="F3203" s="96" t="s">
        <v>4076</v>
      </c>
      <c r="G3203" s="96" t="s">
        <v>67</v>
      </c>
      <c r="H3203" s="19" t="s">
        <v>4080</v>
      </c>
      <c r="I3203" s="23" t="e">
        <f>VLOOKUP(H3203,'合同综合查询数据（3月返）'!$A:$A,1,FALSE)</f>
        <v>#N/A</v>
      </c>
      <c r="J3203" s="24" t="s">
        <v>67</v>
      </c>
      <c r="K3203" s="94" t="s">
        <v>3335</v>
      </c>
      <c r="L3203" s="94"/>
      <c r="M3203" s="249"/>
      <c r="N3203" s="106">
        <v>44284</v>
      </c>
      <c r="O3203" s="94" t="s">
        <v>71</v>
      </c>
      <c r="P3203" s="317">
        <v>378</v>
      </c>
      <c r="Q3203" s="273">
        <v>58</v>
      </c>
      <c r="R3203" s="268">
        <f t="shared" si="75"/>
        <v>21924</v>
      </c>
      <c r="S3203" s="24">
        <v>202303</v>
      </c>
      <c r="T3203" s="127" t="s">
        <v>4087</v>
      </c>
      <c r="U3203" s="97"/>
      <c r="V3203" s="128"/>
      <c r="W3203" s="97"/>
      <c r="X3203" s="106">
        <v>44166</v>
      </c>
      <c r="Y3203" s="106">
        <v>45260</v>
      </c>
    </row>
    <row r="3204" s="9" customFormat="1" customHeight="1" spans="1:25">
      <c r="A3204" s="94" t="s">
        <v>61</v>
      </c>
      <c r="B3204" s="94" t="s">
        <v>4074</v>
      </c>
      <c r="C3204" s="94" t="s">
        <v>2998</v>
      </c>
      <c r="D3204" s="94" t="s">
        <v>2951</v>
      </c>
      <c r="E3204" s="105" t="s">
        <v>4075</v>
      </c>
      <c r="F3204" s="96" t="s">
        <v>4076</v>
      </c>
      <c r="G3204" s="96" t="s">
        <v>67</v>
      </c>
      <c r="H3204" s="19" t="s">
        <v>4080</v>
      </c>
      <c r="I3204" s="23" t="e">
        <f>VLOOKUP(H3204,'合同综合查询数据（3月返）'!$A:$A,1,FALSE)</f>
        <v>#N/A</v>
      </c>
      <c r="J3204" s="24" t="s">
        <v>67</v>
      </c>
      <c r="K3204" s="94" t="s">
        <v>3335</v>
      </c>
      <c r="L3204" s="94"/>
      <c r="M3204" s="249"/>
      <c r="N3204" s="106">
        <v>44284</v>
      </c>
      <c r="O3204" s="94" t="s">
        <v>71</v>
      </c>
      <c r="P3204" s="317">
        <v>378</v>
      </c>
      <c r="Q3204" s="273">
        <v>80</v>
      </c>
      <c r="R3204" s="268">
        <f t="shared" si="75"/>
        <v>30240</v>
      </c>
      <c r="S3204" s="24">
        <v>202303</v>
      </c>
      <c r="T3204" s="127" t="s">
        <v>4088</v>
      </c>
      <c r="U3204" s="97"/>
      <c r="V3204" s="128"/>
      <c r="W3204" s="97"/>
      <c r="X3204" s="106">
        <v>44166</v>
      </c>
      <c r="Y3204" s="106">
        <v>45260</v>
      </c>
    </row>
    <row r="3205" s="9" customFormat="1" customHeight="1" spans="1:25">
      <c r="A3205" s="94" t="s">
        <v>61</v>
      </c>
      <c r="B3205" s="94" t="s">
        <v>4074</v>
      </c>
      <c r="C3205" s="94" t="s">
        <v>2998</v>
      </c>
      <c r="D3205" s="94" t="s">
        <v>2951</v>
      </c>
      <c r="E3205" s="105" t="s">
        <v>4075</v>
      </c>
      <c r="F3205" s="96" t="s">
        <v>4076</v>
      </c>
      <c r="G3205" s="96" t="s">
        <v>67</v>
      </c>
      <c r="H3205" s="19" t="s">
        <v>4080</v>
      </c>
      <c r="I3205" s="23" t="e">
        <f>VLOOKUP(H3205,'合同综合查询数据（3月返）'!$A:$A,1,FALSE)</f>
        <v>#N/A</v>
      </c>
      <c r="J3205" s="24" t="s">
        <v>67</v>
      </c>
      <c r="K3205" s="94" t="s">
        <v>3335</v>
      </c>
      <c r="L3205" s="94"/>
      <c r="M3205" s="249"/>
      <c r="N3205" s="106">
        <v>44284</v>
      </c>
      <c r="O3205" s="94" t="s">
        <v>71</v>
      </c>
      <c r="P3205" s="317">
        <v>378</v>
      </c>
      <c r="Q3205" s="273">
        <v>30</v>
      </c>
      <c r="R3205" s="268">
        <f t="shared" si="75"/>
        <v>11340</v>
      </c>
      <c r="S3205" s="24">
        <v>202303</v>
      </c>
      <c r="T3205" s="127" t="s">
        <v>4089</v>
      </c>
      <c r="U3205" s="97"/>
      <c r="V3205" s="128"/>
      <c r="W3205" s="97"/>
      <c r="X3205" s="106">
        <v>44166</v>
      </c>
      <c r="Y3205" s="106">
        <v>45260</v>
      </c>
    </row>
    <row r="3206" s="9" customFormat="1" customHeight="1" spans="1:25">
      <c r="A3206" s="94" t="s">
        <v>61</v>
      </c>
      <c r="B3206" s="94" t="s">
        <v>4074</v>
      </c>
      <c r="C3206" s="94" t="s">
        <v>2998</v>
      </c>
      <c r="D3206" s="94" t="s">
        <v>85</v>
      </c>
      <c r="E3206" s="105" t="s">
        <v>4090</v>
      </c>
      <c r="F3206" s="96" t="s">
        <v>4091</v>
      </c>
      <c r="G3206" s="96" t="s">
        <v>88</v>
      </c>
      <c r="H3206" s="19" t="s">
        <v>4092</v>
      </c>
      <c r="I3206" s="23" t="e">
        <f>VLOOKUP(H3206,'合同综合查询数据（3月返）'!$A:$A,1,FALSE)</f>
        <v>#N/A</v>
      </c>
      <c r="J3206" s="24" t="s">
        <v>90</v>
      </c>
      <c r="K3206" s="94" t="s">
        <v>4093</v>
      </c>
      <c r="L3206" s="94"/>
      <c r="M3206" s="249" t="s">
        <v>4094</v>
      </c>
      <c r="N3206" s="106">
        <v>44672</v>
      </c>
      <c r="O3206" s="94" t="s">
        <v>461</v>
      </c>
      <c r="P3206" s="317">
        <v>9825</v>
      </c>
      <c r="Q3206" s="273">
        <v>8</v>
      </c>
      <c r="R3206" s="268">
        <f t="shared" si="75"/>
        <v>78600</v>
      </c>
      <c r="S3206" s="24">
        <v>202303</v>
      </c>
      <c r="T3206" s="127" t="s">
        <v>4095</v>
      </c>
      <c r="U3206" s="97"/>
      <c r="V3206" s="128"/>
      <c r="W3206" s="97"/>
      <c r="X3206" s="106">
        <v>44713</v>
      </c>
      <c r="Y3206" s="106">
        <v>46538</v>
      </c>
    </row>
    <row r="3207" s="9" customFormat="1" customHeight="1" spans="1:25">
      <c r="A3207" s="94" t="s">
        <v>61</v>
      </c>
      <c r="B3207" s="94" t="s">
        <v>4074</v>
      </c>
      <c r="C3207" s="94" t="s">
        <v>2998</v>
      </c>
      <c r="D3207" s="94" t="s">
        <v>85</v>
      </c>
      <c r="E3207" s="105" t="s">
        <v>4090</v>
      </c>
      <c r="F3207" s="96" t="s">
        <v>4091</v>
      </c>
      <c r="G3207" s="96" t="s">
        <v>88</v>
      </c>
      <c r="H3207" s="19" t="s">
        <v>4092</v>
      </c>
      <c r="I3207" s="23" t="e">
        <f>VLOOKUP(H3207,'合同综合查询数据（3月返）'!$A:$A,1,FALSE)</f>
        <v>#N/A</v>
      </c>
      <c r="J3207" s="24" t="s">
        <v>90</v>
      </c>
      <c r="K3207" s="94" t="s">
        <v>4093</v>
      </c>
      <c r="L3207" s="94"/>
      <c r="M3207" s="249" t="s">
        <v>4094</v>
      </c>
      <c r="N3207" s="106">
        <v>44676</v>
      </c>
      <c r="O3207" s="94" t="s">
        <v>461</v>
      </c>
      <c r="P3207" s="317">
        <v>9825</v>
      </c>
      <c r="Q3207" s="273">
        <v>6</v>
      </c>
      <c r="R3207" s="268">
        <f t="shared" si="75"/>
        <v>58950</v>
      </c>
      <c r="S3207" s="24">
        <v>202303</v>
      </c>
      <c r="T3207" s="127" t="s">
        <v>4096</v>
      </c>
      <c r="U3207" s="97"/>
      <c r="V3207" s="128"/>
      <c r="W3207" s="97"/>
      <c r="X3207" s="106">
        <v>44713</v>
      </c>
      <c r="Y3207" s="106">
        <v>46538</v>
      </c>
    </row>
    <row r="3208" s="9" customFormat="1" customHeight="1" spans="1:25">
      <c r="A3208" s="94" t="s">
        <v>61</v>
      </c>
      <c r="B3208" s="94" t="s">
        <v>4074</v>
      </c>
      <c r="C3208" s="94" t="s">
        <v>2998</v>
      </c>
      <c r="D3208" s="94" t="s">
        <v>85</v>
      </c>
      <c r="E3208" s="105" t="s">
        <v>4090</v>
      </c>
      <c r="F3208" s="96" t="s">
        <v>4091</v>
      </c>
      <c r="G3208" s="96" t="s">
        <v>88</v>
      </c>
      <c r="H3208" s="19" t="s">
        <v>4092</v>
      </c>
      <c r="I3208" s="23" t="e">
        <f>VLOOKUP(H3208,'合同综合查询数据（3月返）'!$A:$A,1,FALSE)</f>
        <v>#N/A</v>
      </c>
      <c r="J3208" s="24" t="s">
        <v>90</v>
      </c>
      <c r="K3208" s="94" t="s">
        <v>4093</v>
      </c>
      <c r="L3208" s="94"/>
      <c r="M3208" s="249" t="s">
        <v>4094</v>
      </c>
      <c r="N3208" s="106">
        <v>44706</v>
      </c>
      <c r="O3208" s="94" t="s">
        <v>545</v>
      </c>
      <c r="P3208" s="317">
        <v>2310</v>
      </c>
      <c r="Q3208" s="273">
        <v>8</v>
      </c>
      <c r="R3208" s="268">
        <f t="shared" si="75"/>
        <v>18480</v>
      </c>
      <c r="S3208" s="24">
        <v>202303</v>
      </c>
      <c r="T3208" s="127" t="s">
        <v>4097</v>
      </c>
      <c r="U3208" s="97"/>
      <c r="V3208" s="128"/>
      <c r="W3208" s="97"/>
      <c r="X3208" s="106">
        <v>44713</v>
      </c>
      <c r="Y3208" s="106">
        <v>46538</v>
      </c>
    </row>
    <row r="3209" s="9" customFormat="1" customHeight="1" spans="1:25">
      <c r="A3209" s="94" t="s">
        <v>61</v>
      </c>
      <c r="B3209" s="94" t="s">
        <v>4074</v>
      </c>
      <c r="C3209" s="94" t="s">
        <v>2998</v>
      </c>
      <c r="D3209" s="94" t="s">
        <v>85</v>
      </c>
      <c r="E3209" s="105" t="s">
        <v>4090</v>
      </c>
      <c r="F3209" s="96" t="s">
        <v>4091</v>
      </c>
      <c r="G3209" s="96" t="s">
        <v>88</v>
      </c>
      <c r="H3209" s="19" t="s">
        <v>4092</v>
      </c>
      <c r="I3209" s="23" t="e">
        <f>VLOOKUP(H3209,'合同综合查询数据（3月返）'!$A:$A,1,FALSE)</f>
        <v>#N/A</v>
      </c>
      <c r="J3209" s="24" t="s">
        <v>90</v>
      </c>
      <c r="K3209" s="94" t="s">
        <v>4093</v>
      </c>
      <c r="L3209" s="94"/>
      <c r="M3209" s="249" t="s">
        <v>4094</v>
      </c>
      <c r="N3209" s="106">
        <v>44713</v>
      </c>
      <c r="O3209" s="94" t="s">
        <v>457</v>
      </c>
      <c r="P3209" s="317">
        <v>4899</v>
      </c>
      <c r="Q3209" s="273">
        <v>3</v>
      </c>
      <c r="R3209" s="268">
        <f t="shared" si="75"/>
        <v>14697</v>
      </c>
      <c r="S3209" s="24">
        <v>202303</v>
      </c>
      <c r="T3209" s="127" t="s">
        <v>4098</v>
      </c>
      <c r="U3209" s="97"/>
      <c r="V3209" s="128"/>
      <c r="W3209" s="97"/>
      <c r="X3209" s="106">
        <v>44713</v>
      </c>
      <c r="Y3209" s="106">
        <v>46538</v>
      </c>
    </row>
    <row r="3210" s="9" customFormat="1" customHeight="1" spans="1:25">
      <c r="A3210" s="94" t="s">
        <v>61</v>
      </c>
      <c r="B3210" s="94" t="s">
        <v>4074</v>
      </c>
      <c r="C3210" s="94" t="s">
        <v>2998</v>
      </c>
      <c r="D3210" s="94" t="s">
        <v>85</v>
      </c>
      <c r="E3210" s="105" t="s">
        <v>4090</v>
      </c>
      <c r="F3210" s="96" t="s">
        <v>4091</v>
      </c>
      <c r="G3210" s="96" t="s">
        <v>88</v>
      </c>
      <c r="H3210" s="19" t="s">
        <v>4092</v>
      </c>
      <c r="I3210" s="23" t="e">
        <f>VLOOKUP(H3210,'合同综合查询数据（3月返）'!$A:$A,1,FALSE)</f>
        <v>#N/A</v>
      </c>
      <c r="J3210" s="24" t="s">
        <v>90</v>
      </c>
      <c r="K3210" s="94" t="s">
        <v>4093</v>
      </c>
      <c r="L3210" s="94"/>
      <c r="M3210" s="249" t="s">
        <v>4094</v>
      </c>
      <c r="N3210" s="106">
        <v>44713</v>
      </c>
      <c r="O3210" s="94" t="s">
        <v>461</v>
      </c>
      <c r="P3210" s="317">
        <v>9825</v>
      </c>
      <c r="Q3210" s="273">
        <v>83</v>
      </c>
      <c r="R3210" s="268">
        <f t="shared" si="75"/>
        <v>815475</v>
      </c>
      <c r="S3210" s="24">
        <v>202303</v>
      </c>
      <c r="T3210" s="127" t="s">
        <v>4099</v>
      </c>
      <c r="U3210" s="97"/>
      <c r="V3210" s="128"/>
      <c r="W3210" s="97"/>
      <c r="X3210" s="106">
        <v>44713</v>
      </c>
      <c r="Y3210" s="106">
        <v>46538</v>
      </c>
    </row>
    <row r="3211" s="9" customFormat="1" customHeight="1" spans="1:25">
      <c r="A3211" s="94" t="s">
        <v>61</v>
      </c>
      <c r="B3211" s="94" t="s">
        <v>4074</v>
      </c>
      <c r="C3211" s="94" t="s">
        <v>2998</v>
      </c>
      <c r="D3211" s="94" t="s">
        <v>85</v>
      </c>
      <c r="E3211" s="105" t="s">
        <v>4090</v>
      </c>
      <c r="F3211" s="96" t="s">
        <v>4091</v>
      </c>
      <c r="G3211" s="96" t="s">
        <v>88</v>
      </c>
      <c r="H3211" s="19" t="s">
        <v>4092</v>
      </c>
      <c r="I3211" s="23" t="e">
        <f>VLOOKUP(H3211,'合同综合查询数据（3月返）'!$A:$A,1,FALSE)</f>
        <v>#N/A</v>
      </c>
      <c r="J3211" s="24" t="s">
        <v>90</v>
      </c>
      <c r="K3211" s="94" t="s">
        <v>4093</v>
      </c>
      <c r="L3211" s="94"/>
      <c r="M3211" s="249" t="s">
        <v>4094</v>
      </c>
      <c r="N3211" s="106">
        <v>44713</v>
      </c>
      <c r="O3211" s="94" t="s">
        <v>457</v>
      </c>
      <c r="P3211" s="317">
        <v>4899</v>
      </c>
      <c r="Q3211" s="273">
        <v>3</v>
      </c>
      <c r="R3211" s="268">
        <f t="shared" si="75"/>
        <v>14697</v>
      </c>
      <c r="S3211" s="24">
        <v>202303</v>
      </c>
      <c r="T3211" s="127" t="s">
        <v>4100</v>
      </c>
      <c r="U3211" s="97"/>
      <c r="V3211" s="128"/>
      <c r="W3211" s="97"/>
      <c r="X3211" s="106">
        <v>44713</v>
      </c>
      <c r="Y3211" s="106">
        <v>46538</v>
      </c>
    </row>
    <row r="3212" s="9" customFormat="1" customHeight="1" spans="1:25">
      <c r="A3212" s="94" t="s">
        <v>61</v>
      </c>
      <c r="B3212" s="94" t="s">
        <v>4074</v>
      </c>
      <c r="C3212" s="94" t="s">
        <v>2998</v>
      </c>
      <c r="D3212" s="94" t="s">
        <v>85</v>
      </c>
      <c r="E3212" s="105" t="s">
        <v>4090</v>
      </c>
      <c r="F3212" s="96" t="s">
        <v>4091</v>
      </c>
      <c r="G3212" s="96" t="s">
        <v>88</v>
      </c>
      <c r="H3212" s="19" t="s">
        <v>4092</v>
      </c>
      <c r="I3212" s="23" t="e">
        <f>VLOOKUP(H3212,'合同综合查询数据（3月返）'!$A:$A,1,FALSE)</f>
        <v>#N/A</v>
      </c>
      <c r="J3212" s="24" t="s">
        <v>90</v>
      </c>
      <c r="K3212" s="94" t="s">
        <v>4093</v>
      </c>
      <c r="L3212" s="94"/>
      <c r="M3212" s="249" t="s">
        <v>4094</v>
      </c>
      <c r="N3212" s="106">
        <v>44713</v>
      </c>
      <c r="O3212" s="94" t="s">
        <v>574</v>
      </c>
      <c r="P3212" s="317">
        <v>16747</v>
      </c>
      <c r="Q3212" s="273">
        <v>2</v>
      </c>
      <c r="R3212" s="268">
        <f t="shared" si="75"/>
        <v>33494</v>
      </c>
      <c r="S3212" s="24">
        <v>202303</v>
      </c>
      <c r="T3212" s="127" t="s">
        <v>4101</v>
      </c>
      <c r="U3212" s="97"/>
      <c r="V3212" s="128"/>
      <c r="W3212" s="97"/>
      <c r="X3212" s="106">
        <v>44713</v>
      </c>
      <c r="Y3212" s="106">
        <v>46538</v>
      </c>
    </row>
    <row r="3213" s="9" customFormat="1" customHeight="1" spans="1:25">
      <c r="A3213" s="94" t="s">
        <v>61</v>
      </c>
      <c r="B3213" s="94" t="s">
        <v>4074</v>
      </c>
      <c r="C3213" s="94" t="s">
        <v>2998</v>
      </c>
      <c r="D3213" s="94" t="s">
        <v>85</v>
      </c>
      <c r="E3213" s="105" t="s">
        <v>4090</v>
      </c>
      <c r="F3213" s="96" t="s">
        <v>4091</v>
      </c>
      <c r="G3213" s="96" t="s">
        <v>88</v>
      </c>
      <c r="H3213" s="19" t="s">
        <v>4092</v>
      </c>
      <c r="I3213" s="23" t="e">
        <f>VLOOKUP(H3213,'合同综合查询数据（3月返）'!$A:$A,1,FALSE)</f>
        <v>#N/A</v>
      </c>
      <c r="J3213" s="24" t="s">
        <v>90</v>
      </c>
      <c r="K3213" s="94" t="s">
        <v>4093</v>
      </c>
      <c r="L3213" s="94"/>
      <c r="M3213" s="249" t="s">
        <v>4094</v>
      </c>
      <c r="N3213" s="106">
        <v>44713</v>
      </c>
      <c r="O3213" s="94" t="s">
        <v>540</v>
      </c>
      <c r="P3213" s="317">
        <v>22330</v>
      </c>
      <c r="Q3213" s="273">
        <v>4</v>
      </c>
      <c r="R3213" s="268">
        <f t="shared" si="75"/>
        <v>89320</v>
      </c>
      <c r="S3213" s="24">
        <v>202303</v>
      </c>
      <c r="T3213" s="127" t="s">
        <v>4102</v>
      </c>
      <c r="U3213" s="97"/>
      <c r="V3213" s="128"/>
      <c r="W3213" s="97"/>
      <c r="X3213" s="106">
        <v>44713</v>
      </c>
      <c r="Y3213" s="106">
        <v>46538</v>
      </c>
    </row>
    <row r="3214" s="9" customFormat="1" customHeight="1" spans="1:25">
      <c r="A3214" s="94" t="s">
        <v>61</v>
      </c>
      <c r="B3214" s="94" t="s">
        <v>4074</v>
      </c>
      <c r="C3214" s="94" t="s">
        <v>2998</v>
      </c>
      <c r="D3214" s="94" t="s">
        <v>85</v>
      </c>
      <c r="E3214" s="105" t="s">
        <v>4090</v>
      </c>
      <c r="F3214" s="96" t="s">
        <v>4091</v>
      </c>
      <c r="G3214" s="96" t="s">
        <v>88</v>
      </c>
      <c r="H3214" s="19" t="s">
        <v>4092</v>
      </c>
      <c r="I3214" s="23" t="e">
        <f>VLOOKUP(H3214,'合同综合查询数据（3月返）'!$A:$A,1,FALSE)</f>
        <v>#N/A</v>
      </c>
      <c r="J3214" s="24" t="s">
        <v>90</v>
      </c>
      <c r="K3214" s="94" t="s">
        <v>4093</v>
      </c>
      <c r="L3214" s="94"/>
      <c r="M3214" s="249" t="s">
        <v>4094</v>
      </c>
      <c r="N3214" s="106">
        <v>44728</v>
      </c>
      <c r="O3214" s="94" t="s">
        <v>461</v>
      </c>
      <c r="P3214" s="317">
        <v>9825</v>
      </c>
      <c r="Q3214" s="273">
        <v>1</v>
      </c>
      <c r="R3214" s="268">
        <f t="shared" si="75"/>
        <v>9825</v>
      </c>
      <c r="S3214" s="24">
        <v>202303</v>
      </c>
      <c r="T3214" s="127" t="s">
        <v>4103</v>
      </c>
      <c r="U3214" s="97"/>
      <c r="V3214" s="128"/>
      <c r="W3214" s="97"/>
      <c r="X3214" s="106">
        <v>44713</v>
      </c>
      <c r="Y3214" s="106">
        <v>46538</v>
      </c>
    </row>
    <row r="3215" s="9" customFormat="1" customHeight="1" spans="1:25">
      <c r="A3215" s="94" t="s">
        <v>61</v>
      </c>
      <c r="B3215" s="94" t="s">
        <v>4074</v>
      </c>
      <c r="C3215" s="94" t="s">
        <v>2998</v>
      </c>
      <c r="D3215" s="94" t="s">
        <v>85</v>
      </c>
      <c r="E3215" s="105" t="s">
        <v>4090</v>
      </c>
      <c r="F3215" s="96" t="s">
        <v>4091</v>
      </c>
      <c r="G3215" s="96" t="s">
        <v>88</v>
      </c>
      <c r="H3215" s="19" t="s">
        <v>4092</v>
      </c>
      <c r="I3215" s="23" t="e">
        <f>VLOOKUP(H3215,'合同综合查询数据（3月返）'!$A:$A,1,FALSE)</f>
        <v>#N/A</v>
      </c>
      <c r="J3215" s="24" t="s">
        <v>90</v>
      </c>
      <c r="K3215" s="94" t="s">
        <v>4093</v>
      </c>
      <c r="L3215" s="94"/>
      <c r="M3215" s="249" t="s">
        <v>4094</v>
      </c>
      <c r="N3215" s="106">
        <v>44733</v>
      </c>
      <c r="O3215" s="94" t="s">
        <v>461</v>
      </c>
      <c r="P3215" s="317">
        <v>9825</v>
      </c>
      <c r="Q3215" s="273">
        <v>11</v>
      </c>
      <c r="R3215" s="268">
        <f t="shared" si="75"/>
        <v>108075</v>
      </c>
      <c r="S3215" s="24">
        <v>202303</v>
      </c>
      <c r="T3215" s="127" t="s">
        <v>4104</v>
      </c>
      <c r="U3215" s="97"/>
      <c r="V3215" s="128"/>
      <c r="W3215" s="97"/>
      <c r="X3215" s="106">
        <v>44713</v>
      </c>
      <c r="Y3215" s="106">
        <v>46538</v>
      </c>
    </row>
    <row r="3216" s="9" customFormat="1" customHeight="1" spans="1:25">
      <c r="A3216" s="94" t="s">
        <v>61</v>
      </c>
      <c r="B3216" s="94" t="s">
        <v>4074</v>
      </c>
      <c r="C3216" s="94" t="s">
        <v>2998</v>
      </c>
      <c r="D3216" s="94" t="s">
        <v>85</v>
      </c>
      <c r="E3216" s="105" t="s">
        <v>4090</v>
      </c>
      <c r="F3216" s="96" t="s">
        <v>4091</v>
      </c>
      <c r="G3216" s="96" t="s">
        <v>88</v>
      </c>
      <c r="H3216" s="19" t="s">
        <v>4092</v>
      </c>
      <c r="I3216" s="23" t="e">
        <f>VLOOKUP(H3216,'合同综合查询数据（3月返）'!$A:$A,1,FALSE)</f>
        <v>#N/A</v>
      </c>
      <c r="J3216" s="24" t="s">
        <v>90</v>
      </c>
      <c r="K3216" s="94" t="s">
        <v>4093</v>
      </c>
      <c r="L3216" s="94"/>
      <c r="M3216" s="249" t="s">
        <v>4094</v>
      </c>
      <c r="N3216" s="106">
        <v>44728</v>
      </c>
      <c r="O3216" s="94" t="s">
        <v>574</v>
      </c>
      <c r="P3216" s="317">
        <v>16747</v>
      </c>
      <c r="Q3216" s="273">
        <v>2</v>
      </c>
      <c r="R3216" s="268">
        <f t="shared" si="75"/>
        <v>33494</v>
      </c>
      <c r="S3216" s="24">
        <v>202303</v>
      </c>
      <c r="T3216" s="127" t="s">
        <v>4105</v>
      </c>
      <c r="U3216" s="97"/>
      <c r="V3216" s="128"/>
      <c r="W3216" s="97"/>
      <c r="X3216" s="106">
        <v>44713</v>
      </c>
      <c r="Y3216" s="106">
        <v>46538</v>
      </c>
    </row>
    <row r="3217" s="9" customFormat="1" customHeight="1" spans="1:25">
      <c r="A3217" s="94" t="s">
        <v>61</v>
      </c>
      <c r="B3217" s="94" t="s">
        <v>4074</v>
      </c>
      <c r="C3217" s="94" t="s">
        <v>2998</v>
      </c>
      <c r="D3217" s="94" t="s">
        <v>85</v>
      </c>
      <c r="E3217" s="105" t="s">
        <v>4090</v>
      </c>
      <c r="F3217" s="96" t="s">
        <v>4091</v>
      </c>
      <c r="G3217" s="96" t="s">
        <v>88</v>
      </c>
      <c r="H3217" s="19" t="s">
        <v>4092</v>
      </c>
      <c r="I3217" s="23" t="e">
        <f>VLOOKUP(H3217,'合同综合查询数据（3月返）'!$A:$A,1,FALSE)</f>
        <v>#N/A</v>
      </c>
      <c r="J3217" s="24" t="s">
        <v>90</v>
      </c>
      <c r="K3217" s="94" t="s">
        <v>4093</v>
      </c>
      <c r="L3217" s="94"/>
      <c r="M3217" s="249" t="s">
        <v>4094</v>
      </c>
      <c r="N3217" s="106">
        <v>44746</v>
      </c>
      <c r="O3217" s="94" t="s">
        <v>461</v>
      </c>
      <c r="P3217" s="317">
        <v>9825</v>
      </c>
      <c r="Q3217" s="273">
        <v>4</v>
      </c>
      <c r="R3217" s="268">
        <f t="shared" si="75"/>
        <v>39300</v>
      </c>
      <c r="S3217" s="24">
        <v>202303</v>
      </c>
      <c r="T3217" s="127" t="s">
        <v>4106</v>
      </c>
      <c r="U3217" s="97"/>
      <c r="V3217" s="128"/>
      <c r="W3217" s="97"/>
      <c r="X3217" s="106">
        <v>44713</v>
      </c>
      <c r="Y3217" s="106">
        <v>46538</v>
      </c>
    </row>
    <row r="3218" s="9" customFormat="1" customHeight="1" spans="1:25">
      <c r="A3218" s="94" t="s">
        <v>61</v>
      </c>
      <c r="B3218" s="94" t="s">
        <v>4074</v>
      </c>
      <c r="C3218" s="94" t="s">
        <v>2998</v>
      </c>
      <c r="D3218" s="94" t="s">
        <v>85</v>
      </c>
      <c r="E3218" s="105" t="s">
        <v>4090</v>
      </c>
      <c r="F3218" s="96" t="s">
        <v>4091</v>
      </c>
      <c r="G3218" s="96" t="s">
        <v>88</v>
      </c>
      <c r="H3218" s="19" t="s">
        <v>4092</v>
      </c>
      <c r="I3218" s="23" t="e">
        <f>VLOOKUP(H3218,'合同综合查询数据（3月返）'!$A:$A,1,FALSE)</f>
        <v>#N/A</v>
      </c>
      <c r="J3218" s="24" t="s">
        <v>90</v>
      </c>
      <c r="K3218" s="94" t="s">
        <v>4093</v>
      </c>
      <c r="L3218" s="94"/>
      <c r="M3218" s="249" t="s">
        <v>4094</v>
      </c>
      <c r="N3218" s="106">
        <v>44754</v>
      </c>
      <c r="O3218" s="94" t="s">
        <v>461</v>
      </c>
      <c r="P3218" s="317">
        <v>9825</v>
      </c>
      <c r="Q3218" s="273">
        <v>4</v>
      </c>
      <c r="R3218" s="268">
        <f t="shared" si="75"/>
        <v>39300</v>
      </c>
      <c r="S3218" s="24">
        <v>202303</v>
      </c>
      <c r="T3218" s="127" t="s">
        <v>4107</v>
      </c>
      <c r="U3218" s="97"/>
      <c r="V3218" s="128"/>
      <c r="W3218" s="97"/>
      <c r="X3218" s="106">
        <v>44713</v>
      </c>
      <c r="Y3218" s="106">
        <v>46538</v>
      </c>
    </row>
    <row r="3219" s="9" customFormat="1" customHeight="1" spans="1:25">
      <c r="A3219" s="94" t="s">
        <v>61</v>
      </c>
      <c r="B3219" s="94" t="s">
        <v>4074</v>
      </c>
      <c r="C3219" s="94" t="s">
        <v>2998</v>
      </c>
      <c r="D3219" s="94" t="s">
        <v>85</v>
      </c>
      <c r="E3219" s="105" t="s">
        <v>4090</v>
      </c>
      <c r="F3219" s="96" t="s">
        <v>4091</v>
      </c>
      <c r="G3219" s="96" t="s">
        <v>88</v>
      </c>
      <c r="H3219" s="19" t="s">
        <v>4092</v>
      </c>
      <c r="I3219" s="23" t="e">
        <f>VLOOKUP(H3219,'合同综合查询数据（3月返）'!$A:$A,1,FALSE)</f>
        <v>#N/A</v>
      </c>
      <c r="J3219" s="24" t="s">
        <v>90</v>
      </c>
      <c r="K3219" s="94" t="s">
        <v>4093</v>
      </c>
      <c r="L3219" s="94"/>
      <c r="M3219" s="249" t="s">
        <v>4094</v>
      </c>
      <c r="N3219" s="106">
        <v>44756</v>
      </c>
      <c r="O3219" s="94" t="s">
        <v>461</v>
      </c>
      <c r="P3219" s="317">
        <v>9825</v>
      </c>
      <c r="Q3219" s="273">
        <v>2</v>
      </c>
      <c r="R3219" s="268">
        <f t="shared" si="75"/>
        <v>19650</v>
      </c>
      <c r="S3219" s="24">
        <v>202303</v>
      </c>
      <c r="T3219" s="127" t="s">
        <v>4108</v>
      </c>
      <c r="U3219" s="97"/>
      <c r="V3219" s="128"/>
      <c r="W3219" s="97"/>
      <c r="X3219" s="106">
        <v>44713</v>
      </c>
      <c r="Y3219" s="106">
        <v>46538</v>
      </c>
    </row>
    <row r="3220" s="9" customFormat="1" customHeight="1" spans="1:25">
      <c r="A3220" s="94" t="s">
        <v>61</v>
      </c>
      <c r="B3220" s="94" t="s">
        <v>4074</v>
      </c>
      <c r="C3220" s="94" t="s">
        <v>2998</v>
      </c>
      <c r="D3220" s="94" t="s">
        <v>85</v>
      </c>
      <c r="E3220" s="105" t="s">
        <v>4090</v>
      </c>
      <c r="F3220" s="96" t="s">
        <v>4091</v>
      </c>
      <c r="G3220" s="96" t="s">
        <v>88</v>
      </c>
      <c r="H3220" s="19" t="s">
        <v>4092</v>
      </c>
      <c r="I3220" s="23" t="e">
        <f>VLOOKUP(H3220,'合同综合查询数据（3月返）'!$A:$A,1,FALSE)</f>
        <v>#N/A</v>
      </c>
      <c r="J3220" s="24" t="s">
        <v>90</v>
      </c>
      <c r="K3220" s="94" t="s">
        <v>4093</v>
      </c>
      <c r="L3220" s="94"/>
      <c r="M3220" s="249" t="s">
        <v>4094</v>
      </c>
      <c r="N3220" s="106">
        <v>44775</v>
      </c>
      <c r="O3220" s="94" t="s">
        <v>461</v>
      </c>
      <c r="P3220" s="317">
        <v>9825</v>
      </c>
      <c r="Q3220" s="273">
        <v>2</v>
      </c>
      <c r="R3220" s="268">
        <f t="shared" si="75"/>
        <v>19650</v>
      </c>
      <c r="S3220" s="24">
        <v>202303</v>
      </c>
      <c r="T3220" s="127" t="s">
        <v>4109</v>
      </c>
      <c r="U3220" s="97"/>
      <c r="V3220" s="128"/>
      <c r="W3220" s="97"/>
      <c r="X3220" s="106">
        <v>44713</v>
      </c>
      <c r="Y3220" s="106">
        <v>46538</v>
      </c>
    </row>
    <row r="3221" s="9" customFormat="1" customHeight="1" spans="1:25">
      <c r="A3221" s="94" t="s">
        <v>61</v>
      </c>
      <c r="B3221" s="94" t="s">
        <v>4074</v>
      </c>
      <c r="C3221" s="94" t="s">
        <v>2998</v>
      </c>
      <c r="D3221" s="94" t="s">
        <v>85</v>
      </c>
      <c r="E3221" s="105" t="s">
        <v>4090</v>
      </c>
      <c r="F3221" s="96" t="s">
        <v>4091</v>
      </c>
      <c r="G3221" s="96" t="s">
        <v>88</v>
      </c>
      <c r="H3221" s="19" t="s">
        <v>4092</v>
      </c>
      <c r="I3221" s="23" t="e">
        <f>VLOOKUP(H3221,'合同综合查询数据（3月返）'!$A:$A,1,FALSE)</f>
        <v>#N/A</v>
      </c>
      <c r="J3221" s="24" t="s">
        <v>90</v>
      </c>
      <c r="K3221" s="94" t="s">
        <v>4093</v>
      </c>
      <c r="L3221" s="94"/>
      <c r="M3221" s="249" t="s">
        <v>4094</v>
      </c>
      <c r="N3221" s="106">
        <v>44785</v>
      </c>
      <c r="O3221" s="94" t="s">
        <v>461</v>
      </c>
      <c r="P3221" s="317">
        <v>9825</v>
      </c>
      <c r="Q3221" s="273">
        <v>13</v>
      </c>
      <c r="R3221" s="268">
        <f t="shared" si="75"/>
        <v>127725</v>
      </c>
      <c r="S3221" s="24">
        <v>202303</v>
      </c>
      <c r="T3221" s="127" t="s">
        <v>4110</v>
      </c>
      <c r="U3221" s="97"/>
      <c r="V3221" s="128"/>
      <c r="W3221" s="97"/>
      <c r="X3221" s="106">
        <v>44713</v>
      </c>
      <c r="Y3221" s="106">
        <v>46538</v>
      </c>
    </row>
    <row r="3222" s="9" customFormat="1" customHeight="1" spans="1:25">
      <c r="A3222" s="94" t="s">
        <v>61</v>
      </c>
      <c r="B3222" s="94" t="s">
        <v>4074</v>
      </c>
      <c r="C3222" s="94" t="s">
        <v>2998</v>
      </c>
      <c r="D3222" s="94" t="s">
        <v>85</v>
      </c>
      <c r="E3222" s="105" t="s">
        <v>4090</v>
      </c>
      <c r="F3222" s="96" t="s">
        <v>4091</v>
      </c>
      <c r="G3222" s="96" t="s">
        <v>88</v>
      </c>
      <c r="H3222" s="19" t="s">
        <v>4092</v>
      </c>
      <c r="I3222" s="23" t="e">
        <f>VLOOKUP(H3222,'合同综合查询数据（3月返）'!$A:$A,1,FALSE)</f>
        <v>#N/A</v>
      </c>
      <c r="J3222" s="24" t="s">
        <v>90</v>
      </c>
      <c r="K3222" s="94" t="s">
        <v>4093</v>
      </c>
      <c r="L3222" s="94"/>
      <c r="M3222" s="249" t="s">
        <v>4094</v>
      </c>
      <c r="N3222" s="106">
        <v>44790</v>
      </c>
      <c r="O3222" s="94" t="s">
        <v>461</v>
      </c>
      <c r="P3222" s="317">
        <v>9825</v>
      </c>
      <c r="Q3222" s="273">
        <v>2</v>
      </c>
      <c r="R3222" s="268">
        <f t="shared" si="75"/>
        <v>19650</v>
      </c>
      <c r="S3222" s="24">
        <v>202303</v>
      </c>
      <c r="T3222" s="127" t="s">
        <v>4111</v>
      </c>
      <c r="U3222" s="97"/>
      <c r="V3222" s="128"/>
      <c r="W3222" s="97"/>
      <c r="X3222" s="106">
        <v>44713</v>
      </c>
      <c r="Y3222" s="106">
        <v>46538</v>
      </c>
    </row>
    <row r="3223" s="9" customFormat="1" customHeight="1" spans="1:25">
      <c r="A3223" s="94" t="s">
        <v>61</v>
      </c>
      <c r="B3223" s="94" t="s">
        <v>4074</v>
      </c>
      <c r="C3223" s="94" t="s">
        <v>2998</v>
      </c>
      <c r="D3223" s="94" t="s">
        <v>85</v>
      </c>
      <c r="E3223" s="105" t="s">
        <v>4090</v>
      </c>
      <c r="F3223" s="96" t="s">
        <v>4091</v>
      </c>
      <c r="G3223" s="96" t="s">
        <v>88</v>
      </c>
      <c r="H3223" s="19" t="s">
        <v>4092</v>
      </c>
      <c r="I3223" s="23" t="e">
        <f>VLOOKUP(H3223,'合同综合查询数据（3月返）'!$A:$A,1,FALSE)</f>
        <v>#N/A</v>
      </c>
      <c r="J3223" s="24" t="s">
        <v>90</v>
      </c>
      <c r="K3223" s="94" t="s">
        <v>4093</v>
      </c>
      <c r="L3223" s="94"/>
      <c r="M3223" s="249" t="s">
        <v>4094</v>
      </c>
      <c r="N3223" s="106">
        <v>44795</v>
      </c>
      <c r="O3223" s="94" t="s">
        <v>461</v>
      </c>
      <c r="P3223" s="317">
        <v>9825</v>
      </c>
      <c r="Q3223" s="273">
        <v>4</v>
      </c>
      <c r="R3223" s="268">
        <f t="shared" si="75"/>
        <v>39300</v>
      </c>
      <c r="S3223" s="24">
        <v>202303</v>
      </c>
      <c r="T3223" s="127" t="s">
        <v>4112</v>
      </c>
      <c r="U3223" s="97"/>
      <c r="V3223" s="128"/>
      <c r="W3223" s="97"/>
      <c r="X3223" s="106">
        <v>44713</v>
      </c>
      <c r="Y3223" s="106">
        <v>46538</v>
      </c>
    </row>
    <row r="3224" s="9" customFormat="1" customHeight="1" spans="1:25">
      <c r="A3224" s="94" t="s">
        <v>61</v>
      </c>
      <c r="B3224" s="94" t="s">
        <v>4074</v>
      </c>
      <c r="C3224" s="94" t="s">
        <v>2998</v>
      </c>
      <c r="D3224" s="94" t="s">
        <v>85</v>
      </c>
      <c r="E3224" s="105" t="s">
        <v>4090</v>
      </c>
      <c r="F3224" s="96" t="s">
        <v>4091</v>
      </c>
      <c r="G3224" s="96" t="s">
        <v>88</v>
      </c>
      <c r="H3224" s="19" t="s">
        <v>4092</v>
      </c>
      <c r="I3224" s="23" t="e">
        <f>VLOOKUP(H3224,'合同综合查询数据（3月返）'!$A:$A,1,FALSE)</f>
        <v>#N/A</v>
      </c>
      <c r="J3224" s="24" t="s">
        <v>90</v>
      </c>
      <c r="K3224" s="94" t="s">
        <v>4093</v>
      </c>
      <c r="L3224" s="94"/>
      <c r="M3224" s="249" t="s">
        <v>4094</v>
      </c>
      <c r="N3224" s="106">
        <v>44799</v>
      </c>
      <c r="O3224" s="94" t="s">
        <v>461</v>
      </c>
      <c r="P3224" s="317">
        <v>9825</v>
      </c>
      <c r="Q3224" s="273">
        <v>3</v>
      </c>
      <c r="R3224" s="268">
        <f t="shared" si="75"/>
        <v>29475</v>
      </c>
      <c r="S3224" s="24">
        <v>202303</v>
      </c>
      <c r="T3224" s="127" t="s">
        <v>4113</v>
      </c>
      <c r="U3224" s="97"/>
      <c r="V3224" s="128"/>
      <c r="W3224" s="97"/>
      <c r="X3224" s="106">
        <v>44713</v>
      </c>
      <c r="Y3224" s="106">
        <v>46538</v>
      </c>
    </row>
    <row r="3225" s="9" customFormat="1" customHeight="1" spans="1:25">
      <c r="A3225" s="94" t="s">
        <v>61</v>
      </c>
      <c r="B3225" s="94" t="s">
        <v>4074</v>
      </c>
      <c r="C3225" s="94" t="s">
        <v>2998</v>
      </c>
      <c r="D3225" s="94" t="s">
        <v>85</v>
      </c>
      <c r="E3225" s="105" t="s">
        <v>4090</v>
      </c>
      <c r="F3225" s="96" t="s">
        <v>4091</v>
      </c>
      <c r="G3225" s="96" t="s">
        <v>88</v>
      </c>
      <c r="H3225" s="19" t="s">
        <v>4092</v>
      </c>
      <c r="I3225" s="23" t="e">
        <f>VLOOKUP(H3225,'合同综合查询数据（3月返）'!$A:$A,1,FALSE)</f>
        <v>#N/A</v>
      </c>
      <c r="J3225" s="24" t="s">
        <v>90</v>
      </c>
      <c r="K3225" s="94" t="s">
        <v>4093</v>
      </c>
      <c r="L3225" s="94"/>
      <c r="M3225" s="249" t="s">
        <v>4094</v>
      </c>
      <c r="N3225" s="106">
        <v>44805</v>
      </c>
      <c r="O3225" s="94" t="s">
        <v>461</v>
      </c>
      <c r="P3225" s="317">
        <v>9825</v>
      </c>
      <c r="Q3225" s="273">
        <v>30</v>
      </c>
      <c r="R3225" s="268">
        <f t="shared" ref="R3225:R3236" si="76">ROUND(P3225*Q3225,2)</f>
        <v>294750</v>
      </c>
      <c r="S3225" s="24">
        <v>202303</v>
      </c>
      <c r="T3225" s="127" t="s">
        <v>4114</v>
      </c>
      <c r="U3225" s="97"/>
      <c r="V3225" s="128"/>
      <c r="W3225" s="97"/>
      <c r="X3225" s="106">
        <v>44713</v>
      </c>
      <c r="Y3225" s="106">
        <v>46538</v>
      </c>
    </row>
    <row r="3226" s="9" customFormat="1" customHeight="1" spans="1:25">
      <c r="A3226" s="94" t="s">
        <v>61</v>
      </c>
      <c r="B3226" s="94" t="s">
        <v>4074</v>
      </c>
      <c r="C3226" s="94" t="s">
        <v>2998</v>
      </c>
      <c r="D3226" s="94" t="s">
        <v>85</v>
      </c>
      <c r="E3226" s="105" t="s">
        <v>4090</v>
      </c>
      <c r="F3226" s="96" t="s">
        <v>4091</v>
      </c>
      <c r="G3226" s="96" t="s">
        <v>88</v>
      </c>
      <c r="H3226" s="19" t="s">
        <v>4092</v>
      </c>
      <c r="I3226" s="23" t="e">
        <f>VLOOKUP(H3226,'合同综合查询数据（3月返）'!$A:$A,1,FALSE)</f>
        <v>#N/A</v>
      </c>
      <c r="J3226" s="24" t="s">
        <v>90</v>
      </c>
      <c r="K3226" s="94" t="s">
        <v>4093</v>
      </c>
      <c r="L3226" s="94"/>
      <c r="M3226" s="249" t="s">
        <v>4094</v>
      </c>
      <c r="N3226" s="106">
        <v>44817</v>
      </c>
      <c r="O3226" s="94" t="s">
        <v>461</v>
      </c>
      <c r="P3226" s="317">
        <v>9825</v>
      </c>
      <c r="Q3226" s="273">
        <v>11</v>
      </c>
      <c r="R3226" s="268">
        <f t="shared" si="76"/>
        <v>108075</v>
      </c>
      <c r="S3226" s="24">
        <v>202303</v>
      </c>
      <c r="T3226" s="127" t="s">
        <v>4115</v>
      </c>
      <c r="U3226" s="97"/>
      <c r="V3226" s="128"/>
      <c r="W3226" s="97"/>
      <c r="X3226" s="106">
        <v>44713</v>
      </c>
      <c r="Y3226" s="106">
        <v>46538</v>
      </c>
    </row>
    <row r="3227" s="9" customFormat="1" customHeight="1" spans="1:25">
      <c r="A3227" s="94" t="s">
        <v>61</v>
      </c>
      <c r="B3227" s="94" t="s">
        <v>4074</v>
      </c>
      <c r="C3227" s="94" t="s">
        <v>2998</v>
      </c>
      <c r="D3227" s="94" t="s">
        <v>85</v>
      </c>
      <c r="E3227" s="105" t="s">
        <v>4090</v>
      </c>
      <c r="F3227" s="96" t="s">
        <v>4091</v>
      </c>
      <c r="G3227" s="96" t="s">
        <v>88</v>
      </c>
      <c r="H3227" s="19" t="s">
        <v>4092</v>
      </c>
      <c r="I3227" s="23" t="e">
        <f>VLOOKUP(H3227,'合同综合查询数据（3月返）'!$A:$A,1,FALSE)</f>
        <v>#N/A</v>
      </c>
      <c r="J3227" s="24" t="s">
        <v>90</v>
      </c>
      <c r="K3227" s="94" t="s">
        <v>4093</v>
      </c>
      <c r="L3227" s="94"/>
      <c r="M3227" s="249" t="s">
        <v>4094</v>
      </c>
      <c r="N3227" s="106">
        <v>44819</v>
      </c>
      <c r="O3227" s="94" t="s">
        <v>461</v>
      </c>
      <c r="P3227" s="317">
        <v>9825</v>
      </c>
      <c r="Q3227" s="273">
        <v>5</v>
      </c>
      <c r="R3227" s="268">
        <f t="shared" si="76"/>
        <v>49125</v>
      </c>
      <c r="S3227" s="24">
        <v>202303</v>
      </c>
      <c r="T3227" s="127" t="s">
        <v>4116</v>
      </c>
      <c r="U3227" s="97"/>
      <c r="V3227" s="128"/>
      <c r="W3227" s="97"/>
      <c r="X3227" s="106">
        <v>44713</v>
      </c>
      <c r="Y3227" s="106">
        <v>46538</v>
      </c>
    </row>
    <row r="3228" s="9" customFormat="1" customHeight="1" spans="1:25">
      <c r="A3228" s="94" t="s">
        <v>61</v>
      </c>
      <c r="B3228" s="94" t="s">
        <v>4074</v>
      </c>
      <c r="C3228" s="94" t="s">
        <v>2998</v>
      </c>
      <c r="D3228" s="94" t="s">
        <v>85</v>
      </c>
      <c r="E3228" s="105" t="s">
        <v>4090</v>
      </c>
      <c r="F3228" s="96" t="s">
        <v>4091</v>
      </c>
      <c r="G3228" s="96" t="s">
        <v>88</v>
      </c>
      <c r="H3228" s="19" t="s">
        <v>4092</v>
      </c>
      <c r="I3228" s="23" t="e">
        <f>VLOOKUP(H3228,'合同综合查询数据（3月返）'!$A:$A,1,FALSE)</f>
        <v>#N/A</v>
      </c>
      <c r="J3228" s="24" t="s">
        <v>90</v>
      </c>
      <c r="K3228" s="94" t="s">
        <v>4093</v>
      </c>
      <c r="L3228" s="94"/>
      <c r="M3228" s="249" t="s">
        <v>4094</v>
      </c>
      <c r="N3228" s="106">
        <v>44844</v>
      </c>
      <c r="O3228" s="94" t="s">
        <v>461</v>
      </c>
      <c r="P3228" s="317">
        <v>9825</v>
      </c>
      <c r="Q3228" s="273">
        <v>19</v>
      </c>
      <c r="R3228" s="268">
        <f t="shared" si="76"/>
        <v>186675</v>
      </c>
      <c r="S3228" s="24">
        <v>202303</v>
      </c>
      <c r="T3228" s="127" t="s">
        <v>4117</v>
      </c>
      <c r="U3228" s="97"/>
      <c r="V3228" s="128"/>
      <c r="W3228" s="97"/>
      <c r="X3228" s="106">
        <v>44713</v>
      </c>
      <c r="Y3228" s="106">
        <v>46538</v>
      </c>
    </row>
    <row r="3229" s="9" customFormat="1" customHeight="1" spans="1:25">
      <c r="A3229" s="94" t="s">
        <v>61</v>
      </c>
      <c r="B3229" s="94" t="s">
        <v>4074</v>
      </c>
      <c r="C3229" s="94" t="s">
        <v>2998</v>
      </c>
      <c r="D3229" s="94" t="s">
        <v>85</v>
      </c>
      <c r="E3229" s="105" t="s">
        <v>4090</v>
      </c>
      <c r="F3229" s="96" t="s">
        <v>4091</v>
      </c>
      <c r="G3229" s="96" t="s">
        <v>88</v>
      </c>
      <c r="H3229" s="19" t="s">
        <v>4092</v>
      </c>
      <c r="I3229" s="23" t="e">
        <f>VLOOKUP(H3229,'合同综合查询数据（3月返）'!$A:$A,1,FALSE)</f>
        <v>#N/A</v>
      </c>
      <c r="J3229" s="24" t="s">
        <v>90</v>
      </c>
      <c r="K3229" s="94" t="s">
        <v>4093</v>
      </c>
      <c r="L3229" s="94"/>
      <c r="M3229" s="249" t="s">
        <v>4094</v>
      </c>
      <c r="N3229" s="106">
        <v>44874</v>
      </c>
      <c r="O3229" s="94" t="s">
        <v>461</v>
      </c>
      <c r="P3229" s="317">
        <v>9825</v>
      </c>
      <c r="Q3229" s="273">
        <v>-9</v>
      </c>
      <c r="R3229" s="268">
        <f t="shared" si="76"/>
        <v>-88425</v>
      </c>
      <c r="S3229" s="24">
        <v>202303</v>
      </c>
      <c r="T3229" s="127" t="s">
        <v>4118</v>
      </c>
      <c r="U3229" s="97"/>
      <c r="V3229" s="128"/>
      <c r="W3229" s="97"/>
      <c r="X3229" s="106">
        <v>44713</v>
      </c>
      <c r="Y3229" s="106">
        <v>46538</v>
      </c>
    </row>
    <row r="3230" s="9" customFormat="1" customHeight="1" spans="1:25">
      <c r="A3230" s="94" t="s">
        <v>61</v>
      </c>
      <c r="B3230" s="94" t="s">
        <v>4074</v>
      </c>
      <c r="C3230" s="94" t="s">
        <v>2998</v>
      </c>
      <c r="D3230" s="94" t="s">
        <v>85</v>
      </c>
      <c r="E3230" s="105" t="s">
        <v>4090</v>
      </c>
      <c r="F3230" s="96" t="s">
        <v>4091</v>
      </c>
      <c r="G3230" s="96" t="s">
        <v>88</v>
      </c>
      <c r="H3230" s="19" t="s">
        <v>4092</v>
      </c>
      <c r="I3230" s="23" t="e">
        <f>VLOOKUP(H3230,'合同综合查询数据（3月返）'!$A:$A,1,FALSE)</f>
        <v>#N/A</v>
      </c>
      <c r="J3230" s="24" t="s">
        <v>90</v>
      </c>
      <c r="K3230" s="94" t="s">
        <v>4093</v>
      </c>
      <c r="L3230" s="94"/>
      <c r="M3230" s="249" t="s">
        <v>4094</v>
      </c>
      <c r="N3230" s="106">
        <v>44889</v>
      </c>
      <c r="O3230" s="94" t="s">
        <v>461</v>
      </c>
      <c r="P3230" s="317">
        <v>9825</v>
      </c>
      <c r="Q3230" s="273">
        <v>4</v>
      </c>
      <c r="R3230" s="268">
        <f t="shared" si="76"/>
        <v>39300</v>
      </c>
      <c r="S3230" s="24">
        <v>202303</v>
      </c>
      <c r="T3230" s="127" t="s">
        <v>4119</v>
      </c>
      <c r="U3230" s="97"/>
      <c r="V3230" s="128"/>
      <c r="W3230" s="97"/>
      <c r="X3230" s="106">
        <v>44713</v>
      </c>
      <c r="Y3230" s="106">
        <v>46538</v>
      </c>
    </row>
    <row r="3231" s="9" customFormat="1" customHeight="1" spans="1:25">
      <c r="A3231" s="94" t="s">
        <v>61</v>
      </c>
      <c r="B3231" s="94" t="s">
        <v>4074</v>
      </c>
      <c r="C3231" s="94" t="s">
        <v>2998</v>
      </c>
      <c r="D3231" s="94" t="s">
        <v>85</v>
      </c>
      <c r="E3231" s="105" t="s">
        <v>4090</v>
      </c>
      <c r="F3231" s="96" t="s">
        <v>4091</v>
      </c>
      <c r="G3231" s="96" t="s">
        <v>88</v>
      </c>
      <c r="H3231" s="19" t="s">
        <v>4092</v>
      </c>
      <c r="I3231" s="23" t="e">
        <f>VLOOKUP(H3231,'合同综合查询数据（3月返）'!$A:$A,1,FALSE)</f>
        <v>#N/A</v>
      </c>
      <c r="J3231" s="24" t="s">
        <v>90</v>
      </c>
      <c r="K3231" s="94" t="s">
        <v>4093</v>
      </c>
      <c r="L3231" s="94"/>
      <c r="M3231" s="249" t="s">
        <v>4094</v>
      </c>
      <c r="N3231" s="106">
        <v>44914</v>
      </c>
      <c r="O3231" s="94" t="s">
        <v>461</v>
      </c>
      <c r="P3231" s="317">
        <v>9825</v>
      </c>
      <c r="Q3231" s="273">
        <v>2</v>
      </c>
      <c r="R3231" s="268">
        <f t="shared" si="76"/>
        <v>19650</v>
      </c>
      <c r="S3231" s="24">
        <v>202303</v>
      </c>
      <c r="T3231" s="127" t="s">
        <v>4120</v>
      </c>
      <c r="U3231" s="97"/>
      <c r="V3231" s="128"/>
      <c r="W3231" s="97"/>
      <c r="X3231" s="106">
        <v>44713</v>
      </c>
      <c r="Y3231" s="106">
        <v>46538</v>
      </c>
    </row>
    <row r="3232" s="9" customFormat="1" customHeight="1" spans="1:25">
      <c r="A3232" s="94" t="s">
        <v>61</v>
      </c>
      <c r="B3232" s="94" t="s">
        <v>4074</v>
      </c>
      <c r="C3232" s="94" t="s">
        <v>2998</v>
      </c>
      <c r="D3232" s="94" t="s">
        <v>85</v>
      </c>
      <c r="E3232" s="105" t="s">
        <v>4090</v>
      </c>
      <c r="F3232" s="96" t="s">
        <v>4091</v>
      </c>
      <c r="G3232" s="96" t="s">
        <v>88</v>
      </c>
      <c r="H3232" s="19" t="s">
        <v>4092</v>
      </c>
      <c r="I3232" s="23" t="e">
        <f>VLOOKUP(H3232,'合同综合查询数据（3月返）'!$A:$A,1,FALSE)</f>
        <v>#N/A</v>
      </c>
      <c r="J3232" s="24" t="s">
        <v>90</v>
      </c>
      <c r="K3232" s="94" t="s">
        <v>4093</v>
      </c>
      <c r="L3232" s="94"/>
      <c r="M3232" s="249" t="s">
        <v>4094</v>
      </c>
      <c r="N3232" s="106">
        <v>44929</v>
      </c>
      <c r="O3232" s="94" t="s">
        <v>461</v>
      </c>
      <c r="P3232" s="317">
        <v>9825</v>
      </c>
      <c r="Q3232" s="273">
        <v>3</v>
      </c>
      <c r="R3232" s="268">
        <f t="shared" si="76"/>
        <v>29475</v>
      </c>
      <c r="S3232" s="24">
        <v>202303</v>
      </c>
      <c r="T3232" s="127" t="s">
        <v>4121</v>
      </c>
      <c r="U3232" s="97"/>
      <c r="V3232" s="128"/>
      <c r="W3232" s="97"/>
      <c r="X3232" s="106">
        <v>44713</v>
      </c>
      <c r="Y3232" s="106">
        <v>46538</v>
      </c>
    </row>
    <row r="3233" s="9" customFormat="1" customHeight="1" spans="1:25">
      <c r="A3233" s="94" t="s">
        <v>61</v>
      </c>
      <c r="B3233" s="94" t="s">
        <v>4074</v>
      </c>
      <c r="C3233" s="94" t="s">
        <v>2998</v>
      </c>
      <c r="D3233" s="94" t="s">
        <v>85</v>
      </c>
      <c r="E3233" s="105" t="s">
        <v>4090</v>
      </c>
      <c r="F3233" s="96" t="s">
        <v>4091</v>
      </c>
      <c r="G3233" s="96" t="s">
        <v>88</v>
      </c>
      <c r="H3233" s="19" t="s">
        <v>4092</v>
      </c>
      <c r="I3233" s="23" t="e">
        <f>VLOOKUP(H3233,'合同综合查询数据（3月返）'!$A:$A,1,FALSE)</f>
        <v>#N/A</v>
      </c>
      <c r="J3233" s="24" t="s">
        <v>90</v>
      </c>
      <c r="K3233" s="94" t="s">
        <v>4093</v>
      </c>
      <c r="L3233" s="94"/>
      <c r="M3233" s="249" t="s">
        <v>4094</v>
      </c>
      <c r="N3233" s="106">
        <v>44935</v>
      </c>
      <c r="O3233" s="94" t="s">
        <v>461</v>
      </c>
      <c r="P3233" s="317">
        <v>9825</v>
      </c>
      <c r="Q3233" s="273">
        <v>4</v>
      </c>
      <c r="R3233" s="268">
        <f t="shared" si="76"/>
        <v>39300</v>
      </c>
      <c r="S3233" s="24">
        <v>202303</v>
      </c>
      <c r="T3233" s="127" t="s">
        <v>4122</v>
      </c>
      <c r="U3233" s="97"/>
      <c r="V3233" s="128"/>
      <c r="W3233" s="97"/>
      <c r="X3233" s="106">
        <v>44713</v>
      </c>
      <c r="Y3233" s="106">
        <v>46538</v>
      </c>
    </row>
    <row r="3234" s="9" customFormat="1" customHeight="1" spans="1:25">
      <c r="A3234" s="94" t="s">
        <v>61</v>
      </c>
      <c r="B3234" s="94" t="s">
        <v>4074</v>
      </c>
      <c r="C3234" s="94" t="s">
        <v>2998</v>
      </c>
      <c r="D3234" s="94" t="s">
        <v>85</v>
      </c>
      <c r="E3234" s="105" t="s">
        <v>4090</v>
      </c>
      <c r="F3234" s="96" t="s">
        <v>4091</v>
      </c>
      <c r="G3234" s="96" t="s">
        <v>88</v>
      </c>
      <c r="H3234" s="19" t="s">
        <v>4092</v>
      </c>
      <c r="I3234" s="23" t="e">
        <f>VLOOKUP(H3234,'合同综合查询数据（3月返）'!$A:$A,1,FALSE)</f>
        <v>#N/A</v>
      </c>
      <c r="J3234" s="24" t="s">
        <v>90</v>
      </c>
      <c r="K3234" s="94" t="s">
        <v>4093</v>
      </c>
      <c r="L3234" s="94"/>
      <c r="M3234" s="249" t="s">
        <v>4094</v>
      </c>
      <c r="N3234" s="106">
        <v>44980</v>
      </c>
      <c r="O3234" s="94" t="s">
        <v>461</v>
      </c>
      <c r="P3234" s="317">
        <v>9825</v>
      </c>
      <c r="Q3234" s="273">
        <v>5</v>
      </c>
      <c r="R3234" s="268">
        <f t="shared" si="76"/>
        <v>49125</v>
      </c>
      <c r="S3234" s="24">
        <v>202303</v>
      </c>
      <c r="T3234" s="127" t="s">
        <v>4123</v>
      </c>
      <c r="U3234" s="97"/>
      <c r="V3234" s="128"/>
      <c r="W3234" s="97"/>
      <c r="X3234" s="106">
        <v>44713</v>
      </c>
      <c r="Y3234" s="106">
        <v>46538</v>
      </c>
    </row>
    <row r="3235" s="9" customFormat="1" customHeight="1" spans="1:25">
      <c r="A3235" s="94" t="s">
        <v>61</v>
      </c>
      <c r="B3235" s="94" t="s">
        <v>4074</v>
      </c>
      <c r="C3235" s="94" t="s">
        <v>2998</v>
      </c>
      <c r="D3235" s="94" t="s">
        <v>85</v>
      </c>
      <c r="E3235" s="105" t="s">
        <v>4090</v>
      </c>
      <c r="F3235" s="96" t="s">
        <v>4091</v>
      </c>
      <c r="G3235" s="96" t="s">
        <v>88</v>
      </c>
      <c r="H3235" s="19" t="s">
        <v>4092</v>
      </c>
      <c r="I3235" s="23" t="e">
        <f>VLOOKUP(H3235,'合同综合查询数据（3月返）'!$A:$A,1,FALSE)</f>
        <v>#N/A</v>
      </c>
      <c r="J3235" s="24" t="s">
        <v>90</v>
      </c>
      <c r="K3235" s="94" t="s">
        <v>4093</v>
      </c>
      <c r="L3235" s="94"/>
      <c r="M3235" s="249" t="s">
        <v>4094</v>
      </c>
      <c r="N3235" s="106">
        <v>44980</v>
      </c>
      <c r="O3235" s="94" t="s">
        <v>457</v>
      </c>
      <c r="P3235" s="317">
        <v>4899</v>
      </c>
      <c r="Q3235" s="273">
        <v>1</v>
      </c>
      <c r="R3235" s="268">
        <f t="shared" si="76"/>
        <v>4899</v>
      </c>
      <c r="S3235" s="24">
        <v>202303</v>
      </c>
      <c r="T3235" s="127" t="s">
        <v>4124</v>
      </c>
      <c r="U3235" s="97"/>
      <c r="V3235" s="128"/>
      <c r="W3235" s="97"/>
      <c r="X3235" s="106">
        <v>44713</v>
      </c>
      <c r="Y3235" s="106">
        <v>46538</v>
      </c>
    </row>
    <row r="3236" s="9" customFormat="1" customHeight="1" spans="1:25">
      <c r="A3236" s="94" t="s">
        <v>61</v>
      </c>
      <c r="B3236" s="94" t="s">
        <v>4074</v>
      </c>
      <c r="C3236" s="94" t="s">
        <v>2998</v>
      </c>
      <c r="D3236" s="94" t="s">
        <v>85</v>
      </c>
      <c r="E3236" s="105" t="s">
        <v>4090</v>
      </c>
      <c r="F3236" s="96" t="s">
        <v>4091</v>
      </c>
      <c r="G3236" s="96" t="s">
        <v>88</v>
      </c>
      <c r="H3236" s="19" t="s">
        <v>4092</v>
      </c>
      <c r="I3236" s="23" t="e">
        <f>VLOOKUP(H3236,'合同综合查询数据（3月返）'!$A:$A,1,FALSE)</f>
        <v>#N/A</v>
      </c>
      <c r="J3236" s="24" t="s">
        <v>90</v>
      </c>
      <c r="K3236" s="94" t="s">
        <v>4093</v>
      </c>
      <c r="L3236" s="94"/>
      <c r="M3236" s="249" t="s">
        <v>4094</v>
      </c>
      <c r="N3236" s="106">
        <v>44985</v>
      </c>
      <c r="O3236" s="94" t="s">
        <v>461</v>
      </c>
      <c r="P3236" s="317">
        <v>9825</v>
      </c>
      <c r="Q3236" s="273">
        <v>6</v>
      </c>
      <c r="R3236" s="268">
        <f t="shared" si="76"/>
        <v>58950</v>
      </c>
      <c r="S3236" s="24">
        <v>202303</v>
      </c>
      <c r="T3236" s="127" t="s">
        <v>4125</v>
      </c>
      <c r="U3236" s="97"/>
      <c r="V3236" s="128"/>
      <c r="W3236" s="97"/>
      <c r="X3236" s="106">
        <v>44713</v>
      </c>
      <c r="Y3236" s="106">
        <v>46538</v>
      </c>
    </row>
    <row r="3237" s="9" customFormat="1" customHeight="1" spans="1:25">
      <c r="A3237" s="94" t="s">
        <v>61</v>
      </c>
      <c r="B3237" s="94" t="s">
        <v>4074</v>
      </c>
      <c r="C3237" s="94" t="s">
        <v>2998</v>
      </c>
      <c r="D3237" s="94" t="s">
        <v>85</v>
      </c>
      <c r="E3237" s="105" t="s">
        <v>4090</v>
      </c>
      <c r="F3237" s="96" t="s">
        <v>4091</v>
      </c>
      <c r="G3237" s="96" t="s">
        <v>88</v>
      </c>
      <c r="H3237" s="19" t="s">
        <v>4092</v>
      </c>
      <c r="I3237" s="23" t="e">
        <f>VLOOKUP(H3237,'合同综合查询数据（3月返）'!$A:$A,1,FALSE)</f>
        <v>#N/A</v>
      </c>
      <c r="J3237" s="24" t="s">
        <v>90</v>
      </c>
      <c r="K3237" s="94" t="s">
        <v>4093</v>
      </c>
      <c r="L3237" s="94"/>
      <c r="M3237" s="249" t="s">
        <v>4094</v>
      </c>
      <c r="N3237" s="106">
        <v>45000</v>
      </c>
      <c r="O3237" s="94" t="s">
        <v>461</v>
      </c>
      <c r="P3237" s="317">
        <v>9825</v>
      </c>
      <c r="Q3237" s="273">
        <v>-6</v>
      </c>
      <c r="R3237" s="268">
        <f>ROUND(P3237*Q3237*16/31,2)</f>
        <v>-30425.81</v>
      </c>
      <c r="S3237" s="24">
        <v>202303</v>
      </c>
      <c r="T3237" s="319" t="s">
        <v>4126</v>
      </c>
      <c r="U3237" s="97"/>
      <c r="V3237" s="128"/>
      <c r="W3237" s="97"/>
      <c r="X3237" s="106">
        <v>44713</v>
      </c>
      <c r="Y3237" s="106">
        <v>46538</v>
      </c>
    </row>
    <row r="3238" s="9" customFormat="1" customHeight="1" spans="1:25">
      <c r="A3238" s="94" t="s">
        <v>61</v>
      </c>
      <c r="B3238" s="94" t="s">
        <v>4074</v>
      </c>
      <c r="C3238" s="94" t="s">
        <v>2998</v>
      </c>
      <c r="D3238" s="94" t="s">
        <v>85</v>
      </c>
      <c r="E3238" s="105" t="s">
        <v>4090</v>
      </c>
      <c r="F3238" s="96" t="s">
        <v>4091</v>
      </c>
      <c r="G3238" s="96" t="s">
        <v>88</v>
      </c>
      <c r="H3238" s="19" t="s">
        <v>4092</v>
      </c>
      <c r="I3238" s="23" t="e">
        <f>VLOOKUP(H3238,'合同综合查询数据（3月返）'!$A:$A,1,FALSE)</f>
        <v>#N/A</v>
      </c>
      <c r="J3238" s="24" t="s">
        <v>3102</v>
      </c>
      <c r="K3238" s="94" t="s">
        <v>4093</v>
      </c>
      <c r="L3238" s="94"/>
      <c r="M3238" s="249" t="s">
        <v>4094</v>
      </c>
      <c r="N3238" s="106"/>
      <c r="O3238" s="94"/>
      <c r="P3238" s="317">
        <v>220</v>
      </c>
      <c r="Q3238" s="273">
        <v>0</v>
      </c>
      <c r="R3238" s="268">
        <f t="shared" ref="R3238:R3301" si="77">ROUND(P3238*Q3238,2)</f>
        <v>0</v>
      </c>
      <c r="S3238" s="24">
        <v>202303</v>
      </c>
      <c r="T3238" s="127" t="s">
        <v>4127</v>
      </c>
      <c r="U3238" s="97"/>
      <c r="V3238" s="128"/>
      <c r="W3238" s="97"/>
      <c r="X3238" s="106">
        <v>44713</v>
      </c>
      <c r="Y3238" s="106">
        <v>46538</v>
      </c>
    </row>
    <row r="3239" s="9" customFormat="1" customHeight="1" spans="1:25">
      <c r="A3239" s="94" t="s">
        <v>61</v>
      </c>
      <c r="B3239" s="94" t="s">
        <v>4074</v>
      </c>
      <c r="C3239" s="94" t="s">
        <v>2998</v>
      </c>
      <c r="D3239" s="94" t="s">
        <v>85</v>
      </c>
      <c r="E3239" s="105" t="s">
        <v>4128</v>
      </c>
      <c r="F3239" s="96" t="s">
        <v>4129</v>
      </c>
      <c r="G3239" s="96" t="s">
        <v>88</v>
      </c>
      <c r="H3239" s="19" t="s">
        <v>4130</v>
      </c>
      <c r="I3239" s="23" t="str">
        <f>VLOOKUP(H3239,'合同综合查询数据（3月返）'!$A:$A,1,FALSE)</f>
        <v>182315IDC00057</v>
      </c>
      <c r="J3239" s="24" t="s">
        <v>90</v>
      </c>
      <c r="K3239" s="94" t="s">
        <v>4131</v>
      </c>
      <c r="L3239" s="94"/>
      <c r="M3239" s="249" t="s">
        <v>4132</v>
      </c>
      <c r="N3239" s="106">
        <v>44804</v>
      </c>
      <c r="O3239" s="94" t="s">
        <v>461</v>
      </c>
      <c r="P3239" s="317">
        <v>9825</v>
      </c>
      <c r="Q3239" s="273">
        <v>12</v>
      </c>
      <c r="R3239" s="268">
        <f t="shared" si="77"/>
        <v>117900</v>
      </c>
      <c r="S3239" s="24">
        <v>202303</v>
      </c>
      <c r="T3239" s="127" t="s">
        <v>4133</v>
      </c>
      <c r="U3239" s="97"/>
      <c r="V3239" s="128"/>
      <c r="W3239" s="97"/>
      <c r="X3239" s="106">
        <v>44805</v>
      </c>
      <c r="Y3239" s="106">
        <v>46630</v>
      </c>
    </row>
    <row r="3240" s="9" customFormat="1" customHeight="1" spans="1:25">
      <c r="A3240" s="94" t="s">
        <v>61</v>
      </c>
      <c r="B3240" s="94" t="s">
        <v>4074</v>
      </c>
      <c r="C3240" s="94" t="s">
        <v>2998</v>
      </c>
      <c r="D3240" s="94" t="s">
        <v>85</v>
      </c>
      <c r="E3240" s="105" t="s">
        <v>4128</v>
      </c>
      <c r="F3240" s="96" t="s">
        <v>4129</v>
      </c>
      <c r="G3240" s="96" t="s">
        <v>88</v>
      </c>
      <c r="H3240" s="19" t="s">
        <v>4130</v>
      </c>
      <c r="I3240" s="23" t="str">
        <f>VLOOKUP(H3240,'合同综合查询数据（3月返）'!$A:$A,1,FALSE)</f>
        <v>182315IDC00057</v>
      </c>
      <c r="J3240" s="24" t="s">
        <v>90</v>
      </c>
      <c r="K3240" s="94" t="s">
        <v>4131</v>
      </c>
      <c r="L3240" s="94"/>
      <c r="M3240" s="249" t="s">
        <v>4132</v>
      </c>
      <c r="N3240" s="106">
        <v>44805</v>
      </c>
      <c r="O3240" s="94" t="s">
        <v>545</v>
      </c>
      <c r="P3240" s="317">
        <v>2310</v>
      </c>
      <c r="Q3240" s="273">
        <v>6</v>
      </c>
      <c r="R3240" s="268">
        <f t="shared" si="77"/>
        <v>13860</v>
      </c>
      <c r="S3240" s="24">
        <v>202303</v>
      </c>
      <c r="T3240" s="127" t="s">
        <v>4134</v>
      </c>
      <c r="U3240" s="97"/>
      <c r="V3240" s="128"/>
      <c r="W3240" s="97"/>
      <c r="X3240" s="106">
        <v>44805</v>
      </c>
      <c r="Y3240" s="106">
        <v>46630</v>
      </c>
    </row>
    <row r="3241" s="9" customFormat="1" customHeight="1" spans="1:25">
      <c r="A3241" s="94" t="s">
        <v>61</v>
      </c>
      <c r="B3241" s="94" t="s">
        <v>4074</v>
      </c>
      <c r="C3241" s="94" t="s">
        <v>2998</v>
      </c>
      <c r="D3241" s="94" t="s">
        <v>85</v>
      </c>
      <c r="E3241" s="105" t="s">
        <v>4128</v>
      </c>
      <c r="F3241" s="96" t="s">
        <v>4129</v>
      </c>
      <c r="G3241" s="96" t="s">
        <v>88</v>
      </c>
      <c r="H3241" s="19" t="s">
        <v>4130</v>
      </c>
      <c r="I3241" s="23" t="str">
        <f>VLOOKUP(H3241,'合同综合查询数据（3月返）'!$A:$A,1,FALSE)</f>
        <v>182315IDC00057</v>
      </c>
      <c r="J3241" s="24" t="s">
        <v>90</v>
      </c>
      <c r="K3241" s="94" t="s">
        <v>4131</v>
      </c>
      <c r="L3241" s="94"/>
      <c r="M3241" s="249" t="s">
        <v>4132</v>
      </c>
      <c r="N3241" s="106">
        <v>44805</v>
      </c>
      <c r="O3241" s="94" t="s">
        <v>545</v>
      </c>
      <c r="P3241" s="317">
        <v>2310</v>
      </c>
      <c r="Q3241" s="273">
        <v>2</v>
      </c>
      <c r="R3241" s="268">
        <f t="shared" si="77"/>
        <v>4620</v>
      </c>
      <c r="S3241" s="24">
        <v>202303</v>
      </c>
      <c r="T3241" s="127" t="s">
        <v>4135</v>
      </c>
      <c r="U3241" s="97"/>
      <c r="V3241" s="128"/>
      <c r="W3241" s="97"/>
      <c r="X3241" s="106">
        <v>44805</v>
      </c>
      <c r="Y3241" s="106">
        <v>46630</v>
      </c>
    </row>
    <row r="3242" s="9" customFormat="1" customHeight="1" spans="1:25">
      <c r="A3242" s="94" t="s">
        <v>61</v>
      </c>
      <c r="B3242" s="94" t="s">
        <v>4074</v>
      </c>
      <c r="C3242" s="94" t="s">
        <v>2998</v>
      </c>
      <c r="D3242" s="94" t="s">
        <v>85</v>
      </c>
      <c r="E3242" s="105" t="s">
        <v>4128</v>
      </c>
      <c r="F3242" s="96" t="s">
        <v>4129</v>
      </c>
      <c r="G3242" s="96" t="s">
        <v>88</v>
      </c>
      <c r="H3242" s="19" t="s">
        <v>4130</v>
      </c>
      <c r="I3242" s="23" t="str">
        <f>VLOOKUP(H3242,'合同综合查询数据（3月返）'!$A:$A,1,FALSE)</f>
        <v>182315IDC00057</v>
      </c>
      <c r="J3242" s="24" t="s">
        <v>90</v>
      </c>
      <c r="K3242" s="94" t="s">
        <v>4131</v>
      </c>
      <c r="L3242" s="94"/>
      <c r="M3242" s="249" t="s">
        <v>4132</v>
      </c>
      <c r="N3242" s="106">
        <v>44813</v>
      </c>
      <c r="O3242" s="94" t="s">
        <v>461</v>
      </c>
      <c r="P3242" s="317">
        <v>9825</v>
      </c>
      <c r="Q3242" s="273">
        <v>33</v>
      </c>
      <c r="R3242" s="268">
        <f t="shared" si="77"/>
        <v>324225</v>
      </c>
      <c r="S3242" s="24">
        <v>202303</v>
      </c>
      <c r="T3242" s="127" t="s">
        <v>4136</v>
      </c>
      <c r="U3242" s="97"/>
      <c r="V3242" s="128"/>
      <c r="W3242" s="97"/>
      <c r="X3242" s="106">
        <v>44805</v>
      </c>
      <c r="Y3242" s="106">
        <v>46630</v>
      </c>
    </row>
    <row r="3243" s="9" customFormat="1" customHeight="1" spans="1:25">
      <c r="A3243" s="94" t="s">
        <v>61</v>
      </c>
      <c r="B3243" s="94" t="s">
        <v>4074</v>
      </c>
      <c r="C3243" s="94" t="s">
        <v>2998</v>
      </c>
      <c r="D3243" s="94" t="s">
        <v>85</v>
      </c>
      <c r="E3243" s="105" t="s">
        <v>4128</v>
      </c>
      <c r="F3243" s="96" t="s">
        <v>4129</v>
      </c>
      <c r="G3243" s="96" t="s">
        <v>88</v>
      </c>
      <c r="H3243" s="19" t="s">
        <v>4130</v>
      </c>
      <c r="I3243" s="23" t="str">
        <f>VLOOKUP(H3243,'合同综合查询数据（3月返）'!$A:$A,1,FALSE)</f>
        <v>182315IDC00057</v>
      </c>
      <c r="J3243" s="24" t="s">
        <v>90</v>
      </c>
      <c r="K3243" s="94" t="s">
        <v>4131</v>
      </c>
      <c r="L3243" s="94"/>
      <c r="M3243" s="249" t="s">
        <v>4132</v>
      </c>
      <c r="N3243" s="106">
        <v>44817</v>
      </c>
      <c r="O3243" s="94" t="s">
        <v>461</v>
      </c>
      <c r="P3243" s="317">
        <v>9825</v>
      </c>
      <c r="Q3243" s="273">
        <v>2</v>
      </c>
      <c r="R3243" s="268">
        <f t="shared" si="77"/>
        <v>19650</v>
      </c>
      <c r="S3243" s="24">
        <v>202303</v>
      </c>
      <c r="T3243" s="127" t="s">
        <v>4137</v>
      </c>
      <c r="U3243" s="97"/>
      <c r="V3243" s="128"/>
      <c r="W3243" s="97"/>
      <c r="X3243" s="106">
        <v>44805</v>
      </c>
      <c r="Y3243" s="106">
        <v>46630</v>
      </c>
    </row>
    <row r="3244" s="9" customFormat="1" customHeight="1" spans="1:25">
      <c r="A3244" s="94" t="s">
        <v>61</v>
      </c>
      <c r="B3244" s="94" t="s">
        <v>4074</v>
      </c>
      <c r="C3244" s="94" t="s">
        <v>2998</v>
      </c>
      <c r="D3244" s="94" t="s">
        <v>85</v>
      </c>
      <c r="E3244" s="105" t="s">
        <v>4128</v>
      </c>
      <c r="F3244" s="96" t="s">
        <v>4129</v>
      </c>
      <c r="G3244" s="96" t="s">
        <v>88</v>
      </c>
      <c r="H3244" s="19" t="s">
        <v>4130</v>
      </c>
      <c r="I3244" s="23" t="str">
        <f>VLOOKUP(H3244,'合同综合查询数据（3月返）'!$A:$A,1,FALSE)</f>
        <v>182315IDC00057</v>
      </c>
      <c r="J3244" s="24" t="s">
        <v>90</v>
      </c>
      <c r="K3244" s="94" t="s">
        <v>4131</v>
      </c>
      <c r="L3244" s="94"/>
      <c r="M3244" s="249" t="s">
        <v>4132</v>
      </c>
      <c r="N3244" s="106">
        <v>44817</v>
      </c>
      <c r="O3244" s="94" t="s">
        <v>574</v>
      </c>
      <c r="P3244" s="317">
        <v>16747</v>
      </c>
      <c r="Q3244" s="273">
        <v>2</v>
      </c>
      <c r="R3244" s="268">
        <f t="shared" si="77"/>
        <v>33494</v>
      </c>
      <c r="S3244" s="24">
        <v>202303</v>
      </c>
      <c r="T3244" s="127" t="s">
        <v>4138</v>
      </c>
      <c r="U3244" s="97"/>
      <c r="V3244" s="128"/>
      <c r="W3244" s="97"/>
      <c r="X3244" s="106">
        <v>44805</v>
      </c>
      <c r="Y3244" s="106">
        <v>46630</v>
      </c>
    </row>
    <row r="3245" s="9" customFormat="1" customHeight="1" spans="1:25">
      <c r="A3245" s="94" t="s">
        <v>61</v>
      </c>
      <c r="B3245" s="94" t="s">
        <v>4074</v>
      </c>
      <c r="C3245" s="94" t="s">
        <v>2998</v>
      </c>
      <c r="D3245" s="94" t="s">
        <v>85</v>
      </c>
      <c r="E3245" s="105" t="s">
        <v>4128</v>
      </c>
      <c r="F3245" s="96" t="s">
        <v>4129</v>
      </c>
      <c r="G3245" s="96" t="s">
        <v>88</v>
      </c>
      <c r="H3245" s="19" t="s">
        <v>4130</v>
      </c>
      <c r="I3245" s="23" t="str">
        <f>VLOOKUP(H3245,'合同综合查询数据（3月返）'!$A:$A,1,FALSE)</f>
        <v>182315IDC00057</v>
      </c>
      <c r="J3245" s="24" t="s">
        <v>90</v>
      </c>
      <c r="K3245" s="94" t="s">
        <v>4131</v>
      </c>
      <c r="L3245" s="94"/>
      <c r="M3245" s="249" t="s">
        <v>4132</v>
      </c>
      <c r="N3245" s="106">
        <v>44819</v>
      </c>
      <c r="O3245" s="94" t="s">
        <v>457</v>
      </c>
      <c r="P3245" s="317">
        <v>4900</v>
      </c>
      <c r="Q3245" s="273">
        <v>4</v>
      </c>
      <c r="R3245" s="268">
        <f t="shared" si="77"/>
        <v>19600</v>
      </c>
      <c r="S3245" s="24">
        <v>202303</v>
      </c>
      <c r="T3245" s="127" t="s">
        <v>4139</v>
      </c>
      <c r="U3245" s="97"/>
      <c r="V3245" s="128"/>
      <c r="W3245" s="97"/>
      <c r="X3245" s="106">
        <v>44805</v>
      </c>
      <c r="Y3245" s="106">
        <v>46630</v>
      </c>
    </row>
    <row r="3246" s="9" customFormat="1" customHeight="1" spans="1:25">
      <c r="A3246" s="94" t="s">
        <v>61</v>
      </c>
      <c r="B3246" s="94" t="s">
        <v>4074</v>
      </c>
      <c r="C3246" s="94" t="s">
        <v>2998</v>
      </c>
      <c r="D3246" s="94" t="s">
        <v>85</v>
      </c>
      <c r="E3246" s="105" t="s">
        <v>4128</v>
      </c>
      <c r="F3246" s="96" t="s">
        <v>4129</v>
      </c>
      <c r="G3246" s="96" t="s">
        <v>88</v>
      </c>
      <c r="H3246" s="19" t="s">
        <v>4130</v>
      </c>
      <c r="I3246" s="23" t="str">
        <f>VLOOKUP(H3246,'合同综合查询数据（3月返）'!$A:$A,1,FALSE)</f>
        <v>182315IDC00057</v>
      </c>
      <c r="J3246" s="24" t="s">
        <v>90</v>
      </c>
      <c r="K3246" s="94" t="s">
        <v>4131</v>
      </c>
      <c r="L3246" s="94"/>
      <c r="M3246" s="249" t="s">
        <v>4132</v>
      </c>
      <c r="N3246" s="106">
        <v>44819</v>
      </c>
      <c r="O3246" s="94" t="s">
        <v>461</v>
      </c>
      <c r="P3246" s="317">
        <v>9825</v>
      </c>
      <c r="Q3246" s="273">
        <v>50</v>
      </c>
      <c r="R3246" s="268">
        <f t="shared" si="77"/>
        <v>491250</v>
      </c>
      <c r="S3246" s="24">
        <v>202303</v>
      </c>
      <c r="T3246" s="127" t="s">
        <v>4140</v>
      </c>
      <c r="U3246" s="97"/>
      <c r="V3246" s="128"/>
      <c r="W3246" s="97"/>
      <c r="X3246" s="106">
        <v>44805</v>
      </c>
      <c r="Y3246" s="106">
        <v>46630</v>
      </c>
    </row>
    <row r="3247" s="9" customFormat="1" customHeight="1" spans="1:25">
      <c r="A3247" s="94" t="s">
        <v>61</v>
      </c>
      <c r="B3247" s="94" t="s">
        <v>4074</v>
      </c>
      <c r="C3247" s="94" t="s">
        <v>2998</v>
      </c>
      <c r="D3247" s="94" t="s">
        <v>85</v>
      </c>
      <c r="E3247" s="105" t="s">
        <v>4128</v>
      </c>
      <c r="F3247" s="96" t="s">
        <v>4129</v>
      </c>
      <c r="G3247" s="96" t="s">
        <v>88</v>
      </c>
      <c r="H3247" s="19" t="s">
        <v>4130</v>
      </c>
      <c r="I3247" s="23" t="str">
        <f>VLOOKUP(H3247,'合同综合查询数据（3月返）'!$A:$A,1,FALSE)</f>
        <v>182315IDC00057</v>
      </c>
      <c r="J3247" s="24" t="s">
        <v>90</v>
      </c>
      <c r="K3247" s="94" t="s">
        <v>4131</v>
      </c>
      <c r="L3247" s="94"/>
      <c r="M3247" s="249" t="s">
        <v>4132</v>
      </c>
      <c r="N3247" s="106">
        <v>44819</v>
      </c>
      <c r="O3247" s="94" t="s">
        <v>540</v>
      </c>
      <c r="P3247" s="317">
        <v>22330</v>
      </c>
      <c r="Q3247" s="273">
        <v>4</v>
      </c>
      <c r="R3247" s="268">
        <f t="shared" si="77"/>
        <v>89320</v>
      </c>
      <c r="S3247" s="24">
        <v>202303</v>
      </c>
      <c r="T3247" s="127" t="s">
        <v>4141</v>
      </c>
      <c r="U3247" s="97"/>
      <c r="V3247" s="128"/>
      <c r="W3247" s="97"/>
      <c r="X3247" s="106">
        <v>44805</v>
      </c>
      <c r="Y3247" s="106">
        <v>46630</v>
      </c>
    </row>
    <row r="3248" s="9" customFormat="1" customHeight="1" spans="1:25">
      <c r="A3248" s="94" t="s">
        <v>61</v>
      </c>
      <c r="B3248" s="94" t="s">
        <v>4074</v>
      </c>
      <c r="C3248" s="94" t="s">
        <v>2998</v>
      </c>
      <c r="D3248" s="94" t="s">
        <v>85</v>
      </c>
      <c r="E3248" s="105" t="s">
        <v>4128</v>
      </c>
      <c r="F3248" s="96" t="s">
        <v>4129</v>
      </c>
      <c r="G3248" s="96" t="s">
        <v>88</v>
      </c>
      <c r="H3248" s="19" t="s">
        <v>4130</v>
      </c>
      <c r="I3248" s="23" t="str">
        <f>VLOOKUP(H3248,'合同综合查询数据（3月返）'!$A:$A,1,FALSE)</f>
        <v>182315IDC00057</v>
      </c>
      <c r="J3248" s="24" t="s">
        <v>90</v>
      </c>
      <c r="K3248" s="94" t="s">
        <v>4131</v>
      </c>
      <c r="L3248" s="94"/>
      <c r="M3248" s="249" t="s">
        <v>4132</v>
      </c>
      <c r="N3248" s="106">
        <v>44825</v>
      </c>
      <c r="O3248" s="94" t="s">
        <v>461</v>
      </c>
      <c r="P3248" s="317">
        <v>9825</v>
      </c>
      <c r="Q3248" s="273">
        <v>2</v>
      </c>
      <c r="R3248" s="268">
        <f t="shared" si="77"/>
        <v>19650</v>
      </c>
      <c r="S3248" s="24">
        <v>202303</v>
      </c>
      <c r="T3248" s="127" t="s">
        <v>4142</v>
      </c>
      <c r="U3248" s="97"/>
      <c r="V3248" s="128"/>
      <c r="W3248" s="97"/>
      <c r="X3248" s="106">
        <v>44805</v>
      </c>
      <c r="Y3248" s="106">
        <v>46630</v>
      </c>
    </row>
    <row r="3249" s="9" customFormat="1" customHeight="1" spans="1:25">
      <c r="A3249" s="94" t="s">
        <v>61</v>
      </c>
      <c r="B3249" s="94" t="s">
        <v>4074</v>
      </c>
      <c r="C3249" s="94" t="s">
        <v>2998</v>
      </c>
      <c r="D3249" s="94" t="s">
        <v>85</v>
      </c>
      <c r="E3249" s="105" t="s">
        <v>4128</v>
      </c>
      <c r="F3249" s="96" t="s">
        <v>4129</v>
      </c>
      <c r="G3249" s="96" t="s">
        <v>88</v>
      </c>
      <c r="H3249" s="19" t="s">
        <v>4130</v>
      </c>
      <c r="I3249" s="23" t="str">
        <f>VLOOKUP(H3249,'合同综合查询数据（3月返）'!$A:$A,1,FALSE)</f>
        <v>182315IDC00057</v>
      </c>
      <c r="J3249" s="24" t="s">
        <v>90</v>
      </c>
      <c r="K3249" s="94" t="s">
        <v>4131</v>
      </c>
      <c r="L3249" s="94"/>
      <c r="M3249" s="249" t="s">
        <v>4132</v>
      </c>
      <c r="N3249" s="106">
        <v>44830</v>
      </c>
      <c r="O3249" s="94" t="s">
        <v>461</v>
      </c>
      <c r="P3249" s="317">
        <v>9825</v>
      </c>
      <c r="Q3249" s="273">
        <v>2</v>
      </c>
      <c r="R3249" s="268">
        <f t="shared" si="77"/>
        <v>19650</v>
      </c>
      <c r="S3249" s="24">
        <v>202303</v>
      </c>
      <c r="T3249" s="127" t="s">
        <v>4143</v>
      </c>
      <c r="U3249" s="97"/>
      <c r="V3249" s="128"/>
      <c r="W3249" s="97"/>
      <c r="X3249" s="106">
        <v>44805</v>
      </c>
      <c r="Y3249" s="106">
        <v>46630</v>
      </c>
    </row>
    <row r="3250" s="9" customFormat="1" customHeight="1" spans="1:25">
      <c r="A3250" s="94" t="s">
        <v>61</v>
      </c>
      <c r="B3250" s="94" t="s">
        <v>4074</v>
      </c>
      <c r="C3250" s="94" t="s">
        <v>2998</v>
      </c>
      <c r="D3250" s="94" t="s">
        <v>85</v>
      </c>
      <c r="E3250" s="105" t="s">
        <v>4128</v>
      </c>
      <c r="F3250" s="96" t="s">
        <v>4129</v>
      </c>
      <c r="G3250" s="96" t="s">
        <v>88</v>
      </c>
      <c r="H3250" s="19" t="s">
        <v>4130</v>
      </c>
      <c r="I3250" s="23" t="str">
        <f>VLOOKUP(H3250,'合同综合查询数据（3月返）'!$A:$A,1,FALSE)</f>
        <v>182315IDC00057</v>
      </c>
      <c r="J3250" s="24" t="s">
        <v>90</v>
      </c>
      <c r="K3250" s="94" t="s">
        <v>4131</v>
      </c>
      <c r="L3250" s="94"/>
      <c r="M3250" s="249" t="s">
        <v>4132</v>
      </c>
      <c r="N3250" s="106">
        <v>44846</v>
      </c>
      <c r="O3250" s="94" t="s">
        <v>461</v>
      </c>
      <c r="P3250" s="317">
        <v>9825</v>
      </c>
      <c r="Q3250" s="273">
        <v>6</v>
      </c>
      <c r="R3250" s="268">
        <f t="shared" si="77"/>
        <v>58950</v>
      </c>
      <c r="S3250" s="24">
        <v>202303</v>
      </c>
      <c r="T3250" s="127" t="s">
        <v>4144</v>
      </c>
      <c r="U3250" s="97"/>
      <c r="V3250" s="128"/>
      <c r="W3250" s="97"/>
      <c r="X3250" s="106">
        <v>44805</v>
      </c>
      <c r="Y3250" s="106">
        <v>46630</v>
      </c>
    </row>
    <row r="3251" s="9" customFormat="1" customHeight="1" spans="1:25">
      <c r="A3251" s="94" t="s">
        <v>61</v>
      </c>
      <c r="B3251" s="94" t="s">
        <v>4074</v>
      </c>
      <c r="C3251" s="94" t="s">
        <v>2998</v>
      </c>
      <c r="D3251" s="94" t="s">
        <v>85</v>
      </c>
      <c r="E3251" s="105" t="s">
        <v>4128</v>
      </c>
      <c r="F3251" s="96" t="s">
        <v>4129</v>
      </c>
      <c r="G3251" s="96" t="s">
        <v>88</v>
      </c>
      <c r="H3251" s="19" t="s">
        <v>4130</v>
      </c>
      <c r="I3251" s="23" t="str">
        <f>VLOOKUP(H3251,'合同综合查询数据（3月返）'!$A:$A,1,FALSE)</f>
        <v>182315IDC00057</v>
      </c>
      <c r="J3251" s="24" t="s">
        <v>90</v>
      </c>
      <c r="K3251" s="94" t="s">
        <v>4131</v>
      </c>
      <c r="L3251" s="94"/>
      <c r="M3251" s="249" t="s">
        <v>4132</v>
      </c>
      <c r="N3251" s="106">
        <v>44848</v>
      </c>
      <c r="O3251" s="94" t="s">
        <v>461</v>
      </c>
      <c r="P3251" s="317">
        <v>9825</v>
      </c>
      <c r="Q3251" s="273">
        <v>2</v>
      </c>
      <c r="R3251" s="268">
        <f t="shared" si="77"/>
        <v>19650</v>
      </c>
      <c r="S3251" s="24">
        <v>202303</v>
      </c>
      <c r="T3251" s="127" t="s">
        <v>4145</v>
      </c>
      <c r="U3251" s="97"/>
      <c r="V3251" s="128"/>
      <c r="W3251" s="97"/>
      <c r="X3251" s="106">
        <v>44805</v>
      </c>
      <c r="Y3251" s="106">
        <v>46630</v>
      </c>
    </row>
    <row r="3252" s="9" customFormat="1" customHeight="1" spans="1:25">
      <c r="A3252" s="94" t="s">
        <v>61</v>
      </c>
      <c r="B3252" s="94" t="s">
        <v>4074</v>
      </c>
      <c r="C3252" s="94" t="s">
        <v>2998</v>
      </c>
      <c r="D3252" s="94" t="s">
        <v>85</v>
      </c>
      <c r="E3252" s="105" t="s">
        <v>4128</v>
      </c>
      <c r="F3252" s="96" t="s">
        <v>4129</v>
      </c>
      <c r="G3252" s="96" t="s">
        <v>88</v>
      </c>
      <c r="H3252" s="19" t="s">
        <v>4130</v>
      </c>
      <c r="I3252" s="23" t="str">
        <f>VLOOKUP(H3252,'合同综合查询数据（3月返）'!$A:$A,1,FALSE)</f>
        <v>182315IDC00057</v>
      </c>
      <c r="J3252" s="24" t="s">
        <v>90</v>
      </c>
      <c r="K3252" s="94" t="s">
        <v>4131</v>
      </c>
      <c r="L3252" s="94"/>
      <c r="M3252" s="249" t="s">
        <v>4132</v>
      </c>
      <c r="N3252" s="106">
        <v>44855</v>
      </c>
      <c r="O3252" s="94" t="s">
        <v>461</v>
      </c>
      <c r="P3252" s="317">
        <v>9825</v>
      </c>
      <c r="Q3252" s="273">
        <v>2</v>
      </c>
      <c r="R3252" s="268">
        <f t="shared" si="77"/>
        <v>19650</v>
      </c>
      <c r="S3252" s="24">
        <v>202303</v>
      </c>
      <c r="T3252" s="127" t="s">
        <v>4146</v>
      </c>
      <c r="U3252" s="97"/>
      <c r="V3252" s="128"/>
      <c r="W3252" s="97"/>
      <c r="X3252" s="106">
        <v>44805</v>
      </c>
      <c r="Y3252" s="106">
        <v>46630</v>
      </c>
    </row>
    <row r="3253" s="9" customFormat="1" customHeight="1" spans="1:25">
      <c r="A3253" s="94" t="s">
        <v>61</v>
      </c>
      <c r="B3253" s="94" t="s">
        <v>4074</v>
      </c>
      <c r="C3253" s="94" t="s">
        <v>2998</v>
      </c>
      <c r="D3253" s="94" t="s">
        <v>85</v>
      </c>
      <c r="E3253" s="105" t="s">
        <v>4128</v>
      </c>
      <c r="F3253" s="96" t="s">
        <v>4129</v>
      </c>
      <c r="G3253" s="96" t="s">
        <v>88</v>
      </c>
      <c r="H3253" s="19" t="s">
        <v>4130</v>
      </c>
      <c r="I3253" s="23" t="str">
        <f>VLOOKUP(H3253,'合同综合查询数据（3月返）'!$A:$A,1,FALSE)</f>
        <v>182315IDC00057</v>
      </c>
      <c r="J3253" s="24" t="s">
        <v>90</v>
      </c>
      <c r="K3253" s="94" t="s">
        <v>4131</v>
      </c>
      <c r="L3253" s="94"/>
      <c r="M3253" s="249" t="s">
        <v>4132</v>
      </c>
      <c r="N3253" s="106">
        <v>44861</v>
      </c>
      <c r="O3253" s="94" t="s">
        <v>461</v>
      </c>
      <c r="P3253" s="317">
        <v>9825</v>
      </c>
      <c r="Q3253" s="273">
        <v>1</v>
      </c>
      <c r="R3253" s="268">
        <f t="shared" si="77"/>
        <v>9825</v>
      </c>
      <c r="S3253" s="24">
        <v>202303</v>
      </c>
      <c r="T3253" s="127" t="s">
        <v>4147</v>
      </c>
      <c r="U3253" s="97"/>
      <c r="V3253" s="128"/>
      <c r="W3253" s="97"/>
      <c r="X3253" s="106">
        <v>44805</v>
      </c>
      <c r="Y3253" s="106">
        <v>46630</v>
      </c>
    </row>
    <row r="3254" s="9" customFormat="1" customHeight="1" spans="1:25">
      <c r="A3254" s="94" t="s">
        <v>61</v>
      </c>
      <c r="B3254" s="94" t="s">
        <v>4074</v>
      </c>
      <c r="C3254" s="94" t="s">
        <v>2998</v>
      </c>
      <c r="D3254" s="94" t="s">
        <v>85</v>
      </c>
      <c r="E3254" s="105" t="s">
        <v>4128</v>
      </c>
      <c r="F3254" s="96" t="s">
        <v>4129</v>
      </c>
      <c r="G3254" s="96" t="s">
        <v>88</v>
      </c>
      <c r="H3254" s="19" t="s">
        <v>4130</v>
      </c>
      <c r="I3254" s="23" t="str">
        <f>VLOOKUP(H3254,'合同综合查询数据（3月返）'!$A:$A,1,FALSE)</f>
        <v>182315IDC00057</v>
      </c>
      <c r="J3254" s="24" t="s">
        <v>90</v>
      </c>
      <c r="K3254" s="94" t="s">
        <v>4131</v>
      </c>
      <c r="L3254" s="94"/>
      <c r="M3254" s="249" t="s">
        <v>4132</v>
      </c>
      <c r="N3254" s="106">
        <v>44865</v>
      </c>
      <c r="O3254" s="94" t="s">
        <v>461</v>
      </c>
      <c r="P3254" s="317">
        <v>9825</v>
      </c>
      <c r="Q3254" s="273">
        <v>2</v>
      </c>
      <c r="R3254" s="268">
        <f t="shared" si="77"/>
        <v>19650</v>
      </c>
      <c r="S3254" s="24">
        <v>202303</v>
      </c>
      <c r="T3254" s="127" t="s">
        <v>4148</v>
      </c>
      <c r="U3254" s="97"/>
      <c r="V3254" s="128"/>
      <c r="W3254" s="97"/>
      <c r="X3254" s="106">
        <v>44805</v>
      </c>
      <c r="Y3254" s="106">
        <v>46630</v>
      </c>
    </row>
    <row r="3255" s="9" customFormat="1" customHeight="1" spans="1:25">
      <c r="A3255" s="94" t="s">
        <v>61</v>
      </c>
      <c r="B3255" s="94" t="s">
        <v>4074</v>
      </c>
      <c r="C3255" s="94" t="s">
        <v>2998</v>
      </c>
      <c r="D3255" s="94" t="s">
        <v>85</v>
      </c>
      <c r="E3255" s="105" t="s">
        <v>4128</v>
      </c>
      <c r="F3255" s="96" t="s">
        <v>4129</v>
      </c>
      <c r="G3255" s="96" t="s">
        <v>88</v>
      </c>
      <c r="H3255" s="19" t="s">
        <v>4130</v>
      </c>
      <c r="I3255" s="23" t="str">
        <f>VLOOKUP(H3255,'合同综合查询数据（3月返）'!$A:$A,1,FALSE)</f>
        <v>182315IDC00057</v>
      </c>
      <c r="J3255" s="24" t="s">
        <v>90</v>
      </c>
      <c r="K3255" s="94" t="s">
        <v>4131</v>
      </c>
      <c r="L3255" s="94"/>
      <c r="M3255" s="249" t="s">
        <v>4132</v>
      </c>
      <c r="N3255" s="106">
        <v>44869</v>
      </c>
      <c r="O3255" s="94" t="s">
        <v>461</v>
      </c>
      <c r="P3255" s="317">
        <v>9825</v>
      </c>
      <c r="Q3255" s="273">
        <v>-14</v>
      </c>
      <c r="R3255" s="268">
        <f t="shared" si="77"/>
        <v>-137550</v>
      </c>
      <c r="S3255" s="24">
        <v>202303</v>
      </c>
      <c r="T3255" s="127" t="s">
        <v>4149</v>
      </c>
      <c r="U3255" s="97"/>
      <c r="V3255" s="128"/>
      <c r="W3255" s="97"/>
      <c r="X3255" s="106">
        <v>44805</v>
      </c>
      <c r="Y3255" s="106">
        <v>46630</v>
      </c>
    </row>
    <row r="3256" s="9" customFormat="1" customHeight="1" spans="1:25">
      <c r="A3256" s="94" t="s">
        <v>61</v>
      </c>
      <c r="B3256" s="94" t="s">
        <v>4074</v>
      </c>
      <c r="C3256" s="94" t="s">
        <v>2998</v>
      </c>
      <c r="D3256" s="94" t="s">
        <v>85</v>
      </c>
      <c r="E3256" s="105" t="s">
        <v>4128</v>
      </c>
      <c r="F3256" s="96" t="s">
        <v>4129</v>
      </c>
      <c r="G3256" s="96" t="s">
        <v>88</v>
      </c>
      <c r="H3256" s="19" t="s">
        <v>4130</v>
      </c>
      <c r="I3256" s="23" t="str">
        <f>VLOOKUP(H3256,'合同综合查询数据（3月返）'!$A:$A,1,FALSE)</f>
        <v>182315IDC00057</v>
      </c>
      <c r="J3256" s="24" t="s">
        <v>90</v>
      </c>
      <c r="K3256" s="94" t="s">
        <v>4131</v>
      </c>
      <c r="L3256" s="94"/>
      <c r="M3256" s="249" t="s">
        <v>4132</v>
      </c>
      <c r="N3256" s="106">
        <v>44879</v>
      </c>
      <c r="O3256" s="94" t="s">
        <v>461</v>
      </c>
      <c r="P3256" s="317">
        <v>9825</v>
      </c>
      <c r="Q3256" s="273">
        <v>1</v>
      </c>
      <c r="R3256" s="268">
        <f t="shared" si="77"/>
        <v>9825</v>
      </c>
      <c r="S3256" s="24">
        <v>202303</v>
      </c>
      <c r="T3256" s="127" t="s">
        <v>4150</v>
      </c>
      <c r="U3256" s="97"/>
      <c r="V3256" s="128"/>
      <c r="W3256" s="97"/>
      <c r="X3256" s="106">
        <v>44805</v>
      </c>
      <c r="Y3256" s="106">
        <v>46630</v>
      </c>
    </row>
    <row r="3257" s="9" customFormat="1" customHeight="1" spans="1:25">
      <c r="A3257" s="94" t="s">
        <v>61</v>
      </c>
      <c r="B3257" s="94" t="s">
        <v>4074</v>
      </c>
      <c r="C3257" s="94" t="s">
        <v>2998</v>
      </c>
      <c r="D3257" s="94" t="s">
        <v>85</v>
      </c>
      <c r="E3257" s="105" t="s">
        <v>4128</v>
      </c>
      <c r="F3257" s="96" t="s">
        <v>4129</v>
      </c>
      <c r="G3257" s="96" t="s">
        <v>88</v>
      </c>
      <c r="H3257" s="19" t="s">
        <v>4130</v>
      </c>
      <c r="I3257" s="23" t="str">
        <f>VLOOKUP(H3257,'合同综合查询数据（3月返）'!$A:$A,1,FALSE)</f>
        <v>182315IDC00057</v>
      </c>
      <c r="J3257" s="24" t="s">
        <v>90</v>
      </c>
      <c r="K3257" s="94" t="s">
        <v>4131</v>
      </c>
      <c r="L3257" s="94"/>
      <c r="M3257" s="249" t="s">
        <v>4132</v>
      </c>
      <c r="N3257" s="106">
        <v>44886</v>
      </c>
      <c r="O3257" s="94" t="s">
        <v>461</v>
      </c>
      <c r="P3257" s="317">
        <v>9825</v>
      </c>
      <c r="Q3257" s="273">
        <v>-2</v>
      </c>
      <c r="R3257" s="268">
        <f t="shared" si="77"/>
        <v>-19650</v>
      </c>
      <c r="S3257" s="24">
        <v>202303</v>
      </c>
      <c r="T3257" s="127" t="s">
        <v>4151</v>
      </c>
      <c r="U3257" s="97"/>
      <c r="V3257" s="128"/>
      <c r="W3257" s="97"/>
      <c r="X3257" s="106">
        <v>44805</v>
      </c>
      <c r="Y3257" s="106">
        <v>46630</v>
      </c>
    </row>
    <row r="3258" s="9" customFormat="1" customHeight="1" spans="1:25">
      <c r="A3258" s="94" t="s">
        <v>61</v>
      </c>
      <c r="B3258" s="94" t="s">
        <v>4074</v>
      </c>
      <c r="C3258" s="94" t="s">
        <v>2998</v>
      </c>
      <c r="D3258" s="94" t="s">
        <v>85</v>
      </c>
      <c r="E3258" s="105" t="s">
        <v>4128</v>
      </c>
      <c r="F3258" s="96" t="s">
        <v>4129</v>
      </c>
      <c r="G3258" s="96" t="s">
        <v>88</v>
      </c>
      <c r="H3258" s="19" t="s">
        <v>4130</v>
      </c>
      <c r="I3258" s="23" t="str">
        <f>VLOOKUP(H3258,'合同综合查询数据（3月返）'!$A:$A,1,FALSE)</f>
        <v>182315IDC00057</v>
      </c>
      <c r="J3258" s="24" t="s">
        <v>90</v>
      </c>
      <c r="K3258" s="94" t="s">
        <v>4131</v>
      </c>
      <c r="L3258" s="94"/>
      <c r="M3258" s="249" t="s">
        <v>4132</v>
      </c>
      <c r="N3258" s="106">
        <v>44894</v>
      </c>
      <c r="O3258" s="94" t="s">
        <v>461</v>
      </c>
      <c r="P3258" s="317">
        <v>9825</v>
      </c>
      <c r="Q3258" s="273">
        <v>2</v>
      </c>
      <c r="R3258" s="268">
        <f t="shared" si="77"/>
        <v>19650</v>
      </c>
      <c r="S3258" s="24">
        <v>202303</v>
      </c>
      <c r="T3258" s="127" t="s">
        <v>4152</v>
      </c>
      <c r="U3258" s="97"/>
      <c r="V3258" s="128"/>
      <c r="W3258" s="97"/>
      <c r="X3258" s="106">
        <v>44805</v>
      </c>
      <c r="Y3258" s="106">
        <v>46630</v>
      </c>
    </row>
    <row r="3259" s="9" customFormat="1" customHeight="1" spans="1:25">
      <c r="A3259" s="94" t="s">
        <v>61</v>
      </c>
      <c r="B3259" s="94" t="s">
        <v>4074</v>
      </c>
      <c r="C3259" s="94" t="s">
        <v>2998</v>
      </c>
      <c r="D3259" s="94" t="s">
        <v>85</v>
      </c>
      <c r="E3259" s="105" t="s">
        <v>4128</v>
      </c>
      <c r="F3259" s="96" t="s">
        <v>4129</v>
      </c>
      <c r="G3259" s="96" t="s">
        <v>88</v>
      </c>
      <c r="H3259" s="19" t="s">
        <v>4130</v>
      </c>
      <c r="I3259" s="23" t="str">
        <f>VLOOKUP(H3259,'合同综合查询数据（3月返）'!$A:$A,1,FALSE)</f>
        <v>182315IDC00057</v>
      </c>
      <c r="J3259" s="24" t="s">
        <v>90</v>
      </c>
      <c r="K3259" s="94" t="s">
        <v>4131</v>
      </c>
      <c r="L3259" s="94"/>
      <c r="M3259" s="249" t="s">
        <v>4132</v>
      </c>
      <c r="N3259" s="106">
        <v>44902</v>
      </c>
      <c r="O3259" s="94" t="s">
        <v>461</v>
      </c>
      <c r="P3259" s="317">
        <v>9825</v>
      </c>
      <c r="Q3259" s="273">
        <v>5</v>
      </c>
      <c r="R3259" s="268">
        <f t="shared" si="77"/>
        <v>49125</v>
      </c>
      <c r="S3259" s="24">
        <v>202303</v>
      </c>
      <c r="T3259" s="127" t="s">
        <v>4153</v>
      </c>
      <c r="U3259" s="97"/>
      <c r="V3259" s="128"/>
      <c r="W3259" s="97"/>
      <c r="X3259" s="106">
        <v>44805</v>
      </c>
      <c r="Y3259" s="106">
        <v>46630</v>
      </c>
    </row>
    <row r="3260" s="9" customFormat="1" customHeight="1" spans="1:25">
      <c r="A3260" s="94" t="s">
        <v>61</v>
      </c>
      <c r="B3260" s="94" t="s">
        <v>4074</v>
      </c>
      <c r="C3260" s="94" t="s">
        <v>2998</v>
      </c>
      <c r="D3260" s="94" t="s">
        <v>85</v>
      </c>
      <c r="E3260" s="105" t="s">
        <v>4128</v>
      </c>
      <c r="F3260" s="96" t="s">
        <v>4129</v>
      </c>
      <c r="G3260" s="96" t="s">
        <v>88</v>
      </c>
      <c r="H3260" s="19" t="s">
        <v>4130</v>
      </c>
      <c r="I3260" s="23" t="str">
        <f>VLOOKUP(H3260,'合同综合查询数据（3月返）'!$A:$A,1,FALSE)</f>
        <v>182315IDC00057</v>
      </c>
      <c r="J3260" s="24" t="s">
        <v>90</v>
      </c>
      <c r="K3260" s="94" t="s">
        <v>4131</v>
      </c>
      <c r="L3260" s="94"/>
      <c r="M3260" s="249" t="s">
        <v>4132</v>
      </c>
      <c r="N3260" s="106">
        <v>44918</v>
      </c>
      <c r="O3260" s="94" t="s">
        <v>461</v>
      </c>
      <c r="P3260" s="317">
        <v>9825</v>
      </c>
      <c r="Q3260" s="273">
        <v>1</v>
      </c>
      <c r="R3260" s="268">
        <f t="shared" si="77"/>
        <v>9825</v>
      </c>
      <c r="S3260" s="24">
        <v>202303</v>
      </c>
      <c r="T3260" s="127" t="s">
        <v>4154</v>
      </c>
      <c r="U3260" s="97"/>
      <c r="V3260" s="128"/>
      <c r="W3260" s="97"/>
      <c r="X3260" s="106">
        <v>44805</v>
      </c>
      <c r="Y3260" s="106">
        <v>46630</v>
      </c>
    </row>
    <row r="3261" s="9" customFormat="1" customHeight="1" spans="1:25">
      <c r="A3261" s="94" t="s">
        <v>61</v>
      </c>
      <c r="B3261" s="94" t="s">
        <v>4074</v>
      </c>
      <c r="C3261" s="94" t="s">
        <v>2998</v>
      </c>
      <c r="D3261" s="94" t="s">
        <v>85</v>
      </c>
      <c r="E3261" s="105" t="s">
        <v>4128</v>
      </c>
      <c r="F3261" s="96" t="s">
        <v>4129</v>
      </c>
      <c r="G3261" s="96" t="s">
        <v>88</v>
      </c>
      <c r="H3261" s="19" t="s">
        <v>4130</v>
      </c>
      <c r="I3261" s="23" t="str">
        <f>VLOOKUP(H3261,'合同综合查询数据（3月返）'!$A:$A,1,FALSE)</f>
        <v>182315IDC00057</v>
      </c>
      <c r="J3261" s="24" t="s">
        <v>90</v>
      </c>
      <c r="K3261" s="94" t="s">
        <v>4131</v>
      </c>
      <c r="L3261" s="94"/>
      <c r="M3261" s="249" t="s">
        <v>4132</v>
      </c>
      <c r="N3261" s="106">
        <v>44938</v>
      </c>
      <c r="O3261" s="94" t="s">
        <v>461</v>
      </c>
      <c r="P3261" s="317">
        <v>9825</v>
      </c>
      <c r="Q3261" s="273">
        <v>2</v>
      </c>
      <c r="R3261" s="268">
        <f t="shared" si="77"/>
        <v>19650</v>
      </c>
      <c r="S3261" s="24">
        <v>202303</v>
      </c>
      <c r="T3261" s="127" t="s">
        <v>4155</v>
      </c>
      <c r="U3261" s="97"/>
      <c r="V3261" s="128"/>
      <c r="W3261" s="97"/>
      <c r="X3261" s="106">
        <v>44805</v>
      </c>
      <c r="Y3261" s="106">
        <v>46630</v>
      </c>
    </row>
    <row r="3262" s="9" customFormat="1" customHeight="1" spans="1:25">
      <c r="A3262" s="94" t="s">
        <v>61</v>
      </c>
      <c r="B3262" s="94" t="s">
        <v>4074</v>
      </c>
      <c r="C3262" s="94" t="s">
        <v>2998</v>
      </c>
      <c r="D3262" s="94" t="s">
        <v>85</v>
      </c>
      <c r="E3262" s="105" t="s">
        <v>4128</v>
      </c>
      <c r="F3262" s="96" t="s">
        <v>4129</v>
      </c>
      <c r="G3262" s="96" t="s">
        <v>88</v>
      </c>
      <c r="H3262" s="19" t="s">
        <v>4130</v>
      </c>
      <c r="I3262" s="23" t="str">
        <f>VLOOKUP(H3262,'合同综合查询数据（3月返）'!$A:$A,1,FALSE)</f>
        <v>182315IDC00057</v>
      </c>
      <c r="J3262" s="24" t="s">
        <v>90</v>
      </c>
      <c r="K3262" s="94" t="s">
        <v>4131</v>
      </c>
      <c r="L3262" s="94"/>
      <c r="M3262" s="249" t="s">
        <v>4132</v>
      </c>
      <c r="N3262" s="106">
        <v>44956</v>
      </c>
      <c r="O3262" s="94" t="s">
        <v>461</v>
      </c>
      <c r="P3262" s="317">
        <v>9825</v>
      </c>
      <c r="Q3262" s="273">
        <v>4</v>
      </c>
      <c r="R3262" s="268">
        <f t="shared" si="77"/>
        <v>39300</v>
      </c>
      <c r="S3262" s="24">
        <v>202303</v>
      </c>
      <c r="T3262" s="127" t="s">
        <v>4156</v>
      </c>
      <c r="U3262" s="97"/>
      <c r="V3262" s="128"/>
      <c r="W3262" s="97"/>
      <c r="X3262" s="106">
        <v>44805</v>
      </c>
      <c r="Y3262" s="106">
        <v>46630</v>
      </c>
    </row>
    <row r="3263" s="9" customFormat="1" customHeight="1" spans="1:25">
      <c r="A3263" s="94" t="s">
        <v>61</v>
      </c>
      <c r="B3263" s="94" t="s">
        <v>4074</v>
      </c>
      <c r="C3263" s="94" t="s">
        <v>2998</v>
      </c>
      <c r="D3263" s="94" t="s">
        <v>85</v>
      </c>
      <c r="E3263" s="105" t="s">
        <v>4128</v>
      </c>
      <c r="F3263" s="96" t="s">
        <v>4129</v>
      </c>
      <c r="G3263" s="96" t="s">
        <v>88</v>
      </c>
      <c r="H3263" s="19" t="s">
        <v>4130</v>
      </c>
      <c r="I3263" s="23" t="str">
        <f>VLOOKUP(H3263,'合同综合查询数据（3月返）'!$A:$A,1,FALSE)</f>
        <v>182315IDC00057</v>
      </c>
      <c r="J3263" s="24" t="s">
        <v>90</v>
      </c>
      <c r="K3263" s="94" t="s">
        <v>4131</v>
      </c>
      <c r="L3263" s="94"/>
      <c r="M3263" s="249" t="s">
        <v>4132</v>
      </c>
      <c r="N3263" s="106">
        <v>44960</v>
      </c>
      <c r="O3263" s="94" t="s">
        <v>461</v>
      </c>
      <c r="P3263" s="317">
        <v>9825</v>
      </c>
      <c r="Q3263" s="273">
        <v>3</v>
      </c>
      <c r="R3263" s="268">
        <f t="shared" si="77"/>
        <v>29475</v>
      </c>
      <c r="S3263" s="24">
        <v>202303</v>
      </c>
      <c r="T3263" s="127" t="s">
        <v>4157</v>
      </c>
      <c r="U3263" s="97"/>
      <c r="V3263" s="128"/>
      <c r="W3263" s="97"/>
      <c r="X3263" s="106">
        <v>44805</v>
      </c>
      <c r="Y3263" s="106">
        <v>46630</v>
      </c>
    </row>
    <row r="3264" s="9" customFormat="1" customHeight="1" spans="1:25">
      <c r="A3264" s="94" t="s">
        <v>61</v>
      </c>
      <c r="B3264" s="94" t="s">
        <v>4074</v>
      </c>
      <c r="C3264" s="94" t="s">
        <v>2998</v>
      </c>
      <c r="D3264" s="94" t="s">
        <v>85</v>
      </c>
      <c r="E3264" s="105" t="s">
        <v>4128</v>
      </c>
      <c r="F3264" s="96" t="s">
        <v>4129</v>
      </c>
      <c r="G3264" s="96" t="s">
        <v>88</v>
      </c>
      <c r="H3264" s="19" t="s">
        <v>4130</v>
      </c>
      <c r="I3264" s="23" t="str">
        <f>VLOOKUP(H3264,'合同综合查询数据（3月返）'!$A:$A,1,FALSE)</f>
        <v>182315IDC00057</v>
      </c>
      <c r="J3264" s="24" t="s">
        <v>90</v>
      </c>
      <c r="K3264" s="94" t="s">
        <v>4131</v>
      </c>
      <c r="L3264" s="94"/>
      <c r="M3264" s="249" t="s">
        <v>4132</v>
      </c>
      <c r="N3264" s="106">
        <v>44967</v>
      </c>
      <c r="O3264" s="94" t="s">
        <v>461</v>
      </c>
      <c r="P3264" s="317">
        <v>9825</v>
      </c>
      <c r="Q3264" s="273">
        <v>26</v>
      </c>
      <c r="R3264" s="268">
        <f t="shared" si="77"/>
        <v>255450</v>
      </c>
      <c r="S3264" s="24">
        <v>202303</v>
      </c>
      <c r="T3264" s="127" t="s">
        <v>4158</v>
      </c>
      <c r="U3264" s="97"/>
      <c r="V3264" s="128"/>
      <c r="W3264" s="97"/>
      <c r="X3264" s="106">
        <v>44805</v>
      </c>
      <c r="Y3264" s="106">
        <v>46630</v>
      </c>
    </row>
    <row r="3265" s="9" customFormat="1" customHeight="1" spans="1:25">
      <c r="A3265" s="94" t="s">
        <v>61</v>
      </c>
      <c r="B3265" s="94" t="s">
        <v>4074</v>
      </c>
      <c r="C3265" s="94" t="s">
        <v>2998</v>
      </c>
      <c r="D3265" s="94" t="s">
        <v>85</v>
      </c>
      <c r="E3265" s="105" t="s">
        <v>4128</v>
      </c>
      <c r="F3265" s="96" t="s">
        <v>4129</v>
      </c>
      <c r="G3265" s="96" t="s">
        <v>88</v>
      </c>
      <c r="H3265" s="19" t="s">
        <v>4130</v>
      </c>
      <c r="I3265" s="23" t="str">
        <f>VLOOKUP(H3265,'合同综合查询数据（3月返）'!$A:$A,1,FALSE)</f>
        <v>182315IDC00057</v>
      </c>
      <c r="J3265" s="24" t="s">
        <v>90</v>
      </c>
      <c r="K3265" s="94" t="s">
        <v>4131</v>
      </c>
      <c r="L3265" s="94"/>
      <c r="M3265" s="249" t="s">
        <v>4132</v>
      </c>
      <c r="N3265" s="106">
        <v>44984</v>
      </c>
      <c r="O3265" s="94" t="s">
        <v>461</v>
      </c>
      <c r="P3265" s="317">
        <v>9825</v>
      </c>
      <c r="Q3265" s="273">
        <v>10</v>
      </c>
      <c r="R3265" s="268">
        <f t="shared" si="77"/>
        <v>98250</v>
      </c>
      <c r="S3265" s="24">
        <v>202303</v>
      </c>
      <c r="T3265" s="127" t="s">
        <v>4159</v>
      </c>
      <c r="U3265" s="97"/>
      <c r="V3265" s="128"/>
      <c r="W3265" s="97"/>
      <c r="X3265" s="106">
        <v>44805</v>
      </c>
      <c r="Y3265" s="106">
        <v>46630</v>
      </c>
    </row>
    <row r="3266" s="9" customFormat="1" customHeight="1" spans="1:25">
      <c r="A3266" s="94" t="s">
        <v>61</v>
      </c>
      <c r="B3266" s="94" t="s">
        <v>4074</v>
      </c>
      <c r="C3266" s="94" t="s">
        <v>2998</v>
      </c>
      <c r="D3266" s="94" t="s">
        <v>85</v>
      </c>
      <c r="E3266" s="105" t="s">
        <v>4128</v>
      </c>
      <c r="F3266" s="96" t="s">
        <v>4129</v>
      </c>
      <c r="G3266" s="96" t="s">
        <v>88</v>
      </c>
      <c r="H3266" s="19" t="s">
        <v>4130</v>
      </c>
      <c r="I3266" s="23" t="str">
        <f>VLOOKUP(H3266,'合同综合查询数据（3月返）'!$A:$A,1,FALSE)</f>
        <v>182315IDC00057</v>
      </c>
      <c r="J3266" s="24" t="s">
        <v>3102</v>
      </c>
      <c r="K3266" s="94" t="s">
        <v>4131</v>
      </c>
      <c r="L3266" s="94"/>
      <c r="M3266" s="249" t="s">
        <v>4132</v>
      </c>
      <c r="N3266" s="106"/>
      <c r="O3266" s="94"/>
      <c r="P3266" s="317">
        <v>245</v>
      </c>
      <c r="Q3266" s="273">
        <v>0</v>
      </c>
      <c r="R3266" s="268">
        <f t="shared" si="77"/>
        <v>0</v>
      </c>
      <c r="S3266" s="24">
        <v>202303</v>
      </c>
      <c r="T3266" s="127" t="s">
        <v>4160</v>
      </c>
      <c r="U3266" s="97"/>
      <c r="V3266" s="128"/>
      <c r="W3266" s="97"/>
      <c r="X3266" s="106">
        <v>44805</v>
      </c>
      <c r="Y3266" s="106">
        <v>46630</v>
      </c>
    </row>
    <row r="3267" s="9" customFormat="1" customHeight="1" spans="1:25">
      <c r="A3267" s="94" t="s">
        <v>61</v>
      </c>
      <c r="B3267" s="94" t="s">
        <v>4074</v>
      </c>
      <c r="C3267" s="94" t="s">
        <v>2998</v>
      </c>
      <c r="D3267" s="94" t="s">
        <v>2951</v>
      </c>
      <c r="E3267" s="105" t="s">
        <v>4161</v>
      </c>
      <c r="F3267" s="96" t="s">
        <v>4162</v>
      </c>
      <c r="G3267" s="96" t="s">
        <v>78</v>
      </c>
      <c r="H3267" s="19" t="s">
        <v>4163</v>
      </c>
      <c r="I3267" s="23" t="e">
        <f>VLOOKUP(H3267,'合同综合查询数据（3月返）'!$A:$A,1,FALSE)</f>
        <v>#N/A</v>
      </c>
      <c r="J3267" s="24" t="s">
        <v>80</v>
      </c>
      <c r="K3267" s="94" t="s">
        <v>4164</v>
      </c>
      <c r="L3267" s="94"/>
      <c r="M3267" s="249"/>
      <c r="N3267" s="106">
        <v>44827</v>
      </c>
      <c r="O3267" s="94"/>
      <c r="P3267" s="317">
        <v>1000</v>
      </c>
      <c r="Q3267" s="273">
        <v>2</v>
      </c>
      <c r="R3267" s="268">
        <f t="shared" si="77"/>
        <v>2000</v>
      </c>
      <c r="S3267" s="24">
        <v>202303</v>
      </c>
      <c r="T3267" s="127" t="s">
        <v>4165</v>
      </c>
      <c r="U3267" s="97"/>
      <c r="V3267" s="128"/>
      <c r="W3267" s="97"/>
      <c r="X3267" s="106">
        <v>44562</v>
      </c>
      <c r="Y3267" s="106">
        <v>45291</v>
      </c>
    </row>
    <row r="3268" s="9" customFormat="1" customHeight="1" spans="1:25">
      <c r="A3268" s="96" t="s">
        <v>129</v>
      </c>
      <c r="B3268" s="96" t="s">
        <v>4074</v>
      </c>
      <c r="C3268" s="96" t="s">
        <v>161</v>
      </c>
      <c r="D3268" s="94" t="s">
        <v>28</v>
      </c>
      <c r="E3268" s="105" t="s">
        <v>4166</v>
      </c>
      <c r="F3268" s="96" t="s">
        <v>4167</v>
      </c>
      <c r="G3268" s="96" t="s">
        <v>31</v>
      </c>
      <c r="H3268" s="19" t="s">
        <v>4168</v>
      </c>
      <c r="I3268" s="23" t="e">
        <f>VLOOKUP(H3268,'合同综合查询数据（3月返）'!$A:$A,1,FALSE)</f>
        <v>#N/A</v>
      </c>
      <c r="J3268" s="24" t="s">
        <v>33</v>
      </c>
      <c r="K3268" s="96" t="s">
        <v>4169</v>
      </c>
      <c r="L3268" s="114" t="s">
        <v>4170</v>
      </c>
      <c r="M3268" s="26" t="s">
        <v>4171</v>
      </c>
      <c r="N3268" s="106">
        <v>43282</v>
      </c>
      <c r="O3268" s="311" t="s">
        <v>37</v>
      </c>
      <c r="P3268" s="268">
        <v>0</v>
      </c>
      <c r="Q3268" s="273">
        <v>288</v>
      </c>
      <c r="R3268" s="268">
        <f t="shared" si="77"/>
        <v>0</v>
      </c>
      <c r="S3268" s="24">
        <v>202303</v>
      </c>
      <c r="T3268" s="127" t="s">
        <v>4172</v>
      </c>
      <c r="U3268" s="40"/>
      <c r="V3268" s="40"/>
      <c r="W3268" s="40"/>
      <c r="X3268" s="106">
        <v>44652</v>
      </c>
      <c r="Y3268" s="106">
        <v>45016</v>
      </c>
    </row>
    <row r="3269" s="9" customFormat="1" customHeight="1" spans="1:25">
      <c r="A3269" s="96" t="s">
        <v>129</v>
      </c>
      <c r="B3269" s="96" t="s">
        <v>4074</v>
      </c>
      <c r="C3269" s="96" t="s">
        <v>161</v>
      </c>
      <c r="D3269" s="94" t="s">
        <v>28</v>
      </c>
      <c r="E3269" s="105" t="s">
        <v>4166</v>
      </c>
      <c r="F3269" s="96" t="s">
        <v>4167</v>
      </c>
      <c r="G3269" s="96" t="s">
        <v>31</v>
      </c>
      <c r="H3269" s="19" t="s">
        <v>4168</v>
      </c>
      <c r="I3269" s="23" t="e">
        <f>VLOOKUP(H3269,'合同综合查询数据（3月返）'!$A:$A,1,FALSE)</f>
        <v>#N/A</v>
      </c>
      <c r="J3269" s="24" t="s">
        <v>33</v>
      </c>
      <c r="K3269" s="96" t="s">
        <v>4169</v>
      </c>
      <c r="L3269" s="114" t="s">
        <v>4170</v>
      </c>
      <c r="M3269" s="26" t="s">
        <v>4171</v>
      </c>
      <c r="N3269" s="106">
        <v>44985</v>
      </c>
      <c r="O3269" s="311" t="s">
        <v>37</v>
      </c>
      <c r="P3269" s="268">
        <v>0</v>
      </c>
      <c r="Q3269" s="273">
        <v>-288</v>
      </c>
      <c r="R3269" s="268">
        <f t="shared" si="77"/>
        <v>0</v>
      </c>
      <c r="S3269" s="24">
        <v>202303</v>
      </c>
      <c r="T3269" s="127" t="s">
        <v>4173</v>
      </c>
      <c r="U3269" s="40"/>
      <c r="V3269" s="40"/>
      <c r="W3269" s="40"/>
      <c r="X3269" s="106">
        <v>44652</v>
      </c>
      <c r="Y3269" s="106">
        <v>45016</v>
      </c>
    </row>
    <row r="3270" s="9" customFormat="1" customHeight="1" spans="1:25">
      <c r="A3270" s="96" t="s">
        <v>129</v>
      </c>
      <c r="B3270" s="96" t="s">
        <v>4074</v>
      </c>
      <c r="C3270" s="96" t="s">
        <v>161</v>
      </c>
      <c r="D3270" s="94" t="s">
        <v>28</v>
      </c>
      <c r="E3270" s="105" t="s">
        <v>4166</v>
      </c>
      <c r="F3270" s="96" t="s">
        <v>4167</v>
      </c>
      <c r="G3270" s="96" t="s">
        <v>31</v>
      </c>
      <c r="H3270" s="19" t="s">
        <v>4168</v>
      </c>
      <c r="I3270" s="23" t="e">
        <f>VLOOKUP(H3270,'合同综合查询数据（3月返）'!$A:$A,1,FALSE)</f>
        <v>#N/A</v>
      </c>
      <c r="J3270" s="24" t="s">
        <v>33</v>
      </c>
      <c r="K3270" s="96" t="s">
        <v>4169</v>
      </c>
      <c r="L3270" s="114" t="s">
        <v>4170</v>
      </c>
      <c r="M3270" s="26" t="s">
        <v>4171</v>
      </c>
      <c r="N3270" s="106"/>
      <c r="O3270" s="311" t="s">
        <v>152</v>
      </c>
      <c r="P3270" s="268">
        <v>0</v>
      </c>
      <c r="Q3270" s="273">
        <v>0</v>
      </c>
      <c r="R3270" s="268">
        <f t="shared" si="77"/>
        <v>0</v>
      </c>
      <c r="S3270" s="24">
        <v>202303</v>
      </c>
      <c r="T3270" s="127" t="s">
        <v>4174</v>
      </c>
      <c r="U3270" s="40"/>
      <c r="V3270" s="40"/>
      <c r="W3270" s="40"/>
      <c r="X3270" s="106">
        <v>44652</v>
      </c>
      <c r="Y3270" s="106">
        <v>45016</v>
      </c>
    </row>
    <row r="3271" s="9" customFormat="1" customHeight="1" spans="1:25">
      <c r="A3271" s="96" t="s">
        <v>129</v>
      </c>
      <c r="B3271" s="96" t="s">
        <v>4074</v>
      </c>
      <c r="C3271" s="96" t="s">
        <v>161</v>
      </c>
      <c r="D3271" s="94" t="s">
        <v>28</v>
      </c>
      <c r="E3271" s="105" t="s">
        <v>4166</v>
      </c>
      <c r="F3271" s="96" t="s">
        <v>4167</v>
      </c>
      <c r="G3271" s="96" t="s">
        <v>88</v>
      </c>
      <c r="H3271" s="19" t="s">
        <v>4168</v>
      </c>
      <c r="I3271" s="23" t="e">
        <f>VLOOKUP(H3271,'合同综合查询数据（3月返）'!$A:$A,1,FALSE)</f>
        <v>#N/A</v>
      </c>
      <c r="J3271" s="24" t="s">
        <v>126</v>
      </c>
      <c r="K3271" s="96" t="s">
        <v>4169</v>
      </c>
      <c r="L3271" s="114" t="s">
        <v>4170</v>
      </c>
      <c r="M3271" s="26" t="s">
        <v>4171</v>
      </c>
      <c r="N3271" s="106">
        <v>43282</v>
      </c>
      <c r="O3271" s="311" t="s">
        <v>92</v>
      </c>
      <c r="P3271" s="268">
        <v>0</v>
      </c>
      <c r="Q3271" s="273">
        <v>7</v>
      </c>
      <c r="R3271" s="268">
        <f t="shared" si="77"/>
        <v>0</v>
      </c>
      <c r="S3271" s="24">
        <v>202303</v>
      </c>
      <c r="T3271" s="127" t="s">
        <v>4175</v>
      </c>
      <c r="U3271" s="40"/>
      <c r="V3271" s="40"/>
      <c r="W3271" s="40"/>
      <c r="X3271" s="106">
        <v>44652</v>
      </c>
      <c r="Y3271" s="106">
        <v>45016</v>
      </c>
    </row>
    <row r="3272" s="9" customFormat="1" customHeight="1" spans="1:25">
      <c r="A3272" s="96" t="s">
        <v>129</v>
      </c>
      <c r="B3272" s="96" t="s">
        <v>4074</v>
      </c>
      <c r="C3272" s="96" t="s">
        <v>161</v>
      </c>
      <c r="D3272" s="94" t="s">
        <v>28</v>
      </c>
      <c r="E3272" s="105" t="s">
        <v>4166</v>
      </c>
      <c r="F3272" s="96" t="s">
        <v>4167</v>
      </c>
      <c r="G3272" s="96" t="s">
        <v>88</v>
      </c>
      <c r="H3272" s="19" t="s">
        <v>4168</v>
      </c>
      <c r="I3272" s="23" t="e">
        <f>VLOOKUP(H3272,'合同综合查询数据（3月返）'!$A:$A,1,FALSE)</f>
        <v>#N/A</v>
      </c>
      <c r="J3272" s="24" t="s">
        <v>126</v>
      </c>
      <c r="K3272" s="96" t="s">
        <v>4169</v>
      </c>
      <c r="L3272" s="114" t="s">
        <v>4170</v>
      </c>
      <c r="M3272" s="26" t="s">
        <v>4171</v>
      </c>
      <c r="N3272" s="106">
        <v>44207</v>
      </c>
      <c r="O3272" s="311" t="s">
        <v>92</v>
      </c>
      <c r="P3272" s="268">
        <v>0</v>
      </c>
      <c r="Q3272" s="273">
        <v>-4</v>
      </c>
      <c r="R3272" s="268">
        <f t="shared" si="77"/>
        <v>0</v>
      </c>
      <c r="S3272" s="24">
        <v>202303</v>
      </c>
      <c r="T3272" s="127" t="s">
        <v>4176</v>
      </c>
      <c r="U3272" s="40"/>
      <c r="V3272" s="40"/>
      <c r="W3272" s="40"/>
      <c r="X3272" s="106">
        <v>44652</v>
      </c>
      <c r="Y3272" s="106">
        <v>45016</v>
      </c>
    </row>
    <row r="3273" s="9" customFormat="1" customHeight="1" spans="1:25">
      <c r="A3273" s="96" t="s">
        <v>129</v>
      </c>
      <c r="B3273" s="96" t="s">
        <v>4074</v>
      </c>
      <c r="C3273" s="96" t="s">
        <v>161</v>
      </c>
      <c r="D3273" s="94" t="s">
        <v>28</v>
      </c>
      <c r="E3273" s="105" t="s">
        <v>4166</v>
      </c>
      <c r="F3273" s="96" t="s">
        <v>4167</v>
      </c>
      <c r="G3273" s="96" t="s">
        <v>88</v>
      </c>
      <c r="H3273" s="19" t="s">
        <v>4168</v>
      </c>
      <c r="I3273" s="23" t="e">
        <f>VLOOKUP(H3273,'合同综合查询数据（3月返）'!$A:$A,1,FALSE)</f>
        <v>#N/A</v>
      </c>
      <c r="J3273" s="24" t="s">
        <v>126</v>
      </c>
      <c r="K3273" s="96" t="s">
        <v>4169</v>
      </c>
      <c r="L3273" s="114" t="s">
        <v>4170</v>
      </c>
      <c r="M3273" s="26" t="s">
        <v>4171</v>
      </c>
      <c r="N3273" s="106">
        <v>44985</v>
      </c>
      <c r="O3273" s="311" t="s">
        <v>92</v>
      </c>
      <c r="P3273" s="268">
        <v>0</v>
      </c>
      <c r="Q3273" s="273">
        <v>-3</v>
      </c>
      <c r="R3273" s="268">
        <f t="shared" si="77"/>
        <v>0</v>
      </c>
      <c r="S3273" s="24">
        <v>202303</v>
      </c>
      <c r="T3273" s="127" t="s">
        <v>4177</v>
      </c>
      <c r="U3273" s="40"/>
      <c r="V3273" s="40"/>
      <c r="W3273" s="40"/>
      <c r="X3273" s="106">
        <v>44652</v>
      </c>
      <c r="Y3273" s="106">
        <v>45016</v>
      </c>
    </row>
    <row r="3274" s="9" customFormat="1" customHeight="1" spans="1:25">
      <c r="A3274" s="96" t="s">
        <v>109</v>
      </c>
      <c r="B3274" s="96" t="s">
        <v>4074</v>
      </c>
      <c r="C3274" s="96" t="s">
        <v>204</v>
      </c>
      <c r="D3274" s="94" t="s">
        <v>4178</v>
      </c>
      <c r="E3274" s="105" t="s">
        <v>4179</v>
      </c>
      <c r="F3274" s="96" t="s">
        <v>4180</v>
      </c>
      <c r="G3274" s="96" t="s">
        <v>31</v>
      </c>
      <c r="H3274" s="19" t="s">
        <v>4181</v>
      </c>
      <c r="I3274" s="23" t="e">
        <f>VLOOKUP(H3274,'合同综合查询数据（3月返）'!$A:$A,1,FALSE)</f>
        <v>#N/A</v>
      </c>
      <c r="J3274" s="24" t="s">
        <v>33</v>
      </c>
      <c r="K3274" s="96" t="s">
        <v>4182</v>
      </c>
      <c r="L3274" s="114" t="s">
        <v>4182</v>
      </c>
      <c r="M3274" s="26" t="s">
        <v>4183</v>
      </c>
      <c r="N3274" s="190" t="s">
        <v>4184</v>
      </c>
      <c r="O3274" s="199" t="s">
        <v>37</v>
      </c>
      <c r="P3274" s="268">
        <v>0</v>
      </c>
      <c r="Q3274" s="273">
        <v>1434</v>
      </c>
      <c r="R3274" s="268">
        <f t="shared" si="77"/>
        <v>0</v>
      </c>
      <c r="S3274" s="24">
        <v>202303</v>
      </c>
      <c r="T3274" s="127" t="s">
        <v>4185</v>
      </c>
      <c r="U3274" s="40"/>
      <c r="V3274" s="40"/>
      <c r="W3274" s="40"/>
      <c r="X3274" s="106">
        <v>44013</v>
      </c>
      <c r="Y3274" s="106">
        <v>44255</v>
      </c>
    </row>
    <row r="3275" s="9" customFormat="1" customHeight="1" spans="1:25">
      <c r="A3275" s="96" t="s">
        <v>109</v>
      </c>
      <c r="B3275" s="96" t="s">
        <v>4074</v>
      </c>
      <c r="C3275" s="96" t="s">
        <v>204</v>
      </c>
      <c r="D3275" s="94" t="s">
        <v>4178</v>
      </c>
      <c r="E3275" s="105" t="s">
        <v>4179</v>
      </c>
      <c r="F3275" s="96" t="s">
        <v>4180</v>
      </c>
      <c r="G3275" s="96" t="s">
        <v>31</v>
      </c>
      <c r="H3275" s="19" t="s">
        <v>4181</v>
      </c>
      <c r="I3275" s="23" t="e">
        <f>VLOOKUP(H3275,'合同综合查询数据（3月返）'!$A:$A,1,FALSE)</f>
        <v>#N/A</v>
      </c>
      <c r="J3275" s="24" t="s">
        <v>33</v>
      </c>
      <c r="K3275" s="96" t="s">
        <v>206</v>
      </c>
      <c r="L3275" s="114"/>
      <c r="M3275" s="94" t="s">
        <v>4183</v>
      </c>
      <c r="N3275" s="190">
        <v>44089</v>
      </c>
      <c r="O3275" s="199" t="s">
        <v>37</v>
      </c>
      <c r="P3275" s="268">
        <v>0</v>
      </c>
      <c r="Q3275" s="273">
        <v>-256</v>
      </c>
      <c r="R3275" s="268">
        <f t="shared" si="77"/>
        <v>0</v>
      </c>
      <c r="S3275" s="24">
        <v>202303</v>
      </c>
      <c r="T3275" s="127" t="s">
        <v>4186</v>
      </c>
      <c r="U3275" s="40"/>
      <c r="V3275" s="40"/>
      <c r="W3275" s="40"/>
      <c r="X3275" s="106">
        <v>44013</v>
      </c>
      <c r="Y3275" s="106">
        <v>44255</v>
      </c>
    </row>
    <row r="3276" s="9" customFormat="1" customHeight="1" spans="1:25">
      <c r="A3276" s="96" t="s">
        <v>109</v>
      </c>
      <c r="B3276" s="96" t="s">
        <v>4074</v>
      </c>
      <c r="C3276" s="96" t="s">
        <v>204</v>
      </c>
      <c r="D3276" s="94" t="s">
        <v>4178</v>
      </c>
      <c r="E3276" s="105" t="s">
        <v>4179</v>
      </c>
      <c r="F3276" s="96" t="s">
        <v>4180</v>
      </c>
      <c r="G3276" s="96" t="s">
        <v>31</v>
      </c>
      <c r="H3276" s="19" t="s">
        <v>4181</v>
      </c>
      <c r="I3276" s="23" t="e">
        <f>VLOOKUP(H3276,'合同综合查询数据（3月返）'!$A:$A,1,FALSE)</f>
        <v>#N/A</v>
      </c>
      <c r="J3276" s="24" t="s">
        <v>33</v>
      </c>
      <c r="K3276" s="96" t="s">
        <v>206</v>
      </c>
      <c r="L3276" s="114"/>
      <c r="M3276" s="94" t="s">
        <v>4183</v>
      </c>
      <c r="N3276" s="190">
        <v>44089</v>
      </c>
      <c r="O3276" s="199" t="s">
        <v>37</v>
      </c>
      <c r="P3276" s="268">
        <v>0</v>
      </c>
      <c r="Q3276" s="273">
        <v>-32</v>
      </c>
      <c r="R3276" s="268">
        <f t="shared" si="77"/>
        <v>0</v>
      </c>
      <c r="S3276" s="24">
        <v>202303</v>
      </c>
      <c r="T3276" s="127" t="s">
        <v>4187</v>
      </c>
      <c r="U3276" s="40"/>
      <c r="V3276" s="40"/>
      <c r="W3276" s="40"/>
      <c r="X3276" s="106">
        <v>44013</v>
      </c>
      <c r="Y3276" s="106">
        <v>44255</v>
      </c>
    </row>
    <row r="3277" s="9" customFormat="1" customHeight="1" spans="1:25">
      <c r="A3277" s="96" t="s">
        <v>109</v>
      </c>
      <c r="B3277" s="96" t="s">
        <v>4074</v>
      </c>
      <c r="C3277" s="96" t="s">
        <v>204</v>
      </c>
      <c r="D3277" s="94" t="s">
        <v>4178</v>
      </c>
      <c r="E3277" s="105" t="s">
        <v>4179</v>
      </c>
      <c r="F3277" s="96" t="s">
        <v>4180</v>
      </c>
      <c r="G3277" s="96" t="s">
        <v>31</v>
      </c>
      <c r="H3277" s="19" t="s">
        <v>4181</v>
      </c>
      <c r="I3277" s="23" t="e">
        <f>VLOOKUP(H3277,'合同综合查询数据（3月返）'!$A:$A,1,FALSE)</f>
        <v>#N/A</v>
      </c>
      <c r="J3277" s="24" t="s">
        <v>33</v>
      </c>
      <c r="K3277" s="96" t="s">
        <v>206</v>
      </c>
      <c r="L3277" s="114"/>
      <c r="M3277" s="249"/>
      <c r="N3277" s="190"/>
      <c r="O3277" s="94" t="s">
        <v>152</v>
      </c>
      <c r="P3277" s="268">
        <v>0</v>
      </c>
      <c r="Q3277" s="273">
        <v>0</v>
      </c>
      <c r="R3277" s="268">
        <f t="shared" si="77"/>
        <v>0</v>
      </c>
      <c r="S3277" s="24">
        <v>202303</v>
      </c>
      <c r="T3277" s="127" t="s">
        <v>4188</v>
      </c>
      <c r="U3277" s="40"/>
      <c r="V3277" s="40"/>
      <c r="W3277" s="40"/>
      <c r="X3277" s="106">
        <v>44013</v>
      </c>
      <c r="Y3277" s="106">
        <v>44255</v>
      </c>
    </row>
    <row r="3278" s="9" customFormat="1" customHeight="1" spans="1:25">
      <c r="A3278" s="96" t="s">
        <v>109</v>
      </c>
      <c r="B3278" s="96" t="s">
        <v>4074</v>
      </c>
      <c r="C3278" s="96" t="s">
        <v>204</v>
      </c>
      <c r="D3278" s="94" t="s">
        <v>4178</v>
      </c>
      <c r="E3278" s="105" t="s">
        <v>4179</v>
      </c>
      <c r="F3278" s="96" t="s">
        <v>4180</v>
      </c>
      <c r="G3278" s="96" t="s">
        <v>31</v>
      </c>
      <c r="H3278" s="19" t="s">
        <v>4181</v>
      </c>
      <c r="I3278" s="23" t="e">
        <f>VLOOKUP(H3278,'合同综合查询数据（3月返）'!$A:$A,1,FALSE)</f>
        <v>#N/A</v>
      </c>
      <c r="J3278" s="24" t="s">
        <v>33</v>
      </c>
      <c r="K3278" s="96" t="s">
        <v>206</v>
      </c>
      <c r="L3278" s="114"/>
      <c r="M3278" s="249"/>
      <c r="N3278" s="190">
        <v>44089</v>
      </c>
      <c r="O3278" s="94" t="s">
        <v>152</v>
      </c>
      <c r="P3278" s="268">
        <v>0</v>
      </c>
      <c r="Q3278" s="273">
        <v>0</v>
      </c>
      <c r="R3278" s="268">
        <f t="shared" si="77"/>
        <v>0</v>
      </c>
      <c r="S3278" s="24">
        <v>202303</v>
      </c>
      <c r="T3278" s="127" t="s">
        <v>4189</v>
      </c>
      <c r="U3278" s="40"/>
      <c r="V3278" s="40"/>
      <c r="W3278" s="40"/>
      <c r="X3278" s="106">
        <v>44013</v>
      </c>
      <c r="Y3278" s="106">
        <v>44255</v>
      </c>
    </row>
    <row r="3279" s="9" customFormat="1" customHeight="1" spans="1:25">
      <c r="A3279" s="96" t="s">
        <v>109</v>
      </c>
      <c r="B3279" s="96" t="s">
        <v>4074</v>
      </c>
      <c r="C3279" s="96" t="s">
        <v>204</v>
      </c>
      <c r="D3279" s="94" t="s">
        <v>4178</v>
      </c>
      <c r="E3279" s="105" t="s">
        <v>4179</v>
      </c>
      <c r="F3279" s="96" t="s">
        <v>4180</v>
      </c>
      <c r="G3279" s="96" t="s">
        <v>88</v>
      </c>
      <c r="H3279" s="19" t="s">
        <v>4181</v>
      </c>
      <c r="I3279" s="23" t="e">
        <f>VLOOKUP(H3279,'合同综合查询数据（3月返）'!$A:$A,1,FALSE)</f>
        <v>#N/A</v>
      </c>
      <c r="J3279" s="24" t="s">
        <v>126</v>
      </c>
      <c r="K3279" s="96" t="s">
        <v>206</v>
      </c>
      <c r="L3279" s="114"/>
      <c r="M3279" s="94" t="s">
        <v>4190</v>
      </c>
      <c r="N3279" s="190">
        <v>43199</v>
      </c>
      <c r="O3279" s="210" t="s">
        <v>127</v>
      </c>
      <c r="P3279" s="268">
        <v>5000</v>
      </c>
      <c r="Q3279" s="273">
        <v>8</v>
      </c>
      <c r="R3279" s="268">
        <f t="shared" si="77"/>
        <v>40000</v>
      </c>
      <c r="S3279" s="24">
        <v>202303</v>
      </c>
      <c r="T3279" s="302"/>
      <c r="U3279" s="40"/>
      <c r="V3279" s="40"/>
      <c r="W3279" s="40"/>
      <c r="X3279" s="106">
        <v>44013</v>
      </c>
      <c r="Y3279" s="106">
        <v>44255</v>
      </c>
    </row>
    <row r="3280" s="9" customFormat="1" customHeight="1" spans="1:25">
      <c r="A3280" s="96" t="s">
        <v>109</v>
      </c>
      <c r="B3280" s="96" t="s">
        <v>4074</v>
      </c>
      <c r="C3280" s="96" t="s">
        <v>204</v>
      </c>
      <c r="D3280" s="94" t="s">
        <v>4178</v>
      </c>
      <c r="E3280" s="105" t="s">
        <v>4179</v>
      </c>
      <c r="F3280" s="96" t="s">
        <v>4180</v>
      </c>
      <c r="G3280" s="96" t="s">
        <v>88</v>
      </c>
      <c r="H3280" s="19" t="s">
        <v>4181</v>
      </c>
      <c r="I3280" s="23" t="e">
        <f>VLOOKUP(H3280,'合同综合查询数据（3月返）'!$A:$A,1,FALSE)</f>
        <v>#N/A</v>
      </c>
      <c r="J3280" s="24" t="s">
        <v>126</v>
      </c>
      <c r="K3280" s="96" t="s">
        <v>206</v>
      </c>
      <c r="L3280" s="114"/>
      <c r="M3280" s="94" t="s">
        <v>4183</v>
      </c>
      <c r="N3280" s="190">
        <v>43307</v>
      </c>
      <c r="O3280" s="210" t="s">
        <v>127</v>
      </c>
      <c r="P3280" s="268">
        <v>5000</v>
      </c>
      <c r="Q3280" s="273">
        <v>12</v>
      </c>
      <c r="R3280" s="268">
        <f t="shared" si="77"/>
        <v>60000</v>
      </c>
      <c r="S3280" s="24">
        <v>202303</v>
      </c>
      <c r="T3280" s="127" t="s">
        <v>4191</v>
      </c>
      <c r="U3280" s="40"/>
      <c r="V3280" s="40"/>
      <c r="W3280" s="40"/>
      <c r="X3280" s="106">
        <v>44013</v>
      </c>
      <c r="Y3280" s="106">
        <v>44255</v>
      </c>
    </row>
    <row r="3281" s="9" customFormat="1" customHeight="1" spans="1:25">
      <c r="A3281" s="96" t="s">
        <v>109</v>
      </c>
      <c r="B3281" s="96" t="s">
        <v>4074</v>
      </c>
      <c r="C3281" s="96" t="s">
        <v>204</v>
      </c>
      <c r="D3281" s="94" t="s">
        <v>4178</v>
      </c>
      <c r="E3281" s="105" t="s">
        <v>4179</v>
      </c>
      <c r="F3281" s="96" t="s">
        <v>4180</v>
      </c>
      <c r="G3281" s="96" t="s">
        <v>88</v>
      </c>
      <c r="H3281" s="19" t="s">
        <v>4181</v>
      </c>
      <c r="I3281" s="23" t="e">
        <f>VLOOKUP(H3281,'合同综合查询数据（3月返）'!$A:$A,1,FALSE)</f>
        <v>#N/A</v>
      </c>
      <c r="J3281" s="24" t="s">
        <v>126</v>
      </c>
      <c r="K3281" s="96" t="s">
        <v>206</v>
      </c>
      <c r="L3281" s="114"/>
      <c r="M3281" s="94" t="s">
        <v>4183</v>
      </c>
      <c r="N3281" s="190">
        <v>43578</v>
      </c>
      <c r="O3281" s="210" t="s">
        <v>127</v>
      </c>
      <c r="P3281" s="268">
        <v>5000</v>
      </c>
      <c r="Q3281" s="273">
        <v>-1</v>
      </c>
      <c r="R3281" s="268">
        <f t="shared" si="77"/>
        <v>-5000</v>
      </c>
      <c r="S3281" s="24">
        <v>202303</v>
      </c>
      <c r="T3281" s="127" t="s">
        <v>4192</v>
      </c>
      <c r="U3281" s="40"/>
      <c r="V3281" s="40"/>
      <c r="W3281" s="40"/>
      <c r="X3281" s="106">
        <v>44013</v>
      </c>
      <c r="Y3281" s="106">
        <v>44255</v>
      </c>
    </row>
    <row r="3282" s="9" customFormat="1" customHeight="1" spans="1:25">
      <c r="A3282" s="96" t="s">
        <v>109</v>
      </c>
      <c r="B3282" s="96" t="s">
        <v>4074</v>
      </c>
      <c r="C3282" s="96" t="s">
        <v>204</v>
      </c>
      <c r="D3282" s="94" t="s">
        <v>4178</v>
      </c>
      <c r="E3282" s="105" t="s">
        <v>4179</v>
      </c>
      <c r="F3282" s="96" t="s">
        <v>4180</v>
      </c>
      <c r="G3282" s="96" t="s">
        <v>88</v>
      </c>
      <c r="H3282" s="19" t="s">
        <v>4181</v>
      </c>
      <c r="I3282" s="23" t="e">
        <f>VLOOKUP(H3282,'合同综合查询数据（3月返）'!$A:$A,1,FALSE)</f>
        <v>#N/A</v>
      </c>
      <c r="J3282" s="24" t="s">
        <v>126</v>
      </c>
      <c r="K3282" s="96" t="s">
        <v>206</v>
      </c>
      <c r="L3282" s="114"/>
      <c r="M3282" s="94" t="s">
        <v>4183</v>
      </c>
      <c r="N3282" s="190">
        <v>44090</v>
      </c>
      <c r="O3282" s="210" t="s">
        <v>127</v>
      </c>
      <c r="P3282" s="268">
        <v>5000</v>
      </c>
      <c r="Q3282" s="273">
        <v>3</v>
      </c>
      <c r="R3282" s="268">
        <f t="shared" si="77"/>
        <v>15000</v>
      </c>
      <c r="S3282" s="24">
        <v>202303</v>
      </c>
      <c r="T3282" s="127" t="s">
        <v>4193</v>
      </c>
      <c r="U3282" s="40"/>
      <c r="V3282" s="40"/>
      <c r="W3282" s="40"/>
      <c r="X3282" s="106">
        <v>44013</v>
      </c>
      <c r="Y3282" s="106">
        <v>44255</v>
      </c>
    </row>
    <row r="3283" s="9" customFormat="1" customHeight="1" spans="1:25">
      <c r="A3283" s="96" t="s">
        <v>109</v>
      </c>
      <c r="B3283" s="96" t="s">
        <v>4074</v>
      </c>
      <c r="C3283" s="96" t="s">
        <v>204</v>
      </c>
      <c r="D3283" s="94" t="s">
        <v>4178</v>
      </c>
      <c r="E3283" s="105" t="s">
        <v>4179</v>
      </c>
      <c r="F3283" s="96" t="s">
        <v>4180</v>
      </c>
      <c r="G3283" s="96" t="s">
        <v>88</v>
      </c>
      <c r="H3283" s="19" t="s">
        <v>4181</v>
      </c>
      <c r="I3283" s="23" t="e">
        <f>VLOOKUP(H3283,'合同综合查询数据（3月返）'!$A:$A,1,FALSE)</f>
        <v>#N/A</v>
      </c>
      <c r="J3283" s="24" t="s">
        <v>126</v>
      </c>
      <c r="K3283" s="96" t="s">
        <v>206</v>
      </c>
      <c r="L3283" s="114"/>
      <c r="M3283" s="94" t="s">
        <v>4190</v>
      </c>
      <c r="N3283" s="190">
        <v>44089</v>
      </c>
      <c r="O3283" s="210" t="s">
        <v>127</v>
      </c>
      <c r="P3283" s="268">
        <v>5000</v>
      </c>
      <c r="Q3283" s="273">
        <v>-8</v>
      </c>
      <c r="R3283" s="268">
        <f t="shared" si="77"/>
        <v>-40000</v>
      </c>
      <c r="S3283" s="24">
        <v>202303</v>
      </c>
      <c r="T3283" s="127" t="s">
        <v>4194</v>
      </c>
      <c r="U3283" s="40"/>
      <c r="V3283" s="40"/>
      <c r="W3283" s="40"/>
      <c r="X3283" s="106">
        <v>44013</v>
      </c>
      <c r="Y3283" s="106">
        <v>44255</v>
      </c>
    </row>
    <row r="3284" s="9" customFormat="1" customHeight="1" spans="1:25">
      <c r="A3284" s="96" t="s">
        <v>109</v>
      </c>
      <c r="B3284" s="96" t="s">
        <v>4074</v>
      </c>
      <c r="C3284" s="96" t="s">
        <v>204</v>
      </c>
      <c r="D3284" s="94" t="s">
        <v>4178</v>
      </c>
      <c r="E3284" s="105" t="s">
        <v>4179</v>
      </c>
      <c r="F3284" s="96" t="s">
        <v>4180</v>
      </c>
      <c r="G3284" s="96" t="s">
        <v>88</v>
      </c>
      <c r="H3284" s="19" t="s">
        <v>4181</v>
      </c>
      <c r="I3284" s="23" t="e">
        <f>VLOOKUP(H3284,'合同综合查询数据（3月返）'!$A:$A,1,FALSE)</f>
        <v>#N/A</v>
      </c>
      <c r="J3284" s="24" t="s">
        <v>126</v>
      </c>
      <c r="K3284" s="96" t="s">
        <v>206</v>
      </c>
      <c r="L3284" s="114"/>
      <c r="M3284" s="94" t="s">
        <v>4183</v>
      </c>
      <c r="N3284" s="190">
        <v>44255</v>
      </c>
      <c r="O3284" s="210" t="s">
        <v>127</v>
      </c>
      <c r="P3284" s="268">
        <v>5000</v>
      </c>
      <c r="Q3284" s="273">
        <v>-14</v>
      </c>
      <c r="R3284" s="268">
        <f t="shared" si="77"/>
        <v>-70000</v>
      </c>
      <c r="S3284" s="24">
        <v>202303</v>
      </c>
      <c r="T3284" s="127"/>
      <c r="U3284" s="40"/>
      <c r="V3284" s="40"/>
      <c r="W3284" s="40"/>
      <c r="X3284" s="106">
        <v>44013</v>
      </c>
      <c r="Y3284" s="106">
        <v>44255</v>
      </c>
    </row>
    <row r="3285" s="9" customFormat="1" customHeight="1" spans="1:25">
      <c r="A3285" s="96" t="s">
        <v>109</v>
      </c>
      <c r="B3285" s="96" t="s">
        <v>4074</v>
      </c>
      <c r="C3285" s="96" t="s">
        <v>204</v>
      </c>
      <c r="D3285" s="94" t="s">
        <v>4178</v>
      </c>
      <c r="E3285" s="105" t="s">
        <v>4195</v>
      </c>
      <c r="F3285" s="96" t="s">
        <v>4196</v>
      </c>
      <c r="G3285" s="96" t="s">
        <v>31</v>
      </c>
      <c r="H3285" s="19" t="s">
        <v>4197</v>
      </c>
      <c r="I3285" s="23" t="e">
        <f>VLOOKUP(H3285,'合同综合查询数据（3月返）'!$A:$A,1,FALSE)</f>
        <v>#N/A</v>
      </c>
      <c r="J3285" s="24" t="s">
        <v>33</v>
      </c>
      <c r="K3285" s="96" t="s">
        <v>4182</v>
      </c>
      <c r="L3285" s="114" t="s">
        <v>4182</v>
      </c>
      <c r="M3285" s="26" t="s">
        <v>4183</v>
      </c>
      <c r="N3285" s="190" t="s">
        <v>4184</v>
      </c>
      <c r="O3285" s="199" t="s">
        <v>37</v>
      </c>
      <c r="P3285" s="268">
        <v>0</v>
      </c>
      <c r="Q3285" s="273">
        <v>640</v>
      </c>
      <c r="R3285" s="268">
        <f t="shared" si="77"/>
        <v>0</v>
      </c>
      <c r="S3285" s="24">
        <v>202303</v>
      </c>
      <c r="T3285" s="127" t="s">
        <v>4198</v>
      </c>
      <c r="U3285" s="40"/>
      <c r="V3285" s="40"/>
      <c r="W3285" s="40"/>
      <c r="X3285" s="106">
        <v>44256</v>
      </c>
      <c r="Y3285" s="106">
        <v>44620</v>
      </c>
    </row>
    <row r="3286" s="9" customFormat="1" customHeight="1" spans="1:25">
      <c r="A3286" s="96" t="s">
        <v>109</v>
      </c>
      <c r="B3286" s="96" t="s">
        <v>4074</v>
      </c>
      <c r="C3286" s="96" t="s">
        <v>204</v>
      </c>
      <c r="D3286" s="94" t="s">
        <v>4178</v>
      </c>
      <c r="E3286" s="105" t="s">
        <v>4195</v>
      </c>
      <c r="F3286" s="96" t="s">
        <v>4196</v>
      </c>
      <c r="G3286" s="96" t="s">
        <v>31</v>
      </c>
      <c r="H3286" s="19" t="s">
        <v>4197</v>
      </c>
      <c r="I3286" s="23" t="e">
        <f>VLOOKUP(H3286,'合同综合查询数据（3月返）'!$A:$A,1,FALSE)</f>
        <v>#N/A</v>
      </c>
      <c r="J3286" s="24" t="s">
        <v>33</v>
      </c>
      <c r="K3286" s="96" t="s">
        <v>206</v>
      </c>
      <c r="L3286" s="114"/>
      <c r="M3286" s="249"/>
      <c r="N3286" s="190"/>
      <c r="O3286" s="94" t="s">
        <v>152</v>
      </c>
      <c r="P3286" s="268">
        <v>0</v>
      </c>
      <c r="Q3286" s="273">
        <v>0</v>
      </c>
      <c r="R3286" s="268">
        <f t="shared" si="77"/>
        <v>0</v>
      </c>
      <c r="S3286" s="24">
        <v>202303</v>
      </c>
      <c r="T3286" s="127" t="s">
        <v>4188</v>
      </c>
      <c r="U3286" s="40"/>
      <c r="V3286" s="40"/>
      <c r="W3286" s="40"/>
      <c r="X3286" s="106">
        <v>44256</v>
      </c>
      <c r="Y3286" s="106">
        <v>44620</v>
      </c>
    </row>
    <row r="3287" s="9" customFormat="1" customHeight="1" spans="1:25">
      <c r="A3287" s="96" t="s">
        <v>109</v>
      </c>
      <c r="B3287" s="96" t="s">
        <v>4074</v>
      </c>
      <c r="C3287" s="96" t="s">
        <v>204</v>
      </c>
      <c r="D3287" s="94" t="s">
        <v>4178</v>
      </c>
      <c r="E3287" s="105" t="s">
        <v>4195</v>
      </c>
      <c r="F3287" s="96" t="s">
        <v>4196</v>
      </c>
      <c r="G3287" s="96" t="s">
        <v>31</v>
      </c>
      <c r="H3287" s="19" t="s">
        <v>4197</v>
      </c>
      <c r="I3287" s="23" t="e">
        <f>VLOOKUP(H3287,'合同综合查询数据（3月返）'!$A:$A,1,FALSE)</f>
        <v>#N/A</v>
      </c>
      <c r="J3287" s="24" t="s">
        <v>33</v>
      </c>
      <c r="K3287" s="96" t="s">
        <v>206</v>
      </c>
      <c r="L3287" s="114"/>
      <c r="M3287" s="249"/>
      <c r="N3287" s="190">
        <v>44089</v>
      </c>
      <c r="O3287" s="94" t="s">
        <v>152</v>
      </c>
      <c r="P3287" s="268">
        <v>0</v>
      </c>
      <c r="Q3287" s="273">
        <v>0</v>
      </c>
      <c r="R3287" s="268">
        <f t="shared" si="77"/>
        <v>0</v>
      </c>
      <c r="S3287" s="24">
        <v>202303</v>
      </c>
      <c r="T3287" s="127" t="s">
        <v>4189</v>
      </c>
      <c r="U3287" s="40"/>
      <c r="V3287" s="40"/>
      <c r="W3287" s="40"/>
      <c r="X3287" s="106">
        <v>44256</v>
      </c>
      <c r="Y3287" s="106">
        <v>44620</v>
      </c>
    </row>
    <row r="3288" s="9" customFormat="1" customHeight="1" spans="1:25">
      <c r="A3288" s="96" t="s">
        <v>109</v>
      </c>
      <c r="B3288" s="96" t="s">
        <v>4074</v>
      </c>
      <c r="C3288" s="96" t="s">
        <v>204</v>
      </c>
      <c r="D3288" s="94" t="s">
        <v>4178</v>
      </c>
      <c r="E3288" s="105" t="s">
        <v>4195</v>
      </c>
      <c r="F3288" s="96" t="s">
        <v>4196</v>
      </c>
      <c r="G3288" s="96" t="s">
        <v>88</v>
      </c>
      <c r="H3288" s="19" t="s">
        <v>4197</v>
      </c>
      <c r="I3288" s="23" t="e">
        <f>VLOOKUP(H3288,'合同综合查询数据（3月返）'!$A:$A,1,FALSE)</f>
        <v>#N/A</v>
      </c>
      <c r="J3288" s="24" t="s">
        <v>126</v>
      </c>
      <c r="K3288" s="96" t="s">
        <v>206</v>
      </c>
      <c r="L3288" s="114"/>
      <c r="M3288" s="94" t="s">
        <v>4190</v>
      </c>
      <c r="N3288" s="190">
        <v>43199</v>
      </c>
      <c r="O3288" s="210" t="s">
        <v>127</v>
      </c>
      <c r="P3288" s="268">
        <v>5000</v>
      </c>
      <c r="Q3288" s="273">
        <v>8</v>
      </c>
      <c r="R3288" s="268">
        <f t="shared" si="77"/>
        <v>40000</v>
      </c>
      <c r="S3288" s="24">
        <v>202303</v>
      </c>
      <c r="T3288" s="127" t="s">
        <v>4191</v>
      </c>
      <c r="U3288" s="40"/>
      <c r="V3288" s="40"/>
      <c r="W3288" s="40"/>
      <c r="X3288" s="106">
        <v>44256</v>
      </c>
      <c r="Y3288" s="106">
        <v>44620</v>
      </c>
    </row>
    <row r="3289" s="9" customFormat="1" customHeight="1" spans="1:25">
      <c r="A3289" s="96" t="s">
        <v>109</v>
      </c>
      <c r="B3289" s="96" t="s">
        <v>4074</v>
      </c>
      <c r="C3289" s="96" t="s">
        <v>204</v>
      </c>
      <c r="D3289" s="94" t="s">
        <v>4178</v>
      </c>
      <c r="E3289" s="105" t="s">
        <v>4195</v>
      </c>
      <c r="F3289" s="96" t="s">
        <v>4196</v>
      </c>
      <c r="G3289" s="96" t="s">
        <v>88</v>
      </c>
      <c r="H3289" s="19" t="s">
        <v>4197</v>
      </c>
      <c r="I3289" s="23" t="e">
        <f>VLOOKUP(H3289,'合同综合查询数据（3月返）'!$A:$A,1,FALSE)</f>
        <v>#N/A</v>
      </c>
      <c r="J3289" s="24" t="s">
        <v>126</v>
      </c>
      <c r="K3289" s="96" t="s">
        <v>206</v>
      </c>
      <c r="L3289" s="114"/>
      <c r="M3289" s="94" t="s">
        <v>4183</v>
      </c>
      <c r="N3289" s="190">
        <v>43307</v>
      </c>
      <c r="O3289" s="210" t="s">
        <v>127</v>
      </c>
      <c r="P3289" s="268">
        <v>5000</v>
      </c>
      <c r="Q3289" s="273">
        <v>12</v>
      </c>
      <c r="R3289" s="268">
        <f t="shared" si="77"/>
        <v>60000</v>
      </c>
      <c r="S3289" s="24">
        <v>202303</v>
      </c>
      <c r="T3289" s="127" t="s">
        <v>4192</v>
      </c>
      <c r="U3289" s="40"/>
      <c r="V3289" s="40"/>
      <c r="W3289" s="40"/>
      <c r="X3289" s="106">
        <v>44256</v>
      </c>
      <c r="Y3289" s="106">
        <v>44620</v>
      </c>
    </row>
    <row r="3290" s="9" customFormat="1" customHeight="1" spans="1:25">
      <c r="A3290" s="96" t="s">
        <v>109</v>
      </c>
      <c r="B3290" s="96" t="s">
        <v>4074</v>
      </c>
      <c r="C3290" s="96" t="s">
        <v>204</v>
      </c>
      <c r="D3290" s="94" t="s">
        <v>4178</v>
      </c>
      <c r="E3290" s="105" t="s">
        <v>4195</v>
      </c>
      <c r="F3290" s="96" t="s">
        <v>4196</v>
      </c>
      <c r="G3290" s="96" t="s">
        <v>88</v>
      </c>
      <c r="H3290" s="19" t="s">
        <v>4197</v>
      </c>
      <c r="I3290" s="23" t="e">
        <f>VLOOKUP(H3290,'合同综合查询数据（3月返）'!$A:$A,1,FALSE)</f>
        <v>#N/A</v>
      </c>
      <c r="J3290" s="24" t="s">
        <v>126</v>
      </c>
      <c r="K3290" s="96" t="s">
        <v>206</v>
      </c>
      <c r="L3290" s="114"/>
      <c r="M3290" s="94" t="s">
        <v>4183</v>
      </c>
      <c r="N3290" s="190">
        <v>43578</v>
      </c>
      <c r="O3290" s="210" t="s">
        <v>127</v>
      </c>
      <c r="P3290" s="268">
        <v>5000</v>
      </c>
      <c r="Q3290" s="273">
        <v>-1</v>
      </c>
      <c r="R3290" s="268">
        <f t="shared" si="77"/>
        <v>-5000</v>
      </c>
      <c r="S3290" s="24">
        <v>202303</v>
      </c>
      <c r="T3290" s="127" t="s">
        <v>4193</v>
      </c>
      <c r="U3290" s="40"/>
      <c r="V3290" s="40"/>
      <c r="W3290" s="40"/>
      <c r="X3290" s="106">
        <v>44256</v>
      </c>
      <c r="Y3290" s="106">
        <v>44620</v>
      </c>
    </row>
    <row r="3291" s="9" customFormat="1" customHeight="1" spans="1:25">
      <c r="A3291" s="96" t="s">
        <v>109</v>
      </c>
      <c r="B3291" s="96" t="s">
        <v>4074</v>
      </c>
      <c r="C3291" s="96" t="s">
        <v>204</v>
      </c>
      <c r="D3291" s="94" t="s">
        <v>4178</v>
      </c>
      <c r="E3291" s="105" t="s">
        <v>4195</v>
      </c>
      <c r="F3291" s="96" t="s">
        <v>4196</v>
      </c>
      <c r="G3291" s="96" t="s">
        <v>88</v>
      </c>
      <c r="H3291" s="19" t="s">
        <v>4197</v>
      </c>
      <c r="I3291" s="23" t="e">
        <f>VLOOKUP(H3291,'合同综合查询数据（3月返）'!$A:$A,1,FALSE)</f>
        <v>#N/A</v>
      </c>
      <c r="J3291" s="24" t="s">
        <v>126</v>
      </c>
      <c r="K3291" s="96" t="s">
        <v>206</v>
      </c>
      <c r="L3291" s="114"/>
      <c r="M3291" s="94" t="s">
        <v>4183</v>
      </c>
      <c r="N3291" s="190">
        <v>44090</v>
      </c>
      <c r="O3291" s="210" t="s">
        <v>127</v>
      </c>
      <c r="P3291" s="268">
        <v>5000</v>
      </c>
      <c r="Q3291" s="273">
        <v>3</v>
      </c>
      <c r="R3291" s="268">
        <f t="shared" si="77"/>
        <v>15000</v>
      </c>
      <c r="S3291" s="24">
        <v>202303</v>
      </c>
      <c r="T3291" s="127" t="s">
        <v>4194</v>
      </c>
      <c r="U3291" s="40"/>
      <c r="V3291" s="40"/>
      <c r="W3291" s="40"/>
      <c r="X3291" s="106">
        <v>44256</v>
      </c>
      <c r="Y3291" s="106">
        <v>44620</v>
      </c>
    </row>
    <row r="3292" s="9" customFormat="1" customHeight="1" spans="1:25">
      <c r="A3292" s="96" t="s">
        <v>109</v>
      </c>
      <c r="B3292" s="96" t="s">
        <v>4074</v>
      </c>
      <c r="C3292" s="96" t="s">
        <v>204</v>
      </c>
      <c r="D3292" s="94" t="s">
        <v>4178</v>
      </c>
      <c r="E3292" s="105" t="s">
        <v>4195</v>
      </c>
      <c r="F3292" s="96" t="s">
        <v>4196</v>
      </c>
      <c r="G3292" s="96" t="s">
        <v>88</v>
      </c>
      <c r="H3292" s="19" t="s">
        <v>4197</v>
      </c>
      <c r="I3292" s="23" t="e">
        <f>VLOOKUP(H3292,'合同综合查询数据（3月返）'!$A:$A,1,FALSE)</f>
        <v>#N/A</v>
      </c>
      <c r="J3292" s="24" t="s">
        <v>126</v>
      </c>
      <c r="K3292" s="96" t="s">
        <v>206</v>
      </c>
      <c r="L3292" s="114"/>
      <c r="M3292" s="94" t="s">
        <v>4190</v>
      </c>
      <c r="N3292" s="190">
        <v>44089</v>
      </c>
      <c r="O3292" s="210" t="s">
        <v>127</v>
      </c>
      <c r="P3292" s="268">
        <v>5000</v>
      </c>
      <c r="Q3292" s="273">
        <v>-8</v>
      </c>
      <c r="R3292" s="268">
        <f t="shared" si="77"/>
        <v>-40000</v>
      </c>
      <c r="S3292" s="24">
        <v>202303</v>
      </c>
      <c r="T3292" s="127"/>
      <c r="U3292" s="40"/>
      <c r="V3292" s="40"/>
      <c r="W3292" s="40"/>
      <c r="X3292" s="106">
        <v>44256</v>
      </c>
      <c r="Y3292" s="106">
        <v>44620</v>
      </c>
    </row>
    <row r="3293" s="9" customFormat="1" customHeight="1" spans="1:25">
      <c r="A3293" s="96" t="s">
        <v>109</v>
      </c>
      <c r="B3293" s="96" t="s">
        <v>4074</v>
      </c>
      <c r="C3293" s="96" t="s">
        <v>204</v>
      </c>
      <c r="D3293" s="94" t="s">
        <v>4178</v>
      </c>
      <c r="E3293" s="105" t="s">
        <v>4195</v>
      </c>
      <c r="F3293" s="96" t="s">
        <v>4196</v>
      </c>
      <c r="G3293" s="96" t="s">
        <v>88</v>
      </c>
      <c r="H3293" s="19" t="s">
        <v>4197</v>
      </c>
      <c r="I3293" s="23" t="e">
        <f>VLOOKUP(H3293,'合同综合查询数据（3月返）'!$A:$A,1,FALSE)</f>
        <v>#N/A</v>
      </c>
      <c r="J3293" s="24" t="s">
        <v>126</v>
      </c>
      <c r="K3293" s="96" t="s">
        <v>206</v>
      </c>
      <c r="L3293" s="114" t="s">
        <v>4199</v>
      </c>
      <c r="M3293" s="94" t="s">
        <v>4183</v>
      </c>
      <c r="N3293" s="190">
        <v>44620</v>
      </c>
      <c r="O3293" s="210" t="s">
        <v>127</v>
      </c>
      <c r="P3293" s="268">
        <v>5000</v>
      </c>
      <c r="Q3293" s="273">
        <v>-8</v>
      </c>
      <c r="R3293" s="268">
        <f t="shared" si="77"/>
        <v>-40000</v>
      </c>
      <c r="S3293" s="24">
        <v>202303</v>
      </c>
      <c r="T3293" s="127" t="s">
        <v>4200</v>
      </c>
      <c r="U3293" s="40"/>
      <c r="V3293" s="40"/>
      <c r="W3293" s="40"/>
      <c r="X3293" s="106">
        <v>44256</v>
      </c>
      <c r="Y3293" s="106">
        <v>44620</v>
      </c>
    </row>
    <row r="3294" s="9" customFormat="1" customHeight="1" spans="1:25">
      <c r="A3294" s="96" t="s">
        <v>109</v>
      </c>
      <c r="B3294" s="96" t="s">
        <v>4074</v>
      </c>
      <c r="C3294" s="96" t="s">
        <v>204</v>
      </c>
      <c r="D3294" s="94" t="s">
        <v>4178</v>
      </c>
      <c r="E3294" s="105" t="s">
        <v>4195</v>
      </c>
      <c r="F3294" s="96" t="s">
        <v>4196</v>
      </c>
      <c r="G3294" s="96" t="s">
        <v>88</v>
      </c>
      <c r="H3294" s="19" t="s">
        <v>4197</v>
      </c>
      <c r="I3294" s="23" t="e">
        <f>VLOOKUP(H3294,'合同综合查询数据（3月返）'!$A:$A,1,FALSE)</f>
        <v>#N/A</v>
      </c>
      <c r="J3294" s="24" t="s">
        <v>126</v>
      </c>
      <c r="K3294" s="96" t="s">
        <v>206</v>
      </c>
      <c r="L3294" s="114" t="s">
        <v>4201</v>
      </c>
      <c r="M3294" s="94" t="s">
        <v>4183</v>
      </c>
      <c r="N3294" s="190">
        <v>44620</v>
      </c>
      <c r="O3294" s="210" t="s">
        <v>127</v>
      </c>
      <c r="P3294" s="268">
        <v>5000</v>
      </c>
      <c r="Q3294" s="273">
        <v>-6</v>
      </c>
      <c r="R3294" s="268">
        <f t="shared" si="77"/>
        <v>-30000</v>
      </c>
      <c r="S3294" s="24">
        <v>202303</v>
      </c>
      <c r="T3294" s="127" t="s">
        <v>4202</v>
      </c>
      <c r="U3294" s="40"/>
      <c r="V3294" s="40"/>
      <c r="W3294" s="40"/>
      <c r="X3294" s="106">
        <v>44256</v>
      </c>
      <c r="Y3294" s="106">
        <v>44620</v>
      </c>
    </row>
    <row r="3295" s="9" customFormat="1" customHeight="1" spans="1:25">
      <c r="A3295" s="96" t="s">
        <v>25</v>
      </c>
      <c r="B3295" s="96" t="s">
        <v>4074</v>
      </c>
      <c r="C3295" s="96" t="s">
        <v>217</v>
      </c>
      <c r="D3295" s="94" t="s">
        <v>4178</v>
      </c>
      <c r="E3295" s="105" t="s">
        <v>4203</v>
      </c>
      <c r="F3295" s="96" t="s">
        <v>4204</v>
      </c>
      <c r="G3295" s="96" t="s">
        <v>31</v>
      </c>
      <c r="H3295" s="19" t="s">
        <v>4205</v>
      </c>
      <c r="I3295" s="23" t="e">
        <f>VLOOKUP(H3295,'合同综合查询数据（3月返）'!$A:$A,1,FALSE)</f>
        <v>#N/A</v>
      </c>
      <c r="J3295" s="24" t="s">
        <v>33</v>
      </c>
      <c r="K3295" s="96" t="s">
        <v>2223</v>
      </c>
      <c r="L3295" s="114" t="s">
        <v>4206</v>
      </c>
      <c r="M3295" s="26" t="s">
        <v>4207</v>
      </c>
      <c r="N3295" s="311">
        <v>43258</v>
      </c>
      <c r="O3295" s="311" t="s">
        <v>37</v>
      </c>
      <c r="P3295" s="268">
        <v>0</v>
      </c>
      <c r="Q3295" s="273">
        <v>512</v>
      </c>
      <c r="R3295" s="268">
        <f t="shared" si="77"/>
        <v>0</v>
      </c>
      <c r="S3295" s="24">
        <v>202303</v>
      </c>
      <c r="T3295" s="127" t="s">
        <v>4208</v>
      </c>
      <c r="U3295" s="40"/>
      <c r="V3295" s="40"/>
      <c r="W3295" s="40"/>
      <c r="X3295" s="311">
        <v>44682</v>
      </c>
      <c r="Y3295" s="311">
        <v>45046</v>
      </c>
    </row>
    <row r="3296" s="9" customFormat="1" customHeight="1" spans="1:25">
      <c r="A3296" s="96" t="s">
        <v>25</v>
      </c>
      <c r="B3296" s="96" t="s">
        <v>4074</v>
      </c>
      <c r="C3296" s="96" t="s">
        <v>217</v>
      </c>
      <c r="D3296" s="94" t="s">
        <v>4178</v>
      </c>
      <c r="E3296" s="105" t="s">
        <v>4203</v>
      </c>
      <c r="F3296" s="96" t="s">
        <v>4204</v>
      </c>
      <c r="G3296" s="96" t="s">
        <v>31</v>
      </c>
      <c r="H3296" s="19" t="s">
        <v>4205</v>
      </c>
      <c r="I3296" s="23" t="e">
        <f>VLOOKUP(H3296,'合同综合查询数据（3月返）'!$A:$A,1,FALSE)</f>
        <v>#N/A</v>
      </c>
      <c r="J3296" s="24" t="s">
        <v>33</v>
      </c>
      <c r="K3296" s="96" t="s">
        <v>2223</v>
      </c>
      <c r="L3296" s="114" t="s">
        <v>4206</v>
      </c>
      <c r="M3296" s="26" t="s">
        <v>4207</v>
      </c>
      <c r="N3296" s="26"/>
      <c r="O3296" s="311" t="s">
        <v>152</v>
      </c>
      <c r="P3296" s="268">
        <v>0</v>
      </c>
      <c r="Q3296" s="273">
        <v>0</v>
      </c>
      <c r="R3296" s="268">
        <f t="shared" si="77"/>
        <v>0</v>
      </c>
      <c r="S3296" s="24">
        <v>202303</v>
      </c>
      <c r="T3296" s="127" t="s">
        <v>4209</v>
      </c>
      <c r="U3296" s="40"/>
      <c r="V3296" s="40"/>
      <c r="W3296" s="40"/>
      <c r="X3296" s="311">
        <v>44682</v>
      </c>
      <c r="Y3296" s="311">
        <v>45046</v>
      </c>
    </row>
    <row r="3297" s="9" customFormat="1" customHeight="1" spans="1:25">
      <c r="A3297" s="96" t="s">
        <v>25</v>
      </c>
      <c r="B3297" s="96" t="s">
        <v>4074</v>
      </c>
      <c r="C3297" s="96" t="s">
        <v>217</v>
      </c>
      <c r="D3297" s="94" t="s">
        <v>4178</v>
      </c>
      <c r="E3297" s="105" t="s">
        <v>4203</v>
      </c>
      <c r="F3297" s="96" t="s">
        <v>4204</v>
      </c>
      <c r="G3297" s="96" t="s">
        <v>88</v>
      </c>
      <c r="H3297" s="19" t="s">
        <v>4205</v>
      </c>
      <c r="I3297" s="23" t="e">
        <f>VLOOKUP(H3297,'合同综合查询数据（3月返）'!$A:$A,1,FALSE)</f>
        <v>#N/A</v>
      </c>
      <c r="J3297" s="24" t="s">
        <v>126</v>
      </c>
      <c r="K3297" s="96" t="s">
        <v>2223</v>
      </c>
      <c r="L3297" s="114" t="s">
        <v>4206</v>
      </c>
      <c r="M3297" s="26" t="s">
        <v>4207</v>
      </c>
      <c r="N3297" s="106">
        <v>43258</v>
      </c>
      <c r="O3297" s="106" t="s">
        <v>92</v>
      </c>
      <c r="P3297" s="268">
        <v>5000</v>
      </c>
      <c r="Q3297" s="273">
        <v>6</v>
      </c>
      <c r="R3297" s="268">
        <f t="shared" si="77"/>
        <v>30000</v>
      </c>
      <c r="S3297" s="24">
        <v>202303</v>
      </c>
      <c r="T3297" s="127" t="s">
        <v>4210</v>
      </c>
      <c r="U3297" s="40"/>
      <c r="V3297" s="40"/>
      <c r="W3297" s="40"/>
      <c r="X3297" s="311">
        <v>44682</v>
      </c>
      <c r="Y3297" s="311">
        <v>45046</v>
      </c>
    </row>
    <row r="3298" s="9" customFormat="1" customHeight="1" spans="1:25">
      <c r="A3298" s="96" t="s">
        <v>25</v>
      </c>
      <c r="B3298" s="96" t="s">
        <v>4074</v>
      </c>
      <c r="C3298" s="96" t="s">
        <v>217</v>
      </c>
      <c r="D3298" s="94" t="s">
        <v>4178</v>
      </c>
      <c r="E3298" s="105" t="s">
        <v>4203</v>
      </c>
      <c r="F3298" s="96" t="s">
        <v>4204</v>
      </c>
      <c r="G3298" s="96" t="s">
        <v>88</v>
      </c>
      <c r="H3298" s="19" t="s">
        <v>4205</v>
      </c>
      <c r="I3298" s="23" t="e">
        <f>VLOOKUP(H3298,'合同综合查询数据（3月返）'!$A:$A,1,FALSE)</f>
        <v>#N/A</v>
      </c>
      <c r="J3298" s="24" t="s">
        <v>126</v>
      </c>
      <c r="K3298" s="96" t="s">
        <v>2223</v>
      </c>
      <c r="L3298" s="114" t="s">
        <v>4206</v>
      </c>
      <c r="M3298" s="26" t="s">
        <v>4207</v>
      </c>
      <c r="N3298" s="106">
        <v>44390</v>
      </c>
      <c r="O3298" s="106" t="s">
        <v>92</v>
      </c>
      <c r="P3298" s="268">
        <v>5000</v>
      </c>
      <c r="Q3298" s="273">
        <v>-2</v>
      </c>
      <c r="R3298" s="268">
        <f t="shared" si="77"/>
        <v>-10000</v>
      </c>
      <c r="S3298" s="24">
        <v>202303</v>
      </c>
      <c r="T3298" s="127" t="s">
        <v>4211</v>
      </c>
      <c r="U3298" s="40"/>
      <c r="V3298" s="40"/>
      <c r="W3298" s="40"/>
      <c r="X3298" s="311">
        <v>44682</v>
      </c>
      <c r="Y3298" s="311">
        <v>45046</v>
      </c>
    </row>
    <row r="3299" s="9" customFormat="1" customHeight="1" spans="1:25">
      <c r="A3299" s="96" t="s">
        <v>25</v>
      </c>
      <c r="B3299" s="96" t="s">
        <v>4074</v>
      </c>
      <c r="C3299" s="96" t="s">
        <v>217</v>
      </c>
      <c r="D3299" s="94" t="s">
        <v>4178</v>
      </c>
      <c r="E3299" s="105" t="s">
        <v>4203</v>
      </c>
      <c r="F3299" s="96" t="s">
        <v>4204</v>
      </c>
      <c r="G3299" s="96" t="s">
        <v>88</v>
      </c>
      <c r="H3299" s="19" t="s">
        <v>4205</v>
      </c>
      <c r="I3299" s="23" t="e">
        <f>VLOOKUP(H3299,'合同综合查询数据（3月返）'!$A:$A,1,FALSE)</f>
        <v>#N/A</v>
      </c>
      <c r="J3299" s="24" t="s">
        <v>126</v>
      </c>
      <c r="K3299" s="96" t="s">
        <v>2223</v>
      </c>
      <c r="L3299" s="114" t="s">
        <v>4206</v>
      </c>
      <c r="M3299" s="26" t="s">
        <v>4207</v>
      </c>
      <c r="N3299" s="106">
        <v>44834</v>
      </c>
      <c r="O3299" s="106" t="s">
        <v>92</v>
      </c>
      <c r="P3299" s="268">
        <v>5000</v>
      </c>
      <c r="Q3299" s="273">
        <v>-4</v>
      </c>
      <c r="R3299" s="268">
        <f t="shared" si="77"/>
        <v>-20000</v>
      </c>
      <c r="S3299" s="24">
        <v>202303</v>
      </c>
      <c r="T3299" s="127" t="s">
        <v>4212</v>
      </c>
      <c r="U3299" s="40"/>
      <c r="V3299" s="40"/>
      <c r="W3299" s="40"/>
      <c r="X3299" s="311">
        <v>44682</v>
      </c>
      <c r="Y3299" s="311">
        <v>45046</v>
      </c>
    </row>
    <row r="3300" s="9" customFormat="1" customHeight="1" spans="1:25">
      <c r="A3300" s="96" t="s">
        <v>109</v>
      </c>
      <c r="B3300" s="94" t="s">
        <v>4074</v>
      </c>
      <c r="C3300" s="94" t="s">
        <v>2998</v>
      </c>
      <c r="D3300" s="94" t="s">
        <v>4178</v>
      </c>
      <c r="E3300" s="105" t="s">
        <v>4213</v>
      </c>
      <c r="F3300" s="96" t="s">
        <v>4214</v>
      </c>
      <c r="G3300" s="96" t="s">
        <v>31</v>
      </c>
      <c r="H3300" s="19" t="s">
        <v>4215</v>
      </c>
      <c r="I3300" s="23" t="e">
        <f>VLOOKUP(H3300,'合同综合查询数据（3月返）'!$A:$A,1,FALSE)</f>
        <v>#N/A</v>
      </c>
      <c r="J3300" s="24" t="s">
        <v>33</v>
      </c>
      <c r="K3300" s="96" t="s">
        <v>4216</v>
      </c>
      <c r="L3300" s="114" t="s">
        <v>4217</v>
      </c>
      <c r="M3300" s="26" t="s">
        <v>4218</v>
      </c>
      <c r="N3300" s="106">
        <v>44256</v>
      </c>
      <c r="O3300" s="94" t="s">
        <v>37</v>
      </c>
      <c r="P3300" s="268">
        <v>0</v>
      </c>
      <c r="Q3300" s="273">
        <v>288</v>
      </c>
      <c r="R3300" s="268">
        <f t="shared" si="77"/>
        <v>0</v>
      </c>
      <c r="S3300" s="24">
        <v>202303</v>
      </c>
      <c r="T3300" s="127" t="s">
        <v>4219</v>
      </c>
      <c r="U3300" s="97"/>
      <c r="V3300" s="128"/>
      <c r="W3300" s="128"/>
      <c r="X3300" s="106">
        <v>44593</v>
      </c>
      <c r="Y3300" s="106">
        <v>44620</v>
      </c>
    </row>
    <row r="3301" s="9" customFormat="1" customHeight="1" spans="1:25">
      <c r="A3301" s="96" t="s">
        <v>109</v>
      </c>
      <c r="B3301" s="94" t="s">
        <v>4074</v>
      </c>
      <c r="C3301" s="94" t="s">
        <v>2998</v>
      </c>
      <c r="D3301" s="94" t="s">
        <v>4178</v>
      </c>
      <c r="E3301" s="105" t="s">
        <v>4213</v>
      </c>
      <c r="F3301" s="96" t="s">
        <v>4214</v>
      </c>
      <c r="G3301" s="96" t="s">
        <v>31</v>
      </c>
      <c r="H3301" s="19" t="s">
        <v>4215</v>
      </c>
      <c r="I3301" s="23" t="e">
        <f>VLOOKUP(H3301,'合同综合查询数据（3月返）'!$A:$A,1,FALSE)</f>
        <v>#N/A</v>
      </c>
      <c r="J3301" s="24" t="s">
        <v>33</v>
      </c>
      <c r="K3301" s="96" t="s">
        <v>4216</v>
      </c>
      <c r="L3301" s="114" t="s">
        <v>4217</v>
      </c>
      <c r="M3301" s="26" t="s">
        <v>4218</v>
      </c>
      <c r="N3301" s="106">
        <v>44620</v>
      </c>
      <c r="O3301" s="94" t="s">
        <v>37</v>
      </c>
      <c r="P3301" s="268">
        <v>0</v>
      </c>
      <c r="Q3301" s="273">
        <v>-288</v>
      </c>
      <c r="R3301" s="268">
        <f t="shared" si="77"/>
        <v>0</v>
      </c>
      <c r="S3301" s="24">
        <v>202303</v>
      </c>
      <c r="T3301" s="127" t="s">
        <v>4220</v>
      </c>
      <c r="U3301" s="97"/>
      <c r="V3301" s="128"/>
      <c r="W3301" s="128"/>
      <c r="X3301" s="106">
        <v>44593</v>
      </c>
      <c r="Y3301" s="106">
        <v>44620</v>
      </c>
    </row>
    <row r="3302" s="9" customFormat="1" customHeight="1" spans="1:25">
      <c r="A3302" s="96" t="s">
        <v>109</v>
      </c>
      <c r="B3302" s="94" t="s">
        <v>4074</v>
      </c>
      <c r="C3302" s="94" t="s">
        <v>2998</v>
      </c>
      <c r="D3302" s="94" t="s">
        <v>4178</v>
      </c>
      <c r="E3302" s="105" t="s">
        <v>4213</v>
      </c>
      <c r="F3302" s="96" t="s">
        <v>4214</v>
      </c>
      <c r="G3302" s="96" t="s">
        <v>31</v>
      </c>
      <c r="H3302" s="19" t="s">
        <v>4215</v>
      </c>
      <c r="I3302" s="23" t="e">
        <f>VLOOKUP(H3302,'合同综合查询数据（3月返）'!$A:$A,1,FALSE)</f>
        <v>#N/A</v>
      </c>
      <c r="J3302" s="24" t="s">
        <v>33</v>
      </c>
      <c r="K3302" s="96" t="s">
        <v>4216</v>
      </c>
      <c r="L3302" s="114" t="s">
        <v>4217</v>
      </c>
      <c r="M3302" s="26" t="s">
        <v>4218</v>
      </c>
      <c r="N3302" s="106"/>
      <c r="O3302" s="94" t="s">
        <v>152</v>
      </c>
      <c r="P3302" s="268">
        <v>0</v>
      </c>
      <c r="Q3302" s="273">
        <v>0</v>
      </c>
      <c r="R3302" s="268">
        <f t="shared" ref="R3302:R3314" si="78">ROUND(P3302*Q3302,2)</f>
        <v>0</v>
      </c>
      <c r="S3302" s="24">
        <v>202303</v>
      </c>
      <c r="T3302" s="127" t="s">
        <v>4221</v>
      </c>
      <c r="U3302" s="97"/>
      <c r="V3302" s="128"/>
      <c r="W3302" s="128"/>
      <c r="X3302" s="106">
        <v>44593</v>
      </c>
      <c r="Y3302" s="106">
        <v>44620</v>
      </c>
    </row>
    <row r="3303" s="9" customFormat="1" customHeight="1" spans="1:25">
      <c r="A3303" s="96" t="s">
        <v>109</v>
      </c>
      <c r="B3303" s="94" t="s">
        <v>4074</v>
      </c>
      <c r="C3303" s="94" t="s">
        <v>2998</v>
      </c>
      <c r="D3303" s="94" t="s">
        <v>4178</v>
      </c>
      <c r="E3303" s="105" t="s">
        <v>4213</v>
      </c>
      <c r="F3303" s="96" t="s">
        <v>4214</v>
      </c>
      <c r="G3303" s="96" t="s">
        <v>88</v>
      </c>
      <c r="H3303" s="19" t="s">
        <v>4215</v>
      </c>
      <c r="I3303" s="23" t="e">
        <f>VLOOKUP(H3303,'合同综合查询数据（3月返）'!$A:$A,1,FALSE)</f>
        <v>#N/A</v>
      </c>
      <c r="J3303" s="24" t="s">
        <v>126</v>
      </c>
      <c r="K3303" s="96" t="s">
        <v>4216</v>
      </c>
      <c r="L3303" s="114" t="s">
        <v>4217</v>
      </c>
      <c r="M3303" s="26" t="s">
        <v>4218</v>
      </c>
      <c r="N3303" s="106">
        <v>44256</v>
      </c>
      <c r="O3303" s="94" t="s">
        <v>624</v>
      </c>
      <c r="P3303" s="268">
        <v>4000</v>
      </c>
      <c r="Q3303" s="273">
        <v>4</v>
      </c>
      <c r="R3303" s="268">
        <f t="shared" si="78"/>
        <v>16000</v>
      </c>
      <c r="S3303" s="24">
        <v>202303</v>
      </c>
      <c r="T3303" s="127" t="s">
        <v>4222</v>
      </c>
      <c r="U3303" s="97"/>
      <c r="V3303" s="128"/>
      <c r="W3303" s="128"/>
      <c r="X3303" s="106">
        <v>44593</v>
      </c>
      <c r="Y3303" s="106">
        <v>44620</v>
      </c>
    </row>
    <row r="3304" s="9" customFormat="1" customHeight="1" spans="1:25">
      <c r="A3304" s="96" t="s">
        <v>109</v>
      </c>
      <c r="B3304" s="94" t="s">
        <v>4074</v>
      </c>
      <c r="C3304" s="94" t="s">
        <v>2998</v>
      </c>
      <c r="D3304" s="94" t="s">
        <v>4178</v>
      </c>
      <c r="E3304" s="105" t="s">
        <v>4213</v>
      </c>
      <c r="F3304" s="96" t="s">
        <v>4214</v>
      </c>
      <c r="G3304" s="96" t="s">
        <v>88</v>
      </c>
      <c r="H3304" s="19" t="s">
        <v>4215</v>
      </c>
      <c r="I3304" s="23" t="e">
        <f>VLOOKUP(H3304,'合同综合查询数据（3月返）'!$A:$A,1,FALSE)</f>
        <v>#N/A</v>
      </c>
      <c r="J3304" s="24" t="s">
        <v>126</v>
      </c>
      <c r="K3304" s="96" t="s">
        <v>4216</v>
      </c>
      <c r="L3304" s="114" t="s">
        <v>4217</v>
      </c>
      <c r="M3304" s="26" t="s">
        <v>4218</v>
      </c>
      <c r="N3304" s="106">
        <v>44348</v>
      </c>
      <c r="O3304" s="94" t="s">
        <v>624</v>
      </c>
      <c r="P3304" s="268">
        <v>4000</v>
      </c>
      <c r="Q3304" s="273">
        <v>2</v>
      </c>
      <c r="R3304" s="268">
        <f t="shared" si="78"/>
        <v>8000</v>
      </c>
      <c r="S3304" s="24">
        <v>202303</v>
      </c>
      <c r="T3304" s="127" t="s">
        <v>4223</v>
      </c>
      <c r="U3304" s="97"/>
      <c r="V3304" s="128"/>
      <c r="W3304" s="128"/>
      <c r="X3304" s="106">
        <v>44593</v>
      </c>
      <c r="Y3304" s="106">
        <v>44620</v>
      </c>
    </row>
    <row r="3305" s="9" customFormat="1" customHeight="1" spans="1:25">
      <c r="A3305" s="96" t="s">
        <v>109</v>
      </c>
      <c r="B3305" s="94" t="s">
        <v>4074</v>
      </c>
      <c r="C3305" s="94" t="s">
        <v>2998</v>
      </c>
      <c r="D3305" s="94" t="s">
        <v>4178</v>
      </c>
      <c r="E3305" s="105" t="s">
        <v>4213</v>
      </c>
      <c r="F3305" s="96" t="s">
        <v>4214</v>
      </c>
      <c r="G3305" s="96" t="s">
        <v>88</v>
      </c>
      <c r="H3305" s="19" t="s">
        <v>4215</v>
      </c>
      <c r="I3305" s="23" t="e">
        <f>VLOOKUP(H3305,'合同综合查询数据（3月返）'!$A:$A,1,FALSE)</f>
        <v>#N/A</v>
      </c>
      <c r="J3305" s="24" t="s">
        <v>126</v>
      </c>
      <c r="K3305" s="96" t="s">
        <v>4216</v>
      </c>
      <c r="L3305" s="114" t="s">
        <v>4217</v>
      </c>
      <c r="M3305" s="26" t="s">
        <v>4218</v>
      </c>
      <c r="N3305" s="106">
        <v>44620</v>
      </c>
      <c r="O3305" s="94" t="s">
        <v>624</v>
      </c>
      <c r="P3305" s="268">
        <v>4000</v>
      </c>
      <c r="Q3305" s="273">
        <v>-6</v>
      </c>
      <c r="R3305" s="268">
        <f t="shared" si="78"/>
        <v>-24000</v>
      </c>
      <c r="S3305" s="24">
        <v>202303</v>
      </c>
      <c r="T3305" s="127" t="s">
        <v>4224</v>
      </c>
      <c r="U3305" s="97"/>
      <c r="V3305" s="128"/>
      <c r="W3305" s="128"/>
      <c r="X3305" s="106">
        <v>44593</v>
      </c>
      <c r="Y3305" s="106">
        <v>44620</v>
      </c>
    </row>
    <row r="3306" s="9" customFormat="1" customHeight="1" spans="1:25">
      <c r="A3306" s="96" t="s">
        <v>129</v>
      </c>
      <c r="B3306" s="94" t="s">
        <v>4074</v>
      </c>
      <c r="C3306" s="94" t="s">
        <v>39</v>
      </c>
      <c r="D3306" s="94" t="s">
        <v>4178</v>
      </c>
      <c r="E3306" s="23" t="s">
        <v>4225</v>
      </c>
      <c r="F3306" s="94" t="s">
        <v>4226</v>
      </c>
      <c r="G3306" s="96" t="s">
        <v>31</v>
      </c>
      <c r="H3306" s="97" t="s">
        <v>4227</v>
      </c>
      <c r="I3306" s="23" t="e">
        <f>VLOOKUP(H3306,'合同综合查询数据（3月返）'!$A:$A,1,FALSE)</f>
        <v>#N/A</v>
      </c>
      <c r="J3306" s="24" t="s">
        <v>33</v>
      </c>
      <c r="K3306" s="94" t="s">
        <v>4228</v>
      </c>
      <c r="L3306" s="94" t="s">
        <v>4229</v>
      </c>
      <c r="M3306" s="94" t="s">
        <v>4230</v>
      </c>
      <c r="N3306" s="106">
        <v>43831</v>
      </c>
      <c r="O3306" s="94" t="s">
        <v>37</v>
      </c>
      <c r="P3306" s="268">
        <v>0</v>
      </c>
      <c r="Q3306" s="273">
        <v>160</v>
      </c>
      <c r="R3306" s="268">
        <f t="shared" si="78"/>
        <v>0</v>
      </c>
      <c r="S3306" s="24">
        <v>202303</v>
      </c>
      <c r="T3306" s="127" t="s">
        <v>4231</v>
      </c>
      <c r="U3306" s="97"/>
      <c r="V3306" s="128"/>
      <c r="W3306" s="97"/>
      <c r="X3306" s="106">
        <v>44743</v>
      </c>
      <c r="Y3306" s="106">
        <v>45046</v>
      </c>
    </row>
    <row r="3307" s="9" customFormat="1" customHeight="1" spans="1:25">
      <c r="A3307" s="96" t="s">
        <v>129</v>
      </c>
      <c r="B3307" s="94" t="s">
        <v>4074</v>
      </c>
      <c r="C3307" s="94" t="s">
        <v>39</v>
      </c>
      <c r="D3307" s="94" t="s">
        <v>4178</v>
      </c>
      <c r="E3307" s="23" t="s">
        <v>4225</v>
      </c>
      <c r="F3307" s="94" t="s">
        <v>4226</v>
      </c>
      <c r="G3307" s="96" t="s">
        <v>31</v>
      </c>
      <c r="H3307" s="97" t="s">
        <v>4227</v>
      </c>
      <c r="I3307" s="23" t="e">
        <f>VLOOKUP(H3307,'合同综合查询数据（3月返）'!$A:$A,1,FALSE)</f>
        <v>#N/A</v>
      </c>
      <c r="J3307" s="24" t="s">
        <v>33</v>
      </c>
      <c r="K3307" s="94" t="s">
        <v>4228</v>
      </c>
      <c r="L3307" s="94" t="s">
        <v>4229</v>
      </c>
      <c r="M3307" s="94" t="s">
        <v>4230</v>
      </c>
      <c r="N3307" s="106">
        <v>44293</v>
      </c>
      <c r="O3307" s="94" t="s">
        <v>37</v>
      </c>
      <c r="P3307" s="268">
        <v>0</v>
      </c>
      <c r="Q3307" s="273">
        <v>128</v>
      </c>
      <c r="R3307" s="268">
        <f t="shared" si="78"/>
        <v>0</v>
      </c>
      <c r="S3307" s="24">
        <v>202303</v>
      </c>
      <c r="T3307" s="127" t="s">
        <v>4232</v>
      </c>
      <c r="U3307" s="97"/>
      <c r="V3307" s="128"/>
      <c r="W3307" s="97"/>
      <c r="X3307" s="106">
        <v>44743</v>
      </c>
      <c r="Y3307" s="106">
        <v>45046</v>
      </c>
    </row>
    <row r="3308" s="9" customFormat="1" customHeight="1" spans="1:25">
      <c r="A3308" s="96" t="s">
        <v>129</v>
      </c>
      <c r="B3308" s="94" t="s">
        <v>4074</v>
      </c>
      <c r="C3308" s="94" t="s">
        <v>39</v>
      </c>
      <c r="D3308" s="94" t="s">
        <v>4178</v>
      </c>
      <c r="E3308" s="23" t="s">
        <v>4225</v>
      </c>
      <c r="F3308" s="94" t="s">
        <v>4226</v>
      </c>
      <c r="G3308" s="96" t="s">
        <v>31</v>
      </c>
      <c r="H3308" s="97" t="s">
        <v>4227</v>
      </c>
      <c r="I3308" s="23" t="e">
        <f>VLOOKUP(H3308,'合同综合查询数据（3月返）'!$A:$A,1,FALSE)</f>
        <v>#N/A</v>
      </c>
      <c r="J3308" s="24" t="s">
        <v>33</v>
      </c>
      <c r="K3308" s="94" t="s">
        <v>4228</v>
      </c>
      <c r="L3308" s="94" t="s">
        <v>4229</v>
      </c>
      <c r="M3308" s="94" t="s">
        <v>4230</v>
      </c>
      <c r="N3308" s="106">
        <v>44303</v>
      </c>
      <c r="O3308" s="94" t="s">
        <v>37</v>
      </c>
      <c r="P3308" s="268">
        <v>0</v>
      </c>
      <c r="Q3308" s="273">
        <v>64</v>
      </c>
      <c r="R3308" s="268">
        <f t="shared" si="78"/>
        <v>0</v>
      </c>
      <c r="S3308" s="24">
        <v>202303</v>
      </c>
      <c r="T3308" s="127" t="s">
        <v>4233</v>
      </c>
      <c r="U3308" s="97"/>
      <c r="V3308" s="128"/>
      <c r="W3308" s="97"/>
      <c r="X3308" s="106">
        <v>44743</v>
      </c>
      <c r="Y3308" s="106">
        <v>45046</v>
      </c>
    </row>
    <row r="3309" s="9" customFormat="1" customHeight="1" spans="1:25">
      <c r="A3309" s="96" t="s">
        <v>129</v>
      </c>
      <c r="B3309" s="94" t="s">
        <v>4074</v>
      </c>
      <c r="C3309" s="94" t="s">
        <v>39</v>
      </c>
      <c r="D3309" s="94" t="s">
        <v>4178</v>
      </c>
      <c r="E3309" s="23" t="s">
        <v>4225</v>
      </c>
      <c r="F3309" s="94" t="s">
        <v>4226</v>
      </c>
      <c r="G3309" s="96" t="s">
        <v>31</v>
      </c>
      <c r="H3309" s="97" t="s">
        <v>4227</v>
      </c>
      <c r="I3309" s="23" t="e">
        <f>VLOOKUP(H3309,'合同综合查询数据（3月返）'!$A:$A,1,FALSE)</f>
        <v>#N/A</v>
      </c>
      <c r="J3309" s="24" t="s">
        <v>33</v>
      </c>
      <c r="K3309" s="94" t="s">
        <v>4228</v>
      </c>
      <c r="L3309" s="94" t="s">
        <v>4229</v>
      </c>
      <c r="M3309" s="94" t="s">
        <v>4230</v>
      </c>
      <c r="N3309" s="106">
        <v>44713</v>
      </c>
      <c r="O3309" s="94" t="s">
        <v>37</v>
      </c>
      <c r="P3309" s="268">
        <v>50</v>
      </c>
      <c r="Q3309" s="273">
        <v>256</v>
      </c>
      <c r="R3309" s="268">
        <f t="shared" si="78"/>
        <v>12800</v>
      </c>
      <c r="S3309" s="24">
        <v>202303</v>
      </c>
      <c r="T3309" s="127" t="s">
        <v>4234</v>
      </c>
      <c r="U3309" s="97"/>
      <c r="V3309" s="128"/>
      <c r="W3309" s="97"/>
      <c r="X3309" s="106">
        <v>44743</v>
      </c>
      <c r="Y3309" s="106">
        <v>45046</v>
      </c>
    </row>
    <row r="3310" s="9" customFormat="1" customHeight="1" spans="1:25">
      <c r="A3310" s="96" t="s">
        <v>129</v>
      </c>
      <c r="B3310" s="94" t="s">
        <v>4074</v>
      </c>
      <c r="C3310" s="94" t="s">
        <v>39</v>
      </c>
      <c r="D3310" s="94" t="s">
        <v>4178</v>
      </c>
      <c r="E3310" s="23" t="s">
        <v>4225</v>
      </c>
      <c r="F3310" s="94" t="s">
        <v>4226</v>
      </c>
      <c r="G3310" s="96" t="s">
        <v>31</v>
      </c>
      <c r="H3310" s="97" t="s">
        <v>4227</v>
      </c>
      <c r="I3310" s="23" t="e">
        <f>VLOOKUP(H3310,'合同综合查询数据（3月返）'!$A:$A,1,FALSE)</f>
        <v>#N/A</v>
      </c>
      <c r="J3310" s="24" t="s">
        <v>33</v>
      </c>
      <c r="K3310" s="94" t="s">
        <v>4228</v>
      </c>
      <c r="L3310" s="94" t="s">
        <v>4229</v>
      </c>
      <c r="M3310" s="94" t="s">
        <v>4230</v>
      </c>
      <c r="N3310" s="106"/>
      <c r="O3310" s="94" t="s">
        <v>152</v>
      </c>
      <c r="P3310" s="268">
        <v>0</v>
      </c>
      <c r="Q3310" s="273">
        <v>0</v>
      </c>
      <c r="R3310" s="268">
        <f t="shared" si="78"/>
        <v>0</v>
      </c>
      <c r="S3310" s="24">
        <v>202303</v>
      </c>
      <c r="T3310" s="127" t="s">
        <v>4235</v>
      </c>
      <c r="U3310" s="97"/>
      <c r="V3310" s="128"/>
      <c r="W3310" s="97"/>
      <c r="X3310" s="106">
        <v>44743</v>
      </c>
      <c r="Y3310" s="106">
        <v>45046</v>
      </c>
    </row>
    <row r="3311" s="9" customFormat="1" customHeight="1" spans="1:25">
      <c r="A3311" s="96" t="s">
        <v>129</v>
      </c>
      <c r="B3311" s="94" t="s">
        <v>4074</v>
      </c>
      <c r="C3311" s="94" t="s">
        <v>39</v>
      </c>
      <c r="D3311" s="94" t="s">
        <v>4178</v>
      </c>
      <c r="E3311" s="23" t="s">
        <v>4225</v>
      </c>
      <c r="F3311" s="94" t="s">
        <v>4226</v>
      </c>
      <c r="G3311" s="96" t="s">
        <v>31</v>
      </c>
      <c r="H3311" s="97" t="s">
        <v>4227</v>
      </c>
      <c r="I3311" s="23" t="e">
        <f>VLOOKUP(H3311,'合同综合查询数据（3月返）'!$A:$A,1,FALSE)</f>
        <v>#N/A</v>
      </c>
      <c r="J3311" s="24" t="s">
        <v>33</v>
      </c>
      <c r="K3311" s="94" t="s">
        <v>4228</v>
      </c>
      <c r="L3311" s="94" t="s">
        <v>4229</v>
      </c>
      <c r="M3311" s="94" t="s">
        <v>4230</v>
      </c>
      <c r="N3311" s="106">
        <v>44293</v>
      </c>
      <c r="O3311" s="94" t="s">
        <v>152</v>
      </c>
      <c r="P3311" s="268">
        <v>0</v>
      </c>
      <c r="Q3311" s="273">
        <v>1</v>
      </c>
      <c r="R3311" s="268">
        <f t="shared" si="78"/>
        <v>0</v>
      </c>
      <c r="S3311" s="24">
        <v>202303</v>
      </c>
      <c r="T3311" s="127" t="s">
        <v>4236</v>
      </c>
      <c r="U3311" s="97"/>
      <c r="V3311" s="128"/>
      <c r="W3311" s="97"/>
      <c r="X3311" s="106">
        <v>44743</v>
      </c>
      <c r="Y3311" s="106">
        <v>45046</v>
      </c>
    </row>
    <row r="3312" s="9" customFormat="1" customHeight="1" spans="1:25">
      <c r="A3312" s="96" t="s">
        <v>129</v>
      </c>
      <c r="B3312" s="94" t="s">
        <v>4074</v>
      </c>
      <c r="C3312" s="94" t="s">
        <v>39</v>
      </c>
      <c r="D3312" s="94" t="s">
        <v>4178</v>
      </c>
      <c r="E3312" s="23" t="s">
        <v>4225</v>
      </c>
      <c r="F3312" s="94" t="s">
        <v>4226</v>
      </c>
      <c r="G3312" s="96" t="s">
        <v>88</v>
      </c>
      <c r="H3312" s="97" t="s">
        <v>4227</v>
      </c>
      <c r="I3312" s="23" t="e">
        <f>VLOOKUP(H3312,'合同综合查询数据（3月返）'!$A:$A,1,FALSE)</f>
        <v>#N/A</v>
      </c>
      <c r="J3312" s="24" t="s">
        <v>126</v>
      </c>
      <c r="K3312" s="94" t="s">
        <v>4228</v>
      </c>
      <c r="L3312" s="94" t="s">
        <v>4229</v>
      </c>
      <c r="M3312" s="94" t="s">
        <v>4230</v>
      </c>
      <c r="N3312" s="106">
        <v>43831</v>
      </c>
      <c r="O3312" s="94" t="s">
        <v>127</v>
      </c>
      <c r="P3312" s="268">
        <v>4000</v>
      </c>
      <c r="Q3312" s="273">
        <v>2</v>
      </c>
      <c r="R3312" s="268">
        <f t="shared" si="78"/>
        <v>8000</v>
      </c>
      <c r="S3312" s="24">
        <v>202303</v>
      </c>
      <c r="T3312" s="127" t="s">
        <v>4237</v>
      </c>
      <c r="U3312" s="97"/>
      <c r="V3312" s="128"/>
      <c r="W3312" s="97"/>
      <c r="X3312" s="106">
        <v>44743</v>
      </c>
      <c r="Y3312" s="106">
        <v>45046</v>
      </c>
    </row>
    <row r="3313" s="9" customFormat="1" customHeight="1" spans="1:25">
      <c r="A3313" s="96" t="s">
        <v>129</v>
      </c>
      <c r="B3313" s="94" t="s">
        <v>4074</v>
      </c>
      <c r="C3313" s="94" t="s">
        <v>39</v>
      </c>
      <c r="D3313" s="94" t="s">
        <v>4178</v>
      </c>
      <c r="E3313" s="23" t="s">
        <v>4225</v>
      </c>
      <c r="F3313" s="94" t="s">
        <v>4226</v>
      </c>
      <c r="G3313" s="96" t="s">
        <v>88</v>
      </c>
      <c r="H3313" s="97" t="s">
        <v>4227</v>
      </c>
      <c r="I3313" s="23" t="e">
        <f>VLOOKUP(H3313,'合同综合查询数据（3月返）'!$A:$A,1,FALSE)</f>
        <v>#N/A</v>
      </c>
      <c r="J3313" s="24" t="s">
        <v>126</v>
      </c>
      <c r="K3313" s="94" t="s">
        <v>4228</v>
      </c>
      <c r="L3313" s="94" t="s">
        <v>4229</v>
      </c>
      <c r="M3313" s="94" t="s">
        <v>4230</v>
      </c>
      <c r="N3313" s="106">
        <v>44293</v>
      </c>
      <c r="O3313" s="94" t="s">
        <v>127</v>
      </c>
      <c r="P3313" s="268">
        <v>4000</v>
      </c>
      <c r="Q3313" s="273">
        <v>3</v>
      </c>
      <c r="R3313" s="268">
        <f t="shared" si="78"/>
        <v>12000</v>
      </c>
      <c r="S3313" s="24">
        <v>202303</v>
      </c>
      <c r="T3313" s="127" t="s">
        <v>4238</v>
      </c>
      <c r="U3313" s="97"/>
      <c r="V3313" s="128"/>
      <c r="W3313" s="97"/>
      <c r="X3313" s="106">
        <v>44743</v>
      </c>
      <c r="Y3313" s="106">
        <v>45046</v>
      </c>
    </row>
    <row r="3314" s="9" customFormat="1" customHeight="1" spans="1:25">
      <c r="A3314" s="96" t="s">
        <v>129</v>
      </c>
      <c r="B3314" s="94" t="s">
        <v>4074</v>
      </c>
      <c r="C3314" s="94" t="s">
        <v>39</v>
      </c>
      <c r="D3314" s="94" t="s">
        <v>4178</v>
      </c>
      <c r="E3314" s="23" t="s">
        <v>4225</v>
      </c>
      <c r="F3314" s="94" t="s">
        <v>4226</v>
      </c>
      <c r="G3314" s="96" t="s">
        <v>88</v>
      </c>
      <c r="H3314" s="97" t="s">
        <v>4227</v>
      </c>
      <c r="I3314" s="23" t="e">
        <f>VLOOKUP(H3314,'合同综合查询数据（3月返）'!$A:$A,1,FALSE)</f>
        <v>#N/A</v>
      </c>
      <c r="J3314" s="24" t="s">
        <v>126</v>
      </c>
      <c r="K3314" s="94" t="s">
        <v>4228</v>
      </c>
      <c r="L3314" s="94" t="s">
        <v>4229</v>
      </c>
      <c r="M3314" s="94" t="s">
        <v>4230</v>
      </c>
      <c r="N3314" s="106">
        <v>44713</v>
      </c>
      <c r="O3314" s="94" t="s">
        <v>127</v>
      </c>
      <c r="P3314" s="268">
        <v>4000</v>
      </c>
      <c r="Q3314" s="273">
        <v>4</v>
      </c>
      <c r="R3314" s="268">
        <f t="shared" si="78"/>
        <v>16000</v>
      </c>
      <c r="S3314" s="24">
        <v>202303</v>
      </c>
      <c r="T3314" s="127" t="s">
        <v>4239</v>
      </c>
      <c r="U3314" s="97"/>
      <c r="V3314" s="128"/>
      <c r="W3314" s="97"/>
      <c r="X3314" s="106">
        <v>44743</v>
      </c>
      <c r="Y3314" s="106">
        <v>45046</v>
      </c>
    </row>
    <row r="3315" s="9" customFormat="1" customHeight="1" spans="1:25">
      <c r="A3315" s="96" t="s">
        <v>129</v>
      </c>
      <c r="B3315" s="94" t="s">
        <v>4074</v>
      </c>
      <c r="C3315" s="94" t="s">
        <v>39</v>
      </c>
      <c r="D3315" s="94" t="s">
        <v>4178</v>
      </c>
      <c r="E3315" s="23" t="s">
        <v>4225</v>
      </c>
      <c r="F3315" s="94" t="s">
        <v>4226</v>
      </c>
      <c r="G3315" s="96" t="s">
        <v>88</v>
      </c>
      <c r="H3315" s="97" t="s">
        <v>4227</v>
      </c>
      <c r="I3315" s="23" t="e">
        <f>VLOOKUP(H3315,'合同综合查询数据（3月返）'!$A:$A,1,FALSE)</f>
        <v>#N/A</v>
      </c>
      <c r="J3315" s="24" t="s">
        <v>126</v>
      </c>
      <c r="K3315" s="94" t="s">
        <v>4228</v>
      </c>
      <c r="L3315" s="94" t="s">
        <v>4229</v>
      </c>
      <c r="M3315" s="94" t="s">
        <v>4230</v>
      </c>
      <c r="N3315" s="106">
        <v>45016</v>
      </c>
      <c r="O3315" s="94" t="s">
        <v>127</v>
      </c>
      <c r="P3315" s="268">
        <v>4000</v>
      </c>
      <c r="Q3315" s="273">
        <v>-5</v>
      </c>
      <c r="R3315" s="268">
        <v>0</v>
      </c>
      <c r="S3315" s="24">
        <v>202303</v>
      </c>
      <c r="T3315" s="127" t="s">
        <v>4240</v>
      </c>
      <c r="U3315" s="97"/>
      <c r="V3315" s="128"/>
      <c r="W3315" s="97"/>
      <c r="X3315" s="106">
        <v>44743</v>
      </c>
      <c r="Y3315" s="106">
        <v>45046</v>
      </c>
    </row>
    <row r="3316" s="9" customFormat="1" customHeight="1" spans="1:25">
      <c r="A3316" s="96" t="s">
        <v>129</v>
      </c>
      <c r="B3316" s="94" t="s">
        <v>4074</v>
      </c>
      <c r="C3316" s="94" t="s">
        <v>39</v>
      </c>
      <c r="D3316" s="94" t="s">
        <v>4178</v>
      </c>
      <c r="E3316" s="23" t="s">
        <v>4225</v>
      </c>
      <c r="F3316" s="94" t="s">
        <v>4226</v>
      </c>
      <c r="G3316" s="96" t="s">
        <v>88</v>
      </c>
      <c r="H3316" s="97" t="s">
        <v>4241</v>
      </c>
      <c r="I3316" s="23" t="e">
        <f>VLOOKUP(H3316,'合同综合查询数据（3月返）'!$A:$A,1,FALSE)</f>
        <v>#N/A</v>
      </c>
      <c r="J3316" s="24" t="s">
        <v>4242</v>
      </c>
      <c r="K3316" s="94" t="s">
        <v>4228</v>
      </c>
      <c r="L3316" s="94" t="s">
        <v>4229</v>
      </c>
      <c r="M3316" s="94" t="s">
        <v>4243</v>
      </c>
      <c r="N3316" s="106">
        <v>44294</v>
      </c>
      <c r="O3316" s="94" t="s">
        <v>127</v>
      </c>
      <c r="P3316" s="268">
        <v>4000</v>
      </c>
      <c r="Q3316" s="273">
        <v>14</v>
      </c>
      <c r="R3316" s="268">
        <f t="shared" ref="R3316:R3379" si="79">ROUND(P3316*Q3316,2)</f>
        <v>56000</v>
      </c>
      <c r="S3316" s="24">
        <v>202303</v>
      </c>
      <c r="T3316" s="127" t="s">
        <v>4244</v>
      </c>
      <c r="U3316" s="97"/>
      <c r="V3316" s="128"/>
      <c r="W3316" s="97"/>
      <c r="X3316" s="106">
        <v>44743</v>
      </c>
      <c r="Y3316" s="106">
        <v>45046</v>
      </c>
    </row>
    <row r="3317" s="9" customFormat="1" customHeight="1" spans="1:25">
      <c r="A3317" s="96" t="s">
        <v>129</v>
      </c>
      <c r="B3317" s="94" t="s">
        <v>4074</v>
      </c>
      <c r="C3317" s="94" t="s">
        <v>39</v>
      </c>
      <c r="D3317" s="94" t="s">
        <v>4178</v>
      </c>
      <c r="E3317" s="23" t="s">
        <v>4225</v>
      </c>
      <c r="F3317" s="94" t="s">
        <v>4226</v>
      </c>
      <c r="G3317" s="96" t="s">
        <v>88</v>
      </c>
      <c r="H3317" s="97" t="s">
        <v>4241</v>
      </c>
      <c r="I3317" s="23" t="e">
        <f>VLOOKUP(H3317,'合同综合查询数据（3月返）'!$A:$A,1,FALSE)</f>
        <v>#N/A</v>
      </c>
      <c r="J3317" s="24" t="s">
        <v>4242</v>
      </c>
      <c r="K3317" s="94" t="s">
        <v>4228</v>
      </c>
      <c r="L3317" s="94" t="s">
        <v>4229</v>
      </c>
      <c r="M3317" s="94" t="s">
        <v>4243</v>
      </c>
      <c r="N3317" s="106">
        <v>44303</v>
      </c>
      <c r="O3317" s="94" t="s">
        <v>127</v>
      </c>
      <c r="P3317" s="268">
        <v>4000</v>
      </c>
      <c r="Q3317" s="273">
        <v>19</v>
      </c>
      <c r="R3317" s="268">
        <f t="shared" si="79"/>
        <v>76000</v>
      </c>
      <c r="S3317" s="24">
        <v>202303</v>
      </c>
      <c r="T3317" s="127" t="s">
        <v>4245</v>
      </c>
      <c r="U3317" s="97"/>
      <c r="V3317" s="128"/>
      <c r="W3317" s="97"/>
      <c r="X3317" s="106">
        <v>44743</v>
      </c>
      <c r="Y3317" s="106">
        <v>45046</v>
      </c>
    </row>
    <row r="3318" s="9" customFormat="1" customHeight="1" spans="1:25">
      <c r="A3318" s="96" t="s">
        <v>129</v>
      </c>
      <c r="B3318" s="94" t="s">
        <v>4074</v>
      </c>
      <c r="C3318" s="94" t="s">
        <v>39</v>
      </c>
      <c r="D3318" s="94" t="s">
        <v>4178</v>
      </c>
      <c r="E3318" s="23" t="s">
        <v>4225</v>
      </c>
      <c r="F3318" s="94" t="s">
        <v>4226</v>
      </c>
      <c r="G3318" s="96" t="s">
        <v>88</v>
      </c>
      <c r="H3318" s="97" t="s">
        <v>4241</v>
      </c>
      <c r="I3318" s="23" t="e">
        <f>VLOOKUP(H3318,'合同综合查询数据（3月返）'!$A:$A,1,FALSE)</f>
        <v>#N/A</v>
      </c>
      <c r="J3318" s="24" t="s">
        <v>4242</v>
      </c>
      <c r="K3318" s="94" t="s">
        <v>4228</v>
      </c>
      <c r="L3318" s="94" t="s">
        <v>4229</v>
      </c>
      <c r="M3318" s="94" t="s">
        <v>4243</v>
      </c>
      <c r="N3318" s="106">
        <v>44743</v>
      </c>
      <c r="O3318" s="94" t="s">
        <v>127</v>
      </c>
      <c r="P3318" s="268">
        <v>4000</v>
      </c>
      <c r="Q3318" s="273">
        <v>1</v>
      </c>
      <c r="R3318" s="268">
        <f t="shared" si="79"/>
        <v>4000</v>
      </c>
      <c r="S3318" s="24">
        <v>202303</v>
      </c>
      <c r="T3318" s="127" t="s">
        <v>4246</v>
      </c>
      <c r="U3318" s="97"/>
      <c r="V3318" s="128"/>
      <c r="W3318" s="97"/>
      <c r="X3318" s="106">
        <v>44743</v>
      </c>
      <c r="Y3318" s="106">
        <v>45046</v>
      </c>
    </row>
    <row r="3319" s="9" customFormat="1" customHeight="1" spans="1:25">
      <c r="A3319" s="96" t="s">
        <v>129</v>
      </c>
      <c r="B3319" s="94" t="s">
        <v>4074</v>
      </c>
      <c r="C3319" s="94" t="s">
        <v>39</v>
      </c>
      <c r="D3319" s="94" t="s">
        <v>4178</v>
      </c>
      <c r="E3319" s="23" t="s">
        <v>4225</v>
      </c>
      <c r="F3319" s="94" t="s">
        <v>4226</v>
      </c>
      <c r="G3319" s="96" t="s">
        <v>88</v>
      </c>
      <c r="H3319" s="97" t="s">
        <v>4247</v>
      </c>
      <c r="I3319" s="23" t="e">
        <f>VLOOKUP(H3319,'合同综合查询数据（3月返）'!$A:$A,1,FALSE)</f>
        <v>#N/A</v>
      </c>
      <c r="J3319" s="24" t="s">
        <v>4242</v>
      </c>
      <c r="K3319" s="94" t="s">
        <v>4228</v>
      </c>
      <c r="L3319" s="94" t="s">
        <v>4229</v>
      </c>
      <c r="M3319" s="94" t="s">
        <v>4243</v>
      </c>
      <c r="N3319" s="106">
        <v>44827</v>
      </c>
      <c r="O3319" s="94" t="s">
        <v>127</v>
      </c>
      <c r="P3319" s="268">
        <v>4000</v>
      </c>
      <c r="Q3319" s="273">
        <v>1</v>
      </c>
      <c r="R3319" s="268">
        <f t="shared" si="79"/>
        <v>4000</v>
      </c>
      <c r="S3319" s="24">
        <v>202303</v>
      </c>
      <c r="T3319" s="127" t="s">
        <v>4248</v>
      </c>
      <c r="U3319" s="97"/>
      <c r="V3319" s="128"/>
      <c r="W3319" s="97"/>
      <c r="X3319" s="106">
        <v>44835</v>
      </c>
      <c r="Y3319" s="28">
        <v>45046</v>
      </c>
    </row>
    <row r="3320" s="9" customFormat="1" customHeight="1" spans="1:25">
      <c r="A3320" s="96" t="s">
        <v>129</v>
      </c>
      <c r="B3320" s="94" t="s">
        <v>4074</v>
      </c>
      <c r="C3320" s="94" t="s">
        <v>4249</v>
      </c>
      <c r="D3320" s="94" t="s">
        <v>4250</v>
      </c>
      <c r="E3320" s="23" t="s">
        <v>4225</v>
      </c>
      <c r="F3320" s="94" t="s">
        <v>4226</v>
      </c>
      <c r="G3320" s="96" t="s">
        <v>31</v>
      </c>
      <c r="H3320" s="97" t="s">
        <v>4251</v>
      </c>
      <c r="I3320" s="23" t="e">
        <f>VLOOKUP(H3320,'合同综合查询数据（3月返）'!$A:$A,1,FALSE)</f>
        <v>#N/A</v>
      </c>
      <c r="J3320" s="24" t="s">
        <v>33</v>
      </c>
      <c r="K3320" s="94" t="s">
        <v>4252</v>
      </c>
      <c r="L3320" s="94" t="s">
        <v>4253</v>
      </c>
      <c r="M3320" s="94" t="s">
        <v>4254</v>
      </c>
      <c r="N3320" s="106">
        <v>44013</v>
      </c>
      <c r="O3320" s="94" t="s">
        <v>37</v>
      </c>
      <c r="P3320" s="268">
        <v>0</v>
      </c>
      <c r="Q3320" s="273">
        <v>288</v>
      </c>
      <c r="R3320" s="268">
        <f t="shared" si="79"/>
        <v>0</v>
      </c>
      <c r="S3320" s="24">
        <v>202303</v>
      </c>
      <c r="T3320" s="127" t="s">
        <v>4255</v>
      </c>
      <c r="U3320" s="97"/>
      <c r="V3320" s="128"/>
      <c r="W3320" s="97"/>
      <c r="X3320" s="106">
        <v>44835</v>
      </c>
      <c r="Y3320" s="28">
        <v>45199</v>
      </c>
    </row>
    <row r="3321" s="9" customFormat="1" customHeight="1" spans="1:25">
      <c r="A3321" s="96" t="s">
        <v>129</v>
      </c>
      <c r="B3321" s="94" t="s">
        <v>4074</v>
      </c>
      <c r="C3321" s="94" t="s">
        <v>4249</v>
      </c>
      <c r="D3321" s="94" t="s">
        <v>4250</v>
      </c>
      <c r="E3321" s="23" t="s">
        <v>4225</v>
      </c>
      <c r="F3321" s="94" t="s">
        <v>4226</v>
      </c>
      <c r="G3321" s="96" t="s">
        <v>31</v>
      </c>
      <c r="H3321" s="97" t="s">
        <v>4251</v>
      </c>
      <c r="I3321" s="23" t="e">
        <f>VLOOKUP(H3321,'合同综合查询数据（3月返）'!$A:$A,1,FALSE)</f>
        <v>#N/A</v>
      </c>
      <c r="J3321" s="24" t="s">
        <v>33</v>
      </c>
      <c r="K3321" s="94" t="s">
        <v>4252</v>
      </c>
      <c r="L3321" s="94" t="s">
        <v>4253</v>
      </c>
      <c r="M3321" s="94" t="s">
        <v>4254</v>
      </c>
      <c r="N3321" s="106"/>
      <c r="O3321" s="94" t="s">
        <v>152</v>
      </c>
      <c r="P3321" s="268">
        <v>0</v>
      </c>
      <c r="Q3321" s="273">
        <v>0</v>
      </c>
      <c r="R3321" s="268">
        <f t="shared" si="79"/>
        <v>0</v>
      </c>
      <c r="S3321" s="24">
        <v>202303</v>
      </c>
      <c r="T3321" s="127" t="s">
        <v>4256</v>
      </c>
      <c r="U3321" s="97"/>
      <c r="V3321" s="128"/>
      <c r="W3321" s="97"/>
      <c r="X3321" s="106">
        <v>44835</v>
      </c>
      <c r="Y3321" s="28">
        <v>45199</v>
      </c>
    </row>
    <row r="3322" s="9" customFormat="1" customHeight="1" spans="1:25">
      <c r="A3322" s="96" t="s">
        <v>129</v>
      </c>
      <c r="B3322" s="94" t="s">
        <v>4074</v>
      </c>
      <c r="C3322" s="94" t="s">
        <v>4249</v>
      </c>
      <c r="D3322" s="94" t="s">
        <v>4250</v>
      </c>
      <c r="E3322" s="23" t="s">
        <v>4225</v>
      </c>
      <c r="F3322" s="94" t="s">
        <v>4226</v>
      </c>
      <c r="G3322" s="96" t="s">
        <v>88</v>
      </c>
      <c r="H3322" s="97" t="s">
        <v>4251</v>
      </c>
      <c r="I3322" s="23" t="e">
        <f>VLOOKUP(H3322,'合同综合查询数据（3月返）'!$A:$A,1,FALSE)</f>
        <v>#N/A</v>
      </c>
      <c r="J3322" s="24" t="s">
        <v>126</v>
      </c>
      <c r="K3322" s="94" t="s">
        <v>4252</v>
      </c>
      <c r="L3322" s="94" t="s">
        <v>4253</v>
      </c>
      <c r="M3322" s="94" t="s">
        <v>4254</v>
      </c>
      <c r="N3322" s="106">
        <v>44013</v>
      </c>
      <c r="O3322" s="94" t="s">
        <v>127</v>
      </c>
      <c r="P3322" s="268">
        <v>3500</v>
      </c>
      <c r="Q3322" s="273">
        <v>3</v>
      </c>
      <c r="R3322" s="268">
        <f t="shared" si="79"/>
        <v>10500</v>
      </c>
      <c r="S3322" s="24">
        <v>202303</v>
      </c>
      <c r="T3322" s="127" t="s">
        <v>4257</v>
      </c>
      <c r="U3322" s="97"/>
      <c r="V3322" s="128"/>
      <c r="W3322" s="97"/>
      <c r="X3322" s="106">
        <v>44835</v>
      </c>
      <c r="Y3322" s="28">
        <v>45199</v>
      </c>
    </row>
    <row r="3323" s="9" customFormat="1" customHeight="1" spans="1:25">
      <c r="A3323" s="96" t="s">
        <v>129</v>
      </c>
      <c r="B3323" s="94" t="s">
        <v>4074</v>
      </c>
      <c r="C3323" s="94" t="s">
        <v>4249</v>
      </c>
      <c r="D3323" s="94" t="s">
        <v>4250</v>
      </c>
      <c r="E3323" s="23" t="s">
        <v>4225</v>
      </c>
      <c r="F3323" s="94" t="s">
        <v>4226</v>
      </c>
      <c r="G3323" s="96" t="s">
        <v>88</v>
      </c>
      <c r="H3323" s="97" t="s">
        <v>4251</v>
      </c>
      <c r="I3323" s="23" t="e">
        <f>VLOOKUP(H3323,'合同综合查询数据（3月返）'!$A:$A,1,FALSE)</f>
        <v>#N/A</v>
      </c>
      <c r="J3323" s="24" t="s">
        <v>126</v>
      </c>
      <c r="K3323" s="94" t="s">
        <v>4252</v>
      </c>
      <c r="L3323" s="94" t="s">
        <v>4253</v>
      </c>
      <c r="M3323" s="94" t="s">
        <v>4254</v>
      </c>
      <c r="N3323" s="106">
        <v>44651</v>
      </c>
      <c r="O3323" s="94" t="s">
        <v>127</v>
      </c>
      <c r="P3323" s="268">
        <v>3500</v>
      </c>
      <c r="Q3323" s="273">
        <v>-3</v>
      </c>
      <c r="R3323" s="268">
        <f t="shared" si="79"/>
        <v>-10500</v>
      </c>
      <c r="S3323" s="24">
        <v>202303</v>
      </c>
      <c r="T3323" s="127" t="s">
        <v>4258</v>
      </c>
      <c r="U3323" s="97"/>
      <c r="V3323" s="128"/>
      <c r="W3323" s="97"/>
      <c r="X3323" s="106">
        <v>44835</v>
      </c>
      <c r="Y3323" s="28">
        <v>45199</v>
      </c>
    </row>
    <row r="3324" s="9" customFormat="1" customHeight="1" spans="1:25">
      <c r="A3324" s="96" t="s">
        <v>129</v>
      </c>
      <c r="B3324" s="94" t="s">
        <v>4074</v>
      </c>
      <c r="C3324" s="94" t="s">
        <v>4249</v>
      </c>
      <c r="D3324" s="94" t="s">
        <v>4250</v>
      </c>
      <c r="E3324" s="23" t="s">
        <v>4225</v>
      </c>
      <c r="F3324" s="94" t="s">
        <v>4226</v>
      </c>
      <c r="G3324" s="96" t="s">
        <v>88</v>
      </c>
      <c r="H3324" s="97" t="s">
        <v>4251</v>
      </c>
      <c r="I3324" s="23" t="e">
        <f>VLOOKUP(H3324,'合同综合查询数据（3月返）'!$A:$A,1,FALSE)</f>
        <v>#N/A</v>
      </c>
      <c r="J3324" s="24" t="s">
        <v>126</v>
      </c>
      <c r="K3324" s="94" t="s">
        <v>4252</v>
      </c>
      <c r="L3324" s="94" t="s">
        <v>4253</v>
      </c>
      <c r="M3324" s="94" t="s">
        <v>4254</v>
      </c>
      <c r="N3324" s="106">
        <v>44652</v>
      </c>
      <c r="O3324" s="94" t="s">
        <v>127</v>
      </c>
      <c r="P3324" s="268">
        <v>3500</v>
      </c>
      <c r="Q3324" s="273">
        <v>3</v>
      </c>
      <c r="R3324" s="268">
        <f t="shared" si="79"/>
        <v>10500</v>
      </c>
      <c r="S3324" s="24">
        <v>202303</v>
      </c>
      <c r="T3324" s="127" t="s">
        <v>4259</v>
      </c>
      <c r="U3324" s="97"/>
      <c r="V3324" s="128"/>
      <c r="W3324" s="97"/>
      <c r="X3324" s="106">
        <v>44835</v>
      </c>
      <c r="Y3324" s="28">
        <v>45199</v>
      </c>
    </row>
    <row r="3325" s="9" customFormat="1" customHeight="1" spans="1:25">
      <c r="A3325" s="96" t="s">
        <v>129</v>
      </c>
      <c r="B3325" s="94" t="s">
        <v>4074</v>
      </c>
      <c r="C3325" s="94" t="s">
        <v>130</v>
      </c>
      <c r="D3325" s="94" t="s">
        <v>4178</v>
      </c>
      <c r="E3325" s="23" t="s">
        <v>4225</v>
      </c>
      <c r="F3325" s="94" t="s">
        <v>4226</v>
      </c>
      <c r="G3325" s="96" t="s">
        <v>31</v>
      </c>
      <c r="H3325" s="97" t="s">
        <v>4260</v>
      </c>
      <c r="I3325" s="23" t="e">
        <f>VLOOKUP(H3325,'合同综合查询数据（3月返）'!$A:$A,1,FALSE)</f>
        <v>#N/A</v>
      </c>
      <c r="J3325" s="24" t="s">
        <v>33</v>
      </c>
      <c r="K3325" s="94" t="s">
        <v>4261</v>
      </c>
      <c r="L3325" s="94" t="s">
        <v>4262</v>
      </c>
      <c r="M3325" s="94" t="s">
        <v>4263</v>
      </c>
      <c r="N3325" s="106">
        <v>44682</v>
      </c>
      <c r="O3325" s="94" t="s">
        <v>37</v>
      </c>
      <c r="P3325" s="317">
        <v>0</v>
      </c>
      <c r="Q3325" s="297">
        <v>288</v>
      </c>
      <c r="R3325" s="268">
        <f t="shared" si="79"/>
        <v>0</v>
      </c>
      <c r="S3325" s="24">
        <v>202303</v>
      </c>
      <c r="T3325" s="97" t="s">
        <v>4264</v>
      </c>
      <c r="U3325" s="97"/>
      <c r="V3325" s="97"/>
      <c r="W3325" s="97"/>
      <c r="X3325" s="311">
        <v>44743</v>
      </c>
      <c r="Y3325" s="311">
        <v>45046</v>
      </c>
    </row>
    <row r="3326" s="9" customFormat="1" customHeight="1" spans="1:25">
      <c r="A3326" s="96" t="s">
        <v>129</v>
      </c>
      <c r="B3326" s="94" t="s">
        <v>4074</v>
      </c>
      <c r="C3326" s="94" t="s">
        <v>130</v>
      </c>
      <c r="D3326" s="94" t="s">
        <v>4178</v>
      </c>
      <c r="E3326" s="23" t="s">
        <v>4225</v>
      </c>
      <c r="F3326" s="94" t="s">
        <v>4226</v>
      </c>
      <c r="G3326" s="96" t="s">
        <v>31</v>
      </c>
      <c r="H3326" s="97" t="s">
        <v>4260</v>
      </c>
      <c r="I3326" s="23" t="e">
        <f>VLOOKUP(H3326,'合同综合查询数据（3月返）'!$A:$A,1,FALSE)</f>
        <v>#N/A</v>
      </c>
      <c r="J3326" s="24" t="s">
        <v>33</v>
      </c>
      <c r="K3326" s="94" t="s">
        <v>4261</v>
      </c>
      <c r="L3326" s="94" t="s">
        <v>4262</v>
      </c>
      <c r="M3326" s="94" t="s">
        <v>4263</v>
      </c>
      <c r="N3326" s="106">
        <v>44682</v>
      </c>
      <c r="O3326" s="94" t="s">
        <v>37</v>
      </c>
      <c r="P3326" s="317">
        <v>0</v>
      </c>
      <c r="Q3326" s="297">
        <v>256</v>
      </c>
      <c r="R3326" s="268">
        <f t="shared" si="79"/>
        <v>0</v>
      </c>
      <c r="S3326" s="24">
        <v>202303</v>
      </c>
      <c r="T3326" s="97" t="s">
        <v>4265</v>
      </c>
      <c r="U3326" s="97"/>
      <c r="V3326" s="97"/>
      <c r="W3326" s="97"/>
      <c r="X3326" s="311">
        <v>44743</v>
      </c>
      <c r="Y3326" s="311">
        <v>45046</v>
      </c>
    </row>
    <row r="3327" s="9" customFormat="1" customHeight="1" spans="1:25">
      <c r="A3327" s="96" t="s">
        <v>129</v>
      </c>
      <c r="B3327" s="94" t="s">
        <v>4074</v>
      </c>
      <c r="C3327" s="94" t="s">
        <v>130</v>
      </c>
      <c r="D3327" s="94" t="s">
        <v>4178</v>
      </c>
      <c r="E3327" s="23" t="s">
        <v>4225</v>
      </c>
      <c r="F3327" s="94" t="s">
        <v>4226</v>
      </c>
      <c r="G3327" s="96" t="s">
        <v>31</v>
      </c>
      <c r="H3327" s="97" t="s">
        <v>4260</v>
      </c>
      <c r="I3327" s="23" t="e">
        <f>VLOOKUP(H3327,'合同综合查询数据（3月返）'!$A:$A,1,FALSE)</f>
        <v>#N/A</v>
      </c>
      <c r="J3327" s="24" t="s">
        <v>33</v>
      </c>
      <c r="K3327" s="94" t="s">
        <v>4261</v>
      </c>
      <c r="L3327" s="94" t="s">
        <v>4262</v>
      </c>
      <c r="M3327" s="94" t="s">
        <v>4263</v>
      </c>
      <c r="N3327" s="106">
        <v>44773</v>
      </c>
      <c r="O3327" s="94" t="s">
        <v>37</v>
      </c>
      <c r="P3327" s="317">
        <v>0</v>
      </c>
      <c r="Q3327" s="297">
        <v>-256</v>
      </c>
      <c r="R3327" s="268">
        <f t="shared" si="79"/>
        <v>0</v>
      </c>
      <c r="S3327" s="24">
        <v>202303</v>
      </c>
      <c r="T3327" s="97" t="s">
        <v>4266</v>
      </c>
      <c r="U3327" s="97"/>
      <c r="V3327" s="97"/>
      <c r="W3327" s="97"/>
      <c r="X3327" s="311">
        <v>44743</v>
      </c>
      <c r="Y3327" s="311">
        <v>45046</v>
      </c>
    </row>
    <row r="3328" s="9" customFormat="1" customHeight="1" spans="1:25">
      <c r="A3328" s="96" t="s">
        <v>129</v>
      </c>
      <c r="B3328" s="94" t="s">
        <v>4074</v>
      </c>
      <c r="C3328" s="94" t="s">
        <v>130</v>
      </c>
      <c r="D3328" s="94" t="s">
        <v>4178</v>
      </c>
      <c r="E3328" s="23" t="s">
        <v>4225</v>
      </c>
      <c r="F3328" s="94" t="s">
        <v>4226</v>
      </c>
      <c r="G3328" s="96" t="s">
        <v>31</v>
      </c>
      <c r="H3328" s="97" t="s">
        <v>4260</v>
      </c>
      <c r="I3328" s="23" t="e">
        <f>VLOOKUP(H3328,'合同综合查询数据（3月返）'!$A:$A,1,FALSE)</f>
        <v>#N/A</v>
      </c>
      <c r="J3328" s="24" t="s">
        <v>33</v>
      </c>
      <c r="K3328" s="94" t="s">
        <v>4261</v>
      </c>
      <c r="L3328" s="94" t="s">
        <v>4262</v>
      </c>
      <c r="M3328" s="94" t="s">
        <v>4263</v>
      </c>
      <c r="N3328" s="106">
        <v>44682</v>
      </c>
      <c r="O3328" s="94" t="s">
        <v>152</v>
      </c>
      <c r="P3328" s="317">
        <v>0</v>
      </c>
      <c r="Q3328" s="297">
        <v>1</v>
      </c>
      <c r="R3328" s="268">
        <f t="shared" si="79"/>
        <v>0</v>
      </c>
      <c r="S3328" s="24">
        <v>202303</v>
      </c>
      <c r="T3328" s="97" t="s">
        <v>4267</v>
      </c>
      <c r="U3328" s="97"/>
      <c r="V3328" s="97"/>
      <c r="W3328" s="97"/>
      <c r="X3328" s="311">
        <v>44743</v>
      </c>
      <c r="Y3328" s="311">
        <v>45046</v>
      </c>
    </row>
    <row r="3329" s="9" customFormat="1" customHeight="1" spans="1:25">
      <c r="A3329" s="96" t="s">
        <v>129</v>
      </c>
      <c r="B3329" s="94" t="s">
        <v>4074</v>
      </c>
      <c r="C3329" s="94" t="s">
        <v>130</v>
      </c>
      <c r="D3329" s="94" t="s">
        <v>4178</v>
      </c>
      <c r="E3329" s="23" t="s">
        <v>4225</v>
      </c>
      <c r="F3329" s="94" t="s">
        <v>4226</v>
      </c>
      <c r="G3329" s="96" t="s">
        <v>31</v>
      </c>
      <c r="H3329" s="97" t="s">
        <v>4260</v>
      </c>
      <c r="I3329" s="23" t="e">
        <f>VLOOKUP(H3329,'合同综合查询数据（3月返）'!$A:$A,1,FALSE)</f>
        <v>#N/A</v>
      </c>
      <c r="J3329" s="24" t="s">
        <v>33</v>
      </c>
      <c r="K3329" s="94" t="s">
        <v>4261</v>
      </c>
      <c r="L3329" s="94" t="s">
        <v>4262</v>
      </c>
      <c r="M3329" s="94" t="s">
        <v>4263</v>
      </c>
      <c r="N3329" s="106">
        <v>44773</v>
      </c>
      <c r="O3329" s="94" t="s">
        <v>152</v>
      </c>
      <c r="P3329" s="317">
        <v>0</v>
      </c>
      <c r="Q3329" s="297">
        <v>-1</v>
      </c>
      <c r="R3329" s="268">
        <f t="shared" si="79"/>
        <v>0</v>
      </c>
      <c r="S3329" s="24">
        <v>202303</v>
      </c>
      <c r="T3329" s="97" t="s">
        <v>4268</v>
      </c>
      <c r="U3329" s="97"/>
      <c r="V3329" s="97"/>
      <c r="W3329" s="97"/>
      <c r="X3329" s="311">
        <v>44743</v>
      </c>
      <c r="Y3329" s="311">
        <v>45046</v>
      </c>
    </row>
    <row r="3330" s="9" customFormat="1" customHeight="1" spans="1:25">
      <c r="A3330" s="96" t="s">
        <v>129</v>
      </c>
      <c r="B3330" s="94" t="s">
        <v>4074</v>
      </c>
      <c r="C3330" s="94" t="s">
        <v>130</v>
      </c>
      <c r="D3330" s="94" t="s">
        <v>4178</v>
      </c>
      <c r="E3330" s="23" t="s">
        <v>4225</v>
      </c>
      <c r="F3330" s="94" t="s">
        <v>4226</v>
      </c>
      <c r="G3330" s="96" t="s">
        <v>88</v>
      </c>
      <c r="H3330" s="97" t="s">
        <v>4260</v>
      </c>
      <c r="I3330" s="23" t="e">
        <f>VLOOKUP(H3330,'合同综合查询数据（3月返）'!$A:$A,1,FALSE)</f>
        <v>#N/A</v>
      </c>
      <c r="J3330" s="24" t="s">
        <v>126</v>
      </c>
      <c r="K3330" s="94" t="s">
        <v>4261</v>
      </c>
      <c r="L3330" s="94" t="s">
        <v>4262</v>
      </c>
      <c r="M3330" s="94" t="s">
        <v>4263</v>
      </c>
      <c r="N3330" s="106">
        <v>44682</v>
      </c>
      <c r="O3330" s="94" t="s">
        <v>457</v>
      </c>
      <c r="P3330" s="317">
        <v>4500</v>
      </c>
      <c r="Q3330" s="297">
        <v>2</v>
      </c>
      <c r="R3330" s="268">
        <f t="shared" si="79"/>
        <v>9000</v>
      </c>
      <c r="S3330" s="24">
        <v>202303</v>
      </c>
      <c r="T3330" s="97" t="s">
        <v>4269</v>
      </c>
      <c r="U3330" s="97"/>
      <c r="V3330" s="97"/>
      <c r="W3330" s="97"/>
      <c r="X3330" s="311">
        <v>44743</v>
      </c>
      <c r="Y3330" s="311">
        <v>45046</v>
      </c>
    </row>
    <row r="3331" s="9" customFormat="1" customHeight="1" spans="1:25">
      <c r="A3331" s="96" t="s">
        <v>129</v>
      </c>
      <c r="B3331" s="94" t="s">
        <v>4074</v>
      </c>
      <c r="C3331" s="94" t="s">
        <v>130</v>
      </c>
      <c r="D3331" s="94" t="s">
        <v>4178</v>
      </c>
      <c r="E3331" s="23" t="s">
        <v>4225</v>
      </c>
      <c r="F3331" s="94" t="s">
        <v>4226</v>
      </c>
      <c r="G3331" s="96" t="s">
        <v>88</v>
      </c>
      <c r="H3331" s="97" t="s">
        <v>4260</v>
      </c>
      <c r="I3331" s="23" t="e">
        <f>VLOOKUP(H3331,'合同综合查询数据（3月返）'!$A:$A,1,FALSE)</f>
        <v>#N/A</v>
      </c>
      <c r="J3331" s="24" t="s">
        <v>126</v>
      </c>
      <c r="K3331" s="94" t="s">
        <v>4261</v>
      </c>
      <c r="L3331" s="94" t="s">
        <v>4262</v>
      </c>
      <c r="M3331" s="94" t="s">
        <v>4263</v>
      </c>
      <c r="N3331" s="106">
        <v>44682</v>
      </c>
      <c r="O3331" s="94" t="s">
        <v>457</v>
      </c>
      <c r="P3331" s="317">
        <v>4500</v>
      </c>
      <c r="Q3331" s="297">
        <v>2</v>
      </c>
      <c r="R3331" s="268">
        <f t="shared" si="79"/>
        <v>9000</v>
      </c>
      <c r="S3331" s="24">
        <v>202303</v>
      </c>
      <c r="T3331" s="97" t="s">
        <v>4270</v>
      </c>
      <c r="U3331" s="97"/>
      <c r="V3331" s="97"/>
      <c r="W3331" s="97"/>
      <c r="X3331" s="311">
        <v>44743</v>
      </c>
      <c r="Y3331" s="311">
        <v>45046</v>
      </c>
    </row>
    <row r="3332" s="9" customFormat="1" customHeight="1" spans="1:25">
      <c r="A3332" s="96" t="s">
        <v>129</v>
      </c>
      <c r="B3332" s="94" t="s">
        <v>4074</v>
      </c>
      <c r="C3332" s="94" t="s">
        <v>130</v>
      </c>
      <c r="D3332" s="94" t="s">
        <v>4178</v>
      </c>
      <c r="E3332" s="23" t="s">
        <v>4225</v>
      </c>
      <c r="F3332" s="94" t="s">
        <v>4226</v>
      </c>
      <c r="G3332" s="96" t="s">
        <v>88</v>
      </c>
      <c r="H3332" s="97" t="s">
        <v>4260</v>
      </c>
      <c r="I3332" s="23" t="e">
        <f>VLOOKUP(H3332,'合同综合查询数据（3月返）'!$A:$A,1,FALSE)</f>
        <v>#N/A</v>
      </c>
      <c r="J3332" s="24" t="s">
        <v>126</v>
      </c>
      <c r="K3332" s="94" t="s">
        <v>4261</v>
      </c>
      <c r="L3332" s="94" t="s">
        <v>4262</v>
      </c>
      <c r="M3332" s="94" t="s">
        <v>4263</v>
      </c>
      <c r="N3332" s="106">
        <v>44773</v>
      </c>
      <c r="O3332" s="94" t="s">
        <v>457</v>
      </c>
      <c r="P3332" s="317">
        <v>4500</v>
      </c>
      <c r="Q3332" s="297">
        <v>-2</v>
      </c>
      <c r="R3332" s="268">
        <f t="shared" si="79"/>
        <v>-9000</v>
      </c>
      <c r="S3332" s="24">
        <v>202303</v>
      </c>
      <c r="T3332" s="97" t="s">
        <v>4271</v>
      </c>
      <c r="U3332" s="97"/>
      <c r="V3332" s="97"/>
      <c r="W3332" s="97"/>
      <c r="X3332" s="311">
        <v>44743</v>
      </c>
      <c r="Y3332" s="311">
        <v>45046</v>
      </c>
    </row>
    <row r="3333" s="9" customFormat="1" customHeight="1" spans="1:25">
      <c r="A3333" s="96" t="s">
        <v>129</v>
      </c>
      <c r="B3333" s="94" t="s">
        <v>4074</v>
      </c>
      <c r="C3333" s="94" t="s">
        <v>130</v>
      </c>
      <c r="D3333" s="94" t="s">
        <v>4178</v>
      </c>
      <c r="E3333" s="23" t="s">
        <v>4225</v>
      </c>
      <c r="F3333" s="94" t="s">
        <v>4226</v>
      </c>
      <c r="G3333" s="96" t="s">
        <v>88</v>
      </c>
      <c r="H3333" s="97" t="s">
        <v>4260</v>
      </c>
      <c r="I3333" s="23" t="e">
        <f>VLOOKUP(H3333,'合同综合查询数据（3月返）'!$A:$A,1,FALSE)</f>
        <v>#N/A</v>
      </c>
      <c r="J3333" s="24" t="s">
        <v>126</v>
      </c>
      <c r="K3333" s="94" t="s">
        <v>4261</v>
      </c>
      <c r="L3333" s="94" t="s">
        <v>4262</v>
      </c>
      <c r="M3333" s="94" t="s">
        <v>4263</v>
      </c>
      <c r="N3333" s="106">
        <v>44774</v>
      </c>
      <c r="O3333" s="94" t="s">
        <v>457</v>
      </c>
      <c r="P3333" s="317">
        <v>4500</v>
      </c>
      <c r="Q3333" s="297">
        <v>2</v>
      </c>
      <c r="R3333" s="268">
        <f t="shared" si="79"/>
        <v>9000</v>
      </c>
      <c r="S3333" s="24">
        <v>202303</v>
      </c>
      <c r="T3333" s="97" t="s">
        <v>4272</v>
      </c>
      <c r="U3333" s="97"/>
      <c r="V3333" s="97"/>
      <c r="W3333" s="97"/>
      <c r="X3333" s="311">
        <v>44743</v>
      </c>
      <c r="Y3333" s="311">
        <v>45046</v>
      </c>
    </row>
    <row r="3334" s="9" customFormat="1" customHeight="1" spans="1:25">
      <c r="A3334" s="96" t="s">
        <v>109</v>
      </c>
      <c r="B3334" s="96" t="s">
        <v>4074</v>
      </c>
      <c r="C3334" s="96" t="s">
        <v>2998</v>
      </c>
      <c r="D3334" s="94" t="s">
        <v>4178</v>
      </c>
      <c r="E3334" s="105" t="s">
        <v>4273</v>
      </c>
      <c r="F3334" s="96" t="s">
        <v>4274</v>
      </c>
      <c r="G3334" s="96" t="s">
        <v>31</v>
      </c>
      <c r="H3334" s="19" t="s">
        <v>4275</v>
      </c>
      <c r="I3334" s="23" t="e">
        <f>VLOOKUP(H3334,'合同综合查询数据（3月返）'!$A:$A,1,FALSE)</f>
        <v>#N/A</v>
      </c>
      <c r="J3334" s="24" t="s">
        <v>33</v>
      </c>
      <c r="K3334" s="96" t="s">
        <v>3335</v>
      </c>
      <c r="L3334" s="114" t="s">
        <v>4276</v>
      </c>
      <c r="M3334" s="26" t="s">
        <v>4277</v>
      </c>
      <c r="N3334" s="311">
        <v>43490</v>
      </c>
      <c r="O3334" s="311" t="s">
        <v>37</v>
      </c>
      <c r="P3334" s="268">
        <v>0</v>
      </c>
      <c r="Q3334" s="273">
        <v>288</v>
      </c>
      <c r="R3334" s="268">
        <f t="shared" si="79"/>
        <v>0</v>
      </c>
      <c r="S3334" s="24">
        <v>202303</v>
      </c>
      <c r="T3334" s="127" t="s">
        <v>4278</v>
      </c>
      <c r="U3334" s="40"/>
      <c r="V3334" s="40"/>
      <c r="W3334" s="40"/>
      <c r="X3334" s="106">
        <v>44378</v>
      </c>
      <c r="Y3334" s="106">
        <v>44742</v>
      </c>
    </row>
    <row r="3335" s="9" customFormat="1" customHeight="1" spans="1:25">
      <c r="A3335" s="96" t="s">
        <v>109</v>
      </c>
      <c r="B3335" s="96" t="s">
        <v>4074</v>
      </c>
      <c r="C3335" s="96" t="s">
        <v>2998</v>
      </c>
      <c r="D3335" s="94" t="s">
        <v>4178</v>
      </c>
      <c r="E3335" s="105" t="s">
        <v>4273</v>
      </c>
      <c r="F3335" s="96" t="s">
        <v>4274</v>
      </c>
      <c r="G3335" s="96" t="s">
        <v>31</v>
      </c>
      <c r="H3335" s="19" t="s">
        <v>4275</v>
      </c>
      <c r="I3335" s="23" t="e">
        <f>VLOOKUP(H3335,'合同综合查询数据（3月返）'!$A:$A,1,FALSE)</f>
        <v>#N/A</v>
      </c>
      <c r="J3335" s="24" t="s">
        <v>33</v>
      </c>
      <c r="K3335" s="96" t="s">
        <v>3335</v>
      </c>
      <c r="L3335" s="114" t="s">
        <v>4276</v>
      </c>
      <c r="M3335" s="26" t="s">
        <v>4277</v>
      </c>
      <c r="N3335" s="311">
        <v>44500</v>
      </c>
      <c r="O3335" s="311" t="s">
        <v>37</v>
      </c>
      <c r="P3335" s="268">
        <v>0</v>
      </c>
      <c r="Q3335" s="273">
        <v>-288</v>
      </c>
      <c r="R3335" s="268">
        <f t="shared" si="79"/>
        <v>0</v>
      </c>
      <c r="S3335" s="24">
        <v>202303</v>
      </c>
      <c r="T3335" s="127" t="s">
        <v>4279</v>
      </c>
      <c r="U3335" s="40"/>
      <c r="V3335" s="40"/>
      <c r="W3335" s="40"/>
      <c r="X3335" s="106">
        <v>44378</v>
      </c>
      <c r="Y3335" s="106">
        <v>44742</v>
      </c>
    </row>
    <row r="3336" s="9" customFormat="1" customHeight="1" spans="1:25">
      <c r="A3336" s="96" t="s">
        <v>109</v>
      </c>
      <c r="B3336" s="96" t="s">
        <v>4074</v>
      </c>
      <c r="C3336" s="96" t="s">
        <v>2998</v>
      </c>
      <c r="D3336" s="94" t="s">
        <v>4178</v>
      </c>
      <c r="E3336" s="105" t="s">
        <v>4273</v>
      </c>
      <c r="F3336" s="96" t="s">
        <v>4274</v>
      </c>
      <c r="G3336" s="96" t="s">
        <v>31</v>
      </c>
      <c r="H3336" s="19" t="s">
        <v>4275</v>
      </c>
      <c r="I3336" s="23" t="e">
        <f>VLOOKUP(H3336,'合同综合查询数据（3月返）'!$A:$A,1,FALSE)</f>
        <v>#N/A</v>
      </c>
      <c r="J3336" s="24" t="s">
        <v>33</v>
      </c>
      <c r="K3336" s="96" t="s">
        <v>3335</v>
      </c>
      <c r="L3336" s="114" t="s">
        <v>4276</v>
      </c>
      <c r="M3336" s="26" t="s">
        <v>4277</v>
      </c>
      <c r="N3336" s="311"/>
      <c r="O3336" s="94" t="s">
        <v>152</v>
      </c>
      <c r="P3336" s="268">
        <v>0</v>
      </c>
      <c r="Q3336" s="273">
        <v>0</v>
      </c>
      <c r="R3336" s="268">
        <f t="shared" si="79"/>
        <v>0</v>
      </c>
      <c r="S3336" s="24">
        <v>202303</v>
      </c>
      <c r="T3336" s="127" t="s">
        <v>4280</v>
      </c>
      <c r="U3336" s="40"/>
      <c r="V3336" s="40"/>
      <c r="W3336" s="40"/>
      <c r="X3336" s="106">
        <v>44378</v>
      </c>
      <c r="Y3336" s="106">
        <v>44742</v>
      </c>
    </row>
    <row r="3337" s="9" customFormat="1" customHeight="1" spans="1:25">
      <c r="A3337" s="96" t="s">
        <v>109</v>
      </c>
      <c r="B3337" s="96" t="s">
        <v>4074</v>
      </c>
      <c r="C3337" s="96" t="s">
        <v>2998</v>
      </c>
      <c r="D3337" s="94" t="s">
        <v>4178</v>
      </c>
      <c r="E3337" s="105" t="s">
        <v>4273</v>
      </c>
      <c r="F3337" s="96" t="s">
        <v>4274</v>
      </c>
      <c r="G3337" s="96" t="s">
        <v>88</v>
      </c>
      <c r="H3337" s="19" t="s">
        <v>4275</v>
      </c>
      <c r="I3337" s="23" t="e">
        <f>VLOOKUP(H3337,'合同综合查询数据（3月返）'!$A:$A,1,FALSE)</f>
        <v>#N/A</v>
      </c>
      <c r="J3337" s="24" t="s">
        <v>126</v>
      </c>
      <c r="K3337" s="96" t="s">
        <v>3335</v>
      </c>
      <c r="L3337" s="114" t="s">
        <v>4276</v>
      </c>
      <c r="M3337" s="26" t="s">
        <v>4277</v>
      </c>
      <c r="N3337" s="311">
        <v>43490</v>
      </c>
      <c r="O3337" s="311" t="s">
        <v>92</v>
      </c>
      <c r="P3337" s="268">
        <v>5000</v>
      </c>
      <c r="Q3337" s="273">
        <v>6</v>
      </c>
      <c r="R3337" s="268">
        <f t="shared" si="79"/>
        <v>30000</v>
      </c>
      <c r="S3337" s="24">
        <v>202303</v>
      </c>
      <c r="T3337" s="127" t="s">
        <v>4281</v>
      </c>
      <c r="U3337" s="40"/>
      <c r="V3337" s="40"/>
      <c r="W3337" s="40"/>
      <c r="X3337" s="106">
        <v>44378</v>
      </c>
      <c r="Y3337" s="106">
        <v>44742</v>
      </c>
    </row>
    <row r="3338" s="9" customFormat="1" customHeight="1" spans="1:25">
      <c r="A3338" s="96" t="s">
        <v>109</v>
      </c>
      <c r="B3338" s="96" t="s">
        <v>4074</v>
      </c>
      <c r="C3338" s="96" t="s">
        <v>2998</v>
      </c>
      <c r="D3338" s="94" t="s">
        <v>4178</v>
      </c>
      <c r="E3338" s="105" t="s">
        <v>4273</v>
      </c>
      <c r="F3338" s="96" t="s">
        <v>4274</v>
      </c>
      <c r="G3338" s="96" t="s">
        <v>88</v>
      </c>
      <c r="H3338" s="19" t="s">
        <v>4275</v>
      </c>
      <c r="I3338" s="23" t="e">
        <f>VLOOKUP(H3338,'合同综合查询数据（3月返）'!$A:$A,1,FALSE)</f>
        <v>#N/A</v>
      </c>
      <c r="J3338" s="24" t="s">
        <v>126</v>
      </c>
      <c r="K3338" s="96" t="s">
        <v>3335</v>
      </c>
      <c r="L3338" s="114" t="s">
        <v>4276</v>
      </c>
      <c r="M3338" s="26" t="s">
        <v>4277</v>
      </c>
      <c r="N3338" s="311">
        <v>44500</v>
      </c>
      <c r="O3338" s="311" t="s">
        <v>92</v>
      </c>
      <c r="P3338" s="268">
        <v>5000</v>
      </c>
      <c r="Q3338" s="273">
        <v>-6</v>
      </c>
      <c r="R3338" s="268">
        <f t="shared" si="79"/>
        <v>-30000</v>
      </c>
      <c r="S3338" s="24">
        <v>202303</v>
      </c>
      <c r="T3338" s="127" t="s">
        <v>4282</v>
      </c>
      <c r="U3338" s="40"/>
      <c r="V3338" s="40"/>
      <c r="W3338" s="40"/>
      <c r="X3338" s="106">
        <v>44378</v>
      </c>
      <c r="Y3338" s="106">
        <v>44742</v>
      </c>
    </row>
    <row r="3339" s="9" customFormat="1" customHeight="1" spans="1:25">
      <c r="A3339" s="96" t="s">
        <v>109</v>
      </c>
      <c r="B3339" s="96" t="s">
        <v>4074</v>
      </c>
      <c r="C3339" s="96" t="s">
        <v>2998</v>
      </c>
      <c r="D3339" s="94" t="s">
        <v>4178</v>
      </c>
      <c r="E3339" s="105" t="s">
        <v>4273</v>
      </c>
      <c r="F3339" s="96" t="s">
        <v>4274</v>
      </c>
      <c r="G3339" s="96" t="s">
        <v>31</v>
      </c>
      <c r="H3339" s="19" t="s">
        <v>4283</v>
      </c>
      <c r="I3339" s="23" t="e">
        <f>VLOOKUP(H3339,'合同综合查询数据（3月返）'!$A:$A,1,FALSE)</f>
        <v>#N/A</v>
      </c>
      <c r="J3339" s="24" t="s">
        <v>33</v>
      </c>
      <c r="K3339" s="96" t="s">
        <v>4216</v>
      </c>
      <c r="L3339" s="114" t="s">
        <v>4284</v>
      </c>
      <c r="M3339" s="26" t="s">
        <v>4285</v>
      </c>
      <c r="N3339" s="311">
        <v>44501</v>
      </c>
      <c r="O3339" s="311" t="s">
        <v>37</v>
      </c>
      <c r="P3339" s="268">
        <v>0</v>
      </c>
      <c r="Q3339" s="273">
        <v>288</v>
      </c>
      <c r="R3339" s="268">
        <f t="shared" si="79"/>
        <v>0</v>
      </c>
      <c r="S3339" s="24">
        <v>202303</v>
      </c>
      <c r="T3339" s="127" t="s">
        <v>4286</v>
      </c>
      <c r="U3339" s="40"/>
      <c r="V3339" s="40"/>
      <c r="W3339" s="40"/>
      <c r="X3339" s="106">
        <v>44866</v>
      </c>
      <c r="Y3339" s="28">
        <v>45230</v>
      </c>
    </row>
    <row r="3340" s="9" customFormat="1" customHeight="1" spans="1:25">
      <c r="A3340" s="96" t="s">
        <v>109</v>
      </c>
      <c r="B3340" s="96" t="s">
        <v>4074</v>
      </c>
      <c r="C3340" s="96" t="s">
        <v>2998</v>
      </c>
      <c r="D3340" s="94" t="s">
        <v>4178</v>
      </c>
      <c r="E3340" s="105" t="s">
        <v>4273</v>
      </c>
      <c r="F3340" s="96" t="s">
        <v>4274</v>
      </c>
      <c r="G3340" s="96" t="s">
        <v>31</v>
      </c>
      <c r="H3340" s="19" t="s">
        <v>4283</v>
      </c>
      <c r="I3340" s="23" t="e">
        <f>VLOOKUP(H3340,'合同综合查询数据（3月返）'!$A:$A,1,FALSE)</f>
        <v>#N/A</v>
      </c>
      <c r="J3340" s="24" t="s">
        <v>33</v>
      </c>
      <c r="K3340" s="96" t="s">
        <v>4216</v>
      </c>
      <c r="L3340" s="114" t="s">
        <v>4284</v>
      </c>
      <c r="M3340" s="26" t="s">
        <v>4285</v>
      </c>
      <c r="N3340" s="311">
        <v>44985</v>
      </c>
      <c r="O3340" s="311" t="s">
        <v>37</v>
      </c>
      <c r="P3340" s="268">
        <v>0</v>
      </c>
      <c r="Q3340" s="273">
        <v>-288</v>
      </c>
      <c r="R3340" s="268">
        <f t="shared" si="79"/>
        <v>0</v>
      </c>
      <c r="S3340" s="24">
        <v>202303</v>
      </c>
      <c r="T3340" s="127" t="s">
        <v>4287</v>
      </c>
      <c r="U3340" s="40"/>
      <c r="V3340" s="40"/>
      <c r="W3340" s="40"/>
      <c r="X3340" s="106">
        <v>44866</v>
      </c>
      <c r="Y3340" s="28">
        <v>45230</v>
      </c>
    </row>
    <row r="3341" s="9" customFormat="1" customHeight="1" spans="1:25">
      <c r="A3341" s="96" t="s">
        <v>109</v>
      </c>
      <c r="B3341" s="96" t="s">
        <v>4074</v>
      </c>
      <c r="C3341" s="96" t="s">
        <v>2998</v>
      </c>
      <c r="D3341" s="94" t="s">
        <v>4178</v>
      </c>
      <c r="E3341" s="105" t="s">
        <v>4273</v>
      </c>
      <c r="F3341" s="96" t="s">
        <v>4274</v>
      </c>
      <c r="G3341" s="96" t="s">
        <v>31</v>
      </c>
      <c r="H3341" s="19" t="s">
        <v>4283</v>
      </c>
      <c r="I3341" s="23" t="e">
        <f>VLOOKUP(H3341,'合同综合查询数据（3月返）'!$A:$A,1,FALSE)</f>
        <v>#N/A</v>
      </c>
      <c r="J3341" s="24" t="s">
        <v>33</v>
      </c>
      <c r="K3341" s="96" t="s">
        <v>4216</v>
      </c>
      <c r="L3341" s="114" t="s">
        <v>4284</v>
      </c>
      <c r="M3341" s="26" t="s">
        <v>4285</v>
      </c>
      <c r="N3341" s="311"/>
      <c r="O3341" s="311" t="s">
        <v>152</v>
      </c>
      <c r="P3341" s="268">
        <v>0</v>
      </c>
      <c r="Q3341" s="268">
        <v>0</v>
      </c>
      <c r="R3341" s="268">
        <f t="shared" si="79"/>
        <v>0</v>
      </c>
      <c r="S3341" s="24">
        <v>202303</v>
      </c>
      <c r="T3341" s="127" t="s">
        <v>4288</v>
      </c>
      <c r="U3341" s="40"/>
      <c r="V3341" s="40"/>
      <c r="W3341" s="40"/>
      <c r="X3341" s="106">
        <v>44866</v>
      </c>
      <c r="Y3341" s="28">
        <v>45230</v>
      </c>
    </row>
    <row r="3342" s="9" customFormat="1" customHeight="1" spans="1:25">
      <c r="A3342" s="96" t="s">
        <v>109</v>
      </c>
      <c r="B3342" s="96" t="s">
        <v>4074</v>
      </c>
      <c r="C3342" s="96" t="s">
        <v>2998</v>
      </c>
      <c r="D3342" s="94" t="s">
        <v>4178</v>
      </c>
      <c r="E3342" s="105" t="s">
        <v>4273</v>
      </c>
      <c r="F3342" s="96" t="s">
        <v>4274</v>
      </c>
      <c r="G3342" s="96" t="s">
        <v>88</v>
      </c>
      <c r="H3342" s="19" t="s">
        <v>4283</v>
      </c>
      <c r="I3342" s="23" t="e">
        <f>VLOOKUP(H3342,'合同综合查询数据（3月返）'!$A:$A,1,FALSE)</f>
        <v>#N/A</v>
      </c>
      <c r="J3342" s="24" t="s">
        <v>126</v>
      </c>
      <c r="K3342" s="96" t="s">
        <v>4216</v>
      </c>
      <c r="L3342" s="114" t="s">
        <v>4284</v>
      </c>
      <c r="M3342" s="26" t="s">
        <v>4285</v>
      </c>
      <c r="N3342" s="311">
        <v>44501</v>
      </c>
      <c r="O3342" s="311" t="s">
        <v>92</v>
      </c>
      <c r="P3342" s="268">
        <v>5000</v>
      </c>
      <c r="Q3342" s="273">
        <v>8</v>
      </c>
      <c r="R3342" s="268">
        <f t="shared" si="79"/>
        <v>40000</v>
      </c>
      <c r="S3342" s="24">
        <v>202303</v>
      </c>
      <c r="T3342" s="127" t="s">
        <v>4289</v>
      </c>
      <c r="U3342" s="40"/>
      <c r="V3342" s="40"/>
      <c r="W3342" s="40"/>
      <c r="X3342" s="106">
        <v>44866</v>
      </c>
      <c r="Y3342" s="28">
        <v>45230</v>
      </c>
    </row>
    <row r="3343" s="9" customFormat="1" customHeight="1" spans="1:25">
      <c r="A3343" s="96" t="s">
        <v>109</v>
      </c>
      <c r="B3343" s="96" t="s">
        <v>4074</v>
      </c>
      <c r="C3343" s="96" t="s">
        <v>2998</v>
      </c>
      <c r="D3343" s="94" t="s">
        <v>4178</v>
      </c>
      <c r="E3343" s="105" t="s">
        <v>4273</v>
      </c>
      <c r="F3343" s="96" t="s">
        <v>4274</v>
      </c>
      <c r="G3343" s="96" t="s">
        <v>88</v>
      </c>
      <c r="H3343" s="19" t="s">
        <v>4283</v>
      </c>
      <c r="I3343" s="23" t="e">
        <f>VLOOKUP(H3343,'合同综合查询数据（3月返）'!$A:$A,1,FALSE)</f>
        <v>#N/A</v>
      </c>
      <c r="J3343" s="24" t="s">
        <v>126</v>
      </c>
      <c r="K3343" s="96" t="s">
        <v>4216</v>
      </c>
      <c r="L3343" s="114" t="s">
        <v>4284</v>
      </c>
      <c r="M3343" s="26" t="s">
        <v>4285</v>
      </c>
      <c r="N3343" s="311">
        <v>44804</v>
      </c>
      <c r="O3343" s="311" t="s">
        <v>92</v>
      </c>
      <c r="P3343" s="268">
        <v>5000</v>
      </c>
      <c r="Q3343" s="273">
        <v>-4</v>
      </c>
      <c r="R3343" s="268">
        <f t="shared" si="79"/>
        <v>-20000</v>
      </c>
      <c r="S3343" s="24">
        <v>202303</v>
      </c>
      <c r="T3343" s="127" t="s">
        <v>4290</v>
      </c>
      <c r="U3343" s="40"/>
      <c r="V3343" s="40"/>
      <c r="W3343" s="40"/>
      <c r="X3343" s="106">
        <v>44866</v>
      </c>
      <c r="Y3343" s="28">
        <v>45230</v>
      </c>
    </row>
    <row r="3344" s="9" customFormat="1" customHeight="1" spans="1:25">
      <c r="A3344" s="96" t="s">
        <v>109</v>
      </c>
      <c r="B3344" s="96" t="s">
        <v>4074</v>
      </c>
      <c r="C3344" s="96" t="s">
        <v>2998</v>
      </c>
      <c r="D3344" s="94" t="s">
        <v>4178</v>
      </c>
      <c r="E3344" s="105" t="s">
        <v>4273</v>
      </c>
      <c r="F3344" s="96" t="s">
        <v>4274</v>
      </c>
      <c r="G3344" s="96" t="s">
        <v>88</v>
      </c>
      <c r="H3344" s="19" t="s">
        <v>4283</v>
      </c>
      <c r="I3344" s="23" t="e">
        <f>VLOOKUP(H3344,'合同综合查询数据（3月返）'!$A:$A,1,FALSE)</f>
        <v>#N/A</v>
      </c>
      <c r="J3344" s="24" t="s">
        <v>126</v>
      </c>
      <c r="K3344" s="96" t="s">
        <v>4216</v>
      </c>
      <c r="L3344" s="114" t="s">
        <v>4284</v>
      </c>
      <c r="M3344" s="26" t="s">
        <v>4285</v>
      </c>
      <c r="N3344" s="311">
        <v>44985</v>
      </c>
      <c r="O3344" s="311" t="s">
        <v>92</v>
      </c>
      <c r="P3344" s="268">
        <v>5000</v>
      </c>
      <c r="Q3344" s="273">
        <v>-4</v>
      </c>
      <c r="R3344" s="268">
        <f t="shared" si="79"/>
        <v>-20000</v>
      </c>
      <c r="S3344" s="24">
        <v>202303</v>
      </c>
      <c r="T3344" s="127" t="s">
        <v>4287</v>
      </c>
      <c r="U3344" s="40"/>
      <c r="V3344" s="40"/>
      <c r="W3344" s="40"/>
      <c r="X3344" s="106">
        <v>44866</v>
      </c>
      <c r="Y3344" s="28">
        <v>45230</v>
      </c>
    </row>
    <row r="3345" s="10" customFormat="1" customHeight="1" spans="1:25">
      <c r="A3345" s="60" t="s">
        <v>109</v>
      </c>
      <c r="B3345" s="60" t="s">
        <v>4074</v>
      </c>
      <c r="C3345" s="60" t="s">
        <v>2998</v>
      </c>
      <c r="D3345" s="62" t="s">
        <v>4178</v>
      </c>
      <c r="E3345" s="63" t="s">
        <v>4273</v>
      </c>
      <c r="F3345" s="60" t="s">
        <v>4274</v>
      </c>
      <c r="G3345" s="60" t="s">
        <v>31</v>
      </c>
      <c r="H3345" s="45" t="s">
        <v>4291</v>
      </c>
      <c r="I3345" s="47" t="e">
        <f>VLOOKUP(H3345,'合同综合查询数据（3月返）'!$A:$A,1,FALSE)</f>
        <v>#N/A</v>
      </c>
      <c r="J3345" s="48" t="s">
        <v>33</v>
      </c>
      <c r="K3345" s="60" t="s">
        <v>3335</v>
      </c>
      <c r="L3345" s="113" t="s">
        <v>4292</v>
      </c>
      <c r="M3345" s="50" t="s">
        <v>4293</v>
      </c>
      <c r="N3345" s="309">
        <v>44986</v>
      </c>
      <c r="O3345" s="309" t="s">
        <v>37</v>
      </c>
      <c r="P3345" s="266">
        <v>0</v>
      </c>
      <c r="Q3345" s="320">
        <v>288</v>
      </c>
      <c r="R3345" s="266">
        <f t="shared" si="79"/>
        <v>0</v>
      </c>
      <c r="S3345" s="48">
        <v>202303</v>
      </c>
      <c r="T3345" s="125" t="s">
        <v>4294</v>
      </c>
      <c r="U3345" s="58"/>
      <c r="V3345" s="308"/>
      <c r="W3345" s="58"/>
      <c r="X3345" s="111"/>
      <c r="Y3345" s="51"/>
    </row>
    <row r="3346" s="10" customFormat="1" customHeight="1" spans="1:25">
      <c r="A3346" s="60" t="s">
        <v>109</v>
      </c>
      <c r="B3346" s="60" t="s">
        <v>4074</v>
      </c>
      <c r="C3346" s="60" t="s">
        <v>2998</v>
      </c>
      <c r="D3346" s="62" t="s">
        <v>4178</v>
      </c>
      <c r="E3346" s="63" t="s">
        <v>4273</v>
      </c>
      <c r="F3346" s="60" t="s">
        <v>4274</v>
      </c>
      <c r="G3346" s="60" t="s">
        <v>88</v>
      </c>
      <c r="H3346" s="45" t="s">
        <v>4291</v>
      </c>
      <c r="I3346" s="47" t="e">
        <f>VLOOKUP(H3346,'合同综合查询数据（3月返）'!$A:$A,1,FALSE)</f>
        <v>#N/A</v>
      </c>
      <c r="J3346" s="48" t="s">
        <v>126</v>
      </c>
      <c r="K3346" s="60" t="s">
        <v>3335</v>
      </c>
      <c r="L3346" s="113" t="s">
        <v>4292</v>
      </c>
      <c r="M3346" s="50" t="s">
        <v>4293</v>
      </c>
      <c r="N3346" s="309">
        <v>44986</v>
      </c>
      <c r="O3346" s="309" t="s">
        <v>127</v>
      </c>
      <c r="P3346" s="266">
        <v>5000</v>
      </c>
      <c r="Q3346" s="320">
        <v>4</v>
      </c>
      <c r="R3346" s="266">
        <f t="shared" si="79"/>
        <v>20000</v>
      </c>
      <c r="S3346" s="48">
        <v>202303</v>
      </c>
      <c r="T3346" s="125" t="s">
        <v>4295</v>
      </c>
      <c r="U3346" s="58"/>
      <c r="V3346" s="308"/>
      <c r="W3346" s="58"/>
      <c r="X3346" s="111"/>
      <c r="Y3346" s="51"/>
    </row>
    <row r="3347" s="9" customFormat="1" customHeight="1" spans="1:25">
      <c r="A3347" s="104" t="s">
        <v>25</v>
      </c>
      <c r="B3347" s="94" t="s">
        <v>4074</v>
      </c>
      <c r="C3347" s="94" t="s">
        <v>110</v>
      </c>
      <c r="D3347" s="94" t="s">
        <v>28</v>
      </c>
      <c r="E3347" s="105" t="s">
        <v>4296</v>
      </c>
      <c r="F3347" s="96" t="s">
        <v>4297</v>
      </c>
      <c r="G3347" s="96" t="s">
        <v>31</v>
      </c>
      <c r="H3347" s="19" t="s">
        <v>4298</v>
      </c>
      <c r="I3347" s="23" t="str">
        <f>VLOOKUP(H3347,'合同综合查询数据（3月返）'!$A:$A,1,FALSE)</f>
        <v>182315IDC00101</v>
      </c>
      <c r="J3347" s="24" t="s">
        <v>33</v>
      </c>
      <c r="K3347" s="96" t="s">
        <v>4299</v>
      </c>
      <c r="L3347" s="114" t="s">
        <v>4300</v>
      </c>
      <c r="M3347" s="26" t="s">
        <v>4301</v>
      </c>
      <c r="N3347" s="106">
        <v>44234</v>
      </c>
      <c r="O3347" s="298" t="s">
        <v>37</v>
      </c>
      <c r="P3347" s="268">
        <v>0</v>
      </c>
      <c r="Q3347" s="273">
        <v>448</v>
      </c>
      <c r="R3347" s="268">
        <f t="shared" si="79"/>
        <v>0</v>
      </c>
      <c r="S3347" s="24">
        <v>202303</v>
      </c>
      <c r="T3347" s="127" t="s">
        <v>4302</v>
      </c>
      <c r="U3347" s="97"/>
      <c r="V3347" s="128"/>
      <c r="W3347" s="128"/>
      <c r="X3347" s="106">
        <v>44958</v>
      </c>
      <c r="Y3347" s="106">
        <v>45322</v>
      </c>
    </row>
    <row r="3348" s="9" customFormat="1" customHeight="1" spans="1:25">
      <c r="A3348" s="104" t="s">
        <v>25</v>
      </c>
      <c r="B3348" s="94" t="s">
        <v>4074</v>
      </c>
      <c r="C3348" s="94" t="s">
        <v>110</v>
      </c>
      <c r="D3348" s="94" t="s">
        <v>28</v>
      </c>
      <c r="E3348" s="105" t="s">
        <v>4296</v>
      </c>
      <c r="F3348" s="96" t="s">
        <v>4297</v>
      </c>
      <c r="G3348" s="96" t="s">
        <v>31</v>
      </c>
      <c r="H3348" s="19" t="s">
        <v>4298</v>
      </c>
      <c r="I3348" s="23" t="str">
        <f>VLOOKUP(H3348,'合同综合查询数据（3月返）'!$A:$A,1,FALSE)</f>
        <v>182315IDC00101</v>
      </c>
      <c r="J3348" s="24" t="s">
        <v>33</v>
      </c>
      <c r="K3348" s="96" t="s">
        <v>4299</v>
      </c>
      <c r="L3348" s="114" t="s">
        <v>4303</v>
      </c>
      <c r="M3348" s="26" t="s">
        <v>4301</v>
      </c>
      <c r="N3348" s="106">
        <v>44287</v>
      </c>
      <c r="O3348" s="94" t="s">
        <v>37</v>
      </c>
      <c r="P3348" s="268">
        <v>0</v>
      </c>
      <c r="Q3348" s="273">
        <v>416</v>
      </c>
      <c r="R3348" s="268">
        <f t="shared" si="79"/>
        <v>0</v>
      </c>
      <c r="S3348" s="24">
        <v>202303</v>
      </c>
      <c r="T3348" s="127" t="s">
        <v>4304</v>
      </c>
      <c r="U3348" s="97"/>
      <c r="V3348" s="128"/>
      <c r="W3348" s="128"/>
      <c r="X3348" s="106">
        <v>44958</v>
      </c>
      <c r="Y3348" s="106">
        <v>45322</v>
      </c>
    </row>
    <row r="3349" s="9" customFormat="1" customHeight="1" spans="1:25">
      <c r="A3349" s="104" t="s">
        <v>25</v>
      </c>
      <c r="B3349" s="94" t="s">
        <v>4074</v>
      </c>
      <c r="C3349" s="94" t="s">
        <v>110</v>
      </c>
      <c r="D3349" s="94" t="s">
        <v>28</v>
      </c>
      <c r="E3349" s="105" t="s">
        <v>4296</v>
      </c>
      <c r="F3349" s="96" t="s">
        <v>4297</v>
      </c>
      <c r="G3349" s="96" t="s">
        <v>31</v>
      </c>
      <c r="H3349" s="19" t="s">
        <v>4298</v>
      </c>
      <c r="I3349" s="23" t="str">
        <f>VLOOKUP(H3349,'合同综合查询数据（3月返）'!$A:$A,1,FALSE)</f>
        <v>182315IDC00101</v>
      </c>
      <c r="J3349" s="24" t="s">
        <v>33</v>
      </c>
      <c r="K3349" s="96" t="s">
        <v>4299</v>
      </c>
      <c r="L3349" s="114" t="s">
        <v>4305</v>
      </c>
      <c r="M3349" s="26" t="s">
        <v>4301</v>
      </c>
      <c r="N3349" s="106"/>
      <c r="O3349" s="94" t="s">
        <v>152</v>
      </c>
      <c r="P3349" s="268">
        <v>0</v>
      </c>
      <c r="Q3349" s="273">
        <v>0</v>
      </c>
      <c r="R3349" s="268">
        <f t="shared" si="79"/>
        <v>0</v>
      </c>
      <c r="S3349" s="24">
        <v>202303</v>
      </c>
      <c r="T3349" s="127" t="s">
        <v>4306</v>
      </c>
      <c r="U3349" s="97"/>
      <c r="V3349" s="128"/>
      <c r="W3349" s="128"/>
      <c r="X3349" s="106">
        <v>44958</v>
      </c>
      <c r="Y3349" s="106">
        <v>45322</v>
      </c>
    </row>
    <row r="3350" s="9" customFormat="1" customHeight="1" spans="1:25">
      <c r="A3350" s="104" t="s">
        <v>25</v>
      </c>
      <c r="B3350" s="94" t="s">
        <v>4074</v>
      </c>
      <c r="C3350" s="94" t="s">
        <v>110</v>
      </c>
      <c r="D3350" s="94" t="s">
        <v>28</v>
      </c>
      <c r="E3350" s="105" t="s">
        <v>4296</v>
      </c>
      <c r="F3350" s="96" t="s">
        <v>4297</v>
      </c>
      <c r="G3350" s="96" t="s">
        <v>88</v>
      </c>
      <c r="H3350" s="19" t="s">
        <v>4298</v>
      </c>
      <c r="I3350" s="23" t="str">
        <f>VLOOKUP(H3350,'合同综合查询数据（3月返）'!$A:$A,1,FALSE)</f>
        <v>182315IDC00101</v>
      </c>
      <c r="J3350" s="24" t="s">
        <v>126</v>
      </c>
      <c r="K3350" s="96" t="s">
        <v>4299</v>
      </c>
      <c r="L3350" s="114" t="s">
        <v>4300</v>
      </c>
      <c r="M3350" s="26" t="s">
        <v>4301</v>
      </c>
      <c r="N3350" s="106">
        <v>44234</v>
      </c>
      <c r="O3350" s="298" t="s">
        <v>92</v>
      </c>
      <c r="P3350" s="268">
        <v>0</v>
      </c>
      <c r="Q3350" s="273">
        <v>3</v>
      </c>
      <c r="R3350" s="268">
        <f t="shared" si="79"/>
        <v>0</v>
      </c>
      <c r="S3350" s="24">
        <v>202303</v>
      </c>
      <c r="T3350" s="127" t="s">
        <v>4307</v>
      </c>
      <c r="U3350" s="97"/>
      <c r="V3350" s="128"/>
      <c r="W3350" s="128"/>
      <c r="X3350" s="106">
        <v>44958</v>
      </c>
      <c r="Y3350" s="106">
        <v>45322</v>
      </c>
    </row>
    <row r="3351" s="9" customFormat="1" customHeight="1" spans="1:25">
      <c r="A3351" s="104" t="s">
        <v>25</v>
      </c>
      <c r="B3351" s="94" t="s">
        <v>4074</v>
      </c>
      <c r="C3351" s="94" t="s">
        <v>110</v>
      </c>
      <c r="D3351" s="94" t="s">
        <v>28</v>
      </c>
      <c r="E3351" s="105" t="s">
        <v>4296</v>
      </c>
      <c r="F3351" s="96" t="s">
        <v>4297</v>
      </c>
      <c r="G3351" s="96" t="s">
        <v>88</v>
      </c>
      <c r="H3351" s="19" t="s">
        <v>4298</v>
      </c>
      <c r="I3351" s="23" t="str">
        <f>VLOOKUP(H3351,'合同综合查询数据（3月返）'!$A:$A,1,FALSE)</f>
        <v>182315IDC00101</v>
      </c>
      <c r="J3351" s="24" t="s">
        <v>126</v>
      </c>
      <c r="K3351" s="96" t="s">
        <v>4299</v>
      </c>
      <c r="L3351" s="114" t="s">
        <v>4300</v>
      </c>
      <c r="M3351" s="26" t="s">
        <v>4301</v>
      </c>
      <c r="N3351" s="106">
        <v>44348</v>
      </c>
      <c r="O3351" s="94" t="s">
        <v>92</v>
      </c>
      <c r="P3351" s="268">
        <v>0</v>
      </c>
      <c r="Q3351" s="273">
        <v>4</v>
      </c>
      <c r="R3351" s="268">
        <f t="shared" si="79"/>
        <v>0</v>
      </c>
      <c r="S3351" s="24">
        <v>202303</v>
      </c>
      <c r="T3351" s="127" t="s">
        <v>4308</v>
      </c>
      <c r="U3351" s="97"/>
      <c r="V3351" s="128"/>
      <c r="W3351" s="128"/>
      <c r="X3351" s="106">
        <v>44958</v>
      </c>
      <c r="Y3351" s="106">
        <v>45322</v>
      </c>
    </row>
    <row r="3352" s="9" customFormat="1" customHeight="1" spans="1:25">
      <c r="A3352" s="104" t="s">
        <v>25</v>
      </c>
      <c r="B3352" s="94" t="s">
        <v>4074</v>
      </c>
      <c r="C3352" s="94" t="s">
        <v>110</v>
      </c>
      <c r="D3352" s="94" t="s">
        <v>28</v>
      </c>
      <c r="E3352" s="105" t="s">
        <v>4296</v>
      </c>
      <c r="F3352" s="96" t="s">
        <v>4297</v>
      </c>
      <c r="G3352" s="96" t="s">
        <v>88</v>
      </c>
      <c r="H3352" s="19" t="s">
        <v>4298</v>
      </c>
      <c r="I3352" s="23" t="str">
        <f>VLOOKUP(H3352,'合同综合查询数据（3月返）'!$A:$A,1,FALSE)</f>
        <v>182315IDC00101</v>
      </c>
      <c r="J3352" s="24" t="s">
        <v>126</v>
      </c>
      <c r="K3352" s="96" t="s">
        <v>4299</v>
      </c>
      <c r="L3352" s="114" t="s">
        <v>4303</v>
      </c>
      <c r="M3352" s="26" t="s">
        <v>4301</v>
      </c>
      <c r="N3352" s="106">
        <v>44287</v>
      </c>
      <c r="O3352" s="94" t="s">
        <v>92</v>
      </c>
      <c r="P3352" s="268">
        <v>0</v>
      </c>
      <c r="Q3352" s="273">
        <v>4</v>
      </c>
      <c r="R3352" s="268">
        <f t="shared" si="79"/>
        <v>0</v>
      </c>
      <c r="S3352" s="24">
        <v>202303</v>
      </c>
      <c r="T3352" s="127" t="s">
        <v>4309</v>
      </c>
      <c r="U3352" s="97"/>
      <c r="V3352" s="128"/>
      <c r="W3352" s="128"/>
      <c r="X3352" s="106">
        <v>44958</v>
      </c>
      <c r="Y3352" s="106">
        <v>45322</v>
      </c>
    </row>
    <row r="3353" s="9" customFormat="1" customHeight="1" spans="1:25">
      <c r="A3353" s="104" t="s">
        <v>25</v>
      </c>
      <c r="B3353" s="94" t="s">
        <v>4074</v>
      </c>
      <c r="C3353" s="94" t="s">
        <v>110</v>
      </c>
      <c r="D3353" s="94" t="s">
        <v>28</v>
      </c>
      <c r="E3353" s="105" t="s">
        <v>4296</v>
      </c>
      <c r="F3353" s="96" t="s">
        <v>4297</v>
      </c>
      <c r="G3353" s="96" t="s">
        <v>88</v>
      </c>
      <c r="H3353" s="19" t="s">
        <v>4298</v>
      </c>
      <c r="I3353" s="23" t="str">
        <f>VLOOKUP(H3353,'合同综合查询数据（3月返）'!$A:$A,1,FALSE)</f>
        <v>182315IDC00101</v>
      </c>
      <c r="J3353" s="24" t="s">
        <v>126</v>
      </c>
      <c r="K3353" s="96" t="s">
        <v>4299</v>
      </c>
      <c r="L3353" s="114" t="s">
        <v>4303</v>
      </c>
      <c r="M3353" s="26" t="s">
        <v>4301</v>
      </c>
      <c r="N3353" s="106">
        <v>44469</v>
      </c>
      <c r="O3353" s="94" t="s">
        <v>92</v>
      </c>
      <c r="P3353" s="268">
        <v>0</v>
      </c>
      <c r="Q3353" s="273">
        <v>-4</v>
      </c>
      <c r="R3353" s="268">
        <f t="shared" si="79"/>
        <v>0</v>
      </c>
      <c r="S3353" s="24">
        <v>202303</v>
      </c>
      <c r="T3353" s="127" t="s">
        <v>4310</v>
      </c>
      <c r="U3353" s="97"/>
      <c r="V3353" s="128"/>
      <c r="W3353" s="128"/>
      <c r="X3353" s="106">
        <v>44958</v>
      </c>
      <c r="Y3353" s="106">
        <v>45322</v>
      </c>
    </row>
    <row r="3354" s="9" customFormat="1" customHeight="1" spans="1:25">
      <c r="A3354" s="104" t="s">
        <v>25</v>
      </c>
      <c r="B3354" s="94" t="s">
        <v>4074</v>
      </c>
      <c r="C3354" s="94" t="s">
        <v>110</v>
      </c>
      <c r="D3354" s="94" t="s">
        <v>28</v>
      </c>
      <c r="E3354" s="105" t="s">
        <v>4296</v>
      </c>
      <c r="F3354" s="96" t="s">
        <v>4297</v>
      </c>
      <c r="G3354" s="96" t="s">
        <v>88</v>
      </c>
      <c r="H3354" s="19" t="s">
        <v>4298</v>
      </c>
      <c r="I3354" s="23" t="str">
        <f>VLOOKUP(H3354,'合同综合查询数据（3月返）'!$A:$A,1,FALSE)</f>
        <v>182315IDC00101</v>
      </c>
      <c r="J3354" s="24" t="s">
        <v>126</v>
      </c>
      <c r="K3354" s="96" t="s">
        <v>4299</v>
      </c>
      <c r="L3354" s="114" t="s">
        <v>4303</v>
      </c>
      <c r="M3354" s="26" t="s">
        <v>4301</v>
      </c>
      <c r="N3354" s="106">
        <v>44470</v>
      </c>
      <c r="O3354" s="94" t="s">
        <v>92</v>
      </c>
      <c r="P3354" s="268">
        <v>0</v>
      </c>
      <c r="Q3354" s="273">
        <v>4</v>
      </c>
      <c r="R3354" s="268">
        <f t="shared" si="79"/>
        <v>0</v>
      </c>
      <c r="S3354" s="24">
        <v>202303</v>
      </c>
      <c r="T3354" s="127" t="s">
        <v>4310</v>
      </c>
      <c r="U3354" s="97"/>
      <c r="V3354" s="128"/>
      <c r="W3354" s="128"/>
      <c r="X3354" s="106">
        <v>44958</v>
      </c>
      <c r="Y3354" s="106">
        <v>45322</v>
      </c>
    </row>
    <row r="3355" s="9" customFormat="1" customHeight="1" spans="1:25">
      <c r="A3355" s="104" t="s">
        <v>25</v>
      </c>
      <c r="B3355" s="94" t="s">
        <v>4074</v>
      </c>
      <c r="C3355" s="94" t="s">
        <v>110</v>
      </c>
      <c r="D3355" s="94" t="s">
        <v>28</v>
      </c>
      <c r="E3355" s="105" t="s">
        <v>4296</v>
      </c>
      <c r="F3355" s="96" t="s">
        <v>4297</v>
      </c>
      <c r="G3355" s="96" t="s">
        <v>88</v>
      </c>
      <c r="H3355" s="19" t="s">
        <v>4298</v>
      </c>
      <c r="I3355" s="23" t="str">
        <f>VLOOKUP(H3355,'合同综合查询数据（3月返）'!$A:$A,1,FALSE)</f>
        <v>182315IDC00101</v>
      </c>
      <c r="J3355" s="24" t="s">
        <v>126</v>
      </c>
      <c r="K3355" s="96" t="s">
        <v>4299</v>
      </c>
      <c r="L3355" s="114" t="s">
        <v>4303</v>
      </c>
      <c r="M3355" s="26" t="s">
        <v>4301</v>
      </c>
      <c r="N3355" s="106">
        <v>44470</v>
      </c>
      <c r="O3355" s="94" t="s">
        <v>92</v>
      </c>
      <c r="P3355" s="268">
        <v>0</v>
      </c>
      <c r="Q3355" s="273">
        <v>3</v>
      </c>
      <c r="R3355" s="268">
        <f t="shared" si="79"/>
        <v>0</v>
      </c>
      <c r="S3355" s="24">
        <v>202303</v>
      </c>
      <c r="T3355" s="127" t="s">
        <v>4311</v>
      </c>
      <c r="U3355" s="97"/>
      <c r="V3355" s="128"/>
      <c r="W3355" s="128"/>
      <c r="X3355" s="106">
        <v>44958</v>
      </c>
      <c r="Y3355" s="106">
        <v>45322</v>
      </c>
    </row>
    <row r="3356" s="9" customFormat="1" customHeight="1" spans="1:25">
      <c r="A3356" s="104" t="s">
        <v>25</v>
      </c>
      <c r="B3356" s="94" t="s">
        <v>4074</v>
      </c>
      <c r="C3356" s="94" t="s">
        <v>110</v>
      </c>
      <c r="D3356" s="94" t="s">
        <v>28</v>
      </c>
      <c r="E3356" s="105" t="s">
        <v>4296</v>
      </c>
      <c r="F3356" s="96" t="s">
        <v>4297</v>
      </c>
      <c r="G3356" s="96" t="s">
        <v>88</v>
      </c>
      <c r="H3356" s="19" t="s">
        <v>4298</v>
      </c>
      <c r="I3356" s="23" t="str">
        <f>VLOOKUP(H3356,'合同综合查询数据（3月返）'!$A:$A,1,FALSE)</f>
        <v>182315IDC00101</v>
      </c>
      <c r="J3356" s="24" t="s">
        <v>126</v>
      </c>
      <c r="K3356" s="96" t="s">
        <v>4299</v>
      </c>
      <c r="L3356" s="114" t="s">
        <v>4300</v>
      </c>
      <c r="M3356" s="26" t="s">
        <v>4301</v>
      </c>
      <c r="N3356" s="106">
        <v>44585</v>
      </c>
      <c r="O3356" s="94" t="s">
        <v>92</v>
      </c>
      <c r="P3356" s="268">
        <v>0</v>
      </c>
      <c r="Q3356" s="273">
        <v>1</v>
      </c>
      <c r="R3356" s="268">
        <f t="shared" si="79"/>
        <v>0</v>
      </c>
      <c r="S3356" s="24">
        <v>202303</v>
      </c>
      <c r="T3356" s="127" t="s">
        <v>4312</v>
      </c>
      <c r="U3356" s="97"/>
      <c r="V3356" s="128"/>
      <c r="W3356" s="128"/>
      <c r="X3356" s="106">
        <v>44958</v>
      </c>
      <c r="Y3356" s="106">
        <v>45322</v>
      </c>
    </row>
    <row r="3357" s="9" customFormat="1" customHeight="1" spans="1:25">
      <c r="A3357" s="104" t="s">
        <v>25</v>
      </c>
      <c r="B3357" s="94" t="s">
        <v>4074</v>
      </c>
      <c r="C3357" s="94" t="s">
        <v>110</v>
      </c>
      <c r="D3357" s="94" t="s">
        <v>28</v>
      </c>
      <c r="E3357" s="105" t="s">
        <v>4296</v>
      </c>
      <c r="F3357" s="96" t="s">
        <v>4297</v>
      </c>
      <c r="G3357" s="96" t="s">
        <v>88</v>
      </c>
      <c r="H3357" s="19" t="s">
        <v>4298</v>
      </c>
      <c r="I3357" s="23" t="str">
        <f>VLOOKUP(H3357,'合同综合查询数据（3月返）'!$A:$A,1,FALSE)</f>
        <v>182315IDC00101</v>
      </c>
      <c r="J3357" s="24" t="s">
        <v>126</v>
      </c>
      <c r="K3357" s="96" t="s">
        <v>4299</v>
      </c>
      <c r="L3357" s="114" t="s">
        <v>4300</v>
      </c>
      <c r="M3357" s="26" t="s">
        <v>4301</v>
      </c>
      <c r="N3357" s="106">
        <v>44834</v>
      </c>
      <c r="O3357" s="94" t="s">
        <v>92</v>
      </c>
      <c r="P3357" s="268">
        <v>0</v>
      </c>
      <c r="Q3357" s="273">
        <v>-2</v>
      </c>
      <c r="R3357" s="268">
        <f t="shared" si="79"/>
        <v>0</v>
      </c>
      <c r="S3357" s="24">
        <v>202303</v>
      </c>
      <c r="T3357" s="127" t="s">
        <v>4313</v>
      </c>
      <c r="U3357" s="97"/>
      <c r="V3357" s="128"/>
      <c r="W3357" s="128"/>
      <c r="X3357" s="106">
        <v>44958</v>
      </c>
      <c r="Y3357" s="106">
        <v>45322</v>
      </c>
    </row>
    <row r="3358" s="9" customFormat="1" customHeight="1" spans="1:25">
      <c r="A3358" s="104" t="s">
        <v>25</v>
      </c>
      <c r="B3358" s="94" t="s">
        <v>4074</v>
      </c>
      <c r="C3358" s="94" t="s">
        <v>110</v>
      </c>
      <c r="D3358" s="94" t="s">
        <v>28</v>
      </c>
      <c r="E3358" s="105" t="s">
        <v>4296</v>
      </c>
      <c r="F3358" s="96" t="s">
        <v>4297</v>
      </c>
      <c r="G3358" s="96" t="s">
        <v>88</v>
      </c>
      <c r="H3358" s="19" t="s">
        <v>4298</v>
      </c>
      <c r="I3358" s="23" t="str">
        <f>VLOOKUP(H3358,'合同综合查询数据（3月返）'!$A:$A,1,FALSE)</f>
        <v>182315IDC00101</v>
      </c>
      <c r="J3358" s="24" t="s">
        <v>126</v>
      </c>
      <c r="K3358" s="96" t="s">
        <v>4299</v>
      </c>
      <c r="L3358" s="114" t="s">
        <v>4303</v>
      </c>
      <c r="M3358" s="26" t="s">
        <v>4301</v>
      </c>
      <c r="N3358" s="106">
        <v>44834</v>
      </c>
      <c r="O3358" s="94" t="s">
        <v>92</v>
      </c>
      <c r="P3358" s="268">
        <v>0</v>
      </c>
      <c r="Q3358" s="273">
        <v>-1</v>
      </c>
      <c r="R3358" s="268">
        <f t="shared" si="79"/>
        <v>0</v>
      </c>
      <c r="S3358" s="24">
        <v>202303</v>
      </c>
      <c r="T3358" s="127" t="s">
        <v>4314</v>
      </c>
      <c r="U3358" s="97"/>
      <c r="V3358" s="128"/>
      <c r="W3358" s="128"/>
      <c r="X3358" s="106">
        <v>44958</v>
      </c>
      <c r="Y3358" s="106">
        <v>45322</v>
      </c>
    </row>
    <row r="3359" s="9" customFormat="1" customHeight="1" spans="1:25">
      <c r="A3359" s="96" t="s">
        <v>129</v>
      </c>
      <c r="B3359" s="94" t="s">
        <v>4074</v>
      </c>
      <c r="C3359" s="94" t="s">
        <v>130</v>
      </c>
      <c r="D3359" s="94" t="s">
        <v>4178</v>
      </c>
      <c r="E3359" s="105" t="s">
        <v>4296</v>
      </c>
      <c r="F3359" s="96" t="s">
        <v>4297</v>
      </c>
      <c r="G3359" s="96" t="s">
        <v>31</v>
      </c>
      <c r="H3359" s="19" t="s">
        <v>4315</v>
      </c>
      <c r="I3359" s="23" t="e">
        <f>VLOOKUP(H3359,'合同综合查询数据（3月返）'!$A:$A,1,FALSE)</f>
        <v>#N/A</v>
      </c>
      <c r="J3359" s="24" t="s">
        <v>33</v>
      </c>
      <c r="K3359" s="96" t="s">
        <v>4316</v>
      </c>
      <c r="L3359" s="114" t="s">
        <v>4317</v>
      </c>
      <c r="M3359" s="26" t="s">
        <v>4318</v>
      </c>
      <c r="N3359" s="286">
        <v>44593</v>
      </c>
      <c r="O3359" s="94" t="s">
        <v>37</v>
      </c>
      <c r="P3359" s="268">
        <v>0</v>
      </c>
      <c r="Q3359" s="273">
        <v>640</v>
      </c>
      <c r="R3359" s="268">
        <f t="shared" si="79"/>
        <v>0</v>
      </c>
      <c r="S3359" s="24">
        <v>202303</v>
      </c>
      <c r="T3359" s="127" t="s">
        <v>4319</v>
      </c>
      <c r="U3359" s="97"/>
      <c r="V3359" s="128"/>
      <c r="W3359" s="128"/>
      <c r="X3359" s="106">
        <v>44652</v>
      </c>
      <c r="Y3359" s="106">
        <v>45016</v>
      </c>
    </row>
    <row r="3360" s="9" customFormat="1" customHeight="1" spans="1:25">
      <c r="A3360" s="96" t="s">
        <v>129</v>
      </c>
      <c r="B3360" s="94" t="s">
        <v>4074</v>
      </c>
      <c r="C3360" s="94" t="s">
        <v>130</v>
      </c>
      <c r="D3360" s="94" t="s">
        <v>4178</v>
      </c>
      <c r="E3360" s="105" t="s">
        <v>4296</v>
      </c>
      <c r="F3360" s="96" t="s">
        <v>4297</v>
      </c>
      <c r="G3360" s="96" t="s">
        <v>31</v>
      </c>
      <c r="H3360" s="19" t="s">
        <v>4315</v>
      </c>
      <c r="I3360" s="23" t="e">
        <f>VLOOKUP(H3360,'合同综合查询数据（3月返）'!$A:$A,1,FALSE)</f>
        <v>#N/A</v>
      </c>
      <c r="J3360" s="24" t="s">
        <v>33</v>
      </c>
      <c r="K3360" s="96" t="s">
        <v>4316</v>
      </c>
      <c r="L3360" s="114" t="s">
        <v>4317</v>
      </c>
      <c r="M3360" s="26" t="s">
        <v>4318</v>
      </c>
      <c r="N3360" s="106"/>
      <c r="O3360" s="94" t="s">
        <v>152</v>
      </c>
      <c r="P3360" s="268">
        <v>0</v>
      </c>
      <c r="Q3360" s="268">
        <v>0</v>
      </c>
      <c r="R3360" s="268">
        <f t="shared" si="79"/>
        <v>0</v>
      </c>
      <c r="S3360" s="24">
        <v>202303</v>
      </c>
      <c r="T3360" s="127" t="s">
        <v>4320</v>
      </c>
      <c r="U3360" s="97"/>
      <c r="V3360" s="128"/>
      <c r="W3360" s="128"/>
      <c r="X3360" s="106">
        <v>44652</v>
      </c>
      <c r="Y3360" s="106">
        <v>45016</v>
      </c>
    </row>
    <row r="3361" s="9" customFormat="1" customHeight="1" spans="1:25">
      <c r="A3361" s="96" t="s">
        <v>129</v>
      </c>
      <c r="B3361" s="94" t="s">
        <v>4074</v>
      </c>
      <c r="C3361" s="94" t="s">
        <v>130</v>
      </c>
      <c r="D3361" s="94" t="s">
        <v>4178</v>
      </c>
      <c r="E3361" s="105" t="s">
        <v>4296</v>
      </c>
      <c r="F3361" s="96" t="s">
        <v>4297</v>
      </c>
      <c r="G3361" s="96" t="s">
        <v>88</v>
      </c>
      <c r="H3361" s="19" t="s">
        <v>4315</v>
      </c>
      <c r="I3361" s="23" t="e">
        <f>VLOOKUP(H3361,'合同综合查询数据（3月返）'!$A:$A,1,FALSE)</f>
        <v>#N/A</v>
      </c>
      <c r="J3361" s="24" t="s">
        <v>126</v>
      </c>
      <c r="K3361" s="96" t="s">
        <v>4316</v>
      </c>
      <c r="L3361" s="114" t="s">
        <v>4317</v>
      </c>
      <c r="M3361" s="26" t="s">
        <v>4318</v>
      </c>
      <c r="N3361" s="286">
        <v>44593</v>
      </c>
      <c r="O3361" s="94" t="s">
        <v>92</v>
      </c>
      <c r="P3361" s="268">
        <v>4200</v>
      </c>
      <c r="Q3361" s="273">
        <v>8</v>
      </c>
      <c r="R3361" s="268">
        <f t="shared" si="79"/>
        <v>33600</v>
      </c>
      <c r="S3361" s="24">
        <v>202303</v>
      </c>
      <c r="T3361" s="127" t="s">
        <v>4321</v>
      </c>
      <c r="U3361" s="97"/>
      <c r="V3361" s="128"/>
      <c r="W3361" s="128"/>
      <c r="X3361" s="106">
        <v>44652</v>
      </c>
      <c r="Y3361" s="106">
        <v>45016</v>
      </c>
    </row>
    <row r="3362" s="9" customFormat="1" customHeight="1" spans="1:25">
      <c r="A3362" s="96" t="s">
        <v>129</v>
      </c>
      <c r="B3362" s="94" t="s">
        <v>4074</v>
      </c>
      <c r="C3362" s="94" t="s">
        <v>130</v>
      </c>
      <c r="D3362" s="94" t="s">
        <v>4178</v>
      </c>
      <c r="E3362" s="105" t="s">
        <v>4296</v>
      </c>
      <c r="F3362" s="96" t="s">
        <v>4297</v>
      </c>
      <c r="G3362" s="96" t="s">
        <v>88</v>
      </c>
      <c r="H3362" s="19" t="s">
        <v>4315</v>
      </c>
      <c r="I3362" s="23" t="e">
        <f>VLOOKUP(H3362,'合同综合查询数据（3月返）'!$A:$A,1,FALSE)</f>
        <v>#N/A</v>
      </c>
      <c r="J3362" s="24" t="s">
        <v>126</v>
      </c>
      <c r="K3362" s="96" t="s">
        <v>4316</v>
      </c>
      <c r="L3362" s="114" t="s">
        <v>4322</v>
      </c>
      <c r="M3362" s="26" t="s">
        <v>4318</v>
      </c>
      <c r="N3362" s="286">
        <v>44865</v>
      </c>
      <c r="O3362" s="94" t="s">
        <v>92</v>
      </c>
      <c r="P3362" s="268">
        <v>4200</v>
      </c>
      <c r="Q3362" s="273">
        <v>-4</v>
      </c>
      <c r="R3362" s="268">
        <f t="shared" si="79"/>
        <v>-16800</v>
      </c>
      <c r="S3362" s="24">
        <v>202303</v>
      </c>
      <c r="T3362" s="127" t="s">
        <v>4323</v>
      </c>
      <c r="U3362" s="97"/>
      <c r="V3362" s="128"/>
      <c r="W3362" s="128"/>
      <c r="X3362" s="106">
        <v>44652</v>
      </c>
      <c r="Y3362" s="106">
        <v>45016</v>
      </c>
    </row>
    <row r="3363" s="9" customFormat="1" customHeight="1" spans="1:25">
      <c r="A3363" s="96" t="s">
        <v>129</v>
      </c>
      <c r="B3363" s="94" t="s">
        <v>4074</v>
      </c>
      <c r="C3363" s="94" t="s">
        <v>130</v>
      </c>
      <c r="D3363" s="94" t="s">
        <v>4178</v>
      </c>
      <c r="E3363" s="105" t="s">
        <v>4296</v>
      </c>
      <c r="F3363" s="96" t="s">
        <v>4297</v>
      </c>
      <c r="G3363" s="96" t="s">
        <v>88</v>
      </c>
      <c r="H3363" s="19" t="s">
        <v>4315</v>
      </c>
      <c r="I3363" s="23" t="e">
        <f>VLOOKUP(H3363,'合同综合查询数据（3月返）'!$A:$A,1,FALSE)</f>
        <v>#N/A</v>
      </c>
      <c r="J3363" s="24" t="s">
        <v>126</v>
      </c>
      <c r="K3363" s="96" t="s">
        <v>4316</v>
      </c>
      <c r="L3363" s="114" t="s">
        <v>4322</v>
      </c>
      <c r="M3363" s="26" t="s">
        <v>4318</v>
      </c>
      <c r="N3363" s="286">
        <v>44895</v>
      </c>
      <c r="O3363" s="94" t="s">
        <v>92</v>
      </c>
      <c r="P3363" s="268">
        <v>4200</v>
      </c>
      <c r="Q3363" s="273">
        <v>-4</v>
      </c>
      <c r="R3363" s="268">
        <f t="shared" si="79"/>
        <v>-16800</v>
      </c>
      <c r="S3363" s="24">
        <v>202303</v>
      </c>
      <c r="T3363" s="127" t="s">
        <v>4324</v>
      </c>
      <c r="U3363" s="97"/>
      <c r="V3363" s="128"/>
      <c r="W3363" s="128"/>
      <c r="X3363" s="106">
        <v>44652</v>
      </c>
      <c r="Y3363" s="106">
        <v>45016</v>
      </c>
    </row>
    <row r="3364" s="9" customFormat="1" customHeight="1" spans="1:25">
      <c r="A3364" s="96" t="s">
        <v>129</v>
      </c>
      <c r="B3364" s="94" t="s">
        <v>4074</v>
      </c>
      <c r="C3364" s="94" t="s">
        <v>130</v>
      </c>
      <c r="D3364" s="94" t="s">
        <v>4178</v>
      </c>
      <c r="E3364" s="105" t="s">
        <v>4296</v>
      </c>
      <c r="F3364" s="96" t="s">
        <v>4297</v>
      </c>
      <c r="G3364" s="96" t="s">
        <v>31</v>
      </c>
      <c r="H3364" s="19" t="s">
        <v>4325</v>
      </c>
      <c r="I3364" s="23" t="e">
        <f>VLOOKUP(H3364,'合同综合查询数据（3月返）'!$A:$A,1,FALSE)</f>
        <v>#N/A</v>
      </c>
      <c r="J3364" s="24" t="s">
        <v>33</v>
      </c>
      <c r="K3364" s="96" t="s">
        <v>199</v>
      </c>
      <c r="L3364" s="114" t="s">
        <v>4326</v>
      </c>
      <c r="M3364" s="26" t="s">
        <v>4327</v>
      </c>
      <c r="N3364" s="286">
        <v>44866</v>
      </c>
      <c r="O3364" s="94" t="s">
        <v>37</v>
      </c>
      <c r="P3364" s="268">
        <v>0</v>
      </c>
      <c r="Q3364" s="273">
        <v>288</v>
      </c>
      <c r="R3364" s="268">
        <f t="shared" si="79"/>
        <v>0</v>
      </c>
      <c r="S3364" s="24">
        <v>202303</v>
      </c>
      <c r="T3364" s="127" t="s">
        <v>4328</v>
      </c>
      <c r="U3364" s="97"/>
      <c r="V3364" s="128"/>
      <c r="W3364" s="128"/>
      <c r="X3364" s="106">
        <v>44866</v>
      </c>
      <c r="Y3364" s="106">
        <v>45230</v>
      </c>
    </row>
    <row r="3365" s="9" customFormat="1" customHeight="1" spans="1:25">
      <c r="A3365" s="96" t="s">
        <v>129</v>
      </c>
      <c r="B3365" s="94" t="s">
        <v>4074</v>
      </c>
      <c r="C3365" s="94" t="s">
        <v>130</v>
      </c>
      <c r="D3365" s="94" t="s">
        <v>4178</v>
      </c>
      <c r="E3365" s="105" t="s">
        <v>4296</v>
      </c>
      <c r="F3365" s="96" t="s">
        <v>4297</v>
      </c>
      <c r="G3365" s="96" t="s">
        <v>31</v>
      </c>
      <c r="H3365" s="19" t="s">
        <v>4325</v>
      </c>
      <c r="I3365" s="23" t="e">
        <f>VLOOKUP(H3365,'合同综合查询数据（3月返）'!$A:$A,1,FALSE)</f>
        <v>#N/A</v>
      </c>
      <c r="J3365" s="24" t="s">
        <v>33</v>
      </c>
      <c r="K3365" s="96" t="s">
        <v>199</v>
      </c>
      <c r="L3365" s="114" t="s">
        <v>4326</v>
      </c>
      <c r="M3365" s="26" t="s">
        <v>4327</v>
      </c>
      <c r="N3365" s="286">
        <v>44926</v>
      </c>
      <c r="O3365" s="94" t="s">
        <v>37</v>
      </c>
      <c r="P3365" s="268">
        <v>0</v>
      </c>
      <c r="Q3365" s="273">
        <v>-288</v>
      </c>
      <c r="R3365" s="268">
        <f t="shared" si="79"/>
        <v>0</v>
      </c>
      <c r="S3365" s="24">
        <v>202303</v>
      </c>
      <c r="T3365" s="127" t="s">
        <v>4329</v>
      </c>
      <c r="U3365" s="97"/>
      <c r="V3365" s="128"/>
      <c r="W3365" s="128"/>
      <c r="X3365" s="106">
        <v>44866</v>
      </c>
      <c r="Y3365" s="106">
        <v>45230</v>
      </c>
    </row>
    <row r="3366" s="9" customFormat="1" customHeight="1" spans="1:25">
      <c r="A3366" s="96" t="s">
        <v>129</v>
      </c>
      <c r="B3366" s="94" t="s">
        <v>4074</v>
      </c>
      <c r="C3366" s="94" t="s">
        <v>130</v>
      </c>
      <c r="D3366" s="94" t="s">
        <v>4178</v>
      </c>
      <c r="E3366" s="105" t="s">
        <v>4296</v>
      </c>
      <c r="F3366" s="96" t="s">
        <v>4297</v>
      </c>
      <c r="G3366" s="96" t="s">
        <v>88</v>
      </c>
      <c r="H3366" s="19" t="s">
        <v>4325</v>
      </c>
      <c r="I3366" s="23" t="e">
        <f>VLOOKUP(H3366,'合同综合查询数据（3月返）'!$A:$A,1,FALSE)</f>
        <v>#N/A</v>
      </c>
      <c r="J3366" s="24" t="s">
        <v>126</v>
      </c>
      <c r="K3366" s="96" t="s">
        <v>199</v>
      </c>
      <c r="L3366" s="114" t="s">
        <v>4326</v>
      </c>
      <c r="M3366" s="26" t="s">
        <v>4327</v>
      </c>
      <c r="N3366" s="286">
        <v>44866</v>
      </c>
      <c r="O3366" s="94" t="s">
        <v>92</v>
      </c>
      <c r="P3366" s="268">
        <v>4200</v>
      </c>
      <c r="Q3366" s="273">
        <v>5</v>
      </c>
      <c r="R3366" s="268">
        <f t="shared" si="79"/>
        <v>21000</v>
      </c>
      <c r="S3366" s="24">
        <v>202303</v>
      </c>
      <c r="T3366" s="127" t="s">
        <v>4330</v>
      </c>
      <c r="U3366" s="97"/>
      <c r="V3366" s="128"/>
      <c r="W3366" s="128"/>
      <c r="X3366" s="106">
        <v>44866</v>
      </c>
      <c r="Y3366" s="106">
        <v>45230</v>
      </c>
    </row>
    <row r="3367" s="9" customFormat="1" customHeight="1" spans="1:25">
      <c r="A3367" s="96" t="s">
        <v>129</v>
      </c>
      <c r="B3367" s="94" t="s">
        <v>4074</v>
      </c>
      <c r="C3367" s="94" t="s">
        <v>130</v>
      </c>
      <c r="D3367" s="94" t="s">
        <v>4178</v>
      </c>
      <c r="E3367" s="105" t="s">
        <v>4296</v>
      </c>
      <c r="F3367" s="96" t="s">
        <v>4297</v>
      </c>
      <c r="G3367" s="96" t="s">
        <v>88</v>
      </c>
      <c r="H3367" s="19" t="s">
        <v>4325</v>
      </c>
      <c r="I3367" s="23" t="e">
        <f>VLOOKUP(H3367,'合同综合查询数据（3月返）'!$A:$A,1,FALSE)</f>
        <v>#N/A</v>
      </c>
      <c r="J3367" s="24" t="s">
        <v>126</v>
      </c>
      <c r="K3367" s="96" t="s">
        <v>199</v>
      </c>
      <c r="L3367" s="114" t="s">
        <v>4326</v>
      </c>
      <c r="M3367" s="26" t="s">
        <v>4327</v>
      </c>
      <c r="N3367" s="286">
        <v>44926</v>
      </c>
      <c r="O3367" s="94" t="s">
        <v>92</v>
      </c>
      <c r="P3367" s="268">
        <v>4200</v>
      </c>
      <c r="Q3367" s="273">
        <v>-5</v>
      </c>
      <c r="R3367" s="268">
        <f t="shared" si="79"/>
        <v>-21000</v>
      </c>
      <c r="S3367" s="24">
        <v>202303</v>
      </c>
      <c r="T3367" s="127" t="s">
        <v>4331</v>
      </c>
      <c r="U3367" s="97"/>
      <c r="V3367" s="128"/>
      <c r="W3367" s="128"/>
      <c r="X3367" s="106">
        <v>44866</v>
      </c>
      <c r="Y3367" s="106">
        <v>45230</v>
      </c>
    </row>
    <row r="3368" s="9" customFormat="1" customHeight="1" spans="1:25">
      <c r="A3368" s="96" t="s">
        <v>129</v>
      </c>
      <c r="B3368" s="94" t="s">
        <v>4074</v>
      </c>
      <c r="C3368" s="94" t="s">
        <v>130</v>
      </c>
      <c r="D3368" s="94" t="s">
        <v>4178</v>
      </c>
      <c r="E3368" s="105" t="s">
        <v>4296</v>
      </c>
      <c r="F3368" s="96" t="s">
        <v>4297</v>
      </c>
      <c r="G3368" s="96" t="s">
        <v>31</v>
      </c>
      <c r="H3368" s="19" t="s">
        <v>4325</v>
      </c>
      <c r="I3368" s="23" t="e">
        <f>VLOOKUP(H3368,'合同综合查询数据（3月返）'!$A:$A,1,FALSE)</f>
        <v>#N/A</v>
      </c>
      <c r="J3368" s="24" t="s">
        <v>33</v>
      </c>
      <c r="K3368" s="96" t="s">
        <v>199</v>
      </c>
      <c r="L3368" s="114" t="s">
        <v>4332</v>
      </c>
      <c r="M3368" s="26" t="s">
        <v>4327</v>
      </c>
      <c r="N3368" s="286">
        <v>44896</v>
      </c>
      <c r="O3368" s="94" t="s">
        <v>37</v>
      </c>
      <c r="P3368" s="268">
        <v>0</v>
      </c>
      <c r="Q3368" s="273">
        <v>288</v>
      </c>
      <c r="R3368" s="268">
        <f t="shared" si="79"/>
        <v>0</v>
      </c>
      <c r="S3368" s="24">
        <v>202303</v>
      </c>
      <c r="T3368" s="127" t="s">
        <v>4333</v>
      </c>
      <c r="U3368" s="97"/>
      <c r="V3368" s="128"/>
      <c r="W3368" s="128"/>
      <c r="X3368" s="106">
        <v>44866</v>
      </c>
      <c r="Y3368" s="106">
        <v>45230</v>
      </c>
    </row>
    <row r="3369" s="9" customFormat="1" customHeight="1" spans="1:25">
      <c r="A3369" s="96" t="s">
        <v>129</v>
      </c>
      <c r="B3369" s="94" t="s">
        <v>4074</v>
      </c>
      <c r="C3369" s="94" t="s">
        <v>130</v>
      </c>
      <c r="D3369" s="94" t="s">
        <v>4178</v>
      </c>
      <c r="E3369" s="105" t="s">
        <v>4296</v>
      </c>
      <c r="F3369" s="96" t="s">
        <v>4297</v>
      </c>
      <c r="G3369" s="96" t="s">
        <v>31</v>
      </c>
      <c r="H3369" s="19" t="s">
        <v>4325</v>
      </c>
      <c r="I3369" s="23" t="e">
        <f>VLOOKUP(H3369,'合同综合查询数据（3月返）'!$A:$A,1,FALSE)</f>
        <v>#N/A</v>
      </c>
      <c r="J3369" s="24" t="s">
        <v>33</v>
      </c>
      <c r="K3369" s="96" t="s">
        <v>199</v>
      </c>
      <c r="L3369" s="114" t="s">
        <v>4332</v>
      </c>
      <c r="M3369" s="26" t="s">
        <v>4327</v>
      </c>
      <c r="N3369" s="286">
        <v>44936</v>
      </c>
      <c r="O3369" s="94" t="s">
        <v>37</v>
      </c>
      <c r="P3369" s="268">
        <v>0</v>
      </c>
      <c r="Q3369" s="273">
        <v>-288</v>
      </c>
      <c r="R3369" s="268">
        <f t="shared" si="79"/>
        <v>0</v>
      </c>
      <c r="S3369" s="24">
        <v>202303</v>
      </c>
      <c r="T3369" s="127" t="s">
        <v>4334</v>
      </c>
      <c r="U3369" s="97"/>
      <c r="V3369" s="128"/>
      <c r="W3369" s="128"/>
      <c r="X3369" s="106">
        <v>44866</v>
      </c>
      <c r="Y3369" s="106">
        <v>45230</v>
      </c>
    </row>
    <row r="3370" s="9" customFormat="1" customHeight="1" spans="1:25">
      <c r="A3370" s="96" t="s">
        <v>129</v>
      </c>
      <c r="B3370" s="94" t="s">
        <v>4074</v>
      </c>
      <c r="C3370" s="94" t="s">
        <v>130</v>
      </c>
      <c r="D3370" s="94" t="s">
        <v>4178</v>
      </c>
      <c r="E3370" s="105" t="s">
        <v>4296</v>
      </c>
      <c r="F3370" s="96" t="s">
        <v>4297</v>
      </c>
      <c r="G3370" s="96" t="s">
        <v>31</v>
      </c>
      <c r="H3370" s="19" t="s">
        <v>4325</v>
      </c>
      <c r="I3370" s="23" t="e">
        <f>VLOOKUP(H3370,'合同综合查询数据（3月返）'!$A:$A,1,FALSE)</f>
        <v>#N/A</v>
      </c>
      <c r="J3370" s="24" t="s">
        <v>33</v>
      </c>
      <c r="K3370" s="96" t="s">
        <v>199</v>
      </c>
      <c r="L3370" s="114" t="s">
        <v>4332</v>
      </c>
      <c r="M3370" s="26" t="s">
        <v>4327</v>
      </c>
      <c r="N3370" s="286">
        <v>44927</v>
      </c>
      <c r="O3370" s="94" t="s">
        <v>37</v>
      </c>
      <c r="P3370" s="268">
        <v>0</v>
      </c>
      <c r="Q3370" s="273">
        <v>288</v>
      </c>
      <c r="R3370" s="268">
        <f t="shared" si="79"/>
        <v>0</v>
      </c>
      <c r="S3370" s="24">
        <v>202303</v>
      </c>
      <c r="T3370" s="127" t="s">
        <v>4335</v>
      </c>
      <c r="U3370" s="97"/>
      <c r="V3370" s="128"/>
      <c r="W3370" s="128"/>
      <c r="X3370" s="106">
        <v>44866</v>
      </c>
      <c r="Y3370" s="106">
        <v>45230</v>
      </c>
    </row>
    <row r="3371" s="9" customFormat="1" customHeight="1" spans="1:25">
      <c r="A3371" s="96" t="s">
        <v>129</v>
      </c>
      <c r="B3371" s="94" t="s">
        <v>4074</v>
      </c>
      <c r="C3371" s="94" t="s">
        <v>130</v>
      </c>
      <c r="D3371" s="94" t="s">
        <v>4178</v>
      </c>
      <c r="E3371" s="105" t="s">
        <v>4296</v>
      </c>
      <c r="F3371" s="96" t="s">
        <v>4297</v>
      </c>
      <c r="G3371" s="96" t="s">
        <v>31</v>
      </c>
      <c r="H3371" s="19" t="s">
        <v>4325</v>
      </c>
      <c r="I3371" s="23" t="e">
        <f>VLOOKUP(H3371,'合同综合查询数据（3月返）'!$A:$A,1,FALSE)</f>
        <v>#N/A</v>
      </c>
      <c r="J3371" s="24" t="s">
        <v>33</v>
      </c>
      <c r="K3371" s="96" t="s">
        <v>199</v>
      </c>
      <c r="L3371" s="114" t="s">
        <v>4336</v>
      </c>
      <c r="M3371" s="26" t="s">
        <v>4327</v>
      </c>
      <c r="N3371" s="286"/>
      <c r="O3371" s="94" t="s">
        <v>152</v>
      </c>
      <c r="P3371" s="268">
        <v>0</v>
      </c>
      <c r="Q3371" s="273">
        <v>0</v>
      </c>
      <c r="R3371" s="268">
        <f t="shared" si="79"/>
        <v>0</v>
      </c>
      <c r="S3371" s="24">
        <v>202303</v>
      </c>
      <c r="T3371" s="127" t="s">
        <v>4337</v>
      </c>
      <c r="U3371" s="97"/>
      <c r="V3371" s="128"/>
      <c r="W3371" s="128"/>
      <c r="X3371" s="106">
        <v>44866</v>
      </c>
      <c r="Y3371" s="106">
        <v>45230</v>
      </c>
    </row>
    <row r="3372" s="9" customFormat="1" customHeight="1" spans="1:25">
      <c r="A3372" s="96" t="s">
        <v>129</v>
      </c>
      <c r="B3372" s="94" t="s">
        <v>4074</v>
      </c>
      <c r="C3372" s="94" t="s">
        <v>130</v>
      </c>
      <c r="D3372" s="94" t="s">
        <v>4178</v>
      </c>
      <c r="E3372" s="105" t="s">
        <v>4296</v>
      </c>
      <c r="F3372" s="96" t="s">
        <v>4297</v>
      </c>
      <c r="G3372" s="96" t="s">
        <v>88</v>
      </c>
      <c r="H3372" s="19" t="s">
        <v>4325</v>
      </c>
      <c r="I3372" s="23" t="e">
        <f>VLOOKUP(H3372,'合同综合查询数据（3月返）'!$A:$A,1,FALSE)</f>
        <v>#N/A</v>
      </c>
      <c r="J3372" s="24" t="s">
        <v>126</v>
      </c>
      <c r="K3372" s="96" t="s">
        <v>199</v>
      </c>
      <c r="L3372" s="114" t="s">
        <v>4332</v>
      </c>
      <c r="M3372" s="26" t="s">
        <v>4327</v>
      </c>
      <c r="N3372" s="286">
        <v>44896</v>
      </c>
      <c r="O3372" s="94" t="s">
        <v>92</v>
      </c>
      <c r="P3372" s="268">
        <v>4200</v>
      </c>
      <c r="Q3372" s="273">
        <v>5</v>
      </c>
      <c r="R3372" s="268">
        <f t="shared" si="79"/>
        <v>21000</v>
      </c>
      <c r="S3372" s="24">
        <v>202303</v>
      </c>
      <c r="T3372" s="127" t="s">
        <v>4338</v>
      </c>
      <c r="U3372" s="97"/>
      <c r="V3372" s="128"/>
      <c r="W3372" s="128"/>
      <c r="X3372" s="106">
        <v>44866</v>
      </c>
      <c r="Y3372" s="106">
        <v>45230</v>
      </c>
    </row>
    <row r="3373" s="9" customFormat="1" customHeight="1" spans="1:25">
      <c r="A3373" s="96" t="s">
        <v>129</v>
      </c>
      <c r="B3373" s="94" t="s">
        <v>4074</v>
      </c>
      <c r="C3373" s="94" t="s">
        <v>130</v>
      </c>
      <c r="D3373" s="94" t="s">
        <v>4178</v>
      </c>
      <c r="E3373" s="105" t="s">
        <v>4296</v>
      </c>
      <c r="F3373" s="96" t="s">
        <v>4297</v>
      </c>
      <c r="G3373" s="96" t="s">
        <v>88</v>
      </c>
      <c r="H3373" s="19" t="s">
        <v>4325</v>
      </c>
      <c r="I3373" s="23" t="e">
        <f>VLOOKUP(H3373,'合同综合查询数据（3月返）'!$A:$A,1,FALSE)</f>
        <v>#N/A</v>
      </c>
      <c r="J3373" s="24" t="s">
        <v>126</v>
      </c>
      <c r="K3373" s="96" t="s">
        <v>199</v>
      </c>
      <c r="L3373" s="114" t="s">
        <v>4332</v>
      </c>
      <c r="M3373" s="26" t="s">
        <v>4327</v>
      </c>
      <c r="N3373" s="286">
        <v>44926</v>
      </c>
      <c r="O3373" s="94" t="s">
        <v>92</v>
      </c>
      <c r="P3373" s="268">
        <v>4200</v>
      </c>
      <c r="Q3373" s="273">
        <v>-2</v>
      </c>
      <c r="R3373" s="268">
        <f t="shared" si="79"/>
        <v>-8400</v>
      </c>
      <c r="S3373" s="24">
        <v>202303</v>
      </c>
      <c r="T3373" s="127" t="s">
        <v>4339</v>
      </c>
      <c r="U3373" s="97"/>
      <c r="V3373" s="128"/>
      <c r="W3373" s="128"/>
      <c r="X3373" s="106">
        <v>44866</v>
      </c>
      <c r="Y3373" s="106">
        <v>45230</v>
      </c>
    </row>
    <row r="3374" s="9" customFormat="1" customHeight="1" spans="1:25">
      <c r="A3374" s="96" t="s">
        <v>129</v>
      </c>
      <c r="B3374" s="94" t="s">
        <v>4074</v>
      </c>
      <c r="C3374" s="94" t="s">
        <v>130</v>
      </c>
      <c r="D3374" s="94" t="s">
        <v>4178</v>
      </c>
      <c r="E3374" s="105" t="s">
        <v>4296</v>
      </c>
      <c r="F3374" s="96" t="s">
        <v>4297</v>
      </c>
      <c r="G3374" s="96" t="s">
        <v>88</v>
      </c>
      <c r="H3374" s="19" t="s">
        <v>4325</v>
      </c>
      <c r="I3374" s="23" t="e">
        <f>VLOOKUP(H3374,'合同综合查询数据（3月返）'!$A:$A,1,FALSE)</f>
        <v>#N/A</v>
      </c>
      <c r="J3374" s="24" t="s">
        <v>126</v>
      </c>
      <c r="K3374" s="96" t="s">
        <v>199</v>
      </c>
      <c r="L3374" s="114" t="s">
        <v>4332</v>
      </c>
      <c r="M3374" s="26" t="s">
        <v>4327</v>
      </c>
      <c r="N3374" s="286">
        <v>44936</v>
      </c>
      <c r="O3374" s="94" t="s">
        <v>92</v>
      </c>
      <c r="P3374" s="268">
        <v>4200</v>
      </c>
      <c r="Q3374" s="273">
        <v>-3</v>
      </c>
      <c r="R3374" s="268">
        <f t="shared" si="79"/>
        <v>-12600</v>
      </c>
      <c r="S3374" s="24">
        <v>202303</v>
      </c>
      <c r="T3374" s="127" t="s">
        <v>4340</v>
      </c>
      <c r="U3374" s="97"/>
      <c r="V3374" s="128"/>
      <c r="W3374" s="128"/>
      <c r="X3374" s="106">
        <v>44866</v>
      </c>
      <c r="Y3374" s="106">
        <v>45230</v>
      </c>
    </row>
    <row r="3375" s="9" customFormat="1" customHeight="1" spans="1:25">
      <c r="A3375" s="96" t="s">
        <v>129</v>
      </c>
      <c r="B3375" s="94" t="s">
        <v>4074</v>
      </c>
      <c r="C3375" s="94" t="s">
        <v>130</v>
      </c>
      <c r="D3375" s="94" t="s">
        <v>4178</v>
      </c>
      <c r="E3375" s="105" t="s">
        <v>4296</v>
      </c>
      <c r="F3375" s="96" t="s">
        <v>4297</v>
      </c>
      <c r="G3375" s="96" t="s">
        <v>88</v>
      </c>
      <c r="H3375" s="19" t="s">
        <v>4325</v>
      </c>
      <c r="I3375" s="23" t="e">
        <f>VLOOKUP(H3375,'合同综合查询数据（3月返）'!$A:$A,1,FALSE)</f>
        <v>#N/A</v>
      </c>
      <c r="J3375" s="24" t="s">
        <v>126</v>
      </c>
      <c r="K3375" s="96" t="s">
        <v>199</v>
      </c>
      <c r="L3375" s="114" t="s">
        <v>4332</v>
      </c>
      <c r="M3375" s="26" t="s">
        <v>4327</v>
      </c>
      <c r="N3375" s="286">
        <v>44927</v>
      </c>
      <c r="O3375" s="94" t="s">
        <v>92</v>
      </c>
      <c r="P3375" s="268">
        <v>4200</v>
      </c>
      <c r="Q3375" s="273">
        <v>14</v>
      </c>
      <c r="R3375" s="268">
        <f t="shared" si="79"/>
        <v>58800</v>
      </c>
      <c r="S3375" s="24">
        <v>202303</v>
      </c>
      <c r="T3375" s="127" t="s">
        <v>4341</v>
      </c>
      <c r="U3375" s="97"/>
      <c r="V3375" s="128"/>
      <c r="W3375" s="128"/>
      <c r="X3375" s="106">
        <v>44866</v>
      </c>
      <c r="Y3375" s="106">
        <v>45230</v>
      </c>
    </row>
    <row r="3376" s="9" customFormat="1" customHeight="1" spans="1:25">
      <c r="A3376" s="96" t="s">
        <v>129</v>
      </c>
      <c r="B3376" s="94" t="s">
        <v>4074</v>
      </c>
      <c r="C3376" s="94" t="s">
        <v>2828</v>
      </c>
      <c r="D3376" s="94" t="s">
        <v>4178</v>
      </c>
      <c r="E3376" s="105" t="s">
        <v>4342</v>
      </c>
      <c r="F3376" s="96" t="s">
        <v>4343</v>
      </c>
      <c r="G3376" s="96" t="s">
        <v>31</v>
      </c>
      <c r="H3376" s="19" t="s">
        <v>4344</v>
      </c>
      <c r="I3376" s="23" t="e">
        <f>VLOOKUP(H3376,'合同综合查询数据（3月返）'!$A:$A,1,FALSE)</f>
        <v>#N/A</v>
      </c>
      <c r="J3376" s="24" t="s">
        <v>33</v>
      </c>
      <c r="K3376" s="96" t="s">
        <v>2971</v>
      </c>
      <c r="L3376" s="114" t="s">
        <v>4345</v>
      </c>
      <c r="M3376" s="26" t="s">
        <v>4346</v>
      </c>
      <c r="N3376" s="106">
        <v>44013</v>
      </c>
      <c r="O3376" s="94" t="s">
        <v>37</v>
      </c>
      <c r="P3376" s="268">
        <v>0</v>
      </c>
      <c r="Q3376" s="273">
        <v>320</v>
      </c>
      <c r="R3376" s="268">
        <f t="shared" si="79"/>
        <v>0</v>
      </c>
      <c r="S3376" s="24">
        <v>202303</v>
      </c>
      <c r="T3376" s="127" t="s">
        <v>4347</v>
      </c>
      <c r="U3376" s="97"/>
      <c r="V3376" s="128"/>
      <c r="W3376" s="97"/>
      <c r="X3376" s="106">
        <v>44378</v>
      </c>
      <c r="Y3376" s="106">
        <v>44742</v>
      </c>
    </row>
    <row r="3377" s="9" customFormat="1" customHeight="1" spans="1:25">
      <c r="A3377" s="96" t="s">
        <v>129</v>
      </c>
      <c r="B3377" s="94" t="s">
        <v>4074</v>
      </c>
      <c r="C3377" s="94" t="s">
        <v>2828</v>
      </c>
      <c r="D3377" s="94" t="s">
        <v>4178</v>
      </c>
      <c r="E3377" s="105" t="s">
        <v>4342</v>
      </c>
      <c r="F3377" s="96" t="s">
        <v>4343</v>
      </c>
      <c r="G3377" s="96" t="s">
        <v>31</v>
      </c>
      <c r="H3377" s="19" t="s">
        <v>4344</v>
      </c>
      <c r="I3377" s="23" t="e">
        <f>VLOOKUP(H3377,'合同综合查询数据（3月返）'!$A:$A,1,FALSE)</f>
        <v>#N/A</v>
      </c>
      <c r="J3377" s="24" t="s">
        <v>33</v>
      </c>
      <c r="K3377" s="96" t="s">
        <v>2971</v>
      </c>
      <c r="L3377" s="114" t="s">
        <v>4345</v>
      </c>
      <c r="M3377" s="26" t="s">
        <v>4346</v>
      </c>
      <c r="N3377" s="106"/>
      <c r="O3377" s="94" t="s">
        <v>152</v>
      </c>
      <c r="P3377" s="268">
        <v>0</v>
      </c>
      <c r="Q3377" s="273">
        <v>0</v>
      </c>
      <c r="R3377" s="268">
        <f t="shared" si="79"/>
        <v>0</v>
      </c>
      <c r="S3377" s="24">
        <v>202303</v>
      </c>
      <c r="T3377" s="127" t="s">
        <v>4348</v>
      </c>
      <c r="U3377" s="97"/>
      <c r="V3377" s="128"/>
      <c r="W3377" s="97"/>
      <c r="X3377" s="106">
        <v>44378</v>
      </c>
      <c r="Y3377" s="106">
        <v>44742</v>
      </c>
    </row>
    <row r="3378" s="9" customFormat="1" customHeight="1" spans="1:25">
      <c r="A3378" s="96" t="s">
        <v>129</v>
      </c>
      <c r="B3378" s="94" t="s">
        <v>4074</v>
      </c>
      <c r="C3378" s="94" t="s">
        <v>2828</v>
      </c>
      <c r="D3378" s="94" t="s">
        <v>4178</v>
      </c>
      <c r="E3378" s="105" t="s">
        <v>4342</v>
      </c>
      <c r="F3378" s="96" t="s">
        <v>4343</v>
      </c>
      <c r="G3378" s="96" t="s">
        <v>88</v>
      </c>
      <c r="H3378" s="19" t="s">
        <v>4344</v>
      </c>
      <c r="I3378" s="23" t="e">
        <f>VLOOKUP(H3378,'合同综合查询数据（3月返）'!$A:$A,1,FALSE)</f>
        <v>#N/A</v>
      </c>
      <c r="J3378" s="24" t="s">
        <v>126</v>
      </c>
      <c r="K3378" s="96" t="s">
        <v>2971</v>
      </c>
      <c r="L3378" s="114" t="s">
        <v>4345</v>
      </c>
      <c r="M3378" s="26" t="s">
        <v>4346</v>
      </c>
      <c r="N3378" s="106">
        <v>44013</v>
      </c>
      <c r="O3378" s="94" t="s">
        <v>624</v>
      </c>
      <c r="P3378" s="268">
        <v>0</v>
      </c>
      <c r="Q3378" s="273">
        <v>5</v>
      </c>
      <c r="R3378" s="268">
        <f t="shared" si="79"/>
        <v>0</v>
      </c>
      <c r="S3378" s="24">
        <v>202303</v>
      </c>
      <c r="T3378" s="127" t="s">
        <v>4349</v>
      </c>
      <c r="U3378" s="97"/>
      <c r="V3378" s="128"/>
      <c r="W3378" s="97"/>
      <c r="X3378" s="106">
        <v>44378</v>
      </c>
      <c r="Y3378" s="106">
        <v>44742</v>
      </c>
    </row>
    <row r="3379" s="9" customFormat="1" customHeight="1" spans="1:25">
      <c r="A3379" s="96" t="s">
        <v>129</v>
      </c>
      <c r="B3379" s="94" t="s">
        <v>4074</v>
      </c>
      <c r="C3379" s="94" t="s">
        <v>2828</v>
      </c>
      <c r="D3379" s="94" t="s">
        <v>4178</v>
      </c>
      <c r="E3379" s="105" t="s">
        <v>4342</v>
      </c>
      <c r="F3379" s="96" t="s">
        <v>4343</v>
      </c>
      <c r="G3379" s="96" t="s">
        <v>88</v>
      </c>
      <c r="H3379" s="19" t="s">
        <v>4344</v>
      </c>
      <c r="I3379" s="23" t="e">
        <f>VLOOKUP(H3379,'合同综合查询数据（3月返）'!$A:$A,1,FALSE)</f>
        <v>#N/A</v>
      </c>
      <c r="J3379" s="24" t="s">
        <v>126</v>
      </c>
      <c r="K3379" s="96" t="s">
        <v>2971</v>
      </c>
      <c r="L3379" s="114" t="s">
        <v>4345</v>
      </c>
      <c r="M3379" s="26" t="s">
        <v>4346</v>
      </c>
      <c r="N3379" s="106">
        <v>44561</v>
      </c>
      <c r="O3379" s="94" t="s">
        <v>624</v>
      </c>
      <c r="P3379" s="268">
        <v>0</v>
      </c>
      <c r="Q3379" s="273">
        <v>-5</v>
      </c>
      <c r="R3379" s="268">
        <f t="shared" si="79"/>
        <v>0</v>
      </c>
      <c r="S3379" s="24">
        <v>202303</v>
      </c>
      <c r="T3379" s="127" t="s">
        <v>4350</v>
      </c>
      <c r="U3379" s="97"/>
      <c r="V3379" s="128"/>
      <c r="W3379" s="97"/>
      <c r="X3379" s="106">
        <v>44378</v>
      </c>
      <c r="Y3379" s="106">
        <v>44742</v>
      </c>
    </row>
    <row r="3380" s="9" customFormat="1" customHeight="1" spans="1:25">
      <c r="A3380" s="96" t="s">
        <v>129</v>
      </c>
      <c r="B3380" s="94" t="s">
        <v>4074</v>
      </c>
      <c r="C3380" s="94" t="s">
        <v>253</v>
      </c>
      <c r="D3380" s="94" t="s">
        <v>28</v>
      </c>
      <c r="E3380" s="105" t="s">
        <v>4342</v>
      </c>
      <c r="F3380" s="96" t="s">
        <v>4343</v>
      </c>
      <c r="G3380" s="96" t="s">
        <v>31</v>
      </c>
      <c r="H3380" s="19" t="s">
        <v>4351</v>
      </c>
      <c r="I3380" s="23" t="e">
        <f>VLOOKUP(H3380,'合同综合查询数据（3月返）'!$A:$A,1,FALSE)</f>
        <v>#N/A</v>
      </c>
      <c r="J3380" s="24" t="s">
        <v>33</v>
      </c>
      <c r="K3380" s="96" t="s">
        <v>4352</v>
      </c>
      <c r="L3380" s="114" t="s">
        <v>4353</v>
      </c>
      <c r="M3380" s="26" t="s">
        <v>4354</v>
      </c>
      <c r="N3380" s="106">
        <v>44242</v>
      </c>
      <c r="O3380" s="94" t="s">
        <v>37</v>
      </c>
      <c r="P3380" s="268">
        <v>0</v>
      </c>
      <c r="Q3380" s="273">
        <v>288</v>
      </c>
      <c r="R3380" s="268">
        <f t="shared" ref="R3380:R3411" si="80">ROUND(P3380*Q3380,2)</f>
        <v>0</v>
      </c>
      <c r="S3380" s="24">
        <v>202303</v>
      </c>
      <c r="T3380" s="127" t="s">
        <v>4355</v>
      </c>
      <c r="U3380" s="97"/>
      <c r="V3380" s="128"/>
      <c r="W3380" s="128"/>
      <c r="X3380" s="106">
        <v>44228</v>
      </c>
      <c r="Y3380" s="106">
        <v>44592</v>
      </c>
    </row>
    <row r="3381" s="9" customFormat="1" customHeight="1" spans="1:25">
      <c r="A3381" s="96" t="s">
        <v>129</v>
      </c>
      <c r="B3381" s="94" t="s">
        <v>4074</v>
      </c>
      <c r="C3381" s="94" t="s">
        <v>253</v>
      </c>
      <c r="D3381" s="94" t="s">
        <v>28</v>
      </c>
      <c r="E3381" s="105" t="s">
        <v>4342</v>
      </c>
      <c r="F3381" s="96" t="s">
        <v>4343</v>
      </c>
      <c r="G3381" s="96" t="s">
        <v>31</v>
      </c>
      <c r="H3381" s="19" t="s">
        <v>4351</v>
      </c>
      <c r="I3381" s="23" t="e">
        <f>VLOOKUP(H3381,'合同综合查询数据（3月返）'!$A:$A,1,FALSE)</f>
        <v>#N/A</v>
      </c>
      <c r="J3381" s="24" t="s">
        <v>33</v>
      </c>
      <c r="K3381" s="96" t="s">
        <v>4352</v>
      </c>
      <c r="L3381" s="114" t="s">
        <v>4353</v>
      </c>
      <c r="M3381" s="26" t="s">
        <v>4354</v>
      </c>
      <c r="N3381" s="106">
        <v>44561</v>
      </c>
      <c r="O3381" s="94" t="s">
        <v>37</v>
      </c>
      <c r="P3381" s="268">
        <v>0</v>
      </c>
      <c r="Q3381" s="273">
        <v>-288</v>
      </c>
      <c r="R3381" s="268">
        <f t="shared" si="80"/>
        <v>0</v>
      </c>
      <c r="S3381" s="24">
        <v>202303</v>
      </c>
      <c r="T3381" s="127" t="s">
        <v>4356</v>
      </c>
      <c r="U3381" s="97"/>
      <c r="V3381" s="128"/>
      <c r="W3381" s="128"/>
      <c r="X3381" s="106">
        <v>44228</v>
      </c>
      <c r="Y3381" s="106">
        <v>44592</v>
      </c>
    </row>
    <row r="3382" s="9" customFormat="1" customHeight="1" spans="1:25">
      <c r="A3382" s="96" t="s">
        <v>129</v>
      </c>
      <c r="B3382" s="94" t="s">
        <v>4074</v>
      </c>
      <c r="C3382" s="94" t="s">
        <v>253</v>
      </c>
      <c r="D3382" s="94" t="s">
        <v>28</v>
      </c>
      <c r="E3382" s="105" t="s">
        <v>4342</v>
      </c>
      <c r="F3382" s="96" t="s">
        <v>4343</v>
      </c>
      <c r="G3382" s="96" t="s">
        <v>31</v>
      </c>
      <c r="H3382" s="19" t="s">
        <v>4351</v>
      </c>
      <c r="I3382" s="23" t="e">
        <f>VLOOKUP(H3382,'合同综合查询数据（3月返）'!$A:$A,1,FALSE)</f>
        <v>#N/A</v>
      </c>
      <c r="J3382" s="24" t="s">
        <v>33</v>
      </c>
      <c r="K3382" s="96" t="s">
        <v>4352</v>
      </c>
      <c r="L3382" s="114" t="s">
        <v>4353</v>
      </c>
      <c r="M3382" s="26" t="s">
        <v>4354</v>
      </c>
      <c r="N3382" s="106"/>
      <c r="O3382" s="94" t="s">
        <v>152</v>
      </c>
      <c r="P3382" s="268">
        <v>0</v>
      </c>
      <c r="Q3382" s="273">
        <v>0</v>
      </c>
      <c r="R3382" s="268">
        <f t="shared" si="80"/>
        <v>0</v>
      </c>
      <c r="S3382" s="24">
        <v>202303</v>
      </c>
      <c r="T3382" s="127" t="s">
        <v>4357</v>
      </c>
      <c r="U3382" s="97"/>
      <c r="V3382" s="128"/>
      <c r="W3382" s="128"/>
      <c r="X3382" s="106">
        <v>44228</v>
      </c>
      <c r="Y3382" s="106">
        <v>44592</v>
      </c>
    </row>
    <row r="3383" s="9" customFormat="1" customHeight="1" spans="1:25">
      <c r="A3383" s="96" t="s">
        <v>129</v>
      </c>
      <c r="B3383" s="94" t="s">
        <v>4074</v>
      </c>
      <c r="C3383" s="94" t="s">
        <v>253</v>
      </c>
      <c r="D3383" s="94" t="s">
        <v>28</v>
      </c>
      <c r="E3383" s="105" t="s">
        <v>4342</v>
      </c>
      <c r="F3383" s="96" t="s">
        <v>4343</v>
      </c>
      <c r="G3383" s="96" t="s">
        <v>88</v>
      </c>
      <c r="H3383" s="19" t="s">
        <v>4351</v>
      </c>
      <c r="I3383" s="23" t="e">
        <f>VLOOKUP(H3383,'合同综合查询数据（3月返）'!$A:$A,1,FALSE)</f>
        <v>#N/A</v>
      </c>
      <c r="J3383" s="24" t="s">
        <v>126</v>
      </c>
      <c r="K3383" s="96" t="s">
        <v>4352</v>
      </c>
      <c r="L3383" s="114" t="s">
        <v>4353</v>
      </c>
      <c r="M3383" s="26" t="s">
        <v>4354</v>
      </c>
      <c r="N3383" s="106">
        <v>44228</v>
      </c>
      <c r="O3383" s="94" t="s">
        <v>127</v>
      </c>
      <c r="P3383" s="268">
        <v>4000</v>
      </c>
      <c r="Q3383" s="273">
        <v>4</v>
      </c>
      <c r="R3383" s="268">
        <f t="shared" si="80"/>
        <v>16000</v>
      </c>
      <c r="S3383" s="24">
        <v>202303</v>
      </c>
      <c r="T3383" s="127" t="s">
        <v>4358</v>
      </c>
      <c r="U3383" s="97"/>
      <c r="V3383" s="128"/>
      <c r="W3383" s="128"/>
      <c r="X3383" s="106">
        <v>44228</v>
      </c>
      <c r="Y3383" s="106">
        <v>44592</v>
      </c>
    </row>
    <row r="3384" s="9" customFormat="1" customHeight="1" spans="1:25">
      <c r="A3384" s="96" t="s">
        <v>129</v>
      </c>
      <c r="B3384" s="94" t="s">
        <v>4074</v>
      </c>
      <c r="C3384" s="94" t="s">
        <v>253</v>
      </c>
      <c r="D3384" s="94" t="s">
        <v>28</v>
      </c>
      <c r="E3384" s="105" t="s">
        <v>4342</v>
      </c>
      <c r="F3384" s="96" t="s">
        <v>4343</v>
      </c>
      <c r="G3384" s="96" t="s">
        <v>88</v>
      </c>
      <c r="H3384" s="19" t="s">
        <v>4351</v>
      </c>
      <c r="I3384" s="23" t="e">
        <f>VLOOKUP(H3384,'合同综合查询数据（3月返）'!$A:$A,1,FALSE)</f>
        <v>#N/A</v>
      </c>
      <c r="J3384" s="24" t="s">
        <v>126</v>
      </c>
      <c r="K3384" s="96" t="s">
        <v>4352</v>
      </c>
      <c r="L3384" s="114" t="s">
        <v>4353</v>
      </c>
      <c r="M3384" s="26" t="s">
        <v>4354</v>
      </c>
      <c r="N3384" s="106">
        <v>44561</v>
      </c>
      <c r="O3384" s="94" t="s">
        <v>127</v>
      </c>
      <c r="P3384" s="268">
        <v>4000</v>
      </c>
      <c r="Q3384" s="273">
        <v>-4</v>
      </c>
      <c r="R3384" s="268">
        <f t="shared" si="80"/>
        <v>-16000</v>
      </c>
      <c r="S3384" s="24">
        <v>202303</v>
      </c>
      <c r="T3384" s="127" t="s">
        <v>4359</v>
      </c>
      <c r="U3384" s="97"/>
      <c r="V3384" s="128"/>
      <c r="W3384" s="128"/>
      <c r="X3384" s="106">
        <v>44228</v>
      </c>
      <c r="Y3384" s="106">
        <v>44592</v>
      </c>
    </row>
    <row r="3385" s="9" customFormat="1" customHeight="1" spans="1:25">
      <c r="A3385" s="96" t="s">
        <v>129</v>
      </c>
      <c r="B3385" s="94" t="s">
        <v>4074</v>
      </c>
      <c r="C3385" s="94" t="s">
        <v>2828</v>
      </c>
      <c r="D3385" s="94" t="s">
        <v>4178</v>
      </c>
      <c r="E3385" s="105" t="s">
        <v>4360</v>
      </c>
      <c r="F3385" s="96" t="s">
        <v>4361</v>
      </c>
      <c r="G3385" s="96" t="s">
        <v>31</v>
      </c>
      <c r="H3385" s="19" t="s">
        <v>4362</v>
      </c>
      <c r="I3385" s="23" t="e">
        <f>VLOOKUP(H3385,'合同综合查询数据（3月返）'!$A:$A,1,FALSE)</f>
        <v>#N/A</v>
      </c>
      <c r="J3385" s="24" t="s">
        <v>33</v>
      </c>
      <c r="K3385" s="96" t="s">
        <v>4363</v>
      </c>
      <c r="L3385" s="114" t="s">
        <v>4364</v>
      </c>
      <c r="M3385" s="26" t="s">
        <v>4365</v>
      </c>
      <c r="N3385" s="106">
        <v>43852</v>
      </c>
      <c r="O3385" s="94" t="s">
        <v>37</v>
      </c>
      <c r="P3385" s="317">
        <v>0</v>
      </c>
      <c r="Q3385" s="268">
        <v>384</v>
      </c>
      <c r="R3385" s="268">
        <f t="shared" si="80"/>
        <v>0</v>
      </c>
      <c r="S3385" s="24">
        <v>202303</v>
      </c>
      <c r="T3385" s="127" t="s">
        <v>4366</v>
      </c>
      <c r="U3385" s="97"/>
      <c r="V3385" s="128"/>
      <c r="W3385" s="97"/>
      <c r="X3385" s="106">
        <v>44470</v>
      </c>
      <c r="Y3385" s="106">
        <v>44834</v>
      </c>
    </row>
    <row r="3386" s="9" customFormat="1" customHeight="1" spans="1:25">
      <c r="A3386" s="96" t="s">
        <v>129</v>
      </c>
      <c r="B3386" s="94" t="s">
        <v>4074</v>
      </c>
      <c r="C3386" s="94" t="s">
        <v>2828</v>
      </c>
      <c r="D3386" s="94" t="s">
        <v>4178</v>
      </c>
      <c r="E3386" s="105" t="s">
        <v>4360</v>
      </c>
      <c r="F3386" s="96" t="s">
        <v>4361</v>
      </c>
      <c r="G3386" s="96" t="s">
        <v>88</v>
      </c>
      <c r="H3386" s="19" t="s">
        <v>4362</v>
      </c>
      <c r="I3386" s="23" t="e">
        <f>VLOOKUP(H3386,'合同综合查询数据（3月返）'!$A:$A,1,FALSE)</f>
        <v>#N/A</v>
      </c>
      <c r="J3386" s="24" t="s">
        <v>126</v>
      </c>
      <c r="K3386" s="96" t="s">
        <v>4363</v>
      </c>
      <c r="L3386" s="114" t="s">
        <v>4364</v>
      </c>
      <c r="M3386" s="26" t="s">
        <v>4365</v>
      </c>
      <c r="N3386" s="106">
        <v>43852</v>
      </c>
      <c r="O3386" s="94" t="s">
        <v>624</v>
      </c>
      <c r="P3386" s="317">
        <v>4000</v>
      </c>
      <c r="Q3386" s="268">
        <v>8</v>
      </c>
      <c r="R3386" s="268">
        <f t="shared" si="80"/>
        <v>32000</v>
      </c>
      <c r="S3386" s="24">
        <v>202303</v>
      </c>
      <c r="T3386" s="127" t="s">
        <v>4367</v>
      </c>
      <c r="U3386" s="97"/>
      <c r="V3386" s="128"/>
      <c r="W3386" s="97"/>
      <c r="X3386" s="106">
        <v>44470</v>
      </c>
      <c r="Y3386" s="106">
        <v>44834</v>
      </c>
    </row>
    <row r="3387" s="9" customFormat="1" customHeight="1" spans="1:25">
      <c r="A3387" s="96" t="s">
        <v>129</v>
      </c>
      <c r="B3387" s="94" t="s">
        <v>4074</v>
      </c>
      <c r="C3387" s="94" t="s">
        <v>2828</v>
      </c>
      <c r="D3387" s="94" t="s">
        <v>4178</v>
      </c>
      <c r="E3387" s="105" t="s">
        <v>4360</v>
      </c>
      <c r="F3387" s="96" t="s">
        <v>4361</v>
      </c>
      <c r="G3387" s="96" t="s">
        <v>88</v>
      </c>
      <c r="H3387" s="19" t="s">
        <v>4362</v>
      </c>
      <c r="I3387" s="23" t="e">
        <f>VLOOKUP(H3387,'合同综合查询数据（3月返）'!$A:$A,1,FALSE)</f>
        <v>#N/A</v>
      </c>
      <c r="J3387" s="24" t="s">
        <v>126</v>
      </c>
      <c r="K3387" s="96" t="s">
        <v>4363</v>
      </c>
      <c r="L3387" s="114" t="s">
        <v>4364</v>
      </c>
      <c r="M3387" s="26" t="s">
        <v>4365</v>
      </c>
      <c r="N3387" s="106">
        <v>44377</v>
      </c>
      <c r="O3387" s="94" t="s">
        <v>624</v>
      </c>
      <c r="P3387" s="317">
        <v>4000</v>
      </c>
      <c r="Q3387" s="268">
        <v>-1</v>
      </c>
      <c r="R3387" s="268">
        <f t="shared" si="80"/>
        <v>-4000</v>
      </c>
      <c r="S3387" s="24">
        <v>202303</v>
      </c>
      <c r="T3387" s="127" t="s">
        <v>4368</v>
      </c>
      <c r="U3387" s="97"/>
      <c r="V3387" s="128"/>
      <c r="W3387" s="97"/>
      <c r="X3387" s="106">
        <v>44470</v>
      </c>
      <c r="Y3387" s="106">
        <v>44834</v>
      </c>
    </row>
    <row r="3388" s="9" customFormat="1" customHeight="1" spans="1:25">
      <c r="A3388" s="96" t="s">
        <v>129</v>
      </c>
      <c r="B3388" s="94" t="s">
        <v>4074</v>
      </c>
      <c r="C3388" s="94" t="s">
        <v>2828</v>
      </c>
      <c r="D3388" s="94" t="s">
        <v>4178</v>
      </c>
      <c r="E3388" s="105" t="s">
        <v>4360</v>
      </c>
      <c r="F3388" s="96" t="s">
        <v>4361</v>
      </c>
      <c r="G3388" s="96" t="s">
        <v>88</v>
      </c>
      <c r="H3388" s="19" t="s">
        <v>4362</v>
      </c>
      <c r="I3388" s="23" t="e">
        <f>VLOOKUP(H3388,'合同综合查询数据（3月返）'!$A:$A,1,FALSE)</f>
        <v>#N/A</v>
      </c>
      <c r="J3388" s="24" t="s">
        <v>126</v>
      </c>
      <c r="K3388" s="96" t="s">
        <v>4363</v>
      </c>
      <c r="L3388" s="114" t="s">
        <v>4364</v>
      </c>
      <c r="M3388" s="26" t="s">
        <v>4365</v>
      </c>
      <c r="N3388" s="106">
        <v>44592</v>
      </c>
      <c r="O3388" s="94" t="s">
        <v>624</v>
      </c>
      <c r="P3388" s="317">
        <v>4000</v>
      </c>
      <c r="Q3388" s="268">
        <v>-7</v>
      </c>
      <c r="R3388" s="268">
        <f t="shared" si="80"/>
        <v>-28000</v>
      </c>
      <c r="S3388" s="24">
        <v>202303</v>
      </c>
      <c r="T3388" s="127" t="s">
        <v>4369</v>
      </c>
      <c r="U3388" s="97"/>
      <c r="V3388" s="128"/>
      <c r="W3388" s="97"/>
      <c r="X3388" s="106">
        <v>44470</v>
      </c>
      <c r="Y3388" s="106">
        <v>44834</v>
      </c>
    </row>
    <row r="3389" s="9" customFormat="1" customHeight="1" spans="1:25">
      <c r="A3389" s="96" t="s">
        <v>129</v>
      </c>
      <c r="B3389" s="94" t="s">
        <v>4074</v>
      </c>
      <c r="C3389" s="94" t="s">
        <v>2828</v>
      </c>
      <c r="D3389" s="94" t="s">
        <v>4178</v>
      </c>
      <c r="E3389" s="105" t="s">
        <v>4360</v>
      </c>
      <c r="F3389" s="96" t="s">
        <v>4361</v>
      </c>
      <c r="G3389" s="96" t="s">
        <v>31</v>
      </c>
      <c r="H3389" s="19" t="s">
        <v>4362</v>
      </c>
      <c r="I3389" s="23" t="e">
        <f>VLOOKUP(H3389,'合同综合查询数据（3月返）'!$A:$A,1,FALSE)</f>
        <v>#N/A</v>
      </c>
      <c r="J3389" s="24" t="s">
        <v>33</v>
      </c>
      <c r="K3389" s="96" t="s">
        <v>2829</v>
      </c>
      <c r="L3389" s="114" t="s">
        <v>4370</v>
      </c>
      <c r="M3389" s="26" t="s">
        <v>4371</v>
      </c>
      <c r="N3389" s="106">
        <v>43901</v>
      </c>
      <c r="O3389" s="94" t="s">
        <v>37</v>
      </c>
      <c r="P3389" s="317">
        <v>0</v>
      </c>
      <c r="Q3389" s="268">
        <v>320</v>
      </c>
      <c r="R3389" s="268">
        <f t="shared" si="80"/>
        <v>0</v>
      </c>
      <c r="S3389" s="24">
        <v>202303</v>
      </c>
      <c r="T3389" s="127" t="s">
        <v>4372</v>
      </c>
      <c r="U3389" s="97"/>
      <c r="V3389" s="128"/>
      <c r="W3389" s="97"/>
      <c r="X3389" s="106">
        <v>44470</v>
      </c>
      <c r="Y3389" s="106">
        <v>44834</v>
      </c>
    </row>
    <row r="3390" s="9" customFormat="1" customHeight="1" spans="1:25">
      <c r="A3390" s="96" t="s">
        <v>129</v>
      </c>
      <c r="B3390" s="94" t="s">
        <v>4074</v>
      </c>
      <c r="C3390" s="94" t="s">
        <v>2828</v>
      </c>
      <c r="D3390" s="94" t="s">
        <v>4178</v>
      </c>
      <c r="E3390" s="105" t="s">
        <v>4360</v>
      </c>
      <c r="F3390" s="96" t="s">
        <v>4361</v>
      </c>
      <c r="G3390" s="96" t="s">
        <v>88</v>
      </c>
      <c r="H3390" s="19" t="s">
        <v>4362</v>
      </c>
      <c r="I3390" s="23" t="e">
        <f>VLOOKUP(H3390,'合同综合查询数据（3月返）'!$A:$A,1,FALSE)</f>
        <v>#N/A</v>
      </c>
      <c r="J3390" s="24" t="s">
        <v>126</v>
      </c>
      <c r="K3390" s="96" t="s">
        <v>2829</v>
      </c>
      <c r="L3390" s="114" t="s">
        <v>4370</v>
      </c>
      <c r="M3390" s="26" t="s">
        <v>4371</v>
      </c>
      <c r="N3390" s="106">
        <v>43901</v>
      </c>
      <c r="O3390" s="94" t="s">
        <v>624</v>
      </c>
      <c r="P3390" s="317">
        <v>4000</v>
      </c>
      <c r="Q3390" s="268">
        <v>5</v>
      </c>
      <c r="R3390" s="268">
        <f t="shared" si="80"/>
        <v>20000</v>
      </c>
      <c r="S3390" s="24">
        <v>202303</v>
      </c>
      <c r="T3390" s="127" t="s">
        <v>4373</v>
      </c>
      <c r="U3390" s="97"/>
      <c r="V3390" s="128"/>
      <c r="W3390" s="97"/>
      <c r="X3390" s="106">
        <v>44470</v>
      </c>
      <c r="Y3390" s="106">
        <v>44834</v>
      </c>
    </row>
    <row r="3391" s="9" customFormat="1" customHeight="1" spans="1:25">
      <c r="A3391" s="96" t="s">
        <v>129</v>
      </c>
      <c r="B3391" s="94" t="s">
        <v>4074</v>
      </c>
      <c r="C3391" s="94" t="s">
        <v>2828</v>
      </c>
      <c r="D3391" s="94" t="s">
        <v>4178</v>
      </c>
      <c r="E3391" s="105" t="s">
        <v>4360</v>
      </c>
      <c r="F3391" s="96" t="s">
        <v>4361</v>
      </c>
      <c r="G3391" s="96" t="s">
        <v>88</v>
      </c>
      <c r="H3391" s="19" t="s">
        <v>4362</v>
      </c>
      <c r="I3391" s="23" t="e">
        <f>VLOOKUP(H3391,'合同综合查询数据（3月返）'!$A:$A,1,FALSE)</f>
        <v>#N/A</v>
      </c>
      <c r="J3391" s="24" t="s">
        <v>126</v>
      </c>
      <c r="K3391" s="96" t="s">
        <v>2829</v>
      </c>
      <c r="L3391" s="114" t="s">
        <v>4370</v>
      </c>
      <c r="M3391" s="26" t="s">
        <v>4371</v>
      </c>
      <c r="N3391" s="106">
        <v>44773</v>
      </c>
      <c r="O3391" s="94" t="s">
        <v>624</v>
      </c>
      <c r="P3391" s="317">
        <v>4000</v>
      </c>
      <c r="Q3391" s="268">
        <v>-5</v>
      </c>
      <c r="R3391" s="268">
        <f t="shared" si="80"/>
        <v>-20000</v>
      </c>
      <c r="S3391" s="24">
        <v>202303</v>
      </c>
      <c r="T3391" s="127" t="s">
        <v>4374</v>
      </c>
      <c r="U3391" s="97"/>
      <c r="V3391" s="128"/>
      <c r="W3391" s="97"/>
      <c r="X3391" s="106">
        <v>44470</v>
      </c>
      <c r="Y3391" s="106">
        <v>44834</v>
      </c>
    </row>
    <row r="3392" s="9" customFormat="1" customHeight="1" spans="1:25">
      <c r="A3392" s="104" t="s">
        <v>25</v>
      </c>
      <c r="B3392" s="94" t="s">
        <v>4074</v>
      </c>
      <c r="C3392" s="94" t="s">
        <v>283</v>
      </c>
      <c r="D3392" s="94" t="s">
        <v>4178</v>
      </c>
      <c r="E3392" s="105" t="s">
        <v>4360</v>
      </c>
      <c r="F3392" s="96" t="s">
        <v>4361</v>
      </c>
      <c r="G3392" s="96" t="s">
        <v>31</v>
      </c>
      <c r="H3392" s="19" t="s">
        <v>4375</v>
      </c>
      <c r="I3392" s="23" t="e">
        <f>VLOOKUP(H3392,'合同综合查询数据（3月返）'!$A:$A,1,FALSE)</f>
        <v>#N/A</v>
      </c>
      <c r="J3392" s="24" t="s">
        <v>33</v>
      </c>
      <c r="K3392" s="96" t="s">
        <v>4376</v>
      </c>
      <c r="L3392" s="114" t="s">
        <v>4377</v>
      </c>
      <c r="M3392" s="26" t="s">
        <v>4378</v>
      </c>
      <c r="N3392" s="106">
        <v>44136</v>
      </c>
      <c r="O3392" s="94" t="s">
        <v>37</v>
      </c>
      <c r="P3392" s="317">
        <v>0</v>
      </c>
      <c r="Q3392" s="268">
        <v>544</v>
      </c>
      <c r="R3392" s="268">
        <f t="shared" si="80"/>
        <v>0</v>
      </c>
      <c r="S3392" s="24">
        <v>202303</v>
      </c>
      <c r="T3392" s="127" t="s">
        <v>4379</v>
      </c>
      <c r="U3392" s="97"/>
      <c r="V3392" s="128"/>
      <c r="W3392" s="97"/>
      <c r="X3392" s="106">
        <v>44713</v>
      </c>
      <c r="Y3392" s="106">
        <v>45077</v>
      </c>
    </row>
    <row r="3393" s="9" customFormat="1" customHeight="1" spans="1:25">
      <c r="A3393" s="104" t="s">
        <v>25</v>
      </c>
      <c r="B3393" s="94" t="s">
        <v>4074</v>
      </c>
      <c r="C3393" s="94" t="s">
        <v>283</v>
      </c>
      <c r="D3393" s="94" t="s">
        <v>4178</v>
      </c>
      <c r="E3393" s="105" t="s">
        <v>4360</v>
      </c>
      <c r="F3393" s="96" t="s">
        <v>4361</v>
      </c>
      <c r="G3393" s="96" t="s">
        <v>88</v>
      </c>
      <c r="H3393" s="19" t="s">
        <v>4375</v>
      </c>
      <c r="I3393" s="23" t="e">
        <f>VLOOKUP(H3393,'合同综合查询数据（3月返）'!$A:$A,1,FALSE)</f>
        <v>#N/A</v>
      </c>
      <c r="J3393" s="24" t="s">
        <v>126</v>
      </c>
      <c r="K3393" s="96" t="s">
        <v>4376</v>
      </c>
      <c r="L3393" s="114" t="s">
        <v>4377</v>
      </c>
      <c r="M3393" s="26" t="s">
        <v>4378</v>
      </c>
      <c r="N3393" s="106">
        <v>44136</v>
      </c>
      <c r="O3393" s="94" t="s">
        <v>92</v>
      </c>
      <c r="P3393" s="317">
        <v>4500</v>
      </c>
      <c r="Q3393" s="268">
        <v>4</v>
      </c>
      <c r="R3393" s="268">
        <f t="shared" si="80"/>
        <v>18000</v>
      </c>
      <c r="S3393" s="24">
        <v>202303</v>
      </c>
      <c r="T3393" s="127" t="s">
        <v>4380</v>
      </c>
      <c r="U3393" s="97"/>
      <c r="V3393" s="128"/>
      <c r="W3393" s="97"/>
      <c r="X3393" s="106">
        <v>44713</v>
      </c>
      <c r="Y3393" s="106">
        <v>45077</v>
      </c>
    </row>
    <row r="3394" s="9" customFormat="1" customHeight="1" spans="1:25">
      <c r="A3394" s="104" t="s">
        <v>25</v>
      </c>
      <c r="B3394" s="94" t="s">
        <v>4074</v>
      </c>
      <c r="C3394" s="94" t="s">
        <v>283</v>
      </c>
      <c r="D3394" s="94" t="s">
        <v>4178</v>
      </c>
      <c r="E3394" s="105" t="s">
        <v>4360</v>
      </c>
      <c r="F3394" s="96" t="s">
        <v>4361</v>
      </c>
      <c r="G3394" s="96" t="s">
        <v>88</v>
      </c>
      <c r="H3394" s="19" t="s">
        <v>4375</v>
      </c>
      <c r="I3394" s="23" t="e">
        <f>VLOOKUP(H3394,'合同综合查询数据（3月返）'!$A:$A,1,FALSE)</f>
        <v>#N/A</v>
      </c>
      <c r="J3394" s="24" t="s">
        <v>126</v>
      </c>
      <c r="K3394" s="96" t="s">
        <v>4376</v>
      </c>
      <c r="L3394" s="114" t="s">
        <v>4377</v>
      </c>
      <c r="M3394" s="26" t="s">
        <v>4378</v>
      </c>
      <c r="N3394" s="106">
        <v>44228</v>
      </c>
      <c r="O3394" s="94" t="s">
        <v>92</v>
      </c>
      <c r="P3394" s="317">
        <v>4500</v>
      </c>
      <c r="Q3394" s="268">
        <v>4</v>
      </c>
      <c r="R3394" s="268">
        <f t="shared" si="80"/>
        <v>18000</v>
      </c>
      <c r="S3394" s="24">
        <v>202303</v>
      </c>
      <c r="T3394" s="127" t="s">
        <v>4381</v>
      </c>
      <c r="U3394" s="97"/>
      <c r="V3394" s="128"/>
      <c r="W3394" s="97"/>
      <c r="X3394" s="106">
        <v>44713</v>
      </c>
      <c r="Y3394" s="106">
        <v>45077</v>
      </c>
    </row>
    <row r="3395" s="9" customFormat="1" customHeight="1" spans="1:25">
      <c r="A3395" s="104" t="s">
        <v>25</v>
      </c>
      <c r="B3395" s="94" t="s">
        <v>4074</v>
      </c>
      <c r="C3395" s="94" t="s">
        <v>283</v>
      </c>
      <c r="D3395" s="94" t="s">
        <v>4178</v>
      </c>
      <c r="E3395" s="105" t="s">
        <v>4360</v>
      </c>
      <c r="F3395" s="96" t="s">
        <v>4361</v>
      </c>
      <c r="G3395" s="96" t="s">
        <v>88</v>
      </c>
      <c r="H3395" s="19" t="s">
        <v>4375</v>
      </c>
      <c r="I3395" s="23" t="e">
        <f>VLOOKUP(H3395,'合同综合查询数据（3月返）'!$A:$A,1,FALSE)</f>
        <v>#N/A</v>
      </c>
      <c r="J3395" s="24" t="s">
        <v>126</v>
      </c>
      <c r="K3395" s="96" t="s">
        <v>4376</v>
      </c>
      <c r="L3395" s="114" t="s">
        <v>4377</v>
      </c>
      <c r="M3395" s="26" t="s">
        <v>4378</v>
      </c>
      <c r="N3395" s="106">
        <v>44440</v>
      </c>
      <c r="O3395" s="94" t="s">
        <v>92</v>
      </c>
      <c r="P3395" s="317">
        <v>4500</v>
      </c>
      <c r="Q3395" s="268">
        <v>2</v>
      </c>
      <c r="R3395" s="268">
        <f t="shared" si="80"/>
        <v>9000</v>
      </c>
      <c r="S3395" s="24">
        <v>202303</v>
      </c>
      <c r="T3395" s="127" t="s">
        <v>4382</v>
      </c>
      <c r="U3395" s="97"/>
      <c r="V3395" s="128"/>
      <c r="W3395" s="97"/>
      <c r="X3395" s="106">
        <v>44713</v>
      </c>
      <c r="Y3395" s="106">
        <v>45077</v>
      </c>
    </row>
    <row r="3396" s="9" customFormat="1" customHeight="1" spans="1:25">
      <c r="A3396" s="104" t="s">
        <v>25</v>
      </c>
      <c r="B3396" s="94" t="s">
        <v>4074</v>
      </c>
      <c r="C3396" s="94" t="s">
        <v>283</v>
      </c>
      <c r="D3396" s="94" t="s">
        <v>4178</v>
      </c>
      <c r="E3396" s="105" t="s">
        <v>4360</v>
      </c>
      <c r="F3396" s="96" t="s">
        <v>4361</v>
      </c>
      <c r="G3396" s="96" t="s">
        <v>31</v>
      </c>
      <c r="H3396" s="19" t="s">
        <v>4375</v>
      </c>
      <c r="I3396" s="23" t="e">
        <f>VLOOKUP(H3396,'合同综合查询数据（3月返）'!$A:$A,1,FALSE)</f>
        <v>#N/A</v>
      </c>
      <c r="J3396" s="24" t="s">
        <v>33</v>
      </c>
      <c r="K3396" s="96" t="s">
        <v>4376</v>
      </c>
      <c r="L3396" s="114" t="s">
        <v>4383</v>
      </c>
      <c r="M3396" s="26" t="s">
        <v>4378</v>
      </c>
      <c r="N3396" s="106">
        <v>44470</v>
      </c>
      <c r="O3396" s="94" t="s">
        <v>37</v>
      </c>
      <c r="P3396" s="317">
        <v>0</v>
      </c>
      <c r="Q3396" s="268">
        <v>288</v>
      </c>
      <c r="R3396" s="268">
        <f t="shared" si="80"/>
        <v>0</v>
      </c>
      <c r="S3396" s="24">
        <v>202303</v>
      </c>
      <c r="T3396" s="127" t="s">
        <v>4384</v>
      </c>
      <c r="U3396" s="97"/>
      <c r="V3396" s="128"/>
      <c r="W3396" s="97"/>
      <c r="X3396" s="106">
        <v>44713</v>
      </c>
      <c r="Y3396" s="106">
        <v>45077</v>
      </c>
    </row>
    <row r="3397" s="9" customFormat="1" customHeight="1" spans="1:25">
      <c r="A3397" s="104" t="s">
        <v>25</v>
      </c>
      <c r="B3397" s="94" t="s">
        <v>4074</v>
      </c>
      <c r="C3397" s="94" t="s">
        <v>283</v>
      </c>
      <c r="D3397" s="94" t="s">
        <v>4178</v>
      </c>
      <c r="E3397" s="105" t="s">
        <v>4360</v>
      </c>
      <c r="F3397" s="96" t="s">
        <v>4361</v>
      </c>
      <c r="G3397" s="96" t="s">
        <v>31</v>
      </c>
      <c r="H3397" s="19" t="s">
        <v>4375</v>
      </c>
      <c r="I3397" s="23" t="e">
        <f>VLOOKUP(H3397,'合同综合查询数据（3月返）'!$A:$A,1,FALSE)</f>
        <v>#N/A</v>
      </c>
      <c r="J3397" s="24" t="s">
        <v>33</v>
      </c>
      <c r="K3397" s="96" t="s">
        <v>4376</v>
      </c>
      <c r="L3397" s="114" t="s">
        <v>4385</v>
      </c>
      <c r="M3397" s="26" t="s">
        <v>4378</v>
      </c>
      <c r="N3397" s="106"/>
      <c r="O3397" s="94" t="s">
        <v>152</v>
      </c>
      <c r="P3397" s="317">
        <v>0</v>
      </c>
      <c r="Q3397" s="268">
        <v>0</v>
      </c>
      <c r="R3397" s="268">
        <f t="shared" si="80"/>
        <v>0</v>
      </c>
      <c r="S3397" s="24">
        <v>202303</v>
      </c>
      <c r="T3397" s="127" t="s">
        <v>4386</v>
      </c>
      <c r="U3397" s="97"/>
      <c r="V3397" s="128"/>
      <c r="W3397" s="97"/>
      <c r="X3397" s="106">
        <v>44713</v>
      </c>
      <c r="Y3397" s="106">
        <v>45077</v>
      </c>
    </row>
    <row r="3398" s="9" customFormat="1" customHeight="1" spans="1:25">
      <c r="A3398" s="104" t="s">
        <v>25</v>
      </c>
      <c r="B3398" s="94" t="s">
        <v>4074</v>
      </c>
      <c r="C3398" s="94" t="s">
        <v>283</v>
      </c>
      <c r="D3398" s="94" t="s">
        <v>4178</v>
      </c>
      <c r="E3398" s="105" t="s">
        <v>4360</v>
      </c>
      <c r="F3398" s="96" t="s">
        <v>4361</v>
      </c>
      <c r="G3398" s="96" t="s">
        <v>88</v>
      </c>
      <c r="H3398" s="19" t="s">
        <v>4375</v>
      </c>
      <c r="I3398" s="23" t="e">
        <f>VLOOKUP(H3398,'合同综合查询数据（3月返）'!$A:$A,1,FALSE)</f>
        <v>#N/A</v>
      </c>
      <c r="J3398" s="24" t="s">
        <v>126</v>
      </c>
      <c r="K3398" s="96" t="s">
        <v>4376</v>
      </c>
      <c r="L3398" s="114" t="s">
        <v>4383</v>
      </c>
      <c r="M3398" s="26" t="s">
        <v>4378</v>
      </c>
      <c r="N3398" s="106">
        <v>44470</v>
      </c>
      <c r="O3398" s="321" t="s">
        <v>92</v>
      </c>
      <c r="P3398" s="317">
        <v>4500</v>
      </c>
      <c r="Q3398" s="268">
        <v>3</v>
      </c>
      <c r="R3398" s="268">
        <f t="shared" si="80"/>
        <v>13500</v>
      </c>
      <c r="S3398" s="24">
        <v>202303</v>
      </c>
      <c r="T3398" s="127" t="s">
        <v>4387</v>
      </c>
      <c r="U3398" s="97"/>
      <c r="V3398" s="128"/>
      <c r="W3398" s="97"/>
      <c r="X3398" s="106">
        <v>44713</v>
      </c>
      <c r="Y3398" s="106">
        <v>45077</v>
      </c>
    </row>
    <row r="3399" s="9" customFormat="1" customHeight="1" spans="1:25">
      <c r="A3399" s="104" t="s">
        <v>25</v>
      </c>
      <c r="B3399" s="94" t="s">
        <v>4074</v>
      </c>
      <c r="C3399" s="94" t="s">
        <v>2828</v>
      </c>
      <c r="D3399" s="94" t="s">
        <v>4178</v>
      </c>
      <c r="E3399" s="105" t="s">
        <v>4360</v>
      </c>
      <c r="F3399" s="96" t="s">
        <v>4361</v>
      </c>
      <c r="G3399" s="96" t="s">
        <v>31</v>
      </c>
      <c r="H3399" s="19" t="s">
        <v>4388</v>
      </c>
      <c r="I3399" s="23" t="e">
        <f>VLOOKUP(H3399,'合同综合查询数据（3月返）'!$A:$A,1,FALSE)</f>
        <v>#N/A</v>
      </c>
      <c r="J3399" s="24" t="s">
        <v>33</v>
      </c>
      <c r="K3399" s="96" t="s">
        <v>4363</v>
      </c>
      <c r="L3399" s="114" t="s">
        <v>4389</v>
      </c>
      <c r="M3399" s="26" t="s">
        <v>4390</v>
      </c>
      <c r="N3399" s="106">
        <v>44470</v>
      </c>
      <c r="O3399" s="321" t="s">
        <v>37</v>
      </c>
      <c r="P3399" s="317">
        <v>0</v>
      </c>
      <c r="Q3399" s="268">
        <v>544</v>
      </c>
      <c r="R3399" s="268">
        <f t="shared" si="80"/>
        <v>0</v>
      </c>
      <c r="S3399" s="24">
        <v>202303</v>
      </c>
      <c r="T3399" s="127" t="s">
        <v>4391</v>
      </c>
      <c r="U3399" s="97"/>
      <c r="V3399" s="128"/>
      <c r="W3399" s="97"/>
      <c r="X3399" s="106">
        <v>44743</v>
      </c>
      <c r="Y3399" s="106">
        <v>45077</v>
      </c>
    </row>
    <row r="3400" s="9" customFormat="1" customHeight="1" spans="1:25">
      <c r="A3400" s="104" t="s">
        <v>25</v>
      </c>
      <c r="B3400" s="94" t="s">
        <v>4074</v>
      </c>
      <c r="C3400" s="94" t="s">
        <v>2828</v>
      </c>
      <c r="D3400" s="94" t="s">
        <v>4178</v>
      </c>
      <c r="E3400" s="105" t="s">
        <v>4360</v>
      </c>
      <c r="F3400" s="96" t="s">
        <v>4361</v>
      </c>
      <c r="G3400" s="96" t="s">
        <v>31</v>
      </c>
      <c r="H3400" s="19" t="s">
        <v>4392</v>
      </c>
      <c r="I3400" s="23" t="e">
        <f>VLOOKUP(H3400,'合同综合查询数据（3月返）'!$A:$A,1,FALSE)</f>
        <v>#N/A</v>
      </c>
      <c r="J3400" s="24" t="s">
        <v>33</v>
      </c>
      <c r="K3400" s="96" t="s">
        <v>4363</v>
      </c>
      <c r="L3400" s="114" t="s">
        <v>4389</v>
      </c>
      <c r="M3400" s="26" t="s">
        <v>4390</v>
      </c>
      <c r="N3400" s="106">
        <v>44887</v>
      </c>
      <c r="O3400" s="321" t="s">
        <v>37</v>
      </c>
      <c r="P3400" s="317">
        <v>0</v>
      </c>
      <c r="Q3400" s="268">
        <v>16</v>
      </c>
      <c r="R3400" s="268">
        <f t="shared" si="80"/>
        <v>0</v>
      </c>
      <c r="S3400" s="24">
        <v>202303</v>
      </c>
      <c r="T3400" s="127" t="s">
        <v>4393</v>
      </c>
      <c r="U3400" s="97"/>
      <c r="V3400" s="128"/>
      <c r="W3400" s="97"/>
      <c r="X3400" s="106">
        <v>44887</v>
      </c>
      <c r="Y3400" s="106">
        <v>45077</v>
      </c>
    </row>
    <row r="3401" s="9" customFormat="1" customHeight="1" spans="1:25">
      <c r="A3401" s="104" t="s">
        <v>25</v>
      </c>
      <c r="B3401" s="94" t="s">
        <v>4074</v>
      </c>
      <c r="C3401" s="94" t="s">
        <v>2828</v>
      </c>
      <c r="D3401" s="94" t="s">
        <v>4178</v>
      </c>
      <c r="E3401" s="105" t="s">
        <v>4360</v>
      </c>
      <c r="F3401" s="96" t="s">
        <v>4361</v>
      </c>
      <c r="G3401" s="96" t="s">
        <v>31</v>
      </c>
      <c r="H3401" s="19" t="s">
        <v>4388</v>
      </c>
      <c r="I3401" s="23" t="e">
        <f>VLOOKUP(H3401,'合同综合查询数据（3月返）'!$A:$A,1,FALSE)</f>
        <v>#N/A</v>
      </c>
      <c r="J3401" s="24" t="s">
        <v>33</v>
      </c>
      <c r="K3401" s="96" t="s">
        <v>4363</v>
      </c>
      <c r="L3401" s="114" t="s">
        <v>4389</v>
      </c>
      <c r="M3401" s="26" t="s">
        <v>4390</v>
      </c>
      <c r="N3401" s="106"/>
      <c r="O3401" s="321" t="s">
        <v>152</v>
      </c>
      <c r="P3401" s="317">
        <v>0</v>
      </c>
      <c r="Q3401" s="317">
        <v>0</v>
      </c>
      <c r="R3401" s="268">
        <f t="shared" si="80"/>
        <v>0</v>
      </c>
      <c r="S3401" s="24">
        <v>202303</v>
      </c>
      <c r="T3401" s="127" t="s">
        <v>4394</v>
      </c>
      <c r="U3401" s="97"/>
      <c r="V3401" s="128"/>
      <c r="W3401" s="97"/>
      <c r="X3401" s="106">
        <v>44743</v>
      </c>
      <c r="Y3401" s="106">
        <v>45077</v>
      </c>
    </row>
    <row r="3402" s="9" customFormat="1" customHeight="1" spans="1:25">
      <c r="A3402" s="104" t="s">
        <v>25</v>
      </c>
      <c r="B3402" s="94" t="s">
        <v>4074</v>
      </c>
      <c r="C3402" s="94" t="s">
        <v>2828</v>
      </c>
      <c r="D3402" s="94" t="s">
        <v>4178</v>
      </c>
      <c r="E3402" s="105" t="s">
        <v>4360</v>
      </c>
      <c r="F3402" s="96" t="s">
        <v>4361</v>
      </c>
      <c r="G3402" s="96" t="s">
        <v>88</v>
      </c>
      <c r="H3402" s="19" t="s">
        <v>4388</v>
      </c>
      <c r="I3402" s="23" t="e">
        <f>VLOOKUP(H3402,'合同综合查询数据（3月返）'!$A:$A,1,FALSE)</f>
        <v>#N/A</v>
      </c>
      <c r="J3402" s="24" t="s">
        <v>126</v>
      </c>
      <c r="K3402" s="96" t="s">
        <v>4363</v>
      </c>
      <c r="L3402" s="114" t="s">
        <v>4389</v>
      </c>
      <c r="M3402" s="26" t="s">
        <v>4390</v>
      </c>
      <c r="N3402" s="106">
        <v>44470</v>
      </c>
      <c r="O3402" s="321" t="s">
        <v>624</v>
      </c>
      <c r="P3402" s="317">
        <v>4000</v>
      </c>
      <c r="Q3402" s="268">
        <v>7</v>
      </c>
      <c r="R3402" s="268">
        <f t="shared" si="80"/>
        <v>28000</v>
      </c>
      <c r="S3402" s="24">
        <v>202303</v>
      </c>
      <c r="T3402" s="127" t="s">
        <v>4395</v>
      </c>
      <c r="U3402" s="97"/>
      <c r="V3402" s="128"/>
      <c r="W3402" s="97"/>
      <c r="X3402" s="106">
        <v>44743</v>
      </c>
      <c r="Y3402" s="106">
        <v>45077</v>
      </c>
    </row>
    <row r="3403" s="9" customFormat="1" customHeight="1" spans="1:25">
      <c r="A3403" s="104" t="s">
        <v>25</v>
      </c>
      <c r="B3403" s="94" t="s">
        <v>4074</v>
      </c>
      <c r="C3403" s="94" t="s">
        <v>2828</v>
      </c>
      <c r="D3403" s="94" t="s">
        <v>4178</v>
      </c>
      <c r="E3403" s="105" t="s">
        <v>4360</v>
      </c>
      <c r="F3403" s="96" t="s">
        <v>4361</v>
      </c>
      <c r="G3403" s="96" t="s">
        <v>88</v>
      </c>
      <c r="H3403" s="19" t="s">
        <v>4388</v>
      </c>
      <c r="I3403" s="23" t="e">
        <f>VLOOKUP(H3403,'合同综合查询数据（3月返）'!$A:$A,1,FALSE)</f>
        <v>#N/A</v>
      </c>
      <c r="J3403" s="24" t="s">
        <v>126</v>
      </c>
      <c r="K3403" s="96" t="s">
        <v>4363</v>
      </c>
      <c r="L3403" s="114" t="s">
        <v>4389</v>
      </c>
      <c r="M3403" s="26" t="s">
        <v>4390</v>
      </c>
      <c r="N3403" s="106">
        <v>44501</v>
      </c>
      <c r="O3403" s="321" t="s">
        <v>624</v>
      </c>
      <c r="P3403" s="317">
        <v>4000</v>
      </c>
      <c r="Q3403" s="268">
        <v>1</v>
      </c>
      <c r="R3403" s="268">
        <f t="shared" si="80"/>
        <v>4000</v>
      </c>
      <c r="S3403" s="24">
        <v>202303</v>
      </c>
      <c r="T3403" s="127" t="s">
        <v>4396</v>
      </c>
      <c r="U3403" s="97"/>
      <c r="V3403" s="128"/>
      <c r="W3403" s="97"/>
      <c r="X3403" s="106">
        <v>44743</v>
      </c>
      <c r="Y3403" s="106">
        <v>45077</v>
      </c>
    </row>
    <row r="3404" s="9" customFormat="1" customHeight="1" spans="1:25">
      <c r="A3404" s="104" t="s">
        <v>25</v>
      </c>
      <c r="B3404" s="94" t="s">
        <v>4074</v>
      </c>
      <c r="C3404" s="94" t="s">
        <v>2828</v>
      </c>
      <c r="D3404" s="94" t="s">
        <v>4178</v>
      </c>
      <c r="E3404" s="105" t="s">
        <v>4360</v>
      </c>
      <c r="F3404" s="96" t="s">
        <v>4361</v>
      </c>
      <c r="G3404" s="96" t="s">
        <v>88</v>
      </c>
      <c r="H3404" s="19" t="s">
        <v>4392</v>
      </c>
      <c r="I3404" s="23" t="e">
        <f>VLOOKUP(H3404,'合同综合查询数据（3月返）'!$A:$A,1,FALSE)</f>
        <v>#N/A</v>
      </c>
      <c r="J3404" s="24" t="s">
        <v>126</v>
      </c>
      <c r="K3404" s="96" t="s">
        <v>4363</v>
      </c>
      <c r="L3404" s="114" t="s">
        <v>4389</v>
      </c>
      <c r="M3404" s="26" t="s">
        <v>4390</v>
      </c>
      <c r="N3404" s="106">
        <v>44887</v>
      </c>
      <c r="O3404" s="321" t="s">
        <v>624</v>
      </c>
      <c r="P3404" s="317">
        <v>4000</v>
      </c>
      <c r="Q3404" s="268">
        <v>1</v>
      </c>
      <c r="R3404" s="268">
        <f t="shared" si="80"/>
        <v>4000</v>
      </c>
      <c r="S3404" s="24">
        <v>202303</v>
      </c>
      <c r="T3404" s="127" t="s">
        <v>4397</v>
      </c>
      <c r="U3404" s="97"/>
      <c r="V3404" s="128"/>
      <c r="W3404" s="97"/>
      <c r="X3404" s="106">
        <v>44887</v>
      </c>
      <c r="Y3404" s="106">
        <v>45077</v>
      </c>
    </row>
    <row r="3405" s="10" customFormat="1" customHeight="1" spans="1:25">
      <c r="A3405" s="60" t="s">
        <v>129</v>
      </c>
      <c r="B3405" s="62" t="s">
        <v>4074</v>
      </c>
      <c r="C3405" s="62" t="s">
        <v>2828</v>
      </c>
      <c r="D3405" s="62" t="s">
        <v>4178</v>
      </c>
      <c r="E3405" s="63" t="s">
        <v>4360</v>
      </c>
      <c r="F3405" s="60" t="s">
        <v>4361</v>
      </c>
      <c r="G3405" s="60" t="s">
        <v>31</v>
      </c>
      <c r="H3405" s="45" t="s">
        <v>4398</v>
      </c>
      <c r="I3405" s="47" t="e">
        <f>VLOOKUP(H3405,'合同综合查询数据（3月返）'!$A:$A,1,FALSE)</f>
        <v>#N/A</v>
      </c>
      <c r="J3405" s="48" t="s">
        <v>33</v>
      </c>
      <c r="K3405" s="60" t="s">
        <v>2965</v>
      </c>
      <c r="L3405" s="113" t="s">
        <v>4399</v>
      </c>
      <c r="M3405" s="50" t="s">
        <v>4400</v>
      </c>
      <c r="N3405" s="322">
        <v>44593</v>
      </c>
      <c r="O3405" s="310" t="s">
        <v>37</v>
      </c>
      <c r="P3405" s="323">
        <v>0</v>
      </c>
      <c r="Q3405" s="266">
        <v>704</v>
      </c>
      <c r="R3405" s="266">
        <f t="shared" si="80"/>
        <v>0</v>
      </c>
      <c r="S3405" s="48">
        <v>202303</v>
      </c>
      <c r="T3405" s="125" t="s">
        <v>4401</v>
      </c>
      <c r="U3405" s="102"/>
      <c r="V3405" s="126"/>
      <c r="W3405" s="102"/>
      <c r="X3405" s="111"/>
      <c r="Y3405" s="111"/>
    </row>
    <row r="3406" s="10" customFormat="1" customHeight="1" spans="1:25">
      <c r="A3406" s="60" t="s">
        <v>129</v>
      </c>
      <c r="B3406" s="62" t="s">
        <v>4074</v>
      </c>
      <c r="C3406" s="62" t="s">
        <v>2828</v>
      </c>
      <c r="D3406" s="62" t="s">
        <v>4178</v>
      </c>
      <c r="E3406" s="63" t="s">
        <v>4360</v>
      </c>
      <c r="F3406" s="60" t="s">
        <v>4361</v>
      </c>
      <c r="G3406" s="60" t="s">
        <v>31</v>
      </c>
      <c r="H3406" s="45" t="s">
        <v>4398</v>
      </c>
      <c r="I3406" s="47" t="e">
        <f>VLOOKUP(H3406,'合同综合查询数据（3月返）'!$A:$A,1,FALSE)</f>
        <v>#N/A</v>
      </c>
      <c r="J3406" s="48" t="s">
        <v>33</v>
      </c>
      <c r="K3406" s="60" t="s">
        <v>2965</v>
      </c>
      <c r="L3406" s="113" t="s">
        <v>4399</v>
      </c>
      <c r="M3406" s="50" t="s">
        <v>4400</v>
      </c>
      <c r="N3406" s="322"/>
      <c r="O3406" s="310" t="s">
        <v>152</v>
      </c>
      <c r="P3406" s="323">
        <v>0</v>
      </c>
      <c r="Q3406" s="323">
        <v>0</v>
      </c>
      <c r="R3406" s="266">
        <f t="shared" si="80"/>
        <v>0</v>
      </c>
      <c r="S3406" s="48">
        <v>202303</v>
      </c>
      <c r="T3406" s="125" t="s">
        <v>4394</v>
      </c>
      <c r="U3406" s="102"/>
      <c r="V3406" s="126"/>
      <c r="W3406" s="102"/>
      <c r="X3406" s="111"/>
      <c r="Y3406" s="111"/>
    </row>
    <row r="3407" s="10" customFormat="1" customHeight="1" spans="1:25">
      <c r="A3407" s="60" t="s">
        <v>129</v>
      </c>
      <c r="B3407" s="62" t="s">
        <v>4074</v>
      </c>
      <c r="C3407" s="62" t="s">
        <v>2828</v>
      </c>
      <c r="D3407" s="62" t="s">
        <v>4178</v>
      </c>
      <c r="E3407" s="63" t="s">
        <v>4360</v>
      </c>
      <c r="F3407" s="60" t="s">
        <v>4361</v>
      </c>
      <c r="G3407" s="60" t="s">
        <v>88</v>
      </c>
      <c r="H3407" s="45" t="s">
        <v>4398</v>
      </c>
      <c r="I3407" s="47" t="e">
        <f>VLOOKUP(H3407,'合同综合查询数据（3月返）'!$A:$A,1,FALSE)</f>
        <v>#N/A</v>
      </c>
      <c r="J3407" s="48" t="s">
        <v>126</v>
      </c>
      <c r="K3407" s="60" t="s">
        <v>2965</v>
      </c>
      <c r="L3407" s="113" t="s">
        <v>4399</v>
      </c>
      <c r="M3407" s="50" t="s">
        <v>4400</v>
      </c>
      <c r="N3407" s="322">
        <v>44593</v>
      </c>
      <c r="O3407" s="310" t="s">
        <v>92</v>
      </c>
      <c r="P3407" s="323">
        <v>4000</v>
      </c>
      <c r="Q3407" s="266">
        <v>8</v>
      </c>
      <c r="R3407" s="266">
        <f t="shared" si="80"/>
        <v>32000</v>
      </c>
      <c r="S3407" s="48">
        <v>202303</v>
      </c>
      <c r="T3407" s="125" t="s">
        <v>4402</v>
      </c>
      <c r="U3407" s="102"/>
      <c r="V3407" s="126"/>
      <c r="W3407" s="102"/>
      <c r="X3407" s="111"/>
      <c r="Y3407" s="111"/>
    </row>
    <row r="3408" s="9" customFormat="1" customHeight="1" spans="1:25">
      <c r="A3408" s="96" t="s">
        <v>129</v>
      </c>
      <c r="B3408" s="94" t="s">
        <v>4074</v>
      </c>
      <c r="C3408" s="94" t="s">
        <v>283</v>
      </c>
      <c r="D3408" s="94" t="s">
        <v>4178</v>
      </c>
      <c r="E3408" s="105" t="s">
        <v>4360</v>
      </c>
      <c r="F3408" s="96" t="s">
        <v>4361</v>
      </c>
      <c r="G3408" s="96" t="s">
        <v>31</v>
      </c>
      <c r="H3408" s="19" t="s">
        <v>4403</v>
      </c>
      <c r="I3408" s="23" t="e">
        <f>VLOOKUP(H3408,'合同综合查询数据（3月返）'!$A:$A,1,FALSE)</f>
        <v>#N/A</v>
      </c>
      <c r="J3408" s="24" t="s">
        <v>33</v>
      </c>
      <c r="K3408" s="96" t="s">
        <v>4376</v>
      </c>
      <c r="L3408" s="114" t="s">
        <v>4404</v>
      </c>
      <c r="M3408" s="26" t="s">
        <v>4405</v>
      </c>
      <c r="N3408" s="286">
        <v>44713</v>
      </c>
      <c r="O3408" s="321" t="s">
        <v>37</v>
      </c>
      <c r="P3408" s="317">
        <v>0</v>
      </c>
      <c r="Q3408" s="268">
        <v>480</v>
      </c>
      <c r="R3408" s="268">
        <f t="shared" si="80"/>
        <v>0</v>
      </c>
      <c r="S3408" s="24">
        <v>202303</v>
      </c>
      <c r="T3408" s="127" t="s">
        <v>4406</v>
      </c>
      <c r="U3408" s="97"/>
      <c r="V3408" s="128"/>
      <c r="W3408" s="97"/>
      <c r="X3408" s="106">
        <v>44713</v>
      </c>
      <c r="Y3408" s="106">
        <v>45077</v>
      </c>
    </row>
    <row r="3409" s="9" customFormat="1" customHeight="1" spans="1:25">
      <c r="A3409" s="96" t="s">
        <v>129</v>
      </c>
      <c r="B3409" s="94" t="s">
        <v>4074</v>
      </c>
      <c r="C3409" s="94" t="s">
        <v>283</v>
      </c>
      <c r="D3409" s="94" t="s">
        <v>4178</v>
      </c>
      <c r="E3409" s="105" t="s">
        <v>4360</v>
      </c>
      <c r="F3409" s="96" t="s">
        <v>4361</v>
      </c>
      <c r="G3409" s="96" t="s">
        <v>31</v>
      </c>
      <c r="H3409" s="19" t="s">
        <v>4403</v>
      </c>
      <c r="I3409" s="23" t="e">
        <f>VLOOKUP(H3409,'合同综合查询数据（3月返）'!$A:$A,1,FALSE)</f>
        <v>#N/A</v>
      </c>
      <c r="J3409" s="24" t="s">
        <v>33</v>
      </c>
      <c r="K3409" s="96" t="s">
        <v>4376</v>
      </c>
      <c r="L3409" s="114" t="s">
        <v>4404</v>
      </c>
      <c r="M3409" s="26" t="s">
        <v>4405</v>
      </c>
      <c r="N3409" s="286">
        <v>44713</v>
      </c>
      <c r="O3409" s="321" t="s">
        <v>37</v>
      </c>
      <c r="P3409" s="317">
        <v>50</v>
      </c>
      <c r="Q3409" s="268">
        <v>64</v>
      </c>
      <c r="R3409" s="268">
        <f t="shared" si="80"/>
        <v>3200</v>
      </c>
      <c r="S3409" s="24">
        <v>202303</v>
      </c>
      <c r="T3409" s="127" t="s">
        <v>4406</v>
      </c>
      <c r="U3409" s="97"/>
      <c r="V3409" s="128"/>
      <c r="W3409" s="97"/>
      <c r="X3409" s="106">
        <v>44713</v>
      </c>
      <c r="Y3409" s="106">
        <v>45077</v>
      </c>
    </row>
    <row r="3410" s="9" customFormat="1" customHeight="1" spans="1:25">
      <c r="A3410" s="96" t="s">
        <v>129</v>
      </c>
      <c r="B3410" s="94" t="s">
        <v>4074</v>
      </c>
      <c r="C3410" s="94" t="s">
        <v>283</v>
      </c>
      <c r="D3410" s="94" t="s">
        <v>4178</v>
      </c>
      <c r="E3410" s="105" t="s">
        <v>4360</v>
      </c>
      <c r="F3410" s="96" t="s">
        <v>4361</v>
      </c>
      <c r="G3410" s="96" t="s">
        <v>31</v>
      </c>
      <c r="H3410" s="19" t="s">
        <v>4403</v>
      </c>
      <c r="I3410" s="23" t="e">
        <f>VLOOKUP(H3410,'合同综合查询数据（3月返）'!$A:$A,1,FALSE)</f>
        <v>#N/A</v>
      </c>
      <c r="J3410" s="24" t="s">
        <v>33</v>
      </c>
      <c r="K3410" s="96" t="s">
        <v>4376</v>
      </c>
      <c r="L3410" s="114" t="s">
        <v>4404</v>
      </c>
      <c r="M3410" s="26" t="s">
        <v>4405</v>
      </c>
      <c r="N3410" s="286">
        <v>44734</v>
      </c>
      <c r="O3410" s="321" t="s">
        <v>37</v>
      </c>
      <c r="P3410" s="317">
        <v>50</v>
      </c>
      <c r="Q3410" s="268">
        <v>256</v>
      </c>
      <c r="R3410" s="268">
        <f t="shared" si="80"/>
        <v>12800</v>
      </c>
      <c r="S3410" s="24">
        <v>202303</v>
      </c>
      <c r="T3410" s="127" t="s">
        <v>4407</v>
      </c>
      <c r="U3410" s="97"/>
      <c r="V3410" s="128"/>
      <c r="W3410" s="97"/>
      <c r="X3410" s="106">
        <v>44713</v>
      </c>
      <c r="Y3410" s="106">
        <v>45077</v>
      </c>
    </row>
    <row r="3411" s="9" customFormat="1" customHeight="1" spans="1:25">
      <c r="A3411" s="96" t="s">
        <v>129</v>
      </c>
      <c r="B3411" s="94" t="s">
        <v>4074</v>
      </c>
      <c r="C3411" s="94" t="s">
        <v>283</v>
      </c>
      <c r="D3411" s="94" t="s">
        <v>4178</v>
      </c>
      <c r="E3411" s="105" t="s">
        <v>4360</v>
      </c>
      <c r="F3411" s="96" t="s">
        <v>4361</v>
      </c>
      <c r="G3411" s="96" t="s">
        <v>31</v>
      </c>
      <c r="H3411" s="19" t="s">
        <v>4403</v>
      </c>
      <c r="I3411" s="23" t="e">
        <f>VLOOKUP(H3411,'合同综合查询数据（3月返）'!$A:$A,1,FALSE)</f>
        <v>#N/A</v>
      </c>
      <c r="J3411" s="24" t="s">
        <v>33</v>
      </c>
      <c r="K3411" s="96" t="s">
        <v>4376</v>
      </c>
      <c r="L3411" s="114" t="s">
        <v>4404</v>
      </c>
      <c r="M3411" s="26" t="s">
        <v>4405</v>
      </c>
      <c r="N3411" s="286">
        <v>44907</v>
      </c>
      <c r="O3411" s="321" t="s">
        <v>37</v>
      </c>
      <c r="P3411" s="317">
        <v>50</v>
      </c>
      <c r="Q3411" s="268">
        <v>-256</v>
      </c>
      <c r="R3411" s="268">
        <f t="shared" si="80"/>
        <v>-12800</v>
      </c>
      <c r="S3411" s="24">
        <v>202303</v>
      </c>
      <c r="T3411" s="127" t="s">
        <v>4408</v>
      </c>
      <c r="U3411" s="97"/>
      <c r="V3411" s="128"/>
      <c r="W3411" s="97"/>
      <c r="X3411" s="106">
        <v>44713</v>
      </c>
      <c r="Y3411" s="106">
        <v>45077</v>
      </c>
    </row>
    <row r="3412" s="9" customFormat="1" customHeight="1" spans="1:25">
      <c r="A3412" s="96" t="s">
        <v>129</v>
      </c>
      <c r="B3412" s="94" t="s">
        <v>4074</v>
      </c>
      <c r="C3412" s="94" t="s">
        <v>283</v>
      </c>
      <c r="D3412" s="94" t="s">
        <v>4178</v>
      </c>
      <c r="E3412" s="105" t="s">
        <v>4360</v>
      </c>
      <c r="F3412" s="96" t="s">
        <v>4361</v>
      </c>
      <c r="G3412" s="96" t="s">
        <v>31</v>
      </c>
      <c r="H3412" s="19" t="s">
        <v>4403</v>
      </c>
      <c r="I3412" s="23" t="e">
        <f>VLOOKUP(H3412,'合同综合查询数据（3月返）'!$A:$A,1,FALSE)</f>
        <v>#N/A</v>
      </c>
      <c r="J3412" s="24" t="s">
        <v>33</v>
      </c>
      <c r="K3412" s="96" t="s">
        <v>4376</v>
      </c>
      <c r="L3412" s="114" t="s">
        <v>4404</v>
      </c>
      <c r="M3412" s="26" t="s">
        <v>4405</v>
      </c>
      <c r="N3412" s="286">
        <v>45002</v>
      </c>
      <c r="O3412" s="321" t="s">
        <v>37</v>
      </c>
      <c r="P3412" s="317">
        <v>50</v>
      </c>
      <c r="Q3412" s="268">
        <v>-64</v>
      </c>
      <c r="R3412" s="268">
        <f>ROUND(P3412*Q3412*14/31,2)</f>
        <v>-1445.16</v>
      </c>
      <c r="S3412" s="24">
        <v>202303</v>
      </c>
      <c r="T3412" s="127" t="s">
        <v>4409</v>
      </c>
      <c r="U3412" s="97"/>
      <c r="V3412" s="128"/>
      <c r="W3412" s="97"/>
      <c r="X3412" s="106">
        <v>44713</v>
      </c>
      <c r="Y3412" s="106">
        <v>45077</v>
      </c>
    </row>
    <row r="3413" s="9" customFormat="1" customHeight="1" spans="1:25">
      <c r="A3413" s="96" t="s">
        <v>129</v>
      </c>
      <c r="B3413" s="94" t="s">
        <v>4074</v>
      </c>
      <c r="C3413" s="94" t="s">
        <v>283</v>
      </c>
      <c r="D3413" s="94" t="s">
        <v>4178</v>
      </c>
      <c r="E3413" s="105" t="s">
        <v>4360</v>
      </c>
      <c r="F3413" s="96" t="s">
        <v>4361</v>
      </c>
      <c r="G3413" s="96" t="s">
        <v>31</v>
      </c>
      <c r="H3413" s="19" t="s">
        <v>4403</v>
      </c>
      <c r="I3413" s="23" t="e">
        <f>VLOOKUP(H3413,'合同综合查询数据（3月返）'!$A:$A,1,FALSE)</f>
        <v>#N/A</v>
      </c>
      <c r="J3413" s="24" t="s">
        <v>33</v>
      </c>
      <c r="K3413" s="96" t="s">
        <v>4376</v>
      </c>
      <c r="L3413" s="114" t="s">
        <v>4404</v>
      </c>
      <c r="M3413" s="26" t="s">
        <v>4405</v>
      </c>
      <c r="N3413" s="286">
        <v>45002</v>
      </c>
      <c r="O3413" s="321" t="s">
        <v>37</v>
      </c>
      <c r="P3413" s="317">
        <v>0</v>
      </c>
      <c r="Q3413" s="268">
        <v>-64</v>
      </c>
      <c r="R3413" s="268">
        <f>ROUND(P3413*Q3413*14/31,2)</f>
        <v>0</v>
      </c>
      <c r="S3413" s="24">
        <v>202303</v>
      </c>
      <c r="T3413" s="127"/>
      <c r="U3413" s="97"/>
      <c r="V3413" s="128"/>
      <c r="W3413" s="97"/>
      <c r="X3413" s="106">
        <v>44713</v>
      </c>
      <c r="Y3413" s="106">
        <v>45077</v>
      </c>
    </row>
    <row r="3414" s="9" customFormat="1" customHeight="1" spans="1:25">
      <c r="A3414" s="96" t="s">
        <v>129</v>
      </c>
      <c r="B3414" s="94" t="s">
        <v>4074</v>
      </c>
      <c r="C3414" s="94" t="s">
        <v>283</v>
      </c>
      <c r="D3414" s="94" t="s">
        <v>4178</v>
      </c>
      <c r="E3414" s="105" t="s">
        <v>4360</v>
      </c>
      <c r="F3414" s="96" t="s">
        <v>4361</v>
      </c>
      <c r="G3414" s="96" t="s">
        <v>31</v>
      </c>
      <c r="H3414" s="19" t="s">
        <v>4403</v>
      </c>
      <c r="I3414" s="23" t="e">
        <f>VLOOKUP(H3414,'合同综合查询数据（3月返）'!$A:$A,1,FALSE)</f>
        <v>#N/A</v>
      </c>
      <c r="J3414" s="24" t="s">
        <v>33</v>
      </c>
      <c r="K3414" s="96" t="s">
        <v>4376</v>
      </c>
      <c r="L3414" s="114" t="s">
        <v>4404</v>
      </c>
      <c r="M3414" s="26" t="s">
        <v>4405</v>
      </c>
      <c r="N3414" s="286">
        <v>44734</v>
      </c>
      <c r="O3414" s="321" t="s">
        <v>152</v>
      </c>
      <c r="P3414" s="317">
        <v>0</v>
      </c>
      <c r="Q3414" s="317">
        <v>0</v>
      </c>
      <c r="R3414" s="268">
        <f t="shared" ref="R3414:R3420" si="81">ROUND(P3414*Q3414,2)</f>
        <v>0</v>
      </c>
      <c r="S3414" s="24">
        <v>202303</v>
      </c>
      <c r="T3414" s="127" t="s">
        <v>4410</v>
      </c>
      <c r="U3414" s="97"/>
      <c r="V3414" s="128"/>
      <c r="W3414" s="97"/>
      <c r="X3414" s="106">
        <v>44713</v>
      </c>
      <c r="Y3414" s="106">
        <v>45077</v>
      </c>
    </row>
    <row r="3415" s="9" customFormat="1" customHeight="1" spans="1:25">
      <c r="A3415" s="96" t="s">
        <v>129</v>
      </c>
      <c r="B3415" s="94" t="s">
        <v>4074</v>
      </c>
      <c r="C3415" s="94" t="s">
        <v>283</v>
      </c>
      <c r="D3415" s="94" t="s">
        <v>4178</v>
      </c>
      <c r="E3415" s="105" t="s">
        <v>4360</v>
      </c>
      <c r="F3415" s="96" t="s">
        <v>4361</v>
      </c>
      <c r="G3415" s="96" t="s">
        <v>88</v>
      </c>
      <c r="H3415" s="19" t="s">
        <v>4403</v>
      </c>
      <c r="I3415" s="23" t="e">
        <f>VLOOKUP(H3415,'合同综合查询数据（3月返）'!$A:$A,1,FALSE)</f>
        <v>#N/A</v>
      </c>
      <c r="J3415" s="24" t="s">
        <v>126</v>
      </c>
      <c r="K3415" s="96" t="s">
        <v>4376</v>
      </c>
      <c r="L3415" s="114" t="s">
        <v>4404</v>
      </c>
      <c r="M3415" s="26" t="s">
        <v>4405</v>
      </c>
      <c r="N3415" s="286">
        <v>44713</v>
      </c>
      <c r="O3415" s="321" t="s">
        <v>3267</v>
      </c>
      <c r="P3415" s="317">
        <v>5000</v>
      </c>
      <c r="Q3415" s="268">
        <v>4</v>
      </c>
      <c r="R3415" s="268">
        <f t="shared" si="81"/>
        <v>20000</v>
      </c>
      <c r="S3415" s="24">
        <v>202303</v>
      </c>
      <c r="T3415" s="127" t="s">
        <v>4411</v>
      </c>
      <c r="U3415" s="97"/>
      <c r="V3415" s="128"/>
      <c r="W3415" s="97"/>
      <c r="X3415" s="106">
        <v>44713</v>
      </c>
      <c r="Y3415" s="106">
        <v>45077</v>
      </c>
    </row>
    <row r="3416" s="9" customFormat="1" customHeight="1" spans="1:25">
      <c r="A3416" s="96" t="s">
        <v>129</v>
      </c>
      <c r="B3416" s="94" t="s">
        <v>4074</v>
      </c>
      <c r="C3416" s="94" t="s">
        <v>283</v>
      </c>
      <c r="D3416" s="94" t="s">
        <v>4178</v>
      </c>
      <c r="E3416" s="105" t="s">
        <v>4360</v>
      </c>
      <c r="F3416" s="96" t="s">
        <v>4361</v>
      </c>
      <c r="G3416" s="96" t="s">
        <v>88</v>
      </c>
      <c r="H3416" s="19" t="s">
        <v>4403</v>
      </c>
      <c r="I3416" s="23" t="e">
        <f>VLOOKUP(H3416,'合同综合查询数据（3月返）'!$A:$A,1,FALSE)</f>
        <v>#N/A</v>
      </c>
      <c r="J3416" s="24" t="s">
        <v>126</v>
      </c>
      <c r="K3416" s="96" t="s">
        <v>4376</v>
      </c>
      <c r="L3416" s="114" t="s">
        <v>4404</v>
      </c>
      <c r="M3416" s="26" t="s">
        <v>4405</v>
      </c>
      <c r="N3416" s="286">
        <v>44734</v>
      </c>
      <c r="O3416" s="321" t="s">
        <v>3267</v>
      </c>
      <c r="P3416" s="317">
        <v>5000</v>
      </c>
      <c r="Q3416" s="268">
        <v>5</v>
      </c>
      <c r="R3416" s="268">
        <f t="shared" si="81"/>
        <v>25000</v>
      </c>
      <c r="S3416" s="24">
        <v>202303</v>
      </c>
      <c r="T3416" s="127" t="s">
        <v>4412</v>
      </c>
      <c r="U3416" s="97"/>
      <c r="V3416" s="128"/>
      <c r="W3416" s="97"/>
      <c r="X3416" s="106">
        <v>44713</v>
      </c>
      <c r="Y3416" s="106">
        <v>45077</v>
      </c>
    </row>
    <row r="3417" s="9" customFormat="1" customHeight="1" spans="1:25">
      <c r="A3417" s="96" t="s">
        <v>129</v>
      </c>
      <c r="B3417" s="94" t="s">
        <v>4074</v>
      </c>
      <c r="C3417" s="94" t="s">
        <v>2828</v>
      </c>
      <c r="D3417" s="94" t="s">
        <v>4178</v>
      </c>
      <c r="E3417" s="105" t="s">
        <v>4360</v>
      </c>
      <c r="F3417" s="96" t="s">
        <v>4361</v>
      </c>
      <c r="G3417" s="96" t="s">
        <v>31</v>
      </c>
      <c r="H3417" s="19" t="s">
        <v>4413</v>
      </c>
      <c r="I3417" s="23" t="e">
        <f>VLOOKUP(H3417,'合同综合查询数据（3月返）'!$A:$A,1,FALSE)</f>
        <v>#N/A</v>
      </c>
      <c r="J3417" s="24" t="s">
        <v>33</v>
      </c>
      <c r="K3417" s="96" t="s">
        <v>2965</v>
      </c>
      <c r="L3417" s="114" t="s">
        <v>4414</v>
      </c>
      <c r="M3417" s="26" t="s">
        <v>4400</v>
      </c>
      <c r="N3417" s="286">
        <v>44775</v>
      </c>
      <c r="O3417" s="321" t="s">
        <v>37</v>
      </c>
      <c r="P3417" s="317">
        <v>0</v>
      </c>
      <c r="Q3417" s="268">
        <v>320</v>
      </c>
      <c r="R3417" s="268">
        <f t="shared" si="81"/>
        <v>0</v>
      </c>
      <c r="S3417" s="24">
        <v>202303</v>
      </c>
      <c r="T3417" s="127" t="s">
        <v>4415</v>
      </c>
      <c r="U3417" s="97"/>
      <c r="V3417" s="128"/>
      <c r="W3417" s="97"/>
      <c r="X3417" s="106">
        <v>44775</v>
      </c>
      <c r="Y3417" s="106">
        <v>45077</v>
      </c>
    </row>
    <row r="3418" s="9" customFormat="1" customHeight="1" spans="1:25">
      <c r="A3418" s="96" t="s">
        <v>129</v>
      </c>
      <c r="B3418" s="94" t="s">
        <v>4074</v>
      </c>
      <c r="C3418" s="94" t="s">
        <v>2828</v>
      </c>
      <c r="D3418" s="94" t="s">
        <v>4178</v>
      </c>
      <c r="E3418" s="105" t="s">
        <v>4360</v>
      </c>
      <c r="F3418" s="96" t="s">
        <v>4361</v>
      </c>
      <c r="G3418" s="96" t="s">
        <v>31</v>
      </c>
      <c r="H3418" s="19" t="s">
        <v>4413</v>
      </c>
      <c r="I3418" s="23" t="e">
        <f>VLOOKUP(H3418,'合同综合查询数据（3月返）'!$A:$A,1,FALSE)</f>
        <v>#N/A</v>
      </c>
      <c r="J3418" s="24" t="s">
        <v>33</v>
      </c>
      <c r="K3418" s="96" t="s">
        <v>2965</v>
      </c>
      <c r="L3418" s="114" t="s">
        <v>4414</v>
      </c>
      <c r="M3418" s="26" t="s">
        <v>4400</v>
      </c>
      <c r="N3418" s="286"/>
      <c r="O3418" s="321" t="s">
        <v>152</v>
      </c>
      <c r="P3418" s="317">
        <v>0</v>
      </c>
      <c r="Q3418" s="317">
        <v>0</v>
      </c>
      <c r="R3418" s="268">
        <f t="shared" si="81"/>
        <v>0</v>
      </c>
      <c r="S3418" s="24">
        <v>202303</v>
      </c>
      <c r="T3418" s="127" t="s">
        <v>4416</v>
      </c>
      <c r="U3418" s="97"/>
      <c r="V3418" s="128"/>
      <c r="W3418" s="97"/>
      <c r="X3418" s="106">
        <v>44775</v>
      </c>
      <c r="Y3418" s="106">
        <v>45077</v>
      </c>
    </row>
    <row r="3419" s="9" customFormat="1" customHeight="1" spans="1:25">
      <c r="A3419" s="96" t="s">
        <v>129</v>
      </c>
      <c r="B3419" s="94" t="s">
        <v>4074</v>
      </c>
      <c r="C3419" s="94" t="s">
        <v>2828</v>
      </c>
      <c r="D3419" s="94" t="s">
        <v>4178</v>
      </c>
      <c r="E3419" s="105" t="s">
        <v>4360</v>
      </c>
      <c r="F3419" s="96" t="s">
        <v>4361</v>
      </c>
      <c r="G3419" s="96" t="s">
        <v>88</v>
      </c>
      <c r="H3419" s="19" t="s">
        <v>4413</v>
      </c>
      <c r="I3419" s="23" t="e">
        <f>VLOOKUP(H3419,'合同综合查询数据（3月返）'!$A:$A,1,FALSE)</f>
        <v>#N/A</v>
      </c>
      <c r="J3419" s="24" t="s">
        <v>126</v>
      </c>
      <c r="K3419" s="96" t="s">
        <v>2965</v>
      </c>
      <c r="L3419" s="114" t="s">
        <v>4414</v>
      </c>
      <c r="M3419" s="26" t="s">
        <v>4400</v>
      </c>
      <c r="N3419" s="286">
        <v>44775</v>
      </c>
      <c r="O3419" s="321" t="s">
        <v>92</v>
      </c>
      <c r="P3419" s="317">
        <v>4000</v>
      </c>
      <c r="Q3419" s="268">
        <v>6</v>
      </c>
      <c r="R3419" s="268">
        <f t="shared" si="81"/>
        <v>24000</v>
      </c>
      <c r="S3419" s="24">
        <v>202303</v>
      </c>
      <c r="T3419" s="127" t="s">
        <v>4417</v>
      </c>
      <c r="U3419" s="97"/>
      <c r="V3419" s="128"/>
      <c r="W3419" s="97"/>
      <c r="X3419" s="106">
        <v>44775</v>
      </c>
      <c r="Y3419" s="106">
        <v>45077</v>
      </c>
    </row>
    <row r="3420" s="10" customFormat="1" customHeight="1" spans="1:25">
      <c r="A3420" s="60" t="s">
        <v>109</v>
      </c>
      <c r="B3420" s="62" t="s">
        <v>4074</v>
      </c>
      <c r="C3420" s="62" t="s">
        <v>2912</v>
      </c>
      <c r="D3420" s="62" t="s">
        <v>4178</v>
      </c>
      <c r="E3420" s="63" t="s">
        <v>4360</v>
      </c>
      <c r="F3420" s="60" t="s">
        <v>4361</v>
      </c>
      <c r="G3420" s="60" t="s">
        <v>31</v>
      </c>
      <c r="H3420" s="45" t="s">
        <v>4418</v>
      </c>
      <c r="I3420" s="47" t="e">
        <f>VLOOKUP(H3420,'合同综合查询数据（3月返）'!$A:$A,1,FALSE)</f>
        <v>#N/A</v>
      </c>
      <c r="J3420" s="48" t="s">
        <v>33</v>
      </c>
      <c r="K3420" s="60" t="s">
        <v>2912</v>
      </c>
      <c r="L3420" s="113" t="s">
        <v>4419</v>
      </c>
      <c r="M3420" s="50" t="s">
        <v>4420</v>
      </c>
      <c r="N3420" s="322">
        <v>44987</v>
      </c>
      <c r="O3420" s="310" t="s">
        <v>37</v>
      </c>
      <c r="P3420" s="323">
        <v>0</v>
      </c>
      <c r="Q3420" s="324">
        <v>160</v>
      </c>
      <c r="R3420" s="266">
        <f t="shared" si="81"/>
        <v>0</v>
      </c>
      <c r="S3420" s="48">
        <v>202303</v>
      </c>
      <c r="T3420" s="125" t="s">
        <v>4421</v>
      </c>
      <c r="U3420" s="102"/>
      <c r="V3420" s="325"/>
      <c r="W3420" s="102"/>
      <c r="X3420" s="111"/>
      <c r="Y3420" s="111"/>
    </row>
    <row r="3421" s="10" customFormat="1" customHeight="1" spans="1:25">
      <c r="A3421" s="60" t="s">
        <v>109</v>
      </c>
      <c r="B3421" s="62" t="s">
        <v>4074</v>
      </c>
      <c r="C3421" s="62" t="s">
        <v>2912</v>
      </c>
      <c r="D3421" s="62" t="s">
        <v>4178</v>
      </c>
      <c r="E3421" s="63" t="s">
        <v>4360</v>
      </c>
      <c r="F3421" s="60" t="s">
        <v>4361</v>
      </c>
      <c r="G3421" s="60" t="s">
        <v>88</v>
      </c>
      <c r="H3421" s="45" t="s">
        <v>4418</v>
      </c>
      <c r="I3421" s="47" t="e">
        <f>VLOOKUP(H3421,'合同综合查询数据（3月返）'!$A:$A,1,FALSE)</f>
        <v>#N/A</v>
      </c>
      <c r="J3421" s="48" t="s">
        <v>126</v>
      </c>
      <c r="K3421" s="60" t="s">
        <v>2912</v>
      </c>
      <c r="L3421" s="113" t="s">
        <v>4419</v>
      </c>
      <c r="M3421" s="50" t="s">
        <v>4420</v>
      </c>
      <c r="N3421" s="322">
        <v>44987</v>
      </c>
      <c r="O3421" s="310" t="s">
        <v>92</v>
      </c>
      <c r="P3421" s="323">
        <v>5000</v>
      </c>
      <c r="Q3421" s="324">
        <v>3</v>
      </c>
      <c r="R3421" s="266">
        <f>ROUND(P3421*Q3421*30/31,2)</f>
        <v>14516.13</v>
      </c>
      <c r="S3421" s="48">
        <v>202303</v>
      </c>
      <c r="T3421" s="125" t="s">
        <v>4422</v>
      </c>
      <c r="U3421" s="102"/>
      <c r="V3421" s="325"/>
      <c r="W3421" s="102"/>
      <c r="X3421" s="111"/>
      <c r="Y3421" s="111"/>
    </row>
    <row r="3422" s="9" customFormat="1" customHeight="1" spans="1:25">
      <c r="A3422" s="96" t="s">
        <v>109</v>
      </c>
      <c r="B3422" s="96" t="s">
        <v>4074</v>
      </c>
      <c r="C3422" s="96" t="s">
        <v>2998</v>
      </c>
      <c r="D3422" s="94" t="s">
        <v>4178</v>
      </c>
      <c r="E3422" s="105" t="s">
        <v>4423</v>
      </c>
      <c r="F3422" s="96" t="s">
        <v>4424</v>
      </c>
      <c r="G3422" s="96" t="s">
        <v>31</v>
      </c>
      <c r="H3422" s="19" t="s">
        <v>4425</v>
      </c>
      <c r="I3422" s="23" t="e">
        <f>VLOOKUP(H3422,'合同综合查询数据（3月返）'!$A:$A,1,FALSE)</f>
        <v>#N/A</v>
      </c>
      <c r="J3422" s="24" t="s">
        <v>33</v>
      </c>
      <c r="K3422" s="96" t="s">
        <v>3970</v>
      </c>
      <c r="L3422" s="114" t="s">
        <v>4426</v>
      </c>
      <c r="M3422" s="26" t="s">
        <v>4427</v>
      </c>
      <c r="N3422" s="311">
        <v>43490</v>
      </c>
      <c r="O3422" s="311" t="s">
        <v>37</v>
      </c>
      <c r="P3422" s="268">
        <v>0</v>
      </c>
      <c r="Q3422" s="273">
        <v>112</v>
      </c>
      <c r="R3422" s="268">
        <f t="shared" ref="R3422:R3485" si="82">ROUND(P3422*Q3422,2)</f>
        <v>0</v>
      </c>
      <c r="S3422" s="24">
        <v>202303</v>
      </c>
      <c r="T3422" s="127" t="s">
        <v>4428</v>
      </c>
      <c r="U3422" s="40"/>
      <c r="V3422" s="40"/>
      <c r="W3422" s="40"/>
      <c r="X3422" s="106">
        <v>44835</v>
      </c>
      <c r="Y3422" s="28">
        <v>45199</v>
      </c>
    </row>
    <row r="3423" s="9" customFormat="1" customHeight="1" spans="1:25">
      <c r="A3423" s="96" t="s">
        <v>109</v>
      </c>
      <c r="B3423" s="96" t="s">
        <v>4074</v>
      </c>
      <c r="C3423" s="96" t="s">
        <v>2998</v>
      </c>
      <c r="D3423" s="94" t="s">
        <v>4178</v>
      </c>
      <c r="E3423" s="105" t="s">
        <v>4423</v>
      </c>
      <c r="F3423" s="96" t="s">
        <v>4424</v>
      </c>
      <c r="G3423" s="96" t="s">
        <v>31</v>
      </c>
      <c r="H3423" s="19" t="s">
        <v>4425</v>
      </c>
      <c r="I3423" s="23" t="e">
        <f>VLOOKUP(H3423,'合同综合查询数据（3月返）'!$A:$A,1,FALSE)</f>
        <v>#N/A</v>
      </c>
      <c r="J3423" s="24" t="s">
        <v>33</v>
      </c>
      <c r="K3423" s="96" t="s">
        <v>3970</v>
      </c>
      <c r="L3423" s="114" t="s">
        <v>4426</v>
      </c>
      <c r="M3423" s="26" t="s">
        <v>4427</v>
      </c>
      <c r="N3423" s="311">
        <v>43490</v>
      </c>
      <c r="O3423" s="311" t="s">
        <v>37</v>
      </c>
      <c r="P3423" s="268">
        <v>25</v>
      </c>
      <c r="Q3423" s="273">
        <v>176</v>
      </c>
      <c r="R3423" s="268">
        <f t="shared" si="82"/>
        <v>4400</v>
      </c>
      <c r="S3423" s="24">
        <v>202303</v>
      </c>
      <c r="T3423" s="127" t="s">
        <v>4429</v>
      </c>
      <c r="U3423" s="40"/>
      <c r="V3423" s="40"/>
      <c r="W3423" s="40"/>
      <c r="X3423" s="106">
        <v>44835</v>
      </c>
      <c r="Y3423" s="28">
        <v>45199</v>
      </c>
    </row>
    <row r="3424" s="9" customFormat="1" customHeight="1" spans="1:25">
      <c r="A3424" s="96" t="s">
        <v>109</v>
      </c>
      <c r="B3424" s="96" t="s">
        <v>4074</v>
      </c>
      <c r="C3424" s="96" t="s">
        <v>2998</v>
      </c>
      <c r="D3424" s="94" t="s">
        <v>4178</v>
      </c>
      <c r="E3424" s="105" t="s">
        <v>4423</v>
      </c>
      <c r="F3424" s="96" t="s">
        <v>4424</v>
      </c>
      <c r="G3424" s="96" t="s">
        <v>31</v>
      </c>
      <c r="H3424" s="19" t="s">
        <v>4425</v>
      </c>
      <c r="I3424" s="23" t="e">
        <f>VLOOKUP(H3424,'合同综合查询数据（3月返）'!$A:$A,1,FALSE)</f>
        <v>#N/A</v>
      </c>
      <c r="J3424" s="24" t="s">
        <v>33</v>
      </c>
      <c r="K3424" s="96" t="s">
        <v>3970</v>
      </c>
      <c r="L3424" s="114" t="s">
        <v>4426</v>
      </c>
      <c r="M3424" s="26" t="s">
        <v>4427</v>
      </c>
      <c r="N3424" s="311">
        <v>44887</v>
      </c>
      <c r="O3424" s="311" t="s">
        <v>37</v>
      </c>
      <c r="P3424" s="268">
        <v>25</v>
      </c>
      <c r="Q3424" s="273">
        <v>-112</v>
      </c>
      <c r="R3424" s="268">
        <f t="shared" si="82"/>
        <v>-2800</v>
      </c>
      <c r="S3424" s="24">
        <v>202303</v>
      </c>
      <c r="T3424" s="127"/>
      <c r="U3424" s="40"/>
      <c r="V3424" s="40"/>
      <c r="W3424" s="40"/>
      <c r="X3424" s="106">
        <v>44835</v>
      </c>
      <c r="Y3424" s="28">
        <v>45199</v>
      </c>
    </row>
    <row r="3425" s="9" customFormat="1" customHeight="1" spans="1:25">
      <c r="A3425" s="96" t="s">
        <v>109</v>
      </c>
      <c r="B3425" s="96" t="s">
        <v>4074</v>
      </c>
      <c r="C3425" s="96" t="s">
        <v>2998</v>
      </c>
      <c r="D3425" s="94" t="s">
        <v>4178</v>
      </c>
      <c r="E3425" s="105" t="s">
        <v>4423</v>
      </c>
      <c r="F3425" s="96" t="s">
        <v>4424</v>
      </c>
      <c r="G3425" s="96" t="s">
        <v>31</v>
      </c>
      <c r="H3425" s="19" t="s">
        <v>4425</v>
      </c>
      <c r="I3425" s="23" t="e">
        <f>VLOOKUP(H3425,'合同综合查询数据（3月返）'!$A:$A,1,FALSE)</f>
        <v>#N/A</v>
      </c>
      <c r="J3425" s="24" t="s">
        <v>33</v>
      </c>
      <c r="K3425" s="96" t="s">
        <v>3970</v>
      </c>
      <c r="L3425" s="114" t="s">
        <v>4426</v>
      </c>
      <c r="M3425" s="26" t="s">
        <v>4427</v>
      </c>
      <c r="N3425" s="311">
        <v>44887</v>
      </c>
      <c r="O3425" s="311" t="s">
        <v>37</v>
      </c>
      <c r="P3425" s="268">
        <v>0</v>
      </c>
      <c r="Q3425" s="273">
        <v>-16</v>
      </c>
      <c r="R3425" s="268">
        <f t="shared" si="82"/>
        <v>0</v>
      </c>
      <c r="S3425" s="24">
        <v>202303</v>
      </c>
      <c r="T3425" s="127" t="s">
        <v>4430</v>
      </c>
      <c r="U3425" s="40"/>
      <c r="V3425" s="40"/>
      <c r="W3425" s="40"/>
      <c r="X3425" s="106">
        <v>44835</v>
      </c>
      <c r="Y3425" s="28">
        <v>45199</v>
      </c>
    </row>
    <row r="3426" s="9" customFormat="1" customHeight="1" spans="1:25">
      <c r="A3426" s="96" t="s">
        <v>109</v>
      </c>
      <c r="B3426" s="96" t="s">
        <v>4074</v>
      </c>
      <c r="C3426" s="96" t="s">
        <v>2998</v>
      </c>
      <c r="D3426" s="94" t="s">
        <v>4178</v>
      </c>
      <c r="E3426" s="105" t="s">
        <v>4423</v>
      </c>
      <c r="F3426" s="96" t="s">
        <v>4424</v>
      </c>
      <c r="G3426" s="96" t="s">
        <v>88</v>
      </c>
      <c r="H3426" s="19" t="s">
        <v>4425</v>
      </c>
      <c r="I3426" s="23" t="e">
        <f>VLOOKUP(H3426,'合同综合查询数据（3月返）'!$A:$A,1,FALSE)</f>
        <v>#N/A</v>
      </c>
      <c r="J3426" s="24" t="s">
        <v>126</v>
      </c>
      <c r="K3426" s="96" t="s">
        <v>3970</v>
      </c>
      <c r="L3426" s="114" t="s">
        <v>4426</v>
      </c>
      <c r="M3426" s="26" t="s">
        <v>4427</v>
      </c>
      <c r="N3426" s="311">
        <v>43490</v>
      </c>
      <c r="O3426" s="311" t="s">
        <v>92</v>
      </c>
      <c r="P3426" s="268">
        <v>5000</v>
      </c>
      <c r="Q3426" s="273">
        <v>7</v>
      </c>
      <c r="R3426" s="268">
        <f t="shared" si="82"/>
        <v>35000</v>
      </c>
      <c r="S3426" s="24">
        <v>202303</v>
      </c>
      <c r="T3426" s="127" t="s">
        <v>4431</v>
      </c>
      <c r="U3426" s="40"/>
      <c r="V3426" s="40"/>
      <c r="W3426" s="40"/>
      <c r="X3426" s="106">
        <v>44835</v>
      </c>
      <c r="Y3426" s="28">
        <v>45199</v>
      </c>
    </row>
    <row r="3427" s="9" customFormat="1" customHeight="1" spans="1:25">
      <c r="A3427" s="96" t="s">
        <v>109</v>
      </c>
      <c r="B3427" s="96" t="s">
        <v>4074</v>
      </c>
      <c r="C3427" s="96" t="s">
        <v>2998</v>
      </c>
      <c r="D3427" s="94" t="s">
        <v>4178</v>
      </c>
      <c r="E3427" s="105" t="s">
        <v>4423</v>
      </c>
      <c r="F3427" s="96" t="s">
        <v>4424</v>
      </c>
      <c r="G3427" s="96" t="s">
        <v>88</v>
      </c>
      <c r="H3427" s="19" t="s">
        <v>4425</v>
      </c>
      <c r="I3427" s="23" t="e">
        <f>VLOOKUP(H3427,'合同综合查询数据（3月返）'!$A:$A,1,FALSE)</f>
        <v>#N/A</v>
      </c>
      <c r="J3427" s="24" t="s">
        <v>126</v>
      </c>
      <c r="K3427" s="96" t="s">
        <v>3970</v>
      </c>
      <c r="L3427" s="114" t="s">
        <v>4426</v>
      </c>
      <c r="M3427" s="26" t="s">
        <v>4427</v>
      </c>
      <c r="N3427" s="311">
        <v>44887</v>
      </c>
      <c r="O3427" s="311" t="s">
        <v>92</v>
      </c>
      <c r="P3427" s="268">
        <v>5000</v>
      </c>
      <c r="Q3427" s="273">
        <v>-1</v>
      </c>
      <c r="R3427" s="268">
        <f t="shared" si="82"/>
        <v>-5000</v>
      </c>
      <c r="S3427" s="24">
        <v>202303</v>
      </c>
      <c r="T3427" s="127" t="s">
        <v>4432</v>
      </c>
      <c r="U3427" s="40"/>
      <c r="V3427" s="40"/>
      <c r="W3427" s="40"/>
      <c r="X3427" s="106">
        <v>44835</v>
      </c>
      <c r="Y3427" s="28">
        <v>45199</v>
      </c>
    </row>
    <row r="3428" s="9" customFormat="1" customHeight="1" spans="1:25">
      <c r="A3428" s="96" t="s">
        <v>129</v>
      </c>
      <c r="B3428" s="96" t="s">
        <v>4074</v>
      </c>
      <c r="C3428" s="96" t="s">
        <v>217</v>
      </c>
      <c r="D3428" s="94" t="s">
        <v>4178</v>
      </c>
      <c r="E3428" s="105" t="s">
        <v>4423</v>
      </c>
      <c r="F3428" s="96" t="s">
        <v>4424</v>
      </c>
      <c r="G3428" s="96" t="s">
        <v>31</v>
      </c>
      <c r="H3428" s="19" t="s">
        <v>4433</v>
      </c>
      <c r="I3428" s="23" t="e">
        <f>VLOOKUP(H3428,'合同综合查询数据（3月返）'!$A:$A,1,FALSE)</f>
        <v>#N/A</v>
      </c>
      <c r="J3428" s="24" t="s">
        <v>33</v>
      </c>
      <c r="K3428" s="96" t="s">
        <v>2166</v>
      </c>
      <c r="L3428" s="94" t="s">
        <v>2004</v>
      </c>
      <c r="M3428" s="26" t="s">
        <v>4434</v>
      </c>
      <c r="N3428" s="311">
        <v>43739</v>
      </c>
      <c r="O3428" s="311" t="s">
        <v>37</v>
      </c>
      <c r="P3428" s="268">
        <v>0</v>
      </c>
      <c r="Q3428" s="273">
        <v>256</v>
      </c>
      <c r="R3428" s="268">
        <f t="shared" si="82"/>
        <v>0</v>
      </c>
      <c r="S3428" s="24">
        <v>202303</v>
      </c>
      <c r="T3428" s="127" t="s">
        <v>4435</v>
      </c>
      <c r="U3428" s="40"/>
      <c r="V3428" s="40"/>
      <c r="W3428" s="40"/>
      <c r="X3428" s="106">
        <v>44713</v>
      </c>
      <c r="Y3428" s="106">
        <v>45016</v>
      </c>
    </row>
    <row r="3429" s="9" customFormat="1" customHeight="1" spans="1:25">
      <c r="A3429" s="96" t="s">
        <v>129</v>
      </c>
      <c r="B3429" s="96" t="s">
        <v>4074</v>
      </c>
      <c r="C3429" s="96" t="s">
        <v>217</v>
      </c>
      <c r="D3429" s="94" t="s">
        <v>4178</v>
      </c>
      <c r="E3429" s="105" t="s">
        <v>4423</v>
      </c>
      <c r="F3429" s="96" t="s">
        <v>4424</v>
      </c>
      <c r="G3429" s="96" t="s">
        <v>31</v>
      </c>
      <c r="H3429" s="19" t="s">
        <v>4433</v>
      </c>
      <c r="I3429" s="23" t="e">
        <f>VLOOKUP(H3429,'合同综合查询数据（3月返）'!$A:$A,1,FALSE)</f>
        <v>#N/A</v>
      </c>
      <c r="J3429" s="24" t="s">
        <v>33</v>
      </c>
      <c r="K3429" s="96" t="s">
        <v>2166</v>
      </c>
      <c r="L3429" s="94" t="s">
        <v>2004</v>
      </c>
      <c r="M3429" s="26" t="s">
        <v>4434</v>
      </c>
      <c r="N3429" s="311">
        <v>43739</v>
      </c>
      <c r="O3429" s="311" t="s">
        <v>37</v>
      </c>
      <c r="P3429" s="268">
        <v>50</v>
      </c>
      <c r="Q3429" s="273">
        <v>224</v>
      </c>
      <c r="R3429" s="268">
        <f t="shared" si="82"/>
        <v>11200</v>
      </c>
      <c r="S3429" s="24">
        <v>202303</v>
      </c>
      <c r="T3429" s="127" t="s">
        <v>4436</v>
      </c>
      <c r="U3429" s="40"/>
      <c r="V3429" s="40"/>
      <c r="W3429" s="40"/>
      <c r="X3429" s="106">
        <v>44713</v>
      </c>
      <c r="Y3429" s="106">
        <v>45016</v>
      </c>
    </row>
    <row r="3430" s="9" customFormat="1" customHeight="1" spans="1:25">
      <c r="A3430" s="96" t="s">
        <v>129</v>
      </c>
      <c r="B3430" s="96" t="s">
        <v>4074</v>
      </c>
      <c r="C3430" s="96" t="s">
        <v>217</v>
      </c>
      <c r="D3430" s="94" t="s">
        <v>4178</v>
      </c>
      <c r="E3430" s="105" t="s">
        <v>4423</v>
      </c>
      <c r="F3430" s="96" t="s">
        <v>4424</v>
      </c>
      <c r="G3430" s="96" t="s">
        <v>31</v>
      </c>
      <c r="H3430" s="19" t="s">
        <v>4433</v>
      </c>
      <c r="I3430" s="23" t="e">
        <f>VLOOKUP(H3430,'合同综合查询数据（3月返）'!$A:$A,1,FALSE)</f>
        <v>#N/A</v>
      </c>
      <c r="J3430" s="24" t="s">
        <v>33</v>
      </c>
      <c r="K3430" s="96" t="s">
        <v>2166</v>
      </c>
      <c r="L3430" s="94" t="s">
        <v>2004</v>
      </c>
      <c r="M3430" s="26" t="s">
        <v>4434</v>
      </c>
      <c r="N3430" s="311">
        <v>44165</v>
      </c>
      <c r="O3430" s="311" t="s">
        <v>37</v>
      </c>
      <c r="P3430" s="268">
        <v>0</v>
      </c>
      <c r="Q3430" s="273">
        <v>-64</v>
      </c>
      <c r="R3430" s="268">
        <f t="shared" si="82"/>
        <v>0</v>
      </c>
      <c r="S3430" s="24">
        <v>202303</v>
      </c>
      <c r="T3430" s="127" t="s">
        <v>4437</v>
      </c>
      <c r="U3430" s="40"/>
      <c r="V3430" s="40"/>
      <c r="W3430" s="40"/>
      <c r="X3430" s="106">
        <v>44713</v>
      </c>
      <c r="Y3430" s="106">
        <v>45016</v>
      </c>
    </row>
    <row r="3431" s="9" customFormat="1" customHeight="1" spans="1:25">
      <c r="A3431" s="96" t="s">
        <v>129</v>
      </c>
      <c r="B3431" s="96" t="s">
        <v>4074</v>
      </c>
      <c r="C3431" s="96" t="s">
        <v>217</v>
      </c>
      <c r="D3431" s="94" t="s">
        <v>4178</v>
      </c>
      <c r="E3431" s="105" t="s">
        <v>4423</v>
      </c>
      <c r="F3431" s="96" t="s">
        <v>4424</v>
      </c>
      <c r="G3431" s="96" t="s">
        <v>31</v>
      </c>
      <c r="H3431" s="19" t="s">
        <v>4433</v>
      </c>
      <c r="I3431" s="23" t="e">
        <f>VLOOKUP(H3431,'合同综合查询数据（3月返）'!$A:$A,1,FALSE)</f>
        <v>#N/A</v>
      </c>
      <c r="J3431" s="24" t="s">
        <v>33</v>
      </c>
      <c r="K3431" s="96" t="s">
        <v>2166</v>
      </c>
      <c r="L3431" s="94" t="s">
        <v>2004</v>
      </c>
      <c r="M3431" s="26" t="s">
        <v>4434</v>
      </c>
      <c r="N3431" s="311">
        <v>44572</v>
      </c>
      <c r="O3431" s="311" t="s">
        <v>37</v>
      </c>
      <c r="P3431" s="268">
        <v>0</v>
      </c>
      <c r="Q3431" s="273">
        <v>96</v>
      </c>
      <c r="R3431" s="268">
        <f t="shared" si="82"/>
        <v>0</v>
      </c>
      <c r="S3431" s="24">
        <v>202303</v>
      </c>
      <c r="T3431" s="127" t="s">
        <v>4438</v>
      </c>
      <c r="U3431" s="40"/>
      <c r="V3431" s="40"/>
      <c r="W3431" s="40"/>
      <c r="X3431" s="106">
        <v>44713</v>
      </c>
      <c r="Y3431" s="106">
        <v>45016</v>
      </c>
    </row>
    <row r="3432" s="9" customFormat="1" customHeight="1" spans="1:25">
      <c r="A3432" s="96" t="s">
        <v>129</v>
      </c>
      <c r="B3432" s="96" t="s">
        <v>4074</v>
      </c>
      <c r="C3432" s="96" t="s">
        <v>217</v>
      </c>
      <c r="D3432" s="94" t="s">
        <v>4178</v>
      </c>
      <c r="E3432" s="105" t="s">
        <v>4423</v>
      </c>
      <c r="F3432" s="96" t="s">
        <v>4424</v>
      </c>
      <c r="G3432" s="96" t="s">
        <v>31</v>
      </c>
      <c r="H3432" s="19" t="s">
        <v>4433</v>
      </c>
      <c r="I3432" s="23" t="e">
        <f>VLOOKUP(H3432,'合同综合查询数据（3月返）'!$A:$A,1,FALSE)</f>
        <v>#N/A</v>
      </c>
      <c r="J3432" s="24" t="s">
        <v>33</v>
      </c>
      <c r="K3432" s="96" t="s">
        <v>2166</v>
      </c>
      <c r="L3432" s="94" t="s">
        <v>2004</v>
      </c>
      <c r="M3432" s="26" t="s">
        <v>4434</v>
      </c>
      <c r="N3432" s="311">
        <v>44572</v>
      </c>
      <c r="O3432" s="311" t="s">
        <v>37</v>
      </c>
      <c r="P3432" s="268">
        <v>0</v>
      </c>
      <c r="Q3432" s="273">
        <v>32</v>
      </c>
      <c r="R3432" s="268">
        <f t="shared" si="82"/>
        <v>0</v>
      </c>
      <c r="S3432" s="24">
        <v>202303</v>
      </c>
      <c r="T3432" s="127" t="s">
        <v>4438</v>
      </c>
      <c r="U3432" s="40"/>
      <c r="V3432" s="40"/>
      <c r="W3432" s="40"/>
      <c r="X3432" s="106">
        <v>44713</v>
      </c>
      <c r="Y3432" s="106">
        <v>45016</v>
      </c>
    </row>
    <row r="3433" s="9" customFormat="1" customHeight="1" spans="1:25">
      <c r="A3433" s="96" t="s">
        <v>129</v>
      </c>
      <c r="B3433" s="96" t="s">
        <v>4074</v>
      </c>
      <c r="C3433" s="96" t="s">
        <v>217</v>
      </c>
      <c r="D3433" s="94" t="s">
        <v>4178</v>
      </c>
      <c r="E3433" s="105" t="s">
        <v>4423</v>
      </c>
      <c r="F3433" s="96" t="s">
        <v>4424</v>
      </c>
      <c r="G3433" s="96" t="s">
        <v>31</v>
      </c>
      <c r="H3433" s="19" t="s">
        <v>4433</v>
      </c>
      <c r="I3433" s="23" t="e">
        <f>VLOOKUP(H3433,'合同综合查询数据（3月返）'!$A:$A,1,FALSE)</f>
        <v>#N/A</v>
      </c>
      <c r="J3433" s="24" t="s">
        <v>33</v>
      </c>
      <c r="K3433" s="96" t="s">
        <v>2166</v>
      </c>
      <c r="L3433" s="94" t="s">
        <v>2004</v>
      </c>
      <c r="M3433" s="26" t="s">
        <v>4434</v>
      </c>
      <c r="N3433" s="311">
        <v>44628</v>
      </c>
      <c r="O3433" s="311" t="s">
        <v>37</v>
      </c>
      <c r="P3433" s="268">
        <v>0</v>
      </c>
      <c r="Q3433" s="273">
        <v>128</v>
      </c>
      <c r="R3433" s="268">
        <f t="shared" si="82"/>
        <v>0</v>
      </c>
      <c r="S3433" s="24">
        <v>202303</v>
      </c>
      <c r="T3433" s="127" t="s">
        <v>4439</v>
      </c>
      <c r="U3433" s="40"/>
      <c r="V3433" s="40"/>
      <c r="W3433" s="40"/>
      <c r="X3433" s="106">
        <v>44713</v>
      </c>
      <c r="Y3433" s="106">
        <v>45016</v>
      </c>
    </row>
    <row r="3434" s="9" customFormat="1" customHeight="1" spans="1:25">
      <c r="A3434" s="96" t="s">
        <v>129</v>
      </c>
      <c r="B3434" s="96" t="s">
        <v>4074</v>
      </c>
      <c r="C3434" s="96" t="s">
        <v>217</v>
      </c>
      <c r="D3434" s="94" t="s">
        <v>4178</v>
      </c>
      <c r="E3434" s="105" t="s">
        <v>4423</v>
      </c>
      <c r="F3434" s="96" t="s">
        <v>4424</v>
      </c>
      <c r="G3434" s="96" t="s">
        <v>31</v>
      </c>
      <c r="H3434" s="19" t="s">
        <v>4433</v>
      </c>
      <c r="I3434" s="23" t="e">
        <f>VLOOKUP(H3434,'合同综合查询数据（3月返）'!$A:$A,1,FALSE)</f>
        <v>#N/A</v>
      </c>
      <c r="J3434" s="24" t="s">
        <v>33</v>
      </c>
      <c r="K3434" s="96" t="s">
        <v>2166</v>
      </c>
      <c r="L3434" s="94" t="s">
        <v>2004</v>
      </c>
      <c r="M3434" s="26" t="s">
        <v>4434</v>
      </c>
      <c r="N3434" s="311">
        <v>44790</v>
      </c>
      <c r="O3434" s="311" t="s">
        <v>37</v>
      </c>
      <c r="P3434" s="268">
        <v>0</v>
      </c>
      <c r="Q3434" s="273">
        <v>-128</v>
      </c>
      <c r="R3434" s="268">
        <f t="shared" si="82"/>
        <v>0</v>
      </c>
      <c r="S3434" s="24">
        <v>202303</v>
      </c>
      <c r="T3434" s="127" t="s">
        <v>4440</v>
      </c>
      <c r="U3434" s="40"/>
      <c r="V3434" s="40"/>
      <c r="W3434" s="40"/>
      <c r="X3434" s="106">
        <v>44713</v>
      </c>
      <c r="Y3434" s="106">
        <v>45016</v>
      </c>
    </row>
    <row r="3435" s="9" customFormat="1" customHeight="1" spans="1:25">
      <c r="A3435" s="96" t="s">
        <v>129</v>
      </c>
      <c r="B3435" s="96" t="s">
        <v>4074</v>
      </c>
      <c r="C3435" s="96" t="s">
        <v>217</v>
      </c>
      <c r="D3435" s="94" t="s">
        <v>4178</v>
      </c>
      <c r="E3435" s="105" t="s">
        <v>4423</v>
      </c>
      <c r="F3435" s="96" t="s">
        <v>4424</v>
      </c>
      <c r="G3435" s="96" t="s">
        <v>88</v>
      </c>
      <c r="H3435" s="19" t="s">
        <v>4433</v>
      </c>
      <c r="I3435" s="23" t="e">
        <f>VLOOKUP(H3435,'合同综合查询数据（3月返）'!$A:$A,1,FALSE)</f>
        <v>#N/A</v>
      </c>
      <c r="J3435" s="24" t="s">
        <v>126</v>
      </c>
      <c r="K3435" s="96" t="s">
        <v>2166</v>
      </c>
      <c r="L3435" s="94" t="s">
        <v>2004</v>
      </c>
      <c r="M3435" s="26" t="s">
        <v>4434</v>
      </c>
      <c r="N3435" s="311">
        <v>43739</v>
      </c>
      <c r="O3435" s="311" t="s">
        <v>624</v>
      </c>
      <c r="P3435" s="268">
        <v>4000</v>
      </c>
      <c r="Q3435" s="273">
        <v>8</v>
      </c>
      <c r="R3435" s="268">
        <f t="shared" si="82"/>
        <v>32000</v>
      </c>
      <c r="S3435" s="24">
        <v>202303</v>
      </c>
      <c r="T3435" s="127" t="s">
        <v>4441</v>
      </c>
      <c r="U3435" s="40"/>
      <c r="V3435" s="40"/>
      <c r="W3435" s="40"/>
      <c r="X3435" s="106">
        <v>44713</v>
      </c>
      <c r="Y3435" s="106">
        <v>45016</v>
      </c>
    </row>
    <row r="3436" s="9" customFormat="1" customHeight="1" spans="1:25">
      <c r="A3436" s="96" t="s">
        <v>129</v>
      </c>
      <c r="B3436" s="96" t="s">
        <v>4074</v>
      </c>
      <c r="C3436" s="96" t="s">
        <v>217</v>
      </c>
      <c r="D3436" s="94" t="s">
        <v>4178</v>
      </c>
      <c r="E3436" s="105" t="s">
        <v>4423</v>
      </c>
      <c r="F3436" s="96" t="s">
        <v>4424</v>
      </c>
      <c r="G3436" s="96" t="s">
        <v>88</v>
      </c>
      <c r="H3436" s="19" t="s">
        <v>4433</v>
      </c>
      <c r="I3436" s="23" t="e">
        <f>VLOOKUP(H3436,'合同综合查询数据（3月返）'!$A:$A,1,FALSE)</f>
        <v>#N/A</v>
      </c>
      <c r="J3436" s="24" t="s">
        <v>126</v>
      </c>
      <c r="K3436" s="96" t="s">
        <v>2166</v>
      </c>
      <c r="L3436" s="94" t="s">
        <v>2004</v>
      </c>
      <c r="M3436" s="26" t="s">
        <v>4434</v>
      </c>
      <c r="N3436" s="311">
        <v>43755</v>
      </c>
      <c r="O3436" s="311" t="s">
        <v>624</v>
      </c>
      <c r="P3436" s="268">
        <v>4000</v>
      </c>
      <c r="Q3436" s="273">
        <v>2</v>
      </c>
      <c r="R3436" s="268">
        <f t="shared" si="82"/>
        <v>8000</v>
      </c>
      <c r="S3436" s="24">
        <v>202303</v>
      </c>
      <c r="T3436" s="127" t="s">
        <v>4442</v>
      </c>
      <c r="U3436" s="40"/>
      <c r="V3436" s="40"/>
      <c r="W3436" s="40"/>
      <c r="X3436" s="106">
        <v>44713</v>
      </c>
      <c r="Y3436" s="106">
        <v>45016</v>
      </c>
    </row>
    <row r="3437" s="9" customFormat="1" customHeight="1" spans="1:25">
      <c r="A3437" s="96" t="s">
        <v>129</v>
      </c>
      <c r="B3437" s="96" t="s">
        <v>4074</v>
      </c>
      <c r="C3437" s="96" t="s">
        <v>217</v>
      </c>
      <c r="D3437" s="94" t="s">
        <v>4178</v>
      </c>
      <c r="E3437" s="105" t="s">
        <v>4423</v>
      </c>
      <c r="F3437" s="96" t="s">
        <v>4424</v>
      </c>
      <c r="G3437" s="96" t="s">
        <v>88</v>
      </c>
      <c r="H3437" s="19" t="s">
        <v>4433</v>
      </c>
      <c r="I3437" s="23" t="e">
        <f>VLOOKUP(H3437,'合同综合查询数据（3月返）'!$A:$A,1,FALSE)</f>
        <v>#N/A</v>
      </c>
      <c r="J3437" s="24" t="s">
        <v>126</v>
      </c>
      <c r="K3437" s="96" t="s">
        <v>2166</v>
      </c>
      <c r="L3437" s="94" t="s">
        <v>2004</v>
      </c>
      <c r="M3437" s="26" t="s">
        <v>4434</v>
      </c>
      <c r="N3437" s="311">
        <v>44572</v>
      </c>
      <c r="O3437" s="311" t="s">
        <v>624</v>
      </c>
      <c r="P3437" s="268">
        <v>4000</v>
      </c>
      <c r="Q3437" s="273">
        <v>1</v>
      </c>
      <c r="R3437" s="268">
        <f t="shared" si="82"/>
        <v>4000</v>
      </c>
      <c r="S3437" s="24">
        <v>202303</v>
      </c>
      <c r="T3437" s="127" t="s">
        <v>4443</v>
      </c>
      <c r="U3437" s="40"/>
      <c r="V3437" s="40"/>
      <c r="W3437" s="40"/>
      <c r="X3437" s="106">
        <v>44713</v>
      </c>
      <c r="Y3437" s="106">
        <v>45016</v>
      </c>
    </row>
    <row r="3438" s="9" customFormat="1" customHeight="1" spans="1:25">
      <c r="A3438" s="96" t="s">
        <v>129</v>
      </c>
      <c r="B3438" s="96" t="s">
        <v>4074</v>
      </c>
      <c r="C3438" s="96" t="s">
        <v>217</v>
      </c>
      <c r="D3438" s="94" t="s">
        <v>4178</v>
      </c>
      <c r="E3438" s="105" t="s">
        <v>4423</v>
      </c>
      <c r="F3438" s="96" t="s">
        <v>4424</v>
      </c>
      <c r="G3438" s="96" t="s">
        <v>88</v>
      </c>
      <c r="H3438" s="19" t="s">
        <v>4433</v>
      </c>
      <c r="I3438" s="23" t="e">
        <f>VLOOKUP(H3438,'合同综合查询数据（3月返）'!$A:$A,1,FALSE)</f>
        <v>#N/A</v>
      </c>
      <c r="J3438" s="24" t="s">
        <v>126</v>
      </c>
      <c r="K3438" s="96" t="s">
        <v>2166</v>
      </c>
      <c r="L3438" s="94" t="s">
        <v>2004</v>
      </c>
      <c r="M3438" s="26" t="s">
        <v>4434</v>
      </c>
      <c r="N3438" s="311">
        <v>44609</v>
      </c>
      <c r="O3438" s="311" t="s">
        <v>624</v>
      </c>
      <c r="P3438" s="268">
        <v>4000</v>
      </c>
      <c r="Q3438" s="273">
        <v>-2</v>
      </c>
      <c r="R3438" s="268">
        <f t="shared" si="82"/>
        <v>-8000</v>
      </c>
      <c r="S3438" s="24">
        <v>202303</v>
      </c>
      <c r="T3438" s="127" t="s">
        <v>4444</v>
      </c>
      <c r="U3438" s="40"/>
      <c r="V3438" s="40"/>
      <c r="W3438" s="40"/>
      <c r="X3438" s="106">
        <v>44713</v>
      </c>
      <c r="Y3438" s="106">
        <v>45016</v>
      </c>
    </row>
    <row r="3439" s="9" customFormat="1" customHeight="1" spans="1:25">
      <c r="A3439" s="96" t="s">
        <v>129</v>
      </c>
      <c r="B3439" s="96" t="s">
        <v>4074</v>
      </c>
      <c r="C3439" s="96" t="s">
        <v>217</v>
      </c>
      <c r="D3439" s="94" t="s">
        <v>4178</v>
      </c>
      <c r="E3439" s="105" t="s">
        <v>4423</v>
      </c>
      <c r="F3439" s="96" t="s">
        <v>4424</v>
      </c>
      <c r="G3439" s="96" t="s">
        <v>88</v>
      </c>
      <c r="H3439" s="19" t="s">
        <v>4433</v>
      </c>
      <c r="I3439" s="23" t="e">
        <f>VLOOKUP(H3439,'合同综合查询数据（3月返）'!$A:$A,1,FALSE)</f>
        <v>#N/A</v>
      </c>
      <c r="J3439" s="24" t="s">
        <v>126</v>
      </c>
      <c r="K3439" s="96" t="s">
        <v>2166</v>
      </c>
      <c r="L3439" s="94" t="s">
        <v>2004</v>
      </c>
      <c r="M3439" s="26" t="s">
        <v>4434</v>
      </c>
      <c r="N3439" s="311">
        <v>44628</v>
      </c>
      <c r="O3439" s="311" t="s">
        <v>624</v>
      </c>
      <c r="P3439" s="268">
        <v>4000</v>
      </c>
      <c r="Q3439" s="273">
        <v>2</v>
      </c>
      <c r="R3439" s="268">
        <f t="shared" si="82"/>
        <v>8000</v>
      </c>
      <c r="S3439" s="24">
        <v>202303</v>
      </c>
      <c r="T3439" s="127" t="s">
        <v>4445</v>
      </c>
      <c r="U3439" s="40"/>
      <c r="V3439" s="40"/>
      <c r="W3439" s="40"/>
      <c r="X3439" s="106">
        <v>44713</v>
      </c>
      <c r="Y3439" s="106">
        <v>45016</v>
      </c>
    </row>
    <row r="3440" s="9" customFormat="1" customHeight="1" spans="1:25">
      <c r="A3440" s="96" t="s">
        <v>129</v>
      </c>
      <c r="B3440" s="96" t="s">
        <v>4074</v>
      </c>
      <c r="C3440" s="96" t="s">
        <v>217</v>
      </c>
      <c r="D3440" s="94" t="s">
        <v>4178</v>
      </c>
      <c r="E3440" s="105" t="s">
        <v>4423</v>
      </c>
      <c r="F3440" s="96" t="s">
        <v>4424</v>
      </c>
      <c r="G3440" s="96" t="s">
        <v>88</v>
      </c>
      <c r="H3440" s="19" t="s">
        <v>4433</v>
      </c>
      <c r="I3440" s="23" t="e">
        <f>VLOOKUP(H3440,'合同综合查询数据（3月返）'!$A:$A,1,FALSE)</f>
        <v>#N/A</v>
      </c>
      <c r="J3440" s="24" t="s">
        <v>126</v>
      </c>
      <c r="K3440" s="96" t="s">
        <v>2166</v>
      </c>
      <c r="L3440" s="94" t="s">
        <v>2004</v>
      </c>
      <c r="M3440" s="26" t="s">
        <v>4434</v>
      </c>
      <c r="N3440" s="311">
        <v>44706</v>
      </c>
      <c r="O3440" s="311" t="s">
        <v>624</v>
      </c>
      <c r="P3440" s="268">
        <v>4000</v>
      </c>
      <c r="Q3440" s="273">
        <v>5</v>
      </c>
      <c r="R3440" s="268">
        <f t="shared" si="82"/>
        <v>20000</v>
      </c>
      <c r="S3440" s="24">
        <v>202303</v>
      </c>
      <c r="T3440" s="127" t="s">
        <v>4446</v>
      </c>
      <c r="U3440" s="40"/>
      <c r="V3440" s="40"/>
      <c r="W3440" s="40"/>
      <c r="X3440" s="106">
        <v>44713</v>
      </c>
      <c r="Y3440" s="106">
        <v>45016</v>
      </c>
    </row>
    <row r="3441" s="9" customFormat="1" customHeight="1" spans="1:25">
      <c r="A3441" s="96" t="s">
        <v>129</v>
      </c>
      <c r="B3441" s="96" t="s">
        <v>4074</v>
      </c>
      <c r="C3441" s="96" t="s">
        <v>217</v>
      </c>
      <c r="D3441" s="94" t="s">
        <v>4178</v>
      </c>
      <c r="E3441" s="105" t="s">
        <v>4423</v>
      </c>
      <c r="F3441" s="96" t="s">
        <v>4424</v>
      </c>
      <c r="G3441" s="96" t="s">
        <v>88</v>
      </c>
      <c r="H3441" s="19" t="s">
        <v>4433</v>
      </c>
      <c r="I3441" s="23" t="e">
        <f>VLOOKUP(H3441,'合同综合查询数据（3月返）'!$A:$A,1,FALSE)</f>
        <v>#N/A</v>
      </c>
      <c r="J3441" s="24" t="s">
        <v>126</v>
      </c>
      <c r="K3441" s="96" t="s">
        <v>2166</v>
      </c>
      <c r="L3441" s="94" t="s">
        <v>2004</v>
      </c>
      <c r="M3441" s="26" t="s">
        <v>4434</v>
      </c>
      <c r="N3441" s="311">
        <v>44778</v>
      </c>
      <c r="O3441" s="311" t="s">
        <v>624</v>
      </c>
      <c r="P3441" s="268">
        <v>4000</v>
      </c>
      <c r="Q3441" s="273">
        <v>-3</v>
      </c>
      <c r="R3441" s="268">
        <f t="shared" si="82"/>
        <v>-12000</v>
      </c>
      <c r="S3441" s="24">
        <v>202303</v>
      </c>
      <c r="T3441" s="127" t="s">
        <v>4447</v>
      </c>
      <c r="U3441" s="40"/>
      <c r="V3441" s="40"/>
      <c r="W3441" s="40"/>
      <c r="X3441" s="106">
        <v>44713</v>
      </c>
      <c r="Y3441" s="106">
        <v>45016</v>
      </c>
    </row>
    <row r="3442" s="9" customFormat="1" customHeight="1" spans="1:25">
      <c r="A3442" s="96" t="s">
        <v>25</v>
      </c>
      <c r="B3442" s="96" t="s">
        <v>4074</v>
      </c>
      <c r="C3442" s="96" t="s">
        <v>3118</v>
      </c>
      <c r="D3442" s="94" t="s">
        <v>4250</v>
      </c>
      <c r="E3442" s="105" t="s">
        <v>4423</v>
      </c>
      <c r="F3442" s="96" t="s">
        <v>4424</v>
      </c>
      <c r="G3442" s="96" t="s">
        <v>31</v>
      </c>
      <c r="H3442" s="19" t="s">
        <v>4448</v>
      </c>
      <c r="I3442" s="23" t="e">
        <f>VLOOKUP(H3442,'合同综合查询数据（3月返）'!$A:$A,1,FALSE)</f>
        <v>#N/A</v>
      </c>
      <c r="J3442" s="24" t="s">
        <v>33</v>
      </c>
      <c r="K3442" s="96" t="s">
        <v>3525</v>
      </c>
      <c r="L3442" s="96" t="s">
        <v>4449</v>
      </c>
      <c r="M3442" s="26" t="s">
        <v>4450</v>
      </c>
      <c r="N3442" s="311">
        <v>43739</v>
      </c>
      <c r="O3442" s="311" t="s">
        <v>37</v>
      </c>
      <c r="P3442" s="268">
        <v>0</v>
      </c>
      <c r="Q3442" s="273">
        <v>288</v>
      </c>
      <c r="R3442" s="268">
        <f t="shared" si="82"/>
        <v>0</v>
      </c>
      <c r="S3442" s="24">
        <v>202303</v>
      </c>
      <c r="T3442" s="127" t="s">
        <v>4451</v>
      </c>
      <c r="U3442" s="40"/>
      <c r="V3442" s="40"/>
      <c r="W3442" s="40"/>
      <c r="X3442" s="106">
        <v>44835</v>
      </c>
      <c r="Y3442" s="28">
        <v>45199</v>
      </c>
    </row>
    <row r="3443" s="9" customFormat="1" customHeight="1" spans="1:25">
      <c r="A3443" s="96" t="s">
        <v>25</v>
      </c>
      <c r="B3443" s="96" t="s">
        <v>4074</v>
      </c>
      <c r="C3443" s="96" t="s">
        <v>3118</v>
      </c>
      <c r="D3443" s="94" t="s">
        <v>4250</v>
      </c>
      <c r="E3443" s="105" t="s">
        <v>4423</v>
      </c>
      <c r="F3443" s="96" t="s">
        <v>4424</v>
      </c>
      <c r="G3443" s="96" t="s">
        <v>88</v>
      </c>
      <c r="H3443" s="19" t="s">
        <v>4448</v>
      </c>
      <c r="I3443" s="23" t="e">
        <f>VLOOKUP(H3443,'合同综合查询数据（3月返）'!$A:$A,1,FALSE)</f>
        <v>#N/A</v>
      </c>
      <c r="J3443" s="24" t="s">
        <v>126</v>
      </c>
      <c r="K3443" s="96" t="s">
        <v>3525</v>
      </c>
      <c r="L3443" s="96" t="s">
        <v>4449</v>
      </c>
      <c r="M3443" s="26" t="s">
        <v>4450</v>
      </c>
      <c r="N3443" s="311">
        <v>43739</v>
      </c>
      <c r="O3443" s="311" t="s">
        <v>457</v>
      </c>
      <c r="P3443" s="268">
        <v>6000</v>
      </c>
      <c r="Q3443" s="273">
        <v>6</v>
      </c>
      <c r="R3443" s="268">
        <f t="shared" si="82"/>
        <v>36000</v>
      </c>
      <c r="S3443" s="24">
        <v>202303</v>
      </c>
      <c r="T3443" s="127" t="s">
        <v>4452</v>
      </c>
      <c r="U3443" s="40"/>
      <c r="V3443" s="40"/>
      <c r="W3443" s="40"/>
      <c r="X3443" s="106">
        <v>44835</v>
      </c>
      <c r="Y3443" s="28">
        <v>45199</v>
      </c>
    </row>
    <row r="3444" s="9" customFormat="1" customHeight="1" spans="1:25">
      <c r="A3444" s="96" t="s">
        <v>25</v>
      </c>
      <c r="B3444" s="96" t="s">
        <v>4074</v>
      </c>
      <c r="C3444" s="96" t="s">
        <v>3118</v>
      </c>
      <c r="D3444" s="94" t="s">
        <v>4250</v>
      </c>
      <c r="E3444" s="105" t="s">
        <v>4423</v>
      </c>
      <c r="F3444" s="96" t="s">
        <v>4424</v>
      </c>
      <c r="G3444" s="96" t="s">
        <v>88</v>
      </c>
      <c r="H3444" s="19" t="s">
        <v>4448</v>
      </c>
      <c r="I3444" s="23" t="e">
        <f>VLOOKUP(H3444,'合同综合查询数据（3月返）'!$A:$A,1,FALSE)</f>
        <v>#N/A</v>
      </c>
      <c r="J3444" s="24" t="s">
        <v>126</v>
      </c>
      <c r="K3444" s="96" t="s">
        <v>3525</v>
      </c>
      <c r="L3444" s="96" t="s">
        <v>4449</v>
      </c>
      <c r="M3444" s="26" t="s">
        <v>4450</v>
      </c>
      <c r="N3444" s="311">
        <v>44286</v>
      </c>
      <c r="O3444" s="311" t="s">
        <v>457</v>
      </c>
      <c r="P3444" s="268">
        <v>6000</v>
      </c>
      <c r="Q3444" s="273">
        <v>-2</v>
      </c>
      <c r="R3444" s="268">
        <f t="shared" si="82"/>
        <v>-12000</v>
      </c>
      <c r="S3444" s="24">
        <v>202303</v>
      </c>
      <c r="T3444" s="127" t="s">
        <v>4453</v>
      </c>
      <c r="U3444" s="40"/>
      <c r="V3444" s="40"/>
      <c r="W3444" s="40"/>
      <c r="X3444" s="106">
        <v>44835</v>
      </c>
      <c r="Y3444" s="28">
        <v>45199</v>
      </c>
    </row>
    <row r="3445" s="9" customFormat="1" customHeight="1" spans="1:25">
      <c r="A3445" s="96" t="s">
        <v>25</v>
      </c>
      <c r="B3445" s="96" t="s">
        <v>4074</v>
      </c>
      <c r="C3445" s="96" t="s">
        <v>3118</v>
      </c>
      <c r="D3445" s="94" t="s">
        <v>4250</v>
      </c>
      <c r="E3445" s="105" t="s">
        <v>4423</v>
      </c>
      <c r="F3445" s="96" t="s">
        <v>4424</v>
      </c>
      <c r="G3445" s="96" t="s">
        <v>31</v>
      </c>
      <c r="H3445" s="19" t="s">
        <v>4448</v>
      </c>
      <c r="I3445" s="23" t="e">
        <f>VLOOKUP(H3445,'合同综合查询数据（3月返）'!$A:$A,1,FALSE)</f>
        <v>#N/A</v>
      </c>
      <c r="J3445" s="24" t="s">
        <v>33</v>
      </c>
      <c r="K3445" s="96" t="s">
        <v>3525</v>
      </c>
      <c r="L3445" s="96" t="s">
        <v>4454</v>
      </c>
      <c r="M3445" s="26" t="s">
        <v>4455</v>
      </c>
      <c r="N3445" s="311">
        <v>43847</v>
      </c>
      <c r="O3445" s="311" t="s">
        <v>37</v>
      </c>
      <c r="P3445" s="268">
        <v>0</v>
      </c>
      <c r="Q3445" s="273">
        <v>288</v>
      </c>
      <c r="R3445" s="268">
        <f t="shared" si="82"/>
        <v>0</v>
      </c>
      <c r="S3445" s="24">
        <v>202303</v>
      </c>
      <c r="T3445" s="127" t="s">
        <v>4456</v>
      </c>
      <c r="U3445" s="40"/>
      <c r="V3445" s="40"/>
      <c r="W3445" s="40"/>
      <c r="X3445" s="106">
        <v>44835</v>
      </c>
      <c r="Y3445" s="28">
        <v>45199</v>
      </c>
    </row>
    <row r="3446" s="9" customFormat="1" customHeight="1" spans="1:25">
      <c r="A3446" s="96" t="s">
        <v>25</v>
      </c>
      <c r="B3446" s="96" t="s">
        <v>4074</v>
      </c>
      <c r="C3446" s="96" t="s">
        <v>3118</v>
      </c>
      <c r="D3446" s="94" t="s">
        <v>4250</v>
      </c>
      <c r="E3446" s="105" t="s">
        <v>4423</v>
      </c>
      <c r="F3446" s="96" t="s">
        <v>4424</v>
      </c>
      <c r="G3446" s="96" t="s">
        <v>31</v>
      </c>
      <c r="H3446" s="19" t="s">
        <v>4448</v>
      </c>
      <c r="I3446" s="23" t="e">
        <f>VLOOKUP(H3446,'合同综合查询数据（3月返）'!$A:$A,1,FALSE)</f>
        <v>#N/A</v>
      </c>
      <c r="J3446" s="24" t="s">
        <v>33</v>
      </c>
      <c r="K3446" s="96" t="s">
        <v>3525</v>
      </c>
      <c r="L3446" s="96" t="s">
        <v>4457</v>
      </c>
      <c r="M3446" s="26" t="s">
        <v>4455</v>
      </c>
      <c r="N3446" s="311"/>
      <c r="O3446" s="311" t="s">
        <v>152</v>
      </c>
      <c r="P3446" s="268">
        <v>0</v>
      </c>
      <c r="Q3446" s="273">
        <v>0</v>
      </c>
      <c r="R3446" s="268">
        <f t="shared" si="82"/>
        <v>0</v>
      </c>
      <c r="S3446" s="24">
        <v>202303</v>
      </c>
      <c r="T3446" s="127" t="s">
        <v>4458</v>
      </c>
      <c r="U3446" s="40"/>
      <c r="V3446" s="40"/>
      <c r="W3446" s="40"/>
      <c r="X3446" s="106">
        <v>44835</v>
      </c>
      <c r="Y3446" s="28">
        <v>45199</v>
      </c>
    </row>
    <row r="3447" s="9" customFormat="1" customHeight="1" spans="1:25">
      <c r="A3447" s="96" t="s">
        <v>25</v>
      </c>
      <c r="B3447" s="96" t="s">
        <v>4074</v>
      </c>
      <c r="C3447" s="96" t="s">
        <v>3118</v>
      </c>
      <c r="D3447" s="94" t="s">
        <v>4250</v>
      </c>
      <c r="E3447" s="105" t="s">
        <v>4423</v>
      </c>
      <c r="F3447" s="96" t="s">
        <v>4424</v>
      </c>
      <c r="G3447" s="96" t="s">
        <v>88</v>
      </c>
      <c r="H3447" s="19" t="s">
        <v>4448</v>
      </c>
      <c r="I3447" s="23" t="e">
        <f>VLOOKUP(H3447,'合同综合查询数据（3月返）'!$A:$A,1,FALSE)</f>
        <v>#N/A</v>
      </c>
      <c r="J3447" s="24" t="s">
        <v>126</v>
      </c>
      <c r="K3447" s="96" t="s">
        <v>3525</v>
      </c>
      <c r="L3447" s="96" t="s">
        <v>4454</v>
      </c>
      <c r="M3447" s="26" t="s">
        <v>4455</v>
      </c>
      <c r="N3447" s="311">
        <v>43847</v>
      </c>
      <c r="O3447" s="311" t="s">
        <v>457</v>
      </c>
      <c r="P3447" s="268">
        <v>6000</v>
      </c>
      <c r="Q3447" s="273">
        <v>5</v>
      </c>
      <c r="R3447" s="268">
        <f t="shared" si="82"/>
        <v>30000</v>
      </c>
      <c r="S3447" s="24">
        <v>202303</v>
      </c>
      <c r="T3447" s="127" t="s">
        <v>4459</v>
      </c>
      <c r="U3447" s="40"/>
      <c r="V3447" s="40"/>
      <c r="W3447" s="40"/>
      <c r="X3447" s="106">
        <v>44835</v>
      </c>
      <c r="Y3447" s="28">
        <v>45199</v>
      </c>
    </row>
    <row r="3448" s="9" customFormat="1" customHeight="1" spans="1:25">
      <c r="A3448" s="96" t="s">
        <v>25</v>
      </c>
      <c r="B3448" s="96" t="s">
        <v>4074</v>
      </c>
      <c r="C3448" s="96" t="s">
        <v>3118</v>
      </c>
      <c r="D3448" s="94" t="s">
        <v>4250</v>
      </c>
      <c r="E3448" s="105" t="s">
        <v>4423</v>
      </c>
      <c r="F3448" s="96" t="s">
        <v>4424</v>
      </c>
      <c r="G3448" s="96" t="s">
        <v>88</v>
      </c>
      <c r="H3448" s="19" t="s">
        <v>4460</v>
      </c>
      <c r="I3448" s="23" t="e">
        <f>VLOOKUP(H3448,'合同综合查询数据（3月返）'!$A:$A,1,FALSE)</f>
        <v>#N/A</v>
      </c>
      <c r="J3448" s="24" t="s">
        <v>126</v>
      </c>
      <c r="K3448" s="96" t="s">
        <v>3525</v>
      </c>
      <c r="L3448" s="96" t="s">
        <v>4454</v>
      </c>
      <c r="M3448" s="26" t="s">
        <v>4455</v>
      </c>
      <c r="N3448" s="311">
        <v>44882</v>
      </c>
      <c r="O3448" s="311" t="s">
        <v>457</v>
      </c>
      <c r="P3448" s="268">
        <v>6000</v>
      </c>
      <c r="Q3448" s="273">
        <v>1</v>
      </c>
      <c r="R3448" s="268">
        <f t="shared" si="82"/>
        <v>6000</v>
      </c>
      <c r="S3448" s="24">
        <v>202303</v>
      </c>
      <c r="T3448" s="127" t="s">
        <v>4461</v>
      </c>
      <c r="U3448" s="40"/>
      <c r="V3448" s="40"/>
      <c r="W3448" s="40"/>
      <c r="X3448" s="106">
        <v>44882</v>
      </c>
      <c r="Y3448" s="106">
        <v>45199</v>
      </c>
    </row>
    <row r="3449" s="9" customFormat="1" customHeight="1" spans="1:25">
      <c r="A3449" s="96" t="s">
        <v>25</v>
      </c>
      <c r="B3449" s="96" t="s">
        <v>4074</v>
      </c>
      <c r="C3449" s="96" t="s">
        <v>1854</v>
      </c>
      <c r="D3449" s="94" t="s">
        <v>4178</v>
      </c>
      <c r="E3449" s="105" t="s">
        <v>4423</v>
      </c>
      <c r="F3449" s="96" t="s">
        <v>4424</v>
      </c>
      <c r="G3449" s="96" t="s">
        <v>31</v>
      </c>
      <c r="H3449" s="19" t="s">
        <v>4462</v>
      </c>
      <c r="I3449" s="23" t="e">
        <f>VLOOKUP(H3449,'合同综合查询数据（3月返）'!$A:$A,1,FALSE)</f>
        <v>#N/A</v>
      </c>
      <c r="J3449" s="24" t="s">
        <v>33</v>
      </c>
      <c r="K3449" s="114" t="s">
        <v>4463</v>
      </c>
      <c r="L3449" s="114" t="s">
        <v>4464</v>
      </c>
      <c r="M3449" s="26" t="s">
        <v>4465</v>
      </c>
      <c r="N3449" s="106">
        <v>43983</v>
      </c>
      <c r="O3449" s="94" t="s">
        <v>37</v>
      </c>
      <c r="P3449" s="268">
        <v>0</v>
      </c>
      <c r="Q3449" s="273">
        <v>288</v>
      </c>
      <c r="R3449" s="268">
        <f t="shared" si="82"/>
        <v>0</v>
      </c>
      <c r="S3449" s="24">
        <v>202303</v>
      </c>
      <c r="T3449" s="127" t="s">
        <v>4466</v>
      </c>
      <c r="U3449" s="97"/>
      <c r="V3449" s="128"/>
      <c r="W3449" s="97"/>
      <c r="X3449" s="311">
        <v>44713</v>
      </c>
      <c r="Y3449" s="311">
        <v>45016</v>
      </c>
    </row>
    <row r="3450" s="9" customFormat="1" customHeight="1" spans="1:25">
      <c r="A3450" s="96" t="s">
        <v>25</v>
      </c>
      <c r="B3450" s="96" t="s">
        <v>4074</v>
      </c>
      <c r="C3450" s="96" t="s">
        <v>1854</v>
      </c>
      <c r="D3450" s="94" t="s">
        <v>4178</v>
      </c>
      <c r="E3450" s="105" t="s">
        <v>4423</v>
      </c>
      <c r="F3450" s="96" t="s">
        <v>4424</v>
      </c>
      <c r="G3450" s="96" t="s">
        <v>31</v>
      </c>
      <c r="H3450" s="19" t="s">
        <v>4462</v>
      </c>
      <c r="I3450" s="23" t="e">
        <f>VLOOKUP(H3450,'合同综合查询数据（3月返）'!$A:$A,1,FALSE)</f>
        <v>#N/A</v>
      </c>
      <c r="J3450" s="24" t="s">
        <v>33</v>
      </c>
      <c r="K3450" s="114" t="s">
        <v>4463</v>
      </c>
      <c r="L3450" s="114" t="s">
        <v>4464</v>
      </c>
      <c r="M3450" s="26" t="s">
        <v>4465</v>
      </c>
      <c r="N3450" s="106">
        <v>44773</v>
      </c>
      <c r="O3450" s="94" t="s">
        <v>37</v>
      </c>
      <c r="P3450" s="268">
        <v>0</v>
      </c>
      <c r="Q3450" s="273">
        <v>-128</v>
      </c>
      <c r="R3450" s="268">
        <f t="shared" si="82"/>
        <v>0</v>
      </c>
      <c r="S3450" s="24">
        <v>202303</v>
      </c>
      <c r="T3450" s="127" t="s">
        <v>4467</v>
      </c>
      <c r="U3450" s="97"/>
      <c r="V3450" s="128"/>
      <c r="W3450" s="97"/>
      <c r="X3450" s="106">
        <v>44713</v>
      </c>
      <c r="Y3450" s="106">
        <v>45016</v>
      </c>
    </row>
    <row r="3451" s="9" customFormat="1" customHeight="1" spans="1:25">
      <c r="A3451" s="96" t="s">
        <v>25</v>
      </c>
      <c r="B3451" s="96" t="s">
        <v>4074</v>
      </c>
      <c r="C3451" s="96" t="s">
        <v>1854</v>
      </c>
      <c r="D3451" s="94" t="s">
        <v>4178</v>
      </c>
      <c r="E3451" s="105" t="s">
        <v>4423</v>
      </c>
      <c r="F3451" s="96" t="s">
        <v>4424</v>
      </c>
      <c r="G3451" s="96" t="s">
        <v>31</v>
      </c>
      <c r="H3451" s="19" t="s">
        <v>4462</v>
      </c>
      <c r="I3451" s="23" t="e">
        <f>VLOOKUP(H3451,'合同综合查询数据（3月返）'!$A:$A,1,FALSE)</f>
        <v>#N/A</v>
      </c>
      <c r="J3451" s="24" t="s">
        <v>33</v>
      </c>
      <c r="K3451" s="114" t="s">
        <v>4463</v>
      </c>
      <c r="L3451" s="114" t="s">
        <v>4464</v>
      </c>
      <c r="M3451" s="26" t="s">
        <v>4465</v>
      </c>
      <c r="N3451" s="106"/>
      <c r="O3451" s="311" t="s">
        <v>152</v>
      </c>
      <c r="P3451" s="268">
        <v>0</v>
      </c>
      <c r="Q3451" s="273">
        <v>0</v>
      </c>
      <c r="R3451" s="268">
        <f t="shared" si="82"/>
        <v>0</v>
      </c>
      <c r="S3451" s="24">
        <v>202303</v>
      </c>
      <c r="T3451" s="127" t="s">
        <v>4468</v>
      </c>
      <c r="U3451" s="97"/>
      <c r="V3451" s="128"/>
      <c r="W3451" s="97"/>
      <c r="X3451" s="311">
        <v>44713</v>
      </c>
      <c r="Y3451" s="311">
        <v>45016</v>
      </c>
    </row>
    <row r="3452" s="9" customFormat="1" customHeight="1" spans="1:25">
      <c r="A3452" s="96" t="s">
        <v>25</v>
      </c>
      <c r="B3452" s="96" t="s">
        <v>4074</v>
      </c>
      <c r="C3452" s="96" t="s">
        <v>1854</v>
      </c>
      <c r="D3452" s="94" t="s">
        <v>4178</v>
      </c>
      <c r="E3452" s="105" t="s">
        <v>4423</v>
      </c>
      <c r="F3452" s="96" t="s">
        <v>4424</v>
      </c>
      <c r="G3452" s="96" t="s">
        <v>88</v>
      </c>
      <c r="H3452" s="19" t="s">
        <v>4462</v>
      </c>
      <c r="I3452" s="23" t="e">
        <f>VLOOKUP(H3452,'合同综合查询数据（3月返）'!$A:$A,1,FALSE)</f>
        <v>#N/A</v>
      </c>
      <c r="J3452" s="24" t="s">
        <v>126</v>
      </c>
      <c r="K3452" s="114" t="s">
        <v>4463</v>
      </c>
      <c r="L3452" s="114" t="s">
        <v>4464</v>
      </c>
      <c r="M3452" s="26" t="s">
        <v>4465</v>
      </c>
      <c r="N3452" s="106">
        <v>43983</v>
      </c>
      <c r="O3452" s="94" t="s">
        <v>624</v>
      </c>
      <c r="P3452" s="268">
        <v>4200</v>
      </c>
      <c r="Q3452" s="273">
        <v>3</v>
      </c>
      <c r="R3452" s="268">
        <f t="shared" si="82"/>
        <v>12600</v>
      </c>
      <c r="S3452" s="24">
        <v>202303</v>
      </c>
      <c r="T3452" s="127" t="s">
        <v>4469</v>
      </c>
      <c r="U3452" s="97"/>
      <c r="V3452" s="128"/>
      <c r="W3452" s="97"/>
      <c r="X3452" s="311">
        <v>44713</v>
      </c>
      <c r="Y3452" s="311">
        <v>45016</v>
      </c>
    </row>
    <row r="3453" s="9" customFormat="1" customHeight="1" spans="1:25">
      <c r="A3453" s="96" t="s">
        <v>25</v>
      </c>
      <c r="B3453" s="96" t="s">
        <v>4074</v>
      </c>
      <c r="C3453" s="96" t="s">
        <v>1854</v>
      </c>
      <c r="D3453" s="94" t="s">
        <v>4178</v>
      </c>
      <c r="E3453" s="105" t="s">
        <v>4423</v>
      </c>
      <c r="F3453" s="96" t="s">
        <v>4424</v>
      </c>
      <c r="G3453" s="96" t="s">
        <v>88</v>
      </c>
      <c r="H3453" s="19" t="s">
        <v>4462</v>
      </c>
      <c r="I3453" s="23" t="e">
        <f>VLOOKUP(H3453,'合同综合查询数据（3月返）'!$A:$A,1,FALSE)</f>
        <v>#N/A</v>
      </c>
      <c r="J3453" s="24" t="s">
        <v>126</v>
      </c>
      <c r="K3453" s="114" t="s">
        <v>4463</v>
      </c>
      <c r="L3453" s="114" t="s">
        <v>4464</v>
      </c>
      <c r="M3453" s="26" t="s">
        <v>4465</v>
      </c>
      <c r="N3453" s="106">
        <v>44166</v>
      </c>
      <c r="O3453" s="94" t="s">
        <v>624</v>
      </c>
      <c r="P3453" s="268">
        <v>4200</v>
      </c>
      <c r="Q3453" s="273">
        <v>1</v>
      </c>
      <c r="R3453" s="268">
        <f t="shared" si="82"/>
        <v>4200</v>
      </c>
      <c r="S3453" s="24">
        <v>202303</v>
      </c>
      <c r="T3453" s="127" t="s">
        <v>4470</v>
      </c>
      <c r="U3453" s="97"/>
      <c r="V3453" s="128"/>
      <c r="W3453" s="97"/>
      <c r="X3453" s="311">
        <v>44713</v>
      </c>
      <c r="Y3453" s="311">
        <v>45016</v>
      </c>
    </row>
    <row r="3454" s="9" customFormat="1" customHeight="1" spans="1:25">
      <c r="A3454" s="96" t="s">
        <v>25</v>
      </c>
      <c r="B3454" s="96" t="s">
        <v>4074</v>
      </c>
      <c r="C3454" s="96" t="s">
        <v>1854</v>
      </c>
      <c r="D3454" s="94" t="s">
        <v>4178</v>
      </c>
      <c r="E3454" s="105" t="s">
        <v>4423</v>
      </c>
      <c r="F3454" s="96" t="s">
        <v>4424</v>
      </c>
      <c r="G3454" s="96" t="s">
        <v>88</v>
      </c>
      <c r="H3454" s="19" t="s">
        <v>4462</v>
      </c>
      <c r="I3454" s="23" t="e">
        <f>VLOOKUP(H3454,'合同综合查询数据（3月返）'!$A:$A,1,FALSE)</f>
        <v>#N/A</v>
      </c>
      <c r="J3454" s="24" t="s">
        <v>126</v>
      </c>
      <c r="K3454" s="114" t="s">
        <v>4463</v>
      </c>
      <c r="L3454" s="114" t="s">
        <v>4464</v>
      </c>
      <c r="M3454" s="26" t="s">
        <v>4465</v>
      </c>
      <c r="N3454" s="106">
        <v>44216</v>
      </c>
      <c r="O3454" s="94" t="s">
        <v>624</v>
      </c>
      <c r="P3454" s="268">
        <v>4200</v>
      </c>
      <c r="Q3454" s="273">
        <v>1</v>
      </c>
      <c r="R3454" s="268">
        <f t="shared" si="82"/>
        <v>4200</v>
      </c>
      <c r="S3454" s="24">
        <v>202303</v>
      </c>
      <c r="T3454" s="127" t="s">
        <v>4471</v>
      </c>
      <c r="U3454" s="97"/>
      <c r="V3454" s="128"/>
      <c r="W3454" s="97"/>
      <c r="X3454" s="311">
        <v>44713</v>
      </c>
      <c r="Y3454" s="311">
        <v>45016</v>
      </c>
    </row>
    <row r="3455" s="9" customFormat="1" customHeight="1" spans="1:25">
      <c r="A3455" s="96" t="s">
        <v>25</v>
      </c>
      <c r="B3455" s="96" t="s">
        <v>4074</v>
      </c>
      <c r="C3455" s="96" t="s">
        <v>1854</v>
      </c>
      <c r="D3455" s="94" t="s">
        <v>4178</v>
      </c>
      <c r="E3455" s="105" t="s">
        <v>4423</v>
      </c>
      <c r="F3455" s="96" t="s">
        <v>4424</v>
      </c>
      <c r="G3455" s="96" t="s">
        <v>88</v>
      </c>
      <c r="H3455" s="19" t="s">
        <v>4462</v>
      </c>
      <c r="I3455" s="23" t="e">
        <f>VLOOKUP(H3455,'合同综合查询数据（3月返）'!$A:$A,1,FALSE)</f>
        <v>#N/A</v>
      </c>
      <c r="J3455" s="24" t="s">
        <v>126</v>
      </c>
      <c r="K3455" s="114" t="s">
        <v>4463</v>
      </c>
      <c r="L3455" s="114" t="s">
        <v>4464</v>
      </c>
      <c r="M3455" s="26" t="s">
        <v>4465</v>
      </c>
      <c r="N3455" s="106">
        <v>44393</v>
      </c>
      <c r="O3455" s="94" t="s">
        <v>624</v>
      </c>
      <c r="P3455" s="268">
        <v>4200</v>
      </c>
      <c r="Q3455" s="273">
        <v>1</v>
      </c>
      <c r="R3455" s="268">
        <f t="shared" si="82"/>
        <v>4200</v>
      </c>
      <c r="S3455" s="24">
        <v>202303</v>
      </c>
      <c r="T3455" s="127" t="s">
        <v>4472</v>
      </c>
      <c r="U3455" s="97"/>
      <c r="V3455" s="128"/>
      <c r="W3455" s="97"/>
      <c r="X3455" s="311">
        <v>44713</v>
      </c>
      <c r="Y3455" s="311">
        <v>45016</v>
      </c>
    </row>
    <row r="3456" s="9" customFormat="1" customHeight="1" spans="1:25">
      <c r="A3456" s="96" t="s">
        <v>25</v>
      </c>
      <c r="B3456" s="96" t="s">
        <v>4074</v>
      </c>
      <c r="C3456" s="96" t="s">
        <v>1854</v>
      </c>
      <c r="D3456" s="94" t="s">
        <v>4178</v>
      </c>
      <c r="E3456" s="105" t="s">
        <v>4423</v>
      </c>
      <c r="F3456" s="96" t="s">
        <v>4424</v>
      </c>
      <c r="G3456" s="96" t="s">
        <v>88</v>
      </c>
      <c r="H3456" s="19" t="s">
        <v>4462</v>
      </c>
      <c r="I3456" s="23" t="e">
        <f>VLOOKUP(H3456,'合同综合查询数据（3月返）'!$A:$A,1,FALSE)</f>
        <v>#N/A</v>
      </c>
      <c r="J3456" s="24" t="s">
        <v>126</v>
      </c>
      <c r="K3456" s="114" t="s">
        <v>4463</v>
      </c>
      <c r="L3456" s="114" t="s">
        <v>4464</v>
      </c>
      <c r="M3456" s="26" t="s">
        <v>4465</v>
      </c>
      <c r="N3456" s="106">
        <v>44773</v>
      </c>
      <c r="O3456" s="94" t="s">
        <v>624</v>
      </c>
      <c r="P3456" s="268">
        <v>4200</v>
      </c>
      <c r="Q3456" s="273">
        <v>-3</v>
      </c>
      <c r="R3456" s="268">
        <f t="shared" si="82"/>
        <v>-12600</v>
      </c>
      <c r="S3456" s="24">
        <v>202303</v>
      </c>
      <c r="T3456" s="127" t="s">
        <v>4473</v>
      </c>
      <c r="U3456" s="97"/>
      <c r="V3456" s="128"/>
      <c r="W3456" s="97"/>
      <c r="X3456" s="106">
        <v>44713</v>
      </c>
      <c r="Y3456" s="106">
        <v>45016</v>
      </c>
    </row>
    <row r="3457" s="9" customFormat="1" customHeight="1" spans="1:25">
      <c r="A3457" s="104" t="s">
        <v>25</v>
      </c>
      <c r="B3457" s="94" t="s">
        <v>4074</v>
      </c>
      <c r="C3457" s="94" t="s">
        <v>161</v>
      </c>
      <c r="D3457" s="94" t="s">
        <v>28</v>
      </c>
      <c r="E3457" s="105" t="s">
        <v>4423</v>
      </c>
      <c r="F3457" s="96" t="s">
        <v>4424</v>
      </c>
      <c r="G3457" s="96" t="s">
        <v>31</v>
      </c>
      <c r="H3457" s="19" t="s">
        <v>4474</v>
      </c>
      <c r="I3457" s="23" t="e">
        <f>VLOOKUP(H3457,'合同综合查询数据（3月返）'!$A:$A,1,FALSE)</f>
        <v>#N/A</v>
      </c>
      <c r="J3457" s="24" t="s">
        <v>33</v>
      </c>
      <c r="K3457" s="96" t="s">
        <v>4475</v>
      </c>
      <c r="L3457" s="114" t="s">
        <v>4476</v>
      </c>
      <c r="M3457" s="26" t="s">
        <v>4477</v>
      </c>
      <c r="N3457" s="106">
        <v>44288</v>
      </c>
      <c r="O3457" s="94" t="s">
        <v>37</v>
      </c>
      <c r="P3457" s="268">
        <v>0</v>
      </c>
      <c r="Q3457" s="273">
        <v>320</v>
      </c>
      <c r="R3457" s="268">
        <f t="shared" si="82"/>
        <v>0</v>
      </c>
      <c r="S3457" s="24">
        <v>202303</v>
      </c>
      <c r="T3457" s="127" t="s">
        <v>4478</v>
      </c>
      <c r="U3457" s="97"/>
      <c r="V3457" s="128"/>
      <c r="W3457" s="128"/>
      <c r="X3457" s="106">
        <v>44652</v>
      </c>
      <c r="Y3457" s="106">
        <v>44681</v>
      </c>
    </row>
    <row r="3458" s="9" customFormat="1" customHeight="1" spans="1:25">
      <c r="A3458" s="104" t="s">
        <v>25</v>
      </c>
      <c r="B3458" s="94" t="s">
        <v>4074</v>
      </c>
      <c r="C3458" s="94" t="s">
        <v>161</v>
      </c>
      <c r="D3458" s="94" t="s">
        <v>28</v>
      </c>
      <c r="E3458" s="105" t="s">
        <v>4423</v>
      </c>
      <c r="F3458" s="96" t="s">
        <v>4424</v>
      </c>
      <c r="G3458" s="96" t="s">
        <v>31</v>
      </c>
      <c r="H3458" s="19" t="s">
        <v>4474</v>
      </c>
      <c r="I3458" s="23" t="e">
        <f>VLOOKUP(H3458,'合同综合查询数据（3月返）'!$A:$A,1,FALSE)</f>
        <v>#N/A</v>
      </c>
      <c r="J3458" s="24" t="s">
        <v>33</v>
      </c>
      <c r="K3458" s="96" t="s">
        <v>4475</v>
      </c>
      <c r="L3458" s="114" t="s">
        <v>4476</v>
      </c>
      <c r="M3458" s="26" t="s">
        <v>4477</v>
      </c>
      <c r="N3458" s="106"/>
      <c r="O3458" s="94" t="s">
        <v>152</v>
      </c>
      <c r="P3458" s="268">
        <v>0</v>
      </c>
      <c r="Q3458" s="273">
        <v>0</v>
      </c>
      <c r="R3458" s="268">
        <f t="shared" si="82"/>
        <v>0</v>
      </c>
      <c r="S3458" s="24">
        <v>202303</v>
      </c>
      <c r="T3458" s="127" t="s">
        <v>4479</v>
      </c>
      <c r="U3458" s="97"/>
      <c r="V3458" s="128"/>
      <c r="W3458" s="128"/>
      <c r="X3458" s="106">
        <v>44652</v>
      </c>
      <c r="Y3458" s="106">
        <v>44681</v>
      </c>
    </row>
    <row r="3459" s="9" customFormat="1" customHeight="1" spans="1:25">
      <c r="A3459" s="104" t="s">
        <v>25</v>
      </c>
      <c r="B3459" s="94" t="s">
        <v>4074</v>
      </c>
      <c r="C3459" s="94" t="s">
        <v>161</v>
      </c>
      <c r="D3459" s="94" t="s">
        <v>28</v>
      </c>
      <c r="E3459" s="105" t="s">
        <v>4423</v>
      </c>
      <c r="F3459" s="96" t="s">
        <v>4424</v>
      </c>
      <c r="G3459" s="96" t="s">
        <v>88</v>
      </c>
      <c r="H3459" s="19" t="s">
        <v>4474</v>
      </c>
      <c r="I3459" s="23" t="e">
        <f>VLOOKUP(H3459,'合同综合查询数据（3月返）'!$A:$A,1,FALSE)</f>
        <v>#N/A</v>
      </c>
      <c r="J3459" s="24" t="s">
        <v>126</v>
      </c>
      <c r="K3459" s="96" t="s">
        <v>4475</v>
      </c>
      <c r="L3459" s="114" t="s">
        <v>4476</v>
      </c>
      <c r="M3459" s="26" t="s">
        <v>4477</v>
      </c>
      <c r="N3459" s="106">
        <v>44288</v>
      </c>
      <c r="O3459" s="94" t="s">
        <v>624</v>
      </c>
      <c r="P3459" s="268">
        <v>4000</v>
      </c>
      <c r="Q3459" s="273">
        <v>3</v>
      </c>
      <c r="R3459" s="268">
        <f t="shared" si="82"/>
        <v>12000</v>
      </c>
      <c r="S3459" s="24">
        <v>202303</v>
      </c>
      <c r="T3459" s="127" t="s">
        <v>4480</v>
      </c>
      <c r="U3459" s="97"/>
      <c r="V3459" s="128"/>
      <c r="W3459" s="128"/>
      <c r="X3459" s="106">
        <v>44652</v>
      </c>
      <c r="Y3459" s="106">
        <v>44681</v>
      </c>
    </row>
    <row r="3460" s="9" customFormat="1" customHeight="1" spans="1:25">
      <c r="A3460" s="104" t="s">
        <v>25</v>
      </c>
      <c r="B3460" s="94" t="s">
        <v>4074</v>
      </c>
      <c r="C3460" s="94" t="s">
        <v>161</v>
      </c>
      <c r="D3460" s="94" t="s">
        <v>28</v>
      </c>
      <c r="E3460" s="105" t="s">
        <v>4423</v>
      </c>
      <c r="F3460" s="96" t="s">
        <v>4424</v>
      </c>
      <c r="G3460" s="96" t="s">
        <v>88</v>
      </c>
      <c r="H3460" s="19" t="s">
        <v>4474</v>
      </c>
      <c r="I3460" s="23" t="e">
        <f>VLOOKUP(H3460,'合同综合查询数据（3月返）'!$A:$A,1,FALSE)</f>
        <v>#N/A</v>
      </c>
      <c r="J3460" s="24" t="s">
        <v>126</v>
      </c>
      <c r="K3460" s="96" t="s">
        <v>4475</v>
      </c>
      <c r="L3460" s="114" t="s">
        <v>4476</v>
      </c>
      <c r="M3460" s="26" t="s">
        <v>4477</v>
      </c>
      <c r="N3460" s="106">
        <v>44681</v>
      </c>
      <c r="O3460" s="94" t="s">
        <v>624</v>
      </c>
      <c r="P3460" s="268">
        <v>4000</v>
      </c>
      <c r="Q3460" s="273">
        <v>-3</v>
      </c>
      <c r="R3460" s="268">
        <f t="shared" si="82"/>
        <v>-12000</v>
      </c>
      <c r="S3460" s="24">
        <v>202303</v>
      </c>
      <c r="T3460" s="127" t="s">
        <v>4481</v>
      </c>
      <c r="U3460" s="97"/>
      <c r="V3460" s="128"/>
      <c r="W3460" s="128"/>
      <c r="X3460" s="106">
        <v>44652</v>
      </c>
      <c r="Y3460" s="106">
        <v>44681</v>
      </c>
    </row>
    <row r="3461" s="9" customFormat="1" customHeight="1" spans="1:25">
      <c r="A3461" s="104" t="s">
        <v>25</v>
      </c>
      <c r="B3461" s="95" t="s">
        <v>4074</v>
      </c>
      <c r="C3461" s="94" t="s">
        <v>3118</v>
      </c>
      <c r="D3461" s="94" t="s">
        <v>4250</v>
      </c>
      <c r="E3461" s="105" t="s">
        <v>4423</v>
      </c>
      <c r="F3461" s="96" t="s">
        <v>4424</v>
      </c>
      <c r="G3461" s="96" t="s">
        <v>31</v>
      </c>
      <c r="H3461" s="19" t="s">
        <v>4482</v>
      </c>
      <c r="I3461" s="23" t="e">
        <f>VLOOKUP(H3461,'合同综合查询数据（3月返）'!$A:$A,1,FALSE)</f>
        <v>#N/A</v>
      </c>
      <c r="J3461" s="24" t="s">
        <v>33</v>
      </c>
      <c r="K3461" s="96" t="s">
        <v>3525</v>
      </c>
      <c r="L3461" s="114" t="s">
        <v>4483</v>
      </c>
      <c r="M3461" s="26" t="s">
        <v>4484</v>
      </c>
      <c r="N3461" s="106">
        <v>44410</v>
      </c>
      <c r="O3461" s="94" t="s">
        <v>37</v>
      </c>
      <c r="P3461" s="268">
        <v>0</v>
      </c>
      <c r="Q3461" s="273">
        <v>480</v>
      </c>
      <c r="R3461" s="268">
        <f t="shared" si="82"/>
        <v>0</v>
      </c>
      <c r="S3461" s="24">
        <v>202303</v>
      </c>
      <c r="T3461" s="127" t="s">
        <v>4485</v>
      </c>
      <c r="U3461" s="97"/>
      <c r="V3461" s="128"/>
      <c r="W3461" s="128"/>
      <c r="X3461" s="106">
        <v>44470</v>
      </c>
      <c r="Y3461" s="106">
        <v>44834</v>
      </c>
    </row>
    <row r="3462" s="9" customFormat="1" customHeight="1" spans="1:25">
      <c r="A3462" s="104" t="s">
        <v>25</v>
      </c>
      <c r="B3462" s="95" t="s">
        <v>4074</v>
      </c>
      <c r="C3462" s="94" t="s">
        <v>3118</v>
      </c>
      <c r="D3462" s="94" t="s">
        <v>4250</v>
      </c>
      <c r="E3462" s="105" t="s">
        <v>4423</v>
      </c>
      <c r="F3462" s="96" t="s">
        <v>4424</v>
      </c>
      <c r="G3462" s="96" t="s">
        <v>31</v>
      </c>
      <c r="H3462" s="19" t="s">
        <v>4482</v>
      </c>
      <c r="I3462" s="23" t="e">
        <f>VLOOKUP(H3462,'合同综合查询数据（3月返）'!$A:$A,1,FALSE)</f>
        <v>#N/A</v>
      </c>
      <c r="J3462" s="24" t="s">
        <v>33</v>
      </c>
      <c r="K3462" s="96" t="s">
        <v>3525</v>
      </c>
      <c r="L3462" s="114" t="s">
        <v>4483</v>
      </c>
      <c r="M3462" s="26" t="s">
        <v>4484</v>
      </c>
      <c r="N3462" s="106"/>
      <c r="O3462" s="94" t="s">
        <v>152</v>
      </c>
      <c r="P3462" s="268">
        <v>0</v>
      </c>
      <c r="Q3462" s="268">
        <v>0</v>
      </c>
      <c r="R3462" s="268">
        <f t="shared" si="82"/>
        <v>0</v>
      </c>
      <c r="S3462" s="24">
        <v>202303</v>
      </c>
      <c r="T3462" s="127" t="s">
        <v>4486</v>
      </c>
      <c r="U3462" s="97"/>
      <c r="V3462" s="128"/>
      <c r="W3462" s="128"/>
      <c r="X3462" s="106">
        <v>44470</v>
      </c>
      <c r="Y3462" s="106">
        <v>44834</v>
      </c>
    </row>
    <row r="3463" s="9" customFormat="1" customHeight="1" spans="1:25">
      <c r="A3463" s="104" t="s">
        <v>25</v>
      </c>
      <c r="B3463" s="95" t="s">
        <v>4074</v>
      </c>
      <c r="C3463" s="94" t="s">
        <v>3118</v>
      </c>
      <c r="D3463" s="94" t="s">
        <v>4250</v>
      </c>
      <c r="E3463" s="105" t="s">
        <v>4423</v>
      </c>
      <c r="F3463" s="96" t="s">
        <v>4424</v>
      </c>
      <c r="G3463" s="96" t="s">
        <v>88</v>
      </c>
      <c r="H3463" s="19" t="s">
        <v>4482</v>
      </c>
      <c r="I3463" s="23" t="e">
        <f>VLOOKUP(H3463,'合同综合查询数据（3月返）'!$A:$A,1,FALSE)</f>
        <v>#N/A</v>
      </c>
      <c r="J3463" s="24" t="s">
        <v>126</v>
      </c>
      <c r="K3463" s="96" t="s">
        <v>3525</v>
      </c>
      <c r="L3463" s="114" t="s">
        <v>4483</v>
      </c>
      <c r="M3463" s="26" t="s">
        <v>4484</v>
      </c>
      <c r="N3463" s="106">
        <v>44410</v>
      </c>
      <c r="O3463" s="94" t="s">
        <v>2283</v>
      </c>
      <c r="P3463" s="268">
        <v>6000</v>
      </c>
      <c r="Q3463" s="273">
        <v>3</v>
      </c>
      <c r="R3463" s="268">
        <f t="shared" si="82"/>
        <v>18000</v>
      </c>
      <c r="S3463" s="24">
        <v>202303</v>
      </c>
      <c r="T3463" s="127" t="s">
        <v>4487</v>
      </c>
      <c r="U3463" s="97"/>
      <c r="V3463" s="128"/>
      <c r="W3463" s="128"/>
      <c r="X3463" s="106">
        <v>44470</v>
      </c>
      <c r="Y3463" s="106">
        <v>44834</v>
      </c>
    </row>
    <row r="3464" s="9" customFormat="1" customHeight="1" spans="1:25">
      <c r="A3464" s="104" t="s">
        <v>25</v>
      </c>
      <c r="B3464" s="95" t="s">
        <v>4074</v>
      </c>
      <c r="C3464" s="94" t="s">
        <v>3118</v>
      </c>
      <c r="D3464" s="94" t="s">
        <v>4250</v>
      </c>
      <c r="E3464" s="105" t="s">
        <v>4423</v>
      </c>
      <c r="F3464" s="96" t="s">
        <v>4424</v>
      </c>
      <c r="G3464" s="96" t="s">
        <v>88</v>
      </c>
      <c r="H3464" s="19" t="s">
        <v>4482</v>
      </c>
      <c r="I3464" s="23" t="e">
        <f>VLOOKUP(H3464,'合同综合查询数据（3月返）'!$A:$A,1,FALSE)</f>
        <v>#N/A</v>
      </c>
      <c r="J3464" s="24" t="s">
        <v>126</v>
      </c>
      <c r="K3464" s="96" t="s">
        <v>3525</v>
      </c>
      <c r="L3464" s="114" t="s">
        <v>4483</v>
      </c>
      <c r="M3464" s="26" t="s">
        <v>4484</v>
      </c>
      <c r="N3464" s="106">
        <v>44500</v>
      </c>
      <c r="O3464" s="94" t="s">
        <v>2283</v>
      </c>
      <c r="P3464" s="268">
        <v>6000</v>
      </c>
      <c r="Q3464" s="273">
        <v>-3</v>
      </c>
      <c r="R3464" s="268">
        <f t="shared" si="82"/>
        <v>-18000</v>
      </c>
      <c r="S3464" s="24">
        <v>202303</v>
      </c>
      <c r="T3464" s="127" t="s">
        <v>4488</v>
      </c>
      <c r="U3464" s="97"/>
      <c r="V3464" s="128"/>
      <c r="W3464" s="128"/>
      <c r="X3464" s="106">
        <v>44470</v>
      </c>
      <c r="Y3464" s="106">
        <v>44834</v>
      </c>
    </row>
    <row r="3465" s="9" customFormat="1" customHeight="1" spans="1:25">
      <c r="A3465" s="104" t="s">
        <v>25</v>
      </c>
      <c r="B3465" s="95" t="s">
        <v>4074</v>
      </c>
      <c r="C3465" s="94" t="s">
        <v>3118</v>
      </c>
      <c r="D3465" s="94" t="s">
        <v>4250</v>
      </c>
      <c r="E3465" s="105" t="s">
        <v>4423</v>
      </c>
      <c r="F3465" s="96" t="s">
        <v>4424</v>
      </c>
      <c r="G3465" s="96" t="s">
        <v>88</v>
      </c>
      <c r="H3465" s="19" t="s">
        <v>4482</v>
      </c>
      <c r="I3465" s="23" t="e">
        <f>VLOOKUP(H3465,'合同综合查询数据（3月返）'!$A:$A,1,FALSE)</f>
        <v>#N/A</v>
      </c>
      <c r="J3465" s="24" t="s">
        <v>126</v>
      </c>
      <c r="K3465" s="96" t="s">
        <v>3525</v>
      </c>
      <c r="L3465" s="114" t="s">
        <v>4483</v>
      </c>
      <c r="M3465" s="26" t="s">
        <v>4484</v>
      </c>
      <c r="N3465" s="106">
        <v>44501</v>
      </c>
      <c r="O3465" s="94" t="s">
        <v>2283</v>
      </c>
      <c r="P3465" s="268">
        <v>6000</v>
      </c>
      <c r="Q3465" s="273">
        <v>3</v>
      </c>
      <c r="R3465" s="268">
        <f t="shared" si="82"/>
        <v>18000</v>
      </c>
      <c r="S3465" s="24">
        <v>202303</v>
      </c>
      <c r="T3465" s="127" t="s">
        <v>4488</v>
      </c>
      <c r="U3465" s="97"/>
      <c r="V3465" s="128"/>
      <c r="W3465" s="128"/>
      <c r="X3465" s="106">
        <v>44470</v>
      </c>
      <c r="Y3465" s="106">
        <v>44834</v>
      </c>
    </row>
    <row r="3466" s="9" customFormat="1" customHeight="1" spans="1:25">
      <c r="A3466" s="104" t="s">
        <v>25</v>
      </c>
      <c r="B3466" s="95" t="s">
        <v>4074</v>
      </c>
      <c r="C3466" s="94" t="s">
        <v>3118</v>
      </c>
      <c r="D3466" s="94" t="s">
        <v>4250</v>
      </c>
      <c r="E3466" s="105" t="s">
        <v>4423</v>
      </c>
      <c r="F3466" s="96" t="s">
        <v>4424</v>
      </c>
      <c r="G3466" s="96" t="s">
        <v>88</v>
      </c>
      <c r="H3466" s="19" t="s">
        <v>4482</v>
      </c>
      <c r="I3466" s="23" t="e">
        <f>VLOOKUP(H3466,'合同综合查询数据（3月返）'!$A:$A,1,FALSE)</f>
        <v>#N/A</v>
      </c>
      <c r="J3466" s="24" t="s">
        <v>126</v>
      </c>
      <c r="K3466" s="96" t="s">
        <v>3525</v>
      </c>
      <c r="L3466" s="114" t="s">
        <v>4483</v>
      </c>
      <c r="M3466" s="26" t="s">
        <v>4484</v>
      </c>
      <c r="N3466" s="106">
        <v>44470</v>
      </c>
      <c r="O3466" s="94" t="s">
        <v>2283</v>
      </c>
      <c r="P3466" s="268">
        <v>6000</v>
      </c>
      <c r="Q3466" s="273">
        <v>3</v>
      </c>
      <c r="R3466" s="268">
        <f t="shared" si="82"/>
        <v>18000</v>
      </c>
      <c r="S3466" s="24">
        <v>202303</v>
      </c>
      <c r="T3466" s="127" t="s">
        <v>4489</v>
      </c>
      <c r="U3466" s="97"/>
      <c r="V3466" s="128"/>
      <c r="W3466" s="128"/>
      <c r="X3466" s="106">
        <v>44470</v>
      </c>
      <c r="Y3466" s="106">
        <v>44834</v>
      </c>
    </row>
    <row r="3467" s="9" customFormat="1" customHeight="1" spans="1:25">
      <c r="A3467" s="104" t="s">
        <v>25</v>
      </c>
      <c r="B3467" s="95" t="s">
        <v>4074</v>
      </c>
      <c r="C3467" s="94" t="s">
        <v>3118</v>
      </c>
      <c r="D3467" s="94" t="s">
        <v>4250</v>
      </c>
      <c r="E3467" s="105" t="s">
        <v>4423</v>
      </c>
      <c r="F3467" s="96" t="s">
        <v>4424</v>
      </c>
      <c r="G3467" s="96" t="s">
        <v>88</v>
      </c>
      <c r="H3467" s="19" t="s">
        <v>4482</v>
      </c>
      <c r="I3467" s="23" t="e">
        <f>VLOOKUP(H3467,'合同综合查询数据（3月返）'!$A:$A,1,FALSE)</f>
        <v>#N/A</v>
      </c>
      <c r="J3467" s="24" t="s">
        <v>126</v>
      </c>
      <c r="K3467" s="96" t="s">
        <v>3525</v>
      </c>
      <c r="L3467" s="114" t="s">
        <v>4483</v>
      </c>
      <c r="M3467" s="26" t="s">
        <v>4484</v>
      </c>
      <c r="N3467" s="106">
        <v>44470</v>
      </c>
      <c r="O3467" s="94" t="s">
        <v>2283</v>
      </c>
      <c r="P3467" s="268">
        <v>6000</v>
      </c>
      <c r="Q3467" s="273">
        <v>-3</v>
      </c>
      <c r="R3467" s="268">
        <f t="shared" si="82"/>
        <v>-18000</v>
      </c>
      <c r="S3467" s="24">
        <v>202303</v>
      </c>
      <c r="T3467" s="127" t="s">
        <v>4490</v>
      </c>
      <c r="U3467" s="97"/>
      <c r="V3467" s="128"/>
      <c r="W3467" s="128"/>
      <c r="X3467" s="106">
        <v>44470</v>
      </c>
      <c r="Y3467" s="106">
        <v>44834</v>
      </c>
    </row>
    <row r="3468" s="9" customFormat="1" customHeight="1" spans="1:25">
      <c r="A3468" s="104" t="s">
        <v>25</v>
      </c>
      <c r="B3468" s="95" t="s">
        <v>4074</v>
      </c>
      <c r="C3468" s="94" t="s">
        <v>3118</v>
      </c>
      <c r="D3468" s="94" t="s">
        <v>4250</v>
      </c>
      <c r="E3468" s="105" t="s">
        <v>4423</v>
      </c>
      <c r="F3468" s="96" t="s">
        <v>4424</v>
      </c>
      <c r="G3468" s="96" t="s">
        <v>88</v>
      </c>
      <c r="H3468" s="19" t="s">
        <v>4482</v>
      </c>
      <c r="I3468" s="23" t="e">
        <f>VLOOKUP(H3468,'合同综合查询数据（3月返）'!$A:$A,1,FALSE)</f>
        <v>#N/A</v>
      </c>
      <c r="J3468" s="24" t="s">
        <v>126</v>
      </c>
      <c r="K3468" s="96" t="s">
        <v>3525</v>
      </c>
      <c r="L3468" s="114" t="s">
        <v>4483</v>
      </c>
      <c r="M3468" s="26" t="s">
        <v>4484</v>
      </c>
      <c r="N3468" s="106">
        <v>44470</v>
      </c>
      <c r="O3468" s="94" t="s">
        <v>2283</v>
      </c>
      <c r="P3468" s="268">
        <v>6000</v>
      </c>
      <c r="Q3468" s="273">
        <v>2</v>
      </c>
      <c r="R3468" s="268">
        <f t="shared" si="82"/>
        <v>12000</v>
      </c>
      <c r="S3468" s="24">
        <v>202303</v>
      </c>
      <c r="T3468" s="127" t="s">
        <v>4491</v>
      </c>
      <c r="U3468" s="97"/>
      <c r="V3468" s="128"/>
      <c r="W3468" s="128"/>
      <c r="X3468" s="106">
        <v>44470</v>
      </c>
      <c r="Y3468" s="106">
        <v>44834</v>
      </c>
    </row>
    <row r="3469" s="9" customFormat="1" customHeight="1" spans="1:25">
      <c r="A3469" s="104" t="s">
        <v>25</v>
      </c>
      <c r="B3469" s="95" t="s">
        <v>4074</v>
      </c>
      <c r="C3469" s="94" t="s">
        <v>3118</v>
      </c>
      <c r="D3469" s="94" t="s">
        <v>4250</v>
      </c>
      <c r="E3469" s="105" t="s">
        <v>4423</v>
      </c>
      <c r="F3469" s="96" t="s">
        <v>4424</v>
      </c>
      <c r="G3469" s="96" t="s">
        <v>88</v>
      </c>
      <c r="H3469" s="19" t="s">
        <v>4482</v>
      </c>
      <c r="I3469" s="23" t="e">
        <f>VLOOKUP(H3469,'合同综合查询数据（3月返）'!$A:$A,1,FALSE)</f>
        <v>#N/A</v>
      </c>
      <c r="J3469" s="24" t="s">
        <v>126</v>
      </c>
      <c r="K3469" s="96" t="s">
        <v>3525</v>
      </c>
      <c r="L3469" s="114" t="s">
        <v>4483</v>
      </c>
      <c r="M3469" s="26" t="s">
        <v>4484</v>
      </c>
      <c r="N3469" s="106">
        <v>44834</v>
      </c>
      <c r="O3469" s="94" t="s">
        <v>2283</v>
      </c>
      <c r="P3469" s="268">
        <v>6000</v>
      </c>
      <c r="Q3469" s="273">
        <v>-5</v>
      </c>
      <c r="R3469" s="268">
        <f t="shared" si="82"/>
        <v>-30000</v>
      </c>
      <c r="S3469" s="24">
        <v>202303</v>
      </c>
      <c r="T3469" s="127" t="s">
        <v>4492</v>
      </c>
      <c r="U3469" s="97"/>
      <c r="V3469" s="128"/>
      <c r="W3469" s="128"/>
      <c r="X3469" s="106">
        <v>44470</v>
      </c>
      <c r="Y3469" s="106">
        <v>44834</v>
      </c>
    </row>
    <row r="3470" s="9" customFormat="1" customHeight="1" spans="1:25">
      <c r="A3470" s="104" t="s">
        <v>25</v>
      </c>
      <c r="B3470" s="95" t="s">
        <v>4074</v>
      </c>
      <c r="C3470" s="94" t="s">
        <v>44</v>
      </c>
      <c r="D3470" s="94" t="s">
        <v>4178</v>
      </c>
      <c r="E3470" s="105" t="s">
        <v>4423</v>
      </c>
      <c r="F3470" s="96" t="s">
        <v>4424</v>
      </c>
      <c r="G3470" s="96" t="s">
        <v>31</v>
      </c>
      <c r="H3470" s="19" t="s">
        <v>4493</v>
      </c>
      <c r="I3470" s="23" t="e">
        <f>VLOOKUP(H3470,'合同综合查询数据（3月返）'!$A:$A,1,FALSE)</f>
        <v>#N/A</v>
      </c>
      <c r="J3470" s="24" t="s">
        <v>33</v>
      </c>
      <c r="K3470" s="96" t="s">
        <v>4494</v>
      </c>
      <c r="L3470" s="114" t="s">
        <v>4495</v>
      </c>
      <c r="M3470" s="26" t="s">
        <v>4496</v>
      </c>
      <c r="N3470" s="106">
        <v>44470</v>
      </c>
      <c r="O3470" s="94" t="s">
        <v>37</v>
      </c>
      <c r="P3470" s="268">
        <v>0</v>
      </c>
      <c r="Q3470" s="273">
        <v>320</v>
      </c>
      <c r="R3470" s="268">
        <f t="shared" si="82"/>
        <v>0</v>
      </c>
      <c r="S3470" s="24">
        <v>202303</v>
      </c>
      <c r="T3470" s="127" t="s">
        <v>4497</v>
      </c>
      <c r="U3470" s="97"/>
      <c r="V3470" s="128"/>
      <c r="W3470" s="128"/>
      <c r="X3470" s="106">
        <v>44835</v>
      </c>
      <c r="Y3470" s="28">
        <v>45199</v>
      </c>
    </row>
    <row r="3471" s="9" customFormat="1" customHeight="1" spans="1:25">
      <c r="A3471" s="104" t="s">
        <v>25</v>
      </c>
      <c r="B3471" s="95" t="s">
        <v>4074</v>
      </c>
      <c r="C3471" s="94" t="s">
        <v>44</v>
      </c>
      <c r="D3471" s="94" t="s">
        <v>4178</v>
      </c>
      <c r="E3471" s="105" t="s">
        <v>4423</v>
      </c>
      <c r="F3471" s="96" t="s">
        <v>4424</v>
      </c>
      <c r="G3471" s="96" t="s">
        <v>31</v>
      </c>
      <c r="H3471" s="19" t="s">
        <v>4493</v>
      </c>
      <c r="I3471" s="23" t="e">
        <f>VLOOKUP(H3471,'合同综合查询数据（3月返）'!$A:$A,1,FALSE)</f>
        <v>#N/A</v>
      </c>
      <c r="J3471" s="24" t="s">
        <v>33</v>
      </c>
      <c r="K3471" s="96" t="s">
        <v>4494</v>
      </c>
      <c r="L3471" s="114" t="s">
        <v>4495</v>
      </c>
      <c r="M3471" s="26" t="s">
        <v>4496</v>
      </c>
      <c r="N3471" s="106"/>
      <c r="O3471" s="94" t="s">
        <v>152</v>
      </c>
      <c r="P3471" s="268">
        <v>0</v>
      </c>
      <c r="Q3471" s="268">
        <v>0</v>
      </c>
      <c r="R3471" s="268">
        <f t="shared" si="82"/>
        <v>0</v>
      </c>
      <c r="S3471" s="24">
        <v>202303</v>
      </c>
      <c r="T3471" s="127" t="s">
        <v>4498</v>
      </c>
      <c r="U3471" s="97"/>
      <c r="V3471" s="128"/>
      <c r="W3471" s="128"/>
      <c r="X3471" s="106">
        <v>44835</v>
      </c>
      <c r="Y3471" s="28">
        <v>45199</v>
      </c>
    </row>
    <row r="3472" s="9" customFormat="1" customHeight="1" spans="1:25">
      <c r="A3472" s="104" t="s">
        <v>25</v>
      </c>
      <c r="B3472" s="95" t="s">
        <v>4074</v>
      </c>
      <c r="C3472" s="94" t="s">
        <v>44</v>
      </c>
      <c r="D3472" s="94" t="s">
        <v>4178</v>
      </c>
      <c r="E3472" s="105" t="s">
        <v>4423</v>
      </c>
      <c r="F3472" s="96" t="s">
        <v>4424</v>
      </c>
      <c r="G3472" s="96" t="s">
        <v>88</v>
      </c>
      <c r="H3472" s="19" t="s">
        <v>4493</v>
      </c>
      <c r="I3472" s="23" t="e">
        <f>VLOOKUP(H3472,'合同综合查询数据（3月返）'!$A:$A,1,FALSE)</f>
        <v>#N/A</v>
      </c>
      <c r="J3472" s="24" t="s">
        <v>126</v>
      </c>
      <c r="K3472" s="96" t="s">
        <v>4494</v>
      </c>
      <c r="L3472" s="114" t="s">
        <v>4495</v>
      </c>
      <c r="M3472" s="26" t="s">
        <v>4496</v>
      </c>
      <c r="N3472" s="106">
        <v>44470</v>
      </c>
      <c r="O3472" s="94" t="s">
        <v>624</v>
      </c>
      <c r="P3472" s="268">
        <v>4000</v>
      </c>
      <c r="Q3472" s="273">
        <v>6</v>
      </c>
      <c r="R3472" s="268">
        <f t="shared" si="82"/>
        <v>24000</v>
      </c>
      <c r="S3472" s="24">
        <v>202303</v>
      </c>
      <c r="T3472" s="127" t="s">
        <v>4499</v>
      </c>
      <c r="U3472" s="97"/>
      <c r="V3472" s="128"/>
      <c r="W3472" s="128"/>
      <c r="X3472" s="106">
        <v>44835</v>
      </c>
      <c r="Y3472" s="28">
        <v>45199</v>
      </c>
    </row>
    <row r="3473" s="9" customFormat="1" customHeight="1" spans="1:25">
      <c r="A3473" s="104" t="s">
        <v>129</v>
      </c>
      <c r="B3473" s="95" t="s">
        <v>4074</v>
      </c>
      <c r="C3473" s="94" t="s">
        <v>4500</v>
      </c>
      <c r="D3473" s="94" t="s">
        <v>4178</v>
      </c>
      <c r="E3473" s="105" t="s">
        <v>4423</v>
      </c>
      <c r="F3473" s="96" t="s">
        <v>4424</v>
      </c>
      <c r="G3473" s="96" t="s">
        <v>31</v>
      </c>
      <c r="H3473" s="19" t="s">
        <v>4501</v>
      </c>
      <c r="I3473" s="23" t="e">
        <f>VLOOKUP(H3473,'合同综合查询数据（3月返）'!$A:$A,1,FALSE)</f>
        <v>#N/A</v>
      </c>
      <c r="J3473" s="24" t="s">
        <v>33</v>
      </c>
      <c r="K3473" s="96" t="s">
        <v>4502</v>
      </c>
      <c r="L3473" s="114" t="s">
        <v>4503</v>
      </c>
      <c r="M3473" s="26" t="s">
        <v>4504</v>
      </c>
      <c r="N3473" s="106">
        <v>44532</v>
      </c>
      <c r="O3473" s="94" t="s">
        <v>37</v>
      </c>
      <c r="P3473" s="268">
        <v>0</v>
      </c>
      <c r="Q3473" s="273">
        <v>224</v>
      </c>
      <c r="R3473" s="268">
        <f t="shared" si="82"/>
        <v>0</v>
      </c>
      <c r="S3473" s="24">
        <v>202303</v>
      </c>
      <c r="T3473" s="127" t="s">
        <v>4505</v>
      </c>
      <c r="U3473" s="97"/>
      <c r="V3473" s="128"/>
      <c r="W3473" s="128"/>
      <c r="X3473" s="106">
        <v>44896</v>
      </c>
      <c r="Y3473" s="106">
        <v>45260</v>
      </c>
    </row>
    <row r="3474" s="9" customFormat="1" customHeight="1" spans="1:25">
      <c r="A3474" s="104" t="s">
        <v>129</v>
      </c>
      <c r="B3474" s="95" t="s">
        <v>4074</v>
      </c>
      <c r="C3474" s="94" t="s">
        <v>4500</v>
      </c>
      <c r="D3474" s="94" t="s">
        <v>4178</v>
      </c>
      <c r="E3474" s="105" t="s">
        <v>4423</v>
      </c>
      <c r="F3474" s="96" t="s">
        <v>4424</v>
      </c>
      <c r="G3474" s="96" t="s">
        <v>31</v>
      </c>
      <c r="H3474" s="19" t="s">
        <v>4501</v>
      </c>
      <c r="I3474" s="23" t="e">
        <f>VLOOKUP(H3474,'合同综合查询数据（3月返）'!$A:$A,1,FALSE)</f>
        <v>#N/A</v>
      </c>
      <c r="J3474" s="24" t="s">
        <v>33</v>
      </c>
      <c r="K3474" s="96" t="s">
        <v>4502</v>
      </c>
      <c r="L3474" s="114" t="s">
        <v>4503</v>
      </c>
      <c r="M3474" s="26" t="s">
        <v>4504</v>
      </c>
      <c r="N3474" s="106">
        <v>44532</v>
      </c>
      <c r="O3474" s="94" t="s">
        <v>37</v>
      </c>
      <c r="P3474" s="268">
        <v>50</v>
      </c>
      <c r="Q3474" s="273">
        <v>32</v>
      </c>
      <c r="R3474" s="268">
        <f t="shared" si="82"/>
        <v>1600</v>
      </c>
      <c r="S3474" s="24">
        <v>202303</v>
      </c>
      <c r="T3474" s="127" t="s">
        <v>4505</v>
      </c>
      <c r="U3474" s="97"/>
      <c r="V3474" s="128"/>
      <c r="W3474" s="128"/>
      <c r="X3474" s="106">
        <v>44896</v>
      </c>
      <c r="Y3474" s="106">
        <v>45260</v>
      </c>
    </row>
    <row r="3475" s="9" customFormat="1" customHeight="1" spans="1:25">
      <c r="A3475" s="104" t="s">
        <v>129</v>
      </c>
      <c r="B3475" s="95" t="s">
        <v>4074</v>
      </c>
      <c r="C3475" s="94" t="s">
        <v>4500</v>
      </c>
      <c r="D3475" s="94" t="s">
        <v>4178</v>
      </c>
      <c r="E3475" s="105" t="s">
        <v>4423</v>
      </c>
      <c r="F3475" s="96" t="s">
        <v>4424</v>
      </c>
      <c r="G3475" s="96" t="s">
        <v>31</v>
      </c>
      <c r="H3475" s="19" t="s">
        <v>4501</v>
      </c>
      <c r="I3475" s="23" t="e">
        <f>VLOOKUP(H3475,'合同综合查询数据（3月返）'!$A:$A,1,FALSE)</f>
        <v>#N/A</v>
      </c>
      <c r="J3475" s="24" t="s">
        <v>33</v>
      </c>
      <c r="K3475" s="96" t="s">
        <v>4502</v>
      </c>
      <c r="L3475" s="114" t="s">
        <v>4503</v>
      </c>
      <c r="M3475" s="26" t="s">
        <v>4504</v>
      </c>
      <c r="N3475" s="106">
        <v>44889</v>
      </c>
      <c r="O3475" s="94" t="s">
        <v>37</v>
      </c>
      <c r="P3475" s="268">
        <v>50</v>
      </c>
      <c r="Q3475" s="273">
        <v>-32</v>
      </c>
      <c r="R3475" s="268">
        <f t="shared" si="82"/>
        <v>-1600</v>
      </c>
      <c r="S3475" s="24">
        <v>202303</v>
      </c>
      <c r="T3475" s="127" t="s">
        <v>4506</v>
      </c>
      <c r="U3475" s="97"/>
      <c r="V3475" s="128"/>
      <c r="W3475" s="128"/>
      <c r="X3475" s="106">
        <v>44896</v>
      </c>
      <c r="Y3475" s="106">
        <v>45260</v>
      </c>
    </row>
    <row r="3476" s="9" customFormat="1" customHeight="1" spans="1:25">
      <c r="A3476" s="104" t="s">
        <v>129</v>
      </c>
      <c r="B3476" s="95" t="s">
        <v>4074</v>
      </c>
      <c r="C3476" s="94" t="s">
        <v>4500</v>
      </c>
      <c r="D3476" s="94" t="s">
        <v>4178</v>
      </c>
      <c r="E3476" s="105" t="s">
        <v>4423</v>
      </c>
      <c r="F3476" s="96" t="s">
        <v>4424</v>
      </c>
      <c r="G3476" s="96" t="s">
        <v>31</v>
      </c>
      <c r="H3476" s="19" t="s">
        <v>4501</v>
      </c>
      <c r="I3476" s="23" t="e">
        <f>VLOOKUP(H3476,'合同综合查询数据（3月返）'!$A:$A,1,FALSE)</f>
        <v>#N/A</v>
      </c>
      <c r="J3476" s="24" t="s">
        <v>33</v>
      </c>
      <c r="K3476" s="96" t="s">
        <v>4502</v>
      </c>
      <c r="L3476" s="114" t="s">
        <v>4503</v>
      </c>
      <c r="M3476" s="26" t="s">
        <v>4504</v>
      </c>
      <c r="N3476" s="106">
        <v>44889</v>
      </c>
      <c r="O3476" s="94" t="s">
        <v>37</v>
      </c>
      <c r="P3476" s="268">
        <v>0</v>
      </c>
      <c r="Q3476" s="273">
        <v>-64</v>
      </c>
      <c r="R3476" s="268">
        <f t="shared" si="82"/>
        <v>0</v>
      </c>
      <c r="S3476" s="24">
        <v>202303</v>
      </c>
      <c r="T3476" s="127" t="s">
        <v>4507</v>
      </c>
      <c r="U3476" s="97"/>
      <c r="V3476" s="128"/>
      <c r="W3476" s="128"/>
      <c r="X3476" s="106">
        <v>44896</v>
      </c>
      <c r="Y3476" s="106">
        <v>45260</v>
      </c>
    </row>
    <row r="3477" s="9" customFormat="1" customHeight="1" spans="1:25">
      <c r="A3477" s="104" t="s">
        <v>129</v>
      </c>
      <c r="B3477" s="95" t="s">
        <v>4074</v>
      </c>
      <c r="C3477" s="94" t="s">
        <v>4500</v>
      </c>
      <c r="D3477" s="94" t="s">
        <v>4178</v>
      </c>
      <c r="E3477" s="105" t="s">
        <v>4423</v>
      </c>
      <c r="F3477" s="96" t="s">
        <v>4424</v>
      </c>
      <c r="G3477" s="96" t="s">
        <v>31</v>
      </c>
      <c r="H3477" s="19" t="s">
        <v>4501</v>
      </c>
      <c r="I3477" s="23" t="e">
        <f>VLOOKUP(H3477,'合同综合查询数据（3月返）'!$A:$A,1,FALSE)</f>
        <v>#N/A</v>
      </c>
      <c r="J3477" s="24" t="s">
        <v>33</v>
      </c>
      <c r="K3477" s="96" t="s">
        <v>4502</v>
      </c>
      <c r="L3477" s="114" t="s">
        <v>4503</v>
      </c>
      <c r="M3477" s="26" t="s">
        <v>4504</v>
      </c>
      <c r="N3477" s="94"/>
      <c r="O3477" s="94" t="s">
        <v>152</v>
      </c>
      <c r="P3477" s="268">
        <v>0</v>
      </c>
      <c r="Q3477" s="268">
        <v>0</v>
      </c>
      <c r="R3477" s="268">
        <f t="shared" si="82"/>
        <v>0</v>
      </c>
      <c r="S3477" s="24">
        <v>202303</v>
      </c>
      <c r="T3477" s="127" t="s">
        <v>4508</v>
      </c>
      <c r="U3477" s="97"/>
      <c r="V3477" s="128"/>
      <c r="W3477" s="128"/>
      <c r="X3477" s="106">
        <v>44896</v>
      </c>
      <c r="Y3477" s="106">
        <v>45260</v>
      </c>
    </row>
    <row r="3478" s="9" customFormat="1" customHeight="1" spans="1:25">
      <c r="A3478" s="104" t="s">
        <v>129</v>
      </c>
      <c r="B3478" s="95" t="s">
        <v>4074</v>
      </c>
      <c r="C3478" s="94" t="s">
        <v>4500</v>
      </c>
      <c r="D3478" s="94" t="s">
        <v>4178</v>
      </c>
      <c r="E3478" s="105" t="s">
        <v>4423</v>
      </c>
      <c r="F3478" s="96" t="s">
        <v>4424</v>
      </c>
      <c r="G3478" s="96" t="s">
        <v>88</v>
      </c>
      <c r="H3478" s="19" t="s">
        <v>4501</v>
      </c>
      <c r="I3478" s="23" t="e">
        <f>VLOOKUP(H3478,'合同综合查询数据（3月返）'!$A:$A,1,FALSE)</f>
        <v>#N/A</v>
      </c>
      <c r="J3478" s="24" t="s">
        <v>126</v>
      </c>
      <c r="K3478" s="96" t="s">
        <v>4502</v>
      </c>
      <c r="L3478" s="114" t="s">
        <v>4503</v>
      </c>
      <c r="M3478" s="26" t="s">
        <v>4504</v>
      </c>
      <c r="N3478" s="106">
        <v>44532</v>
      </c>
      <c r="O3478" s="94" t="s">
        <v>92</v>
      </c>
      <c r="P3478" s="268">
        <v>4000</v>
      </c>
      <c r="Q3478" s="273">
        <v>3</v>
      </c>
      <c r="R3478" s="268">
        <f t="shared" si="82"/>
        <v>12000</v>
      </c>
      <c r="S3478" s="24">
        <v>202303</v>
      </c>
      <c r="T3478" s="127" t="s">
        <v>4509</v>
      </c>
      <c r="U3478" s="97"/>
      <c r="V3478" s="128"/>
      <c r="W3478" s="128"/>
      <c r="X3478" s="106">
        <v>44896</v>
      </c>
      <c r="Y3478" s="106">
        <v>45260</v>
      </c>
    </row>
    <row r="3479" s="9" customFormat="1" customHeight="1" spans="1:25">
      <c r="A3479" s="96" t="s">
        <v>25</v>
      </c>
      <c r="B3479" s="94" t="s">
        <v>4074</v>
      </c>
      <c r="C3479" s="94" t="s">
        <v>110</v>
      </c>
      <c r="D3479" s="94" t="s">
        <v>28</v>
      </c>
      <c r="E3479" s="105" t="s">
        <v>4423</v>
      </c>
      <c r="F3479" s="96" t="s">
        <v>4424</v>
      </c>
      <c r="G3479" s="96" t="s">
        <v>31</v>
      </c>
      <c r="H3479" s="117" t="s">
        <v>4510</v>
      </c>
      <c r="I3479" s="23" t="e">
        <f>VLOOKUP(H3479,'合同综合查询数据（3月返）'!$A:$A,1,FALSE)</f>
        <v>#N/A</v>
      </c>
      <c r="J3479" s="24" t="s">
        <v>33</v>
      </c>
      <c r="K3479" s="94" t="s">
        <v>4511</v>
      </c>
      <c r="L3479" s="94" t="s">
        <v>4512</v>
      </c>
      <c r="M3479" s="94" t="s">
        <v>4513</v>
      </c>
      <c r="N3479" s="106">
        <v>44593</v>
      </c>
      <c r="O3479" s="94" t="s">
        <v>37</v>
      </c>
      <c r="P3479" s="297">
        <v>0</v>
      </c>
      <c r="Q3479" s="297">
        <v>320</v>
      </c>
      <c r="R3479" s="268">
        <f t="shared" si="82"/>
        <v>0</v>
      </c>
      <c r="S3479" s="24">
        <v>202303</v>
      </c>
      <c r="T3479" s="23" t="s">
        <v>4514</v>
      </c>
      <c r="U3479" s="94"/>
      <c r="V3479" s="321"/>
      <c r="W3479" s="94"/>
      <c r="X3479" s="106">
        <v>44593</v>
      </c>
      <c r="Y3479" s="106">
        <v>44957</v>
      </c>
    </row>
    <row r="3480" s="9" customFormat="1" customHeight="1" spans="1:25">
      <c r="A3480" s="96" t="s">
        <v>25</v>
      </c>
      <c r="B3480" s="94" t="s">
        <v>4074</v>
      </c>
      <c r="C3480" s="94" t="s">
        <v>110</v>
      </c>
      <c r="D3480" s="94" t="s">
        <v>28</v>
      </c>
      <c r="E3480" s="105" t="s">
        <v>4423</v>
      </c>
      <c r="F3480" s="96" t="s">
        <v>4424</v>
      </c>
      <c r="G3480" s="96" t="s">
        <v>31</v>
      </c>
      <c r="H3480" s="117" t="s">
        <v>4510</v>
      </c>
      <c r="I3480" s="23" t="e">
        <f>VLOOKUP(H3480,'合同综合查询数据（3月返）'!$A:$A,1,FALSE)</f>
        <v>#N/A</v>
      </c>
      <c r="J3480" s="24" t="s">
        <v>33</v>
      </c>
      <c r="K3480" s="94" t="s">
        <v>4511</v>
      </c>
      <c r="L3480" s="94" t="s">
        <v>4512</v>
      </c>
      <c r="M3480" s="94" t="s">
        <v>4513</v>
      </c>
      <c r="N3480" s="106"/>
      <c r="O3480" s="94" t="s">
        <v>152</v>
      </c>
      <c r="P3480" s="268">
        <v>0</v>
      </c>
      <c r="Q3480" s="268">
        <v>0</v>
      </c>
      <c r="R3480" s="268">
        <f t="shared" si="82"/>
        <v>0</v>
      </c>
      <c r="S3480" s="24">
        <v>202303</v>
      </c>
      <c r="T3480" s="23" t="s">
        <v>4394</v>
      </c>
      <c r="U3480" s="94"/>
      <c r="V3480" s="321"/>
      <c r="W3480" s="94"/>
      <c r="X3480" s="106">
        <v>44593</v>
      </c>
      <c r="Y3480" s="106">
        <v>44957</v>
      </c>
    </row>
    <row r="3481" s="9" customFormat="1" customHeight="1" spans="1:25">
      <c r="A3481" s="96" t="s">
        <v>25</v>
      </c>
      <c r="B3481" s="94" t="s">
        <v>4074</v>
      </c>
      <c r="C3481" s="94" t="s">
        <v>110</v>
      </c>
      <c r="D3481" s="94" t="s">
        <v>28</v>
      </c>
      <c r="E3481" s="105" t="s">
        <v>4423</v>
      </c>
      <c r="F3481" s="96" t="s">
        <v>4424</v>
      </c>
      <c r="G3481" s="96" t="s">
        <v>88</v>
      </c>
      <c r="H3481" s="117" t="s">
        <v>4510</v>
      </c>
      <c r="I3481" s="23" t="e">
        <f>VLOOKUP(H3481,'合同综合查询数据（3月返）'!$A:$A,1,FALSE)</f>
        <v>#N/A</v>
      </c>
      <c r="J3481" s="24" t="s">
        <v>126</v>
      </c>
      <c r="K3481" s="94" t="s">
        <v>4511</v>
      </c>
      <c r="L3481" s="94" t="s">
        <v>4512</v>
      </c>
      <c r="M3481" s="94" t="s">
        <v>4513</v>
      </c>
      <c r="N3481" s="106">
        <v>44593</v>
      </c>
      <c r="O3481" s="94" t="s">
        <v>3267</v>
      </c>
      <c r="P3481" s="297">
        <v>5000</v>
      </c>
      <c r="Q3481" s="297">
        <v>3</v>
      </c>
      <c r="R3481" s="268">
        <f t="shared" si="82"/>
        <v>15000</v>
      </c>
      <c r="S3481" s="24">
        <v>202303</v>
      </c>
      <c r="T3481" s="23" t="s">
        <v>4515</v>
      </c>
      <c r="U3481" s="94"/>
      <c r="V3481" s="321"/>
      <c r="W3481" s="94"/>
      <c r="X3481" s="106">
        <v>44593</v>
      </c>
      <c r="Y3481" s="106">
        <v>44957</v>
      </c>
    </row>
    <row r="3482" s="9" customFormat="1" customHeight="1" spans="1:25">
      <c r="A3482" s="96" t="s">
        <v>25</v>
      </c>
      <c r="B3482" s="94" t="s">
        <v>4074</v>
      </c>
      <c r="C3482" s="94" t="s">
        <v>110</v>
      </c>
      <c r="D3482" s="94" t="s">
        <v>28</v>
      </c>
      <c r="E3482" s="105" t="s">
        <v>4423</v>
      </c>
      <c r="F3482" s="96" t="s">
        <v>4424</v>
      </c>
      <c r="G3482" s="96" t="s">
        <v>88</v>
      </c>
      <c r="H3482" s="117" t="s">
        <v>4510</v>
      </c>
      <c r="I3482" s="23" t="e">
        <f>VLOOKUP(H3482,'合同综合查询数据（3月返）'!$A:$A,1,FALSE)</f>
        <v>#N/A</v>
      </c>
      <c r="J3482" s="24" t="s">
        <v>126</v>
      </c>
      <c r="K3482" s="94" t="s">
        <v>4511</v>
      </c>
      <c r="L3482" s="94" t="s">
        <v>4512</v>
      </c>
      <c r="M3482" s="94" t="s">
        <v>4513</v>
      </c>
      <c r="N3482" s="106">
        <v>44742</v>
      </c>
      <c r="O3482" s="94" t="s">
        <v>3267</v>
      </c>
      <c r="P3482" s="297">
        <v>5000</v>
      </c>
      <c r="Q3482" s="297">
        <v>-3</v>
      </c>
      <c r="R3482" s="268">
        <f t="shared" si="82"/>
        <v>-15000</v>
      </c>
      <c r="S3482" s="24">
        <v>202303</v>
      </c>
      <c r="T3482" s="23" t="s">
        <v>4516</v>
      </c>
      <c r="U3482" s="94"/>
      <c r="V3482" s="321"/>
      <c r="W3482" s="94"/>
      <c r="X3482" s="106">
        <v>44593</v>
      </c>
      <c r="Y3482" s="106">
        <v>44957</v>
      </c>
    </row>
    <row r="3483" s="9" customFormat="1" customHeight="1" spans="1:25">
      <c r="A3483" s="96" t="s">
        <v>25</v>
      </c>
      <c r="B3483" s="94" t="s">
        <v>4074</v>
      </c>
      <c r="C3483" s="94" t="s">
        <v>217</v>
      </c>
      <c r="D3483" s="94" t="s">
        <v>4178</v>
      </c>
      <c r="E3483" s="105" t="s">
        <v>4423</v>
      </c>
      <c r="F3483" s="96" t="s">
        <v>4424</v>
      </c>
      <c r="G3483" s="96" t="s">
        <v>31</v>
      </c>
      <c r="H3483" s="117" t="s">
        <v>4517</v>
      </c>
      <c r="I3483" s="23" t="e">
        <f>VLOOKUP(H3483,'合同综合查询数据（3月返）'!$A:$A,1,FALSE)</f>
        <v>#N/A</v>
      </c>
      <c r="J3483" s="24" t="s">
        <v>33</v>
      </c>
      <c r="K3483" s="94" t="s">
        <v>4518</v>
      </c>
      <c r="L3483" s="94" t="s">
        <v>4519</v>
      </c>
      <c r="M3483" s="94" t="s">
        <v>4520</v>
      </c>
      <c r="N3483" s="106">
        <v>44805</v>
      </c>
      <c r="O3483" s="94" t="s">
        <v>37</v>
      </c>
      <c r="P3483" s="297">
        <v>0</v>
      </c>
      <c r="Q3483" s="297">
        <v>160</v>
      </c>
      <c r="R3483" s="268">
        <f t="shared" si="82"/>
        <v>0</v>
      </c>
      <c r="S3483" s="24">
        <v>202303</v>
      </c>
      <c r="T3483" s="23" t="s">
        <v>4521</v>
      </c>
      <c r="U3483" s="94"/>
      <c r="V3483" s="321"/>
      <c r="W3483" s="94"/>
      <c r="X3483" s="106">
        <v>44805</v>
      </c>
      <c r="Y3483" s="106">
        <v>45016</v>
      </c>
    </row>
    <row r="3484" s="9" customFormat="1" customHeight="1" spans="1:25">
      <c r="A3484" s="96" t="s">
        <v>25</v>
      </c>
      <c r="B3484" s="94" t="s">
        <v>4074</v>
      </c>
      <c r="C3484" s="94" t="s">
        <v>217</v>
      </c>
      <c r="D3484" s="94" t="s">
        <v>4178</v>
      </c>
      <c r="E3484" s="105" t="s">
        <v>4423</v>
      </c>
      <c r="F3484" s="96" t="s">
        <v>4424</v>
      </c>
      <c r="G3484" s="96" t="s">
        <v>31</v>
      </c>
      <c r="H3484" s="117" t="s">
        <v>4517</v>
      </c>
      <c r="I3484" s="23" t="e">
        <f>VLOOKUP(H3484,'合同综合查询数据（3月返）'!$A:$A,1,FALSE)</f>
        <v>#N/A</v>
      </c>
      <c r="J3484" s="24" t="s">
        <v>33</v>
      </c>
      <c r="K3484" s="94" t="s">
        <v>4518</v>
      </c>
      <c r="L3484" s="94" t="s">
        <v>4519</v>
      </c>
      <c r="M3484" s="94" t="s">
        <v>4520</v>
      </c>
      <c r="N3484" s="106">
        <v>44805</v>
      </c>
      <c r="O3484" s="94" t="s">
        <v>37</v>
      </c>
      <c r="P3484" s="297">
        <v>50</v>
      </c>
      <c r="Q3484" s="297">
        <v>128</v>
      </c>
      <c r="R3484" s="268">
        <f t="shared" si="82"/>
        <v>6400</v>
      </c>
      <c r="S3484" s="24">
        <v>202303</v>
      </c>
      <c r="T3484" s="23" t="s">
        <v>4521</v>
      </c>
      <c r="U3484" s="94"/>
      <c r="V3484" s="321"/>
      <c r="W3484" s="94"/>
      <c r="X3484" s="106">
        <v>44805</v>
      </c>
      <c r="Y3484" s="106">
        <v>45016</v>
      </c>
    </row>
    <row r="3485" s="9" customFormat="1" customHeight="1" spans="1:25">
      <c r="A3485" s="96" t="s">
        <v>25</v>
      </c>
      <c r="B3485" s="94" t="s">
        <v>4074</v>
      </c>
      <c r="C3485" s="94" t="s">
        <v>217</v>
      </c>
      <c r="D3485" s="94" t="s">
        <v>4178</v>
      </c>
      <c r="E3485" s="105" t="s">
        <v>4423</v>
      </c>
      <c r="F3485" s="96" t="s">
        <v>4424</v>
      </c>
      <c r="G3485" s="96" t="s">
        <v>31</v>
      </c>
      <c r="H3485" s="117" t="s">
        <v>4517</v>
      </c>
      <c r="I3485" s="23" t="e">
        <f>VLOOKUP(H3485,'合同综合查询数据（3月返）'!$A:$A,1,FALSE)</f>
        <v>#N/A</v>
      </c>
      <c r="J3485" s="24" t="s">
        <v>33</v>
      </c>
      <c r="K3485" s="94" t="s">
        <v>4518</v>
      </c>
      <c r="L3485" s="94" t="s">
        <v>4519</v>
      </c>
      <c r="M3485" s="94" t="s">
        <v>4520</v>
      </c>
      <c r="N3485" s="106">
        <v>44868</v>
      </c>
      <c r="O3485" s="94" t="s">
        <v>37</v>
      </c>
      <c r="P3485" s="297">
        <v>50</v>
      </c>
      <c r="Q3485" s="297">
        <v>-128</v>
      </c>
      <c r="R3485" s="268">
        <f t="shared" si="82"/>
        <v>-6400</v>
      </c>
      <c r="S3485" s="24">
        <v>202303</v>
      </c>
      <c r="T3485" s="23" t="s">
        <v>4522</v>
      </c>
      <c r="U3485" s="94"/>
      <c r="V3485" s="321"/>
      <c r="W3485" s="94"/>
      <c r="X3485" s="106">
        <v>44805</v>
      </c>
      <c r="Y3485" s="106">
        <v>45016</v>
      </c>
    </row>
    <row r="3486" s="9" customFormat="1" customHeight="1" spans="1:25">
      <c r="A3486" s="96" t="s">
        <v>25</v>
      </c>
      <c r="B3486" s="94" t="s">
        <v>4074</v>
      </c>
      <c r="C3486" s="94" t="s">
        <v>217</v>
      </c>
      <c r="D3486" s="94" t="s">
        <v>4178</v>
      </c>
      <c r="E3486" s="105" t="s">
        <v>4423</v>
      </c>
      <c r="F3486" s="96" t="s">
        <v>4424</v>
      </c>
      <c r="G3486" s="96" t="s">
        <v>31</v>
      </c>
      <c r="H3486" s="117" t="s">
        <v>4517</v>
      </c>
      <c r="I3486" s="23" t="e">
        <f>VLOOKUP(H3486,'合同综合查询数据（3月返）'!$A:$A,1,FALSE)</f>
        <v>#N/A</v>
      </c>
      <c r="J3486" s="24" t="s">
        <v>33</v>
      </c>
      <c r="K3486" s="94" t="s">
        <v>4518</v>
      </c>
      <c r="L3486" s="94" t="s">
        <v>4519</v>
      </c>
      <c r="M3486" s="94" t="s">
        <v>4520</v>
      </c>
      <c r="N3486" s="106"/>
      <c r="O3486" s="94" t="s">
        <v>152</v>
      </c>
      <c r="P3486" s="268">
        <v>0</v>
      </c>
      <c r="Q3486" s="268">
        <v>0</v>
      </c>
      <c r="R3486" s="268">
        <f>ROUND(P3486*Q3486,2)</f>
        <v>0</v>
      </c>
      <c r="S3486" s="24">
        <v>202303</v>
      </c>
      <c r="T3486" s="23" t="s">
        <v>4523</v>
      </c>
      <c r="U3486" s="94"/>
      <c r="V3486" s="321"/>
      <c r="W3486" s="94"/>
      <c r="X3486" s="106">
        <v>44805</v>
      </c>
      <c r="Y3486" s="106">
        <v>45016</v>
      </c>
    </row>
    <row r="3487" s="10" customFormat="1" customHeight="1" spans="1:25">
      <c r="A3487" s="60" t="s">
        <v>25</v>
      </c>
      <c r="B3487" s="62" t="s">
        <v>4074</v>
      </c>
      <c r="C3487" s="62" t="s">
        <v>217</v>
      </c>
      <c r="D3487" s="63" t="s">
        <v>4178</v>
      </c>
      <c r="E3487" s="60" t="s">
        <v>4423</v>
      </c>
      <c r="F3487" s="60" t="s">
        <v>4424</v>
      </c>
      <c r="G3487" s="70" t="s">
        <v>31</v>
      </c>
      <c r="H3487" s="48" t="s">
        <v>4524</v>
      </c>
      <c r="I3487" s="47" t="e">
        <f>VLOOKUP(H3487,'合同综合查询数据（3月返）'!$A:$A,1,FALSE)</f>
        <v>#N/A</v>
      </c>
      <c r="J3487" s="62" t="s">
        <v>33</v>
      </c>
      <c r="K3487" s="62" t="s">
        <v>4518</v>
      </c>
      <c r="L3487" s="62" t="s">
        <v>4519</v>
      </c>
      <c r="M3487" s="111" t="s">
        <v>4520</v>
      </c>
      <c r="N3487" s="111">
        <v>45008</v>
      </c>
      <c r="O3487" s="266" t="s">
        <v>37</v>
      </c>
      <c r="P3487" s="266">
        <v>0</v>
      </c>
      <c r="Q3487" s="266">
        <v>128</v>
      </c>
      <c r="R3487" s="48">
        <f>ROUND(P3487*Q3487,2)</f>
        <v>0</v>
      </c>
      <c r="S3487" s="47">
        <v>202303</v>
      </c>
      <c r="T3487" s="62" t="s">
        <v>4525</v>
      </c>
      <c r="U3487" s="62"/>
      <c r="V3487" s="310"/>
      <c r="W3487" s="62"/>
      <c r="X3487" s="111"/>
      <c r="Y3487" s="111"/>
    </row>
    <row r="3488" s="10" customFormat="1" customHeight="1" spans="1:25">
      <c r="A3488" s="60" t="s">
        <v>25</v>
      </c>
      <c r="B3488" s="62" t="s">
        <v>4074</v>
      </c>
      <c r="C3488" s="62" t="s">
        <v>217</v>
      </c>
      <c r="D3488" s="63" t="s">
        <v>4178</v>
      </c>
      <c r="E3488" s="60" t="s">
        <v>4423</v>
      </c>
      <c r="F3488" s="60" t="s">
        <v>4424</v>
      </c>
      <c r="G3488" s="70" t="s">
        <v>31</v>
      </c>
      <c r="H3488" s="48" t="s">
        <v>4524</v>
      </c>
      <c r="I3488" s="47" t="e">
        <f>VLOOKUP(H3488,'合同综合查询数据（3月返）'!$A:$A,1,FALSE)</f>
        <v>#N/A</v>
      </c>
      <c r="J3488" s="62" t="s">
        <v>33</v>
      </c>
      <c r="K3488" s="62" t="s">
        <v>4518</v>
      </c>
      <c r="L3488" s="62" t="s">
        <v>4519</v>
      </c>
      <c r="M3488" s="111" t="s">
        <v>4520</v>
      </c>
      <c r="N3488" s="111">
        <v>45008</v>
      </c>
      <c r="O3488" s="266" t="s">
        <v>152</v>
      </c>
      <c r="P3488" s="266">
        <v>0</v>
      </c>
      <c r="Q3488" s="266">
        <v>0</v>
      </c>
      <c r="R3488" s="48">
        <f>ROUND(P3488*Q3488,2)</f>
        <v>0</v>
      </c>
      <c r="S3488" s="47">
        <v>202303</v>
      </c>
      <c r="T3488" s="62" t="s">
        <v>4526</v>
      </c>
      <c r="U3488" s="62"/>
      <c r="V3488" s="310"/>
      <c r="W3488" s="62"/>
      <c r="X3488" s="111"/>
      <c r="Y3488" s="111"/>
    </row>
    <row r="3489" s="9" customFormat="1" customHeight="1" spans="1:25">
      <c r="A3489" s="96" t="s">
        <v>25</v>
      </c>
      <c r="B3489" s="94" t="s">
        <v>4074</v>
      </c>
      <c r="C3489" s="94" t="s">
        <v>217</v>
      </c>
      <c r="D3489" s="94" t="s">
        <v>4178</v>
      </c>
      <c r="E3489" s="105" t="s">
        <v>4423</v>
      </c>
      <c r="F3489" s="96" t="s">
        <v>4424</v>
      </c>
      <c r="G3489" s="96" t="s">
        <v>88</v>
      </c>
      <c r="H3489" s="117" t="s">
        <v>4517</v>
      </c>
      <c r="I3489" s="23" t="e">
        <f>VLOOKUP(H3489,'合同综合查询数据（3月返）'!$A:$A,1,FALSE)</f>
        <v>#N/A</v>
      </c>
      <c r="J3489" s="24" t="s">
        <v>126</v>
      </c>
      <c r="K3489" s="94" t="s">
        <v>4518</v>
      </c>
      <c r="L3489" s="94" t="s">
        <v>4519</v>
      </c>
      <c r="M3489" s="94" t="s">
        <v>4520</v>
      </c>
      <c r="N3489" s="106">
        <v>44805</v>
      </c>
      <c r="O3489" s="94" t="s">
        <v>2989</v>
      </c>
      <c r="P3489" s="297">
        <v>5000</v>
      </c>
      <c r="Q3489" s="297">
        <v>3</v>
      </c>
      <c r="R3489" s="268">
        <f>ROUND(P3489*Q3489,2)</f>
        <v>15000</v>
      </c>
      <c r="S3489" s="24">
        <v>202303</v>
      </c>
      <c r="T3489" s="23" t="s">
        <v>4527</v>
      </c>
      <c r="U3489" s="94"/>
      <c r="V3489" s="321"/>
      <c r="W3489" s="94"/>
      <c r="X3489" s="106">
        <v>44805</v>
      </c>
      <c r="Y3489" s="106">
        <v>45016</v>
      </c>
    </row>
    <row r="3490" s="10" customFormat="1" customHeight="1" spans="1:25">
      <c r="A3490" s="60" t="s">
        <v>25</v>
      </c>
      <c r="B3490" s="62" t="s">
        <v>4074</v>
      </c>
      <c r="C3490" s="62" t="s">
        <v>217</v>
      </c>
      <c r="D3490" s="62" t="s">
        <v>4178</v>
      </c>
      <c r="E3490" s="63" t="s">
        <v>4423</v>
      </c>
      <c r="F3490" s="60" t="s">
        <v>4424</v>
      </c>
      <c r="G3490" s="60" t="s">
        <v>88</v>
      </c>
      <c r="H3490" s="70" t="s">
        <v>4524</v>
      </c>
      <c r="I3490" s="47" t="e">
        <f>VLOOKUP(H3490,'合同综合查询数据（3月返）'!$A:$A,1,FALSE)</f>
        <v>#N/A</v>
      </c>
      <c r="J3490" s="48" t="s">
        <v>126</v>
      </c>
      <c r="K3490" s="62" t="s">
        <v>4518</v>
      </c>
      <c r="L3490" s="62" t="s">
        <v>4519</v>
      </c>
      <c r="M3490" s="62" t="s">
        <v>4520</v>
      </c>
      <c r="N3490" s="111">
        <v>45008</v>
      </c>
      <c r="O3490" s="62" t="s">
        <v>624</v>
      </c>
      <c r="P3490" s="299">
        <v>5000</v>
      </c>
      <c r="Q3490" s="305">
        <v>3</v>
      </c>
      <c r="R3490" s="266">
        <f>ROUND(P3490*Q3490*9/31,2)</f>
        <v>4354.84</v>
      </c>
      <c r="S3490" s="48">
        <v>202303</v>
      </c>
      <c r="T3490" s="47" t="s">
        <v>4528</v>
      </c>
      <c r="U3490" s="62"/>
      <c r="V3490" s="326"/>
      <c r="W3490" s="62"/>
      <c r="X3490" s="111"/>
      <c r="Y3490" s="111"/>
    </row>
    <row r="3491" s="9" customFormat="1" customHeight="1" spans="1:25">
      <c r="A3491" s="96" t="s">
        <v>25</v>
      </c>
      <c r="B3491" s="94" t="s">
        <v>4074</v>
      </c>
      <c r="C3491" s="94" t="s">
        <v>50</v>
      </c>
      <c r="D3491" s="94" t="s">
        <v>4250</v>
      </c>
      <c r="E3491" s="105" t="s">
        <v>4423</v>
      </c>
      <c r="F3491" s="96" t="s">
        <v>4424</v>
      </c>
      <c r="G3491" s="96" t="s">
        <v>31</v>
      </c>
      <c r="H3491" s="117" t="s">
        <v>4529</v>
      </c>
      <c r="I3491" s="23" t="e">
        <f>VLOOKUP(H3491,'合同综合查询数据（3月返）'!$A:$A,1,FALSE)</f>
        <v>#N/A</v>
      </c>
      <c r="J3491" s="24" t="s">
        <v>33</v>
      </c>
      <c r="K3491" s="94" t="s">
        <v>51</v>
      </c>
      <c r="L3491" s="94" t="s">
        <v>4530</v>
      </c>
      <c r="M3491" s="94" t="s">
        <v>4531</v>
      </c>
      <c r="N3491" s="106">
        <v>44866</v>
      </c>
      <c r="O3491" s="94" t="s">
        <v>37</v>
      </c>
      <c r="P3491" s="297">
        <v>0</v>
      </c>
      <c r="Q3491" s="297">
        <v>320</v>
      </c>
      <c r="R3491" s="268">
        <f t="shared" ref="R3491:R3554" si="83">ROUND(P3491*Q3491,2)</f>
        <v>0</v>
      </c>
      <c r="S3491" s="24">
        <v>202303</v>
      </c>
      <c r="T3491" s="23" t="s">
        <v>4532</v>
      </c>
      <c r="U3491" s="94"/>
      <c r="V3491" s="321"/>
      <c r="W3491" s="94"/>
      <c r="X3491" s="106">
        <v>44866</v>
      </c>
      <c r="Y3491" s="106">
        <v>45230</v>
      </c>
    </row>
    <row r="3492" s="9" customFormat="1" customHeight="1" spans="1:25">
      <c r="A3492" s="96" t="s">
        <v>25</v>
      </c>
      <c r="B3492" s="94" t="s">
        <v>4074</v>
      </c>
      <c r="C3492" s="94" t="s">
        <v>50</v>
      </c>
      <c r="D3492" s="94" t="s">
        <v>4250</v>
      </c>
      <c r="E3492" s="105" t="s">
        <v>4423</v>
      </c>
      <c r="F3492" s="96" t="s">
        <v>4424</v>
      </c>
      <c r="G3492" s="96" t="s">
        <v>31</v>
      </c>
      <c r="H3492" s="117" t="s">
        <v>4529</v>
      </c>
      <c r="I3492" s="23" t="e">
        <f>VLOOKUP(H3492,'合同综合查询数据（3月返）'!$A:$A,1,FALSE)</f>
        <v>#N/A</v>
      </c>
      <c r="J3492" s="24" t="s">
        <v>33</v>
      </c>
      <c r="K3492" s="94" t="s">
        <v>51</v>
      </c>
      <c r="L3492" s="94" t="s">
        <v>4530</v>
      </c>
      <c r="M3492" s="94" t="s">
        <v>4531</v>
      </c>
      <c r="N3492" s="106"/>
      <c r="O3492" s="321" t="s">
        <v>152</v>
      </c>
      <c r="P3492" s="297">
        <v>0</v>
      </c>
      <c r="Q3492" s="297">
        <v>0</v>
      </c>
      <c r="R3492" s="268">
        <f t="shared" si="83"/>
        <v>0</v>
      </c>
      <c r="S3492" s="24">
        <v>202303</v>
      </c>
      <c r="T3492" s="23" t="s">
        <v>4523</v>
      </c>
      <c r="U3492" s="94"/>
      <c r="V3492" s="321"/>
      <c r="W3492" s="94"/>
      <c r="X3492" s="106">
        <v>44866</v>
      </c>
      <c r="Y3492" s="106">
        <v>45230</v>
      </c>
    </row>
    <row r="3493" s="9" customFormat="1" customHeight="1" spans="1:25">
      <c r="A3493" s="96" t="s">
        <v>25</v>
      </c>
      <c r="B3493" s="94" t="s">
        <v>4074</v>
      </c>
      <c r="C3493" s="94" t="s">
        <v>50</v>
      </c>
      <c r="D3493" s="94" t="s">
        <v>4250</v>
      </c>
      <c r="E3493" s="105" t="s">
        <v>4423</v>
      </c>
      <c r="F3493" s="96" t="s">
        <v>4424</v>
      </c>
      <c r="G3493" s="96" t="s">
        <v>88</v>
      </c>
      <c r="H3493" s="117" t="s">
        <v>4529</v>
      </c>
      <c r="I3493" s="23" t="e">
        <f>VLOOKUP(H3493,'合同综合查询数据（3月返）'!$A:$A,1,FALSE)</f>
        <v>#N/A</v>
      </c>
      <c r="J3493" s="24" t="s">
        <v>126</v>
      </c>
      <c r="K3493" s="94" t="s">
        <v>51</v>
      </c>
      <c r="L3493" s="94" t="s">
        <v>4530</v>
      </c>
      <c r="M3493" s="94" t="s">
        <v>4531</v>
      </c>
      <c r="N3493" s="106">
        <v>44866</v>
      </c>
      <c r="O3493" s="94" t="s">
        <v>92</v>
      </c>
      <c r="P3493" s="297">
        <v>4800</v>
      </c>
      <c r="Q3493" s="297">
        <v>6</v>
      </c>
      <c r="R3493" s="268">
        <f t="shared" si="83"/>
        <v>28800</v>
      </c>
      <c r="S3493" s="24">
        <v>202303</v>
      </c>
      <c r="T3493" s="23" t="s">
        <v>4533</v>
      </c>
      <c r="U3493" s="94"/>
      <c r="V3493" s="321"/>
      <c r="W3493" s="94"/>
      <c r="X3493" s="106">
        <v>44866</v>
      </c>
      <c r="Y3493" s="106">
        <v>45230</v>
      </c>
    </row>
    <row r="3494" s="9" customFormat="1" customHeight="1" spans="1:25">
      <c r="A3494" s="104" t="s">
        <v>25</v>
      </c>
      <c r="B3494" s="96" t="s">
        <v>4074</v>
      </c>
      <c r="C3494" s="96" t="s">
        <v>2998</v>
      </c>
      <c r="D3494" s="94" t="s">
        <v>4178</v>
      </c>
      <c r="E3494" s="23" t="s">
        <v>4534</v>
      </c>
      <c r="F3494" s="94" t="s">
        <v>4535</v>
      </c>
      <c r="G3494" s="96" t="s">
        <v>31</v>
      </c>
      <c r="H3494" s="97" t="s">
        <v>4536</v>
      </c>
      <c r="I3494" s="23" t="e">
        <f>VLOOKUP(H3494,'合同综合查询数据（3月返）'!$A:$A,1,FALSE)</f>
        <v>#N/A</v>
      </c>
      <c r="J3494" s="24" t="s">
        <v>33</v>
      </c>
      <c r="K3494" s="94" t="s">
        <v>4216</v>
      </c>
      <c r="L3494" s="94" t="s">
        <v>4537</v>
      </c>
      <c r="M3494" s="94" t="s">
        <v>4538</v>
      </c>
      <c r="N3494" s="106">
        <v>43709</v>
      </c>
      <c r="O3494" s="94" t="s">
        <v>37</v>
      </c>
      <c r="P3494" s="297">
        <v>0</v>
      </c>
      <c r="Q3494" s="297">
        <v>576</v>
      </c>
      <c r="R3494" s="268">
        <f t="shared" si="83"/>
        <v>0</v>
      </c>
      <c r="S3494" s="24">
        <v>202303</v>
      </c>
      <c r="T3494" s="127" t="s">
        <v>4539</v>
      </c>
      <c r="U3494" s="40"/>
      <c r="V3494" s="40"/>
      <c r="W3494" s="40"/>
      <c r="X3494" s="106">
        <v>44197</v>
      </c>
      <c r="Y3494" s="106">
        <v>44561</v>
      </c>
    </row>
    <row r="3495" s="9" customFormat="1" customHeight="1" spans="1:25">
      <c r="A3495" s="104" t="s">
        <v>25</v>
      </c>
      <c r="B3495" s="96" t="s">
        <v>4074</v>
      </c>
      <c r="C3495" s="96" t="s">
        <v>2998</v>
      </c>
      <c r="D3495" s="94" t="s">
        <v>4178</v>
      </c>
      <c r="E3495" s="23" t="s">
        <v>4534</v>
      </c>
      <c r="F3495" s="94" t="s">
        <v>4535</v>
      </c>
      <c r="G3495" s="96" t="s">
        <v>31</v>
      </c>
      <c r="H3495" s="97" t="s">
        <v>4536</v>
      </c>
      <c r="I3495" s="23" t="e">
        <f>VLOOKUP(H3495,'合同综合查询数据（3月返）'!$A:$A,1,FALSE)</f>
        <v>#N/A</v>
      </c>
      <c r="J3495" s="24" t="s">
        <v>33</v>
      </c>
      <c r="K3495" s="94" t="s">
        <v>4216</v>
      </c>
      <c r="L3495" s="94" t="s">
        <v>4537</v>
      </c>
      <c r="M3495" s="94" t="s">
        <v>4538</v>
      </c>
      <c r="N3495" s="106"/>
      <c r="O3495" s="94" t="s">
        <v>152</v>
      </c>
      <c r="P3495" s="297">
        <v>0</v>
      </c>
      <c r="Q3495" s="273">
        <v>0</v>
      </c>
      <c r="R3495" s="268">
        <f t="shared" si="83"/>
        <v>0</v>
      </c>
      <c r="S3495" s="24">
        <v>202303</v>
      </c>
      <c r="T3495" s="127" t="s">
        <v>4540</v>
      </c>
      <c r="U3495" s="40"/>
      <c r="V3495" s="40"/>
      <c r="W3495" s="40"/>
      <c r="X3495" s="106">
        <v>44197</v>
      </c>
      <c r="Y3495" s="106">
        <v>44561</v>
      </c>
    </row>
    <row r="3496" s="9" customFormat="1" customHeight="1" spans="1:25">
      <c r="A3496" s="104" t="s">
        <v>25</v>
      </c>
      <c r="B3496" s="95" t="s">
        <v>4074</v>
      </c>
      <c r="C3496" s="94" t="s">
        <v>2998</v>
      </c>
      <c r="D3496" s="94" t="s">
        <v>4178</v>
      </c>
      <c r="E3496" s="23" t="s">
        <v>4534</v>
      </c>
      <c r="F3496" s="94" t="s">
        <v>4535</v>
      </c>
      <c r="G3496" s="96" t="s">
        <v>31</v>
      </c>
      <c r="H3496" s="19" t="s">
        <v>4536</v>
      </c>
      <c r="I3496" s="23" t="e">
        <f>VLOOKUP(H3496,'合同综合查询数据（3月返）'!$A:$A,1,FALSE)</f>
        <v>#N/A</v>
      </c>
      <c r="J3496" s="24" t="s">
        <v>33</v>
      </c>
      <c r="K3496" s="96" t="s">
        <v>4216</v>
      </c>
      <c r="L3496" s="114" t="s">
        <v>4541</v>
      </c>
      <c r="M3496" s="26" t="s">
        <v>4542</v>
      </c>
      <c r="N3496" s="106">
        <v>44228</v>
      </c>
      <c r="O3496" s="94" t="s">
        <v>37</v>
      </c>
      <c r="P3496" s="268">
        <v>0</v>
      </c>
      <c r="Q3496" s="273">
        <v>256</v>
      </c>
      <c r="R3496" s="268">
        <f t="shared" si="83"/>
        <v>0</v>
      </c>
      <c r="S3496" s="24">
        <v>202303</v>
      </c>
      <c r="T3496" s="127" t="s">
        <v>4543</v>
      </c>
      <c r="U3496" s="97"/>
      <c r="V3496" s="128"/>
      <c r="W3496" s="128"/>
      <c r="X3496" s="106">
        <v>44197</v>
      </c>
      <c r="Y3496" s="106">
        <v>44561</v>
      </c>
    </row>
    <row r="3497" s="9" customFormat="1" customHeight="1" spans="1:25">
      <c r="A3497" s="104" t="s">
        <v>25</v>
      </c>
      <c r="B3497" s="96" t="s">
        <v>4074</v>
      </c>
      <c r="C3497" s="96" t="s">
        <v>2998</v>
      </c>
      <c r="D3497" s="94" t="s">
        <v>4178</v>
      </c>
      <c r="E3497" s="23" t="s">
        <v>4534</v>
      </c>
      <c r="F3497" s="94" t="s">
        <v>4535</v>
      </c>
      <c r="G3497" s="96" t="s">
        <v>88</v>
      </c>
      <c r="H3497" s="97" t="s">
        <v>4536</v>
      </c>
      <c r="I3497" s="23" t="e">
        <f>VLOOKUP(H3497,'合同综合查询数据（3月返）'!$A:$A,1,FALSE)</f>
        <v>#N/A</v>
      </c>
      <c r="J3497" s="24" t="s">
        <v>126</v>
      </c>
      <c r="K3497" s="94" t="s">
        <v>4216</v>
      </c>
      <c r="L3497" s="94" t="s">
        <v>4537</v>
      </c>
      <c r="M3497" s="94" t="s">
        <v>4542</v>
      </c>
      <c r="N3497" s="106">
        <v>43709</v>
      </c>
      <c r="O3497" s="94" t="s">
        <v>624</v>
      </c>
      <c r="P3497" s="297">
        <v>4500</v>
      </c>
      <c r="Q3497" s="297">
        <v>5</v>
      </c>
      <c r="R3497" s="297">
        <f t="shared" si="83"/>
        <v>22500</v>
      </c>
      <c r="S3497" s="24">
        <v>202303</v>
      </c>
      <c r="T3497" s="127" t="s">
        <v>4544</v>
      </c>
      <c r="U3497" s="40"/>
      <c r="V3497" s="40"/>
      <c r="W3497" s="40"/>
      <c r="X3497" s="106">
        <v>44197</v>
      </c>
      <c r="Y3497" s="106">
        <v>44561</v>
      </c>
    </row>
    <row r="3498" s="9" customFormat="1" customHeight="1" spans="1:25">
      <c r="A3498" s="104" t="s">
        <v>25</v>
      </c>
      <c r="B3498" s="96" t="s">
        <v>4074</v>
      </c>
      <c r="C3498" s="96" t="s">
        <v>2998</v>
      </c>
      <c r="D3498" s="94" t="s">
        <v>4178</v>
      </c>
      <c r="E3498" s="23" t="s">
        <v>4534</v>
      </c>
      <c r="F3498" s="94" t="s">
        <v>4535</v>
      </c>
      <c r="G3498" s="96" t="s">
        <v>88</v>
      </c>
      <c r="H3498" s="97" t="s">
        <v>4536</v>
      </c>
      <c r="I3498" s="23" t="e">
        <f>VLOOKUP(H3498,'合同综合查询数据（3月返）'!$A:$A,1,FALSE)</f>
        <v>#N/A</v>
      </c>
      <c r="J3498" s="24" t="s">
        <v>126</v>
      </c>
      <c r="K3498" s="94" t="s">
        <v>4216</v>
      </c>
      <c r="L3498" s="94" t="s">
        <v>4537</v>
      </c>
      <c r="M3498" s="94" t="s">
        <v>4542</v>
      </c>
      <c r="N3498" s="106">
        <v>43800</v>
      </c>
      <c r="O3498" s="94" t="s">
        <v>624</v>
      </c>
      <c r="P3498" s="297">
        <v>4500</v>
      </c>
      <c r="Q3498" s="297">
        <v>3</v>
      </c>
      <c r="R3498" s="297">
        <f t="shared" si="83"/>
        <v>13500</v>
      </c>
      <c r="S3498" s="24">
        <v>202303</v>
      </c>
      <c r="T3498" s="127" t="s">
        <v>4545</v>
      </c>
      <c r="U3498" s="40"/>
      <c r="V3498" s="40"/>
      <c r="W3498" s="40"/>
      <c r="X3498" s="106">
        <v>44197</v>
      </c>
      <c r="Y3498" s="106">
        <v>44561</v>
      </c>
    </row>
    <row r="3499" s="9" customFormat="1" customHeight="1" spans="1:25">
      <c r="A3499" s="104" t="s">
        <v>25</v>
      </c>
      <c r="B3499" s="96" t="s">
        <v>4074</v>
      </c>
      <c r="C3499" s="96" t="s">
        <v>2998</v>
      </c>
      <c r="D3499" s="94" t="s">
        <v>4178</v>
      </c>
      <c r="E3499" s="23" t="s">
        <v>4534</v>
      </c>
      <c r="F3499" s="94" t="s">
        <v>4535</v>
      </c>
      <c r="G3499" s="96" t="s">
        <v>88</v>
      </c>
      <c r="H3499" s="97" t="s">
        <v>4536</v>
      </c>
      <c r="I3499" s="23" t="e">
        <f>VLOOKUP(H3499,'合同综合查询数据（3月返）'!$A:$A,1,FALSE)</f>
        <v>#N/A</v>
      </c>
      <c r="J3499" s="24" t="s">
        <v>126</v>
      </c>
      <c r="K3499" s="94" t="s">
        <v>4216</v>
      </c>
      <c r="L3499" s="94" t="s">
        <v>4537</v>
      </c>
      <c r="M3499" s="94" t="s">
        <v>4542</v>
      </c>
      <c r="N3499" s="106">
        <v>44232</v>
      </c>
      <c r="O3499" s="94" t="s">
        <v>624</v>
      </c>
      <c r="P3499" s="297">
        <v>4500</v>
      </c>
      <c r="Q3499" s="297">
        <v>-1</v>
      </c>
      <c r="R3499" s="297">
        <f t="shared" si="83"/>
        <v>-4500</v>
      </c>
      <c r="S3499" s="24">
        <v>202303</v>
      </c>
      <c r="T3499" s="127" t="s">
        <v>4546</v>
      </c>
      <c r="U3499" s="40"/>
      <c r="V3499" s="40"/>
      <c r="W3499" s="40"/>
      <c r="X3499" s="106">
        <v>44197</v>
      </c>
      <c r="Y3499" s="106">
        <v>44561</v>
      </c>
    </row>
    <row r="3500" s="9" customFormat="1" customHeight="1" spans="1:25">
      <c r="A3500" s="104" t="s">
        <v>25</v>
      </c>
      <c r="B3500" s="95" t="s">
        <v>4074</v>
      </c>
      <c r="C3500" s="94" t="s">
        <v>2998</v>
      </c>
      <c r="D3500" s="94" t="s">
        <v>4178</v>
      </c>
      <c r="E3500" s="23" t="s">
        <v>4534</v>
      </c>
      <c r="F3500" s="94" t="s">
        <v>4535</v>
      </c>
      <c r="G3500" s="96" t="s">
        <v>88</v>
      </c>
      <c r="H3500" s="19" t="s">
        <v>4536</v>
      </c>
      <c r="I3500" s="23" t="e">
        <f>VLOOKUP(H3500,'合同综合查询数据（3月返）'!$A:$A,1,FALSE)</f>
        <v>#N/A</v>
      </c>
      <c r="J3500" s="24" t="s">
        <v>126</v>
      </c>
      <c r="K3500" s="96" t="s">
        <v>4216</v>
      </c>
      <c r="L3500" s="114" t="s">
        <v>4541</v>
      </c>
      <c r="M3500" s="26" t="s">
        <v>4542</v>
      </c>
      <c r="N3500" s="106">
        <v>44228</v>
      </c>
      <c r="O3500" s="94" t="s">
        <v>624</v>
      </c>
      <c r="P3500" s="268">
        <v>4500</v>
      </c>
      <c r="Q3500" s="273">
        <v>4</v>
      </c>
      <c r="R3500" s="268">
        <f t="shared" si="83"/>
        <v>18000</v>
      </c>
      <c r="S3500" s="24">
        <v>202303</v>
      </c>
      <c r="T3500" s="127" t="s">
        <v>4547</v>
      </c>
      <c r="U3500" s="97"/>
      <c r="V3500" s="128"/>
      <c r="W3500" s="128"/>
      <c r="X3500" s="106">
        <v>44197</v>
      </c>
      <c r="Y3500" s="106">
        <v>44561</v>
      </c>
    </row>
    <row r="3501" s="9" customFormat="1" customHeight="1" spans="1:25">
      <c r="A3501" s="104" t="s">
        <v>25</v>
      </c>
      <c r="B3501" s="96" t="s">
        <v>4074</v>
      </c>
      <c r="C3501" s="96" t="s">
        <v>2998</v>
      </c>
      <c r="D3501" s="94" t="s">
        <v>4178</v>
      </c>
      <c r="E3501" s="23" t="s">
        <v>4534</v>
      </c>
      <c r="F3501" s="94" t="s">
        <v>4535</v>
      </c>
      <c r="G3501" s="96" t="s">
        <v>88</v>
      </c>
      <c r="H3501" s="97" t="s">
        <v>4536</v>
      </c>
      <c r="I3501" s="23" t="e">
        <f>VLOOKUP(H3501,'合同综合查询数据（3月返）'!$A:$A,1,FALSE)</f>
        <v>#N/A</v>
      </c>
      <c r="J3501" s="24" t="s">
        <v>126</v>
      </c>
      <c r="K3501" s="94" t="s">
        <v>4216</v>
      </c>
      <c r="L3501" s="94" t="s">
        <v>4537</v>
      </c>
      <c r="M3501" s="26" t="s">
        <v>4542</v>
      </c>
      <c r="N3501" s="106">
        <v>44469</v>
      </c>
      <c r="O3501" s="94" t="s">
        <v>624</v>
      </c>
      <c r="P3501" s="268">
        <v>4500</v>
      </c>
      <c r="Q3501" s="273">
        <v>-7</v>
      </c>
      <c r="R3501" s="268">
        <f t="shared" si="83"/>
        <v>-31500</v>
      </c>
      <c r="S3501" s="24">
        <v>202303</v>
      </c>
      <c r="T3501" s="302" t="s">
        <v>4548</v>
      </c>
      <c r="U3501" s="97"/>
      <c r="V3501" s="128"/>
      <c r="W3501" s="128"/>
      <c r="X3501" s="106">
        <v>44197</v>
      </c>
      <c r="Y3501" s="106">
        <v>44561</v>
      </c>
    </row>
    <row r="3502" s="9" customFormat="1" customHeight="1" spans="1:25">
      <c r="A3502" s="104" t="s">
        <v>25</v>
      </c>
      <c r="B3502" s="95" t="s">
        <v>4074</v>
      </c>
      <c r="C3502" s="94" t="s">
        <v>2998</v>
      </c>
      <c r="D3502" s="94" t="s">
        <v>4178</v>
      </c>
      <c r="E3502" s="23" t="s">
        <v>4534</v>
      </c>
      <c r="F3502" s="94" t="s">
        <v>4535</v>
      </c>
      <c r="G3502" s="96" t="s">
        <v>88</v>
      </c>
      <c r="H3502" s="19" t="s">
        <v>4536</v>
      </c>
      <c r="I3502" s="23" t="e">
        <f>VLOOKUP(H3502,'合同综合查询数据（3月返）'!$A:$A,1,FALSE)</f>
        <v>#N/A</v>
      </c>
      <c r="J3502" s="24" t="s">
        <v>126</v>
      </c>
      <c r="K3502" s="96" t="s">
        <v>4216</v>
      </c>
      <c r="L3502" s="114" t="s">
        <v>4541</v>
      </c>
      <c r="M3502" s="26" t="s">
        <v>4542</v>
      </c>
      <c r="N3502" s="106">
        <v>44469</v>
      </c>
      <c r="O3502" s="94" t="s">
        <v>624</v>
      </c>
      <c r="P3502" s="268">
        <v>4500</v>
      </c>
      <c r="Q3502" s="273">
        <v>-4</v>
      </c>
      <c r="R3502" s="268">
        <f t="shared" si="83"/>
        <v>-18000</v>
      </c>
      <c r="S3502" s="24">
        <v>202303</v>
      </c>
      <c r="T3502" s="302" t="s">
        <v>4548</v>
      </c>
      <c r="U3502" s="97"/>
      <c r="V3502" s="128"/>
      <c r="W3502" s="128"/>
      <c r="X3502" s="106">
        <v>44197</v>
      </c>
      <c r="Y3502" s="106">
        <v>44561</v>
      </c>
    </row>
    <row r="3503" s="9" customFormat="1" customHeight="1" spans="1:25">
      <c r="A3503" s="96" t="s">
        <v>129</v>
      </c>
      <c r="B3503" s="96" t="s">
        <v>4074</v>
      </c>
      <c r="C3503" s="96" t="s">
        <v>2998</v>
      </c>
      <c r="D3503" s="94" t="s">
        <v>4178</v>
      </c>
      <c r="E3503" s="23" t="s">
        <v>4534</v>
      </c>
      <c r="F3503" s="94" t="s">
        <v>4535</v>
      </c>
      <c r="G3503" s="96" t="s">
        <v>31</v>
      </c>
      <c r="H3503" s="97" t="s">
        <v>4549</v>
      </c>
      <c r="I3503" s="23" t="e">
        <f>VLOOKUP(H3503,'合同综合查询数据（3月返）'!$A:$A,1,FALSE)</f>
        <v>#N/A</v>
      </c>
      <c r="J3503" s="24" t="s">
        <v>33</v>
      </c>
      <c r="K3503" s="94" t="s">
        <v>3042</v>
      </c>
      <c r="L3503" s="94" t="s">
        <v>4550</v>
      </c>
      <c r="M3503" s="94" t="s">
        <v>4551</v>
      </c>
      <c r="N3503" s="106">
        <v>43733</v>
      </c>
      <c r="O3503" s="94" t="s">
        <v>37</v>
      </c>
      <c r="P3503" s="297">
        <v>0</v>
      </c>
      <c r="Q3503" s="297">
        <v>288</v>
      </c>
      <c r="R3503" s="268">
        <f t="shared" si="83"/>
        <v>0</v>
      </c>
      <c r="S3503" s="24">
        <v>202303</v>
      </c>
      <c r="T3503" s="127" t="s">
        <v>4552</v>
      </c>
      <c r="U3503" s="40"/>
      <c r="V3503" s="40"/>
      <c r="W3503" s="40"/>
      <c r="X3503" s="106">
        <v>44197</v>
      </c>
      <c r="Y3503" s="106">
        <v>44255</v>
      </c>
    </row>
    <row r="3504" s="9" customFormat="1" customHeight="1" spans="1:25">
      <c r="A3504" s="96" t="s">
        <v>129</v>
      </c>
      <c r="B3504" s="96" t="s">
        <v>4074</v>
      </c>
      <c r="C3504" s="96" t="s">
        <v>2998</v>
      </c>
      <c r="D3504" s="94" t="s">
        <v>4178</v>
      </c>
      <c r="E3504" s="23" t="s">
        <v>4534</v>
      </c>
      <c r="F3504" s="94" t="s">
        <v>4535</v>
      </c>
      <c r="G3504" s="96" t="s">
        <v>31</v>
      </c>
      <c r="H3504" s="97" t="s">
        <v>4549</v>
      </c>
      <c r="I3504" s="23" t="e">
        <f>VLOOKUP(H3504,'合同综合查询数据（3月返）'!$A:$A,1,FALSE)</f>
        <v>#N/A</v>
      </c>
      <c r="J3504" s="24" t="s">
        <v>33</v>
      </c>
      <c r="K3504" s="94" t="s">
        <v>3042</v>
      </c>
      <c r="L3504" s="94" t="s">
        <v>4550</v>
      </c>
      <c r="M3504" s="94" t="s">
        <v>4551</v>
      </c>
      <c r="N3504" s="106">
        <v>44255</v>
      </c>
      <c r="O3504" s="94" t="s">
        <v>37</v>
      </c>
      <c r="P3504" s="297">
        <v>0</v>
      </c>
      <c r="Q3504" s="297">
        <v>-288</v>
      </c>
      <c r="R3504" s="268">
        <f t="shared" si="83"/>
        <v>0</v>
      </c>
      <c r="S3504" s="24">
        <v>202303</v>
      </c>
      <c r="T3504" s="127" t="s">
        <v>4553</v>
      </c>
      <c r="U3504" s="40"/>
      <c r="V3504" s="40"/>
      <c r="W3504" s="40"/>
      <c r="X3504" s="106">
        <v>44197</v>
      </c>
      <c r="Y3504" s="106">
        <v>44255</v>
      </c>
    </row>
    <row r="3505" s="9" customFormat="1" customHeight="1" spans="1:25">
      <c r="A3505" s="96" t="s">
        <v>129</v>
      </c>
      <c r="B3505" s="96" t="s">
        <v>4074</v>
      </c>
      <c r="C3505" s="96" t="s">
        <v>2998</v>
      </c>
      <c r="D3505" s="94" t="s">
        <v>4178</v>
      </c>
      <c r="E3505" s="23" t="s">
        <v>4534</v>
      </c>
      <c r="F3505" s="94" t="s">
        <v>4535</v>
      </c>
      <c r="G3505" s="96" t="s">
        <v>31</v>
      </c>
      <c r="H3505" s="97" t="s">
        <v>4549</v>
      </c>
      <c r="I3505" s="23" t="e">
        <f>VLOOKUP(H3505,'合同综合查询数据（3月返）'!$A:$A,1,FALSE)</f>
        <v>#N/A</v>
      </c>
      <c r="J3505" s="24" t="s">
        <v>33</v>
      </c>
      <c r="K3505" s="94" t="s">
        <v>3042</v>
      </c>
      <c r="L3505" s="94" t="s">
        <v>4550</v>
      </c>
      <c r="M3505" s="94" t="s">
        <v>4551</v>
      </c>
      <c r="N3505" s="106"/>
      <c r="O3505" s="94" t="s">
        <v>152</v>
      </c>
      <c r="P3505" s="297">
        <v>0</v>
      </c>
      <c r="Q3505" s="273">
        <v>0</v>
      </c>
      <c r="R3505" s="268">
        <f t="shared" si="83"/>
        <v>0</v>
      </c>
      <c r="S3505" s="24">
        <v>202303</v>
      </c>
      <c r="T3505" s="127" t="s">
        <v>4554</v>
      </c>
      <c r="U3505" s="40"/>
      <c r="V3505" s="40"/>
      <c r="W3505" s="40"/>
      <c r="X3505" s="106">
        <v>44197</v>
      </c>
      <c r="Y3505" s="106">
        <v>44255</v>
      </c>
    </row>
    <row r="3506" s="9" customFormat="1" customHeight="1" spans="1:25">
      <c r="A3506" s="96" t="s">
        <v>129</v>
      </c>
      <c r="B3506" s="96" t="s">
        <v>4074</v>
      </c>
      <c r="C3506" s="96" t="s">
        <v>2998</v>
      </c>
      <c r="D3506" s="94" t="s">
        <v>4178</v>
      </c>
      <c r="E3506" s="23" t="s">
        <v>4534</v>
      </c>
      <c r="F3506" s="94" t="s">
        <v>4535</v>
      </c>
      <c r="G3506" s="96" t="s">
        <v>88</v>
      </c>
      <c r="H3506" s="97" t="s">
        <v>4549</v>
      </c>
      <c r="I3506" s="23" t="e">
        <f>VLOOKUP(H3506,'合同综合查询数据（3月返）'!$A:$A,1,FALSE)</f>
        <v>#N/A</v>
      </c>
      <c r="J3506" s="24" t="s">
        <v>126</v>
      </c>
      <c r="K3506" s="94" t="s">
        <v>3042</v>
      </c>
      <c r="L3506" s="94" t="s">
        <v>4550</v>
      </c>
      <c r="M3506" s="94" t="s">
        <v>4551</v>
      </c>
      <c r="N3506" s="106">
        <v>43733</v>
      </c>
      <c r="O3506" s="94" t="s">
        <v>624</v>
      </c>
      <c r="P3506" s="297">
        <v>4500</v>
      </c>
      <c r="Q3506" s="297">
        <v>5</v>
      </c>
      <c r="R3506" s="297">
        <f t="shared" si="83"/>
        <v>22500</v>
      </c>
      <c r="S3506" s="24">
        <v>202303</v>
      </c>
      <c r="T3506" s="127" t="s">
        <v>4555</v>
      </c>
      <c r="U3506" s="40"/>
      <c r="V3506" s="40"/>
      <c r="W3506" s="40"/>
      <c r="X3506" s="106">
        <v>44197</v>
      </c>
      <c r="Y3506" s="106">
        <v>44255</v>
      </c>
    </row>
    <row r="3507" s="9" customFormat="1" customHeight="1" spans="1:25">
      <c r="A3507" s="96" t="s">
        <v>129</v>
      </c>
      <c r="B3507" s="96" t="s">
        <v>4074</v>
      </c>
      <c r="C3507" s="96" t="s">
        <v>2998</v>
      </c>
      <c r="D3507" s="94" t="s">
        <v>4178</v>
      </c>
      <c r="E3507" s="23" t="s">
        <v>4534</v>
      </c>
      <c r="F3507" s="94" t="s">
        <v>4535</v>
      </c>
      <c r="G3507" s="96" t="s">
        <v>88</v>
      </c>
      <c r="H3507" s="97" t="s">
        <v>4549</v>
      </c>
      <c r="I3507" s="23" t="e">
        <f>VLOOKUP(H3507,'合同综合查询数据（3月返）'!$A:$A,1,FALSE)</f>
        <v>#N/A</v>
      </c>
      <c r="J3507" s="24" t="s">
        <v>126</v>
      </c>
      <c r="K3507" s="94" t="s">
        <v>3042</v>
      </c>
      <c r="L3507" s="94" t="s">
        <v>4550</v>
      </c>
      <c r="M3507" s="94" t="s">
        <v>4551</v>
      </c>
      <c r="N3507" s="106">
        <v>44255</v>
      </c>
      <c r="O3507" s="94" t="s">
        <v>624</v>
      </c>
      <c r="P3507" s="297">
        <v>4500</v>
      </c>
      <c r="Q3507" s="297">
        <v>-5</v>
      </c>
      <c r="R3507" s="297">
        <f t="shared" si="83"/>
        <v>-22500</v>
      </c>
      <c r="S3507" s="24">
        <v>202303</v>
      </c>
      <c r="T3507" s="127" t="s">
        <v>4556</v>
      </c>
      <c r="U3507" s="40"/>
      <c r="V3507" s="40"/>
      <c r="W3507" s="40"/>
      <c r="X3507" s="106">
        <v>44197</v>
      </c>
      <c r="Y3507" s="106">
        <v>44255</v>
      </c>
    </row>
    <row r="3508" s="9" customFormat="1" customHeight="1" spans="1:25">
      <c r="A3508" s="96" t="s">
        <v>129</v>
      </c>
      <c r="B3508" s="96" t="s">
        <v>4074</v>
      </c>
      <c r="C3508" s="96" t="s">
        <v>2998</v>
      </c>
      <c r="D3508" s="94" t="s">
        <v>4178</v>
      </c>
      <c r="E3508" s="23" t="s">
        <v>4534</v>
      </c>
      <c r="F3508" s="94" t="s">
        <v>4535</v>
      </c>
      <c r="G3508" s="96" t="s">
        <v>31</v>
      </c>
      <c r="H3508" s="97" t="s">
        <v>4549</v>
      </c>
      <c r="I3508" s="23" t="e">
        <f>VLOOKUP(H3508,'合同综合查询数据（3月返）'!$A:$A,1,FALSE)</f>
        <v>#N/A</v>
      </c>
      <c r="J3508" s="24" t="s">
        <v>33</v>
      </c>
      <c r="K3508" s="94" t="s">
        <v>4557</v>
      </c>
      <c r="L3508" s="94" t="s">
        <v>4558</v>
      </c>
      <c r="M3508" s="94" t="s">
        <v>4559</v>
      </c>
      <c r="N3508" s="106">
        <v>43952</v>
      </c>
      <c r="O3508" s="94" t="s">
        <v>37</v>
      </c>
      <c r="P3508" s="297">
        <v>0</v>
      </c>
      <c r="Q3508" s="297">
        <v>288</v>
      </c>
      <c r="R3508" s="268">
        <f t="shared" si="83"/>
        <v>0</v>
      </c>
      <c r="S3508" s="24">
        <v>202303</v>
      </c>
      <c r="T3508" s="127" t="s">
        <v>4560</v>
      </c>
      <c r="U3508" s="40"/>
      <c r="V3508" s="40"/>
      <c r="W3508" s="40"/>
      <c r="X3508" s="106">
        <v>44197</v>
      </c>
      <c r="Y3508" s="106">
        <v>44255</v>
      </c>
    </row>
    <row r="3509" s="9" customFormat="1" customHeight="1" spans="1:25">
      <c r="A3509" s="96" t="s">
        <v>129</v>
      </c>
      <c r="B3509" s="96" t="s">
        <v>4074</v>
      </c>
      <c r="C3509" s="96" t="s">
        <v>2998</v>
      </c>
      <c r="D3509" s="94" t="s">
        <v>4178</v>
      </c>
      <c r="E3509" s="23" t="s">
        <v>4534</v>
      </c>
      <c r="F3509" s="94" t="s">
        <v>4535</v>
      </c>
      <c r="G3509" s="96" t="s">
        <v>31</v>
      </c>
      <c r="H3509" s="97" t="s">
        <v>4549</v>
      </c>
      <c r="I3509" s="23" t="e">
        <f>VLOOKUP(H3509,'合同综合查询数据（3月返）'!$A:$A,1,FALSE)</f>
        <v>#N/A</v>
      </c>
      <c r="J3509" s="24" t="s">
        <v>33</v>
      </c>
      <c r="K3509" s="94" t="s">
        <v>4557</v>
      </c>
      <c r="L3509" s="94" t="s">
        <v>4558</v>
      </c>
      <c r="M3509" s="94" t="s">
        <v>4559</v>
      </c>
      <c r="N3509" s="106">
        <v>44227</v>
      </c>
      <c r="O3509" s="94" t="s">
        <v>37</v>
      </c>
      <c r="P3509" s="297">
        <v>0</v>
      </c>
      <c r="Q3509" s="297">
        <v>-288</v>
      </c>
      <c r="R3509" s="268">
        <f t="shared" si="83"/>
        <v>0</v>
      </c>
      <c r="S3509" s="24">
        <v>202303</v>
      </c>
      <c r="T3509" s="127" t="s">
        <v>4561</v>
      </c>
      <c r="U3509" s="40"/>
      <c r="V3509" s="40"/>
      <c r="W3509" s="40"/>
      <c r="X3509" s="106">
        <v>44197</v>
      </c>
      <c r="Y3509" s="106">
        <v>44255</v>
      </c>
    </row>
    <row r="3510" s="9" customFormat="1" customHeight="1" spans="1:25">
      <c r="A3510" s="96" t="s">
        <v>129</v>
      </c>
      <c r="B3510" s="96" t="s">
        <v>4074</v>
      </c>
      <c r="C3510" s="96" t="s">
        <v>2998</v>
      </c>
      <c r="D3510" s="94" t="s">
        <v>4178</v>
      </c>
      <c r="E3510" s="23" t="s">
        <v>4534</v>
      </c>
      <c r="F3510" s="94" t="s">
        <v>4535</v>
      </c>
      <c r="G3510" s="96" t="s">
        <v>31</v>
      </c>
      <c r="H3510" s="97" t="s">
        <v>4549</v>
      </c>
      <c r="I3510" s="23" t="e">
        <f>VLOOKUP(H3510,'合同综合查询数据（3月返）'!$A:$A,1,FALSE)</f>
        <v>#N/A</v>
      </c>
      <c r="J3510" s="24" t="s">
        <v>33</v>
      </c>
      <c r="K3510" s="94" t="s">
        <v>4557</v>
      </c>
      <c r="L3510" s="94" t="s">
        <v>4558</v>
      </c>
      <c r="M3510" s="94" t="s">
        <v>4559</v>
      </c>
      <c r="N3510" s="106"/>
      <c r="O3510" s="94" t="s">
        <v>152</v>
      </c>
      <c r="P3510" s="297">
        <v>0</v>
      </c>
      <c r="Q3510" s="273">
        <v>0</v>
      </c>
      <c r="R3510" s="268">
        <f t="shared" si="83"/>
        <v>0</v>
      </c>
      <c r="S3510" s="24">
        <v>202303</v>
      </c>
      <c r="T3510" s="127" t="s">
        <v>4562</v>
      </c>
      <c r="U3510" s="40"/>
      <c r="V3510" s="40"/>
      <c r="W3510" s="40"/>
      <c r="X3510" s="106">
        <v>44197</v>
      </c>
      <c r="Y3510" s="106">
        <v>44255</v>
      </c>
    </row>
    <row r="3511" s="9" customFormat="1" customHeight="1" spans="1:25">
      <c r="A3511" s="96" t="s">
        <v>129</v>
      </c>
      <c r="B3511" s="96" t="s">
        <v>4074</v>
      </c>
      <c r="C3511" s="96" t="s">
        <v>2998</v>
      </c>
      <c r="D3511" s="94" t="s">
        <v>4178</v>
      </c>
      <c r="E3511" s="23" t="s">
        <v>4534</v>
      </c>
      <c r="F3511" s="94" t="s">
        <v>4535</v>
      </c>
      <c r="G3511" s="96" t="s">
        <v>88</v>
      </c>
      <c r="H3511" s="97" t="s">
        <v>4549</v>
      </c>
      <c r="I3511" s="23" t="e">
        <f>VLOOKUP(H3511,'合同综合查询数据（3月返）'!$A:$A,1,FALSE)</f>
        <v>#N/A</v>
      </c>
      <c r="J3511" s="24" t="s">
        <v>126</v>
      </c>
      <c r="K3511" s="94" t="s">
        <v>4557</v>
      </c>
      <c r="L3511" s="94" t="s">
        <v>4558</v>
      </c>
      <c r="M3511" s="94" t="s">
        <v>4559</v>
      </c>
      <c r="N3511" s="106">
        <v>43936</v>
      </c>
      <c r="O3511" s="94" t="s">
        <v>624</v>
      </c>
      <c r="P3511" s="297">
        <v>4000</v>
      </c>
      <c r="Q3511" s="297">
        <v>7</v>
      </c>
      <c r="R3511" s="268">
        <f t="shared" si="83"/>
        <v>28000</v>
      </c>
      <c r="S3511" s="24">
        <v>202303</v>
      </c>
      <c r="T3511" s="127" t="s">
        <v>4563</v>
      </c>
      <c r="U3511" s="40"/>
      <c r="V3511" s="40"/>
      <c r="W3511" s="40"/>
      <c r="X3511" s="106">
        <v>44197</v>
      </c>
      <c r="Y3511" s="106">
        <v>44255</v>
      </c>
    </row>
    <row r="3512" s="9" customFormat="1" customHeight="1" spans="1:25">
      <c r="A3512" s="96" t="s">
        <v>129</v>
      </c>
      <c r="B3512" s="96" t="s">
        <v>4074</v>
      </c>
      <c r="C3512" s="96" t="s">
        <v>2998</v>
      </c>
      <c r="D3512" s="94" t="s">
        <v>4178</v>
      </c>
      <c r="E3512" s="23" t="s">
        <v>4534</v>
      </c>
      <c r="F3512" s="94" t="s">
        <v>4535</v>
      </c>
      <c r="G3512" s="96" t="s">
        <v>88</v>
      </c>
      <c r="H3512" s="97" t="s">
        <v>4549</v>
      </c>
      <c r="I3512" s="23" t="e">
        <f>VLOOKUP(H3512,'合同综合查询数据（3月返）'!$A:$A,1,FALSE)</f>
        <v>#N/A</v>
      </c>
      <c r="J3512" s="24" t="s">
        <v>126</v>
      </c>
      <c r="K3512" s="94" t="s">
        <v>4557</v>
      </c>
      <c r="L3512" s="94" t="s">
        <v>4558</v>
      </c>
      <c r="M3512" s="94" t="s">
        <v>4559</v>
      </c>
      <c r="N3512" s="106">
        <v>44227</v>
      </c>
      <c r="O3512" s="94" t="s">
        <v>624</v>
      </c>
      <c r="P3512" s="297">
        <v>4000</v>
      </c>
      <c r="Q3512" s="297">
        <v>-7</v>
      </c>
      <c r="R3512" s="268">
        <f t="shared" si="83"/>
        <v>-28000</v>
      </c>
      <c r="S3512" s="24">
        <v>202303</v>
      </c>
      <c r="T3512" s="127" t="s">
        <v>4561</v>
      </c>
      <c r="U3512" s="40"/>
      <c r="V3512" s="40"/>
      <c r="W3512" s="40"/>
      <c r="X3512" s="106">
        <v>44197</v>
      </c>
      <c r="Y3512" s="106">
        <v>44255</v>
      </c>
    </row>
    <row r="3513" s="9" customFormat="1" customHeight="1" spans="1:25">
      <c r="A3513" s="96" t="s">
        <v>109</v>
      </c>
      <c r="B3513" s="96" t="s">
        <v>4074</v>
      </c>
      <c r="C3513" s="96" t="s">
        <v>2998</v>
      </c>
      <c r="D3513" s="94" t="s">
        <v>4178</v>
      </c>
      <c r="E3513" s="23" t="s">
        <v>4534</v>
      </c>
      <c r="F3513" s="94" t="s">
        <v>4535</v>
      </c>
      <c r="G3513" s="96" t="s">
        <v>31</v>
      </c>
      <c r="H3513" s="97" t="s">
        <v>4564</v>
      </c>
      <c r="I3513" s="23" t="str">
        <f>VLOOKUP(H3513,'合同综合查询数据（3月返）'!$A:$A,1,FALSE)</f>
        <v>182315IDC00059</v>
      </c>
      <c r="J3513" s="24" t="s">
        <v>33</v>
      </c>
      <c r="K3513" s="94" t="s">
        <v>3970</v>
      </c>
      <c r="L3513" s="94" t="s">
        <v>4565</v>
      </c>
      <c r="M3513" s="94" t="s">
        <v>4566</v>
      </c>
      <c r="N3513" s="106">
        <v>43831</v>
      </c>
      <c r="O3513" s="94" t="s">
        <v>37</v>
      </c>
      <c r="P3513" s="297">
        <v>50</v>
      </c>
      <c r="Q3513" s="297">
        <v>32</v>
      </c>
      <c r="R3513" s="268">
        <f t="shared" si="83"/>
        <v>1600</v>
      </c>
      <c r="S3513" s="24">
        <v>202303</v>
      </c>
      <c r="T3513" s="127" t="s">
        <v>4567</v>
      </c>
      <c r="U3513" s="40"/>
      <c r="V3513" s="40"/>
      <c r="W3513" s="40"/>
      <c r="X3513" s="106">
        <v>44927</v>
      </c>
      <c r="Y3513" s="106">
        <v>45291</v>
      </c>
    </row>
    <row r="3514" s="9" customFormat="1" customHeight="1" spans="1:25">
      <c r="A3514" s="96" t="s">
        <v>109</v>
      </c>
      <c r="B3514" s="96" t="s">
        <v>4074</v>
      </c>
      <c r="C3514" s="96" t="s">
        <v>2998</v>
      </c>
      <c r="D3514" s="94" t="s">
        <v>4178</v>
      </c>
      <c r="E3514" s="23" t="s">
        <v>4534</v>
      </c>
      <c r="F3514" s="94" t="s">
        <v>4535</v>
      </c>
      <c r="G3514" s="96" t="s">
        <v>31</v>
      </c>
      <c r="H3514" s="97" t="s">
        <v>4564</v>
      </c>
      <c r="I3514" s="23" t="str">
        <f>VLOOKUP(H3514,'合同综合查询数据（3月返）'!$A:$A,1,FALSE)</f>
        <v>182315IDC00059</v>
      </c>
      <c r="J3514" s="24" t="s">
        <v>33</v>
      </c>
      <c r="K3514" s="94" t="s">
        <v>3970</v>
      </c>
      <c r="L3514" s="94" t="s">
        <v>4565</v>
      </c>
      <c r="M3514" s="94" t="s">
        <v>4566</v>
      </c>
      <c r="N3514" s="106">
        <v>43831</v>
      </c>
      <c r="O3514" s="94" t="s">
        <v>37</v>
      </c>
      <c r="P3514" s="297">
        <v>0</v>
      </c>
      <c r="Q3514" s="297">
        <v>256</v>
      </c>
      <c r="R3514" s="268">
        <f t="shared" si="83"/>
        <v>0</v>
      </c>
      <c r="S3514" s="24">
        <v>202303</v>
      </c>
      <c r="T3514" s="127" t="s">
        <v>4568</v>
      </c>
      <c r="U3514" s="40"/>
      <c r="V3514" s="40"/>
      <c r="W3514" s="40"/>
      <c r="X3514" s="106">
        <v>44927</v>
      </c>
      <c r="Y3514" s="106">
        <v>45291</v>
      </c>
    </row>
    <row r="3515" s="9" customFormat="1" customHeight="1" spans="1:25">
      <c r="A3515" s="96" t="s">
        <v>109</v>
      </c>
      <c r="B3515" s="96" t="s">
        <v>4074</v>
      </c>
      <c r="C3515" s="96" t="s">
        <v>2998</v>
      </c>
      <c r="D3515" s="94" t="s">
        <v>4178</v>
      </c>
      <c r="E3515" s="23" t="s">
        <v>4534</v>
      </c>
      <c r="F3515" s="94" t="s">
        <v>4535</v>
      </c>
      <c r="G3515" s="96" t="s">
        <v>31</v>
      </c>
      <c r="H3515" s="97" t="s">
        <v>4564</v>
      </c>
      <c r="I3515" s="23" t="str">
        <f>VLOOKUP(H3515,'合同综合查询数据（3月返）'!$A:$A,1,FALSE)</f>
        <v>182315IDC00059</v>
      </c>
      <c r="J3515" s="24" t="s">
        <v>33</v>
      </c>
      <c r="K3515" s="94" t="s">
        <v>3970</v>
      </c>
      <c r="L3515" s="94" t="s">
        <v>4565</v>
      </c>
      <c r="M3515" s="94" t="s">
        <v>4566</v>
      </c>
      <c r="N3515" s="106">
        <v>44868</v>
      </c>
      <c r="O3515" s="94" t="s">
        <v>37</v>
      </c>
      <c r="P3515" s="297">
        <v>50</v>
      </c>
      <c r="Q3515" s="297">
        <v>-32</v>
      </c>
      <c r="R3515" s="268">
        <f t="shared" si="83"/>
        <v>-1600</v>
      </c>
      <c r="S3515" s="24">
        <v>202303</v>
      </c>
      <c r="T3515" s="127" t="s">
        <v>4569</v>
      </c>
      <c r="U3515" s="40"/>
      <c r="V3515" s="40"/>
      <c r="W3515" s="40"/>
      <c r="X3515" s="106">
        <v>44927</v>
      </c>
      <c r="Y3515" s="106">
        <v>45291</v>
      </c>
    </row>
    <row r="3516" s="9" customFormat="1" customHeight="1" spans="1:25">
      <c r="A3516" s="96" t="s">
        <v>109</v>
      </c>
      <c r="B3516" s="96" t="s">
        <v>4074</v>
      </c>
      <c r="C3516" s="96" t="s">
        <v>2998</v>
      </c>
      <c r="D3516" s="94" t="s">
        <v>4178</v>
      </c>
      <c r="E3516" s="23" t="s">
        <v>4534</v>
      </c>
      <c r="F3516" s="94" t="s">
        <v>4535</v>
      </c>
      <c r="G3516" s="96" t="s">
        <v>31</v>
      </c>
      <c r="H3516" s="97" t="s">
        <v>4564</v>
      </c>
      <c r="I3516" s="23" t="str">
        <f>VLOOKUP(H3516,'合同综合查询数据（3月返）'!$A:$A,1,FALSE)</f>
        <v>182315IDC00059</v>
      </c>
      <c r="J3516" s="24" t="s">
        <v>33</v>
      </c>
      <c r="K3516" s="94" t="s">
        <v>3970</v>
      </c>
      <c r="L3516" s="94" t="s">
        <v>4565</v>
      </c>
      <c r="M3516" s="94" t="s">
        <v>4566</v>
      </c>
      <c r="N3516" s="106">
        <v>44868</v>
      </c>
      <c r="O3516" s="94" t="s">
        <v>37</v>
      </c>
      <c r="P3516" s="297">
        <v>0</v>
      </c>
      <c r="Q3516" s="297">
        <v>-96</v>
      </c>
      <c r="R3516" s="268">
        <f t="shared" si="83"/>
        <v>0</v>
      </c>
      <c r="S3516" s="24">
        <v>202303</v>
      </c>
      <c r="T3516" s="127"/>
      <c r="U3516" s="40"/>
      <c r="V3516" s="40"/>
      <c r="W3516" s="40"/>
      <c r="X3516" s="106">
        <v>44927</v>
      </c>
      <c r="Y3516" s="106">
        <v>45291</v>
      </c>
    </row>
    <row r="3517" s="9" customFormat="1" customHeight="1" spans="1:25">
      <c r="A3517" s="96" t="s">
        <v>109</v>
      </c>
      <c r="B3517" s="96" t="s">
        <v>4074</v>
      </c>
      <c r="C3517" s="96" t="s">
        <v>2998</v>
      </c>
      <c r="D3517" s="94" t="s">
        <v>4178</v>
      </c>
      <c r="E3517" s="23" t="s">
        <v>4534</v>
      </c>
      <c r="F3517" s="94" t="s">
        <v>4535</v>
      </c>
      <c r="G3517" s="96" t="s">
        <v>31</v>
      </c>
      <c r="H3517" s="97" t="s">
        <v>4564</v>
      </c>
      <c r="I3517" s="23" t="str">
        <f>VLOOKUP(H3517,'合同综合查询数据（3月返）'!$A:$A,1,FALSE)</f>
        <v>182315IDC00059</v>
      </c>
      <c r="J3517" s="24" t="s">
        <v>33</v>
      </c>
      <c r="K3517" s="94" t="s">
        <v>3970</v>
      </c>
      <c r="L3517" s="94" t="s">
        <v>4565</v>
      </c>
      <c r="M3517" s="94" t="s">
        <v>4566</v>
      </c>
      <c r="N3517" s="106"/>
      <c r="O3517" s="94" t="s">
        <v>152</v>
      </c>
      <c r="P3517" s="297">
        <v>0</v>
      </c>
      <c r="Q3517" s="273">
        <v>0</v>
      </c>
      <c r="R3517" s="268">
        <f t="shared" si="83"/>
        <v>0</v>
      </c>
      <c r="S3517" s="24">
        <v>202303</v>
      </c>
      <c r="T3517" s="127" t="s">
        <v>4554</v>
      </c>
      <c r="U3517" s="40"/>
      <c r="V3517" s="40"/>
      <c r="W3517" s="40"/>
      <c r="X3517" s="106">
        <v>44927</v>
      </c>
      <c r="Y3517" s="106">
        <v>45291</v>
      </c>
    </row>
    <row r="3518" s="9" customFormat="1" customHeight="1" spans="1:25">
      <c r="A3518" s="96" t="s">
        <v>109</v>
      </c>
      <c r="B3518" s="96" t="s">
        <v>4074</v>
      </c>
      <c r="C3518" s="96" t="s">
        <v>2998</v>
      </c>
      <c r="D3518" s="94" t="s">
        <v>4178</v>
      </c>
      <c r="E3518" s="23" t="s">
        <v>4534</v>
      </c>
      <c r="F3518" s="94" t="s">
        <v>4535</v>
      </c>
      <c r="G3518" s="96" t="s">
        <v>88</v>
      </c>
      <c r="H3518" s="97" t="s">
        <v>4564</v>
      </c>
      <c r="I3518" s="23" t="str">
        <f>VLOOKUP(H3518,'合同综合查询数据（3月返）'!$A:$A,1,FALSE)</f>
        <v>182315IDC00059</v>
      </c>
      <c r="J3518" s="24" t="s">
        <v>126</v>
      </c>
      <c r="K3518" s="94" t="s">
        <v>3970</v>
      </c>
      <c r="L3518" s="94" t="s">
        <v>4565</v>
      </c>
      <c r="M3518" s="94" t="s">
        <v>4566</v>
      </c>
      <c r="N3518" s="106">
        <v>43831</v>
      </c>
      <c r="O3518" s="94" t="s">
        <v>624</v>
      </c>
      <c r="P3518" s="297">
        <v>5000</v>
      </c>
      <c r="Q3518" s="297">
        <v>5</v>
      </c>
      <c r="R3518" s="268">
        <f t="shared" si="83"/>
        <v>25000</v>
      </c>
      <c r="S3518" s="24">
        <v>202303</v>
      </c>
      <c r="T3518" s="127" t="s">
        <v>4570</v>
      </c>
      <c r="U3518" s="40"/>
      <c r="V3518" s="40"/>
      <c r="W3518" s="40"/>
      <c r="X3518" s="106">
        <v>44927</v>
      </c>
      <c r="Y3518" s="106">
        <v>45291</v>
      </c>
    </row>
    <row r="3519" s="9" customFormat="1" customHeight="1" spans="1:25">
      <c r="A3519" s="96" t="s">
        <v>109</v>
      </c>
      <c r="B3519" s="96" t="s">
        <v>4074</v>
      </c>
      <c r="C3519" s="96" t="s">
        <v>2998</v>
      </c>
      <c r="D3519" s="94" t="s">
        <v>4178</v>
      </c>
      <c r="E3519" s="23" t="s">
        <v>4534</v>
      </c>
      <c r="F3519" s="94" t="s">
        <v>4535</v>
      </c>
      <c r="G3519" s="96" t="s">
        <v>88</v>
      </c>
      <c r="H3519" s="97" t="s">
        <v>4564</v>
      </c>
      <c r="I3519" s="23" t="str">
        <f>VLOOKUP(H3519,'合同综合查询数据（3月返）'!$A:$A,1,FALSE)</f>
        <v>182315IDC00059</v>
      </c>
      <c r="J3519" s="24" t="s">
        <v>126</v>
      </c>
      <c r="K3519" s="94" t="s">
        <v>3970</v>
      </c>
      <c r="L3519" s="94" t="s">
        <v>4565</v>
      </c>
      <c r="M3519" s="94" t="s">
        <v>4566</v>
      </c>
      <c r="N3519" s="106">
        <v>44889</v>
      </c>
      <c r="O3519" s="94" t="s">
        <v>624</v>
      </c>
      <c r="P3519" s="297">
        <v>5000</v>
      </c>
      <c r="Q3519" s="297">
        <v>-1</v>
      </c>
      <c r="R3519" s="268">
        <f t="shared" si="83"/>
        <v>-5000</v>
      </c>
      <c r="S3519" s="24">
        <v>202303</v>
      </c>
      <c r="T3519" s="127" t="s">
        <v>4571</v>
      </c>
      <c r="U3519" s="40"/>
      <c r="V3519" s="40"/>
      <c r="W3519" s="40"/>
      <c r="X3519" s="106">
        <v>44927</v>
      </c>
      <c r="Y3519" s="106">
        <v>45291</v>
      </c>
    </row>
    <row r="3520" s="9" customFormat="1" customHeight="1" spans="1:25">
      <c r="A3520" s="96" t="s">
        <v>109</v>
      </c>
      <c r="B3520" s="96" t="s">
        <v>4074</v>
      </c>
      <c r="C3520" s="96" t="s">
        <v>2998</v>
      </c>
      <c r="D3520" s="94" t="s">
        <v>4178</v>
      </c>
      <c r="E3520" s="23" t="s">
        <v>4534</v>
      </c>
      <c r="F3520" s="94" t="s">
        <v>4535</v>
      </c>
      <c r="G3520" s="96" t="s">
        <v>88</v>
      </c>
      <c r="H3520" s="97" t="s">
        <v>4564</v>
      </c>
      <c r="I3520" s="23" t="str">
        <f>VLOOKUP(H3520,'合同综合查询数据（3月返）'!$A:$A,1,FALSE)</f>
        <v>182315IDC00059</v>
      </c>
      <c r="J3520" s="24" t="s">
        <v>126</v>
      </c>
      <c r="K3520" s="94" t="s">
        <v>3970</v>
      </c>
      <c r="L3520" s="94" t="s">
        <v>4565</v>
      </c>
      <c r="M3520" s="94" t="s">
        <v>4566</v>
      </c>
      <c r="N3520" s="106">
        <v>44936</v>
      </c>
      <c r="O3520" s="94" t="s">
        <v>624</v>
      </c>
      <c r="P3520" s="297">
        <v>5000</v>
      </c>
      <c r="Q3520" s="297">
        <v>1</v>
      </c>
      <c r="R3520" s="268">
        <f t="shared" si="83"/>
        <v>5000</v>
      </c>
      <c r="S3520" s="24">
        <v>202303</v>
      </c>
      <c r="T3520" s="127" t="s">
        <v>4572</v>
      </c>
      <c r="U3520" s="40"/>
      <c r="V3520" s="40"/>
      <c r="W3520" s="40"/>
      <c r="X3520" s="106">
        <v>44927</v>
      </c>
      <c r="Y3520" s="106">
        <v>45291</v>
      </c>
    </row>
    <row r="3521" s="9" customFormat="1" customHeight="1" spans="1:25">
      <c r="A3521" s="96" t="s">
        <v>109</v>
      </c>
      <c r="B3521" s="94" t="s">
        <v>4074</v>
      </c>
      <c r="C3521" s="96" t="s">
        <v>2998</v>
      </c>
      <c r="D3521" s="94" t="s">
        <v>4178</v>
      </c>
      <c r="E3521" s="23" t="s">
        <v>4573</v>
      </c>
      <c r="F3521" s="94" t="s">
        <v>4574</v>
      </c>
      <c r="G3521" s="96" t="s">
        <v>31</v>
      </c>
      <c r="H3521" s="97" t="s">
        <v>4575</v>
      </c>
      <c r="I3521" s="23" t="e">
        <f>VLOOKUP(H3521,'合同综合查询数据（3月返）'!$A:$A,1,FALSE)</f>
        <v>#N/A</v>
      </c>
      <c r="J3521" s="24" t="s">
        <v>33</v>
      </c>
      <c r="K3521" s="94" t="s">
        <v>3501</v>
      </c>
      <c r="L3521" s="94" t="s">
        <v>4576</v>
      </c>
      <c r="M3521" s="94" t="s">
        <v>4577</v>
      </c>
      <c r="N3521" s="106">
        <v>43956</v>
      </c>
      <c r="O3521" s="94" t="s">
        <v>37</v>
      </c>
      <c r="P3521" s="317">
        <v>0</v>
      </c>
      <c r="Q3521" s="273">
        <v>288</v>
      </c>
      <c r="R3521" s="268">
        <f t="shared" si="83"/>
        <v>0</v>
      </c>
      <c r="S3521" s="24">
        <v>202303</v>
      </c>
      <c r="T3521" s="127" t="s">
        <v>4578</v>
      </c>
      <c r="U3521" s="97"/>
      <c r="V3521" s="128"/>
      <c r="W3521" s="97"/>
      <c r="X3521" s="106">
        <v>44105</v>
      </c>
      <c r="Y3521" s="106">
        <v>44469</v>
      </c>
    </row>
    <row r="3522" s="9" customFormat="1" customHeight="1" spans="1:25">
      <c r="A3522" s="96" t="s">
        <v>109</v>
      </c>
      <c r="B3522" s="94" t="s">
        <v>4074</v>
      </c>
      <c r="C3522" s="96" t="s">
        <v>2998</v>
      </c>
      <c r="D3522" s="94" t="s">
        <v>4178</v>
      </c>
      <c r="E3522" s="23" t="s">
        <v>4573</v>
      </c>
      <c r="F3522" s="94" t="s">
        <v>4574</v>
      </c>
      <c r="G3522" s="96" t="s">
        <v>31</v>
      </c>
      <c r="H3522" s="97" t="s">
        <v>4575</v>
      </c>
      <c r="I3522" s="23" t="e">
        <f>VLOOKUP(H3522,'合同综合查询数据（3月返）'!$A:$A,1,FALSE)</f>
        <v>#N/A</v>
      </c>
      <c r="J3522" s="24" t="s">
        <v>33</v>
      </c>
      <c r="K3522" s="94" t="s">
        <v>3501</v>
      </c>
      <c r="L3522" s="94" t="s">
        <v>4576</v>
      </c>
      <c r="M3522" s="94" t="s">
        <v>4577</v>
      </c>
      <c r="N3522" s="106">
        <v>44377</v>
      </c>
      <c r="O3522" s="94" t="s">
        <v>37</v>
      </c>
      <c r="P3522" s="317">
        <v>0</v>
      </c>
      <c r="Q3522" s="273">
        <v>-288</v>
      </c>
      <c r="R3522" s="268">
        <f t="shared" si="83"/>
        <v>0</v>
      </c>
      <c r="S3522" s="24">
        <v>202303</v>
      </c>
      <c r="T3522" s="127" t="s">
        <v>4579</v>
      </c>
      <c r="U3522" s="97"/>
      <c r="V3522" s="128"/>
      <c r="W3522" s="97"/>
      <c r="X3522" s="106">
        <v>44105</v>
      </c>
      <c r="Y3522" s="106">
        <v>44469</v>
      </c>
    </row>
    <row r="3523" s="9" customFormat="1" customHeight="1" spans="1:25">
      <c r="A3523" s="96" t="s">
        <v>109</v>
      </c>
      <c r="B3523" s="94" t="s">
        <v>4074</v>
      </c>
      <c r="C3523" s="96" t="s">
        <v>2998</v>
      </c>
      <c r="D3523" s="94" t="s">
        <v>4178</v>
      </c>
      <c r="E3523" s="23" t="s">
        <v>4573</v>
      </c>
      <c r="F3523" s="94" t="s">
        <v>4574</v>
      </c>
      <c r="G3523" s="96" t="s">
        <v>88</v>
      </c>
      <c r="H3523" s="97" t="s">
        <v>4575</v>
      </c>
      <c r="I3523" s="23" t="e">
        <f>VLOOKUP(H3523,'合同综合查询数据（3月返）'!$A:$A,1,FALSE)</f>
        <v>#N/A</v>
      </c>
      <c r="J3523" s="24" t="s">
        <v>126</v>
      </c>
      <c r="K3523" s="94" t="s">
        <v>3501</v>
      </c>
      <c r="L3523" s="94" t="s">
        <v>4576</v>
      </c>
      <c r="M3523" s="94" t="s">
        <v>4577</v>
      </c>
      <c r="N3523" s="106">
        <v>43952</v>
      </c>
      <c r="O3523" s="311" t="s">
        <v>127</v>
      </c>
      <c r="P3523" s="317">
        <v>4500</v>
      </c>
      <c r="Q3523" s="273">
        <v>3</v>
      </c>
      <c r="R3523" s="268">
        <f t="shared" si="83"/>
        <v>13500</v>
      </c>
      <c r="S3523" s="24">
        <v>202303</v>
      </c>
      <c r="T3523" s="127" t="s">
        <v>4580</v>
      </c>
      <c r="U3523" s="97"/>
      <c r="V3523" s="128"/>
      <c r="W3523" s="97"/>
      <c r="X3523" s="106">
        <v>44105</v>
      </c>
      <c r="Y3523" s="106">
        <v>44469</v>
      </c>
    </row>
    <row r="3524" s="9" customFormat="1" customHeight="1" spans="1:25">
      <c r="A3524" s="96" t="s">
        <v>109</v>
      </c>
      <c r="B3524" s="94" t="s">
        <v>4074</v>
      </c>
      <c r="C3524" s="96" t="s">
        <v>2998</v>
      </c>
      <c r="D3524" s="94" t="s">
        <v>4178</v>
      </c>
      <c r="E3524" s="23" t="s">
        <v>4573</v>
      </c>
      <c r="F3524" s="94" t="s">
        <v>4574</v>
      </c>
      <c r="G3524" s="96" t="s">
        <v>88</v>
      </c>
      <c r="H3524" s="97" t="s">
        <v>4575</v>
      </c>
      <c r="I3524" s="23" t="e">
        <f>VLOOKUP(H3524,'合同综合查询数据（3月返）'!$A:$A,1,FALSE)</f>
        <v>#N/A</v>
      </c>
      <c r="J3524" s="24" t="s">
        <v>126</v>
      </c>
      <c r="K3524" s="94" t="s">
        <v>3501</v>
      </c>
      <c r="L3524" s="94" t="s">
        <v>4576</v>
      </c>
      <c r="M3524" s="94" t="s">
        <v>4577</v>
      </c>
      <c r="N3524" s="106">
        <v>44105</v>
      </c>
      <c r="O3524" s="311" t="s">
        <v>127</v>
      </c>
      <c r="P3524" s="317">
        <v>4500</v>
      </c>
      <c r="Q3524" s="273">
        <v>3</v>
      </c>
      <c r="R3524" s="268">
        <f t="shared" si="83"/>
        <v>13500</v>
      </c>
      <c r="S3524" s="24">
        <v>202303</v>
      </c>
      <c r="T3524" s="127" t="s">
        <v>4581</v>
      </c>
      <c r="U3524" s="97"/>
      <c r="V3524" s="128"/>
      <c r="W3524" s="97"/>
      <c r="X3524" s="106">
        <v>44105</v>
      </c>
      <c r="Y3524" s="106">
        <v>44469</v>
      </c>
    </row>
    <row r="3525" s="9" customFormat="1" customHeight="1" spans="1:25">
      <c r="A3525" s="96" t="s">
        <v>109</v>
      </c>
      <c r="B3525" s="94" t="s">
        <v>4074</v>
      </c>
      <c r="C3525" s="96" t="s">
        <v>2998</v>
      </c>
      <c r="D3525" s="94" t="s">
        <v>4178</v>
      </c>
      <c r="E3525" s="23" t="s">
        <v>4573</v>
      </c>
      <c r="F3525" s="94" t="s">
        <v>4574</v>
      </c>
      <c r="G3525" s="96" t="s">
        <v>88</v>
      </c>
      <c r="H3525" s="97" t="s">
        <v>4575</v>
      </c>
      <c r="I3525" s="23" t="e">
        <f>VLOOKUP(H3525,'合同综合查询数据（3月返）'!$A:$A,1,FALSE)</f>
        <v>#N/A</v>
      </c>
      <c r="J3525" s="24" t="s">
        <v>126</v>
      </c>
      <c r="K3525" s="94" t="s">
        <v>3501</v>
      </c>
      <c r="L3525" s="94" t="s">
        <v>4576</v>
      </c>
      <c r="M3525" s="94" t="s">
        <v>4577</v>
      </c>
      <c r="N3525" s="106">
        <v>44377</v>
      </c>
      <c r="O3525" s="311" t="s">
        <v>127</v>
      </c>
      <c r="P3525" s="317">
        <v>4500</v>
      </c>
      <c r="Q3525" s="273">
        <v>-6</v>
      </c>
      <c r="R3525" s="268">
        <f t="shared" si="83"/>
        <v>-27000</v>
      </c>
      <c r="S3525" s="24">
        <v>202303</v>
      </c>
      <c r="T3525" s="127" t="s">
        <v>4582</v>
      </c>
      <c r="U3525" s="97"/>
      <c r="V3525" s="128"/>
      <c r="W3525" s="97"/>
      <c r="X3525" s="106">
        <v>44105</v>
      </c>
      <c r="Y3525" s="106">
        <v>44469</v>
      </c>
    </row>
    <row r="3526" s="9" customFormat="1" customHeight="1" spans="1:25">
      <c r="A3526" s="96" t="s">
        <v>109</v>
      </c>
      <c r="B3526" s="94" t="s">
        <v>4074</v>
      </c>
      <c r="C3526" s="94" t="s">
        <v>204</v>
      </c>
      <c r="D3526" s="94" t="s">
        <v>4178</v>
      </c>
      <c r="E3526" s="23" t="s">
        <v>4573</v>
      </c>
      <c r="F3526" s="94" t="s">
        <v>4574</v>
      </c>
      <c r="G3526" s="96" t="s">
        <v>31</v>
      </c>
      <c r="H3526" s="19" t="s">
        <v>4583</v>
      </c>
      <c r="I3526" s="23" t="e">
        <f>VLOOKUP(H3526,'合同综合查询数据（3月返）'!$A:$A,1,FALSE)</f>
        <v>#N/A</v>
      </c>
      <c r="J3526" s="24" t="s">
        <v>33</v>
      </c>
      <c r="K3526" s="96" t="s">
        <v>4584</v>
      </c>
      <c r="L3526" s="114" t="s">
        <v>4585</v>
      </c>
      <c r="M3526" s="114" t="s">
        <v>4586</v>
      </c>
      <c r="N3526" s="106">
        <v>43952</v>
      </c>
      <c r="O3526" s="94" t="s">
        <v>37</v>
      </c>
      <c r="P3526" s="119">
        <v>0</v>
      </c>
      <c r="Q3526" s="268">
        <v>320</v>
      </c>
      <c r="R3526" s="268">
        <f t="shared" si="83"/>
        <v>0</v>
      </c>
      <c r="S3526" s="24">
        <v>202303</v>
      </c>
      <c r="T3526" s="127" t="s">
        <v>4587</v>
      </c>
      <c r="U3526" s="97"/>
      <c r="V3526" s="128"/>
      <c r="W3526" s="97"/>
      <c r="X3526" s="106">
        <v>44228</v>
      </c>
      <c r="Y3526" s="106">
        <v>44592</v>
      </c>
    </row>
    <row r="3527" s="9" customFormat="1" customHeight="1" spans="1:25">
      <c r="A3527" s="96" t="s">
        <v>109</v>
      </c>
      <c r="B3527" s="94" t="s">
        <v>4074</v>
      </c>
      <c r="C3527" s="94" t="s">
        <v>204</v>
      </c>
      <c r="D3527" s="94" t="s">
        <v>4178</v>
      </c>
      <c r="E3527" s="23" t="s">
        <v>4573</v>
      </c>
      <c r="F3527" s="94" t="s">
        <v>4574</v>
      </c>
      <c r="G3527" s="96" t="s">
        <v>88</v>
      </c>
      <c r="H3527" s="19" t="s">
        <v>4583</v>
      </c>
      <c r="I3527" s="23" t="e">
        <f>VLOOKUP(H3527,'合同综合查询数据（3月返）'!$A:$A,1,FALSE)</f>
        <v>#N/A</v>
      </c>
      <c r="J3527" s="24" t="s">
        <v>126</v>
      </c>
      <c r="K3527" s="96" t="s">
        <v>4584</v>
      </c>
      <c r="L3527" s="114" t="s">
        <v>4585</v>
      </c>
      <c r="M3527" s="114" t="s">
        <v>4586</v>
      </c>
      <c r="N3527" s="106">
        <v>43952</v>
      </c>
      <c r="O3527" s="94" t="s">
        <v>127</v>
      </c>
      <c r="P3527" s="268">
        <v>4500</v>
      </c>
      <c r="Q3527" s="273">
        <v>3</v>
      </c>
      <c r="R3527" s="268">
        <f t="shared" si="83"/>
        <v>13500</v>
      </c>
      <c r="S3527" s="24">
        <v>202303</v>
      </c>
      <c r="T3527" s="127" t="s">
        <v>4588</v>
      </c>
      <c r="U3527" s="97"/>
      <c r="V3527" s="128"/>
      <c r="W3527" s="97"/>
      <c r="X3527" s="106">
        <v>44228</v>
      </c>
      <c r="Y3527" s="106">
        <v>44592</v>
      </c>
    </row>
    <row r="3528" s="9" customFormat="1" customHeight="1" spans="1:25">
      <c r="A3528" s="96" t="s">
        <v>109</v>
      </c>
      <c r="B3528" s="94" t="s">
        <v>4074</v>
      </c>
      <c r="C3528" s="94" t="s">
        <v>204</v>
      </c>
      <c r="D3528" s="94" t="s">
        <v>4178</v>
      </c>
      <c r="E3528" s="23" t="s">
        <v>4573</v>
      </c>
      <c r="F3528" s="94" t="s">
        <v>4574</v>
      </c>
      <c r="G3528" s="96" t="s">
        <v>88</v>
      </c>
      <c r="H3528" s="19" t="s">
        <v>4583</v>
      </c>
      <c r="I3528" s="23" t="e">
        <f>VLOOKUP(H3528,'合同综合查询数据（3月返）'!$A:$A,1,FALSE)</f>
        <v>#N/A</v>
      </c>
      <c r="J3528" s="24" t="s">
        <v>126</v>
      </c>
      <c r="K3528" s="96" t="s">
        <v>4584</v>
      </c>
      <c r="L3528" s="114" t="s">
        <v>4585</v>
      </c>
      <c r="M3528" s="114" t="s">
        <v>4586</v>
      </c>
      <c r="N3528" s="106">
        <v>44347</v>
      </c>
      <c r="O3528" s="94" t="s">
        <v>127</v>
      </c>
      <c r="P3528" s="268">
        <v>4500</v>
      </c>
      <c r="Q3528" s="273">
        <v>-3</v>
      </c>
      <c r="R3528" s="268">
        <f t="shared" si="83"/>
        <v>-13500</v>
      </c>
      <c r="S3528" s="24">
        <v>202303</v>
      </c>
      <c r="T3528" s="127" t="s">
        <v>4589</v>
      </c>
      <c r="U3528" s="97"/>
      <c r="V3528" s="128"/>
      <c r="W3528" s="97"/>
      <c r="X3528" s="106">
        <v>44228</v>
      </c>
      <c r="Y3528" s="106">
        <v>44592</v>
      </c>
    </row>
    <row r="3529" s="9" customFormat="1" customHeight="1" spans="1:25">
      <c r="A3529" s="104" t="s">
        <v>25</v>
      </c>
      <c r="B3529" s="96" t="s">
        <v>4074</v>
      </c>
      <c r="C3529" s="96" t="s">
        <v>2998</v>
      </c>
      <c r="D3529" s="94" t="s">
        <v>4178</v>
      </c>
      <c r="E3529" s="23" t="s">
        <v>4573</v>
      </c>
      <c r="F3529" s="94" t="s">
        <v>4574</v>
      </c>
      <c r="G3529" s="98" t="s">
        <v>31</v>
      </c>
      <c r="H3529" s="97" t="s">
        <v>4590</v>
      </c>
      <c r="I3529" s="23" t="e">
        <f>VLOOKUP(H3529,'合同综合查询数据（3月返）'!$A:$A,1,FALSE)</f>
        <v>#N/A</v>
      </c>
      <c r="J3529" s="24" t="s">
        <v>33</v>
      </c>
      <c r="K3529" s="98" t="s">
        <v>3042</v>
      </c>
      <c r="L3529" s="148" t="s">
        <v>4591</v>
      </c>
      <c r="M3529" s="26" t="s">
        <v>4592</v>
      </c>
      <c r="N3529" s="227">
        <v>44105</v>
      </c>
      <c r="O3529" s="129" t="s">
        <v>37</v>
      </c>
      <c r="P3529" s="268">
        <v>0</v>
      </c>
      <c r="Q3529" s="273">
        <v>288</v>
      </c>
      <c r="R3529" s="268">
        <f t="shared" si="83"/>
        <v>0</v>
      </c>
      <c r="S3529" s="24">
        <v>202303</v>
      </c>
      <c r="T3529" s="327" t="s">
        <v>4593</v>
      </c>
      <c r="U3529" s="129"/>
      <c r="V3529" s="321"/>
      <c r="W3529" s="129"/>
      <c r="X3529" s="106">
        <v>44256</v>
      </c>
      <c r="Y3529" s="106">
        <v>44469</v>
      </c>
    </row>
    <row r="3530" s="9" customFormat="1" customHeight="1" spans="1:25">
      <c r="A3530" s="104" t="s">
        <v>25</v>
      </c>
      <c r="B3530" s="96" t="s">
        <v>4074</v>
      </c>
      <c r="C3530" s="96" t="s">
        <v>2998</v>
      </c>
      <c r="D3530" s="94" t="s">
        <v>4178</v>
      </c>
      <c r="E3530" s="23" t="s">
        <v>4573</v>
      </c>
      <c r="F3530" s="94" t="s">
        <v>4574</v>
      </c>
      <c r="G3530" s="98" t="s">
        <v>31</v>
      </c>
      <c r="H3530" s="97" t="s">
        <v>4590</v>
      </c>
      <c r="I3530" s="23" t="e">
        <f>VLOOKUP(H3530,'合同综合查询数据（3月返）'!$A:$A,1,FALSE)</f>
        <v>#N/A</v>
      </c>
      <c r="J3530" s="24" t="s">
        <v>33</v>
      </c>
      <c r="K3530" s="98" t="s">
        <v>3042</v>
      </c>
      <c r="L3530" s="148" t="s">
        <v>4591</v>
      </c>
      <c r="M3530" s="26" t="s">
        <v>4592</v>
      </c>
      <c r="N3530" s="227">
        <v>44469</v>
      </c>
      <c r="O3530" s="129" t="s">
        <v>37</v>
      </c>
      <c r="P3530" s="268">
        <v>0</v>
      </c>
      <c r="Q3530" s="273">
        <v>-288</v>
      </c>
      <c r="R3530" s="268">
        <f t="shared" si="83"/>
        <v>0</v>
      </c>
      <c r="S3530" s="24">
        <v>202303</v>
      </c>
      <c r="T3530" s="302" t="s">
        <v>4548</v>
      </c>
      <c r="U3530" s="129"/>
      <c r="V3530" s="321"/>
      <c r="W3530" s="129"/>
      <c r="X3530" s="106">
        <v>44256</v>
      </c>
      <c r="Y3530" s="106">
        <v>44469</v>
      </c>
    </row>
    <row r="3531" s="9" customFormat="1" customHeight="1" spans="1:25">
      <c r="A3531" s="104" t="s">
        <v>25</v>
      </c>
      <c r="B3531" s="96" t="s">
        <v>4074</v>
      </c>
      <c r="C3531" s="96" t="s">
        <v>2998</v>
      </c>
      <c r="D3531" s="94" t="s">
        <v>4178</v>
      </c>
      <c r="E3531" s="23" t="s">
        <v>4573</v>
      </c>
      <c r="F3531" s="94" t="s">
        <v>4574</v>
      </c>
      <c r="G3531" s="98" t="s">
        <v>31</v>
      </c>
      <c r="H3531" s="97" t="s">
        <v>4590</v>
      </c>
      <c r="I3531" s="23" t="e">
        <f>VLOOKUP(H3531,'合同综合查询数据（3月返）'!$A:$A,1,FALSE)</f>
        <v>#N/A</v>
      </c>
      <c r="J3531" s="24" t="s">
        <v>33</v>
      </c>
      <c r="K3531" s="98" t="s">
        <v>3042</v>
      </c>
      <c r="L3531" s="148" t="s">
        <v>4591</v>
      </c>
      <c r="M3531" s="26" t="s">
        <v>4592</v>
      </c>
      <c r="N3531" s="227"/>
      <c r="O3531" s="94" t="s">
        <v>152</v>
      </c>
      <c r="P3531" s="268">
        <v>0</v>
      </c>
      <c r="Q3531" s="268">
        <v>0</v>
      </c>
      <c r="R3531" s="268">
        <f t="shared" si="83"/>
        <v>0</v>
      </c>
      <c r="S3531" s="24">
        <v>202303</v>
      </c>
      <c r="T3531" s="327" t="s">
        <v>4594</v>
      </c>
      <c r="U3531" s="129"/>
      <c r="V3531" s="321"/>
      <c r="W3531" s="129"/>
      <c r="X3531" s="106">
        <v>44256</v>
      </c>
      <c r="Y3531" s="106">
        <v>44469</v>
      </c>
    </row>
    <row r="3532" s="9" customFormat="1" customHeight="1" spans="1:25">
      <c r="A3532" s="104" t="s">
        <v>25</v>
      </c>
      <c r="B3532" s="96" t="s">
        <v>4074</v>
      </c>
      <c r="C3532" s="96" t="s">
        <v>2998</v>
      </c>
      <c r="D3532" s="94" t="s">
        <v>4178</v>
      </c>
      <c r="E3532" s="23" t="s">
        <v>4573</v>
      </c>
      <c r="F3532" s="94" t="s">
        <v>4574</v>
      </c>
      <c r="G3532" s="96" t="s">
        <v>88</v>
      </c>
      <c r="H3532" s="97" t="s">
        <v>4590</v>
      </c>
      <c r="I3532" s="23" t="e">
        <f>VLOOKUP(H3532,'合同综合查询数据（3月返）'!$A:$A,1,FALSE)</f>
        <v>#N/A</v>
      </c>
      <c r="J3532" s="24" t="s">
        <v>126</v>
      </c>
      <c r="K3532" s="98" t="s">
        <v>3042</v>
      </c>
      <c r="L3532" s="148" t="s">
        <v>4591</v>
      </c>
      <c r="M3532" s="26" t="s">
        <v>4592</v>
      </c>
      <c r="N3532" s="227">
        <v>44105</v>
      </c>
      <c r="O3532" s="129" t="s">
        <v>92</v>
      </c>
      <c r="P3532" s="268">
        <v>4500</v>
      </c>
      <c r="Q3532" s="273">
        <v>3</v>
      </c>
      <c r="R3532" s="268">
        <f t="shared" si="83"/>
        <v>13500</v>
      </c>
      <c r="S3532" s="24">
        <v>202303</v>
      </c>
      <c r="T3532" s="327" t="s">
        <v>4595</v>
      </c>
      <c r="U3532" s="129"/>
      <c r="V3532" s="321"/>
      <c r="W3532" s="129"/>
      <c r="X3532" s="106">
        <v>44256</v>
      </c>
      <c r="Y3532" s="106">
        <v>44469</v>
      </c>
    </row>
    <row r="3533" s="9" customFormat="1" customHeight="1" spans="1:25">
      <c r="A3533" s="104" t="s">
        <v>25</v>
      </c>
      <c r="B3533" s="96" t="s">
        <v>4074</v>
      </c>
      <c r="C3533" s="96" t="s">
        <v>2998</v>
      </c>
      <c r="D3533" s="94" t="s">
        <v>4178</v>
      </c>
      <c r="E3533" s="23" t="s">
        <v>4573</v>
      </c>
      <c r="F3533" s="94" t="s">
        <v>4574</v>
      </c>
      <c r="G3533" s="96" t="s">
        <v>88</v>
      </c>
      <c r="H3533" s="97" t="s">
        <v>4590</v>
      </c>
      <c r="I3533" s="23" t="e">
        <f>VLOOKUP(H3533,'合同综合查询数据（3月返）'!$A:$A,1,FALSE)</f>
        <v>#N/A</v>
      </c>
      <c r="J3533" s="24" t="s">
        <v>126</v>
      </c>
      <c r="K3533" s="98" t="s">
        <v>3042</v>
      </c>
      <c r="L3533" s="148" t="s">
        <v>4591</v>
      </c>
      <c r="M3533" s="26" t="s">
        <v>4592</v>
      </c>
      <c r="N3533" s="227">
        <v>44469</v>
      </c>
      <c r="O3533" s="129" t="s">
        <v>92</v>
      </c>
      <c r="P3533" s="268">
        <v>4500</v>
      </c>
      <c r="Q3533" s="273">
        <v>-3</v>
      </c>
      <c r="R3533" s="268">
        <f t="shared" si="83"/>
        <v>-13500</v>
      </c>
      <c r="S3533" s="24">
        <v>202303</v>
      </c>
      <c r="T3533" s="328" t="s">
        <v>4548</v>
      </c>
      <c r="U3533" s="129"/>
      <c r="V3533" s="321"/>
      <c r="W3533" s="129"/>
      <c r="X3533" s="106">
        <v>44256</v>
      </c>
      <c r="Y3533" s="106">
        <v>44469</v>
      </c>
    </row>
    <row r="3534" s="9" customFormat="1" customHeight="1" spans="1:25">
      <c r="A3534" s="96" t="s">
        <v>129</v>
      </c>
      <c r="B3534" s="96" t="s">
        <v>4074</v>
      </c>
      <c r="C3534" s="129" t="s">
        <v>283</v>
      </c>
      <c r="D3534" s="94" t="s">
        <v>4178</v>
      </c>
      <c r="E3534" s="23" t="s">
        <v>4573</v>
      </c>
      <c r="F3534" s="94" t="s">
        <v>4574</v>
      </c>
      <c r="G3534" s="98" t="s">
        <v>31</v>
      </c>
      <c r="H3534" s="19" t="s">
        <v>4596</v>
      </c>
      <c r="I3534" s="23" t="e">
        <f>VLOOKUP(H3534,'合同综合查询数据（3月返）'!$A:$A,1,FALSE)</f>
        <v>#N/A</v>
      </c>
      <c r="J3534" s="24" t="s">
        <v>33</v>
      </c>
      <c r="K3534" s="98" t="s">
        <v>4597</v>
      </c>
      <c r="L3534" s="148" t="s">
        <v>4598</v>
      </c>
      <c r="M3534" s="26" t="s">
        <v>4599</v>
      </c>
      <c r="N3534" s="227">
        <v>44076</v>
      </c>
      <c r="O3534" s="129" t="s">
        <v>37</v>
      </c>
      <c r="P3534" s="268">
        <v>0</v>
      </c>
      <c r="Q3534" s="273">
        <v>288</v>
      </c>
      <c r="R3534" s="268">
        <f t="shared" si="83"/>
        <v>0</v>
      </c>
      <c r="S3534" s="24">
        <v>202303</v>
      </c>
      <c r="T3534" s="327" t="s">
        <v>4600</v>
      </c>
      <c r="U3534" s="129"/>
      <c r="V3534" s="321"/>
      <c r="W3534" s="129"/>
      <c r="X3534" s="227">
        <v>44440</v>
      </c>
      <c r="Y3534" s="227">
        <v>44804</v>
      </c>
    </row>
    <row r="3535" s="9" customFormat="1" customHeight="1" spans="1:25">
      <c r="A3535" s="96" t="s">
        <v>129</v>
      </c>
      <c r="B3535" s="96" t="s">
        <v>4074</v>
      </c>
      <c r="C3535" s="129" t="s">
        <v>283</v>
      </c>
      <c r="D3535" s="94" t="s">
        <v>4178</v>
      </c>
      <c r="E3535" s="23" t="s">
        <v>4573</v>
      </c>
      <c r="F3535" s="94" t="s">
        <v>4574</v>
      </c>
      <c r="G3535" s="98" t="s">
        <v>31</v>
      </c>
      <c r="H3535" s="19" t="s">
        <v>4596</v>
      </c>
      <c r="I3535" s="23" t="e">
        <f>VLOOKUP(H3535,'合同综合查询数据（3月返）'!$A:$A,1,FALSE)</f>
        <v>#N/A</v>
      </c>
      <c r="J3535" s="24" t="s">
        <v>33</v>
      </c>
      <c r="K3535" s="98" t="s">
        <v>4597</v>
      </c>
      <c r="L3535" s="148" t="s">
        <v>4598</v>
      </c>
      <c r="M3535" s="26" t="s">
        <v>4599</v>
      </c>
      <c r="N3535" s="227">
        <v>44712</v>
      </c>
      <c r="O3535" s="129" t="s">
        <v>37</v>
      </c>
      <c r="P3535" s="268">
        <v>0</v>
      </c>
      <c r="Q3535" s="273">
        <v>-288</v>
      </c>
      <c r="R3535" s="268">
        <f t="shared" si="83"/>
        <v>0</v>
      </c>
      <c r="S3535" s="24">
        <v>202303</v>
      </c>
      <c r="T3535" s="327" t="s">
        <v>4601</v>
      </c>
      <c r="U3535" s="129"/>
      <c r="V3535" s="321"/>
      <c r="W3535" s="129"/>
      <c r="X3535" s="227">
        <v>44440</v>
      </c>
      <c r="Y3535" s="28">
        <v>44804</v>
      </c>
    </row>
    <row r="3536" s="9" customFormat="1" customHeight="1" spans="1:25">
      <c r="A3536" s="96" t="s">
        <v>129</v>
      </c>
      <c r="B3536" s="96" t="s">
        <v>4074</v>
      </c>
      <c r="C3536" s="129" t="s">
        <v>283</v>
      </c>
      <c r="D3536" s="94" t="s">
        <v>4178</v>
      </c>
      <c r="E3536" s="23" t="s">
        <v>4573</v>
      </c>
      <c r="F3536" s="94" t="s">
        <v>4574</v>
      </c>
      <c r="G3536" s="98" t="s">
        <v>31</v>
      </c>
      <c r="H3536" s="19" t="s">
        <v>4596</v>
      </c>
      <c r="I3536" s="23" t="e">
        <f>VLOOKUP(H3536,'合同综合查询数据（3月返）'!$A:$A,1,FALSE)</f>
        <v>#N/A</v>
      </c>
      <c r="J3536" s="24" t="s">
        <v>33</v>
      </c>
      <c r="K3536" s="98" t="s">
        <v>4597</v>
      </c>
      <c r="L3536" s="148" t="s">
        <v>4598</v>
      </c>
      <c r="M3536" s="26" t="s">
        <v>4599</v>
      </c>
      <c r="N3536" s="227"/>
      <c r="O3536" s="94" t="s">
        <v>152</v>
      </c>
      <c r="P3536" s="268">
        <v>0</v>
      </c>
      <c r="Q3536" s="273">
        <v>0</v>
      </c>
      <c r="R3536" s="268">
        <f t="shared" si="83"/>
        <v>0</v>
      </c>
      <c r="S3536" s="24">
        <v>202303</v>
      </c>
      <c r="T3536" s="327" t="s">
        <v>4602</v>
      </c>
      <c r="U3536" s="129"/>
      <c r="V3536" s="321"/>
      <c r="W3536" s="129"/>
      <c r="X3536" s="227">
        <v>44440</v>
      </c>
      <c r="Y3536" s="227">
        <v>44804</v>
      </c>
    </row>
    <row r="3537" s="9" customFormat="1" customHeight="1" spans="1:25">
      <c r="A3537" s="96" t="s">
        <v>129</v>
      </c>
      <c r="B3537" s="96" t="s">
        <v>4074</v>
      </c>
      <c r="C3537" s="129" t="s">
        <v>283</v>
      </c>
      <c r="D3537" s="94" t="s">
        <v>4178</v>
      </c>
      <c r="E3537" s="23" t="s">
        <v>4573</v>
      </c>
      <c r="F3537" s="94" t="s">
        <v>4574</v>
      </c>
      <c r="G3537" s="96" t="s">
        <v>88</v>
      </c>
      <c r="H3537" s="19" t="s">
        <v>4596</v>
      </c>
      <c r="I3537" s="23" t="e">
        <f>VLOOKUP(H3537,'合同综合查询数据（3月返）'!$A:$A,1,FALSE)</f>
        <v>#N/A</v>
      </c>
      <c r="J3537" s="24" t="s">
        <v>126</v>
      </c>
      <c r="K3537" s="98" t="s">
        <v>4597</v>
      </c>
      <c r="L3537" s="148" t="s">
        <v>4598</v>
      </c>
      <c r="M3537" s="26" t="s">
        <v>4599</v>
      </c>
      <c r="N3537" s="227">
        <v>44076</v>
      </c>
      <c r="O3537" s="129" t="s">
        <v>92</v>
      </c>
      <c r="P3537" s="268">
        <v>4000</v>
      </c>
      <c r="Q3537" s="273">
        <v>6</v>
      </c>
      <c r="R3537" s="268">
        <f t="shared" si="83"/>
        <v>24000</v>
      </c>
      <c r="S3537" s="24">
        <v>202303</v>
      </c>
      <c r="T3537" s="327" t="s">
        <v>4603</v>
      </c>
      <c r="U3537" s="129"/>
      <c r="V3537" s="321"/>
      <c r="W3537" s="129"/>
      <c r="X3537" s="227">
        <v>44440</v>
      </c>
      <c r="Y3537" s="227">
        <v>44804</v>
      </c>
    </row>
    <row r="3538" s="9" customFormat="1" customHeight="1" spans="1:25">
      <c r="A3538" s="96" t="s">
        <v>129</v>
      </c>
      <c r="B3538" s="96" t="s">
        <v>4074</v>
      </c>
      <c r="C3538" s="129" t="s">
        <v>283</v>
      </c>
      <c r="D3538" s="94" t="s">
        <v>4178</v>
      </c>
      <c r="E3538" s="23" t="s">
        <v>4573</v>
      </c>
      <c r="F3538" s="94" t="s">
        <v>4574</v>
      </c>
      <c r="G3538" s="96" t="s">
        <v>88</v>
      </c>
      <c r="H3538" s="19" t="s">
        <v>4596</v>
      </c>
      <c r="I3538" s="23" t="e">
        <f>VLOOKUP(H3538,'合同综合查询数据（3月返）'!$A:$A,1,FALSE)</f>
        <v>#N/A</v>
      </c>
      <c r="J3538" s="24" t="s">
        <v>126</v>
      </c>
      <c r="K3538" s="98" t="s">
        <v>4597</v>
      </c>
      <c r="L3538" s="148" t="s">
        <v>4598</v>
      </c>
      <c r="M3538" s="26" t="s">
        <v>4599</v>
      </c>
      <c r="N3538" s="227">
        <v>44554</v>
      </c>
      <c r="O3538" s="129" t="s">
        <v>92</v>
      </c>
      <c r="P3538" s="268">
        <v>4000</v>
      </c>
      <c r="Q3538" s="273">
        <v>-2</v>
      </c>
      <c r="R3538" s="268">
        <f t="shared" si="83"/>
        <v>-8000</v>
      </c>
      <c r="S3538" s="24">
        <v>202303</v>
      </c>
      <c r="T3538" s="327" t="s">
        <v>4604</v>
      </c>
      <c r="U3538" s="129"/>
      <c r="V3538" s="321"/>
      <c r="W3538" s="129"/>
      <c r="X3538" s="227">
        <v>44440</v>
      </c>
      <c r="Y3538" s="227">
        <v>44804</v>
      </c>
    </row>
    <row r="3539" s="9" customFormat="1" customHeight="1" spans="1:25">
      <c r="A3539" s="96" t="s">
        <v>129</v>
      </c>
      <c r="B3539" s="96" t="s">
        <v>4074</v>
      </c>
      <c r="C3539" s="129" t="s">
        <v>283</v>
      </c>
      <c r="D3539" s="94" t="s">
        <v>4178</v>
      </c>
      <c r="E3539" s="23" t="s">
        <v>4573</v>
      </c>
      <c r="F3539" s="94" t="s">
        <v>4574</v>
      </c>
      <c r="G3539" s="96" t="s">
        <v>88</v>
      </c>
      <c r="H3539" s="19" t="s">
        <v>4596</v>
      </c>
      <c r="I3539" s="23" t="e">
        <f>VLOOKUP(H3539,'合同综合查询数据（3月返）'!$A:$A,1,FALSE)</f>
        <v>#N/A</v>
      </c>
      <c r="J3539" s="24" t="s">
        <v>126</v>
      </c>
      <c r="K3539" s="98" t="s">
        <v>4597</v>
      </c>
      <c r="L3539" s="148" t="s">
        <v>4598</v>
      </c>
      <c r="M3539" s="26" t="s">
        <v>4599</v>
      </c>
      <c r="N3539" s="227">
        <v>44712</v>
      </c>
      <c r="O3539" s="129" t="s">
        <v>92</v>
      </c>
      <c r="P3539" s="268">
        <v>4000</v>
      </c>
      <c r="Q3539" s="273">
        <v>-4</v>
      </c>
      <c r="R3539" s="268">
        <f t="shared" si="83"/>
        <v>-16000</v>
      </c>
      <c r="S3539" s="24">
        <v>202303</v>
      </c>
      <c r="T3539" s="327" t="s">
        <v>4605</v>
      </c>
      <c r="U3539" s="129"/>
      <c r="V3539" s="321"/>
      <c r="W3539" s="129"/>
      <c r="X3539" s="227">
        <v>44440</v>
      </c>
      <c r="Y3539" s="28">
        <v>44804</v>
      </c>
    </row>
    <row r="3540" s="9" customFormat="1" customHeight="1" spans="1:25">
      <c r="A3540" s="96" t="s">
        <v>129</v>
      </c>
      <c r="B3540" s="96" t="s">
        <v>4074</v>
      </c>
      <c r="C3540" s="96" t="s">
        <v>2998</v>
      </c>
      <c r="D3540" s="94" t="s">
        <v>4178</v>
      </c>
      <c r="E3540" s="23" t="s">
        <v>4573</v>
      </c>
      <c r="F3540" s="94" t="s">
        <v>4574</v>
      </c>
      <c r="G3540" s="96" t="s">
        <v>31</v>
      </c>
      <c r="H3540" s="97" t="s">
        <v>4606</v>
      </c>
      <c r="I3540" s="23" t="e">
        <f>VLOOKUP(H3540,'合同综合查询数据（3月返）'!$A:$A,1,FALSE)</f>
        <v>#N/A</v>
      </c>
      <c r="J3540" s="24" t="s">
        <v>33</v>
      </c>
      <c r="K3540" s="94" t="s">
        <v>4557</v>
      </c>
      <c r="L3540" s="94" t="s">
        <v>4558</v>
      </c>
      <c r="M3540" s="94" t="s">
        <v>4559</v>
      </c>
      <c r="N3540" s="106">
        <v>44228</v>
      </c>
      <c r="O3540" s="94" t="s">
        <v>37</v>
      </c>
      <c r="P3540" s="297">
        <v>0</v>
      </c>
      <c r="Q3540" s="297">
        <v>288</v>
      </c>
      <c r="R3540" s="268">
        <f t="shared" si="83"/>
        <v>0</v>
      </c>
      <c r="S3540" s="24">
        <v>202303</v>
      </c>
      <c r="T3540" s="327" t="s">
        <v>4607</v>
      </c>
      <c r="U3540" s="129"/>
      <c r="V3540" s="321"/>
      <c r="W3540" s="129"/>
      <c r="X3540" s="106">
        <v>44593</v>
      </c>
      <c r="Y3540" s="106">
        <v>44957</v>
      </c>
    </row>
    <row r="3541" s="9" customFormat="1" customHeight="1" spans="1:25">
      <c r="A3541" s="96" t="s">
        <v>129</v>
      </c>
      <c r="B3541" s="96" t="s">
        <v>4074</v>
      </c>
      <c r="C3541" s="96" t="s">
        <v>2998</v>
      </c>
      <c r="D3541" s="94" t="s">
        <v>4178</v>
      </c>
      <c r="E3541" s="23" t="s">
        <v>4573</v>
      </c>
      <c r="F3541" s="94" t="s">
        <v>4574</v>
      </c>
      <c r="G3541" s="96" t="s">
        <v>31</v>
      </c>
      <c r="H3541" s="97" t="s">
        <v>4606</v>
      </c>
      <c r="I3541" s="23" t="e">
        <f>VLOOKUP(H3541,'合同综合查询数据（3月返）'!$A:$A,1,FALSE)</f>
        <v>#N/A</v>
      </c>
      <c r="J3541" s="24" t="s">
        <v>33</v>
      </c>
      <c r="K3541" s="94" t="s">
        <v>4557</v>
      </c>
      <c r="L3541" s="94" t="s">
        <v>4558</v>
      </c>
      <c r="M3541" s="94" t="s">
        <v>4559</v>
      </c>
      <c r="N3541" s="106">
        <v>44681</v>
      </c>
      <c r="O3541" s="94" t="s">
        <v>37</v>
      </c>
      <c r="P3541" s="297">
        <v>0</v>
      </c>
      <c r="Q3541" s="297">
        <v>-288</v>
      </c>
      <c r="R3541" s="268">
        <f t="shared" si="83"/>
        <v>0</v>
      </c>
      <c r="S3541" s="24">
        <v>202303</v>
      </c>
      <c r="T3541" s="327" t="s">
        <v>4608</v>
      </c>
      <c r="U3541" s="129"/>
      <c r="V3541" s="321"/>
      <c r="W3541" s="129"/>
      <c r="X3541" s="106">
        <v>44593</v>
      </c>
      <c r="Y3541" s="106">
        <v>44957</v>
      </c>
    </row>
    <row r="3542" s="9" customFormat="1" customHeight="1" spans="1:25">
      <c r="A3542" s="96" t="s">
        <v>129</v>
      </c>
      <c r="B3542" s="96" t="s">
        <v>4074</v>
      </c>
      <c r="C3542" s="96" t="s">
        <v>2998</v>
      </c>
      <c r="D3542" s="94" t="s">
        <v>4178</v>
      </c>
      <c r="E3542" s="23" t="s">
        <v>4573</v>
      </c>
      <c r="F3542" s="94" t="s">
        <v>4574</v>
      </c>
      <c r="G3542" s="96" t="s">
        <v>31</v>
      </c>
      <c r="H3542" s="97" t="s">
        <v>4606</v>
      </c>
      <c r="I3542" s="23" t="e">
        <f>VLOOKUP(H3542,'合同综合查询数据（3月返）'!$A:$A,1,FALSE)</f>
        <v>#N/A</v>
      </c>
      <c r="J3542" s="24" t="s">
        <v>33</v>
      </c>
      <c r="K3542" s="94" t="s">
        <v>4557</v>
      </c>
      <c r="L3542" s="94" t="s">
        <v>4558</v>
      </c>
      <c r="M3542" s="94" t="s">
        <v>4559</v>
      </c>
      <c r="N3542" s="106"/>
      <c r="O3542" s="94" t="s">
        <v>152</v>
      </c>
      <c r="P3542" s="297">
        <v>0</v>
      </c>
      <c r="Q3542" s="273">
        <v>0</v>
      </c>
      <c r="R3542" s="268">
        <f t="shared" si="83"/>
        <v>0</v>
      </c>
      <c r="S3542" s="24">
        <v>202303</v>
      </c>
      <c r="T3542" s="327" t="s">
        <v>4609</v>
      </c>
      <c r="U3542" s="129"/>
      <c r="V3542" s="321"/>
      <c r="W3542" s="129"/>
      <c r="X3542" s="106">
        <v>44593</v>
      </c>
      <c r="Y3542" s="106">
        <v>44957</v>
      </c>
    </row>
    <row r="3543" s="9" customFormat="1" customHeight="1" spans="1:25">
      <c r="A3543" s="96" t="s">
        <v>129</v>
      </c>
      <c r="B3543" s="96" t="s">
        <v>4074</v>
      </c>
      <c r="C3543" s="96" t="s">
        <v>2998</v>
      </c>
      <c r="D3543" s="94" t="s">
        <v>4178</v>
      </c>
      <c r="E3543" s="23" t="s">
        <v>4573</v>
      </c>
      <c r="F3543" s="94" t="s">
        <v>4574</v>
      </c>
      <c r="G3543" s="96" t="s">
        <v>88</v>
      </c>
      <c r="H3543" s="97" t="s">
        <v>4606</v>
      </c>
      <c r="I3543" s="23" t="e">
        <f>VLOOKUP(H3543,'合同综合查询数据（3月返）'!$A:$A,1,FALSE)</f>
        <v>#N/A</v>
      </c>
      <c r="J3543" s="24" t="s">
        <v>126</v>
      </c>
      <c r="K3543" s="94" t="s">
        <v>4557</v>
      </c>
      <c r="L3543" s="94" t="s">
        <v>4558</v>
      </c>
      <c r="M3543" s="94" t="s">
        <v>4559</v>
      </c>
      <c r="N3543" s="106">
        <v>44228</v>
      </c>
      <c r="O3543" s="94" t="s">
        <v>92</v>
      </c>
      <c r="P3543" s="297">
        <v>4000</v>
      </c>
      <c r="Q3543" s="297">
        <v>7</v>
      </c>
      <c r="R3543" s="268">
        <f t="shared" si="83"/>
        <v>28000</v>
      </c>
      <c r="S3543" s="24">
        <v>202303</v>
      </c>
      <c r="T3543" s="327" t="s">
        <v>4610</v>
      </c>
      <c r="U3543" s="129"/>
      <c r="V3543" s="321"/>
      <c r="W3543" s="129"/>
      <c r="X3543" s="106">
        <v>44593</v>
      </c>
      <c r="Y3543" s="106">
        <v>44957</v>
      </c>
    </row>
    <row r="3544" s="9" customFormat="1" customHeight="1" spans="1:25">
      <c r="A3544" s="96" t="s">
        <v>129</v>
      </c>
      <c r="B3544" s="96" t="s">
        <v>4074</v>
      </c>
      <c r="C3544" s="96" t="s">
        <v>2998</v>
      </c>
      <c r="D3544" s="94" t="s">
        <v>4178</v>
      </c>
      <c r="E3544" s="23" t="s">
        <v>4573</v>
      </c>
      <c r="F3544" s="94" t="s">
        <v>4574</v>
      </c>
      <c r="G3544" s="96" t="s">
        <v>88</v>
      </c>
      <c r="H3544" s="97" t="s">
        <v>4606</v>
      </c>
      <c r="I3544" s="23" t="e">
        <f>VLOOKUP(H3544,'合同综合查询数据（3月返）'!$A:$A,1,FALSE)</f>
        <v>#N/A</v>
      </c>
      <c r="J3544" s="24" t="s">
        <v>126</v>
      </c>
      <c r="K3544" s="94" t="s">
        <v>4557</v>
      </c>
      <c r="L3544" s="94" t="s">
        <v>4558</v>
      </c>
      <c r="M3544" s="94" t="s">
        <v>4559</v>
      </c>
      <c r="N3544" s="106">
        <v>44561</v>
      </c>
      <c r="O3544" s="94" t="s">
        <v>92</v>
      </c>
      <c r="P3544" s="297">
        <v>4000</v>
      </c>
      <c r="Q3544" s="297">
        <v>-7</v>
      </c>
      <c r="R3544" s="268">
        <f t="shared" si="83"/>
        <v>-28000</v>
      </c>
      <c r="S3544" s="24">
        <v>202303</v>
      </c>
      <c r="T3544" s="327" t="s">
        <v>4611</v>
      </c>
      <c r="U3544" s="129"/>
      <c r="V3544" s="321"/>
      <c r="W3544" s="129"/>
      <c r="X3544" s="106">
        <v>44593</v>
      </c>
      <c r="Y3544" s="106">
        <v>44957</v>
      </c>
    </row>
    <row r="3545" s="9" customFormat="1" customHeight="1" spans="1:25">
      <c r="A3545" s="96" t="s">
        <v>129</v>
      </c>
      <c r="B3545" s="96" t="s">
        <v>4074</v>
      </c>
      <c r="C3545" s="96" t="s">
        <v>2998</v>
      </c>
      <c r="D3545" s="94" t="s">
        <v>4178</v>
      </c>
      <c r="E3545" s="23" t="s">
        <v>4573</v>
      </c>
      <c r="F3545" s="94" t="s">
        <v>4574</v>
      </c>
      <c r="G3545" s="96" t="s">
        <v>88</v>
      </c>
      <c r="H3545" s="97" t="s">
        <v>4606</v>
      </c>
      <c r="I3545" s="23" t="e">
        <f>VLOOKUP(H3545,'合同综合查询数据（3月返）'!$A:$A,1,FALSE)</f>
        <v>#N/A</v>
      </c>
      <c r="J3545" s="24" t="s">
        <v>126</v>
      </c>
      <c r="K3545" s="94" t="s">
        <v>4557</v>
      </c>
      <c r="L3545" s="94" t="s">
        <v>4558</v>
      </c>
      <c r="M3545" s="94" t="s">
        <v>4559</v>
      </c>
      <c r="N3545" s="106">
        <v>44562</v>
      </c>
      <c r="O3545" s="94" t="s">
        <v>92</v>
      </c>
      <c r="P3545" s="297">
        <v>4000</v>
      </c>
      <c r="Q3545" s="297">
        <v>7</v>
      </c>
      <c r="R3545" s="268">
        <f t="shared" si="83"/>
        <v>28000</v>
      </c>
      <c r="S3545" s="24">
        <v>202303</v>
      </c>
      <c r="T3545" s="327" t="s">
        <v>4611</v>
      </c>
      <c r="U3545" s="129"/>
      <c r="V3545" s="321"/>
      <c r="W3545" s="129"/>
      <c r="X3545" s="106">
        <v>44593</v>
      </c>
      <c r="Y3545" s="106">
        <v>44957</v>
      </c>
    </row>
    <row r="3546" s="9" customFormat="1" customHeight="1" spans="1:25">
      <c r="A3546" s="96" t="s">
        <v>129</v>
      </c>
      <c r="B3546" s="96" t="s">
        <v>4074</v>
      </c>
      <c r="C3546" s="96" t="s">
        <v>2998</v>
      </c>
      <c r="D3546" s="94" t="s">
        <v>4178</v>
      </c>
      <c r="E3546" s="23" t="s">
        <v>4573</v>
      </c>
      <c r="F3546" s="94" t="s">
        <v>4574</v>
      </c>
      <c r="G3546" s="96" t="s">
        <v>88</v>
      </c>
      <c r="H3546" s="97" t="s">
        <v>4606</v>
      </c>
      <c r="I3546" s="23" t="e">
        <f>VLOOKUP(H3546,'合同综合查询数据（3月返）'!$A:$A,1,FALSE)</f>
        <v>#N/A</v>
      </c>
      <c r="J3546" s="24" t="s">
        <v>126</v>
      </c>
      <c r="K3546" s="94" t="s">
        <v>4557</v>
      </c>
      <c r="L3546" s="94" t="s">
        <v>4558</v>
      </c>
      <c r="M3546" s="94" t="s">
        <v>4559</v>
      </c>
      <c r="N3546" s="106">
        <v>44580</v>
      </c>
      <c r="O3546" s="94" t="s">
        <v>92</v>
      </c>
      <c r="P3546" s="297">
        <v>4000</v>
      </c>
      <c r="Q3546" s="297">
        <v>-2</v>
      </c>
      <c r="R3546" s="268">
        <f t="shared" si="83"/>
        <v>-8000</v>
      </c>
      <c r="S3546" s="24">
        <v>202303</v>
      </c>
      <c r="T3546" s="327" t="s">
        <v>4612</v>
      </c>
      <c r="U3546" s="129"/>
      <c r="V3546" s="321"/>
      <c r="W3546" s="129"/>
      <c r="X3546" s="106">
        <v>44593</v>
      </c>
      <c r="Y3546" s="106">
        <v>44957</v>
      </c>
    </row>
    <row r="3547" s="9" customFormat="1" customHeight="1" spans="1:25">
      <c r="A3547" s="96" t="s">
        <v>129</v>
      </c>
      <c r="B3547" s="96" t="s">
        <v>4074</v>
      </c>
      <c r="C3547" s="96" t="s">
        <v>2998</v>
      </c>
      <c r="D3547" s="94" t="s">
        <v>4178</v>
      </c>
      <c r="E3547" s="23" t="s">
        <v>4573</v>
      </c>
      <c r="F3547" s="94" t="s">
        <v>4574</v>
      </c>
      <c r="G3547" s="96" t="s">
        <v>88</v>
      </c>
      <c r="H3547" s="97" t="s">
        <v>4606</v>
      </c>
      <c r="I3547" s="23" t="e">
        <f>VLOOKUP(H3547,'合同综合查询数据（3月返）'!$A:$A,1,FALSE)</f>
        <v>#N/A</v>
      </c>
      <c r="J3547" s="24" t="s">
        <v>126</v>
      </c>
      <c r="K3547" s="94" t="s">
        <v>4557</v>
      </c>
      <c r="L3547" s="94" t="s">
        <v>4558</v>
      </c>
      <c r="M3547" s="94" t="s">
        <v>4559</v>
      </c>
      <c r="N3547" s="106">
        <v>44681</v>
      </c>
      <c r="O3547" s="94" t="s">
        <v>92</v>
      </c>
      <c r="P3547" s="297">
        <v>4000</v>
      </c>
      <c r="Q3547" s="297">
        <v>-5</v>
      </c>
      <c r="R3547" s="268">
        <f t="shared" si="83"/>
        <v>-20000</v>
      </c>
      <c r="S3547" s="24">
        <v>202303</v>
      </c>
      <c r="T3547" s="327" t="s">
        <v>4613</v>
      </c>
      <c r="U3547" s="129"/>
      <c r="V3547" s="321"/>
      <c r="W3547" s="129"/>
      <c r="X3547" s="106">
        <v>44593</v>
      </c>
      <c r="Y3547" s="106">
        <v>44957</v>
      </c>
    </row>
    <row r="3548" s="9" customFormat="1" customHeight="1" spans="1:25">
      <c r="A3548" s="96" t="s">
        <v>129</v>
      </c>
      <c r="B3548" s="96" t="s">
        <v>4074</v>
      </c>
      <c r="C3548" s="96" t="s">
        <v>2998</v>
      </c>
      <c r="D3548" s="94" t="s">
        <v>4178</v>
      </c>
      <c r="E3548" s="23" t="s">
        <v>4573</v>
      </c>
      <c r="F3548" s="94" t="s">
        <v>4574</v>
      </c>
      <c r="G3548" s="98" t="s">
        <v>31</v>
      </c>
      <c r="H3548" s="97" t="s">
        <v>4614</v>
      </c>
      <c r="I3548" s="23" t="e">
        <f>VLOOKUP(H3548,'合同综合查询数据（3月返）'!$A:$A,1,FALSE)</f>
        <v>#N/A</v>
      </c>
      <c r="J3548" s="24" t="s">
        <v>33</v>
      </c>
      <c r="K3548" s="94" t="s">
        <v>4615</v>
      </c>
      <c r="L3548" s="94" t="s">
        <v>4616</v>
      </c>
      <c r="M3548" s="249" t="s">
        <v>4617</v>
      </c>
      <c r="N3548" s="106">
        <v>44257</v>
      </c>
      <c r="O3548" s="28" t="s">
        <v>37</v>
      </c>
      <c r="P3548" s="297">
        <v>0</v>
      </c>
      <c r="Q3548" s="273">
        <v>288</v>
      </c>
      <c r="R3548" s="268">
        <f t="shared" si="83"/>
        <v>0</v>
      </c>
      <c r="S3548" s="24">
        <v>202303</v>
      </c>
      <c r="T3548" s="327" t="s">
        <v>4618</v>
      </c>
      <c r="U3548" s="129"/>
      <c r="V3548" s="321"/>
      <c r="W3548" s="129"/>
      <c r="X3548" s="106">
        <v>44621</v>
      </c>
      <c r="Y3548" s="106">
        <v>44985</v>
      </c>
    </row>
    <row r="3549" s="9" customFormat="1" customHeight="1" spans="1:25">
      <c r="A3549" s="96" t="s">
        <v>129</v>
      </c>
      <c r="B3549" s="96" t="s">
        <v>4074</v>
      </c>
      <c r="C3549" s="96" t="s">
        <v>2998</v>
      </c>
      <c r="D3549" s="94" t="s">
        <v>4178</v>
      </c>
      <c r="E3549" s="23" t="s">
        <v>4573</v>
      </c>
      <c r="F3549" s="94" t="s">
        <v>4574</v>
      </c>
      <c r="G3549" s="98" t="s">
        <v>31</v>
      </c>
      <c r="H3549" s="97" t="s">
        <v>4614</v>
      </c>
      <c r="I3549" s="23" t="e">
        <f>VLOOKUP(H3549,'合同综合查询数据（3月返）'!$A:$A,1,FALSE)</f>
        <v>#N/A</v>
      </c>
      <c r="J3549" s="24" t="s">
        <v>33</v>
      </c>
      <c r="K3549" s="94" t="s">
        <v>4615</v>
      </c>
      <c r="L3549" s="94" t="s">
        <v>4616</v>
      </c>
      <c r="M3549" s="249" t="s">
        <v>4617</v>
      </c>
      <c r="N3549" s="106">
        <v>44742</v>
      </c>
      <c r="O3549" s="28" t="s">
        <v>37</v>
      </c>
      <c r="P3549" s="297">
        <v>0</v>
      </c>
      <c r="Q3549" s="273">
        <v>-288</v>
      </c>
      <c r="R3549" s="268">
        <f t="shared" si="83"/>
        <v>0</v>
      </c>
      <c r="S3549" s="24">
        <v>202303</v>
      </c>
      <c r="T3549" s="327" t="s">
        <v>4619</v>
      </c>
      <c r="U3549" s="129"/>
      <c r="V3549" s="321"/>
      <c r="W3549" s="129"/>
      <c r="X3549" s="106">
        <v>44621</v>
      </c>
      <c r="Y3549" s="106">
        <v>44985</v>
      </c>
    </row>
    <row r="3550" s="9" customFormat="1" customHeight="1" spans="1:25">
      <c r="A3550" s="96" t="s">
        <v>129</v>
      </c>
      <c r="B3550" s="96" t="s">
        <v>4074</v>
      </c>
      <c r="C3550" s="96" t="s">
        <v>2998</v>
      </c>
      <c r="D3550" s="94" t="s">
        <v>4178</v>
      </c>
      <c r="E3550" s="23" t="s">
        <v>4573</v>
      </c>
      <c r="F3550" s="94" t="s">
        <v>4574</v>
      </c>
      <c r="G3550" s="98" t="s">
        <v>31</v>
      </c>
      <c r="H3550" s="97" t="s">
        <v>4614</v>
      </c>
      <c r="I3550" s="23" t="e">
        <f>VLOOKUP(H3550,'合同综合查询数据（3月返）'!$A:$A,1,FALSE)</f>
        <v>#N/A</v>
      </c>
      <c r="J3550" s="24" t="s">
        <v>33</v>
      </c>
      <c r="K3550" s="94" t="s">
        <v>4615</v>
      </c>
      <c r="L3550" s="94" t="s">
        <v>4616</v>
      </c>
      <c r="M3550" s="249" t="s">
        <v>4617</v>
      </c>
      <c r="N3550" s="106"/>
      <c r="O3550" s="94" t="s">
        <v>152</v>
      </c>
      <c r="P3550" s="297">
        <v>0</v>
      </c>
      <c r="Q3550" s="273">
        <v>0</v>
      </c>
      <c r="R3550" s="268">
        <f t="shared" si="83"/>
        <v>0</v>
      </c>
      <c r="S3550" s="24">
        <v>202303</v>
      </c>
      <c r="T3550" s="327" t="s">
        <v>4620</v>
      </c>
      <c r="U3550" s="129"/>
      <c r="V3550" s="321"/>
      <c r="W3550" s="129"/>
      <c r="X3550" s="106">
        <v>44621</v>
      </c>
      <c r="Y3550" s="106">
        <v>44985</v>
      </c>
    </row>
    <row r="3551" s="9" customFormat="1" customHeight="1" spans="1:25">
      <c r="A3551" s="96" t="s">
        <v>129</v>
      </c>
      <c r="B3551" s="96" t="s">
        <v>4074</v>
      </c>
      <c r="C3551" s="96" t="s">
        <v>2998</v>
      </c>
      <c r="D3551" s="94" t="s">
        <v>4178</v>
      </c>
      <c r="E3551" s="23" t="s">
        <v>4573</v>
      </c>
      <c r="F3551" s="94" t="s">
        <v>4574</v>
      </c>
      <c r="G3551" s="96" t="s">
        <v>88</v>
      </c>
      <c r="H3551" s="97" t="s">
        <v>4614</v>
      </c>
      <c r="I3551" s="23" t="e">
        <f>VLOOKUP(H3551,'合同综合查询数据（3月返）'!$A:$A,1,FALSE)</f>
        <v>#N/A</v>
      </c>
      <c r="J3551" s="24" t="s">
        <v>126</v>
      </c>
      <c r="K3551" s="94" t="s">
        <v>4615</v>
      </c>
      <c r="L3551" s="94" t="s">
        <v>4616</v>
      </c>
      <c r="M3551" s="249" t="s">
        <v>4617</v>
      </c>
      <c r="N3551" s="106">
        <v>44257</v>
      </c>
      <c r="O3551" s="28" t="s">
        <v>92</v>
      </c>
      <c r="P3551" s="297">
        <v>4000</v>
      </c>
      <c r="Q3551" s="273">
        <v>4</v>
      </c>
      <c r="R3551" s="268">
        <f t="shared" si="83"/>
        <v>16000</v>
      </c>
      <c r="S3551" s="24">
        <v>202303</v>
      </c>
      <c r="T3551" s="327" t="s">
        <v>4621</v>
      </c>
      <c r="U3551" s="129"/>
      <c r="V3551" s="321"/>
      <c r="W3551" s="129"/>
      <c r="X3551" s="106">
        <v>44621</v>
      </c>
      <c r="Y3551" s="106">
        <v>44985</v>
      </c>
    </row>
    <row r="3552" s="9" customFormat="1" customHeight="1" spans="1:25">
      <c r="A3552" s="96" t="s">
        <v>129</v>
      </c>
      <c r="B3552" s="96" t="s">
        <v>4074</v>
      </c>
      <c r="C3552" s="96" t="s">
        <v>2998</v>
      </c>
      <c r="D3552" s="94" t="s">
        <v>4178</v>
      </c>
      <c r="E3552" s="23" t="s">
        <v>4573</v>
      </c>
      <c r="F3552" s="94" t="s">
        <v>4574</v>
      </c>
      <c r="G3552" s="96" t="s">
        <v>88</v>
      </c>
      <c r="H3552" s="97" t="s">
        <v>4614</v>
      </c>
      <c r="I3552" s="23" t="e">
        <f>VLOOKUP(H3552,'合同综合查询数据（3月返）'!$A:$A,1,FALSE)</f>
        <v>#N/A</v>
      </c>
      <c r="J3552" s="24" t="s">
        <v>126</v>
      </c>
      <c r="K3552" s="94" t="s">
        <v>4615</v>
      </c>
      <c r="L3552" s="94" t="s">
        <v>4616</v>
      </c>
      <c r="M3552" s="249" t="s">
        <v>4617</v>
      </c>
      <c r="N3552" s="106">
        <v>44742</v>
      </c>
      <c r="O3552" s="28" t="s">
        <v>92</v>
      </c>
      <c r="P3552" s="297">
        <v>4000</v>
      </c>
      <c r="Q3552" s="273">
        <v>-4</v>
      </c>
      <c r="R3552" s="268">
        <f t="shared" si="83"/>
        <v>-16000</v>
      </c>
      <c r="S3552" s="24">
        <v>202303</v>
      </c>
      <c r="T3552" s="327" t="s">
        <v>4622</v>
      </c>
      <c r="U3552" s="129"/>
      <c r="V3552" s="321"/>
      <c r="W3552" s="129"/>
      <c r="X3552" s="106">
        <v>44621</v>
      </c>
      <c r="Y3552" s="106">
        <v>44985</v>
      </c>
    </row>
    <row r="3553" s="9" customFormat="1" customHeight="1" spans="1:25">
      <c r="A3553" s="104" t="s">
        <v>25</v>
      </c>
      <c r="B3553" s="94" t="s">
        <v>4074</v>
      </c>
      <c r="C3553" s="94" t="s">
        <v>2998</v>
      </c>
      <c r="D3553" s="94" t="s">
        <v>4178</v>
      </c>
      <c r="E3553" s="105" t="s">
        <v>4573</v>
      </c>
      <c r="F3553" s="96" t="s">
        <v>4574</v>
      </c>
      <c r="G3553" s="96" t="s">
        <v>31</v>
      </c>
      <c r="H3553" s="19" t="s">
        <v>4623</v>
      </c>
      <c r="I3553" s="23" t="e">
        <f>VLOOKUP(H3553,'合同综合查询数据（3月返）'!$A:$A,1,FALSE)</f>
        <v>#N/A</v>
      </c>
      <c r="J3553" s="24" t="s">
        <v>33</v>
      </c>
      <c r="K3553" s="96" t="s">
        <v>3510</v>
      </c>
      <c r="L3553" s="114" t="s">
        <v>4624</v>
      </c>
      <c r="M3553" s="26" t="s">
        <v>4625</v>
      </c>
      <c r="N3553" s="106">
        <v>44288</v>
      </c>
      <c r="O3553" s="94" t="s">
        <v>37</v>
      </c>
      <c r="P3553" s="268">
        <v>0</v>
      </c>
      <c r="Q3553" s="273">
        <v>288</v>
      </c>
      <c r="R3553" s="268">
        <f t="shared" si="83"/>
        <v>0</v>
      </c>
      <c r="S3553" s="24">
        <v>202303</v>
      </c>
      <c r="T3553" s="127" t="s">
        <v>4626</v>
      </c>
      <c r="U3553" s="97"/>
      <c r="V3553" s="128"/>
      <c r="W3553" s="128"/>
      <c r="X3553" s="106">
        <v>44501</v>
      </c>
      <c r="Y3553" s="106">
        <v>44957</v>
      </c>
    </row>
    <row r="3554" s="9" customFormat="1" customHeight="1" spans="1:25">
      <c r="A3554" s="104" t="s">
        <v>25</v>
      </c>
      <c r="B3554" s="94" t="s">
        <v>4074</v>
      </c>
      <c r="C3554" s="94" t="s">
        <v>2998</v>
      </c>
      <c r="D3554" s="94" t="s">
        <v>4178</v>
      </c>
      <c r="E3554" s="105" t="s">
        <v>4573</v>
      </c>
      <c r="F3554" s="96" t="s">
        <v>4574</v>
      </c>
      <c r="G3554" s="96" t="s">
        <v>31</v>
      </c>
      <c r="H3554" s="19" t="s">
        <v>4623</v>
      </c>
      <c r="I3554" s="23" t="e">
        <f>VLOOKUP(H3554,'合同综合查询数据（3月返）'!$A:$A,1,FALSE)</f>
        <v>#N/A</v>
      </c>
      <c r="J3554" s="24" t="s">
        <v>33</v>
      </c>
      <c r="K3554" s="96" t="s">
        <v>3510</v>
      </c>
      <c r="L3554" s="114" t="s">
        <v>4624</v>
      </c>
      <c r="M3554" s="26" t="s">
        <v>4625</v>
      </c>
      <c r="N3554" s="106">
        <v>44561</v>
      </c>
      <c r="O3554" s="94" t="s">
        <v>37</v>
      </c>
      <c r="P3554" s="268">
        <v>0</v>
      </c>
      <c r="Q3554" s="273">
        <v>-288</v>
      </c>
      <c r="R3554" s="268">
        <f t="shared" si="83"/>
        <v>0</v>
      </c>
      <c r="S3554" s="24">
        <v>202303</v>
      </c>
      <c r="T3554" s="127" t="s">
        <v>4356</v>
      </c>
      <c r="U3554" s="97"/>
      <c r="V3554" s="128"/>
      <c r="W3554" s="128"/>
      <c r="X3554" s="106">
        <v>44501</v>
      </c>
      <c r="Y3554" s="106">
        <v>44957</v>
      </c>
    </row>
    <row r="3555" s="9" customFormat="1" customHeight="1" spans="1:25">
      <c r="A3555" s="104" t="s">
        <v>25</v>
      </c>
      <c r="B3555" s="94" t="s">
        <v>4074</v>
      </c>
      <c r="C3555" s="94" t="s">
        <v>2998</v>
      </c>
      <c r="D3555" s="94" t="s">
        <v>4178</v>
      </c>
      <c r="E3555" s="105" t="s">
        <v>4573</v>
      </c>
      <c r="F3555" s="96" t="s">
        <v>4574</v>
      </c>
      <c r="G3555" s="96" t="s">
        <v>31</v>
      </c>
      <c r="H3555" s="19" t="s">
        <v>4623</v>
      </c>
      <c r="I3555" s="23" t="e">
        <f>VLOOKUP(H3555,'合同综合查询数据（3月返）'!$A:$A,1,FALSE)</f>
        <v>#N/A</v>
      </c>
      <c r="J3555" s="24" t="s">
        <v>33</v>
      </c>
      <c r="K3555" s="96" t="s">
        <v>3510</v>
      </c>
      <c r="L3555" s="114" t="s">
        <v>4624</v>
      </c>
      <c r="M3555" s="26" t="s">
        <v>4625</v>
      </c>
      <c r="N3555" s="106"/>
      <c r="O3555" s="94" t="s">
        <v>152</v>
      </c>
      <c r="P3555" s="268">
        <v>0</v>
      </c>
      <c r="Q3555" s="273">
        <v>0</v>
      </c>
      <c r="R3555" s="268">
        <f t="shared" ref="R3555:R3618" si="84">ROUND(P3555*Q3555,2)</f>
        <v>0</v>
      </c>
      <c r="S3555" s="24">
        <v>202303</v>
      </c>
      <c r="T3555" s="127" t="s">
        <v>4627</v>
      </c>
      <c r="U3555" s="97"/>
      <c r="V3555" s="128"/>
      <c r="W3555" s="128"/>
      <c r="X3555" s="106">
        <v>44501</v>
      </c>
      <c r="Y3555" s="106">
        <v>44957</v>
      </c>
    </row>
    <row r="3556" s="9" customFormat="1" customHeight="1" spans="1:25">
      <c r="A3556" s="104" t="s">
        <v>25</v>
      </c>
      <c r="B3556" s="94" t="s">
        <v>4074</v>
      </c>
      <c r="C3556" s="94" t="s">
        <v>2998</v>
      </c>
      <c r="D3556" s="94" t="s">
        <v>4178</v>
      </c>
      <c r="E3556" s="105" t="s">
        <v>4573</v>
      </c>
      <c r="F3556" s="96" t="s">
        <v>4574</v>
      </c>
      <c r="G3556" s="96" t="s">
        <v>88</v>
      </c>
      <c r="H3556" s="19" t="s">
        <v>4623</v>
      </c>
      <c r="I3556" s="23" t="e">
        <f>VLOOKUP(H3556,'合同综合查询数据（3月返）'!$A:$A,1,FALSE)</f>
        <v>#N/A</v>
      </c>
      <c r="J3556" s="24" t="s">
        <v>126</v>
      </c>
      <c r="K3556" s="96" t="s">
        <v>3510</v>
      </c>
      <c r="L3556" s="114" t="s">
        <v>4624</v>
      </c>
      <c r="M3556" s="26" t="s">
        <v>4625</v>
      </c>
      <c r="N3556" s="106">
        <v>44288</v>
      </c>
      <c r="O3556" s="94" t="s">
        <v>92</v>
      </c>
      <c r="P3556" s="268">
        <v>4500</v>
      </c>
      <c r="Q3556" s="273">
        <v>6</v>
      </c>
      <c r="R3556" s="268">
        <f t="shared" si="84"/>
        <v>27000</v>
      </c>
      <c r="S3556" s="24">
        <v>202303</v>
      </c>
      <c r="T3556" s="127" t="s">
        <v>4628</v>
      </c>
      <c r="U3556" s="97"/>
      <c r="V3556" s="128"/>
      <c r="W3556" s="128"/>
      <c r="X3556" s="106">
        <v>44501</v>
      </c>
      <c r="Y3556" s="106">
        <v>44957</v>
      </c>
    </row>
    <row r="3557" s="9" customFormat="1" customHeight="1" spans="1:25">
      <c r="A3557" s="104" t="s">
        <v>25</v>
      </c>
      <c r="B3557" s="94" t="s">
        <v>4074</v>
      </c>
      <c r="C3557" s="94" t="s">
        <v>2998</v>
      </c>
      <c r="D3557" s="94" t="s">
        <v>4178</v>
      </c>
      <c r="E3557" s="105" t="s">
        <v>4573</v>
      </c>
      <c r="F3557" s="96" t="s">
        <v>4574</v>
      </c>
      <c r="G3557" s="96" t="s">
        <v>88</v>
      </c>
      <c r="H3557" s="19" t="s">
        <v>4623</v>
      </c>
      <c r="I3557" s="23" t="e">
        <f>VLOOKUP(H3557,'合同综合查询数据（3月返）'!$A:$A,1,FALSE)</f>
        <v>#N/A</v>
      </c>
      <c r="J3557" s="24" t="s">
        <v>126</v>
      </c>
      <c r="K3557" s="96" t="s">
        <v>3510</v>
      </c>
      <c r="L3557" s="114" t="s">
        <v>4624</v>
      </c>
      <c r="M3557" s="26" t="s">
        <v>4625</v>
      </c>
      <c r="N3557" s="106">
        <v>44561</v>
      </c>
      <c r="O3557" s="94" t="s">
        <v>92</v>
      </c>
      <c r="P3557" s="268">
        <v>4500</v>
      </c>
      <c r="Q3557" s="273">
        <v>-6</v>
      </c>
      <c r="R3557" s="268">
        <f t="shared" si="84"/>
        <v>-27000</v>
      </c>
      <c r="S3557" s="24">
        <v>202303</v>
      </c>
      <c r="T3557" s="127" t="s">
        <v>4629</v>
      </c>
      <c r="U3557" s="97"/>
      <c r="V3557" s="128"/>
      <c r="W3557" s="128"/>
      <c r="X3557" s="106">
        <v>44501</v>
      </c>
      <c r="Y3557" s="106">
        <v>44957</v>
      </c>
    </row>
    <row r="3558" s="9" customFormat="1" customHeight="1" spans="1:25">
      <c r="A3558" s="104" t="s">
        <v>25</v>
      </c>
      <c r="B3558" s="94" t="s">
        <v>4074</v>
      </c>
      <c r="C3558" s="94" t="s">
        <v>1854</v>
      </c>
      <c r="D3558" s="94" t="s">
        <v>4178</v>
      </c>
      <c r="E3558" s="105" t="s">
        <v>4573</v>
      </c>
      <c r="F3558" s="96" t="s">
        <v>4574</v>
      </c>
      <c r="G3558" s="96" t="s">
        <v>31</v>
      </c>
      <c r="H3558" s="19" t="s">
        <v>4630</v>
      </c>
      <c r="I3558" s="23" t="e">
        <f>VLOOKUP(H3558,'合同综合查询数据（3月返）'!$A:$A,1,FALSE)</f>
        <v>#N/A</v>
      </c>
      <c r="J3558" s="24" t="s">
        <v>33</v>
      </c>
      <c r="K3558" s="96" t="s">
        <v>4631</v>
      </c>
      <c r="L3558" s="114" t="s">
        <v>4632</v>
      </c>
      <c r="M3558" s="26" t="s">
        <v>4633</v>
      </c>
      <c r="N3558" s="106">
        <v>44287</v>
      </c>
      <c r="O3558" s="94" t="s">
        <v>37</v>
      </c>
      <c r="P3558" s="268">
        <v>0</v>
      </c>
      <c r="Q3558" s="273">
        <v>288</v>
      </c>
      <c r="R3558" s="268">
        <f t="shared" si="84"/>
        <v>0</v>
      </c>
      <c r="S3558" s="24">
        <v>202303</v>
      </c>
      <c r="T3558" s="127" t="s">
        <v>4634</v>
      </c>
      <c r="U3558" s="97"/>
      <c r="V3558" s="128"/>
      <c r="W3558" s="128"/>
      <c r="X3558" s="106">
        <v>44835</v>
      </c>
      <c r="Y3558" s="106">
        <v>44957</v>
      </c>
    </row>
    <row r="3559" s="9" customFormat="1" customHeight="1" spans="1:25">
      <c r="A3559" s="104" t="s">
        <v>25</v>
      </c>
      <c r="B3559" s="94" t="s">
        <v>4074</v>
      </c>
      <c r="C3559" s="94" t="s">
        <v>1854</v>
      </c>
      <c r="D3559" s="94" t="s">
        <v>4178</v>
      </c>
      <c r="E3559" s="105" t="s">
        <v>4573</v>
      </c>
      <c r="F3559" s="96" t="s">
        <v>4574</v>
      </c>
      <c r="G3559" s="96" t="s">
        <v>31</v>
      </c>
      <c r="H3559" s="19" t="s">
        <v>4630</v>
      </c>
      <c r="I3559" s="23" t="e">
        <f>VLOOKUP(H3559,'合同综合查询数据（3月返）'!$A:$A,1,FALSE)</f>
        <v>#N/A</v>
      </c>
      <c r="J3559" s="24" t="s">
        <v>33</v>
      </c>
      <c r="K3559" s="96" t="s">
        <v>4631</v>
      </c>
      <c r="L3559" s="114" t="s">
        <v>4632</v>
      </c>
      <c r="M3559" s="26" t="s">
        <v>4633</v>
      </c>
      <c r="N3559" s="106">
        <v>44957</v>
      </c>
      <c r="O3559" s="94" t="s">
        <v>37</v>
      </c>
      <c r="P3559" s="268">
        <v>0</v>
      </c>
      <c r="Q3559" s="273">
        <v>-288</v>
      </c>
      <c r="R3559" s="268">
        <f t="shared" si="84"/>
        <v>0</v>
      </c>
      <c r="S3559" s="24">
        <v>202303</v>
      </c>
      <c r="T3559" s="127" t="s">
        <v>4635</v>
      </c>
      <c r="U3559" s="97"/>
      <c r="V3559" s="128"/>
      <c r="W3559" s="128"/>
      <c r="X3559" s="106">
        <v>44835</v>
      </c>
      <c r="Y3559" s="106">
        <v>44957</v>
      </c>
    </row>
    <row r="3560" s="9" customFormat="1" customHeight="1" spans="1:25">
      <c r="A3560" s="104" t="s">
        <v>25</v>
      </c>
      <c r="B3560" s="94" t="s">
        <v>4074</v>
      </c>
      <c r="C3560" s="94" t="s">
        <v>1854</v>
      </c>
      <c r="D3560" s="94" t="s">
        <v>4178</v>
      </c>
      <c r="E3560" s="105" t="s">
        <v>4573</v>
      </c>
      <c r="F3560" s="96" t="s">
        <v>4574</v>
      </c>
      <c r="G3560" s="96" t="s">
        <v>31</v>
      </c>
      <c r="H3560" s="19" t="s">
        <v>4630</v>
      </c>
      <c r="I3560" s="23" t="e">
        <f>VLOOKUP(H3560,'合同综合查询数据（3月返）'!$A:$A,1,FALSE)</f>
        <v>#N/A</v>
      </c>
      <c r="J3560" s="24" t="s">
        <v>33</v>
      </c>
      <c r="K3560" s="96" t="s">
        <v>4631</v>
      </c>
      <c r="L3560" s="114" t="s">
        <v>4632</v>
      </c>
      <c r="M3560" s="26" t="s">
        <v>4633</v>
      </c>
      <c r="N3560" s="106"/>
      <c r="O3560" s="94" t="s">
        <v>152</v>
      </c>
      <c r="P3560" s="268">
        <v>0</v>
      </c>
      <c r="Q3560" s="273">
        <v>0</v>
      </c>
      <c r="R3560" s="268">
        <f t="shared" si="84"/>
        <v>0</v>
      </c>
      <c r="S3560" s="24">
        <v>202303</v>
      </c>
      <c r="T3560" s="127" t="s">
        <v>4636</v>
      </c>
      <c r="U3560" s="97"/>
      <c r="V3560" s="128"/>
      <c r="W3560" s="128"/>
      <c r="X3560" s="106">
        <v>44835</v>
      </c>
      <c r="Y3560" s="106">
        <v>44957</v>
      </c>
    </row>
    <row r="3561" s="9" customFormat="1" customHeight="1" spans="1:25">
      <c r="A3561" s="104" t="s">
        <v>25</v>
      </c>
      <c r="B3561" s="94" t="s">
        <v>4074</v>
      </c>
      <c r="C3561" s="94" t="s">
        <v>1854</v>
      </c>
      <c r="D3561" s="94" t="s">
        <v>4178</v>
      </c>
      <c r="E3561" s="105" t="s">
        <v>4573</v>
      </c>
      <c r="F3561" s="96" t="s">
        <v>4574</v>
      </c>
      <c r="G3561" s="96" t="s">
        <v>88</v>
      </c>
      <c r="H3561" s="19" t="s">
        <v>4630</v>
      </c>
      <c r="I3561" s="23" t="e">
        <f>VLOOKUP(H3561,'合同综合查询数据（3月返）'!$A:$A,1,FALSE)</f>
        <v>#N/A</v>
      </c>
      <c r="J3561" s="24" t="s">
        <v>126</v>
      </c>
      <c r="K3561" s="96" t="s">
        <v>4631</v>
      </c>
      <c r="L3561" s="114" t="s">
        <v>4632</v>
      </c>
      <c r="M3561" s="26" t="s">
        <v>4633</v>
      </c>
      <c r="N3561" s="106">
        <v>44287</v>
      </c>
      <c r="O3561" s="94" t="s">
        <v>92</v>
      </c>
      <c r="P3561" s="268">
        <v>4500</v>
      </c>
      <c r="Q3561" s="273">
        <v>4</v>
      </c>
      <c r="R3561" s="268">
        <f t="shared" si="84"/>
        <v>18000</v>
      </c>
      <c r="S3561" s="24">
        <v>202303</v>
      </c>
      <c r="T3561" s="127" t="s">
        <v>4637</v>
      </c>
      <c r="U3561" s="97"/>
      <c r="V3561" s="128"/>
      <c r="W3561" s="128"/>
      <c r="X3561" s="106">
        <v>44835</v>
      </c>
      <c r="Y3561" s="106">
        <v>44957</v>
      </c>
    </row>
    <row r="3562" s="9" customFormat="1" customHeight="1" spans="1:25">
      <c r="A3562" s="104" t="s">
        <v>25</v>
      </c>
      <c r="B3562" s="94" t="s">
        <v>4074</v>
      </c>
      <c r="C3562" s="94" t="s">
        <v>1854</v>
      </c>
      <c r="D3562" s="94" t="s">
        <v>4178</v>
      </c>
      <c r="E3562" s="105" t="s">
        <v>4573</v>
      </c>
      <c r="F3562" s="96" t="s">
        <v>4574</v>
      </c>
      <c r="G3562" s="96" t="s">
        <v>88</v>
      </c>
      <c r="H3562" s="19" t="s">
        <v>4630</v>
      </c>
      <c r="I3562" s="23" t="e">
        <f>VLOOKUP(H3562,'合同综合查询数据（3月返）'!$A:$A,1,FALSE)</f>
        <v>#N/A</v>
      </c>
      <c r="J3562" s="24" t="s">
        <v>126</v>
      </c>
      <c r="K3562" s="96" t="s">
        <v>4631</v>
      </c>
      <c r="L3562" s="114" t="s">
        <v>4632</v>
      </c>
      <c r="M3562" s="26" t="s">
        <v>4633</v>
      </c>
      <c r="N3562" s="106">
        <v>44957</v>
      </c>
      <c r="O3562" s="94" t="s">
        <v>92</v>
      </c>
      <c r="P3562" s="268">
        <v>4500</v>
      </c>
      <c r="Q3562" s="273">
        <v>-4</v>
      </c>
      <c r="R3562" s="268">
        <f t="shared" si="84"/>
        <v>-18000</v>
      </c>
      <c r="S3562" s="24">
        <v>202303</v>
      </c>
      <c r="T3562" s="127" t="s">
        <v>4635</v>
      </c>
      <c r="U3562" s="97"/>
      <c r="V3562" s="128"/>
      <c r="W3562" s="128"/>
      <c r="X3562" s="106">
        <v>44835</v>
      </c>
      <c r="Y3562" s="106">
        <v>44957</v>
      </c>
    </row>
    <row r="3563" s="9" customFormat="1" customHeight="1" spans="1:25">
      <c r="A3563" s="104" t="s">
        <v>25</v>
      </c>
      <c r="B3563" s="94" t="s">
        <v>4074</v>
      </c>
      <c r="C3563" s="94" t="s">
        <v>44</v>
      </c>
      <c r="D3563" s="94" t="s">
        <v>4178</v>
      </c>
      <c r="E3563" s="105" t="s">
        <v>4573</v>
      </c>
      <c r="F3563" s="96" t="s">
        <v>4574</v>
      </c>
      <c r="G3563" s="96" t="s">
        <v>31</v>
      </c>
      <c r="H3563" s="19" t="s">
        <v>4638</v>
      </c>
      <c r="I3563" s="23" t="e">
        <f>VLOOKUP(H3563,'合同综合查询数据（3月返）'!$A:$A,1,FALSE)</f>
        <v>#N/A</v>
      </c>
      <c r="J3563" s="24" t="s">
        <v>33</v>
      </c>
      <c r="K3563" s="96" t="s">
        <v>264</v>
      </c>
      <c r="L3563" s="114" t="s">
        <v>4639</v>
      </c>
      <c r="M3563" s="26" t="s">
        <v>4640</v>
      </c>
      <c r="N3563" s="106">
        <v>44287</v>
      </c>
      <c r="O3563" s="94" t="s">
        <v>37</v>
      </c>
      <c r="P3563" s="297">
        <v>0</v>
      </c>
      <c r="Q3563" s="273">
        <v>288</v>
      </c>
      <c r="R3563" s="268">
        <f t="shared" si="84"/>
        <v>0</v>
      </c>
      <c r="S3563" s="24">
        <v>202303</v>
      </c>
      <c r="T3563" s="127" t="s">
        <v>4641</v>
      </c>
      <c r="U3563" s="97"/>
      <c r="V3563" s="128"/>
      <c r="W3563" s="128"/>
      <c r="X3563" s="106">
        <v>44835</v>
      </c>
      <c r="Y3563" s="106">
        <v>44957</v>
      </c>
    </row>
    <row r="3564" s="9" customFormat="1" customHeight="1" spans="1:25">
      <c r="A3564" s="104" t="s">
        <v>25</v>
      </c>
      <c r="B3564" s="94" t="s">
        <v>4074</v>
      </c>
      <c r="C3564" s="94" t="s">
        <v>44</v>
      </c>
      <c r="D3564" s="94" t="s">
        <v>4178</v>
      </c>
      <c r="E3564" s="105" t="s">
        <v>4573</v>
      </c>
      <c r="F3564" s="96" t="s">
        <v>4574</v>
      </c>
      <c r="G3564" s="96" t="s">
        <v>31</v>
      </c>
      <c r="H3564" s="19" t="s">
        <v>4638</v>
      </c>
      <c r="I3564" s="23" t="e">
        <f>VLOOKUP(H3564,'合同综合查询数据（3月返）'!$A:$A,1,FALSE)</f>
        <v>#N/A</v>
      </c>
      <c r="J3564" s="24" t="s">
        <v>33</v>
      </c>
      <c r="K3564" s="96" t="s">
        <v>264</v>
      </c>
      <c r="L3564" s="114" t="s">
        <v>4639</v>
      </c>
      <c r="M3564" s="26" t="s">
        <v>4640</v>
      </c>
      <c r="N3564" s="106">
        <v>44957</v>
      </c>
      <c r="O3564" s="94" t="s">
        <v>37</v>
      </c>
      <c r="P3564" s="297">
        <v>0</v>
      </c>
      <c r="Q3564" s="273">
        <v>-288</v>
      </c>
      <c r="R3564" s="268">
        <f t="shared" si="84"/>
        <v>0</v>
      </c>
      <c r="S3564" s="24">
        <v>202303</v>
      </c>
      <c r="T3564" s="127" t="s">
        <v>4635</v>
      </c>
      <c r="U3564" s="97"/>
      <c r="V3564" s="128"/>
      <c r="W3564" s="128"/>
      <c r="X3564" s="106">
        <v>44835</v>
      </c>
      <c r="Y3564" s="106">
        <v>44957</v>
      </c>
    </row>
    <row r="3565" s="9" customFormat="1" customHeight="1" spans="1:25">
      <c r="A3565" s="104" t="s">
        <v>25</v>
      </c>
      <c r="B3565" s="94" t="s">
        <v>4074</v>
      </c>
      <c r="C3565" s="94" t="s">
        <v>44</v>
      </c>
      <c r="D3565" s="94" t="s">
        <v>4178</v>
      </c>
      <c r="E3565" s="105" t="s">
        <v>4573</v>
      </c>
      <c r="F3565" s="96" t="s">
        <v>4574</v>
      </c>
      <c r="G3565" s="96" t="s">
        <v>31</v>
      </c>
      <c r="H3565" s="19" t="s">
        <v>4638</v>
      </c>
      <c r="I3565" s="23" t="e">
        <f>VLOOKUP(H3565,'合同综合查询数据（3月返）'!$A:$A,1,FALSE)</f>
        <v>#N/A</v>
      </c>
      <c r="J3565" s="24" t="s">
        <v>33</v>
      </c>
      <c r="K3565" s="96" t="s">
        <v>264</v>
      </c>
      <c r="L3565" s="114" t="s">
        <v>4639</v>
      </c>
      <c r="M3565" s="26" t="s">
        <v>4640</v>
      </c>
      <c r="N3565" s="106"/>
      <c r="O3565" s="94" t="s">
        <v>152</v>
      </c>
      <c r="P3565" s="297">
        <v>0</v>
      </c>
      <c r="Q3565" s="273">
        <v>0</v>
      </c>
      <c r="R3565" s="268">
        <f t="shared" si="84"/>
        <v>0</v>
      </c>
      <c r="S3565" s="24">
        <v>202303</v>
      </c>
      <c r="T3565" s="127" t="s">
        <v>4642</v>
      </c>
      <c r="U3565" s="97"/>
      <c r="V3565" s="128"/>
      <c r="W3565" s="128"/>
      <c r="X3565" s="106">
        <v>44835</v>
      </c>
      <c r="Y3565" s="106">
        <v>44957</v>
      </c>
    </row>
    <row r="3566" s="9" customFormat="1" customHeight="1" spans="1:25">
      <c r="A3566" s="104" t="s">
        <v>25</v>
      </c>
      <c r="B3566" s="94" t="s">
        <v>4074</v>
      </c>
      <c r="C3566" s="94" t="s">
        <v>44</v>
      </c>
      <c r="D3566" s="94" t="s">
        <v>4178</v>
      </c>
      <c r="E3566" s="105" t="s">
        <v>4573</v>
      </c>
      <c r="F3566" s="96" t="s">
        <v>4574</v>
      </c>
      <c r="G3566" s="96" t="s">
        <v>88</v>
      </c>
      <c r="H3566" s="19" t="s">
        <v>4638</v>
      </c>
      <c r="I3566" s="23" t="e">
        <f>VLOOKUP(H3566,'合同综合查询数据（3月返）'!$A:$A,1,FALSE)</f>
        <v>#N/A</v>
      </c>
      <c r="J3566" s="24" t="s">
        <v>126</v>
      </c>
      <c r="K3566" s="96" t="s">
        <v>264</v>
      </c>
      <c r="L3566" s="114" t="s">
        <v>4639</v>
      </c>
      <c r="M3566" s="26" t="s">
        <v>4640</v>
      </c>
      <c r="N3566" s="106">
        <v>44287</v>
      </c>
      <c r="O3566" s="94" t="s">
        <v>92</v>
      </c>
      <c r="P3566" s="268">
        <v>4500</v>
      </c>
      <c r="Q3566" s="273">
        <v>5</v>
      </c>
      <c r="R3566" s="268">
        <f t="shared" si="84"/>
        <v>22500</v>
      </c>
      <c r="S3566" s="24">
        <v>202303</v>
      </c>
      <c r="T3566" s="127" t="s">
        <v>4643</v>
      </c>
      <c r="U3566" s="97"/>
      <c r="V3566" s="128"/>
      <c r="W3566" s="128"/>
      <c r="X3566" s="106">
        <v>44835</v>
      </c>
      <c r="Y3566" s="106">
        <v>44957</v>
      </c>
    </row>
    <row r="3567" s="10" customFormat="1" customHeight="1" spans="1:25">
      <c r="A3567" s="103" t="s">
        <v>25</v>
      </c>
      <c r="B3567" s="62" t="s">
        <v>4074</v>
      </c>
      <c r="C3567" s="62" t="s">
        <v>44</v>
      </c>
      <c r="D3567" s="62" t="s">
        <v>4178</v>
      </c>
      <c r="E3567" s="63" t="s">
        <v>4573</v>
      </c>
      <c r="F3567" s="60" t="s">
        <v>4574</v>
      </c>
      <c r="G3567" s="60" t="s">
        <v>88</v>
      </c>
      <c r="H3567" s="45" t="s">
        <v>4644</v>
      </c>
      <c r="I3567" s="47" t="e">
        <f>VLOOKUP(H3567,'合同综合查询数据（3月返）'!$A:$A,1,FALSE)</f>
        <v>#N/A</v>
      </c>
      <c r="J3567" s="48" t="s">
        <v>126</v>
      </c>
      <c r="K3567" s="60" t="s">
        <v>264</v>
      </c>
      <c r="L3567" s="113" t="s">
        <v>4639</v>
      </c>
      <c r="M3567" s="50" t="s">
        <v>4640</v>
      </c>
      <c r="N3567" s="111">
        <v>44936</v>
      </c>
      <c r="O3567" s="62" t="s">
        <v>92</v>
      </c>
      <c r="P3567" s="266">
        <v>4500</v>
      </c>
      <c r="Q3567" s="270">
        <v>1</v>
      </c>
      <c r="R3567" s="266">
        <f t="shared" si="84"/>
        <v>4500</v>
      </c>
      <c r="S3567" s="48">
        <v>202303</v>
      </c>
      <c r="T3567" s="125" t="s">
        <v>4645</v>
      </c>
      <c r="U3567" s="102"/>
      <c r="V3567" s="126"/>
      <c r="W3567" s="126"/>
      <c r="X3567" s="111"/>
      <c r="Y3567" s="111"/>
    </row>
    <row r="3568" s="9" customFormat="1" customHeight="1" spans="1:25">
      <c r="A3568" s="104" t="s">
        <v>25</v>
      </c>
      <c r="B3568" s="94" t="s">
        <v>4074</v>
      </c>
      <c r="C3568" s="94" t="s">
        <v>44</v>
      </c>
      <c r="D3568" s="94" t="s">
        <v>4178</v>
      </c>
      <c r="E3568" s="105" t="s">
        <v>4573</v>
      </c>
      <c r="F3568" s="96" t="s">
        <v>4574</v>
      </c>
      <c r="G3568" s="96" t="s">
        <v>88</v>
      </c>
      <c r="H3568" s="19" t="s">
        <v>4638</v>
      </c>
      <c r="I3568" s="23" t="e">
        <f>VLOOKUP(H3568,'合同综合查询数据（3月返）'!$A:$A,1,FALSE)</f>
        <v>#N/A</v>
      </c>
      <c r="J3568" s="24" t="s">
        <v>126</v>
      </c>
      <c r="K3568" s="96" t="s">
        <v>264</v>
      </c>
      <c r="L3568" s="114" t="s">
        <v>4639</v>
      </c>
      <c r="M3568" s="26" t="s">
        <v>4640</v>
      </c>
      <c r="N3568" s="106">
        <v>44957</v>
      </c>
      <c r="O3568" s="94" t="s">
        <v>92</v>
      </c>
      <c r="P3568" s="268">
        <v>4500</v>
      </c>
      <c r="Q3568" s="273">
        <v>-5</v>
      </c>
      <c r="R3568" s="268">
        <f t="shared" si="84"/>
        <v>-22500</v>
      </c>
      <c r="S3568" s="24">
        <v>202303</v>
      </c>
      <c r="T3568" s="127" t="s">
        <v>4635</v>
      </c>
      <c r="U3568" s="97"/>
      <c r="V3568" s="128"/>
      <c r="W3568" s="128"/>
      <c r="X3568" s="106">
        <v>44835</v>
      </c>
      <c r="Y3568" s="106">
        <v>44957</v>
      </c>
    </row>
    <row r="3569" s="10" customFormat="1" customHeight="1" spans="1:25">
      <c r="A3569" s="103" t="s">
        <v>25</v>
      </c>
      <c r="B3569" s="62" t="s">
        <v>4074</v>
      </c>
      <c r="C3569" s="62" t="s">
        <v>44</v>
      </c>
      <c r="D3569" s="62" t="s">
        <v>4178</v>
      </c>
      <c r="E3569" s="63" t="s">
        <v>4573</v>
      </c>
      <c r="F3569" s="60" t="s">
        <v>4574</v>
      </c>
      <c r="G3569" s="60" t="s">
        <v>88</v>
      </c>
      <c r="H3569" s="45" t="s">
        <v>4644</v>
      </c>
      <c r="I3569" s="47" t="e">
        <f>VLOOKUP(H3569,'合同综合查询数据（3月返）'!$A:$A,1,FALSE)</f>
        <v>#N/A</v>
      </c>
      <c r="J3569" s="48" t="s">
        <v>126</v>
      </c>
      <c r="K3569" s="60" t="s">
        <v>264</v>
      </c>
      <c r="L3569" s="113" t="s">
        <v>4639</v>
      </c>
      <c r="M3569" s="50" t="s">
        <v>4640</v>
      </c>
      <c r="N3569" s="111">
        <v>44957</v>
      </c>
      <c r="O3569" s="62" t="s">
        <v>92</v>
      </c>
      <c r="P3569" s="266">
        <v>4500</v>
      </c>
      <c r="Q3569" s="270">
        <v>-1</v>
      </c>
      <c r="R3569" s="266">
        <f t="shared" si="84"/>
        <v>-4500</v>
      </c>
      <c r="S3569" s="48">
        <v>202303</v>
      </c>
      <c r="T3569" s="125" t="s">
        <v>4635</v>
      </c>
      <c r="U3569" s="102"/>
      <c r="V3569" s="126"/>
      <c r="W3569" s="126"/>
      <c r="X3569" s="111"/>
      <c r="Y3569" s="111"/>
    </row>
    <row r="3570" s="9" customFormat="1" customHeight="1" spans="1:25">
      <c r="A3570" s="96" t="s">
        <v>129</v>
      </c>
      <c r="B3570" s="94" t="s">
        <v>4074</v>
      </c>
      <c r="C3570" s="94" t="s">
        <v>283</v>
      </c>
      <c r="D3570" s="94" t="s">
        <v>4178</v>
      </c>
      <c r="E3570" s="105" t="s">
        <v>4573</v>
      </c>
      <c r="F3570" s="96" t="s">
        <v>4574</v>
      </c>
      <c r="G3570" s="96" t="s">
        <v>31</v>
      </c>
      <c r="H3570" s="19" t="s">
        <v>4646</v>
      </c>
      <c r="I3570" s="23" t="e">
        <f>VLOOKUP(H3570,'合同综合查询数据（3月返）'!$A:$A,1,FALSE)</f>
        <v>#N/A</v>
      </c>
      <c r="J3570" s="24" t="s">
        <v>33</v>
      </c>
      <c r="K3570" s="96" t="s">
        <v>4647</v>
      </c>
      <c r="L3570" s="114" t="s">
        <v>4648</v>
      </c>
      <c r="M3570" s="26" t="s">
        <v>4649</v>
      </c>
      <c r="N3570" s="106">
        <v>44470</v>
      </c>
      <c r="O3570" s="94" t="s">
        <v>37</v>
      </c>
      <c r="P3570" s="268">
        <v>0</v>
      </c>
      <c r="Q3570" s="273">
        <v>288</v>
      </c>
      <c r="R3570" s="268">
        <f t="shared" si="84"/>
        <v>0</v>
      </c>
      <c r="S3570" s="24">
        <v>202303</v>
      </c>
      <c r="T3570" s="127" t="s">
        <v>4650</v>
      </c>
      <c r="U3570" s="97"/>
      <c r="V3570" s="128"/>
      <c r="W3570" s="128"/>
      <c r="X3570" s="106">
        <v>44470</v>
      </c>
      <c r="Y3570" s="106">
        <v>44834</v>
      </c>
    </row>
    <row r="3571" s="9" customFormat="1" customHeight="1" spans="1:25">
      <c r="A3571" s="96" t="s">
        <v>129</v>
      </c>
      <c r="B3571" s="94" t="s">
        <v>4074</v>
      </c>
      <c r="C3571" s="94" t="s">
        <v>283</v>
      </c>
      <c r="D3571" s="94" t="s">
        <v>4178</v>
      </c>
      <c r="E3571" s="105" t="s">
        <v>4573</v>
      </c>
      <c r="F3571" s="96" t="s">
        <v>4574</v>
      </c>
      <c r="G3571" s="96" t="s">
        <v>31</v>
      </c>
      <c r="H3571" s="19" t="s">
        <v>4646</v>
      </c>
      <c r="I3571" s="23" t="e">
        <f>VLOOKUP(H3571,'合同综合查询数据（3月返）'!$A:$A,1,FALSE)</f>
        <v>#N/A</v>
      </c>
      <c r="J3571" s="24" t="s">
        <v>33</v>
      </c>
      <c r="K3571" s="96" t="s">
        <v>4647</v>
      </c>
      <c r="L3571" s="114" t="s">
        <v>4648</v>
      </c>
      <c r="M3571" s="26" t="s">
        <v>4649</v>
      </c>
      <c r="N3571" s="106">
        <v>44712</v>
      </c>
      <c r="O3571" s="94" t="s">
        <v>37</v>
      </c>
      <c r="P3571" s="268">
        <v>0</v>
      </c>
      <c r="Q3571" s="273">
        <v>-288</v>
      </c>
      <c r="R3571" s="268">
        <f t="shared" si="84"/>
        <v>0</v>
      </c>
      <c r="S3571" s="24">
        <v>202303</v>
      </c>
      <c r="T3571" s="127" t="s">
        <v>4651</v>
      </c>
      <c r="U3571" s="97"/>
      <c r="V3571" s="128"/>
      <c r="W3571" s="128"/>
      <c r="X3571" s="227">
        <v>44470</v>
      </c>
      <c r="Y3571" s="28">
        <v>44834</v>
      </c>
    </row>
    <row r="3572" s="9" customFormat="1" customHeight="1" spans="1:25">
      <c r="A3572" s="96" t="s">
        <v>129</v>
      </c>
      <c r="B3572" s="94" t="s">
        <v>4074</v>
      </c>
      <c r="C3572" s="94" t="s">
        <v>283</v>
      </c>
      <c r="D3572" s="94" t="s">
        <v>4178</v>
      </c>
      <c r="E3572" s="105" t="s">
        <v>4573</v>
      </c>
      <c r="F3572" s="96" t="s">
        <v>4574</v>
      </c>
      <c r="G3572" s="96" t="s">
        <v>31</v>
      </c>
      <c r="H3572" s="19" t="s">
        <v>4646</v>
      </c>
      <c r="I3572" s="23" t="e">
        <f>VLOOKUP(H3572,'合同综合查询数据（3月返）'!$A:$A,1,FALSE)</f>
        <v>#N/A</v>
      </c>
      <c r="J3572" s="24" t="s">
        <v>33</v>
      </c>
      <c r="K3572" s="96" t="s">
        <v>4647</v>
      </c>
      <c r="L3572" s="114" t="s">
        <v>4648</v>
      </c>
      <c r="M3572" s="26" t="s">
        <v>4649</v>
      </c>
      <c r="N3572" s="106"/>
      <c r="O3572" s="94" t="s">
        <v>152</v>
      </c>
      <c r="P3572" s="268">
        <v>0</v>
      </c>
      <c r="Q3572" s="273">
        <v>0</v>
      </c>
      <c r="R3572" s="268">
        <f t="shared" si="84"/>
        <v>0</v>
      </c>
      <c r="S3572" s="24">
        <v>202303</v>
      </c>
      <c r="T3572" s="127" t="s">
        <v>4652</v>
      </c>
      <c r="U3572" s="97"/>
      <c r="V3572" s="128"/>
      <c r="W3572" s="128"/>
      <c r="X3572" s="106">
        <v>44470</v>
      </c>
      <c r="Y3572" s="106">
        <v>44834</v>
      </c>
    </row>
    <row r="3573" s="9" customFormat="1" customHeight="1" spans="1:25">
      <c r="A3573" s="96" t="s">
        <v>129</v>
      </c>
      <c r="B3573" s="94" t="s">
        <v>4074</v>
      </c>
      <c r="C3573" s="94" t="s">
        <v>283</v>
      </c>
      <c r="D3573" s="94" t="s">
        <v>4178</v>
      </c>
      <c r="E3573" s="105" t="s">
        <v>4573</v>
      </c>
      <c r="F3573" s="96" t="s">
        <v>4574</v>
      </c>
      <c r="G3573" s="96" t="s">
        <v>88</v>
      </c>
      <c r="H3573" s="19" t="s">
        <v>4646</v>
      </c>
      <c r="I3573" s="23" t="e">
        <f>VLOOKUP(H3573,'合同综合查询数据（3月返）'!$A:$A,1,FALSE)</f>
        <v>#N/A</v>
      </c>
      <c r="J3573" s="24" t="s">
        <v>126</v>
      </c>
      <c r="K3573" s="96" t="s">
        <v>4647</v>
      </c>
      <c r="L3573" s="114" t="s">
        <v>4648</v>
      </c>
      <c r="M3573" s="26" t="s">
        <v>4649</v>
      </c>
      <c r="N3573" s="106">
        <v>44470</v>
      </c>
      <c r="O3573" s="94" t="s">
        <v>92</v>
      </c>
      <c r="P3573" s="268">
        <v>4000</v>
      </c>
      <c r="Q3573" s="273">
        <v>3</v>
      </c>
      <c r="R3573" s="268">
        <f t="shared" si="84"/>
        <v>12000</v>
      </c>
      <c r="S3573" s="24">
        <v>202303</v>
      </c>
      <c r="T3573" s="127" t="s">
        <v>4653</v>
      </c>
      <c r="U3573" s="97"/>
      <c r="V3573" s="128"/>
      <c r="W3573" s="128"/>
      <c r="X3573" s="106">
        <v>44470</v>
      </c>
      <c r="Y3573" s="106">
        <v>44834</v>
      </c>
    </row>
    <row r="3574" s="9" customFormat="1" customHeight="1" spans="1:25">
      <c r="A3574" s="96" t="s">
        <v>129</v>
      </c>
      <c r="B3574" s="94" t="s">
        <v>4074</v>
      </c>
      <c r="C3574" s="94" t="s">
        <v>283</v>
      </c>
      <c r="D3574" s="94" t="s">
        <v>4178</v>
      </c>
      <c r="E3574" s="105" t="s">
        <v>4573</v>
      </c>
      <c r="F3574" s="96" t="s">
        <v>4574</v>
      </c>
      <c r="G3574" s="96" t="s">
        <v>88</v>
      </c>
      <c r="H3574" s="19" t="s">
        <v>4646</v>
      </c>
      <c r="I3574" s="23" t="e">
        <f>VLOOKUP(H3574,'合同综合查询数据（3月返）'!$A:$A,1,FALSE)</f>
        <v>#N/A</v>
      </c>
      <c r="J3574" s="24" t="s">
        <v>126</v>
      </c>
      <c r="K3574" s="96" t="s">
        <v>4647</v>
      </c>
      <c r="L3574" s="114" t="s">
        <v>4648</v>
      </c>
      <c r="M3574" s="26" t="s">
        <v>4649</v>
      </c>
      <c r="N3574" s="106">
        <v>44712</v>
      </c>
      <c r="O3574" s="94" t="s">
        <v>92</v>
      </c>
      <c r="P3574" s="268">
        <v>4000</v>
      </c>
      <c r="Q3574" s="273">
        <v>-3</v>
      </c>
      <c r="R3574" s="268">
        <f t="shared" si="84"/>
        <v>-12000</v>
      </c>
      <c r="S3574" s="24">
        <v>202303</v>
      </c>
      <c r="T3574" s="127" t="s">
        <v>4654</v>
      </c>
      <c r="U3574" s="97"/>
      <c r="V3574" s="128"/>
      <c r="W3574" s="128"/>
      <c r="X3574" s="227">
        <v>44470</v>
      </c>
      <c r="Y3574" s="28">
        <v>44834</v>
      </c>
    </row>
    <row r="3575" s="9" customFormat="1" customHeight="1" spans="1:25">
      <c r="A3575" s="104" t="s">
        <v>25</v>
      </c>
      <c r="B3575" s="94" t="s">
        <v>4074</v>
      </c>
      <c r="C3575" s="94" t="s">
        <v>2998</v>
      </c>
      <c r="D3575" s="94" t="s">
        <v>4178</v>
      </c>
      <c r="E3575" s="105" t="s">
        <v>4573</v>
      </c>
      <c r="F3575" s="96" t="s">
        <v>4574</v>
      </c>
      <c r="G3575" s="96" t="s">
        <v>31</v>
      </c>
      <c r="H3575" s="19" t="s">
        <v>4623</v>
      </c>
      <c r="I3575" s="23" t="e">
        <f>VLOOKUP(H3575,'合同综合查询数据（3月返）'!$A:$A,1,FALSE)</f>
        <v>#N/A</v>
      </c>
      <c r="J3575" s="24" t="s">
        <v>33</v>
      </c>
      <c r="K3575" s="96" t="s">
        <v>3042</v>
      </c>
      <c r="L3575" s="114" t="s">
        <v>4655</v>
      </c>
      <c r="M3575" s="26" t="s">
        <v>4656</v>
      </c>
      <c r="N3575" s="106">
        <v>44562</v>
      </c>
      <c r="O3575" s="94" t="s">
        <v>37</v>
      </c>
      <c r="P3575" s="268">
        <v>0</v>
      </c>
      <c r="Q3575" s="273">
        <v>288</v>
      </c>
      <c r="R3575" s="268">
        <f t="shared" si="84"/>
        <v>0</v>
      </c>
      <c r="S3575" s="24">
        <v>202303</v>
      </c>
      <c r="T3575" s="127" t="s">
        <v>4657</v>
      </c>
      <c r="U3575" s="97"/>
      <c r="V3575" s="128"/>
      <c r="W3575" s="128"/>
      <c r="X3575" s="106">
        <v>44501</v>
      </c>
      <c r="Y3575" s="106">
        <v>44957</v>
      </c>
    </row>
    <row r="3576" s="9" customFormat="1" customHeight="1" spans="1:25">
      <c r="A3576" s="104" t="s">
        <v>25</v>
      </c>
      <c r="B3576" s="94" t="s">
        <v>4074</v>
      </c>
      <c r="C3576" s="94" t="s">
        <v>2998</v>
      </c>
      <c r="D3576" s="94" t="s">
        <v>4178</v>
      </c>
      <c r="E3576" s="105" t="s">
        <v>4573</v>
      </c>
      <c r="F3576" s="96" t="s">
        <v>4574</v>
      </c>
      <c r="G3576" s="96" t="s">
        <v>31</v>
      </c>
      <c r="H3576" s="19" t="s">
        <v>4623</v>
      </c>
      <c r="I3576" s="23" t="e">
        <f>VLOOKUP(H3576,'合同综合查询数据（3月返）'!$A:$A,1,FALSE)</f>
        <v>#N/A</v>
      </c>
      <c r="J3576" s="24" t="s">
        <v>33</v>
      </c>
      <c r="K3576" s="96" t="s">
        <v>3042</v>
      </c>
      <c r="L3576" s="114" t="s">
        <v>4655</v>
      </c>
      <c r="M3576" s="26" t="s">
        <v>4656</v>
      </c>
      <c r="N3576" s="106">
        <v>44811</v>
      </c>
      <c r="O3576" s="94" t="s">
        <v>37</v>
      </c>
      <c r="P3576" s="268">
        <v>0</v>
      </c>
      <c r="Q3576" s="273">
        <v>-128</v>
      </c>
      <c r="R3576" s="268">
        <f t="shared" si="84"/>
        <v>0</v>
      </c>
      <c r="S3576" s="24">
        <v>202303</v>
      </c>
      <c r="T3576" s="127" t="s">
        <v>4658</v>
      </c>
      <c r="U3576" s="97"/>
      <c r="V3576" s="128"/>
      <c r="W3576" s="128"/>
      <c r="X3576" s="106">
        <v>44501</v>
      </c>
      <c r="Y3576" s="106">
        <v>44957</v>
      </c>
    </row>
    <row r="3577" s="9" customFormat="1" customHeight="1" spans="1:25">
      <c r="A3577" s="104" t="s">
        <v>25</v>
      </c>
      <c r="B3577" s="94" t="s">
        <v>4074</v>
      </c>
      <c r="C3577" s="94" t="s">
        <v>2998</v>
      </c>
      <c r="D3577" s="94" t="s">
        <v>4178</v>
      </c>
      <c r="E3577" s="105" t="s">
        <v>4573</v>
      </c>
      <c r="F3577" s="96" t="s">
        <v>4574</v>
      </c>
      <c r="G3577" s="96" t="s">
        <v>31</v>
      </c>
      <c r="H3577" s="19" t="s">
        <v>4623</v>
      </c>
      <c r="I3577" s="23" t="e">
        <f>VLOOKUP(H3577,'合同综合查询数据（3月返）'!$A:$A,1,FALSE)</f>
        <v>#N/A</v>
      </c>
      <c r="J3577" s="24" t="s">
        <v>33</v>
      </c>
      <c r="K3577" s="96" t="s">
        <v>3042</v>
      </c>
      <c r="L3577" s="114" t="s">
        <v>4655</v>
      </c>
      <c r="M3577" s="26" t="s">
        <v>4656</v>
      </c>
      <c r="N3577" s="106">
        <v>44957</v>
      </c>
      <c r="O3577" s="94" t="s">
        <v>37</v>
      </c>
      <c r="P3577" s="268">
        <v>0</v>
      </c>
      <c r="Q3577" s="273">
        <v>-160</v>
      </c>
      <c r="R3577" s="268">
        <f t="shared" si="84"/>
        <v>0</v>
      </c>
      <c r="S3577" s="24">
        <v>202303</v>
      </c>
      <c r="T3577" s="127" t="s">
        <v>4659</v>
      </c>
      <c r="U3577" s="97"/>
      <c r="V3577" s="128"/>
      <c r="W3577" s="128"/>
      <c r="X3577" s="106">
        <v>44501</v>
      </c>
      <c r="Y3577" s="106">
        <v>44957</v>
      </c>
    </row>
    <row r="3578" s="9" customFormat="1" customHeight="1" spans="1:25">
      <c r="A3578" s="104" t="s">
        <v>25</v>
      </c>
      <c r="B3578" s="94" t="s">
        <v>4074</v>
      </c>
      <c r="C3578" s="94" t="s">
        <v>2998</v>
      </c>
      <c r="D3578" s="94" t="s">
        <v>4178</v>
      </c>
      <c r="E3578" s="105" t="s">
        <v>4573</v>
      </c>
      <c r="F3578" s="96" t="s">
        <v>4574</v>
      </c>
      <c r="G3578" s="96" t="s">
        <v>88</v>
      </c>
      <c r="H3578" s="19" t="s">
        <v>4623</v>
      </c>
      <c r="I3578" s="23" t="e">
        <f>VLOOKUP(H3578,'合同综合查询数据（3月返）'!$A:$A,1,FALSE)</f>
        <v>#N/A</v>
      </c>
      <c r="J3578" s="24" t="s">
        <v>126</v>
      </c>
      <c r="K3578" s="96" t="s">
        <v>3042</v>
      </c>
      <c r="L3578" s="114" t="s">
        <v>4655</v>
      </c>
      <c r="M3578" s="26" t="s">
        <v>4656</v>
      </c>
      <c r="N3578" s="106">
        <v>44562</v>
      </c>
      <c r="O3578" s="94" t="s">
        <v>92</v>
      </c>
      <c r="P3578" s="268">
        <v>4500</v>
      </c>
      <c r="Q3578" s="273">
        <v>5</v>
      </c>
      <c r="R3578" s="268">
        <f t="shared" si="84"/>
        <v>22500</v>
      </c>
      <c r="S3578" s="24">
        <v>202303</v>
      </c>
      <c r="T3578" s="127" t="s">
        <v>4660</v>
      </c>
      <c r="U3578" s="97"/>
      <c r="V3578" s="128"/>
      <c r="W3578" s="128"/>
      <c r="X3578" s="106">
        <v>44501</v>
      </c>
      <c r="Y3578" s="106">
        <v>44957</v>
      </c>
    </row>
    <row r="3579" s="9" customFormat="1" customHeight="1" spans="1:25">
      <c r="A3579" s="104" t="s">
        <v>25</v>
      </c>
      <c r="B3579" s="94" t="s">
        <v>4074</v>
      </c>
      <c r="C3579" s="94" t="s">
        <v>2998</v>
      </c>
      <c r="D3579" s="94" t="s">
        <v>4178</v>
      </c>
      <c r="E3579" s="105" t="s">
        <v>4573</v>
      </c>
      <c r="F3579" s="96" t="s">
        <v>4574</v>
      </c>
      <c r="G3579" s="96" t="s">
        <v>88</v>
      </c>
      <c r="H3579" s="19" t="s">
        <v>4623</v>
      </c>
      <c r="I3579" s="23" t="e">
        <f>VLOOKUP(H3579,'合同综合查询数据（3月返）'!$A:$A,1,FALSE)</f>
        <v>#N/A</v>
      </c>
      <c r="J3579" s="24" t="s">
        <v>126</v>
      </c>
      <c r="K3579" s="96" t="s">
        <v>3042</v>
      </c>
      <c r="L3579" s="114" t="s">
        <v>4655</v>
      </c>
      <c r="M3579" s="26" t="s">
        <v>4656</v>
      </c>
      <c r="N3579" s="106">
        <v>44811</v>
      </c>
      <c r="O3579" s="94" t="s">
        <v>92</v>
      </c>
      <c r="P3579" s="268">
        <v>4500</v>
      </c>
      <c r="Q3579" s="273">
        <v>-2</v>
      </c>
      <c r="R3579" s="268">
        <f t="shared" si="84"/>
        <v>-9000</v>
      </c>
      <c r="S3579" s="24">
        <v>202303</v>
      </c>
      <c r="T3579" s="127" t="s">
        <v>4661</v>
      </c>
      <c r="U3579" s="97"/>
      <c r="V3579" s="128"/>
      <c r="W3579" s="128"/>
      <c r="X3579" s="106">
        <v>44501</v>
      </c>
      <c r="Y3579" s="106">
        <v>44957</v>
      </c>
    </row>
    <row r="3580" s="9" customFormat="1" customHeight="1" spans="1:25">
      <c r="A3580" s="104" t="s">
        <v>25</v>
      </c>
      <c r="B3580" s="94" t="s">
        <v>4074</v>
      </c>
      <c r="C3580" s="94" t="s">
        <v>2998</v>
      </c>
      <c r="D3580" s="94" t="s">
        <v>4178</v>
      </c>
      <c r="E3580" s="105" t="s">
        <v>4573</v>
      </c>
      <c r="F3580" s="96" t="s">
        <v>4574</v>
      </c>
      <c r="G3580" s="96" t="s">
        <v>88</v>
      </c>
      <c r="H3580" s="19" t="s">
        <v>4623</v>
      </c>
      <c r="I3580" s="23" t="e">
        <f>VLOOKUP(H3580,'合同综合查询数据（3月返）'!$A:$A,1,FALSE)</f>
        <v>#N/A</v>
      </c>
      <c r="J3580" s="24" t="s">
        <v>126</v>
      </c>
      <c r="K3580" s="96" t="s">
        <v>3042</v>
      </c>
      <c r="L3580" s="114" t="s">
        <v>4655</v>
      </c>
      <c r="M3580" s="26" t="s">
        <v>4656</v>
      </c>
      <c r="N3580" s="106">
        <v>44957</v>
      </c>
      <c r="O3580" s="94" t="s">
        <v>92</v>
      </c>
      <c r="P3580" s="268">
        <v>4500</v>
      </c>
      <c r="Q3580" s="273">
        <v>-3</v>
      </c>
      <c r="R3580" s="268">
        <f t="shared" si="84"/>
        <v>-13500</v>
      </c>
      <c r="S3580" s="24">
        <v>202303</v>
      </c>
      <c r="T3580" s="127" t="s">
        <v>4659</v>
      </c>
      <c r="U3580" s="97"/>
      <c r="V3580" s="128"/>
      <c r="W3580" s="128"/>
      <c r="X3580" s="106">
        <v>44501</v>
      </c>
      <c r="Y3580" s="106">
        <v>44957</v>
      </c>
    </row>
    <row r="3581" s="9" customFormat="1" customHeight="1" spans="1:25">
      <c r="A3581" s="96" t="s">
        <v>109</v>
      </c>
      <c r="B3581" s="94" t="s">
        <v>4074</v>
      </c>
      <c r="C3581" s="94" t="s">
        <v>161</v>
      </c>
      <c r="D3581" s="94" t="s">
        <v>28</v>
      </c>
      <c r="E3581" s="105" t="s">
        <v>4662</v>
      </c>
      <c r="F3581" s="96" t="s">
        <v>4663</v>
      </c>
      <c r="G3581" s="96" t="s">
        <v>31</v>
      </c>
      <c r="H3581" s="19" t="s">
        <v>4664</v>
      </c>
      <c r="I3581" s="23" t="e">
        <f>VLOOKUP(H3581,'合同综合查询数据（3月返）'!$A:$A,1,FALSE)</f>
        <v>#N/A</v>
      </c>
      <c r="J3581" s="24" t="s">
        <v>33</v>
      </c>
      <c r="K3581" s="96" t="s">
        <v>4475</v>
      </c>
      <c r="L3581" s="114" t="s">
        <v>4665</v>
      </c>
      <c r="M3581" s="26" t="s">
        <v>4666</v>
      </c>
      <c r="N3581" s="106">
        <v>44236</v>
      </c>
      <c r="O3581" s="94" t="s">
        <v>37</v>
      </c>
      <c r="P3581" s="268">
        <v>0</v>
      </c>
      <c r="Q3581" s="273">
        <v>288</v>
      </c>
      <c r="R3581" s="268">
        <f t="shared" si="84"/>
        <v>0</v>
      </c>
      <c r="S3581" s="24">
        <v>202303</v>
      </c>
      <c r="T3581" s="127" t="s">
        <v>4667</v>
      </c>
      <c r="U3581" s="97"/>
      <c r="V3581" s="128"/>
      <c r="W3581" s="128"/>
      <c r="X3581" s="227">
        <v>44440</v>
      </c>
      <c r="Y3581" s="227">
        <v>44742</v>
      </c>
    </row>
    <row r="3582" s="9" customFormat="1" customHeight="1" spans="1:25">
      <c r="A3582" s="96" t="s">
        <v>109</v>
      </c>
      <c r="B3582" s="94" t="s">
        <v>4074</v>
      </c>
      <c r="C3582" s="94" t="s">
        <v>161</v>
      </c>
      <c r="D3582" s="94" t="s">
        <v>28</v>
      </c>
      <c r="E3582" s="105" t="s">
        <v>4662</v>
      </c>
      <c r="F3582" s="96" t="s">
        <v>4663</v>
      </c>
      <c r="G3582" s="96" t="s">
        <v>31</v>
      </c>
      <c r="H3582" s="19" t="s">
        <v>4664</v>
      </c>
      <c r="I3582" s="23" t="e">
        <f>VLOOKUP(H3582,'合同综合查询数据（3月返）'!$A:$A,1,FALSE)</f>
        <v>#N/A</v>
      </c>
      <c r="J3582" s="24" t="s">
        <v>33</v>
      </c>
      <c r="K3582" s="96" t="s">
        <v>4475</v>
      </c>
      <c r="L3582" s="114" t="s">
        <v>4665</v>
      </c>
      <c r="M3582" s="26" t="s">
        <v>4666</v>
      </c>
      <c r="N3582" s="106">
        <v>44561</v>
      </c>
      <c r="O3582" s="94" t="s">
        <v>37</v>
      </c>
      <c r="P3582" s="268">
        <v>0</v>
      </c>
      <c r="Q3582" s="273">
        <v>-288</v>
      </c>
      <c r="R3582" s="268">
        <f t="shared" si="84"/>
        <v>0</v>
      </c>
      <c r="S3582" s="24">
        <v>202303</v>
      </c>
      <c r="T3582" s="127" t="s">
        <v>4356</v>
      </c>
      <c r="U3582" s="97"/>
      <c r="V3582" s="128"/>
      <c r="W3582" s="128"/>
      <c r="X3582" s="227">
        <v>44440</v>
      </c>
      <c r="Y3582" s="227">
        <v>44742</v>
      </c>
    </row>
    <row r="3583" s="9" customFormat="1" customHeight="1" spans="1:25">
      <c r="A3583" s="96" t="s">
        <v>109</v>
      </c>
      <c r="B3583" s="94" t="s">
        <v>4074</v>
      </c>
      <c r="C3583" s="94" t="s">
        <v>161</v>
      </c>
      <c r="D3583" s="94" t="s">
        <v>28</v>
      </c>
      <c r="E3583" s="105" t="s">
        <v>4662</v>
      </c>
      <c r="F3583" s="96" t="s">
        <v>4663</v>
      </c>
      <c r="G3583" s="96" t="s">
        <v>31</v>
      </c>
      <c r="H3583" s="19" t="s">
        <v>4664</v>
      </c>
      <c r="I3583" s="23" t="e">
        <f>VLOOKUP(H3583,'合同综合查询数据（3月返）'!$A:$A,1,FALSE)</f>
        <v>#N/A</v>
      </c>
      <c r="J3583" s="24" t="s">
        <v>33</v>
      </c>
      <c r="K3583" s="96" t="s">
        <v>4475</v>
      </c>
      <c r="L3583" s="114" t="s">
        <v>4665</v>
      </c>
      <c r="M3583" s="26" t="s">
        <v>4666</v>
      </c>
      <c r="N3583" s="106"/>
      <c r="O3583" s="94" t="s">
        <v>152</v>
      </c>
      <c r="P3583" s="268">
        <v>0</v>
      </c>
      <c r="Q3583" s="273">
        <v>0</v>
      </c>
      <c r="R3583" s="268">
        <f t="shared" si="84"/>
        <v>0</v>
      </c>
      <c r="S3583" s="24">
        <v>202303</v>
      </c>
      <c r="T3583" s="127" t="s">
        <v>4668</v>
      </c>
      <c r="U3583" s="97"/>
      <c r="V3583" s="128"/>
      <c r="W3583" s="128"/>
      <c r="X3583" s="227">
        <v>44440</v>
      </c>
      <c r="Y3583" s="227">
        <v>44742</v>
      </c>
    </row>
    <row r="3584" s="9" customFormat="1" customHeight="1" spans="1:25">
      <c r="A3584" s="96" t="s">
        <v>109</v>
      </c>
      <c r="B3584" s="94" t="s">
        <v>4074</v>
      </c>
      <c r="C3584" s="94" t="s">
        <v>161</v>
      </c>
      <c r="D3584" s="94" t="s">
        <v>28</v>
      </c>
      <c r="E3584" s="105" t="s">
        <v>4662</v>
      </c>
      <c r="F3584" s="96" t="s">
        <v>4663</v>
      </c>
      <c r="G3584" s="96" t="s">
        <v>88</v>
      </c>
      <c r="H3584" s="19" t="s">
        <v>4664</v>
      </c>
      <c r="I3584" s="23" t="e">
        <f>VLOOKUP(H3584,'合同综合查询数据（3月返）'!$A:$A,1,FALSE)</f>
        <v>#N/A</v>
      </c>
      <c r="J3584" s="24" t="s">
        <v>126</v>
      </c>
      <c r="K3584" s="96" t="s">
        <v>4475</v>
      </c>
      <c r="L3584" s="114" t="s">
        <v>4665</v>
      </c>
      <c r="M3584" s="26" t="s">
        <v>4666</v>
      </c>
      <c r="N3584" s="106">
        <v>44236</v>
      </c>
      <c r="O3584" s="94" t="s">
        <v>127</v>
      </c>
      <c r="P3584" s="268">
        <v>5500</v>
      </c>
      <c r="Q3584" s="273">
        <v>7</v>
      </c>
      <c r="R3584" s="268">
        <f t="shared" si="84"/>
        <v>38500</v>
      </c>
      <c r="S3584" s="24">
        <v>202303</v>
      </c>
      <c r="T3584" s="127" t="s">
        <v>4669</v>
      </c>
      <c r="U3584" s="97"/>
      <c r="V3584" s="128"/>
      <c r="W3584" s="128"/>
      <c r="X3584" s="227">
        <v>44440</v>
      </c>
      <c r="Y3584" s="227">
        <v>44742</v>
      </c>
    </row>
    <row r="3585" s="9" customFormat="1" customHeight="1" spans="1:25">
      <c r="A3585" s="96" t="s">
        <v>109</v>
      </c>
      <c r="B3585" s="94" t="s">
        <v>4074</v>
      </c>
      <c r="C3585" s="94" t="s">
        <v>161</v>
      </c>
      <c r="D3585" s="94" t="s">
        <v>28</v>
      </c>
      <c r="E3585" s="105" t="s">
        <v>4662</v>
      </c>
      <c r="F3585" s="96" t="s">
        <v>4663</v>
      </c>
      <c r="G3585" s="96" t="s">
        <v>88</v>
      </c>
      <c r="H3585" s="19" t="s">
        <v>4664</v>
      </c>
      <c r="I3585" s="23" t="e">
        <f>VLOOKUP(H3585,'合同综合查询数据（3月返）'!$A:$A,1,FALSE)</f>
        <v>#N/A</v>
      </c>
      <c r="J3585" s="24" t="s">
        <v>126</v>
      </c>
      <c r="K3585" s="96" t="s">
        <v>4475</v>
      </c>
      <c r="L3585" s="114" t="s">
        <v>4665</v>
      </c>
      <c r="M3585" s="26" t="s">
        <v>4666</v>
      </c>
      <c r="N3585" s="106">
        <v>44561</v>
      </c>
      <c r="O3585" s="94" t="s">
        <v>127</v>
      </c>
      <c r="P3585" s="268">
        <v>5500</v>
      </c>
      <c r="Q3585" s="273">
        <v>-7</v>
      </c>
      <c r="R3585" s="268">
        <f t="shared" si="84"/>
        <v>-38500</v>
      </c>
      <c r="S3585" s="24">
        <v>202303</v>
      </c>
      <c r="T3585" s="127" t="s">
        <v>4670</v>
      </c>
      <c r="U3585" s="97"/>
      <c r="V3585" s="128"/>
      <c r="W3585" s="128"/>
      <c r="X3585" s="227">
        <v>44440</v>
      </c>
      <c r="Y3585" s="227">
        <v>44742</v>
      </c>
    </row>
    <row r="3586" s="10" customFormat="1" customHeight="1" spans="1:25">
      <c r="A3586" s="103" t="s">
        <v>25</v>
      </c>
      <c r="B3586" s="60" t="s">
        <v>4074</v>
      </c>
      <c r="C3586" s="60" t="s">
        <v>253</v>
      </c>
      <c r="D3586" s="62" t="s">
        <v>28</v>
      </c>
      <c r="E3586" s="63" t="s">
        <v>4671</v>
      </c>
      <c r="F3586" s="60" t="s">
        <v>4672</v>
      </c>
      <c r="G3586" s="60" t="s">
        <v>31</v>
      </c>
      <c r="H3586" s="45" t="s">
        <v>4673</v>
      </c>
      <c r="I3586" s="47" t="e">
        <f>VLOOKUP(H3586,'合同综合查询数据（3月返）'!$A:$A,1,FALSE)</f>
        <v>#N/A</v>
      </c>
      <c r="J3586" s="48" t="s">
        <v>33</v>
      </c>
      <c r="K3586" s="60" t="s">
        <v>4674</v>
      </c>
      <c r="L3586" s="329" t="s">
        <v>4675</v>
      </c>
      <c r="M3586" s="50" t="s">
        <v>4676</v>
      </c>
      <c r="N3586" s="111">
        <v>43774</v>
      </c>
      <c r="O3586" s="62" t="s">
        <v>37</v>
      </c>
      <c r="P3586" s="266">
        <v>0</v>
      </c>
      <c r="Q3586" s="270">
        <v>288</v>
      </c>
      <c r="R3586" s="266">
        <f t="shared" si="84"/>
        <v>0</v>
      </c>
      <c r="S3586" s="48">
        <v>202303</v>
      </c>
      <c r="T3586" s="125" t="s">
        <v>4677</v>
      </c>
      <c r="U3586" s="102"/>
      <c r="V3586" s="126"/>
      <c r="W3586" s="102"/>
      <c r="X3586" s="111"/>
      <c r="Y3586" s="111"/>
    </row>
    <row r="3587" s="10" customFormat="1" customHeight="1" spans="1:25">
      <c r="A3587" s="103" t="s">
        <v>25</v>
      </c>
      <c r="B3587" s="60" t="s">
        <v>4074</v>
      </c>
      <c r="C3587" s="60" t="s">
        <v>253</v>
      </c>
      <c r="D3587" s="62" t="s">
        <v>28</v>
      </c>
      <c r="E3587" s="63" t="s">
        <v>4671</v>
      </c>
      <c r="F3587" s="60" t="s">
        <v>4672</v>
      </c>
      <c r="G3587" s="60" t="s">
        <v>31</v>
      </c>
      <c r="H3587" s="45" t="s">
        <v>4673</v>
      </c>
      <c r="I3587" s="47" t="e">
        <f>VLOOKUP(H3587,'合同综合查询数据（3月返）'!$A:$A,1,FALSE)</f>
        <v>#N/A</v>
      </c>
      <c r="J3587" s="48" t="s">
        <v>33</v>
      </c>
      <c r="K3587" s="60" t="s">
        <v>4674</v>
      </c>
      <c r="L3587" s="329" t="s">
        <v>4675</v>
      </c>
      <c r="M3587" s="50" t="s">
        <v>4676</v>
      </c>
      <c r="N3587" s="111">
        <v>44790</v>
      </c>
      <c r="O3587" s="62" t="s">
        <v>37</v>
      </c>
      <c r="P3587" s="266">
        <v>0</v>
      </c>
      <c r="Q3587" s="270">
        <v>128</v>
      </c>
      <c r="R3587" s="266">
        <f t="shared" si="84"/>
        <v>0</v>
      </c>
      <c r="S3587" s="48">
        <v>202303</v>
      </c>
      <c r="T3587" s="125" t="s">
        <v>4678</v>
      </c>
      <c r="U3587" s="102"/>
      <c r="V3587" s="126"/>
      <c r="W3587" s="102"/>
      <c r="X3587" s="111"/>
      <c r="Y3587" s="111"/>
    </row>
    <row r="3588" s="10" customFormat="1" customHeight="1" spans="1:25">
      <c r="A3588" s="103" t="s">
        <v>25</v>
      </c>
      <c r="B3588" s="60" t="s">
        <v>4074</v>
      </c>
      <c r="C3588" s="60" t="s">
        <v>253</v>
      </c>
      <c r="D3588" s="62" t="s">
        <v>28</v>
      </c>
      <c r="E3588" s="63" t="s">
        <v>4671</v>
      </c>
      <c r="F3588" s="60" t="s">
        <v>4672</v>
      </c>
      <c r="G3588" s="60" t="s">
        <v>31</v>
      </c>
      <c r="H3588" s="45" t="s">
        <v>4673</v>
      </c>
      <c r="I3588" s="47" t="e">
        <f>VLOOKUP(H3588,'合同综合查询数据（3月返）'!$A:$A,1,FALSE)</f>
        <v>#N/A</v>
      </c>
      <c r="J3588" s="48" t="s">
        <v>33</v>
      </c>
      <c r="K3588" s="60" t="s">
        <v>4674</v>
      </c>
      <c r="L3588" s="329" t="s">
        <v>4675</v>
      </c>
      <c r="M3588" s="50" t="s">
        <v>4676</v>
      </c>
      <c r="N3588" s="111">
        <v>44985</v>
      </c>
      <c r="O3588" s="62" t="s">
        <v>37</v>
      </c>
      <c r="P3588" s="266">
        <v>0</v>
      </c>
      <c r="Q3588" s="270">
        <v>-128</v>
      </c>
      <c r="R3588" s="266">
        <f t="shared" si="84"/>
        <v>0</v>
      </c>
      <c r="S3588" s="48">
        <v>202303</v>
      </c>
      <c r="T3588" s="125" t="s">
        <v>4679</v>
      </c>
      <c r="U3588" s="102"/>
      <c r="V3588" s="126"/>
      <c r="W3588" s="102"/>
      <c r="X3588" s="111"/>
      <c r="Y3588" s="111"/>
    </row>
    <row r="3589" s="10" customFormat="1" customHeight="1" spans="1:25">
      <c r="A3589" s="103" t="s">
        <v>25</v>
      </c>
      <c r="B3589" s="60" t="s">
        <v>4074</v>
      </c>
      <c r="C3589" s="60" t="s">
        <v>253</v>
      </c>
      <c r="D3589" s="62" t="s">
        <v>28</v>
      </c>
      <c r="E3589" s="63" t="s">
        <v>4671</v>
      </c>
      <c r="F3589" s="60" t="s">
        <v>4672</v>
      </c>
      <c r="G3589" s="60" t="s">
        <v>31</v>
      </c>
      <c r="H3589" s="45" t="s">
        <v>4673</v>
      </c>
      <c r="I3589" s="47" t="e">
        <f>VLOOKUP(H3589,'合同综合查询数据（3月返）'!$A:$A,1,FALSE)</f>
        <v>#N/A</v>
      </c>
      <c r="J3589" s="48" t="s">
        <v>33</v>
      </c>
      <c r="K3589" s="60" t="s">
        <v>4674</v>
      </c>
      <c r="L3589" s="329" t="s">
        <v>4675</v>
      </c>
      <c r="M3589" s="50" t="s">
        <v>4676</v>
      </c>
      <c r="N3589" s="111"/>
      <c r="O3589" s="62" t="s">
        <v>152</v>
      </c>
      <c r="P3589" s="266">
        <v>0</v>
      </c>
      <c r="Q3589" s="266">
        <v>0</v>
      </c>
      <c r="R3589" s="266">
        <f t="shared" si="84"/>
        <v>0</v>
      </c>
      <c r="S3589" s="48">
        <v>202303</v>
      </c>
      <c r="T3589" s="125" t="s">
        <v>4680</v>
      </c>
      <c r="U3589" s="102"/>
      <c r="V3589" s="126"/>
      <c r="W3589" s="102"/>
      <c r="X3589" s="111"/>
      <c r="Y3589" s="111"/>
    </row>
    <row r="3590" s="10" customFormat="1" customHeight="1" spans="1:25">
      <c r="A3590" s="103" t="s">
        <v>25</v>
      </c>
      <c r="B3590" s="60" t="s">
        <v>4074</v>
      </c>
      <c r="C3590" s="60" t="s">
        <v>253</v>
      </c>
      <c r="D3590" s="62" t="s">
        <v>28</v>
      </c>
      <c r="E3590" s="63" t="s">
        <v>4671</v>
      </c>
      <c r="F3590" s="60" t="s">
        <v>4672</v>
      </c>
      <c r="G3590" s="60" t="s">
        <v>31</v>
      </c>
      <c r="H3590" s="45" t="s">
        <v>4673</v>
      </c>
      <c r="I3590" s="47" t="e">
        <f>VLOOKUP(H3590,'合同综合查询数据（3月返）'!$A:$A,1,FALSE)</f>
        <v>#N/A</v>
      </c>
      <c r="J3590" s="48" t="s">
        <v>33</v>
      </c>
      <c r="K3590" s="60" t="s">
        <v>4674</v>
      </c>
      <c r="L3590" s="329" t="s">
        <v>4675</v>
      </c>
      <c r="M3590" s="50" t="s">
        <v>4676</v>
      </c>
      <c r="N3590" s="111">
        <v>44790</v>
      </c>
      <c r="O3590" s="62" t="s">
        <v>152</v>
      </c>
      <c r="P3590" s="266">
        <v>0</v>
      </c>
      <c r="Q3590" s="266">
        <v>1</v>
      </c>
      <c r="R3590" s="266">
        <f t="shared" si="84"/>
        <v>0</v>
      </c>
      <c r="S3590" s="48">
        <v>202303</v>
      </c>
      <c r="T3590" s="125" t="s">
        <v>4681</v>
      </c>
      <c r="U3590" s="102"/>
      <c r="V3590" s="126"/>
      <c r="W3590" s="102"/>
      <c r="X3590" s="111"/>
      <c r="Y3590" s="111"/>
    </row>
    <row r="3591" s="10" customFormat="1" customHeight="1" spans="1:25">
      <c r="A3591" s="103" t="s">
        <v>25</v>
      </c>
      <c r="B3591" s="60" t="s">
        <v>4074</v>
      </c>
      <c r="C3591" s="60" t="s">
        <v>253</v>
      </c>
      <c r="D3591" s="62" t="s">
        <v>28</v>
      </c>
      <c r="E3591" s="63" t="s">
        <v>4671</v>
      </c>
      <c r="F3591" s="60" t="s">
        <v>4672</v>
      </c>
      <c r="G3591" s="60" t="s">
        <v>31</v>
      </c>
      <c r="H3591" s="45" t="s">
        <v>4673</v>
      </c>
      <c r="I3591" s="47" t="e">
        <f>VLOOKUP(H3591,'合同综合查询数据（3月返）'!$A:$A,1,FALSE)</f>
        <v>#N/A</v>
      </c>
      <c r="J3591" s="48" t="s">
        <v>33</v>
      </c>
      <c r="K3591" s="60" t="s">
        <v>4674</v>
      </c>
      <c r="L3591" s="329" t="s">
        <v>4675</v>
      </c>
      <c r="M3591" s="50" t="s">
        <v>4676</v>
      </c>
      <c r="N3591" s="111">
        <v>44831</v>
      </c>
      <c r="O3591" s="62" t="s">
        <v>152</v>
      </c>
      <c r="P3591" s="266">
        <v>0</v>
      </c>
      <c r="Q3591" s="266">
        <v>1</v>
      </c>
      <c r="R3591" s="266">
        <f t="shared" si="84"/>
        <v>0</v>
      </c>
      <c r="S3591" s="48">
        <v>202303</v>
      </c>
      <c r="T3591" s="125" t="s">
        <v>4682</v>
      </c>
      <c r="U3591" s="102"/>
      <c r="V3591" s="126"/>
      <c r="W3591" s="102"/>
      <c r="X3591" s="111"/>
      <c r="Y3591" s="111"/>
    </row>
    <row r="3592" s="10" customFormat="1" customHeight="1" spans="1:25">
      <c r="A3592" s="103" t="s">
        <v>25</v>
      </c>
      <c r="B3592" s="60" t="s">
        <v>4074</v>
      </c>
      <c r="C3592" s="60" t="s">
        <v>253</v>
      </c>
      <c r="D3592" s="62" t="s">
        <v>28</v>
      </c>
      <c r="E3592" s="63" t="s">
        <v>4671</v>
      </c>
      <c r="F3592" s="60" t="s">
        <v>4672</v>
      </c>
      <c r="G3592" s="60" t="s">
        <v>88</v>
      </c>
      <c r="H3592" s="45" t="s">
        <v>4673</v>
      </c>
      <c r="I3592" s="47" t="e">
        <f>VLOOKUP(H3592,'合同综合查询数据（3月返）'!$A:$A,1,FALSE)</f>
        <v>#N/A</v>
      </c>
      <c r="J3592" s="48" t="s">
        <v>126</v>
      </c>
      <c r="K3592" s="60" t="s">
        <v>4674</v>
      </c>
      <c r="L3592" s="329" t="s">
        <v>4675</v>
      </c>
      <c r="M3592" s="50" t="s">
        <v>4676</v>
      </c>
      <c r="N3592" s="111">
        <v>43774</v>
      </c>
      <c r="O3592" s="62" t="s">
        <v>92</v>
      </c>
      <c r="P3592" s="266">
        <v>0</v>
      </c>
      <c r="Q3592" s="270">
        <v>5</v>
      </c>
      <c r="R3592" s="266">
        <f t="shared" si="84"/>
        <v>0</v>
      </c>
      <c r="S3592" s="48">
        <v>202303</v>
      </c>
      <c r="T3592" s="125" t="s">
        <v>4683</v>
      </c>
      <c r="U3592" s="102"/>
      <c r="V3592" s="126"/>
      <c r="W3592" s="102"/>
      <c r="X3592" s="111"/>
      <c r="Y3592" s="111"/>
    </row>
    <row r="3593" s="10" customFormat="1" customHeight="1" spans="1:25">
      <c r="A3593" s="103" t="s">
        <v>25</v>
      </c>
      <c r="B3593" s="60" t="s">
        <v>4074</v>
      </c>
      <c r="C3593" s="60" t="s">
        <v>253</v>
      </c>
      <c r="D3593" s="62" t="s">
        <v>28</v>
      </c>
      <c r="E3593" s="63" t="s">
        <v>4671</v>
      </c>
      <c r="F3593" s="60" t="s">
        <v>4672</v>
      </c>
      <c r="G3593" s="60" t="s">
        <v>88</v>
      </c>
      <c r="H3593" s="45" t="s">
        <v>4673</v>
      </c>
      <c r="I3593" s="47" t="e">
        <f>VLOOKUP(H3593,'合同综合查询数据（3月返）'!$A:$A,1,FALSE)</f>
        <v>#N/A</v>
      </c>
      <c r="J3593" s="48" t="s">
        <v>126</v>
      </c>
      <c r="K3593" s="60" t="s">
        <v>4674</v>
      </c>
      <c r="L3593" s="329" t="s">
        <v>4675</v>
      </c>
      <c r="M3593" s="50" t="s">
        <v>4676</v>
      </c>
      <c r="N3593" s="111">
        <v>44140</v>
      </c>
      <c r="O3593" s="62" t="s">
        <v>92</v>
      </c>
      <c r="P3593" s="266">
        <v>0</v>
      </c>
      <c r="Q3593" s="270">
        <v>2</v>
      </c>
      <c r="R3593" s="266">
        <f t="shared" si="84"/>
        <v>0</v>
      </c>
      <c r="S3593" s="48">
        <v>202303</v>
      </c>
      <c r="T3593" s="125" t="s">
        <v>4684</v>
      </c>
      <c r="U3593" s="102"/>
      <c r="V3593" s="126"/>
      <c r="W3593" s="102"/>
      <c r="X3593" s="111"/>
      <c r="Y3593" s="111"/>
    </row>
    <row r="3594" s="10" customFormat="1" customHeight="1" spans="1:25">
      <c r="A3594" s="103" t="s">
        <v>25</v>
      </c>
      <c r="B3594" s="60" t="s">
        <v>4074</v>
      </c>
      <c r="C3594" s="60" t="s">
        <v>253</v>
      </c>
      <c r="D3594" s="62" t="s">
        <v>28</v>
      </c>
      <c r="E3594" s="63" t="s">
        <v>4671</v>
      </c>
      <c r="F3594" s="60" t="s">
        <v>4672</v>
      </c>
      <c r="G3594" s="60" t="s">
        <v>88</v>
      </c>
      <c r="H3594" s="45" t="s">
        <v>4673</v>
      </c>
      <c r="I3594" s="47" t="e">
        <f>VLOOKUP(H3594,'合同综合查询数据（3月返）'!$A:$A,1,FALSE)</f>
        <v>#N/A</v>
      </c>
      <c r="J3594" s="48" t="s">
        <v>126</v>
      </c>
      <c r="K3594" s="60" t="s">
        <v>4674</v>
      </c>
      <c r="L3594" s="329" t="s">
        <v>4675</v>
      </c>
      <c r="M3594" s="50" t="s">
        <v>4676</v>
      </c>
      <c r="N3594" s="111">
        <v>44396</v>
      </c>
      <c r="O3594" s="62" t="s">
        <v>92</v>
      </c>
      <c r="P3594" s="266">
        <v>0</v>
      </c>
      <c r="Q3594" s="270">
        <v>-1</v>
      </c>
      <c r="R3594" s="266">
        <f t="shared" si="84"/>
        <v>0</v>
      </c>
      <c r="S3594" s="48">
        <v>202303</v>
      </c>
      <c r="T3594" s="125" t="s">
        <v>4685</v>
      </c>
      <c r="U3594" s="102"/>
      <c r="V3594" s="126"/>
      <c r="W3594" s="102"/>
      <c r="X3594" s="111"/>
      <c r="Y3594" s="111"/>
    </row>
    <row r="3595" s="10" customFormat="1" customHeight="1" spans="1:25">
      <c r="A3595" s="103" t="s">
        <v>25</v>
      </c>
      <c r="B3595" s="60" t="s">
        <v>4074</v>
      </c>
      <c r="C3595" s="60" t="s">
        <v>253</v>
      </c>
      <c r="D3595" s="62" t="s">
        <v>28</v>
      </c>
      <c r="E3595" s="63" t="s">
        <v>4671</v>
      </c>
      <c r="F3595" s="60" t="s">
        <v>4672</v>
      </c>
      <c r="G3595" s="60" t="s">
        <v>88</v>
      </c>
      <c r="H3595" s="45" t="s">
        <v>4673</v>
      </c>
      <c r="I3595" s="47" t="e">
        <f>VLOOKUP(H3595,'合同综合查询数据（3月返）'!$A:$A,1,FALSE)</f>
        <v>#N/A</v>
      </c>
      <c r="J3595" s="48" t="s">
        <v>126</v>
      </c>
      <c r="K3595" s="60" t="s">
        <v>4674</v>
      </c>
      <c r="L3595" s="329" t="s">
        <v>4675</v>
      </c>
      <c r="M3595" s="50" t="s">
        <v>4676</v>
      </c>
      <c r="N3595" s="111">
        <v>44790</v>
      </c>
      <c r="O3595" s="62" t="s">
        <v>92</v>
      </c>
      <c r="P3595" s="266">
        <v>0</v>
      </c>
      <c r="Q3595" s="270">
        <v>2</v>
      </c>
      <c r="R3595" s="266">
        <f t="shared" si="84"/>
        <v>0</v>
      </c>
      <c r="S3595" s="48">
        <v>202303</v>
      </c>
      <c r="T3595" s="125" t="s">
        <v>4686</v>
      </c>
      <c r="U3595" s="102"/>
      <c r="V3595" s="126"/>
      <c r="W3595" s="102"/>
      <c r="X3595" s="111"/>
      <c r="Y3595" s="111"/>
    </row>
    <row r="3596" s="10" customFormat="1" customHeight="1" spans="1:25">
      <c r="A3596" s="103" t="s">
        <v>25</v>
      </c>
      <c r="B3596" s="60" t="s">
        <v>4074</v>
      </c>
      <c r="C3596" s="60" t="s">
        <v>253</v>
      </c>
      <c r="D3596" s="62" t="s">
        <v>28</v>
      </c>
      <c r="E3596" s="63" t="s">
        <v>4671</v>
      </c>
      <c r="F3596" s="60" t="s">
        <v>4672</v>
      </c>
      <c r="G3596" s="60" t="s">
        <v>88</v>
      </c>
      <c r="H3596" s="45" t="s">
        <v>4673</v>
      </c>
      <c r="I3596" s="47" t="e">
        <f>VLOOKUP(H3596,'合同综合查询数据（3月返）'!$A:$A,1,FALSE)</f>
        <v>#N/A</v>
      </c>
      <c r="J3596" s="48" t="s">
        <v>126</v>
      </c>
      <c r="K3596" s="60" t="s">
        <v>4674</v>
      </c>
      <c r="L3596" s="329" t="s">
        <v>4675</v>
      </c>
      <c r="M3596" s="50" t="s">
        <v>4676</v>
      </c>
      <c r="N3596" s="111">
        <v>44831</v>
      </c>
      <c r="O3596" s="62" t="s">
        <v>92</v>
      </c>
      <c r="P3596" s="266">
        <v>0</v>
      </c>
      <c r="Q3596" s="270">
        <v>1</v>
      </c>
      <c r="R3596" s="266">
        <f t="shared" si="84"/>
        <v>0</v>
      </c>
      <c r="S3596" s="48">
        <v>202303</v>
      </c>
      <c r="T3596" s="125" t="s">
        <v>4687</v>
      </c>
      <c r="U3596" s="102"/>
      <c r="V3596" s="126"/>
      <c r="W3596" s="102"/>
      <c r="X3596" s="111"/>
      <c r="Y3596" s="111"/>
    </row>
    <row r="3597" s="10" customFormat="1" customHeight="1" spans="1:25">
      <c r="A3597" s="103" t="s">
        <v>25</v>
      </c>
      <c r="B3597" s="60" t="s">
        <v>4074</v>
      </c>
      <c r="C3597" s="60" t="s">
        <v>253</v>
      </c>
      <c r="D3597" s="62" t="s">
        <v>28</v>
      </c>
      <c r="E3597" s="63" t="s">
        <v>4671</v>
      </c>
      <c r="F3597" s="60" t="s">
        <v>4672</v>
      </c>
      <c r="G3597" s="60" t="s">
        <v>88</v>
      </c>
      <c r="H3597" s="45" t="s">
        <v>4673</v>
      </c>
      <c r="I3597" s="47" t="e">
        <f>VLOOKUP(H3597,'合同综合查询数据（3月返）'!$A:$A,1,FALSE)</f>
        <v>#N/A</v>
      </c>
      <c r="J3597" s="48" t="s">
        <v>126</v>
      </c>
      <c r="K3597" s="60" t="s">
        <v>4674</v>
      </c>
      <c r="L3597" s="329" t="s">
        <v>4675</v>
      </c>
      <c r="M3597" s="50" t="s">
        <v>4676</v>
      </c>
      <c r="N3597" s="111">
        <v>44985</v>
      </c>
      <c r="O3597" s="62" t="s">
        <v>92</v>
      </c>
      <c r="P3597" s="266">
        <v>0</v>
      </c>
      <c r="Q3597" s="320">
        <v>-3</v>
      </c>
      <c r="R3597" s="266">
        <f t="shared" si="84"/>
        <v>0</v>
      </c>
      <c r="S3597" s="48">
        <v>202303</v>
      </c>
      <c r="T3597" s="125" t="s">
        <v>4688</v>
      </c>
      <c r="U3597" s="102"/>
      <c r="V3597" s="325"/>
      <c r="W3597" s="102"/>
      <c r="X3597" s="111"/>
      <c r="Y3597" s="111"/>
    </row>
    <row r="3598" s="9" customFormat="1" customHeight="1" spans="1:25">
      <c r="A3598" s="96" t="s">
        <v>25</v>
      </c>
      <c r="B3598" s="96" t="s">
        <v>4074</v>
      </c>
      <c r="C3598" s="96" t="s">
        <v>44</v>
      </c>
      <c r="D3598" s="94" t="s">
        <v>4178</v>
      </c>
      <c r="E3598" s="105" t="s">
        <v>4689</v>
      </c>
      <c r="F3598" s="96" t="s">
        <v>4690</v>
      </c>
      <c r="G3598" s="96" t="s">
        <v>31</v>
      </c>
      <c r="H3598" s="19" t="s">
        <v>4691</v>
      </c>
      <c r="I3598" s="23" t="e">
        <f>VLOOKUP(H3598,'合同综合查询数据（3月返）'!$A:$A,1,FALSE)</f>
        <v>#N/A</v>
      </c>
      <c r="J3598" s="24" t="s">
        <v>33</v>
      </c>
      <c r="K3598" s="96" t="s">
        <v>4692</v>
      </c>
      <c r="L3598" s="114" t="s">
        <v>4693</v>
      </c>
      <c r="M3598" s="26" t="s">
        <v>4694</v>
      </c>
      <c r="N3598" s="106">
        <v>43282</v>
      </c>
      <c r="O3598" s="311" t="s">
        <v>37</v>
      </c>
      <c r="P3598" s="268">
        <v>0</v>
      </c>
      <c r="Q3598" s="273">
        <v>288</v>
      </c>
      <c r="R3598" s="268">
        <f t="shared" si="84"/>
        <v>0</v>
      </c>
      <c r="S3598" s="24">
        <v>202303</v>
      </c>
      <c r="T3598" s="127" t="s">
        <v>4695</v>
      </c>
      <c r="U3598" s="40"/>
      <c r="V3598" s="40"/>
      <c r="W3598" s="40"/>
      <c r="X3598" s="286">
        <v>44743</v>
      </c>
      <c r="Y3598" s="311">
        <v>45016</v>
      </c>
    </row>
    <row r="3599" s="9" customFormat="1" customHeight="1" spans="1:25">
      <c r="A3599" s="96" t="s">
        <v>25</v>
      </c>
      <c r="B3599" s="96" t="s">
        <v>4074</v>
      </c>
      <c r="C3599" s="96" t="s">
        <v>44</v>
      </c>
      <c r="D3599" s="94" t="s">
        <v>4178</v>
      </c>
      <c r="E3599" s="105" t="s">
        <v>4689</v>
      </c>
      <c r="F3599" s="96" t="s">
        <v>4690</v>
      </c>
      <c r="G3599" s="96" t="s">
        <v>31</v>
      </c>
      <c r="H3599" s="19" t="s">
        <v>4691</v>
      </c>
      <c r="I3599" s="23" t="e">
        <f>VLOOKUP(H3599,'合同综合查询数据（3月返）'!$A:$A,1,FALSE)</f>
        <v>#N/A</v>
      </c>
      <c r="J3599" s="24" t="s">
        <v>33</v>
      </c>
      <c r="K3599" s="96" t="s">
        <v>4692</v>
      </c>
      <c r="L3599" s="114" t="s">
        <v>4693</v>
      </c>
      <c r="M3599" s="26" t="s">
        <v>4694</v>
      </c>
      <c r="N3599" s="40"/>
      <c r="O3599" s="94" t="s">
        <v>152</v>
      </c>
      <c r="P3599" s="268">
        <v>0</v>
      </c>
      <c r="Q3599" s="273">
        <v>0</v>
      </c>
      <c r="R3599" s="268">
        <f t="shared" si="84"/>
        <v>0</v>
      </c>
      <c r="S3599" s="24">
        <v>202303</v>
      </c>
      <c r="T3599" s="127" t="s">
        <v>4188</v>
      </c>
      <c r="U3599" s="40"/>
      <c r="V3599" s="40"/>
      <c r="W3599" s="40"/>
      <c r="X3599" s="286">
        <v>44743</v>
      </c>
      <c r="Y3599" s="311">
        <v>45016</v>
      </c>
    </row>
    <row r="3600" s="9" customFormat="1" customHeight="1" spans="1:25">
      <c r="A3600" s="96" t="s">
        <v>25</v>
      </c>
      <c r="B3600" s="96" t="s">
        <v>4074</v>
      </c>
      <c r="C3600" s="96" t="s">
        <v>44</v>
      </c>
      <c r="D3600" s="94" t="s">
        <v>4178</v>
      </c>
      <c r="E3600" s="105" t="s">
        <v>4689</v>
      </c>
      <c r="F3600" s="96" t="s">
        <v>4690</v>
      </c>
      <c r="G3600" s="96" t="s">
        <v>88</v>
      </c>
      <c r="H3600" s="19" t="s">
        <v>4691</v>
      </c>
      <c r="I3600" s="23" t="e">
        <f>VLOOKUP(H3600,'合同综合查询数据（3月返）'!$A:$A,1,FALSE)</f>
        <v>#N/A</v>
      </c>
      <c r="J3600" s="24" t="s">
        <v>126</v>
      </c>
      <c r="K3600" s="96" t="s">
        <v>4692</v>
      </c>
      <c r="L3600" s="114" t="s">
        <v>4693</v>
      </c>
      <c r="M3600" s="26" t="s">
        <v>4694</v>
      </c>
      <c r="N3600" s="106">
        <v>43282</v>
      </c>
      <c r="O3600" s="311" t="s">
        <v>92</v>
      </c>
      <c r="P3600" s="268">
        <v>0</v>
      </c>
      <c r="Q3600" s="273">
        <v>4</v>
      </c>
      <c r="R3600" s="268">
        <f t="shared" si="84"/>
        <v>0</v>
      </c>
      <c r="S3600" s="24">
        <v>202303</v>
      </c>
      <c r="T3600" s="127" t="s">
        <v>4696</v>
      </c>
      <c r="U3600" s="40"/>
      <c r="V3600" s="40"/>
      <c r="W3600" s="40"/>
      <c r="X3600" s="286">
        <v>44743</v>
      </c>
      <c r="Y3600" s="311">
        <v>45016</v>
      </c>
    </row>
    <row r="3601" s="9" customFormat="1" customHeight="1" spans="1:25">
      <c r="A3601" s="96" t="s">
        <v>25</v>
      </c>
      <c r="B3601" s="96" t="s">
        <v>4074</v>
      </c>
      <c r="C3601" s="96" t="s">
        <v>44</v>
      </c>
      <c r="D3601" s="94" t="s">
        <v>4178</v>
      </c>
      <c r="E3601" s="105" t="s">
        <v>4689</v>
      </c>
      <c r="F3601" s="96" t="s">
        <v>4690</v>
      </c>
      <c r="G3601" s="96" t="s">
        <v>31</v>
      </c>
      <c r="H3601" s="19" t="s">
        <v>4697</v>
      </c>
      <c r="I3601" s="23" t="e">
        <f>VLOOKUP(H3601,'合同综合查询数据（3月返）'!$A:$A,1,FALSE)</f>
        <v>#N/A</v>
      </c>
      <c r="J3601" s="24" t="s">
        <v>33</v>
      </c>
      <c r="K3601" s="96" t="s">
        <v>46</v>
      </c>
      <c r="L3601" s="114" t="s">
        <v>4698</v>
      </c>
      <c r="M3601" s="26" t="s">
        <v>4699</v>
      </c>
      <c r="N3601" s="106">
        <v>43282</v>
      </c>
      <c r="O3601" s="311" t="s">
        <v>37</v>
      </c>
      <c r="P3601" s="268">
        <v>0</v>
      </c>
      <c r="Q3601" s="273">
        <v>288</v>
      </c>
      <c r="R3601" s="268">
        <f t="shared" si="84"/>
        <v>0</v>
      </c>
      <c r="S3601" s="24">
        <v>202303</v>
      </c>
      <c r="T3601" s="127" t="s">
        <v>4700</v>
      </c>
      <c r="U3601" s="40"/>
      <c r="V3601" s="40"/>
      <c r="W3601" s="40"/>
      <c r="X3601" s="286">
        <v>44743</v>
      </c>
      <c r="Y3601" s="311">
        <v>45016</v>
      </c>
    </row>
    <row r="3602" s="9" customFormat="1" customHeight="1" spans="1:25">
      <c r="A3602" s="96" t="s">
        <v>25</v>
      </c>
      <c r="B3602" s="96" t="s">
        <v>4074</v>
      </c>
      <c r="C3602" s="96" t="s">
        <v>44</v>
      </c>
      <c r="D3602" s="94" t="s">
        <v>4178</v>
      </c>
      <c r="E3602" s="105" t="s">
        <v>4689</v>
      </c>
      <c r="F3602" s="96" t="s">
        <v>4690</v>
      </c>
      <c r="G3602" s="96" t="s">
        <v>31</v>
      </c>
      <c r="H3602" s="19" t="s">
        <v>4697</v>
      </c>
      <c r="I3602" s="23" t="e">
        <f>VLOOKUP(H3602,'合同综合查询数据（3月返）'!$A:$A,1,FALSE)</f>
        <v>#N/A</v>
      </c>
      <c r="J3602" s="24" t="s">
        <v>33</v>
      </c>
      <c r="K3602" s="96" t="s">
        <v>46</v>
      </c>
      <c r="L3602" s="114" t="s">
        <v>4698</v>
      </c>
      <c r="M3602" s="26" t="s">
        <v>4699</v>
      </c>
      <c r="N3602" s="40"/>
      <c r="O3602" s="94" t="s">
        <v>152</v>
      </c>
      <c r="P3602" s="268">
        <v>0</v>
      </c>
      <c r="Q3602" s="273">
        <v>0</v>
      </c>
      <c r="R3602" s="268">
        <f t="shared" si="84"/>
        <v>0</v>
      </c>
      <c r="S3602" s="24">
        <v>202303</v>
      </c>
      <c r="T3602" s="127" t="s">
        <v>4188</v>
      </c>
      <c r="U3602" s="40"/>
      <c r="V3602" s="40"/>
      <c r="W3602" s="40"/>
      <c r="X3602" s="286">
        <v>44743</v>
      </c>
      <c r="Y3602" s="311">
        <v>45016</v>
      </c>
    </row>
    <row r="3603" s="9" customFormat="1" customHeight="1" spans="1:25">
      <c r="A3603" s="96" t="s">
        <v>25</v>
      </c>
      <c r="B3603" s="96" t="s">
        <v>4074</v>
      </c>
      <c r="C3603" s="96" t="s">
        <v>44</v>
      </c>
      <c r="D3603" s="94" t="s">
        <v>4178</v>
      </c>
      <c r="E3603" s="105" t="s">
        <v>4689</v>
      </c>
      <c r="F3603" s="96" t="s">
        <v>4690</v>
      </c>
      <c r="G3603" s="96" t="s">
        <v>88</v>
      </c>
      <c r="H3603" s="19" t="s">
        <v>4697</v>
      </c>
      <c r="I3603" s="23" t="e">
        <f>VLOOKUP(H3603,'合同综合查询数据（3月返）'!$A:$A,1,FALSE)</f>
        <v>#N/A</v>
      </c>
      <c r="J3603" s="24" t="s">
        <v>126</v>
      </c>
      <c r="K3603" s="96" t="s">
        <v>46</v>
      </c>
      <c r="L3603" s="114" t="s">
        <v>4698</v>
      </c>
      <c r="M3603" s="26" t="s">
        <v>4699</v>
      </c>
      <c r="N3603" s="106">
        <v>43282</v>
      </c>
      <c r="O3603" s="311" t="s">
        <v>92</v>
      </c>
      <c r="P3603" s="268">
        <v>0</v>
      </c>
      <c r="Q3603" s="273">
        <v>4</v>
      </c>
      <c r="R3603" s="268">
        <f t="shared" si="84"/>
        <v>0</v>
      </c>
      <c r="S3603" s="24">
        <v>202303</v>
      </c>
      <c r="T3603" s="127" t="s">
        <v>4701</v>
      </c>
      <c r="U3603" s="40"/>
      <c r="V3603" s="40"/>
      <c r="W3603" s="40"/>
      <c r="X3603" s="286">
        <v>44743</v>
      </c>
      <c r="Y3603" s="311">
        <v>45016</v>
      </c>
    </row>
    <row r="3604" s="9" customFormat="1" customHeight="1" spans="1:25">
      <c r="A3604" s="96" t="s">
        <v>109</v>
      </c>
      <c r="B3604" s="94" t="s">
        <v>4074</v>
      </c>
      <c r="C3604" s="94" t="s">
        <v>44</v>
      </c>
      <c r="D3604" s="94" t="s">
        <v>4178</v>
      </c>
      <c r="E3604" s="105" t="s">
        <v>4689</v>
      </c>
      <c r="F3604" s="96" t="s">
        <v>4690</v>
      </c>
      <c r="G3604" s="96" t="s">
        <v>31</v>
      </c>
      <c r="H3604" s="19" t="s">
        <v>4702</v>
      </c>
      <c r="I3604" s="23" t="e">
        <f>VLOOKUP(H3604,'合同综合查询数据（3月返）'!$A:$A,1,FALSE)</f>
        <v>#N/A</v>
      </c>
      <c r="J3604" s="24" t="s">
        <v>33</v>
      </c>
      <c r="K3604" s="96" t="s">
        <v>4692</v>
      </c>
      <c r="L3604" s="114" t="s">
        <v>4703</v>
      </c>
      <c r="M3604" s="26" t="s">
        <v>4704</v>
      </c>
      <c r="N3604" s="106">
        <v>44287</v>
      </c>
      <c r="O3604" s="94" t="s">
        <v>37</v>
      </c>
      <c r="P3604" s="268">
        <v>0</v>
      </c>
      <c r="Q3604" s="273">
        <v>288</v>
      </c>
      <c r="R3604" s="268">
        <f t="shared" si="84"/>
        <v>0</v>
      </c>
      <c r="S3604" s="24">
        <v>202303</v>
      </c>
      <c r="T3604" s="127" t="s">
        <v>4705</v>
      </c>
      <c r="U3604" s="97"/>
      <c r="V3604" s="128"/>
      <c r="W3604" s="128"/>
      <c r="X3604" s="106">
        <v>44652</v>
      </c>
      <c r="Y3604" s="106">
        <v>45016</v>
      </c>
    </row>
    <row r="3605" s="9" customFormat="1" customHeight="1" spans="1:25">
      <c r="A3605" s="96" t="s">
        <v>109</v>
      </c>
      <c r="B3605" s="94" t="s">
        <v>4074</v>
      </c>
      <c r="C3605" s="94" t="s">
        <v>44</v>
      </c>
      <c r="D3605" s="94" t="s">
        <v>4178</v>
      </c>
      <c r="E3605" s="105" t="s">
        <v>4689</v>
      </c>
      <c r="F3605" s="96" t="s">
        <v>4690</v>
      </c>
      <c r="G3605" s="96" t="s">
        <v>31</v>
      </c>
      <c r="H3605" s="19" t="s">
        <v>4706</v>
      </c>
      <c r="I3605" s="23" t="e">
        <f>VLOOKUP(H3605,'合同综合查询数据（3月返）'!$A:$A,1,FALSE)</f>
        <v>#N/A</v>
      </c>
      <c r="J3605" s="24" t="s">
        <v>33</v>
      </c>
      <c r="K3605" s="96" t="s">
        <v>4692</v>
      </c>
      <c r="L3605" s="114" t="s">
        <v>4703</v>
      </c>
      <c r="M3605" s="26" t="s">
        <v>4704</v>
      </c>
      <c r="N3605" s="106">
        <v>44733</v>
      </c>
      <c r="O3605" s="94" t="s">
        <v>37</v>
      </c>
      <c r="P3605" s="268">
        <v>0</v>
      </c>
      <c r="Q3605" s="273">
        <v>32</v>
      </c>
      <c r="R3605" s="268">
        <f t="shared" si="84"/>
        <v>0</v>
      </c>
      <c r="S3605" s="24">
        <v>202303</v>
      </c>
      <c r="T3605" s="127" t="s">
        <v>4707</v>
      </c>
      <c r="U3605" s="97"/>
      <c r="V3605" s="128"/>
      <c r="W3605" s="128"/>
      <c r="X3605" s="106">
        <v>44740</v>
      </c>
      <c r="Y3605" s="106">
        <v>45016</v>
      </c>
    </row>
    <row r="3606" s="9" customFormat="1" customHeight="1" spans="1:25">
      <c r="A3606" s="96" t="s">
        <v>109</v>
      </c>
      <c r="B3606" s="94" t="s">
        <v>4074</v>
      </c>
      <c r="C3606" s="94" t="s">
        <v>44</v>
      </c>
      <c r="D3606" s="94" t="s">
        <v>4178</v>
      </c>
      <c r="E3606" s="105" t="s">
        <v>4689</v>
      </c>
      <c r="F3606" s="96" t="s">
        <v>4690</v>
      </c>
      <c r="G3606" s="96" t="s">
        <v>31</v>
      </c>
      <c r="H3606" s="19" t="s">
        <v>4706</v>
      </c>
      <c r="I3606" s="23" t="e">
        <f>VLOOKUP(H3606,'合同综合查询数据（3月返）'!$A:$A,1,FALSE)</f>
        <v>#N/A</v>
      </c>
      <c r="J3606" s="24" t="s">
        <v>33</v>
      </c>
      <c r="K3606" s="96" t="s">
        <v>4692</v>
      </c>
      <c r="L3606" s="114" t="s">
        <v>4703</v>
      </c>
      <c r="M3606" s="26" t="s">
        <v>4704</v>
      </c>
      <c r="N3606" s="106">
        <v>44733</v>
      </c>
      <c r="O3606" s="94" t="s">
        <v>37</v>
      </c>
      <c r="P3606" s="268">
        <v>50</v>
      </c>
      <c r="Q3606" s="273">
        <v>224</v>
      </c>
      <c r="R3606" s="268">
        <f t="shared" si="84"/>
        <v>11200</v>
      </c>
      <c r="S3606" s="24">
        <v>202303</v>
      </c>
      <c r="T3606" s="127" t="s">
        <v>4708</v>
      </c>
      <c r="U3606" s="97"/>
      <c r="V3606" s="128"/>
      <c r="W3606" s="128"/>
      <c r="X3606" s="106">
        <v>44740</v>
      </c>
      <c r="Y3606" s="106">
        <v>45016</v>
      </c>
    </row>
    <row r="3607" s="9" customFormat="1" customHeight="1" spans="1:25">
      <c r="A3607" s="96" t="s">
        <v>109</v>
      </c>
      <c r="B3607" s="94" t="s">
        <v>4074</v>
      </c>
      <c r="C3607" s="94" t="s">
        <v>44</v>
      </c>
      <c r="D3607" s="94" t="s">
        <v>4178</v>
      </c>
      <c r="E3607" s="105" t="s">
        <v>4689</v>
      </c>
      <c r="F3607" s="96" t="s">
        <v>4690</v>
      </c>
      <c r="G3607" s="96" t="s">
        <v>31</v>
      </c>
      <c r="H3607" s="19" t="s">
        <v>4706</v>
      </c>
      <c r="I3607" s="23" t="e">
        <f>VLOOKUP(H3607,'合同综合查询数据（3月返）'!$A:$A,1,FALSE)</f>
        <v>#N/A</v>
      </c>
      <c r="J3607" s="24" t="s">
        <v>33</v>
      </c>
      <c r="K3607" s="96" t="s">
        <v>4692</v>
      </c>
      <c r="L3607" s="114" t="s">
        <v>4703</v>
      </c>
      <c r="M3607" s="26" t="s">
        <v>4704</v>
      </c>
      <c r="N3607" s="106">
        <v>44739</v>
      </c>
      <c r="O3607" s="94" t="s">
        <v>37</v>
      </c>
      <c r="P3607" s="268">
        <v>0</v>
      </c>
      <c r="Q3607" s="273">
        <v>128</v>
      </c>
      <c r="R3607" s="268">
        <f t="shared" si="84"/>
        <v>0</v>
      </c>
      <c r="S3607" s="24">
        <v>202303</v>
      </c>
      <c r="T3607" s="127" t="s">
        <v>4709</v>
      </c>
      <c r="U3607" s="97"/>
      <c r="V3607" s="128"/>
      <c r="W3607" s="128"/>
      <c r="X3607" s="106">
        <v>44740</v>
      </c>
      <c r="Y3607" s="106">
        <v>45016</v>
      </c>
    </row>
    <row r="3608" s="9" customFormat="1" customHeight="1" spans="1:25">
      <c r="A3608" s="96" t="s">
        <v>109</v>
      </c>
      <c r="B3608" s="94" t="s">
        <v>4074</v>
      </c>
      <c r="C3608" s="94" t="s">
        <v>44</v>
      </c>
      <c r="D3608" s="94" t="s">
        <v>4178</v>
      </c>
      <c r="E3608" s="105" t="s">
        <v>4689</v>
      </c>
      <c r="F3608" s="96" t="s">
        <v>4690</v>
      </c>
      <c r="G3608" s="96" t="s">
        <v>31</v>
      </c>
      <c r="H3608" s="19" t="s">
        <v>4702</v>
      </c>
      <c r="I3608" s="23" t="e">
        <f>VLOOKUP(H3608,'合同综合查询数据（3月返）'!$A:$A,1,FALSE)</f>
        <v>#N/A</v>
      </c>
      <c r="J3608" s="24" t="s">
        <v>33</v>
      </c>
      <c r="K3608" s="96" t="s">
        <v>4692</v>
      </c>
      <c r="L3608" s="114" t="s">
        <v>4703</v>
      </c>
      <c r="M3608" s="26" t="s">
        <v>4704</v>
      </c>
      <c r="N3608" s="106">
        <v>44888</v>
      </c>
      <c r="O3608" s="94" t="s">
        <v>37</v>
      </c>
      <c r="P3608" s="268">
        <v>0</v>
      </c>
      <c r="Q3608" s="273">
        <v>-128</v>
      </c>
      <c r="R3608" s="268">
        <f t="shared" si="84"/>
        <v>0</v>
      </c>
      <c r="S3608" s="24">
        <v>202303</v>
      </c>
      <c r="T3608" s="127" t="s">
        <v>4710</v>
      </c>
      <c r="U3608" s="97"/>
      <c r="V3608" s="128"/>
      <c r="W3608" s="128"/>
      <c r="X3608" s="106">
        <v>44652</v>
      </c>
      <c r="Y3608" s="106">
        <v>45016</v>
      </c>
    </row>
    <row r="3609" s="9" customFormat="1" customHeight="1" spans="1:25">
      <c r="A3609" s="96" t="s">
        <v>109</v>
      </c>
      <c r="B3609" s="94" t="s">
        <v>4074</v>
      </c>
      <c r="C3609" s="94" t="s">
        <v>44</v>
      </c>
      <c r="D3609" s="94" t="s">
        <v>4178</v>
      </c>
      <c r="E3609" s="105" t="s">
        <v>4689</v>
      </c>
      <c r="F3609" s="96" t="s">
        <v>4690</v>
      </c>
      <c r="G3609" s="96" t="s">
        <v>31</v>
      </c>
      <c r="H3609" s="19" t="s">
        <v>4702</v>
      </c>
      <c r="I3609" s="23" t="e">
        <f>VLOOKUP(H3609,'合同综合查询数据（3月返）'!$A:$A,1,FALSE)</f>
        <v>#N/A</v>
      </c>
      <c r="J3609" s="24" t="s">
        <v>33</v>
      </c>
      <c r="K3609" s="96" t="s">
        <v>4692</v>
      </c>
      <c r="L3609" s="114" t="s">
        <v>4703</v>
      </c>
      <c r="M3609" s="26" t="s">
        <v>4704</v>
      </c>
      <c r="N3609" s="106"/>
      <c r="O3609" s="94" t="s">
        <v>152</v>
      </c>
      <c r="P3609" s="268">
        <v>0</v>
      </c>
      <c r="Q3609" s="273">
        <v>0</v>
      </c>
      <c r="R3609" s="268">
        <f t="shared" si="84"/>
        <v>0</v>
      </c>
      <c r="S3609" s="24">
        <v>202303</v>
      </c>
      <c r="T3609" s="127" t="s">
        <v>4711</v>
      </c>
      <c r="U3609" s="97"/>
      <c r="V3609" s="128"/>
      <c r="W3609" s="128"/>
      <c r="X3609" s="106">
        <v>44652</v>
      </c>
      <c r="Y3609" s="106">
        <v>45016</v>
      </c>
    </row>
    <row r="3610" s="9" customFormat="1" customHeight="1" spans="1:25">
      <c r="A3610" s="96" t="s">
        <v>109</v>
      </c>
      <c r="B3610" s="94" t="s">
        <v>4074</v>
      </c>
      <c r="C3610" s="94" t="s">
        <v>44</v>
      </c>
      <c r="D3610" s="94" t="s">
        <v>4178</v>
      </c>
      <c r="E3610" s="105" t="s">
        <v>4689</v>
      </c>
      <c r="F3610" s="96" t="s">
        <v>4690</v>
      </c>
      <c r="G3610" s="96" t="s">
        <v>31</v>
      </c>
      <c r="H3610" s="19" t="s">
        <v>4706</v>
      </c>
      <c r="I3610" s="23" t="e">
        <f>VLOOKUP(H3610,'合同综合查询数据（3月返）'!$A:$A,1,FALSE)</f>
        <v>#N/A</v>
      </c>
      <c r="J3610" s="24" t="s">
        <v>33</v>
      </c>
      <c r="K3610" s="96" t="s">
        <v>4692</v>
      </c>
      <c r="L3610" s="114" t="s">
        <v>4703</v>
      </c>
      <c r="M3610" s="26" t="s">
        <v>4704</v>
      </c>
      <c r="N3610" s="106">
        <v>44733</v>
      </c>
      <c r="O3610" s="94" t="s">
        <v>152</v>
      </c>
      <c r="P3610" s="268">
        <v>0</v>
      </c>
      <c r="Q3610" s="273">
        <v>0</v>
      </c>
      <c r="R3610" s="268">
        <f t="shared" si="84"/>
        <v>0</v>
      </c>
      <c r="S3610" s="24">
        <v>202303</v>
      </c>
      <c r="T3610" s="127" t="s">
        <v>4712</v>
      </c>
      <c r="U3610" s="97"/>
      <c r="V3610" s="128"/>
      <c r="W3610" s="128"/>
      <c r="X3610" s="106">
        <v>44740</v>
      </c>
      <c r="Y3610" s="106">
        <v>45016</v>
      </c>
    </row>
    <row r="3611" s="9" customFormat="1" customHeight="1" spans="1:25">
      <c r="A3611" s="96" t="s">
        <v>109</v>
      </c>
      <c r="B3611" s="94" t="s">
        <v>4074</v>
      </c>
      <c r="C3611" s="94" t="s">
        <v>44</v>
      </c>
      <c r="D3611" s="94" t="s">
        <v>4178</v>
      </c>
      <c r="E3611" s="105" t="s">
        <v>4689</v>
      </c>
      <c r="F3611" s="96" t="s">
        <v>4690</v>
      </c>
      <c r="G3611" s="96" t="s">
        <v>31</v>
      </c>
      <c r="H3611" s="19" t="s">
        <v>4706</v>
      </c>
      <c r="I3611" s="23" t="e">
        <f>VLOOKUP(H3611,'合同综合查询数据（3月返）'!$A:$A,1,FALSE)</f>
        <v>#N/A</v>
      </c>
      <c r="J3611" s="24" t="s">
        <v>33</v>
      </c>
      <c r="K3611" s="96" t="s">
        <v>4692</v>
      </c>
      <c r="L3611" s="114" t="s">
        <v>4703</v>
      </c>
      <c r="M3611" s="26" t="s">
        <v>4704</v>
      </c>
      <c r="N3611" s="106">
        <v>44739</v>
      </c>
      <c r="O3611" s="94" t="s">
        <v>152</v>
      </c>
      <c r="P3611" s="268">
        <v>0</v>
      </c>
      <c r="Q3611" s="273">
        <v>0</v>
      </c>
      <c r="R3611" s="268">
        <f t="shared" si="84"/>
        <v>0</v>
      </c>
      <c r="S3611" s="24">
        <v>202303</v>
      </c>
      <c r="T3611" s="127" t="s">
        <v>4713</v>
      </c>
      <c r="U3611" s="97"/>
      <c r="V3611" s="128"/>
      <c r="W3611" s="128"/>
      <c r="X3611" s="106">
        <v>44740</v>
      </c>
      <c r="Y3611" s="106">
        <v>45016</v>
      </c>
    </row>
    <row r="3612" s="9" customFormat="1" customHeight="1" spans="1:25">
      <c r="A3612" s="96" t="s">
        <v>109</v>
      </c>
      <c r="B3612" s="94" t="s">
        <v>4074</v>
      </c>
      <c r="C3612" s="94" t="s">
        <v>44</v>
      </c>
      <c r="D3612" s="94" t="s">
        <v>4178</v>
      </c>
      <c r="E3612" s="105" t="s">
        <v>4689</v>
      </c>
      <c r="F3612" s="96" t="s">
        <v>4690</v>
      </c>
      <c r="G3612" s="96" t="s">
        <v>88</v>
      </c>
      <c r="H3612" s="19" t="s">
        <v>4702</v>
      </c>
      <c r="I3612" s="23" t="e">
        <f>VLOOKUP(H3612,'合同综合查询数据（3月返）'!$A:$A,1,FALSE)</f>
        <v>#N/A</v>
      </c>
      <c r="J3612" s="24" t="s">
        <v>126</v>
      </c>
      <c r="K3612" s="96" t="s">
        <v>4692</v>
      </c>
      <c r="L3612" s="114" t="s">
        <v>4703</v>
      </c>
      <c r="M3612" s="26" t="s">
        <v>4704</v>
      </c>
      <c r="N3612" s="106">
        <v>44287</v>
      </c>
      <c r="O3612" s="94" t="s">
        <v>92</v>
      </c>
      <c r="P3612" s="268">
        <v>4500</v>
      </c>
      <c r="Q3612" s="273">
        <v>5</v>
      </c>
      <c r="R3612" s="268">
        <f t="shared" si="84"/>
        <v>22500</v>
      </c>
      <c r="S3612" s="24">
        <v>202303</v>
      </c>
      <c r="T3612" s="127" t="s">
        <v>4714</v>
      </c>
      <c r="U3612" s="97"/>
      <c r="V3612" s="128"/>
      <c r="W3612" s="128"/>
      <c r="X3612" s="106">
        <v>44652</v>
      </c>
      <c r="Y3612" s="106">
        <v>45016</v>
      </c>
    </row>
    <row r="3613" s="9" customFormat="1" customHeight="1" spans="1:25">
      <c r="A3613" s="96" t="s">
        <v>109</v>
      </c>
      <c r="B3613" s="94" t="s">
        <v>4074</v>
      </c>
      <c r="C3613" s="94" t="s">
        <v>44</v>
      </c>
      <c r="D3613" s="94" t="s">
        <v>4178</v>
      </c>
      <c r="E3613" s="105" t="s">
        <v>4689</v>
      </c>
      <c r="F3613" s="96" t="s">
        <v>4690</v>
      </c>
      <c r="G3613" s="96" t="s">
        <v>88</v>
      </c>
      <c r="H3613" s="19" t="s">
        <v>4706</v>
      </c>
      <c r="I3613" s="23" t="e">
        <f>VLOOKUP(H3613,'合同综合查询数据（3月返）'!$A:$A,1,FALSE)</f>
        <v>#N/A</v>
      </c>
      <c r="J3613" s="24" t="s">
        <v>126</v>
      </c>
      <c r="K3613" s="96" t="s">
        <v>4692</v>
      </c>
      <c r="L3613" s="114" t="s">
        <v>4703</v>
      </c>
      <c r="M3613" s="26" t="s">
        <v>4704</v>
      </c>
      <c r="N3613" s="106">
        <v>44733</v>
      </c>
      <c r="O3613" s="94" t="s">
        <v>92</v>
      </c>
      <c r="P3613" s="268">
        <v>4500</v>
      </c>
      <c r="Q3613" s="273">
        <v>7</v>
      </c>
      <c r="R3613" s="268">
        <f t="shared" si="84"/>
        <v>31500</v>
      </c>
      <c r="S3613" s="24">
        <v>202303</v>
      </c>
      <c r="T3613" s="127" t="s">
        <v>4715</v>
      </c>
      <c r="U3613" s="97"/>
      <c r="V3613" s="128"/>
      <c r="W3613" s="128"/>
      <c r="X3613" s="106">
        <v>44740</v>
      </c>
      <c r="Y3613" s="106">
        <v>45016</v>
      </c>
    </row>
    <row r="3614" s="9" customFormat="1" customHeight="1" spans="1:25">
      <c r="A3614" s="96" t="s">
        <v>109</v>
      </c>
      <c r="B3614" s="94" t="s">
        <v>4074</v>
      </c>
      <c r="C3614" s="94" t="s">
        <v>44</v>
      </c>
      <c r="D3614" s="94" t="s">
        <v>4178</v>
      </c>
      <c r="E3614" s="105" t="s">
        <v>4689</v>
      </c>
      <c r="F3614" s="96" t="s">
        <v>4690</v>
      </c>
      <c r="G3614" s="96" t="s">
        <v>88</v>
      </c>
      <c r="H3614" s="19" t="s">
        <v>4706</v>
      </c>
      <c r="I3614" s="23" t="e">
        <f>VLOOKUP(H3614,'合同综合查询数据（3月返）'!$A:$A,1,FALSE)</f>
        <v>#N/A</v>
      </c>
      <c r="J3614" s="24" t="s">
        <v>126</v>
      </c>
      <c r="K3614" s="96" t="s">
        <v>4692</v>
      </c>
      <c r="L3614" s="114" t="s">
        <v>4703</v>
      </c>
      <c r="M3614" s="26" t="s">
        <v>4704</v>
      </c>
      <c r="N3614" s="106">
        <v>44739</v>
      </c>
      <c r="O3614" s="94" t="s">
        <v>92</v>
      </c>
      <c r="P3614" s="268">
        <v>4500</v>
      </c>
      <c r="Q3614" s="273">
        <v>2</v>
      </c>
      <c r="R3614" s="268">
        <f t="shared" si="84"/>
        <v>9000</v>
      </c>
      <c r="S3614" s="24">
        <v>202303</v>
      </c>
      <c r="T3614" s="127" t="s">
        <v>4716</v>
      </c>
      <c r="U3614" s="97"/>
      <c r="V3614" s="128"/>
      <c r="W3614" s="128"/>
      <c r="X3614" s="106">
        <v>44740</v>
      </c>
      <c r="Y3614" s="106">
        <v>45016</v>
      </c>
    </row>
    <row r="3615" s="9" customFormat="1" customHeight="1" spans="1:25">
      <c r="A3615" s="96" t="s">
        <v>109</v>
      </c>
      <c r="B3615" s="94" t="s">
        <v>4074</v>
      </c>
      <c r="C3615" s="94" t="s">
        <v>44</v>
      </c>
      <c r="D3615" s="94" t="s">
        <v>4178</v>
      </c>
      <c r="E3615" s="105" t="s">
        <v>4689</v>
      </c>
      <c r="F3615" s="96" t="s">
        <v>4690</v>
      </c>
      <c r="G3615" s="96" t="s">
        <v>88</v>
      </c>
      <c r="H3615" s="19" t="s">
        <v>4717</v>
      </c>
      <c r="I3615" s="23" t="e">
        <f>VLOOKUP(H3615,'合同综合查询数据（3月返）'!$A:$A,1,FALSE)</f>
        <v>#N/A</v>
      </c>
      <c r="J3615" s="24" t="s">
        <v>126</v>
      </c>
      <c r="K3615" s="96" t="s">
        <v>4692</v>
      </c>
      <c r="L3615" s="114" t="s">
        <v>4703</v>
      </c>
      <c r="M3615" s="26" t="s">
        <v>4704</v>
      </c>
      <c r="N3615" s="106">
        <v>44830</v>
      </c>
      <c r="O3615" s="94" t="s">
        <v>469</v>
      </c>
      <c r="P3615" s="268">
        <v>4500</v>
      </c>
      <c r="Q3615" s="273">
        <v>1</v>
      </c>
      <c r="R3615" s="268">
        <f t="shared" si="84"/>
        <v>4500</v>
      </c>
      <c r="S3615" s="24">
        <v>202303</v>
      </c>
      <c r="T3615" s="127" t="s">
        <v>4718</v>
      </c>
      <c r="U3615" s="97"/>
      <c r="V3615" s="128"/>
      <c r="W3615" s="128"/>
      <c r="X3615" s="106">
        <v>44831</v>
      </c>
      <c r="Y3615" s="106">
        <v>45016</v>
      </c>
    </row>
    <row r="3616" s="9" customFormat="1" customHeight="1" spans="1:25">
      <c r="A3616" s="104" t="s">
        <v>25</v>
      </c>
      <c r="B3616" s="94" t="s">
        <v>4074</v>
      </c>
      <c r="C3616" s="94" t="s">
        <v>44</v>
      </c>
      <c r="D3616" s="94" t="s">
        <v>4178</v>
      </c>
      <c r="E3616" s="105" t="s">
        <v>4719</v>
      </c>
      <c r="F3616" s="96" t="s">
        <v>4720</v>
      </c>
      <c r="G3616" s="96" t="s">
        <v>31</v>
      </c>
      <c r="H3616" s="19" t="s">
        <v>4721</v>
      </c>
      <c r="I3616" s="23" t="e">
        <f>VLOOKUP(H3616,'合同综合查询数据（3月返）'!$A:$A,1,FALSE)</f>
        <v>#N/A</v>
      </c>
      <c r="J3616" s="24" t="s">
        <v>33</v>
      </c>
      <c r="K3616" s="96" t="s">
        <v>4722</v>
      </c>
      <c r="L3616" s="114" t="s">
        <v>4723</v>
      </c>
      <c r="M3616" s="26" t="s">
        <v>4724</v>
      </c>
      <c r="N3616" s="106">
        <v>43922</v>
      </c>
      <c r="O3616" s="330" t="s">
        <v>37</v>
      </c>
      <c r="P3616" s="119">
        <v>0</v>
      </c>
      <c r="Q3616" s="268">
        <v>320</v>
      </c>
      <c r="R3616" s="268">
        <f t="shared" si="84"/>
        <v>0</v>
      </c>
      <c r="S3616" s="24">
        <v>202303</v>
      </c>
      <c r="T3616" s="127" t="s">
        <v>4725</v>
      </c>
      <c r="U3616" s="97"/>
      <c r="V3616" s="128"/>
      <c r="W3616" s="97"/>
      <c r="X3616" s="106">
        <v>44713</v>
      </c>
      <c r="Y3616" s="106">
        <v>45077</v>
      </c>
    </row>
    <row r="3617" s="9" customFormat="1" customHeight="1" spans="1:25">
      <c r="A3617" s="104" t="s">
        <v>25</v>
      </c>
      <c r="B3617" s="94" t="s">
        <v>4074</v>
      </c>
      <c r="C3617" s="94" t="s">
        <v>44</v>
      </c>
      <c r="D3617" s="94" t="s">
        <v>4178</v>
      </c>
      <c r="E3617" s="105" t="s">
        <v>4719</v>
      </c>
      <c r="F3617" s="96" t="s">
        <v>4720</v>
      </c>
      <c r="G3617" s="96" t="s">
        <v>31</v>
      </c>
      <c r="H3617" s="19" t="s">
        <v>4721</v>
      </c>
      <c r="I3617" s="23" t="e">
        <f>VLOOKUP(H3617,'合同综合查询数据（3月返）'!$A:$A,1,FALSE)</f>
        <v>#N/A</v>
      </c>
      <c r="J3617" s="24" t="s">
        <v>33</v>
      </c>
      <c r="K3617" s="96" t="s">
        <v>4722</v>
      </c>
      <c r="L3617" s="114" t="s">
        <v>4723</v>
      </c>
      <c r="M3617" s="26" t="s">
        <v>4724</v>
      </c>
      <c r="N3617" s="94"/>
      <c r="O3617" s="94" t="s">
        <v>152</v>
      </c>
      <c r="P3617" s="273">
        <v>0</v>
      </c>
      <c r="Q3617" s="273">
        <v>0</v>
      </c>
      <c r="R3617" s="268">
        <f t="shared" si="84"/>
        <v>0</v>
      </c>
      <c r="S3617" s="24">
        <v>202303</v>
      </c>
      <c r="T3617" s="127" t="s">
        <v>4726</v>
      </c>
      <c r="U3617" s="97"/>
      <c r="V3617" s="128"/>
      <c r="W3617" s="97"/>
      <c r="X3617" s="106">
        <v>44713</v>
      </c>
      <c r="Y3617" s="106">
        <v>45077</v>
      </c>
    </row>
    <row r="3618" s="9" customFormat="1" customHeight="1" spans="1:25">
      <c r="A3618" s="104" t="s">
        <v>25</v>
      </c>
      <c r="B3618" s="94" t="s">
        <v>4074</v>
      </c>
      <c r="C3618" s="94" t="s">
        <v>44</v>
      </c>
      <c r="D3618" s="94" t="s">
        <v>4178</v>
      </c>
      <c r="E3618" s="105" t="s">
        <v>4719</v>
      </c>
      <c r="F3618" s="96" t="s">
        <v>4720</v>
      </c>
      <c r="G3618" s="96" t="s">
        <v>88</v>
      </c>
      <c r="H3618" s="19" t="s">
        <v>4721</v>
      </c>
      <c r="I3618" s="23" t="e">
        <f>VLOOKUP(H3618,'合同综合查询数据（3月返）'!$A:$A,1,FALSE)</f>
        <v>#N/A</v>
      </c>
      <c r="J3618" s="24" t="s">
        <v>126</v>
      </c>
      <c r="K3618" s="96" t="s">
        <v>4722</v>
      </c>
      <c r="L3618" s="114" t="s">
        <v>4723</v>
      </c>
      <c r="M3618" s="26" t="s">
        <v>4724</v>
      </c>
      <c r="N3618" s="106">
        <v>43922</v>
      </c>
      <c r="O3618" s="331" t="s">
        <v>92</v>
      </c>
      <c r="P3618" s="119">
        <v>5000</v>
      </c>
      <c r="Q3618" s="268">
        <v>4</v>
      </c>
      <c r="R3618" s="268">
        <f t="shared" si="84"/>
        <v>20000</v>
      </c>
      <c r="S3618" s="24">
        <v>202303</v>
      </c>
      <c r="T3618" s="127" t="s">
        <v>4727</v>
      </c>
      <c r="U3618" s="97"/>
      <c r="V3618" s="128"/>
      <c r="W3618" s="97"/>
      <c r="X3618" s="106">
        <v>44713</v>
      </c>
      <c r="Y3618" s="106">
        <v>45077</v>
      </c>
    </row>
    <row r="3619" s="9" customFormat="1" customHeight="1" spans="1:25">
      <c r="A3619" s="96" t="s">
        <v>109</v>
      </c>
      <c r="B3619" s="94" t="s">
        <v>4074</v>
      </c>
      <c r="C3619" s="94" t="s">
        <v>44</v>
      </c>
      <c r="D3619" s="94" t="s">
        <v>4178</v>
      </c>
      <c r="E3619" s="105" t="s">
        <v>4719</v>
      </c>
      <c r="F3619" s="96" t="s">
        <v>4720</v>
      </c>
      <c r="G3619" s="96" t="s">
        <v>31</v>
      </c>
      <c r="H3619" s="19" t="s">
        <v>4728</v>
      </c>
      <c r="I3619" s="23" t="str">
        <f>VLOOKUP(H3619,'合同综合查询数据（3月返）'!$A:$A,1,FALSE)</f>
        <v>182315IDC00049</v>
      </c>
      <c r="J3619" s="24" t="s">
        <v>33</v>
      </c>
      <c r="K3619" s="96" t="s">
        <v>46</v>
      </c>
      <c r="L3619" s="40" t="s">
        <v>4729</v>
      </c>
      <c r="M3619" s="26" t="s">
        <v>4730</v>
      </c>
      <c r="N3619" s="106">
        <v>43922</v>
      </c>
      <c r="O3619" s="330" t="s">
        <v>37</v>
      </c>
      <c r="P3619" s="119">
        <v>0</v>
      </c>
      <c r="Q3619" s="268">
        <v>320</v>
      </c>
      <c r="R3619" s="268">
        <f t="shared" ref="R3619:R3639" si="85">ROUND(P3619*Q3619,2)</f>
        <v>0</v>
      </c>
      <c r="S3619" s="24">
        <v>202303</v>
      </c>
      <c r="T3619" s="127" t="s">
        <v>4731</v>
      </c>
      <c r="U3619" s="97"/>
      <c r="V3619" s="128"/>
      <c r="W3619" s="97"/>
      <c r="X3619" s="106">
        <v>44958</v>
      </c>
      <c r="Y3619" s="106">
        <v>45322</v>
      </c>
    </row>
    <row r="3620" s="9" customFormat="1" customHeight="1" spans="1:25">
      <c r="A3620" s="96" t="s">
        <v>109</v>
      </c>
      <c r="B3620" s="94" t="s">
        <v>4074</v>
      </c>
      <c r="C3620" s="94" t="s">
        <v>44</v>
      </c>
      <c r="D3620" s="94" t="s">
        <v>4178</v>
      </c>
      <c r="E3620" s="105" t="s">
        <v>4719</v>
      </c>
      <c r="F3620" s="96" t="s">
        <v>4720</v>
      </c>
      <c r="G3620" s="96" t="s">
        <v>31</v>
      </c>
      <c r="H3620" s="19" t="s">
        <v>4728</v>
      </c>
      <c r="I3620" s="23" t="str">
        <f>VLOOKUP(H3620,'合同综合查询数据（3月返）'!$A:$A,1,FALSE)</f>
        <v>182315IDC00049</v>
      </c>
      <c r="J3620" s="24" t="s">
        <v>33</v>
      </c>
      <c r="K3620" s="96" t="s">
        <v>46</v>
      </c>
      <c r="L3620" s="40" t="s">
        <v>4729</v>
      </c>
      <c r="M3620" s="26" t="s">
        <v>4730</v>
      </c>
      <c r="N3620" s="94"/>
      <c r="O3620" s="94" t="s">
        <v>152</v>
      </c>
      <c r="P3620" s="273">
        <v>0</v>
      </c>
      <c r="Q3620" s="273">
        <v>0</v>
      </c>
      <c r="R3620" s="268">
        <f t="shared" si="85"/>
        <v>0</v>
      </c>
      <c r="S3620" s="24">
        <v>202303</v>
      </c>
      <c r="T3620" s="127" t="s">
        <v>4726</v>
      </c>
      <c r="U3620" s="97"/>
      <c r="V3620" s="128"/>
      <c r="W3620" s="97"/>
      <c r="X3620" s="106">
        <v>44958</v>
      </c>
      <c r="Y3620" s="106">
        <v>45322</v>
      </c>
    </row>
    <row r="3621" s="9" customFormat="1" customHeight="1" spans="1:25">
      <c r="A3621" s="96" t="s">
        <v>109</v>
      </c>
      <c r="B3621" s="94" t="s">
        <v>4074</v>
      </c>
      <c r="C3621" s="94" t="s">
        <v>44</v>
      </c>
      <c r="D3621" s="94" t="s">
        <v>4178</v>
      </c>
      <c r="E3621" s="105" t="s">
        <v>4719</v>
      </c>
      <c r="F3621" s="96" t="s">
        <v>4720</v>
      </c>
      <c r="G3621" s="96" t="s">
        <v>88</v>
      </c>
      <c r="H3621" s="19" t="s">
        <v>4728</v>
      </c>
      <c r="I3621" s="23" t="str">
        <f>VLOOKUP(H3621,'合同综合查询数据（3月返）'!$A:$A,1,FALSE)</f>
        <v>182315IDC00049</v>
      </c>
      <c r="J3621" s="24" t="s">
        <v>126</v>
      </c>
      <c r="K3621" s="96" t="s">
        <v>46</v>
      </c>
      <c r="L3621" s="40" t="s">
        <v>4729</v>
      </c>
      <c r="M3621" s="26" t="s">
        <v>4730</v>
      </c>
      <c r="N3621" s="106">
        <v>43922</v>
      </c>
      <c r="O3621" s="331" t="s">
        <v>92</v>
      </c>
      <c r="P3621" s="119">
        <v>4166.67</v>
      </c>
      <c r="Q3621" s="273">
        <v>5</v>
      </c>
      <c r="R3621" s="268">
        <f t="shared" si="85"/>
        <v>20833.35</v>
      </c>
      <c r="S3621" s="24">
        <v>202303</v>
      </c>
      <c r="T3621" s="127" t="s">
        <v>4732</v>
      </c>
      <c r="U3621" s="97"/>
      <c r="V3621" s="128"/>
      <c r="W3621" s="97"/>
      <c r="X3621" s="106">
        <v>44958</v>
      </c>
      <c r="Y3621" s="106">
        <v>45322</v>
      </c>
    </row>
    <row r="3622" s="9" customFormat="1" customHeight="1" spans="1:25">
      <c r="A3622" s="96" t="s">
        <v>109</v>
      </c>
      <c r="B3622" s="94" t="s">
        <v>4074</v>
      </c>
      <c r="C3622" s="94" t="s">
        <v>44</v>
      </c>
      <c r="D3622" s="94" t="s">
        <v>4178</v>
      </c>
      <c r="E3622" s="105" t="s">
        <v>4733</v>
      </c>
      <c r="F3622" s="96" t="s">
        <v>4734</v>
      </c>
      <c r="G3622" s="96" t="s">
        <v>31</v>
      </c>
      <c r="H3622" s="19" t="s">
        <v>4735</v>
      </c>
      <c r="I3622" s="23" t="e">
        <f>VLOOKUP(H3622,'合同综合查询数据（3月返）'!$A:$A,1,FALSE)</f>
        <v>#N/A</v>
      </c>
      <c r="J3622" s="24" t="s">
        <v>33</v>
      </c>
      <c r="K3622" s="96" t="s">
        <v>4494</v>
      </c>
      <c r="L3622" s="40" t="s">
        <v>4736</v>
      </c>
      <c r="M3622" s="26" t="s">
        <v>4737</v>
      </c>
      <c r="N3622" s="106">
        <v>43936</v>
      </c>
      <c r="O3622" s="331" t="s">
        <v>37</v>
      </c>
      <c r="P3622" s="268">
        <v>0</v>
      </c>
      <c r="Q3622" s="268">
        <v>288</v>
      </c>
      <c r="R3622" s="268">
        <f t="shared" si="85"/>
        <v>0</v>
      </c>
      <c r="S3622" s="24">
        <v>202303</v>
      </c>
      <c r="T3622" s="127" t="s">
        <v>4738</v>
      </c>
      <c r="U3622" s="94"/>
      <c r="V3622" s="321"/>
      <c r="W3622" s="94"/>
      <c r="X3622" s="106">
        <v>44682</v>
      </c>
      <c r="Y3622" s="106">
        <v>45046</v>
      </c>
    </row>
    <row r="3623" s="9" customFormat="1" customHeight="1" spans="1:25">
      <c r="A3623" s="96" t="s">
        <v>109</v>
      </c>
      <c r="B3623" s="94" t="s">
        <v>4074</v>
      </c>
      <c r="C3623" s="94" t="s">
        <v>44</v>
      </c>
      <c r="D3623" s="94" t="s">
        <v>4178</v>
      </c>
      <c r="E3623" s="105" t="s">
        <v>4733</v>
      </c>
      <c r="F3623" s="96" t="s">
        <v>4734</v>
      </c>
      <c r="G3623" s="96" t="s">
        <v>31</v>
      </c>
      <c r="H3623" s="19" t="s">
        <v>4735</v>
      </c>
      <c r="I3623" s="23" t="e">
        <f>VLOOKUP(H3623,'合同综合查询数据（3月返）'!$A:$A,1,FALSE)</f>
        <v>#N/A</v>
      </c>
      <c r="J3623" s="24" t="s">
        <v>33</v>
      </c>
      <c r="K3623" s="96" t="s">
        <v>4494</v>
      </c>
      <c r="L3623" s="40" t="s">
        <v>4736</v>
      </c>
      <c r="M3623" s="26" t="s">
        <v>4737</v>
      </c>
      <c r="N3623" s="106">
        <v>44926</v>
      </c>
      <c r="O3623" s="331" t="s">
        <v>37</v>
      </c>
      <c r="P3623" s="268">
        <v>0</v>
      </c>
      <c r="Q3623" s="268">
        <v>-288</v>
      </c>
      <c r="R3623" s="268">
        <f t="shared" si="85"/>
        <v>0</v>
      </c>
      <c r="S3623" s="24">
        <v>202303</v>
      </c>
      <c r="T3623" s="127" t="s">
        <v>4739</v>
      </c>
      <c r="U3623" s="94"/>
      <c r="V3623" s="321"/>
      <c r="W3623" s="94"/>
      <c r="X3623" s="106">
        <v>44682</v>
      </c>
      <c r="Y3623" s="106">
        <v>45046</v>
      </c>
    </row>
    <row r="3624" s="9" customFormat="1" customHeight="1" spans="1:25">
      <c r="A3624" s="96" t="s">
        <v>109</v>
      </c>
      <c r="B3624" s="94" t="s">
        <v>4074</v>
      </c>
      <c r="C3624" s="94" t="s">
        <v>44</v>
      </c>
      <c r="D3624" s="94" t="s">
        <v>4178</v>
      </c>
      <c r="E3624" s="105" t="s">
        <v>4733</v>
      </c>
      <c r="F3624" s="96" t="s">
        <v>4734</v>
      </c>
      <c r="G3624" s="96" t="s">
        <v>31</v>
      </c>
      <c r="H3624" s="19" t="s">
        <v>4735</v>
      </c>
      <c r="I3624" s="23" t="e">
        <f>VLOOKUP(H3624,'合同综合查询数据（3月返）'!$A:$A,1,FALSE)</f>
        <v>#N/A</v>
      </c>
      <c r="J3624" s="24" t="s">
        <v>33</v>
      </c>
      <c r="K3624" s="96" t="s">
        <v>4494</v>
      </c>
      <c r="L3624" s="40" t="s">
        <v>4736</v>
      </c>
      <c r="M3624" s="26" t="s">
        <v>4737</v>
      </c>
      <c r="N3624" s="106"/>
      <c r="O3624" s="94" t="s">
        <v>152</v>
      </c>
      <c r="P3624" s="268">
        <v>0</v>
      </c>
      <c r="Q3624" s="273">
        <v>0</v>
      </c>
      <c r="R3624" s="268">
        <f t="shared" si="85"/>
        <v>0</v>
      </c>
      <c r="S3624" s="24">
        <v>202303</v>
      </c>
      <c r="T3624" s="127" t="s">
        <v>4740</v>
      </c>
      <c r="U3624" s="94"/>
      <c r="V3624" s="321"/>
      <c r="W3624" s="94"/>
      <c r="X3624" s="106">
        <v>44682</v>
      </c>
      <c r="Y3624" s="106">
        <v>45046</v>
      </c>
    </row>
    <row r="3625" s="9" customFormat="1" customHeight="1" spans="1:25">
      <c r="A3625" s="96" t="s">
        <v>109</v>
      </c>
      <c r="B3625" s="94" t="s">
        <v>4074</v>
      </c>
      <c r="C3625" s="94" t="s">
        <v>44</v>
      </c>
      <c r="D3625" s="94" t="s">
        <v>4178</v>
      </c>
      <c r="E3625" s="105" t="s">
        <v>4733</v>
      </c>
      <c r="F3625" s="96" t="s">
        <v>4734</v>
      </c>
      <c r="G3625" s="96" t="s">
        <v>88</v>
      </c>
      <c r="H3625" s="19" t="s">
        <v>4735</v>
      </c>
      <c r="I3625" s="23" t="e">
        <f>VLOOKUP(H3625,'合同综合查询数据（3月返）'!$A:$A,1,FALSE)</f>
        <v>#N/A</v>
      </c>
      <c r="J3625" s="24" t="s">
        <v>126</v>
      </c>
      <c r="K3625" s="96" t="s">
        <v>4494</v>
      </c>
      <c r="L3625" s="40" t="s">
        <v>4736</v>
      </c>
      <c r="M3625" s="26" t="s">
        <v>4737</v>
      </c>
      <c r="N3625" s="106">
        <v>43936</v>
      </c>
      <c r="O3625" s="331" t="s">
        <v>624</v>
      </c>
      <c r="P3625" s="268">
        <v>4583</v>
      </c>
      <c r="Q3625" s="273">
        <v>4</v>
      </c>
      <c r="R3625" s="268">
        <f t="shared" si="85"/>
        <v>18332</v>
      </c>
      <c r="S3625" s="24">
        <v>202303</v>
      </c>
      <c r="T3625" s="127" t="s">
        <v>4741</v>
      </c>
      <c r="U3625" s="94"/>
      <c r="V3625" s="321"/>
      <c r="W3625" s="94"/>
      <c r="X3625" s="106">
        <v>44682</v>
      </c>
      <c r="Y3625" s="106">
        <v>45046</v>
      </c>
    </row>
    <row r="3626" s="9" customFormat="1" customHeight="1" spans="1:25">
      <c r="A3626" s="96" t="s">
        <v>109</v>
      </c>
      <c r="B3626" s="94" t="s">
        <v>4074</v>
      </c>
      <c r="C3626" s="94" t="s">
        <v>44</v>
      </c>
      <c r="D3626" s="94" t="s">
        <v>4178</v>
      </c>
      <c r="E3626" s="105" t="s">
        <v>4733</v>
      </c>
      <c r="F3626" s="96" t="s">
        <v>4734</v>
      </c>
      <c r="G3626" s="96" t="s">
        <v>88</v>
      </c>
      <c r="H3626" s="19" t="s">
        <v>4735</v>
      </c>
      <c r="I3626" s="23" t="e">
        <f>VLOOKUP(H3626,'合同综合查询数据（3月返）'!$A:$A,1,FALSE)</f>
        <v>#N/A</v>
      </c>
      <c r="J3626" s="24" t="s">
        <v>126</v>
      </c>
      <c r="K3626" s="96" t="s">
        <v>4494</v>
      </c>
      <c r="L3626" s="40" t="s">
        <v>4736</v>
      </c>
      <c r="M3626" s="26" t="s">
        <v>4737</v>
      </c>
      <c r="N3626" s="106">
        <v>44926</v>
      </c>
      <c r="O3626" s="331" t="s">
        <v>624</v>
      </c>
      <c r="P3626" s="268">
        <v>4583</v>
      </c>
      <c r="Q3626" s="273">
        <v>-4</v>
      </c>
      <c r="R3626" s="268">
        <f t="shared" si="85"/>
        <v>-18332</v>
      </c>
      <c r="S3626" s="24">
        <v>202303</v>
      </c>
      <c r="T3626" s="127" t="s">
        <v>4742</v>
      </c>
      <c r="U3626" s="94"/>
      <c r="V3626" s="321"/>
      <c r="W3626" s="94"/>
      <c r="X3626" s="106">
        <v>44682</v>
      </c>
      <c r="Y3626" s="106">
        <v>45046</v>
      </c>
    </row>
    <row r="3627" s="9" customFormat="1" customHeight="1" spans="1:25">
      <c r="A3627" s="96" t="s">
        <v>129</v>
      </c>
      <c r="B3627" s="94" t="s">
        <v>4074</v>
      </c>
      <c r="C3627" s="94" t="s">
        <v>4743</v>
      </c>
      <c r="D3627" s="94" t="s">
        <v>28</v>
      </c>
      <c r="E3627" s="105" t="s">
        <v>4733</v>
      </c>
      <c r="F3627" s="96" t="s">
        <v>4734</v>
      </c>
      <c r="G3627" s="96" t="s">
        <v>31</v>
      </c>
      <c r="H3627" s="19" t="s">
        <v>4744</v>
      </c>
      <c r="I3627" s="23" t="str">
        <f>VLOOKUP(H3627,'合同综合查询数据（3月返）'!$A:$A,1,FALSE)</f>
        <v>182315IDC00052</v>
      </c>
      <c r="J3627" s="24" t="s">
        <v>33</v>
      </c>
      <c r="K3627" s="94" t="s">
        <v>4743</v>
      </c>
      <c r="L3627" s="40" t="s">
        <v>4745</v>
      </c>
      <c r="M3627" s="26" t="s">
        <v>4746</v>
      </c>
      <c r="N3627" s="106">
        <v>44138</v>
      </c>
      <c r="O3627" s="331" t="s">
        <v>37</v>
      </c>
      <c r="P3627" s="268">
        <v>0</v>
      </c>
      <c r="Q3627" s="273">
        <v>288</v>
      </c>
      <c r="R3627" s="268">
        <f t="shared" si="85"/>
        <v>0</v>
      </c>
      <c r="S3627" s="24">
        <v>202303</v>
      </c>
      <c r="T3627" s="127" t="s">
        <v>4747</v>
      </c>
      <c r="U3627" s="94"/>
      <c r="V3627" s="321"/>
      <c r="W3627" s="94"/>
      <c r="X3627" s="106">
        <v>44927</v>
      </c>
      <c r="Y3627" s="106">
        <v>45291</v>
      </c>
    </row>
    <row r="3628" s="9" customFormat="1" customHeight="1" spans="1:25">
      <c r="A3628" s="96" t="s">
        <v>129</v>
      </c>
      <c r="B3628" s="94" t="s">
        <v>4074</v>
      </c>
      <c r="C3628" s="94" t="s">
        <v>4743</v>
      </c>
      <c r="D3628" s="94" t="s">
        <v>28</v>
      </c>
      <c r="E3628" s="105" t="s">
        <v>4733</v>
      </c>
      <c r="F3628" s="96" t="s">
        <v>4734</v>
      </c>
      <c r="G3628" s="96" t="s">
        <v>31</v>
      </c>
      <c r="H3628" s="19" t="s">
        <v>4744</v>
      </c>
      <c r="I3628" s="23" t="str">
        <f>VLOOKUP(H3628,'合同综合查询数据（3月返）'!$A:$A,1,FALSE)</f>
        <v>182315IDC00052</v>
      </c>
      <c r="J3628" s="24" t="s">
        <v>33</v>
      </c>
      <c r="K3628" s="94" t="s">
        <v>4743</v>
      </c>
      <c r="L3628" s="40" t="s">
        <v>4745</v>
      </c>
      <c r="M3628" s="26" t="s">
        <v>4746</v>
      </c>
      <c r="N3628" s="106"/>
      <c r="O3628" s="94" t="s">
        <v>152</v>
      </c>
      <c r="P3628" s="268">
        <v>0</v>
      </c>
      <c r="Q3628" s="273">
        <v>0</v>
      </c>
      <c r="R3628" s="268">
        <f t="shared" si="85"/>
        <v>0</v>
      </c>
      <c r="S3628" s="24">
        <v>202303</v>
      </c>
      <c r="T3628" s="127" t="s">
        <v>4748</v>
      </c>
      <c r="U3628" s="94"/>
      <c r="V3628" s="321"/>
      <c r="W3628" s="94"/>
      <c r="X3628" s="106">
        <v>44927</v>
      </c>
      <c r="Y3628" s="106">
        <v>45291</v>
      </c>
    </row>
    <row r="3629" s="9" customFormat="1" customHeight="1" spans="1:25">
      <c r="A3629" s="96" t="s">
        <v>129</v>
      </c>
      <c r="B3629" s="94" t="s">
        <v>4074</v>
      </c>
      <c r="C3629" s="94" t="s">
        <v>4743</v>
      </c>
      <c r="D3629" s="94" t="s">
        <v>28</v>
      </c>
      <c r="E3629" s="105" t="s">
        <v>4733</v>
      </c>
      <c r="F3629" s="96" t="s">
        <v>4734</v>
      </c>
      <c r="G3629" s="96" t="s">
        <v>88</v>
      </c>
      <c r="H3629" s="19" t="s">
        <v>4744</v>
      </c>
      <c r="I3629" s="23" t="str">
        <f>VLOOKUP(H3629,'合同综合查询数据（3月返）'!$A:$A,1,FALSE)</f>
        <v>182315IDC00052</v>
      </c>
      <c r="J3629" s="24" t="s">
        <v>126</v>
      </c>
      <c r="K3629" s="94" t="s">
        <v>4743</v>
      </c>
      <c r="L3629" s="40" t="s">
        <v>4745</v>
      </c>
      <c r="M3629" s="26" t="s">
        <v>4746</v>
      </c>
      <c r="N3629" s="106">
        <v>44138</v>
      </c>
      <c r="O3629" s="331" t="s">
        <v>624</v>
      </c>
      <c r="P3629" s="268">
        <v>4166.67</v>
      </c>
      <c r="Q3629" s="273">
        <v>4</v>
      </c>
      <c r="R3629" s="268">
        <f t="shared" si="85"/>
        <v>16666.68</v>
      </c>
      <c r="S3629" s="24">
        <v>202303</v>
      </c>
      <c r="T3629" s="127" t="s">
        <v>4749</v>
      </c>
      <c r="U3629" s="94"/>
      <c r="V3629" s="321"/>
      <c r="W3629" s="94"/>
      <c r="X3629" s="106">
        <v>44927</v>
      </c>
      <c r="Y3629" s="106">
        <v>45291</v>
      </c>
    </row>
    <row r="3630" s="9" customFormat="1" customHeight="1" spans="1:25">
      <c r="A3630" s="96" t="s">
        <v>129</v>
      </c>
      <c r="B3630" s="94" t="s">
        <v>4074</v>
      </c>
      <c r="C3630" s="94" t="s">
        <v>4743</v>
      </c>
      <c r="D3630" s="94" t="s">
        <v>28</v>
      </c>
      <c r="E3630" s="105" t="s">
        <v>4733</v>
      </c>
      <c r="F3630" s="96" t="s">
        <v>4734</v>
      </c>
      <c r="G3630" s="96" t="s">
        <v>88</v>
      </c>
      <c r="H3630" s="19" t="s">
        <v>4744</v>
      </c>
      <c r="I3630" s="23" t="str">
        <f>VLOOKUP(H3630,'合同综合查询数据（3月返）'!$A:$A,1,FALSE)</f>
        <v>182315IDC00052</v>
      </c>
      <c r="J3630" s="24" t="s">
        <v>126</v>
      </c>
      <c r="K3630" s="94" t="s">
        <v>4743</v>
      </c>
      <c r="L3630" s="40" t="s">
        <v>4745</v>
      </c>
      <c r="M3630" s="26" t="s">
        <v>4746</v>
      </c>
      <c r="N3630" s="106">
        <v>44197</v>
      </c>
      <c r="O3630" s="331" t="s">
        <v>624</v>
      </c>
      <c r="P3630" s="268">
        <v>4166.67</v>
      </c>
      <c r="Q3630" s="273">
        <v>2</v>
      </c>
      <c r="R3630" s="268">
        <f t="shared" si="85"/>
        <v>8333.34</v>
      </c>
      <c r="S3630" s="24">
        <v>202303</v>
      </c>
      <c r="T3630" s="127" t="s">
        <v>4750</v>
      </c>
      <c r="U3630" s="94"/>
      <c r="V3630" s="321"/>
      <c r="W3630" s="94"/>
      <c r="X3630" s="106">
        <v>44927</v>
      </c>
      <c r="Y3630" s="106">
        <v>45291</v>
      </c>
    </row>
    <row r="3631" s="9" customFormat="1" customHeight="1" spans="1:25">
      <c r="A3631" s="96" t="s">
        <v>129</v>
      </c>
      <c r="B3631" s="94" t="s">
        <v>4074</v>
      </c>
      <c r="C3631" s="94" t="s">
        <v>4743</v>
      </c>
      <c r="D3631" s="94" t="s">
        <v>28</v>
      </c>
      <c r="E3631" s="105" t="s">
        <v>4733</v>
      </c>
      <c r="F3631" s="96" t="s">
        <v>4734</v>
      </c>
      <c r="G3631" s="96" t="s">
        <v>88</v>
      </c>
      <c r="H3631" s="19" t="s">
        <v>4744</v>
      </c>
      <c r="I3631" s="23" t="str">
        <f>VLOOKUP(H3631,'合同综合查询数据（3月返）'!$A:$A,1,FALSE)</f>
        <v>182315IDC00052</v>
      </c>
      <c r="J3631" s="24" t="s">
        <v>126</v>
      </c>
      <c r="K3631" s="94" t="s">
        <v>4743</v>
      </c>
      <c r="L3631" s="40" t="s">
        <v>4745</v>
      </c>
      <c r="M3631" s="26" t="s">
        <v>4746</v>
      </c>
      <c r="N3631" s="106">
        <v>44939</v>
      </c>
      <c r="O3631" s="331" t="s">
        <v>624</v>
      </c>
      <c r="P3631" s="268">
        <v>4166.67</v>
      </c>
      <c r="Q3631" s="273">
        <v>1</v>
      </c>
      <c r="R3631" s="268">
        <f t="shared" si="85"/>
        <v>4166.67</v>
      </c>
      <c r="S3631" s="24">
        <v>202303</v>
      </c>
      <c r="T3631" s="127" t="s">
        <v>4751</v>
      </c>
      <c r="U3631" s="94"/>
      <c r="V3631" s="321"/>
      <c r="W3631" s="94"/>
      <c r="X3631" s="106">
        <v>44927</v>
      </c>
      <c r="Y3631" s="106">
        <v>45291</v>
      </c>
    </row>
    <row r="3632" s="9" customFormat="1" customHeight="1" spans="1:25">
      <c r="A3632" s="96" t="s">
        <v>109</v>
      </c>
      <c r="B3632" s="94" t="s">
        <v>4074</v>
      </c>
      <c r="C3632" s="94" t="s">
        <v>44</v>
      </c>
      <c r="D3632" s="94" t="s">
        <v>4178</v>
      </c>
      <c r="E3632" s="105" t="s">
        <v>4733</v>
      </c>
      <c r="F3632" s="96" t="s">
        <v>4734</v>
      </c>
      <c r="G3632" s="96" t="s">
        <v>31</v>
      </c>
      <c r="H3632" s="19" t="s">
        <v>4752</v>
      </c>
      <c r="I3632" s="23" t="e">
        <f>VLOOKUP(H3632,'合同综合查询数据（3月返）'!$A:$A,1,FALSE)</f>
        <v>#N/A</v>
      </c>
      <c r="J3632" s="24" t="s">
        <v>33</v>
      </c>
      <c r="K3632" s="94" t="s">
        <v>176</v>
      </c>
      <c r="L3632" s="40" t="s">
        <v>4753</v>
      </c>
      <c r="M3632" s="26" t="s">
        <v>4754</v>
      </c>
      <c r="N3632" s="106">
        <v>44348</v>
      </c>
      <c r="O3632" s="331" t="s">
        <v>37</v>
      </c>
      <c r="P3632" s="268">
        <v>0</v>
      </c>
      <c r="Q3632" s="273">
        <v>288</v>
      </c>
      <c r="R3632" s="268">
        <f t="shared" si="85"/>
        <v>0</v>
      </c>
      <c r="S3632" s="24">
        <v>202303</v>
      </c>
      <c r="T3632" s="127" t="s">
        <v>4755</v>
      </c>
      <c r="U3632" s="94"/>
      <c r="V3632" s="321"/>
      <c r="W3632" s="94"/>
      <c r="X3632" s="106">
        <v>44713</v>
      </c>
      <c r="Y3632" s="106">
        <v>45046</v>
      </c>
    </row>
    <row r="3633" s="9" customFormat="1" customHeight="1" spans="1:25">
      <c r="A3633" s="96" t="s">
        <v>109</v>
      </c>
      <c r="B3633" s="94" t="s">
        <v>4074</v>
      </c>
      <c r="C3633" s="94" t="s">
        <v>44</v>
      </c>
      <c r="D3633" s="94" t="s">
        <v>4178</v>
      </c>
      <c r="E3633" s="105" t="s">
        <v>4733</v>
      </c>
      <c r="F3633" s="96" t="s">
        <v>4734</v>
      </c>
      <c r="G3633" s="96" t="s">
        <v>31</v>
      </c>
      <c r="H3633" s="19" t="s">
        <v>4752</v>
      </c>
      <c r="I3633" s="23" t="e">
        <f>VLOOKUP(H3633,'合同综合查询数据（3月返）'!$A:$A,1,FALSE)</f>
        <v>#N/A</v>
      </c>
      <c r="J3633" s="24" t="s">
        <v>33</v>
      </c>
      <c r="K3633" s="94" t="s">
        <v>176</v>
      </c>
      <c r="L3633" s="40" t="s">
        <v>4753</v>
      </c>
      <c r="M3633" s="26" t="s">
        <v>4754</v>
      </c>
      <c r="N3633" s="106"/>
      <c r="O3633" s="331" t="s">
        <v>152</v>
      </c>
      <c r="P3633" s="268">
        <v>0</v>
      </c>
      <c r="Q3633" s="273">
        <v>0</v>
      </c>
      <c r="R3633" s="268">
        <f t="shared" si="85"/>
        <v>0</v>
      </c>
      <c r="S3633" s="24">
        <v>202303</v>
      </c>
      <c r="T3633" s="127" t="s">
        <v>4756</v>
      </c>
      <c r="U3633" s="94"/>
      <c r="V3633" s="321"/>
      <c r="W3633" s="94"/>
      <c r="X3633" s="106">
        <v>44713</v>
      </c>
      <c r="Y3633" s="106">
        <v>45046</v>
      </c>
    </row>
    <row r="3634" s="9" customFormat="1" customHeight="1" spans="1:25">
      <c r="A3634" s="96" t="s">
        <v>109</v>
      </c>
      <c r="B3634" s="94" t="s">
        <v>4074</v>
      </c>
      <c r="C3634" s="94" t="s">
        <v>44</v>
      </c>
      <c r="D3634" s="94" t="s">
        <v>4178</v>
      </c>
      <c r="E3634" s="105" t="s">
        <v>4733</v>
      </c>
      <c r="F3634" s="96" t="s">
        <v>4734</v>
      </c>
      <c r="G3634" s="96" t="s">
        <v>88</v>
      </c>
      <c r="H3634" s="19" t="s">
        <v>4752</v>
      </c>
      <c r="I3634" s="23" t="e">
        <f>VLOOKUP(H3634,'合同综合查询数据（3月返）'!$A:$A,1,FALSE)</f>
        <v>#N/A</v>
      </c>
      <c r="J3634" s="24" t="s">
        <v>126</v>
      </c>
      <c r="K3634" s="94" t="s">
        <v>176</v>
      </c>
      <c r="L3634" s="40" t="s">
        <v>4753</v>
      </c>
      <c r="M3634" s="26" t="s">
        <v>4754</v>
      </c>
      <c r="N3634" s="106">
        <v>44348</v>
      </c>
      <c r="O3634" s="331" t="s">
        <v>2283</v>
      </c>
      <c r="P3634" s="268">
        <v>6666.67</v>
      </c>
      <c r="Q3634" s="273">
        <v>4</v>
      </c>
      <c r="R3634" s="268">
        <f t="shared" si="85"/>
        <v>26666.68</v>
      </c>
      <c r="S3634" s="24">
        <v>202303</v>
      </c>
      <c r="T3634" s="127" t="s">
        <v>4757</v>
      </c>
      <c r="U3634" s="94"/>
      <c r="V3634" s="321"/>
      <c r="W3634" s="94"/>
      <c r="X3634" s="106">
        <v>44713</v>
      </c>
      <c r="Y3634" s="106">
        <v>45046</v>
      </c>
    </row>
    <row r="3635" s="9" customFormat="1" customHeight="1" spans="1:25">
      <c r="A3635" s="104" t="s">
        <v>25</v>
      </c>
      <c r="B3635" s="94" t="s">
        <v>4074</v>
      </c>
      <c r="C3635" s="94" t="s">
        <v>44</v>
      </c>
      <c r="D3635" s="94" t="s">
        <v>4178</v>
      </c>
      <c r="E3635" s="105" t="s">
        <v>4733</v>
      </c>
      <c r="F3635" s="96" t="s">
        <v>4734</v>
      </c>
      <c r="G3635" s="96" t="s">
        <v>31</v>
      </c>
      <c r="H3635" s="19" t="s">
        <v>4758</v>
      </c>
      <c r="I3635" s="23" t="e">
        <f>VLOOKUP(H3635,'合同综合查询数据（3月返）'!$A:$A,1,FALSE)</f>
        <v>#N/A</v>
      </c>
      <c r="J3635" s="24" t="s">
        <v>33</v>
      </c>
      <c r="K3635" s="94" t="s">
        <v>264</v>
      </c>
      <c r="L3635" s="40" t="s">
        <v>4759</v>
      </c>
      <c r="M3635" s="26" t="s">
        <v>4760</v>
      </c>
      <c r="N3635" s="106">
        <v>44835</v>
      </c>
      <c r="O3635" s="331" t="s">
        <v>37</v>
      </c>
      <c r="P3635" s="268">
        <v>0</v>
      </c>
      <c r="Q3635" s="273">
        <v>288</v>
      </c>
      <c r="R3635" s="268">
        <f t="shared" si="85"/>
        <v>0</v>
      </c>
      <c r="S3635" s="24">
        <v>202303</v>
      </c>
      <c r="T3635" s="127" t="s">
        <v>4761</v>
      </c>
      <c r="U3635" s="94"/>
      <c r="V3635" s="321"/>
      <c r="W3635" s="94"/>
      <c r="X3635" s="106">
        <v>44835</v>
      </c>
      <c r="Y3635" s="28">
        <v>45199</v>
      </c>
    </row>
    <row r="3636" s="9" customFormat="1" customHeight="1" spans="1:25">
      <c r="A3636" s="104" t="s">
        <v>25</v>
      </c>
      <c r="B3636" s="94" t="s">
        <v>4074</v>
      </c>
      <c r="C3636" s="94" t="s">
        <v>44</v>
      </c>
      <c r="D3636" s="94" t="s">
        <v>4178</v>
      </c>
      <c r="E3636" s="105" t="s">
        <v>4733</v>
      </c>
      <c r="F3636" s="96" t="s">
        <v>4734</v>
      </c>
      <c r="G3636" s="96" t="s">
        <v>31</v>
      </c>
      <c r="H3636" s="19" t="s">
        <v>4758</v>
      </c>
      <c r="I3636" s="23" t="e">
        <f>VLOOKUP(H3636,'合同综合查询数据（3月返）'!$A:$A,1,FALSE)</f>
        <v>#N/A</v>
      </c>
      <c r="J3636" s="24" t="s">
        <v>33</v>
      </c>
      <c r="K3636" s="94" t="s">
        <v>264</v>
      </c>
      <c r="L3636" s="40" t="s">
        <v>4759</v>
      </c>
      <c r="M3636" s="26" t="s">
        <v>4760</v>
      </c>
      <c r="N3636" s="106">
        <v>45006</v>
      </c>
      <c r="O3636" s="331" t="s">
        <v>37</v>
      </c>
      <c r="P3636" s="268">
        <v>0</v>
      </c>
      <c r="Q3636" s="273">
        <v>-128</v>
      </c>
      <c r="R3636" s="268">
        <f t="shared" si="85"/>
        <v>0</v>
      </c>
      <c r="S3636" s="24">
        <v>202303</v>
      </c>
      <c r="T3636" s="127" t="s">
        <v>4762</v>
      </c>
      <c r="U3636" s="94"/>
      <c r="V3636" s="321"/>
      <c r="W3636" s="94"/>
      <c r="X3636" s="106">
        <v>44835</v>
      </c>
      <c r="Y3636" s="28">
        <v>45199</v>
      </c>
    </row>
    <row r="3637" s="9" customFormat="1" customHeight="1" spans="1:25">
      <c r="A3637" s="104" t="s">
        <v>25</v>
      </c>
      <c r="B3637" s="94" t="s">
        <v>4074</v>
      </c>
      <c r="C3637" s="94" t="s">
        <v>44</v>
      </c>
      <c r="D3637" s="94" t="s">
        <v>4178</v>
      </c>
      <c r="E3637" s="105" t="s">
        <v>4733</v>
      </c>
      <c r="F3637" s="96" t="s">
        <v>4734</v>
      </c>
      <c r="G3637" s="96" t="s">
        <v>31</v>
      </c>
      <c r="H3637" s="19" t="s">
        <v>4758</v>
      </c>
      <c r="I3637" s="23" t="e">
        <f>VLOOKUP(H3637,'合同综合查询数据（3月返）'!$A:$A,1,FALSE)</f>
        <v>#N/A</v>
      </c>
      <c r="J3637" s="24" t="s">
        <v>33</v>
      </c>
      <c r="K3637" s="94" t="s">
        <v>264</v>
      </c>
      <c r="L3637" s="40" t="s">
        <v>4759</v>
      </c>
      <c r="M3637" s="26" t="s">
        <v>4760</v>
      </c>
      <c r="N3637" s="106">
        <v>45009</v>
      </c>
      <c r="O3637" s="331" t="s">
        <v>37</v>
      </c>
      <c r="P3637" s="268">
        <v>0</v>
      </c>
      <c r="Q3637" s="273">
        <v>128</v>
      </c>
      <c r="R3637" s="268">
        <f t="shared" si="85"/>
        <v>0</v>
      </c>
      <c r="S3637" s="24">
        <v>202303</v>
      </c>
      <c r="T3637" s="127" t="s">
        <v>4763</v>
      </c>
      <c r="U3637" s="94"/>
      <c r="V3637" s="321"/>
      <c r="W3637" s="94"/>
      <c r="X3637" s="106">
        <v>44835</v>
      </c>
      <c r="Y3637" s="28">
        <v>45199</v>
      </c>
    </row>
    <row r="3638" s="9" customFormat="1" customHeight="1" spans="1:25">
      <c r="A3638" s="104" t="s">
        <v>25</v>
      </c>
      <c r="B3638" s="94" t="s">
        <v>4074</v>
      </c>
      <c r="C3638" s="94" t="s">
        <v>44</v>
      </c>
      <c r="D3638" s="94" t="s">
        <v>4178</v>
      </c>
      <c r="E3638" s="105" t="s">
        <v>4733</v>
      </c>
      <c r="F3638" s="96" t="s">
        <v>4734</v>
      </c>
      <c r="G3638" s="96" t="s">
        <v>31</v>
      </c>
      <c r="H3638" s="19" t="s">
        <v>4758</v>
      </c>
      <c r="I3638" s="23" t="e">
        <f>VLOOKUP(H3638,'合同综合查询数据（3月返）'!$A:$A,1,FALSE)</f>
        <v>#N/A</v>
      </c>
      <c r="J3638" s="24" t="s">
        <v>33</v>
      </c>
      <c r="K3638" s="94" t="s">
        <v>264</v>
      </c>
      <c r="L3638" s="40" t="s">
        <v>4759</v>
      </c>
      <c r="M3638" s="26" t="s">
        <v>4760</v>
      </c>
      <c r="N3638" s="106"/>
      <c r="O3638" s="331" t="s">
        <v>152</v>
      </c>
      <c r="P3638" s="268">
        <v>0</v>
      </c>
      <c r="Q3638" s="273">
        <v>0</v>
      </c>
      <c r="R3638" s="268">
        <f t="shared" si="85"/>
        <v>0</v>
      </c>
      <c r="S3638" s="24">
        <v>202303</v>
      </c>
      <c r="T3638" s="127" t="s">
        <v>4416</v>
      </c>
      <c r="U3638" s="94"/>
      <c r="V3638" s="321"/>
      <c r="W3638" s="94"/>
      <c r="X3638" s="106">
        <v>44835</v>
      </c>
      <c r="Y3638" s="28">
        <v>45199</v>
      </c>
    </row>
    <row r="3639" s="9" customFormat="1" customHeight="1" spans="1:25">
      <c r="A3639" s="104" t="s">
        <v>25</v>
      </c>
      <c r="B3639" s="94" t="s">
        <v>4074</v>
      </c>
      <c r="C3639" s="94" t="s">
        <v>44</v>
      </c>
      <c r="D3639" s="94" t="s">
        <v>4178</v>
      </c>
      <c r="E3639" s="105" t="s">
        <v>4733</v>
      </c>
      <c r="F3639" s="96" t="s">
        <v>4734</v>
      </c>
      <c r="G3639" s="96" t="s">
        <v>88</v>
      </c>
      <c r="H3639" s="19" t="s">
        <v>4758</v>
      </c>
      <c r="I3639" s="23" t="e">
        <f>VLOOKUP(H3639,'合同综合查询数据（3月返）'!$A:$A,1,FALSE)</f>
        <v>#N/A</v>
      </c>
      <c r="J3639" s="24" t="s">
        <v>126</v>
      </c>
      <c r="K3639" s="94" t="s">
        <v>264</v>
      </c>
      <c r="L3639" s="40" t="s">
        <v>4759</v>
      </c>
      <c r="M3639" s="26" t="s">
        <v>4760</v>
      </c>
      <c r="N3639" s="106">
        <v>44835</v>
      </c>
      <c r="O3639" s="331" t="s">
        <v>624</v>
      </c>
      <c r="P3639" s="268">
        <v>4166.67</v>
      </c>
      <c r="Q3639" s="273">
        <v>7</v>
      </c>
      <c r="R3639" s="268">
        <f t="shared" si="85"/>
        <v>29166.69</v>
      </c>
      <c r="S3639" s="24">
        <v>202303</v>
      </c>
      <c r="T3639" s="127" t="s">
        <v>4764</v>
      </c>
      <c r="U3639" s="94"/>
      <c r="V3639" s="321"/>
      <c r="W3639" s="94"/>
      <c r="X3639" s="106">
        <v>44835</v>
      </c>
      <c r="Y3639" s="28">
        <v>45199</v>
      </c>
    </row>
    <row r="3640" s="10" customFormat="1" customHeight="1" spans="1:25">
      <c r="A3640" s="103" t="s">
        <v>25</v>
      </c>
      <c r="B3640" s="62" t="s">
        <v>4074</v>
      </c>
      <c r="C3640" s="62" t="s">
        <v>44</v>
      </c>
      <c r="D3640" s="62" t="s">
        <v>4178</v>
      </c>
      <c r="E3640" s="63" t="s">
        <v>4733</v>
      </c>
      <c r="F3640" s="60" t="s">
        <v>4734</v>
      </c>
      <c r="G3640" s="60" t="s">
        <v>88</v>
      </c>
      <c r="H3640" s="45" t="s">
        <v>4765</v>
      </c>
      <c r="I3640" s="47" t="e">
        <f>VLOOKUP(H3640,'合同综合查询数据（3月返）'!$A:$A,1,FALSE)</f>
        <v>#N/A</v>
      </c>
      <c r="J3640" s="48" t="s">
        <v>126</v>
      </c>
      <c r="K3640" s="62" t="s">
        <v>264</v>
      </c>
      <c r="L3640" s="58" t="s">
        <v>4759</v>
      </c>
      <c r="M3640" s="50" t="s">
        <v>4760</v>
      </c>
      <c r="N3640" s="111">
        <v>45009</v>
      </c>
      <c r="O3640" s="332" t="s">
        <v>624</v>
      </c>
      <c r="P3640" s="266">
        <v>3300</v>
      </c>
      <c r="Q3640" s="320">
        <v>4</v>
      </c>
      <c r="R3640" s="266">
        <f>ROUND(P3640*Q3640*8/31,2)</f>
        <v>3406.45</v>
      </c>
      <c r="S3640" s="48">
        <v>202303</v>
      </c>
      <c r="T3640" s="125" t="s">
        <v>4766</v>
      </c>
      <c r="U3640" s="62"/>
      <c r="V3640" s="326"/>
      <c r="W3640" s="62"/>
      <c r="X3640" s="111"/>
      <c r="Y3640" s="51"/>
    </row>
    <row r="3641" s="9" customFormat="1" customHeight="1" spans="1:25">
      <c r="A3641" s="96" t="s">
        <v>109</v>
      </c>
      <c r="B3641" s="94" t="s">
        <v>4074</v>
      </c>
      <c r="C3641" s="94" t="s">
        <v>44</v>
      </c>
      <c r="D3641" s="94" t="s">
        <v>4178</v>
      </c>
      <c r="E3641" s="105" t="s">
        <v>4733</v>
      </c>
      <c r="F3641" s="96" t="s">
        <v>4734</v>
      </c>
      <c r="G3641" s="96" t="s">
        <v>31</v>
      </c>
      <c r="H3641" s="19" t="s">
        <v>4767</v>
      </c>
      <c r="I3641" s="23" t="str">
        <f>VLOOKUP(H3641,'合同综合查询数据（3月返）'!$A:$A,1,FALSE)</f>
        <v>182315IDC00046</v>
      </c>
      <c r="J3641" s="24" t="s">
        <v>33</v>
      </c>
      <c r="K3641" s="94" t="s">
        <v>4768</v>
      </c>
      <c r="L3641" s="40" t="s">
        <v>4769</v>
      </c>
      <c r="M3641" s="26" t="s">
        <v>4770</v>
      </c>
      <c r="N3641" s="106">
        <v>44927</v>
      </c>
      <c r="O3641" s="331" t="s">
        <v>37</v>
      </c>
      <c r="P3641" s="268">
        <v>0</v>
      </c>
      <c r="Q3641" s="273">
        <v>288</v>
      </c>
      <c r="R3641" s="268">
        <f t="shared" ref="R3641:R3704" si="86">ROUND(P3641*Q3641,2)</f>
        <v>0</v>
      </c>
      <c r="S3641" s="24">
        <v>202303</v>
      </c>
      <c r="T3641" s="127" t="s">
        <v>4771</v>
      </c>
      <c r="U3641" s="94"/>
      <c r="V3641" s="321"/>
      <c r="W3641" s="94"/>
      <c r="X3641" s="106">
        <v>44927</v>
      </c>
      <c r="Y3641" s="106">
        <v>45291</v>
      </c>
    </row>
    <row r="3642" s="9" customFormat="1" customHeight="1" spans="1:25">
      <c r="A3642" s="96" t="s">
        <v>109</v>
      </c>
      <c r="B3642" s="94" t="s">
        <v>4074</v>
      </c>
      <c r="C3642" s="94" t="s">
        <v>44</v>
      </c>
      <c r="D3642" s="94" t="s">
        <v>4178</v>
      </c>
      <c r="E3642" s="105" t="s">
        <v>4733</v>
      </c>
      <c r="F3642" s="96" t="s">
        <v>4734</v>
      </c>
      <c r="G3642" s="96" t="s">
        <v>31</v>
      </c>
      <c r="H3642" s="19" t="s">
        <v>4767</v>
      </c>
      <c r="I3642" s="23" t="str">
        <f>VLOOKUP(H3642,'合同综合查询数据（3月返）'!$A:$A,1,FALSE)</f>
        <v>182315IDC00046</v>
      </c>
      <c r="J3642" s="24" t="s">
        <v>33</v>
      </c>
      <c r="K3642" s="94" t="s">
        <v>4768</v>
      </c>
      <c r="L3642" s="40" t="s">
        <v>4769</v>
      </c>
      <c r="M3642" s="26" t="s">
        <v>4770</v>
      </c>
      <c r="N3642" s="106"/>
      <c r="O3642" s="331" t="s">
        <v>152</v>
      </c>
      <c r="P3642" s="268">
        <v>0</v>
      </c>
      <c r="Q3642" s="273">
        <v>0</v>
      </c>
      <c r="R3642" s="268">
        <f t="shared" si="86"/>
        <v>0</v>
      </c>
      <c r="S3642" s="24">
        <v>202303</v>
      </c>
      <c r="T3642" s="127" t="s">
        <v>4772</v>
      </c>
      <c r="U3642" s="94"/>
      <c r="V3642" s="321"/>
      <c r="W3642" s="94"/>
      <c r="X3642" s="106">
        <v>44927</v>
      </c>
      <c r="Y3642" s="106">
        <v>45291</v>
      </c>
    </row>
    <row r="3643" s="9" customFormat="1" customHeight="1" spans="1:25">
      <c r="A3643" s="96" t="s">
        <v>109</v>
      </c>
      <c r="B3643" s="94" t="s">
        <v>4074</v>
      </c>
      <c r="C3643" s="94" t="s">
        <v>44</v>
      </c>
      <c r="D3643" s="94" t="s">
        <v>4178</v>
      </c>
      <c r="E3643" s="105" t="s">
        <v>4733</v>
      </c>
      <c r="F3643" s="96" t="s">
        <v>4734</v>
      </c>
      <c r="G3643" s="96" t="s">
        <v>88</v>
      </c>
      <c r="H3643" s="19" t="s">
        <v>4767</v>
      </c>
      <c r="I3643" s="23" t="str">
        <f>VLOOKUP(H3643,'合同综合查询数据（3月返）'!$A:$A,1,FALSE)</f>
        <v>182315IDC00046</v>
      </c>
      <c r="J3643" s="24" t="s">
        <v>126</v>
      </c>
      <c r="K3643" s="94" t="s">
        <v>4768</v>
      </c>
      <c r="L3643" s="40" t="s">
        <v>4769</v>
      </c>
      <c r="M3643" s="26" t="s">
        <v>4770</v>
      </c>
      <c r="N3643" s="106">
        <v>44927</v>
      </c>
      <c r="O3643" s="331" t="s">
        <v>624</v>
      </c>
      <c r="P3643" s="268">
        <v>4166.67</v>
      </c>
      <c r="Q3643" s="273">
        <v>7</v>
      </c>
      <c r="R3643" s="268">
        <f t="shared" si="86"/>
        <v>29166.69</v>
      </c>
      <c r="S3643" s="24">
        <v>202303</v>
      </c>
      <c r="T3643" s="127" t="s">
        <v>4773</v>
      </c>
      <c r="U3643" s="94"/>
      <c r="V3643" s="321"/>
      <c r="W3643" s="94"/>
      <c r="X3643" s="106">
        <v>44927</v>
      </c>
      <c r="Y3643" s="106">
        <v>45291</v>
      </c>
    </row>
    <row r="3644" s="9" customFormat="1" customHeight="1" spans="1:25">
      <c r="A3644" s="104" t="s">
        <v>25</v>
      </c>
      <c r="B3644" s="94" t="s">
        <v>4074</v>
      </c>
      <c r="C3644" s="94" t="s">
        <v>2828</v>
      </c>
      <c r="D3644" s="94" t="s">
        <v>4178</v>
      </c>
      <c r="E3644" s="105" t="s">
        <v>4774</v>
      </c>
      <c r="F3644" s="96" t="s">
        <v>4775</v>
      </c>
      <c r="G3644" s="96" t="s">
        <v>31</v>
      </c>
      <c r="H3644" s="19" t="s">
        <v>4776</v>
      </c>
      <c r="I3644" s="23" t="e">
        <f>VLOOKUP(H3644,'合同综合查询数据（3月返）'!$A:$A,1,FALSE)</f>
        <v>#N/A</v>
      </c>
      <c r="J3644" s="24" t="s">
        <v>33</v>
      </c>
      <c r="K3644" s="96" t="s">
        <v>2829</v>
      </c>
      <c r="L3644" s="114" t="s">
        <v>4777</v>
      </c>
      <c r="M3644" s="26" t="s">
        <v>4778</v>
      </c>
      <c r="N3644" s="106">
        <v>43862</v>
      </c>
      <c r="O3644" s="330" t="s">
        <v>37</v>
      </c>
      <c r="P3644" s="317">
        <v>0</v>
      </c>
      <c r="Q3644" s="268">
        <v>320</v>
      </c>
      <c r="R3644" s="268">
        <f t="shared" si="86"/>
        <v>0</v>
      </c>
      <c r="S3644" s="24">
        <v>202303</v>
      </c>
      <c r="T3644" s="127" t="s">
        <v>4779</v>
      </c>
      <c r="U3644" s="333" t="s">
        <v>4780</v>
      </c>
      <c r="V3644" s="128"/>
      <c r="W3644" s="97"/>
      <c r="X3644" s="106">
        <v>44682</v>
      </c>
      <c r="Y3644" s="106">
        <v>45046</v>
      </c>
    </row>
    <row r="3645" s="9" customFormat="1" customHeight="1" spans="1:25">
      <c r="A3645" s="104" t="s">
        <v>25</v>
      </c>
      <c r="B3645" s="94" t="s">
        <v>4074</v>
      </c>
      <c r="C3645" s="94" t="s">
        <v>2828</v>
      </c>
      <c r="D3645" s="94" t="s">
        <v>4178</v>
      </c>
      <c r="E3645" s="105" t="s">
        <v>4774</v>
      </c>
      <c r="F3645" s="96" t="s">
        <v>4775</v>
      </c>
      <c r="G3645" s="96" t="s">
        <v>31</v>
      </c>
      <c r="H3645" s="19" t="s">
        <v>4776</v>
      </c>
      <c r="I3645" s="23" t="e">
        <f>VLOOKUP(H3645,'合同综合查询数据（3月返）'!$A:$A,1,FALSE)</f>
        <v>#N/A</v>
      </c>
      <c r="J3645" s="24" t="s">
        <v>33</v>
      </c>
      <c r="K3645" s="96" t="s">
        <v>2829</v>
      </c>
      <c r="L3645" s="114" t="s">
        <v>4777</v>
      </c>
      <c r="M3645" s="26" t="s">
        <v>4778</v>
      </c>
      <c r="N3645" s="106"/>
      <c r="O3645" s="330" t="s">
        <v>152</v>
      </c>
      <c r="P3645" s="317">
        <v>0</v>
      </c>
      <c r="Q3645" s="268">
        <v>0</v>
      </c>
      <c r="R3645" s="268">
        <f t="shared" si="86"/>
        <v>0</v>
      </c>
      <c r="S3645" s="24">
        <v>202303</v>
      </c>
      <c r="T3645" s="127" t="s">
        <v>4781</v>
      </c>
      <c r="U3645" s="333" t="s">
        <v>4780</v>
      </c>
      <c r="V3645" s="128"/>
      <c r="W3645" s="97"/>
      <c r="X3645" s="106">
        <v>44682</v>
      </c>
      <c r="Y3645" s="106">
        <v>45046</v>
      </c>
    </row>
    <row r="3646" s="9" customFormat="1" customHeight="1" spans="1:25">
      <c r="A3646" s="104" t="s">
        <v>25</v>
      </c>
      <c r="B3646" s="94" t="s">
        <v>4074</v>
      </c>
      <c r="C3646" s="94" t="s">
        <v>2828</v>
      </c>
      <c r="D3646" s="94" t="s">
        <v>4178</v>
      </c>
      <c r="E3646" s="105" t="s">
        <v>4774</v>
      </c>
      <c r="F3646" s="96" t="s">
        <v>4775</v>
      </c>
      <c r="G3646" s="96" t="s">
        <v>88</v>
      </c>
      <c r="H3646" s="19" t="s">
        <v>4776</v>
      </c>
      <c r="I3646" s="23" t="e">
        <f>VLOOKUP(H3646,'合同综合查询数据（3月返）'!$A:$A,1,FALSE)</f>
        <v>#N/A</v>
      </c>
      <c r="J3646" s="24" t="s">
        <v>126</v>
      </c>
      <c r="K3646" s="96" t="s">
        <v>2829</v>
      </c>
      <c r="L3646" s="114" t="s">
        <v>4777</v>
      </c>
      <c r="M3646" s="26" t="s">
        <v>4778</v>
      </c>
      <c r="N3646" s="106">
        <v>43862</v>
      </c>
      <c r="O3646" s="94" t="s">
        <v>92</v>
      </c>
      <c r="P3646" s="268">
        <v>4166.67</v>
      </c>
      <c r="Q3646" s="273">
        <v>3</v>
      </c>
      <c r="R3646" s="268">
        <f t="shared" si="86"/>
        <v>12500.01</v>
      </c>
      <c r="S3646" s="24">
        <v>202303</v>
      </c>
      <c r="T3646" s="127" t="s">
        <v>4782</v>
      </c>
      <c r="U3646" s="97"/>
      <c r="V3646" s="128"/>
      <c r="W3646" s="97"/>
      <c r="X3646" s="106">
        <v>44682</v>
      </c>
      <c r="Y3646" s="106">
        <v>45046</v>
      </c>
    </row>
    <row r="3647" s="9" customFormat="1" customHeight="1" spans="1:25">
      <c r="A3647" s="104" t="s">
        <v>25</v>
      </c>
      <c r="B3647" s="94" t="s">
        <v>4074</v>
      </c>
      <c r="C3647" s="94" t="s">
        <v>118</v>
      </c>
      <c r="D3647" s="94" t="s">
        <v>28</v>
      </c>
      <c r="E3647" s="105" t="s">
        <v>4774</v>
      </c>
      <c r="F3647" s="96" t="s">
        <v>4775</v>
      </c>
      <c r="G3647" s="96" t="s">
        <v>31</v>
      </c>
      <c r="H3647" s="19" t="s">
        <v>4783</v>
      </c>
      <c r="I3647" s="23" t="e">
        <f>VLOOKUP(H3647,'合同综合查询数据（3月返）'!$A:$A,1,FALSE)</f>
        <v>#N/A</v>
      </c>
      <c r="J3647" s="24" t="s">
        <v>33</v>
      </c>
      <c r="K3647" s="96" t="s">
        <v>118</v>
      </c>
      <c r="L3647" s="114" t="s">
        <v>4784</v>
      </c>
      <c r="M3647" s="26" t="s">
        <v>4785</v>
      </c>
      <c r="N3647" s="106">
        <v>44014</v>
      </c>
      <c r="O3647" s="94" t="s">
        <v>37</v>
      </c>
      <c r="P3647" s="268">
        <v>0</v>
      </c>
      <c r="Q3647" s="273">
        <v>288</v>
      </c>
      <c r="R3647" s="268">
        <f t="shared" si="86"/>
        <v>0</v>
      </c>
      <c r="S3647" s="24">
        <v>202303</v>
      </c>
      <c r="T3647" s="127" t="s">
        <v>4786</v>
      </c>
      <c r="U3647" s="97"/>
      <c r="V3647" s="128"/>
      <c r="W3647" s="97"/>
      <c r="X3647" s="286">
        <v>44743</v>
      </c>
      <c r="Y3647" s="106">
        <v>45046</v>
      </c>
    </row>
    <row r="3648" s="9" customFormat="1" customHeight="1" spans="1:25">
      <c r="A3648" s="104" t="s">
        <v>25</v>
      </c>
      <c r="B3648" s="94" t="s">
        <v>4074</v>
      </c>
      <c r="C3648" s="94" t="s">
        <v>118</v>
      </c>
      <c r="D3648" s="94" t="s">
        <v>28</v>
      </c>
      <c r="E3648" s="105" t="s">
        <v>4774</v>
      </c>
      <c r="F3648" s="96" t="s">
        <v>4775</v>
      </c>
      <c r="G3648" s="96" t="s">
        <v>31</v>
      </c>
      <c r="H3648" s="19" t="s">
        <v>4783</v>
      </c>
      <c r="I3648" s="23" t="e">
        <f>VLOOKUP(H3648,'合同综合查询数据（3月返）'!$A:$A,1,FALSE)</f>
        <v>#N/A</v>
      </c>
      <c r="J3648" s="24" t="s">
        <v>33</v>
      </c>
      <c r="K3648" s="96" t="s">
        <v>118</v>
      </c>
      <c r="L3648" s="114" t="s">
        <v>4784</v>
      </c>
      <c r="M3648" s="26" t="s">
        <v>4785</v>
      </c>
      <c r="N3648" s="106"/>
      <c r="O3648" s="94" t="s">
        <v>152</v>
      </c>
      <c r="P3648" s="268">
        <v>0</v>
      </c>
      <c r="Q3648" s="273">
        <v>0</v>
      </c>
      <c r="R3648" s="268">
        <f t="shared" si="86"/>
        <v>0</v>
      </c>
      <c r="S3648" s="24">
        <v>202303</v>
      </c>
      <c r="T3648" s="127" t="s">
        <v>4787</v>
      </c>
      <c r="U3648" s="97"/>
      <c r="V3648" s="128"/>
      <c r="W3648" s="97"/>
      <c r="X3648" s="286">
        <v>44743</v>
      </c>
      <c r="Y3648" s="106">
        <v>45046</v>
      </c>
    </row>
    <row r="3649" s="9" customFormat="1" customHeight="1" spans="1:25">
      <c r="A3649" s="104" t="s">
        <v>25</v>
      </c>
      <c r="B3649" s="94" t="s">
        <v>4074</v>
      </c>
      <c r="C3649" s="94" t="s">
        <v>118</v>
      </c>
      <c r="D3649" s="94" t="s">
        <v>28</v>
      </c>
      <c r="E3649" s="105" t="s">
        <v>4774</v>
      </c>
      <c r="F3649" s="96" t="s">
        <v>4775</v>
      </c>
      <c r="G3649" s="96" t="s">
        <v>88</v>
      </c>
      <c r="H3649" s="19" t="s">
        <v>4783</v>
      </c>
      <c r="I3649" s="23" t="e">
        <f>VLOOKUP(H3649,'合同综合查询数据（3月返）'!$A:$A,1,FALSE)</f>
        <v>#N/A</v>
      </c>
      <c r="J3649" s="24" t="s">
        <v>126</v>
      </c>
      <c r="K3649" s="96" t="s">
        <v>118</v>
      </c>
      <c r="L3649" s="114" t="s">
        <v>4784</v>
      </c>
      <c r="M3649" s="26" t="s">
        <v>4785</v>
      </c>
      <c r="N3649" s="106">
        <v>44014</v>
      </c>
      <c r="O3649" s="94" t="s">
        <v>624</v>
      </c>
      <c r="P3649" s="268">
        <v>4000</v>
      </c>
      <c r="Q3649" s="273">
        <v>3</v>
      </c>
      <c r="R3649" s="268">
        <f t="shared" si="86"/>
        <v>12000</v>
      </c>
      <c r="S3649" s="24">
        <v>202303</v>
      </c>
      <c r="T3649" s="127" t="s">
        <v>4788</v>
      </c>
      <c r="U3649" s="97"/>
      <c r="V3649" s="128"/>
      <c r="W3649" s="97"/>
      <c r="X3649" s="286">
        <v>44743</v>
      </c>
      <c r="Y3649" s="106">
        <v>45046</v>
      </c>
    </row>
    <row r="3650" s="9" customFormat="1" customHeight="1" spans="1:25">
      <c r="A3650" s="96" t="s">
        <v>109</v>
      </c>
      <c r="B3650" s="94" t="s">
        <v>4074</v>
      </c>
      <c r="C3650" s="94" t="s">
        <v>2828</v>
      </c>
      <c r="D3650" s="94" t="s">
        <v>4178</v>
      </c>
      <c r="E3650" s="105" t="s">
        <v>4774</v>
      </c>
      <c r="F3650" s="96" t="s">
        <v>4775</v>
      </c>
      <c r="G3650" s="96" t="s">
        <v>31</v>
      </c>
      <c r="H3650" s="19" t="s">
        <v>4789</v>
      </c>
      <c r="I3650" s="23" t="e">
        <f>VLOOKUP(H3650,'合同综合查询数据（3月返）'!$A:$A,1,FALSE)</f>
        <v>#N/A</v>
      </c>
      <c r="J3650" s="24" t="s">
        <v>33</v>
      </c>
      <c r="K3650" s="96" t="s">
        <v>4790</v>
      </c>
      <c r="L3650" s="114" t="s">
        <v>4791</v>
      </c>
      <c r="M3650" s="26" t="s">
        <v>4792</v>
      </c>
      <c r="N3650" s="106">
        <v>44168</v>
      </c>
      <c r="O3650" s="94" t="s">
        <v>37</v>
      </c>
      <c r="P3650" s="268">
        <v>0</v>
      </c>
      <c r="Q3650" s="273">
        <v>160</v>
      </c>
      <c r="R3650" s="268">
        <f t="shared" si="86"/>
        <v>0</v>
      </c>
      <c r="S3650" s="24">
        <v>202303</v>
      </c>
      <c r="T3650" s="127" t="s">
        <v>4793</v>
      </c>
      <c r="U3650" s="97"/>
      <c r="V3650" s="128"/>
      <c r="W3650" s="97"/>
      <c r="X3650" s="106">
        <v>44166</v>
      </c>
      <c r="Y3650" s="106">
        <v>44530</v>
      </c>
    </row>
    <row r="3651" s="9" customFormat="1" customHeight="1" spans="1:25">
      <c r="A3651" s="96" t="s">
        <v>109</v>
      </c>
      <c r="B3651" s="94" t="s">
        <v>4074</v>
      </c>
      <c r="C3651" s="94" t="s">
        <v>2828</v>
      </c>
      <c r="D3651" s="94" t="s">
        <v>4178</v>
      </c>
      <c r="E3651" s="105" t="s">
        <v>4774</v>
      </c>
      <c r="F3651" s="96" t="s">
        <v>4775</v>
      </c>
      <c r="G3651" s="96" t="s">
        <v>31</v>
      </c>
      <c r="H3651" s="19" t="s">
        <v>4789</v>
      </c>
      <c r="I3651" s="23" t="e">
        <f>VLOOKUP(H3651,'合同综合查询数据（3月返）'!$A:$A,1,FALSE)</f>
        <v>#N/A</v>
      </c>
      <c r="J3651" s="24" t="s">
        <v>33</v>
      </c>
      <c r="K3651" s="96" t="s">
        <v>4790</v>
      </c>
      <c r="L3651" s="114" t="s">
        <v>4791</v>
      </c>
      <c r="M3651" s="26" t="s">
        <v>4792</v>
      </c>
      <c r="N3651" s="106">
        <v>44439</v>
      </c>
      <c r="O3651" s="94" t="s">
        <v>37</v>
      </c>
      <c r="P3651" s="268">
        <v>0</v>
      </c>
      <c r="Q3651" s="273">
        <v>-160</v>
      </c>
      <c r="R3651" s="268">
        <f t="shared" si="86"/>
        <v>0</v>
      </c>
      <c r="S3651" s="24">
        <v>202303</v>
      </c>
      <c r="T3651" s="127" t="s">
        <v>4794</v>
      </c>
      <c r="U3651" s="97"/>
      <c r="V3651" s="128"/>
      <c r="W3651" s="97"/>
      <c r="X3651" s="106">
        <v>44166</v>
      </c>
      <c r="Y3651" s="106">
        <v>44530</v>
      </c>
    </row>
    <row r="3652" s="9" customFormat="1" customHeight="1" spans="1:25">
      <c r="A3652" s="96" t="s">
        <v>109</v>
      </c>
      <c r="B3652" s="94" t="s">
        <v>4074</v>
      </c>
      <c r="C3652" s="94" t="s">
        <v>2828</v>
      </c>
      <c r="D3652" s="94" t="s">
        <v>4178</v>
      </c>
      <c r="E3652" s="105" t="s">
        <v>4774</v>
      </c>
      <c r="F3652" s="96" t="s">
        <v>4775</v>
      </c>
      <c r="G3652" s="96" t="s">
        <v>31</v>
      </c>
      <c r="H3652" s="19" t="s">
        <v>4789</v>
      </c>
      <c r="I3652" s="23" t="e">
        <f>VLOOKUP(H3652,'合同综合查询数据（3月返）'!$A:$A,1,FALSE)</f>
        <v>#N/A</v>
      </c>
      <c r="J3652" s="24" t="s">
        <v>33</v>
      </c>
      <c r="K3652" s="96" t="s">
        <v>4790</v>
      </c>
      <c r="L3652" s="114" t="s">
        <v>4791</v>
      </c>
      <c r="M3652" s="26" t="s">
        <v>4792</v>
      </c>
      <c r="N3652" s="106"/>
      <c r="O3652" s="94" t="s">
        <v>152</v>
      </c>
      <c r="P3652" s="268">
        <v>0</v>
      </c>
      <c r="Q3652" s="273">
        <v>0</v>
      </c>
      <c r="R3652" s="268">
        <f t="shared" si="86"/>
        <v>0</v>
      </c>
      <c r="S3652" s="24">
        <v>202303</v>
      </c>
      <c r="T3652" s="127" t="s">
        <v>4795</v>
      </c>
      <c r="U3652" s="97"/>
      <c r="V3652" s="128"/>
      <c r="W3652" s="97"/>
      <c r="X3652" s="106">
        <v>44166</v>
      </c>
      <c r="Y3652" s="106">
        <v>44530</v>
      </c>
    </row>
    <row r="3653" s="9" customFormat="1" customHeight="1" spans="1:25">
      <c r="A3653" s="96" t="s">
        <v>109</v>
      </c>
      <c r="B3653" s="94" t="s">
        <v>4074</v>
      </c>
      <c r="C3653" s="94" t="s">
        <v>2828</v>
      </c>
      <c r="D3653" s="94" t="s">
        <v>4178</v>
      </c>
      <c r="E3653" s="105" t="s">
        <v>4774</v>
      </c>
      <c r="F3653" s="96" t="s">
        <v>4775</v>
      </c>
      <c r="G3653" s="96" t="s">
        <v>88</v>
      </c>
      <c r="H3653" s="19" t="s">
        <v>4789</v>
      </c>
      <c r="I3653" s="23" t="e">
        <f>VLOOKUP(H3653,'合同综合查询数据（3月返）'!$A:$A,1,FALSE)</f>
        <v>#N/A</v>
      </c>
      <c r="J3653" s="24" t="s">
        <v>126</v>
      </c>
      <c r="K3653" s="96" t="s">
        <v>4790</v>
      </c>
      <c r="L3653" s="114" t="s">
        <v>4791</v>
      </c>
      <c r="M3653" s="26" t="s">
        <v>4792</v>
      </c>
      <c r="N3653" s="106">
        <v>44168</v>
      </c>
      <c r="O3653" s="94" t="s">
        <v>624</v>
      </c>
      <c r="P3653" s="268">
        <v>5000</v>
      </c>
      <c r="Q3653" s="273">
        <v>3</v>
      </c>
      <c r="R3653" s="268">
        <f t="shared" si="86"/>
        <v>15000</v>
      </c>
      <c r="S3653" s="24">
        <v>202303</v>
      </c>
      <c r="T3653" s="127" t="s">
        <v>4796</v>
      </c>
      <c r="U3653" s="97"/>
      <c r="V3653" s="128"/>
      <c r="W3653" s="97"/>
      <c r="X3653" s="106">
        <v>44166</v>
      </c>
      <c r="Y3653" s="106">
        <v>44530</v>
      </c>
    </row>
    <row r="3654" s="9" customFormat="1" customHeight="1" spans="1:25">
      <c r="A3654" s="96" t="s">
        <v>109</v>
      </c>
      <c r="B3654" s="94" t="s">
        <v>4074</v>
      </c>
      <c r="C3654" s="94" t="s">
        <v>2828</v>
      </c>
      <c r="D3654" s="94" t="s">
        <v>4178</v>
      </c>
      <c r="E3654" s="105" t="s">
        <v>4774</v>
      </c>
      <c r="F3654" s="96" t="s">
        <v>4775</v>
      </c>
      <c r="G3654" s="96" t="s">
        <v>88</v>
      </c>
      <c r="H3654" s="19" t="s">
        <v>4789</v>
      </c>
      <c r="I3654" s="23" t="e">
        <f>VLOOKUP(H3654,'合同综合查询数据（3月返）'!$A:$A,1,FALSE)</f>
        <v>#N/A</v>
      </c>
      <c r="J3654" s="24" t="s">
        <v>126</v>
      </c>
      <c r="K3654" s="96" t="s">
        <v>4790</v>
      </c>
      <c r="L3654" s="114" t="s">
        <v>4791</v>
      </c>
      <c r="M3654" s="26" t="s">
        <v>4792</v>
      </c>
      <c r="N3654" s="106">
        <v>44439</v>
      </c>
      <c r="O3654" s="94" t="s">
        <v>624</v>
      </c>
      <c r="P3654" s="268">
        <v>5000</v>
      </c>
      <c r="Q3654" s="273">
        <v>-3</v>
      </c>
      <c r="R3654" s="268">
        <f t="shared" si="86"/>
        <v>-15000</v>
      </c>
      <c r="S3654" s="24">
        <v>202303</v>
      </c>
      <c r="T3654" s="127" t="s">
        <v>4797</v>
      </c>
      <c r="U3654" s="97"/>
      <c r="V3654" s="128"/>
      <c r="W3654" s="97"/>
      <c r="X3654" s="106">
        <v>44166</v>
      </c>
      <c r="Y3654" s="106">
        <v>44530</v>
      </c>
    </row>
    <row r="3655" s="10" customFormat="1" customHeight="1" spans="1:25">
      <c r="A3655" s="60" t="s">
        <v>109</v>
      </c>
      <c r="B3655" s="62" t="s">
        <v>4074</v>
      </c>
      <c r="C3655" s="62" t="s">
        <v>2828</v>
      </c>
      <c r="D3655" s="62" t="s">
        <v>4178</v>
      </c>
      <c r="E3655" s="63" t="s">
        <v>4774</v>
      </c>
      <c r="F3655" s="60" t="s">
        <v>4775</v>
      </c>
      <c r="G3655" s="60" t="s">
        <v>31</v>
      </c>
      <c r="H3655" s="45" t="s">
        <v>4798</v>
      </c>
      <c r="I3655" s="47" t="e">
        <f>VLOOKUP(H3655,'合同综合查询数据（3月返）'!$A:$A,1,FALSE)</f>
        <v>#N/A</v>
      </c>
      <c r="J3655" s="48" t="s">
        <v>33</v>
      </c>
      <c r="K3655" s="60" t="s">
        <v>2829</v>
      </c>
      <c r="L3655" s="113" t="s">
        <v>4799</v>
      </c>
      <c r="M3655" s="50" t="s">
        <v>4800</v>
      </c>
      <c r="N3655" s="111">
        <v>44234</v>
      </c>
      <c r="O3655" s="62" t="s">
        <v>37</v>
      </c>
      <c r="P3655" s="266">
        <v>0</v>
      </c>
      <c r="Q3655" s="270">
        <v>288</v>
      </c>
      <c r="R3655" s="266">
        <f t="shared" si="86"/>
        <v>0</v>
      </c>
      <c r="S3655" s="48">
        <v>202303</v>
      </c>
      <c r="T3655" s="125" t="s">
        <v>4801</v>
      </c>
      <c r="U3655" s="102"/>
      <c r="V3655" s="126"/>
      <c r="W3655" s="126"/>
      <c r="X3655" s="111"/>
      <c r="Y3655" s="111"/>
    </row>
    <row r="3656" s="10" customFormat="1" customHeight="1" spans="1:25">
      <c r="A3656" s="60" t="s">
        <v>109</v>
      </c>
      <c r="B3656" s="62" t="s">
        <v>4074</v>
      </c>
      <c r="C3656" s="62" t="s">
        <v>2828</v>
      </c>
      <c r="D3656" s="62" t="s">
        <v>4178</v>
      </c>
      <c r="E3656" s="63" t="s">
        <v>4774</v>
      </c>
      <c r="F3656" s="60" t="s">
        <v>4775</v>
      </c>
      <c r="G3656" s="60" t="s">
        <v>31</v>
      </c>
      <c r="H3656" s="45" t="s">
        <v>4798</v>
      </c>
      <c r="I3656" s="47" t="e">
        <f>VLOOKUP(H3656,'合同综合查询数据（3月返）'!$A:$A,1,FALSE)</f>
        <v>#N/A</v>
      </c>
      <c r="J3656" s="48" t="s">
        <v>33</v>
      </c>
      <c r="K3656" s="60" t="s">
        <v>2829</v>
      </c>
      <c r="L3656" s="113" t="s">
        <v>4799</v>
      </c>
      <c r="M3656" s="50" t="s">
        <v>4800</v>
      </c>
      <c r="N3656" s="111">
        <v>44409</v>
      </c>
      <c r="O3656" s="62" t="s">
        <v>37</v>
      </c>
      <c r="P3656" s="266">
        <v>0</v>
      </c>
      <c r="Q3656" s="270">
        <v>32</v>
      </c>
      <c r="R3656" s="266">
        <f t="shared" si="86"/>
        <v>0</v>
      </c>
      <c r="S3656" s="48">
        <v>202303</v>
      </c>
      <c r="T3656" s="125" t="s">
        <v>4802</v>
      </c>
      <c r="U3656" s="102"/>
      <c r="V3656" s="126"/>
      <c r="W3656" s="126"/>
      <c r="X3656" s="111"/>
      <c r="Y3656" s="111"/>
    </row>
    <row r="3657" s="10" customFormat="1" customHeight="1" spans="1:25">
      <c r="A3657" s="60" t="s">
        <v>109</v>
      </c>
      <c r="B3657" s="62" t="s">
        <v>4074</v>
      </c>
      <c r="C3657" s="62" t="s">
        <v>2828</v>
      </c>
      <c r="D3657" s="62" t="s">
        <v>4178</v>
      </c>
      <c r="E3657" s="63" t="s">
        <v>4774</v>
      </c>
      <c r="F3657" s="60" t="s">
        <v>4775</v>
      </c>
      <c r="G3657" s="60" t="s">
        <v>31</v>
      </c>
      <c r="H3657" s="45" t="s">
        <v>4798</v>
      </c>
      <c r="I3657" s="47" t="e">
        <f>VLOOKUP(H3657,'合同综合查询数据（3月返）'!$A:$A,1,FALSE)</f>
        <v>#N/A</v>
      </c>
      <c r="J3657" s="48" t="s">
        <v>33</v>
      </c>
      <c r="K3657" s="60" t="s">
        <v>2829</v>
      </c>
      <c r="L3657" s="113" t="s">
        <v>4799</v>
      </c>
      <c r="M3657" s="50" t="s">
        <v>4800</v>
      </c>
      <c r="N3657" s="111">
        <v>44440</v>
      </c>
      <c r="O3657" s="62" t="s">
        <v>37</v>
      </c>
      <c r="P3657" s="266">
        <v>0</v>
      </c>
      <c r="Q3657" s="270">
        <v>128</v>
      </c>
      <c r="R3657" s="266">
        <f t="shared" si="86"/>
        <v>0</v>
      </c>
      <c r="S3657" s="48">
        <v>202303</v>
      </c>
      <c r="T3657" s="125" t="s">
        <v>4803</v>
      </c>
      <c r="U3657" s="102"/>
      <c r="V3657" s="126"/>
      <c r="W3657" s="126"/>
      <c r="X3657" s="111"/>
      <c r="Y3657" s="111"/>
    </row>
    <row r="3658" s="10" customFormat="1" customHeight="1" spans="1:25">
      <c r="A3658" s="60" t="s">
        <v>109</v>
      </c>
      <c r="B3658" s="62" t="s">
        <v>4074</v>
      </c>
      <c r="C3658" s="62" t="s">
        <v>2828</v>
      </c>
      <c r="D3658" s="62" t="s">
        <v>4178</v>
      </c>
      <c r="E3658" s="63" t="s">
        <v>4774</v>
      </c>
      <c r="F3658" s="60" t="s">
        <v>4775</v>
      </c>
      <c r="G3658" s="60" t="s">
        <v>31</v>
      </c>
      <c r="H3658" s="45" t="s">
        <v>4798</v>
      </c>
      <c r="I3658" s="47" t="e">
        <f>VLOOKUP(H3658,'合同综合查询数据（3月返）'!$A:$A,1,FALSE)</f>
        <v>#N/A</v>
      </c>
      <c r="J3658" s="48" t="s">
        <v>33</v>
      </c>
      <c r="K3658" s="60" t="s">
        <v>2829</v>
      </c>
      <c r="L3658" s="113" t="s">
        <v>4804</v>
      </c>
      <c r="M3658" s="50" t="s">
        <v>4800</v>
      </c>
      <c r="N3658" s="111">
        <v>44470</v>
      </c>
      <c r="O3658" s="62" t="s">
        <v>37</v>
      </c>
      <c r="P3658" s="266">
        <v>0</v>
      </c>
      <c r="Q3658" s="270">
        <v>128</v>
      </c>
      <c r="R3658" s="266">
        <f t="shared" si="86"/>
        <v>0</v>
      </c>
      <c r="S3658" s="48">
        <v>202303</v>
      </c>
      <c r="T3658" s="125" t="s">
        <v>4805</v>
      </c>
      <c r="U3658" s="102"/>
      <c r="V3658" s="126"/>
      <c r="W3658" s="126"/>
      <c r="X3658" s="111"/>
      <c r="Y3658" s="111"/>
    </row>
    <row r="3659" s="10" customFormat="1" customHeight="1" spans="1:25">
      <c r="A3659" s="60" t="s">
        <v>109</v>
      </c>
      <c r="B3659" s="62" t="s">
        <v>4074</v>
      </c>
      <c r="C3659" s="62" t="s">
        <v>2828</v>
      </c>
      <c r="D3659" s="62" t="s">
        <v>4178</v>
      </c>
      <c r="E3659" s="63" t="s">
        <v>4774</v>
      </c>
      <c r="F3659" s="60" t="s">
        <v>4775</v>
      </c>
      <c r="G3659" s="60" t="s">
        <v>31</v>
      </c>
      <c r="H3659" s="45" t="s">
        <v>4798</v>
      </c>
      <c r="I3659" s="47" t="e">
        <f>VLOOKUP(H3659,'合同综合查询数据（3月返）'!$A:$A,1,FALSE)</f>
        <v>#N/A</v>
      </c>
      <c r="J3659" s="48" t="s">
        <v>33</v>
      </c>
      <c r="K3659" s="60" t="s">
        <v>2829</v>
      </c>
      <c r="L3659" s="113" t="s">
        <v>4806</v>
      </c>
      <c r="M3659" s="50" t="s">
        <v>4800</v>
      </c>
      <c r="N3659" s="111">
        <v>44531</v>
      </c>
      <c r="O3659" s="62" t="s">
        <v>37</v>
      </c>
      <c r="P3659" s="266">
        <v>0</v>
      </c>
      <c r="Q3659" s="270">
        <v>288</v>
      </c>
      <c r="R3659" s="266">
        <f t="shared" si="86"/>
        <v>0</v>
      </c>
      <c r="S3659" s="48">
        <v>202303</v>
      </c>
      <c r="T3659" s="125" t="s">
        <v>4807</v>
      </c>
      <c r="U3659" s="102"/>
      <c r="V3659" s="126"/>
      <c r="W3659" s="126"/>
      <c r="X3659" s="111"/>
      <c r="Y3659" s="111"/>
    </row>
    <row r="3660" s="10" customFormat="1" customHeight="1" spans="1:25">
      <c r="A3660" s="60" t="s">
        <v>109</v>
      </c>
      <c r="B3660" s="62" t="s">
        <v>4074</v>
      </c>
      <c r="C3660" s="62" t="s">
        <v>2828</v>
      </c>
      <c r="D3660" s="62" t="s">
        <v>4178</v>
      </c>
      <c r="E3660" s="63" t="s">
        <v>4774</v>
      </c>
      <c r="F3660" s="60" t="s">
        <v>4775</v>
      </c>
      <c r="G3660" s="60" t="s">
        <v>31</v>
      </c>
      <c r="H3660" s="45" t="s">
        <v>4798</v>
      </c>
      <c r="I3660" s="47" t="e">
        <f>VLOOKUP(H3660,'合同综合查询数据（3月返）'!$A:$A,1,FALSE)</f>
        <v>#N/A</v>
      </c>
      <c r="J3660" s="48" t="s">
        <v>33</v>
      </c>
      <c r="K3660" s="60" t="s">
        <v>2829</v>
      </c>
      <c r="L3660" s="113" t="s">
        <v>4808</v>
      </c>
      <c r="M3660" s="50" t="s">
        <v>4800</v>
      </c>
      <c r="N3660" s="111">
        <v>44593</v>
      </c>
      <c r="O3660" s="62" t="s">
        <v>37</v>
      </c>
      <c r="P3660" s="266">
        <v>0</v>
      </c>
      <c r="Q3660" s="270">
        <v>288</v>
      </c>
      <c r="R3660" s="266">
        <f t="shared" si="86"/>
        <v>0</v>
      </c>
      <c r="S3660" s="48">
        <v>202303</v>
      </c>
      <c r="T3660" s="125" t="s">
        <v>4809</v>
      </c>
      <c r="U3660" s="102"/>
      <c r="V3660" s="126"/>
      <c r="W3660" s="126"/>
      <c r="X3660" s="111"/>
      <c r="Y3660" s="111"/>
    </row>
    <row r="3661" s="10" customFormat="1" customHeight="1" spans="1:25">
      <c r="A3661" s="60" t="s">
        <v>109</v>
      </c>
      <c r="B3661" s="62" t="s">
        <v>4074</v>
      </c>
      <c r="C3661" s="62" t="s">
        <v>2828</v>
      </c>
      <c r="D3661" s="62" t="s">
        <v>4178</v>
      </c>
      <c r="E3661" s="63" t="s">
        <v>4774</v>
      </c>
      <c r="F3661" s="60" t="s">
        <v>4775</v>
      </c>
      <c r="G3661" s="60" t="s">
        <v>31</v>
      </c>
      <c r="H3661" s="45" t="s">
        <v>4798</v>
      </c>
      <c r="I3661" s="47" t="e">
        <f>VLOOKUP(H3661,'合同综合查询数据（3月返）'!$A:$A,1,FALSE)</f>
        <v>#N/A</v>
      </c>
      <c r="J3661" s="48" t="s">
        <v>33</v>
      </c>
      <c r="K3661" s="60" t="s">
        <v>2829</v>
      </c>
      <c r="L3661" s="113" t="s">
        <v>4808</v>
      </c>
      <c r="M3661" s="50" t="s">
        <v>4800</v>
      </c>
      <c r="N3661" s="111">
        <v>44985</v>
      </c>
      <c r="O3661" s="62" t="s">
        <v>37</v>
      </c>
      <c r="P3661" s="266">
        <v>0</v>
      </c>
      <c r="Q3661" s="270">
        <v>-288</v>
      </c>
      <c r="R3661" s="266">
        <f t="shared" si="86"/>
        <v>0</v>
      </c>
      <c r="S3661" s="48">
        <v>202303</v>
      </c>
      <c r="T3661" s="125" t="s">
        <v>4810</v>
      </c>
      <c r="U3661" s="102"/>
      <c r="V3661" s="126"/>
      <c r="W3661" s="126"/>
      <c r="X3661" s="111"/>
      <c r="Y3661" s="111"/>
    </row>
    <row r="3662" s="10" customFormat="1" customHeight="1" spans="1:25">
      <c r="A3662" s="60" t="s">
        <v>109</v>
      </c>
      <c r="B3662" s="62" t="s">
        <v>4074</v>
      </c>
      <c r="C3662" s="62" t="s">
        <v>2828</v>
      </c>
      <c r="D3662" s="62" t="s">
        <v>4178</v>
      </c>
      <c r="E3662" s="63" t="s">
        <v>4774</v>
      </c>
      <c r="F3662" s="60" t="s">
        <v>4775</v>
      </c>
      <c r="G3662" s="60" t="s">
        <v>31</v>
      </c>
      <c r="H3662" s="45" t="s">
        <v>4798</v>
      </c>
      <c r="I3662" s="47" t="e">
        <f>VLOOKUP(H3662,'合同综合查询数据（3月返）'!$A:$A,1,FALSE)</f>
        <v>#N/A</v>
      </c>
      <c r="J3662" s="48" t="s">
        <v>33</v>
      </c>
      <c r="K3662" s="60" t="s">
        <v>2829</v>
      </c>
      <c r="L3662" s="113" t="s">
        <v>4811</v>
      </c>
      <c r="M3662" s="50" t="s">
        <v>4800</v>
      </c>
      <c r="N3662" s="111"/>
      <c r="O3662" s="62" t="s">
        <v>152</v>
      </c>
      <c r="P3662" s="266">
        <v>0</v>
      </c>
      <c r="Q3662" s="270">
        <v>0</v>
      </c>
      <c r="R3662" s="266">
        <f t="shared" si="86"/>
        <v>0</v>
      </c>
      <c r="S3662" s="48">
        <v>202303</v>
      </c>
      <c r="T3662" s="125" t="s">
        <v>4812</v>
      </c>
      <c r="U3662" s="102"/>
      <c r="V3662" s="126"/>
      <c r="W3662" s="126"/>
      <c r="X3662" s="111"/>
      <c r="Y3662" s="111"/>
    </row>
    <row r="3663" s="10" customFormat="1" customHeight="1" spans="1:25">
      <c r="A3663" s="60" t="s">
        <v>109</v>
      </c>
      <c r="B3663" s="62" t="s">
        <v>4074</v>
      </c>
      <c r="C3663" s="62" t="s">
        <v>2828</v>
      </c>
      <c r="D3663" s="62" t="s">
        <v>4178</v>
      </c>
      <c r="E3663" s="63" t="s">
        <v>4774</v>
      </c>
      <c r="F3663" s="60" t="s">
        <v>4775</v>
      </c>
      <c r="G3663" s="60" t="s">
        <v>88</v>
      </c>
      <c r="H3663" s="45" t="s">
        <v>4798</v>
      </c>
      <c r="I3663" s="47" t="e">
        <f>VLOOKUP(H3663,'合同综合查询数据（3月返）'!$A:$A,1,FALSE)</f>
        <v>#N/A</v>
      </c>
      <c r="J3663" s="48" t="s">
        <v>126</v>
      </c>
      <c r="K3663" s="60" t="s">
        <v>2829</v>
      </c>
      <c r="L3663" s="113" t="s">
        <v>4799</v>
      </c>
      <c r="M3663" s="50" t="s">
        <v>4800</v>
      </c>
      <c r="N3663" s="111">
        <v>44234</v>
      </c>
      <c r="O3663" s="62" t="s">
        <v>92</v>
      </c>
      <c r="P3663" s="266">
        <v>3750</v>
      </c>
      <c r="Q3663" s="270">
        <v>4</v>
      </c>
      <c r="R3663" s="266">
        <f t="shared" si="86"/>
        <v>15000</v>
      </c>
      <c r="S3663" s="48">
        <v>202303</v>
      </c>
      <c r="T3663" s="125" t="s">
        <v>4813</v>
      </c>
      <c r="U3663" s="102"/>
      <c r="V3663" s="126"/>
      <c r="W3663" s="126"/>
      <c r="X3663" s="111"/>
      <c r="Y3663" s="111"/>
    </row>
    <row r="3664" s="10" customFormat="1" customHeight="1" spans="1:25">
      <c r="A3664" s="60" t="s">
        <v>109</v>
      </c>
      <c r="B3664" s="62" t="s">
        <v>4074</v>
      </c>
      <c r="C3664" s="62" t="s">
        <v>2828</v>
      </c>
      <c r="D3664" s="62" t="s">
        <v>4178</v>
      </c>
      <c r="E3664" s="63" t="s">
        <v>4774</v>
      </c>
      <c r="F3664" s="60" t="s">
        <v>4775</v>
      </c>
      <c r="G3664" s="60" t="s">
        <v>88</v>
      </c>
      <c r="H3664" s="45" t="s">
        <v>4798</v>
      </c>
      <c r="I3664" s="47" t="e">
        <f>VLOOKUP(H3664,'合同综合查询数据（3月返）'!$A:$A,1,FALSE)</f>
        <v>#N/A</v>
      </c>
      <c r="J3664" s="48" t="s">
        <v>126</v>
      </c>
      <c r="K3664" s="60" t="s">
        <v>2829</v>
      </c>
      <c r="L3664" s="113" t="s">
        <v>4799</v>
      </c>
      <c r="M3664" s="50" t="s">
        <v>4800</v>
      </c>
      <c r="N3664" s="111">
        <v>44409</v>
      </c>
      <c r="O3664" s="62" t="s">
        <v>92</v>
      </c>
      <c r="P3664" s="266">
        <v>3750</v>
      </c>
      <c r="Q3664" s="270">
        <v>1</v>
      </c>
      <c r="R3664" s="266">
        <f t="shared" si="86"/>
        <v>3750</v>
      </c>
      <c r="S3664" s="48">
        <v>202303</v>
      </c>
      <c r="T3664" s="125" t="s">
        <v>4814</v>
      </c>
      <c r="U3664" s="102"/>
      <c r="V3664" s="126"/>
      <c r="W3664" s="126"/>
      <c r="X3664" s="111"/>
      <c r="Y3664" s="111"/>
    </row>
    <row r="3665" s="10" customFormat="1" customHeight="1" spans="1:25">
      <c r="A3665" s="60" t="s">
        <v>109</v>
      </c>
      <c r="B3665" s="62" t="s">
        <v>4074</v>
      </c>
      <c r="C3665" s="62" t="s">
        <v>2828</v>
      </c>
      <c r="D3665" s="62" t="s">
        <v>4178</v>
      </c>
      <c r="E3665" s="63" t="s">
        <v>4774</v>
      </c>
      <c r="F3665" s="60" t="s">
        <v>4775</v>
      </c>
      <c r="G3665" s="60" t="s">
        <v>88</v>
      </c>
      <c r="H3665" s="45" t="s">
        <v>4798</v>
      </c>
      <c r="I3665" s="47" t="e">
        <f>VLOOKUP(H3665,'合同综合查询数据（3月返）'!$A:$A,1,FALSE)</f>
        <v>#N/A</v>
      </c>
      <c r="J3665" s="48" t="s">
        <v>126</v>
      </c>
      <c r="K3665" s="60" t="s">
        <v>2829</v>
      </c>
      <c r="L3665" s="113" t="s">
        <v>4799</v>
      </c>
      <c r="M3665" s="50" t="s">
        <v>4800</v>
      </c>
      <c r="N3665" s="111">
        <v>44440</v>
      </c>
      <c r="O3665" s="62" t="s">
        <v>92</v>
      </c>
      <c r="P3665" s="266">
        <v>3750</v>
      </c>
      <c r="Q3665" s="270">
        <v>1</v>
      </c>
      <c r="R3665" s="266">
        <f t="shared" si="86"/>
        <v>3750</v>
      </c>
      <c r="S3665" s="48">
        <v>202303</v>
      </c>
      <c r="T3665" s="125" t="s">
        <v>4815</v>
      </c>
      <c r="U3665" s="102"/>
      <c r="V3665" s="126"/>
      <c r="W3665" s="126"/>
      <c r="X3665" s="111"/>
      <c r="Y3665" s="111"/>
    </row>
    <row r="3666" s="10" customFormat="1" customHeight="1" spans="1:25">
      <c r="A3666" s="60" t="s">
        <v>109</v>
      </c>
      <c r="B3666" s="62" t="s">
        <v>4074</v>
      </c>
      <c r="C3666" s="62" t="s">
        <v>2828</v>
      </c>
      <c r="D3666" s="62" t="s">
        <v>4178</v>
      </c>
      <c r="E3666" s="63" t="s">
        <v>4774</v>
      </c>
      <c r="F3666" s="60" t="s">
        <v>4775</v>
      </c>
      <c r="G3666" s="60" t="s">
        <v>88</v>
      </c>
      <c r="H3666" s="45" t="s">
        <v>4798</v>
      </c>
      <c r="I3666" s="47" t="e">
        <f>VLOOKUP(H3666,'合同综合查询数据（3月返）'!$A:$A,1,FALSE)</f>
        <v>#N/A</v>
      </c>
      <c r="J3666" s="48" t="s">
        <v>126</v>
      </c>
      <c r="K3666" s="60" t="s">
        <v>2829</v>
      </c>
      <c r="L3666" s="113" t="s">
        <v>4804</v>
      </c>
      <c r="M3666" s="50" t="s">
        <v>4800</v>
      </c>
      <c r="N3666" s="111">
        <v>44470</v>
      </c>
      <c r="O3666" s="62" t="s">
        <v>92</v>
      </c>
      <c r="P3666" s="266">
        <v>3750</v>
      </c>
      <c r="Q3666" s="270">
        <v>2</v>
      </c>
      <c r="R3666" s="266">
        <f t="shared" si="86"/>
        <v>7500</v>
      </c>
      <c r="S3666" s="48">
        <v>202303</v>
      </c>
      <c r="T3666" s="125" t="s">
        <v>4816</v>
      </c>
      <c r="U3666" s="102"/>
      <c r="V3666" s="126"/>
      <c r="W3666" s="126"/>
      <c r="X3666" s="111"/>
      <c r="Y3666" s="111"/>
    </row>
    <row r="3667" s="10" customFormat="1" customHeight="1" spans="1:25">
      <c r="A3667" s="60" t="s">
        <v>109</v>
      </c>
      <c r="B3667" s="62" t="s">
        <v>4074</v>
      </c>
      <c r="C3667" s="62" t="s">
        <v>2828</v>
      </c>
      <c r="D3667" s="62" t="s">
        <v>4178</v>
      </c>
      <c r="E3667" s="63" t="s">
        <v>4774</v>
      </c>
      <c r="F3667" s="60" t="s">
        <v>4775</v>
      </c>
      <c r="G3667" s="60" t="s">
        <v>88</v>
      </c>
      <c r="H3667" s="45" t="s">
        <v>4798</v>
      </c>
      <c r="I3667" s="47" t="e">
        <f>VLOOKUP(H3667,'合同综合查询数据（3月返）'!$A:$A,1,FALSE)</f>
        <v>#N/A</v>
      </c>
      <c r="J3667" s="48" t="s">
        <v>126</v>
      </c>
      <c r="K3667" s="60" t="s">
        <v>2829</v>
      </c>
      <c r="L3667" s="113" t="s">
        <v>4799</v>
      </c>
      <c r="M3667" s="50" t="s">
        <v>4800</v>
      </c>
      <c r="N3667" s="111">
        <v>44502</v>
      </c>
      <c r="O3667" s="62" t="s">
        <v>92</v>
      </c>
      <c r="P3667" s="266">
        <v>3750</v>
      </c>
      <c r="Q3667" s="270">
        <v>3</v>
      </c>
      <c r="R3667" s="266">
        <f t="shared" si="86"/>
        <v>11250</v>
      </c>
      <c r="S3667" s="48">
        <v>202303</v>
      </c>
      <c r="T3667" s="125" t="s">
        <v>4817</v>
      </c>
      <c r="U3667" s="102"/>
      <c r="V3667" s="126"/>
      <c r="W3667" s="126"/>
      <c r="X3667" s="111"/>
      <c r="Y3667" s="111"/>
    </row>
    <row r="3668" s="10" customFormat="1" customHeight="1" spans="1:25">
      <c r="A3668" s="60" t="s">
        <v>109</v>
      </c>
      <c r="B3668" s="62" t="s">
        <v>4074</v>
      </c>
      <c r="C3668" s="62" t="s">
        <v>2828</v>
      </c>
      <c r="D3668" s="62" t="s">
        <v>4178</v>
      </c>
      <c r="E3668" s="63" t="s">
        <v>4774</v>
      </c>
      <c r="F3668" s="60" t="s">
        <v>4775</v>
      </c>
      <c r="G3668" s="60" t="s">
        <v>88</v>
      </c>
      <c r="H3668" s="45" t="s">
        <v>4798</v>
      </c>
      <c r="I3668" s="47" t="e">
        <f>VLOOKUP(H3668,'合同综合查询数据（3月返）'!$A:$A,1,FALSE)</f>
        <v>#N/A</v>
      </c>
      <c r="J3668" s="48" t="s">
        <v>126</v>
      </c>
      <c r="K3668" s="60" t="s">
        <v>2829</v>
      </c>
      <c r="L3668" s="113" t="s">
        <v>4806</v>
      </c>
      <c r="M3668" s="50" t="s">
        <v>4800</v>
      </c>
      <c r="N3668" s="111">
        <v>44531</v>
      </c>
      <c r="O3668" s="62" t="s">
        <v>92</v>
      </c>
      <c r="P3668" s="266">
        <v>3750</v>
      </c>
      <c r="Q3668" s="270">
        <v>5</v>
      </c>
      <c r="R3668" s="266">
        <f t="shared" si="86"/>
        <v>18750</v>
      </c>
      <c r="S3668" s="48">
        <v>202303</v>
      </c>
      <c r="T3668" s="125" t="s">
        <v>4818</v>
      </c>
      <c r="U3668" s="102"/>
      <c r="V3668" s="126"/>
      <c r="W3668" s="126"/>
      <c r="X3668" s="111"/>
      <c r="Y3668" s="111"/>
    </row>
    <row r="3669" s="10" customFormat="1" customHeight="1" spans="1:25">
      <c r="A3669" s="60" t="s">
        <v>109</v>
      </c>
      <c r="B3669" s="62" t="s">
        <v>4074</v>
      </c>
      <c r="C3669" s="62" t="s">
        <v>2828</v>
      </c>
      <c r="D3669" s="62" t="s">
        <v>4178</v>
      </c>
      <c r="E3669" s="63" t="s">
        <v>4774</v>
      </c>
      <c r="F3669" s="60" t="s">
        <v>4775</v>
      </c>
      <c r="G3669" s="60" t="s">
        <v>88</v>
      </c>
      <c r="H3669" s="45" t="s">
        <v>4798</v>
      </c>
      <c r="I3669" s="47" t="e">
        <f>VLOOKUP(H3669,'合同综合查询数据（3月返）'!$A:$A,1,FALSE)</f>
        <v>#N/A</v>
      </c>
      <c r="J3669" s="48" t="s">
        <v>126</v>
      </c>
      <c r="K3669" s="60" t="s">
        <v>2829</v>
      </c>
      <c r="L3669" s="113" t="s">
        <v>4806</v>
      </c>
      <c r="M3669" s="50" t="s">
        <v>4800</v>
      </c>
      <c r="N3669" s="111">
        <v>44593</v>
      </c>
      <c r="O3669" s="62" t="s">
        <v>92</v>
      </c>
      <c r="P3669" s="266">
        <v>3750</v>
      </c>
      <c r="Q3669" s="270">
        <v>2</v>
      </c>
      <c r="R3669" s="266">
        <f t="shared" si="86"/>
        <v>7500</v>
      </c>
      <c r="S3669" s="48">
        <v>202303</v>
      </c>
      <c r="T3669" s="125" t="s">
        <v>4819</v>
      </c>
      <c r="U3669" s="102"/>
      <c r="V3669" s="126"/>
      <c r="W3669" s="126"/>
      <c r="X3669" s="111"/>
      <c r="Y3669" s="111"/>
    </row>
    <row r="3670" s="10" customFormat="1" customHeight="1" spans="1:25">
      <c r="A3670" s="60" t="s">
        <v>109</v>
      </c>
      <c r="B3670" s="62" t="s">
        <v>4074</v>
      </c>
      <c r="C3670" s="62" t="s">
        <v>2828</v>
      </c>
      <c r="D3670" s="62" t="s">
        <v>4178</v>
      </c>
      <c r="E3670" s="63" t="s">
        <v>4774</v>
      </c>
      <c r="F3670" s="60" t="s">
        <v>4775</v>
      </c>
      <c r="G3670" s="60" t="s">
        <v>88</v>
      </c>
      <c r="H3670" s="45" t="s">
        <v>4798</v>
      </c>
      <c r="I3670" s="47" t="e">
        <f>VLOOKUP(H3670,'合同综合查询数据（3月返）'!$A:$A,1,FALSE)</f>
        <v>#N/A</v>
      </c>
      <c r="J3670" s="48" t="s">
        <v>126</v>
      </c>
      <c r="K3670" s="60" t="s">
        <v>2829</v>
      </c>
      <c r="L3670" s="113" t="s">
        <v>4808</v>
      </c>
      <c r="M3670" s="50" t="s">
        <v>4800</v>
      </c>
      <c r="N3670" s="111">
        <v>44593</v>
      </c>
      <c r="O3670" s="62" t="s">
        <v>92</v>
      </c>
      <c r="P3670" s="266">
        <v>3750</v>
      </c>
      <c r="Q3670" s="270">
        <v>5</v>
      </c>
      <c r="R3670" s="266">
        <f t="shared" si="86"/>
        <v>18750</v>
      </c>
      <c r="S3670" s="48">
        <v>202303</v>
      </c>
      <c r="T3670" s="125" t="s">
        <v>4820</v>
      </c>
      <c r="U3670" s="102"/>
      <c r="V3670" s="126"/>
      <c r="W3670" s="126"/>
      <c r="X3670" s="111"/>
      <c r="Y3670" s="111"/>
    </row>
    <row r="3671" s="10" customFormat="1" customHeight="1" spans="1:25">
      <c r="A3671" s="60" t="s">
        <v>109</v>
      </c>
      <c r="B3671" s="62" t="s">
        <v>4074</v>
      </c>
      <c r="C3671" s="62" t="s">
        <v>2828</v>
      </c>
      <c r="D3671" s="62" t="s">
        <v>4178</v>
      </c>
      <c r="E3671" s="63" t="s">
        <v>4774</v>
      </c>
      <c r="F3671" s="60" t="s">
        <v>4775</v>
      </c>
      <c r="G3671" s="60" t="s">
        <v>88</v>
      </c>
      <c r="H3671" s="45" t="s">
        <v>4798</v>
      </c>
      <c r="I3671" s="47" t="e">
        <f>VLOOKUP(H3671,'合同综合查询数据（3月返）'!$A:$A,1,FALSE)</f>
        <v>#N/A</v>
      </c>
      <c r="J3671" s="48" t="s">
        <v>126</v>
      </c>
      <c r="K3671" s="60" t="s">
        <v>2829</v>
      </c>
      <c r="L3671" s="113" t="s">
        <v>4808</v>
      </c>
      <c r="M3671" s="50" t="s">
        <v>4800</v>
      </c>
      <c r="N3671" s="111">
        <v>44985</v>
      </c>
      <c r="O3671" s="62" t="s">
        <v>92</v>
      </c>
      <c r="P3671" s="266">
        <v>3750</v>
      </c>
      <c r="Q3671" s="270">
        <v>-5</v>
      </c>
      <c r="R3671" s="266">
        <f t="shared" si="86"/>
        <v>-18750</v>
      </c>
      <c r="S3671" s="48">
        <v>202303</v>
      </c>
      <c r="T3671" s="125" t="s">
        <v>4821</v>
      </c>
      <c r="U3671" s="102"/>
      <c r="V3671" s="126"/>
      <c r="W3671" s="126"/>
      <c r="X3671" s="111"/>
      <c r="Y3671" s="111"/>
    </row>
    <row r="3672" s="9" customFormat="1" customHeight="1" spans="1:25">
      <c r="A3672" s="96" t="s">
        <v>25</v>
      </c>
      <c r="B3672" s="96" t="s">
        <v>4074</v>
      </c>
      <c r="C3672" s="96" t="s">
        <v>2828</v>
      </c>
      <c r="D3672" s="94" t="s">
        <v>4178</v>
      </c>
      <c r="E3672" s="105" t="s">
        <v>4822</v>
      </c>
      <c r="F3672" s="96" t="s">
        <v>4823</v>
      </c>
      <c r="G3672" s="96" t="s">
        <v>31</v>
      </c>
      <c r="H3672" s="19" t="s">
        <v>4824</v>
      </c>
      <c r="I3672" s="23" t="e">
        <f>VLOOKUP(H3672,'合同综合查询数据（3月返）'!$A:$A,1,FALSE)</f>
        <v>#N/A</v>
      </c>
      <c r="J3672" s="24" t="s">
        <v>33</v>
      </c>
      <c r="K3672" s="96" t="s">
        <v>2955</v>
      </c>
      <c r="L3672" s="114" t="s">
        <v>4825</v>
      </c>
      <c r="M3672" s="26" t="s">
        <v>4826</v>
      </c>
      <c r="N3672" s="311" t="s">
        <v>4827</v>
      </c>
      <c r="O3672" s="311" t="s">
        <v>37</v>
      </c>
      <c r="P3672" s="268">
        <v>0</v>
      </c>
      <c r="Q3672" s="273">
        <v>288</v>
      </c>
      <c r="R3672" s="268">
        <f t="shared" si="86"/>
        <v>0</v>
      </c>
      <c r="S3672" s="24">
        <v>202303</v>
      </c>
      <c r="T3672" s="127" t="s">
        <v>4828</v>
      </c>
      <c r="U3672" s="40"/>
      <c r="V3672" s="40"/>
      <c r="W3672" s="40"/>
      <c r="X3672" s="106">
        <v>44713</v>
      </c>
      <c r="Y3672" s="106">
        <v>45046</v>
      </c>
    </row>
    <row r="3673" s="9" customFormat="1" customHeight="1" spans="1:25">
      <c r="A3673" s="104" t="s">
        <v>25</v>
      </c>
      <c r="B3673" s="96" t="s">
        <v>4074</v>
      </c>
      <c r="C3673" s="96" t="s">
        <v>2828</v>
      </c>
      <c r="D3673" s="94" t="s">
        <v>4178</v>
      </c>
      <c r="E3673" s="105" t="s">
        <v>4822</v>
      </c>
      <c r="F3673" s="96" t="s">
        <v>4823</v>
      </c>
      <c r="G3673" s="96" t="s">
        <v>31</v>
      </c>
      <c r="H3673" s="19" t="s">
        <v>4824</v>
      </c>
      <c r="I3673" s="23" t="e">
        <f>VLOOKUP(H3673,'合同综合查询数据（3月返）'!$A:$A,1,FALSE)</f>
        <v>#N/A</v>
      </c>
      <c r="J3673" s="24" t="s">
        <v>33</v>
      </c>
      <c r="K3673" s="96" t="s">
        <v>2955</v>
      </c>
      <c r="L3673" s="114" t="s">
        <v>4829</v>
      </c>
      <c r="M3673" s="26" t="s">
        <v>4826</v>
      </c>
      <c r="N3673" s="106">
        <v>43983</v>
      </c>
      <c r="O3673" s="94" t="s">
        <v>37</v>
      </c>
      <c r="P3673" s="268">
        <v>0</v>
      </c>
      <c r="Q3673" s="273">
        <v>160</v>
      </c>
      <c r="R3673" s="268">
        <f t="shared" si="86"/>
        <v>0</v>
      </c>
      <c r="S3673" s="24">
        <v>202303</v>
      </c>
      <c r="T3673" s="127" t="s">
        <v>4830</v>
      </c>
      <c r="U3673" s="97"/>
      <c r="V3673" s="128"/>
      <c r="W3673" s="97"/>
      <c r="X3673" s="106">
        <v>44713</v>
      </c>
      <c r="Y3673" s="106">
        <v>45046</v>
      </c>
    </row>
    <row r="3674" s="9" customFormat="1" customHeight="1" spans="1:25">
      <c r="A3674" s="104" t="s">
        <v>25</v>
      </c>
      <c r="B3674" s="96" t="s">
        <v>4074</v>
      </c>
      <c r="C3674" s="96" t="s">
        <v>2828</v>
      </c>
      <c r="D3674" s="94" t="s">
        <v>4178</v>
      </c>
      <c r="E3674" s="105" t="s">
        <v>4822</v>
      </c>
      <c r="F3674" s="96" t="s">
        <v>4823</v>
      </c>
      <c r="G3674" s="96" t="s">
        <v>31</v>
      </c>
      <c r="H3674" s="19" t="s">
        <v>4824</v>
      </c>
      <c r="I3674" s="23" t="e">
        <f>VLOOKUP(H3674,'合同综合查询数据（3月返）'!$A:$A,1,FALSE)</f>
        <v>#N/A</v>
      </c>
      <c r="J3674" s="24" t="s">
        <v>33</v>
      </c>
      <c r="K3674" s="96" t="s">
        <v>2955</v>
      </c>
      <c r="L3674" s="114"/>
      <c r="M3674" s="26" t="s">
        <v>4826</v>
      </c>
      <c r="N3674" s="106"/>
      <c r="O3674" s="94" t="s">
        <v>152</v>
      </c>
      <c r="P3674" s="268">
        <v>0</v>
      </c>
      <c r="Q3674" s="273">
        <v>0</v>
      </c>
      <c r="R3674" s="268">
        <f t="shared" si="86"/>
        <v>0</v>
      </c>
      <c r="S3674" s="24">
        <v>202303</v>
      </c>
      <c r="T3674" s="127" t="s">
        <v>4831</v>
      </c>
      <c r="U3674" s="97"/>
      <c r="V3674" s="128"/>
      <c r="W3674" s="97"/>
      <c r="X3674" s="106">
        <v>44713</v>
      </c>
      <c r="Y3674" s="106">
        <v>45046</v>
      </c>
    </row>
    <row r="3675" s="9" customFormat="1" customHeight="1" spans="1:25">
      <c r="A3675" s="96" t="s">
        <v>25</v>
      </c>
      <c r="B3675" s="96" t="s">
        <v>4074</v>
      </c>
      <c r="C3675" s="96" t="s">
        <v>2828</v>
      </c>
      <c r="D3675" s="94" t="s">
        <v>4178</v>
      </c>
      <c r="E3675" s="105" t="s">
        <v>4822</v>
      </c>
      <c r="F3675" s="96" t="s">
        <v>4823</v>
      </c>
      <c r="G3675" s="96" t="s">
        <v>88</v>
      </c>
      <c r="H3675" s="19" t="s">
        <v>4824</v>
      </c>
      <c r="I3675" s="23" t="e">
        <f>VLOOKUP(H3675,'合同综合查询数据（3月返）'!$A:$A,1,FALSE)</f>
        <v>#N/A</v>
      </c>
      <c r="J3675" s="24" t="s">
        <v>126</v>
      </c>
      <c r="K3675" s="96" t="s">
        <v>2955</v>
      </c>
      <c r="L3675" s="114" t="s">
        <v>4825</v>
      </c>
      <c r="M3675" s="26" t="s">
        <v>4826</v>
      </c>
      <c r="N3675" s="311">
        <v>43299</v>
      </c>
      <c r="O3675" s="311" t="s">
        <v>1424</v>
      </c>
      <c r="P3675" s="268">
        <v>3500</v>
      </c>
      <c r="Q3675" s="273">
        <v>2</v>
      </c>
      <c r="R3675" s="268">
        <f t="shared" si="86"/>
        <v>7000</v>
      </c>
      <c r="S3675" s="24">
        <v>202303</v>
      </c>
      <c r="T3675" s="127" t="s">
        <v>4832</v>
      </c>
      <c r="U3675" s="40"/>
      <c r="V3675" s="40"/>
      <c r="W3675" s="40"/>
      <c r="X3675" s="106">
        <v>44713</v>
      </c>
      <c r="Y3675" s="106">
        <v>45046</v>
      </c>
    </row>
    <row r="3676" s="9" customFormat="1" customHeight="1" spans="1:25">
      <c r="A3676" s="96" t="s">
        <v>25</v>
      </c>
      <c r="B3676" s="96" t="s">
        <v>4074</v>
      </c>
      <c r="C3676" s="96" t="s">
        <v>2828</v>
      </c>
      <c r="D3676" s="94" t="s">
        <v>4178</v>
      </c>
      <c r="E3676" s="105" t="s">
        <v>4822</v>
      </c>
      <c r="F3676" s="96" t="s">
        <v>4823</v>
      </c>
      <c r="G3676" s="96" t="s">
        <v>88</v>
      </c>
      <c r="H3676" s="19" t="s">
        <v>4824</v>
      </c>
      <c r="I3676" s="23" t="e">
        <f>VLOOKUP(H3676,'合同综合查询数据（3月返）'!$A:$A,1,FALSE)</f>
        <v>#N/A</v>
      </c>
      <c r="J3676" s="24" t="s">
        <v>126</v>
      </c>
      <c r="K3676" s="96" t="s">
        <v>2955</v>
      </c>
      <c r="L3676" s="114" t="s">
        <v>4825</v>
      </c>
      <c r="M3676" s="26" t="s">
        <v>4826</v>
      </c>
      <c r="N3676" s="311">
        <v>43299</v>
      </c>
      <c r="O3676" s="311" t="s">
        <v>1424</v>
      </c>
      <c r="P3676" s="268">
        <v>3500</v>
      </c>
      <c r="Q3676" s="273">
        <v>2</v>
      </c>
      <c r="R3676" s="268">
        <f t="shared" si="86"/>
        <v>7000</v>
      </c>
      <c r="S3676" s="24">
        <v>202303</v>
      </c>
      <c r="T3676" s="127" t="s">
        <v>4833</v>
      </c>
      <c r="U3676" s="40"/>
      <c r="V3676" s="40"/>
      <c r="W3676" s="40"/>
      <c r="X3676" s="106">
        <v>44713</v>
      </c>
      <c r="Y3676" s="106">
        <v>45046</v>
      </c>
    </row>
    <row r="3677" s="9" customFormat="1" customHeight="1" spans="1:25">
      <c r="A3677" s="96" t="s">
        <v>25</v>
      </c>
      <c r="B3677" s="96" t="s">
        <v>4074</v>
      </c>
      <c r="C3677" s="96" t="s">
        <v>2828</v>
      </c>
      <c r="D3677" s="94" t="s">
        <v>4178</v>
      </c>
      <c r="E3677" s="105" t="s">
        <v>4822</v>
      </c>
      <c r="F3677" s="96" t="s">
        <v>4823</v>
      </c>
      <c r="G3677" s="96" t="s">
        <v>88</v>
      </c>
      <c r="H3677" s="19" t="s">
        <v>4824</v>
      </c>
      <c r="I3677" s="23" t="e">
        <f>VLOOKUP(H3677,'合同综合查询数据（3月返）'!$A:$A,1,FALSE)</f>
        <v>#N/A</v>
      </c>
      <c r="J3677" s="24" t="s">
        <v>126</v>
      </c>
      <c r="K3677" s="96" t="s">
        <v>2955</v>
      </c>
      <c r="L3677" s="114" t="s">
        <v>4825</v>
      </c>
      <c r="M3677" s="26" t="s">
        <v>4826</v>
      </c>
      <c r="N3677" s="311">
        <v>43709</v>
      </c>
      <c r="O3677" s="311" t="s">
        <v>1424</v>
      </c>
      <c r="P3677" s="268">
        <v>3500</v>
      </c>
      <c r="Q3677" s="273">
        <v>3</v>
      </c>
      <c r="R3677" s="268">
        <f t="shared" si="86"/>
        <v>10500</v>
      </c>
      <c r="S3677" s="24">
        <v>202303</v>
      </c>
      <c r="T3677" s="127" t="s">
        <v>4834</v>
      </c>
      <c r="U3677" s="40"/>
      <c r="V3677" s="40"/>
      <c r="W3677" s="40"/>
      <c r="X3677" s="106">
        <v>44713</v>
      </c>
      <c r="Y3677" s="106">
        <v>45046</v>
      </c>
    </row>
    <row r="3678" s="9" customFormat="1" customHeight="1" spans="1:25">
      <c r="A3678" s="104" t="s">
        <v>25</v>
      </c>
      <c r="B3678" s="96" t="s">
        <v>4074</v>
      </c>
      <c r="C3678" s="96" t="s">
        <v>2828</v>
      </c>
      <c r="D3678" s="94" t="s">
        <v>4178</v>
      </c>
      <c r="E3678" s="105" t="s">
        <v>4822</v>
      </c>
      <c r="F3678" s="96" t="s">
        <v>4823</v>
      </c>
      <c r="G3678" s="96" t="s">
        <v>88</v>
      </c>
      <c r="H3678" s="19" t="s">
        <v>4824</v>
      </c>
      <c r="I3678" s="23" t="e">
        <f>VLOOKUP(H3678,'合同综合查询数据（3月返）'!$A:$A,1,FALSE)</f>
        <v>#N/A</v>
      </c>
      <c r="J3678" s="24" t="s">
        <v>126</v>
      </c>
      <c r="K3678" s="96" t="s">
        <v>2955</v>
      </c>
      <c r="L3678" s="114" t="s">
        <v>4829</v>
      </c>
      <c r="M3678" s="26" t="s">
        <v>4826</v>
      </c>
      <c r="N3678" s="106">
        <v>43983</v>
      </c>
      <c r="O3678" s="311" t="s">
        <v>1424</v>
      </c>
      <c r="P3678" s="268">
        <v>3500</v>
      </c>
      <c r="Q3678" s="273">
        <v>2</v>
      </c>
      <c r="R3678" s="268">
        <f t="shared" si="86"/>
        <v>7000</v>
      </c>
      <c r="S3678" s="24">
        <v>202303</v>
      </c>
      <c r="T3678" s="127" t="s">
        <v>4835</v>
      </c>
      <c r="U3678" s="97"/>
      <c r="V3678" s="128"/>
      <c r="W3678" s="97"/>
      <c r="X3678" s="106">
        <v>44713</v>
      </c>
      <c r="Y3678" s="106">
        <v>45046</v>
      </c>
    </row>
    <row r="3679" s="9" customFormat="1" customHeight="1" spans="1:25">
      <c r="A3679" s="96" t="s">
        <v>129</v>
      </c>
      <c r="B3679" s="94" t="s">
        <v>4074</v>
      </c>
      <c r="C3679" s="94" t="s">
        <v>210</v>
      </c>
      <c r="D3679" s="94" t="s">
        <v>28</v>
      </c>
      <c r="E3679" s="105" t="s">
        <v>4836</v>
      </c>
      <c r="F3679" s="96" t="s">
        <v>4837</v>
      </c>
      <c r="G3679" s="96" t="s">
        <v>31</v>
      </c>
      <c r="H3679" s="19" t="s">
        <v>4838</v>
      </c>
      <c r="I3679" s="23" t="e">
        <f>VLOOKUP(H3679,'合同综合查询数据（3月返）'!$A:$A,1,FALSE)</f>
        <v>#N/A</v>
      </c>
      <c r="J3679" s="24" t="s">
        <v>33</v>
      </c>
      <c r="K3679" s="96" t="s">
        <v>4839</v>
      </c>
      <c r="L3679" s="114" t="s">
        <v>4840</v>
      </c>
      <c r="M3679" s="26" t="s">
        <v>4841</v>
      </c>
      <c r="N3679" s="106">
        <v>43852</v>
      </c>
      <c r="O3679" s="40" t="s">
        <v>37</v>
      </c>
      <c r="P3679" s="273">
        <v>0</v>
      </c>
      <c r="Q3679" s="268">
        <v>288</v>
      </c>
      <c r="R3679" s="268">
        <f t="shared" si="86"/>
        <v>0</v>
      </c>
      <c r="S3679" s="24">
        <v>202303</v>
      </c>
      <c r="T3679" s="127" t="s">
        <v>4842</v>
      </c>
      <c r="U3679" s="97"/>
      <c r="V3679" s="128"/>
      <c r="W3679" s="97"/>
      <c r="X3679" s="106">
        <v>44774</v>
      </c>
      <c r="Y3679" s="106">
        <v>45138</v>
      </c>
    </row>
    <row r="3680" s="9" customFormat="1" customHeight="1" spans="1:25">
      <c r="A3680" s="96" t="s">
        <v>129</v>
      </c>
      <c r="B3680" s="94" t="s">
        <v>4074</v>
      </c>
      <c r="C3680" s="94" t="s">
        <v>210</v>
      </c>
      <c r="D3680" s="94" t="s">
        <v>28</v>
      </c>
      <c r="E3680" s="105" t="s">
        <v>4836</v>
      </c>
      <c r="F3680" s="96" t="s">
        <v>4837</v>
      </c>
      <c r="G3680" s="96" t="s">
        <v>31</v>
      </c>
      <c r="H3680" s="19" t="s">
        <v>4838</v>
      </c>
      <c r="I3680" s="23" t="e">
        <f>VLOOKUP(H3680,'合同综合查询数据（3月返）'!$A:$A,1,FALSE)</f>
        <v>#N/A</v>
      </c>
      <c r="J3680" s="24" t="s">
        <v>33</v>
      </c>
      <c r="K3680" s="96" t="s">
        <v>4839</v>
      </c>
      <c r="L3680" s="114" t="s">
        <v>4840</v>
      </c>
      <c r="M3680" s="26" t="s">
        <v>4841</v>
      </c>
      <c r="N3680" s="106">
        <v>44763</v>
      </c>
      <c r="O3680" s="40" t="s">
        <v>37</v>
      </c>
      <c r="P3680" s="273">
        <v>0</v>
      </c>
      <c r="Q3680" s="268">
        <v>-128</v>
      </c>
      <c r="R3680" s="268">
        <f t="shared" si="86"/>
        <v>0</v>
      </c>
      <c r="S3680" s="24">
        <v>202303</v>
      </c>
      <c r="T3680" s="127" t="s">
        <v>4843</v>
      </c>
      <c r="U3680" s="97"/>
      <c r="V3680" s="128"/>
      <c r="W3680" s="97"/>
      <c r="X3680" s="106">
        <v>44774</v>
      </c>
      <c r="Y3680" s="106">
        <v>45138</v>
      </c>
    </row>
    <row r="3681" s="9" customFormat="1" customHeight="1" spans="1:25">
      <c r="A3681" s="96" t="s">
        <v>129</v>
      </c>
      <c r="B3681" s="94" t="s">
        <v>4074</v>
      </c>
      <c r="C3681" s="94" t="s">
        <v>210</v>
      </c>
      <c r="D3681" s="94" t="s">
        <v>28</v>
      </c>
      <c r="E3681" s="105" t="s">
        <v>4836</v>
      </c>
      <c r="F3681" s="96" t="s">
        <v>4837</v>
      </c>
      <c r="G3681" s="96" t="s">
        <v>31</v>
      </c>
      <c r="H3681" s="19" t="s">
        <v>4838</v>
      </c>
      <c r="I3681" s="23" t="e">
        <f>VLOOKUP(H3681,'合同综合查询数据（3月返）'!$A:$A,1,FALSE)</f>
        <v>#N/A</v>
      </c>
      <c r="J3681" s="24" t="s">
        <v>33</v>
      </c>
      <c r="K3681" s="96" t="s">
        <v>4839</v>
      </c>
      <c r="L3681" s="114" t="s">
        <v>4840</v>
      </c>
      <c r="M3681" s="26" t="s">
        <v>4841</v>
      </c>
      <c r="N3681" s="106"/>
      <c r="O3681" s="94" t="s">
        <v>152</v>
      </c>
      <c r="P3681" s="273">
        <v>0</v>
      </c>
      <c r="Q3681" s="273">
        <v>0</v>
      </c>
      <c r="R3681" s="268">
        <f t="shared" si="86"/>
        <v>0</v>
      </c>
      <c r="S3681" s="24">
        <v>202303</v>
      </c>
      <c r="T3681" s="127" t="s">
        <v>4844</v>
      </c>
      <c r="U3681" s="97"/>
      <c r="V3681" s="128"/>
      <c r="W3681" s="97"/>
      <c r="X3681" s="106">
        <v>44774</v>
      </c>
      <c r="Y3681" s="106">
        <v>45138</v>
      </c>
    </row>
    <row r="3682" s="9" customFormat="1" customHeight="1" spans="1:25">
      <c r="A3682" s="96" t="s">
        <v>129</v>
      </c>
      <c r="B3682" s="94" t="s">
        <v>4074</v>
      </c>
      <c r="C3682" s="94" t="s">
        <v>210</v>
      </c>
      <c r="D3682" s="94" t="s">
        <v>28</v>
      </c>
      <c r="E3682" s="105" t="s">
        <v>4836</v>
      </c>
      <c r="F3682" s="96" t="s">
        <v>4837</v>
      </c>
      <c r="G3682" s="96" t="s">
        <v>88</v>
      </c>
      <c r="H3682" s="19" t="s">
        <v>4838</v>
      </c>
      <c r="I3682" s="23" t="e">
        <f>VLOOKUP(H3682,'合同综合查询数据（3月返）'!$A:$A,1,FALSE)</f>
        <v>#N/A</v>
      </c>
      <c r="J3682" s="24" t="s">
        <v>126</v>
      </c>
      <c r="K3682" s="96" t="s">
        <v>4839</v>
      </c>
      <c r="L3682" s="114" t="s">
        <v>4840</v>
      </c>
      <c r="M3682" s="26" t="s">
        <v>4841</v>
      </c>
      <c r="N3682" s="106">
        <v>43852</v>
      </c>
      <c r="O3682" s="94" t="s">
        <v>92</v>
      </c>
      <c r="P3682" s="268">
        <v>0</v>
      </c>
      <c r="Q3682" s="273">
        <v>5</v>
      </c>
      <c r="R3682" s="268">
        <f t="shared" si="86"/>
        <v>0</v>
      </c>
      <c r="S3682" s="24">
        <v>202303</v>
      </c>
      <c r="T3682" s="127" t="s">
        <v>4845</v>
      </c>
      <c r="U3682" s="128"/>
      <c r="V3682" s="128"/>
      <c r="W3682" s="97"/>
      <c r="X3682" s="106">
        <v>44774</v>
      </c>
      <c r="Y3682" s="106">
        <v>45138</v>
      </c>
    </row>
    <row r="3683" s="9" customFormat="1" customHeight="1" spans="1:25">
      <c r="A3683" s="96" t="s">
        <v>129</v>
      </c>
      <c r="B3683" s="94" t="s">
        <v>4074</v>
      </c>
      <c r="C3683" s="94" t="s">
        <v>210</v>
      </c>
      <c r="D3683" s="94" t="s">
        <v>28</v>
      </c>
      <c r="E3683" s="105" t="s">
        <v>4836</v>
      </c>
      <c r="F3683" s="96" t="s">
        <v>4837</v>
      </c>
      <c r="G3683" s="96" t="s">
        <v>88</v>
      </c>
      <c r="H3683" s="19" t="s">
        <v>4838</v>
      </c>
      <c r="I3683" s="23" t="e">
        <f>VLOOKUP(H3683,'合同综合查询数据（3月返）'!$A:$A,1,FALSE)</f>
        <v>#N/A</v>
      </c>
      <c r="J3683" s="24" t="s">
        <v>126</v>
      </c>
      <c r="K3683" s="96" t="s">
        <v>4839</v>
      </c>
      <c r="L3683" s="114" t="s">
        <v>4840</v>
      </c>
      <c r="M3683" s="26" t="s">
        <v>4841</v>
      </c>
      <c r="N3683" s="106">
        <v>44763</v>
      </c>
      <c r="O3683" s="94" t="s">
        <v>92</v>
      </c>
      <c r="P3683" s="268">
        <v>0</v>
      </c>
      <c r="Q3683" s="273">
        <v>-3</v>
      </c>
      <c r="R3683" s="268">
        <f t="shared" si="86"/>
        <v>0</v>
      </c>
      <c r="S3683" s="24">
        <v>202303</v>
      </c>
      <c r="T3683" s="127" t="s">
        <v>4846</v>
      </c>
      <c r="U3683" s="128"/>
      <c r="V3683" s="128"/>
      <c r="W3683" s="97"/>
      <c r="X3683" s="106">
        <v>44774</v>
      </c>
      <c r="Y3683" s="106">
        <v>45138</v>
      </c>
    </row>
    <row r="3684" s="9" customFormat="1" customHeight="1" spans="1:25">
      <c r="A3684" s="96" t="s">
        <v>129</v>
      </c>
      <c r="B3684" s="94" t="s">
        <v>4074</v>
      </c>
      <c r="C3684" s="94" t="s">
        <v>210</v>
      </c>
      <c r="D3684" s="94" t="s">
        <v>28</v>
      </c>
      <c r="E3684" s="105" t="s">
        <v>4836</v>
      </c>
      <c r="F3684" s="96" t="s">
        <v>4837</v>
      </c>
      <c r="G3684" s="96" t="s">
        <v>88</v>
      </c>
      <c r="H3684" s="19" t="s">
        <v>4838</v>
      </c>
      <c r="I3684" s="23" t="e">
        <f>VLOOKUP(H3684,'合同综合查询数据（3月返）'!$A:$A,1,FALSE)</f>
        <v>#N/A</v>
      </c>
      <c r="J3684" s="24" t="s">
        <v>126</v>
      </c>
      <c r="K3684" s="96" t="s">
        <v>4839</v>
      </c>
      <c r="L3684" s="114" t="s">
        <v>4840</v>
      </c>
      <c r="M3684" s="26" t="s">
        <v>4841</v>
      </c>
      <c r="N3684" s="106">
        <v>44935</v>
      </c>
      <c r="O3684" s="94" t="s">
        <v>92</v>
      </c>
      <c r="P3684" s="268">
        <v>0</v>
      </c>
      <c r="Q3684" s="273">
        <v>1</v>
      </c>
      <c r="R3684" s="268">
        <f t="shared" si="86"/>
        <v>0</v>
      </c>
      <c r="S3684" s="24">
        <v>202303</v>
      </c>
      <c r="T3684" s="127" t="s">
        <v>4847</v>
      </c>
      <c r="U3684" s="128"/>
      <c r="V3684" s="128"/>
      <c r="W3684" s="97"/>
      <c r="X3684" s="106">
        <v>44774</v>
      </c>
      <c r="Y3684" s="106">
        <v>45138</v>
      </c>
    </row>
    <row r="3685" s="9" customFormat="1" customHeight="1" spans="1:25">
      <c r="A3685" s="96" t="s">
        <v>109</v>
      </c>
      <c r="B3685" s="94" t="s">
        <v>4074</v>
      </c>
      <c r="C3685" s="94" t="s">
        <v>253</v>
      </c>
      <c r="D3685" s="94" t="s">
        <v>28</v>
      </c>
      <c r="E3685" s="105" t="s">
        <v>4848</v>
      </c>
      <c r="F3685" s="96" t="s">
        <v>4849</v>
      </c>
      <c r="G3685" s="96" t="s">
        <v>31</v>
      </c>
      <c r="H3685" s="19" t="s">
        <v>4850</v>
      </c>
      <c r="I3685" s="23" t="e">
        <f>VLOOKUP(H3685,'合同综合查询数据（3月返）'!$A:$A,1,FALSE)</f>
        <v>#N/A</v>
      </c>
      <c r="J3685" s="24" t="s">
        <v>33</v>
      </c>
      <c r="K3685" s="96" t="s">
        <v>4674</v>
      </c>
      <c r="L3685" s="114" t="s">
        <v>4851</v>
      </c>
      <c r="M3685" s="26" t="s">
        <v>4852</v>
      </c>
      <c r="N3685" s="106">
        <v>44044</v>
      </c>
      <c r="O3685" s="94" t="s">
        <v>37</v>
      </c>
      <c r="P3685" s="268">
        <v>50</v>
      </c>
      <c r="Q3685" s="273">
        <v>288</v>
      </c>
      <c r="R3685" s="268">
        <f t="shared" si="86"/>
        <v>14400</v>
      </c>
      <c r="S3685" s="24">
        <v>202303</v>
      </c>
      <c r="T3685" s="127" t="s">
        <v>4853</v>
      </c>
      <c r="U3685" s="97"/>
      <c r="V3685" s="128"/>
      <c r="W3685" s="97"/>
      <c r="X3685" s="106">
        <v>44774</v>
      </c>
      <c r="Y3685" s="106">
        <v>45077</v>
      </c>
    </row>
    <row r="3686" s="9" customFormat="1" customHeight="1" spans="1:25">
      <c r="A3686" s="96" t="s">
        <v>109</v>
      </c>
      <c r="B3686" s="94" t="s">
        <v>4074</v>
      </c>
      <c r="C3686" s="94" t="s">
        <v>253</v>
      </c>
      <c r="D3686" s="94" t="s">
        <v>28</v>
      </c>
      <c r="E3686" s="105" t="s">
        <v>4848</v>
      </c>
      <c r="F3686" s="96" t="s">
        <v>4849</v>
      </c>
      <c r="G3686" s="96" t="s">
        <v>31</v>
      </c>
      <c r="H3686" s="19" t="s">
        <v>4850</v>
      </c>
      <c r="I3686" s="23" t="e">
        <f>VLOOKUP(H3686,'合同综合查询数据（3月返）'!$A:$A,1,FALSE)</f>
        <v>#N/A</v>
      </c>
      <c r="J3686" s="24" t="s">
        <v>33</v>
      </c>
      <c r="K3686" s="96" t="s">
        <v>4674</v>
      </c>
      <c r="L3686" s="114" t="s">
        <v>4851</v>
      </c>
      <c r="M3686" s="26" t="s">
        <v>4852</v>
      </c>
      <c r="N3686" s="106">
        <v>44869</v>
      </c>
      <c r="O3686" s="94" t="s">
        <v>37</v>
      </c>
      <c r="P3686" s="268">
        <v>50</v>
      </c>
      <c r="Q3686" s="273">
        <v>-128</v>
      </c>
      <c r="R3686" s="268">
        <f t="shared" si="86"/>
        <v>-6400</v>
      </c>
      <c r="S3686" s="24">
        <v>202303</v>
      </c>
      <c r="T3686" s="127" t="s">
        <v>4854</v>
      </c>
      <c r="U3686" s="97"/>
      <c r="V3686" s="128"/>
      <c r="W3686" s="97"/>
      <c r="X3686" s="106">
        <v>44774</v>
      </c>
      <c r="Y3686" s="106">
        <v>45077</v>
      </c>
    </row>
    <row r="3687" s="9" customFormat="1" customHeight="1" spans="1:25">
      <c r="A3687" s="96" t="s">
        <v>109</v>
      </c>
      <c r="B3687" s="94" t="s">
        <v>4074</v>
      </c>
      <c r="C3687" s="94" t="s">
        <v>253</v>
      </c>
      <c r="D3687" s="94" t="s">
        <v>28</v>
      </c>
      <c r="E3687" s="105" t="s">
        <v>4848</v>
      </c>
      <c r="F3687" s="96" t="s">
        <v>4849</v>
      </c>
      <c r="G3687" s="96" t="s">
        <v>31</v>
      </c>
      <c r="H3687" s="19" t="s">
        <v>4850</v>
      </c>
      <c r="I3687" s="23" t="e">
        <f>VLOOKUP(H3687,'合同综合查询数据（3月返）'!$A:$A,1,FALSE)</f>
        <v>#N/A</v>
      </c>
      <c r="J3687" s="24" t="s">
        <v>33</v>
      </c>
      <c r="K3687" s="96" t="s">
        <v>4674</v>
      </c>
      <c r="L3687" s="114" t="s">
        <v>4851</v>
      </c>
      <c r="M3687" s="26" t="s">
        <v>4852</v>
      </c>
      <c r="N3687" s="106">
        <v>44880</v>
      </c>
      <c r="O3687" s="94" t="s">
        <v>37</v>
      </c>
      <c r="P3687" s="268">
        <v>50</v>
      </c>
      <c r="Q3687" s="273">
        <v>-160</v>
      </c>
      <c r="R3687" s="268">
        <f t="shared" si="86"/>
        <v>-8000</v>
      </c>
      <c r="S3687" s="24">
        <v>202303</v>
      </c>
      <c r="T3687" s="127" t="s">
        <v>4855</v>
      </c>
      <c r="U3687" s="97"/>
      <c r="V3687" s="128"/>
      <c r="W3687" s="97"/>
      <c r="X3687" s="106">
        <v>44774</v>
      </c>
      <c r="Y3687" s="106">
        <v>45077</v>
      </c>
    </row>
    <row r="3688" s="9" customFormat="1" customHeight="1" spans="1:25">
      <c r="A3688" s="96" t="s">
        <v>109</v>
      </c>
      <c r="B3688" s="94" t="s">
        <v>4074</v>
      </c>
      <c r="C3688" s="94" t="s">
        <v>253</v>
      </c>
      <c r="D3688" s="94" t="s">
        <v>28</v>
      </c>
      <c r="E3688" s="105" t="s">
        <v>4848</v>
      </c>
      <c r="F3688" s="96" t="s">
        <v>4849</v>
      </c>
      <c r="G3688" s="96" t="s">
        <v>31</v>
      </c>
      <c r="H3688" s="19" t="s">
        <v>4850</v>
      </c>
      <c r="I3688" s="23" t="e">
        <f>VLOOKUP(H3688,'合同综合查询数据（3月返）'!$A:$A,1,FALSE)</f>
        <v>#N/A</v>
      </c>
      <c r="J3688" s="24" t="s">
        <v>33</v>
      </c>
      <c r="K3688" s="96" t="s">
        <v>4674</v>
      </c>
      <c r="L3688" s="114" t="s">
        <v>4851</v>
      </c>
      <c r="M3688" s="26" t="s">
        <v>4852</v>
      </c>
      <c r="N3688" s="106">
        <v>44881</v>
      </c>
      <c r="O3688" s="94" t="s">
        <v>37</v>
      </c>
      <c r="P3688" s="268">
        <v>50</v>
      </c>
      <c r="Q3688" s="273">
        <v>160</v>
      </c>
      <c r="R3688" s="268">
        <f t="shared" si="86"/>
        <v>8000</v>
      </c>
      <c r="S3688" s="24">
        <v>202303</v>
      </c>
      <c r="T3688" s="127" t="s">
        <v>4856</v>
      </c>
      <c r="U3688" s="97"/>
      <c r="V3688" s="128"/>
      <c r="W3688" s="97"/>
      <c r="X3688" s="106">
        <v>44774</v>
      </c>
      <c r="Y3688" s="106">
        <v>45077</v>
      </c>
    </row>
    <row r="3689" s="9" customFormat="1" customHeight="1" spans="1:25">
      <c r="A3689" s="96" t="s">
        <v>109</v>
      </c>
      <c r="B3689" s="94" t="s">
        <v>4074</v>
      </c>
      <c r="C3689" s="94" t="s">
        <v>253</v>
      </c>
      <c r="D3689" s="94" t="s">
        <v>28</v>
      </c>
      <c r="E3689" s="105" t="s">
        <v>4848</v>
      </c>
      <c r="F3689" s="96" t="s">
        <v>4849</v>
      </c>
      <c r="G3689" s="96" t="s">
        <v>31</v>
      </c>
      <c r="H3689" s="19" t="s">
        <v>4850</v>
      </c>
      <c r="I3689" s="23" t="e">
        <f>VLOOKUP(H3689,'合同综合查询数据（3月返）'!$A:$A,1,FALSE)</f>
        <v>#N/A</v>
      </c>
      <c r="J3689" s="24" t="s">
        <v>33</v>
      </c>
      <c r="K3689" s="96" t="s">
        <v>4674</v>
      </c>
      <c r="L3689" s="114" t="s">
        <v>4851</v>
      </c>
      <c r="M3689" s="26" t="s">
        <v>4852</v>
      </c>
      <c r="N3689" s="106"/>
      <c r="O3689" s="94" t="s">
        <v>152</v>
      </c>
      <c r="P3689" s="268">
        <v>0</v>
      </c>
      <c r="Q3689" s="273">
        <v>0</v>
      </c>
      <c r="R3689" s="268">
        <f t="shared" si="86"/>
        <v>0</v>
      </c>
      <c r="S3689" s="24">
        <v>202303</v>
      </c>
      <c r="T3689" s="127" t="s">
        <v>4857</v>
      </c>
      <c r="U3689" s="97"/>
      <c r="V3689" s="128"/>
      <c r="W3689" s="97"/>
      <c r="X3689" s="106">
        <v>44774</v>
      </c>
      <c r="Y3689" s="106">
        <v>45077</v>
      </c>
    </row>
    <row r="3690" s="9" customFormat="1" customHeight="1" spans="1:25">
      <c r="A3690" s="96" t="s">
        <v>109</v>
      </c>
      <c r="B3690" s="94" t="s">
        <v>4074</v>
      </c>
      <c r="C3690" s="94" t="s">
        <v>253</v>
      </c>
      <c r="D3690" s="94" t="s">
        <v>28</v>
      </c>
      <c r="E3690" s="105" t="s">
        <v>4848</v>
      </c>
      <c r="F3690" s="96" t="s">
        <v>4849</v>
      </c>
      <c r="G3690" s="96" t="s">
        <v>88</v>
      </c>
      <c r="H3690" s="19" t="s">
        <v>4850</v>
      </c>
      <c r="I3690" s="23" t="e">
        <f>VLOOKUP(H3690,'合同综合查询数据（3月返）'!$A:$A,1,FALSE)</f>
        <v>#N/A</v>
      </c>
      <c r="J3690" s="24" t="s">
        <v>126</v>
      </c>
      <c r="K3690" s="96" t="s">
        <v>4674</v>
      </c>
      <c r="L3690" s="114" t="s">
        <v>4851</v>
      </c>
      <c r="M3690" s="26" t="s">
        <v>4852</v>
      </c>
      <c r="N3690" s="106">
        <v>44044</v>
      </c>
      <c r="O3690" s="94" t="s">
        <v>127</v>
      </c>
      <c r="P3690" s="268">
        <v>5000</v>
      </c>
      <c r="Q3690" s="273">
        <v>4</v>
      </c>
      <c r="R3690" s="268">
        <f t="shared" si="86"/>
        <v>20000</v>
      </c>
      <c r="S3690" s="24">
        <v>202303</v>
      </c>
      <c r="T3690" s="127" t="s">
        <v>4858</v>
      </c>
      <c r="U3690" s="97"/>
      <c r="V3690" s="128"/>
      <c r="W3690" s="97"/>
      <c r="X3690" s="106">
        <v>44774</v>
      </c>
      <c r="Y3690" s="106">
        <v>45077</v>
      </c>
    </row>
    <row r="3691" s="9" customFormat="1" customHeight="1" spans="1:25">
      <c r="A3691" s="96" t="s">
        <v>109</v>
      </c>
      <c r="B3691" s="94" t="s">
        <v>4074</v>
      </c>
      <c r="C3691" s="94" t="s">
        <v>253</v>
      </c>
      <c r="D3691" s="94" t="s">
        <v>28</v>
      </c>
      <c r="E3691" s="105" t="s">
        <v>4848</v>
      </c>
      <c r="F3691" s="96" t="s">
        <v>4849</v>
      </c>
      <c r="G3691" s="96" t="s">
        <v>88</v>
      </c>
      <c r="H3691" s="19" t="s">
        <v>4850</v>
      </c>
      <c r="I3691" s="23" t="e">
        <f>VLOOKUP(H3691,'合同综合查询数据（3月返）'!$A:$A,1,FALSE)</f>
        <v>#N/A</v>
      </c>
      <c r="J3691" s="24" t="s">
        <v>126</v>
      </c>
      <c r="K3691" s="96" t="s">
        <v>4674</v>
      </c>
      <c r="L3691" s="114" t="s">
        <v>4851</v>
      </c>
      <c r="M3691" s="26" t="s">
        <v>4852</v>
      </c>
      <c r="N3691" s="106">
        <v>44880</v>
      </c>
      <c r="O3691" s="94" t="s">
        <v>127</v>
      </c>
      <c r="P3691" s="268">
        <v>5000</v>
      </c>
      <c r="Q3691" s="273">
        <v>-4</v>
      </c>
      <c r="R3691" s="268">
        <f t="shared" si="86"/>
        <v>-20000</v>
      </c>
      <c r="S3691" s="24">
        <v>202303</v>
      </c>
      <c r="T3691" s="127" t="s">
        <v>4859</v>
      </c>
      <c r="U3691" s="97"/>
      <c r="V3691" s="128"/>
      <c r="W3691" s="97"/>
      <c r="X3691" s="106">
        <v>44774</v>
      </c>
      <c r="Y3691" s="106">
        <v>45077</v>
      </c>
    </row>
    <row r="3692" s="9" customFormat="1" customHeight="1" spans="1:25">
      <c r="A3692" s="96" t="s">
        <v>109</v>
      </c>
      <c r="B3692" s="94" t="s">
        <v>4074</v>
      </c>
      <c r="C3692" s="94" t="s">
        <v>253</v>
      </c>
      <c r="D3692" s="94" t="s">
        <v>28</v>
      </c>
      <c r="E3692" s="105" t="s">
        <v>4848</v>
      </c>
      <c r="F3692" s="96" t="s">
        <v>4849</v>
      </c>
      <c r="G3692" s="96" t="s">
        <v>88</v>
      </c>
      <c r="H3692" s="19" t="s">
        <v>4850</v>
      </c>
      <c r="I3692" s="23" t="e">
        <f>VLOOKUP(H3692,'合同综合查询数据（3月返）'!$A:$A,1,FALSE)</f>
        <v>#N/A</v>
      </c>
      <c r="J3692" s="24" t="s">
        <v>126</v>
      </c>
      <c r="K3692" s="96" t="s">
        <v>4674</v>
      </c>
      <c r="L3692" s="114" t="s">
        <v>4851</v>
      </c>
      <c r="M3692" s="26" t="s">
        <v>4852</v>
      </c>
      <c r="N3692" s="106">
        <v>44881</v>
      </c>
      <c r="O3692" s="94" t="s">
        <v>127</v>
      </c>
      <c r="P3692" s="268">
        <v>5000</v>
      </c>
      <c r="Q3692" s="273">
        <v>4</v>
      </c>
      <c r="R3692" s="268">
        <f t="shared" si="86"/>
        <v>20000</v>
      </c>
      <c r="S3692" s="24">
        <v>202303</v>
      </c>
      <c r="T3692" s="127" t="s">
        <v>4860</v>
      </c>
      <c r="U3692" s="97"/>
      <c r="V3692" s="128"/>
      <c r="W3692" s="97"/>
      <c r="X3692" s="106">
        <v>44774</v>
      </c>
      <c r="Y3692" s="106">
        <v>45077</v>
      </c>
    </row>
    <row r="3693" s="9" customFormat="1" customHeight="1" spans="1:25">
      <c r="A3693" s="104" t="s">
        <v>25</v>
      </c>
      <c r="B3693" s="94" t="s">
        <v>4074</v>
      </c>
      <c r="C3693" s="94" t="s">
        <v>161</v>
      </c>
      <c r="D3693" s="94" t="s">
        <v>28</v>
      </c>
      <c r="E3693" s="105" t="s">
        <v>4848</v>
      </c>
      <c r="F3693" s="96" t="s">
        <v>4849</v>
      </c>
      <c r="G3693" s="96" t="s">
        <v>31</v>
      </c>
      <c r="H3693" s="19" t="s">
        <v>4861</v>
      </c>
      <c r="I3693" s="23" t="e">
        <f>VLOOKUP(H3693,'合同综合查询数据（3月返）'!$A:$A,1,FALSE)</f>
        <v>#N/A</v>
      </c>
      <c r="J3693" s="24" t="s">
        <v>33</v>
      </c>
      <c r="K3693" s="96" t="s">
        <v>4169</v>
      </c>
      <c r="L3693" s="114" t="s">
        <v>4862</v>
      </c>
      <c r="M3693" s="26" t="s">
        <v>4863</v>
      </c>
      <c r="N3693" s="106">
        <v>44105</v>
      </c>
      <c r="O3693" s="94" t="s">
        <v>37</v>
      </c>
      <c r="P3693" s="268">
        <v>50</v>
      </c>
      <c r="Q3693" s="273">
        <v>160</v>
      </c>
      <c r="R3693" s="268">
        <f t="shared" si="86"/>
        <v>8000</v>
      </c>
      <c r="S3693" s="24">
        <v>202303</v>
      </c>
      <c r="T3693" s="127" t="s">
        <v>4864</v>
      </c>
      <c r="U3693" s="97"/>
      <c r="V3693" s="128"/>
      <c r="W3693" s="97"/>
      <c r="X3693" s="106">
        <v>44105</v>
      </c>
      <c r="Y3693" s="106">
        <v>44469</v>
      </c>
    </row>
    <row r="3694" s="9" customFormat="1" customHeight="1" spans="1:25">
      <c r="A3694" s="104" t="s">
        <v>25</v>
      </c>
      <c r="B3694" s="94" t="s">
        <v>4074</v>
      </c>
      <c r="C3694" s="94" t="s">
        <v>161</v>
      </c>
      <c r="D3694" s="94" t="s">
        <v>28</v>
      </c>
      <c r="E3694" s="105" t="s">
        <v>4848</v>
      </c>
      <c r="F3694" s="96" t="s">
        <v>4849</v>
      </c>
      <c r="G3694" s="96" t="s">
        <v>31</v>
      </c>
      <c r="H3694" s="19" t="s">
        <v>4861</v>
      </c>
      <c r="I3694" s="23" t="e">
        <f>VLOOKUP(H3694,'合同综合查询数据（3月返）'!$A:$A,1,FALSE)</f>
        <v>#N/A</v>
      </c>
      <c r="J3694" s="24" t="s">
        <v>33</v>
      </c>
      <c r="K3694" s="96" t="s">
        <v>4169</v>
      </c>
      <c r="L3694" s="114" t="s">
        <v>4862</v>
      </c>
      <c r="M3694" s="26" t="s">
        <v>4863</v>
      </c>
      <c r="N3694" s="106">
        <v>44377</v>
      </c>
      <c r="O3694" s="94" t="s">
        <v>37</v>
      </c>
      <c r="P3694" s="268">
        <v>50</v>
      </c>
      <c r="Q3694" s="273">
        <v>-160</v>
      </c>
      <c r="R3694" s="268">
        <f t="shared" si="86"/>
        <v>-8000</v>
      </c>
      <c r="S3694" s="24">
        <v>202303</v>
      </c>
      <c r="T3694" s="127" t="s">
        <v>4579</v>
      </c>
      <c r="U3694" s="97"/>
      <c r="V3694" s="128"/>
      <c r="W3694" s="97"/>
      <c r="X3694" s="106">
        <v>44105</v>
      </c>
      <c r="Y3694" s="106">
        <v>44469</v>
      </c>
    </row>
    <row r="3695" s="9" customFormat="1" customHeight="1" spans="1:25">
      <c r="A3695" s="104" t="s">
        <v>25</v>
      </c>
      <c r="B3695" s="94" t="s">
        <v>4074</v>
      </c>
      <c r="C3695" s="94" t="s">
        <v>161</v>
      </c>
      <c r="D3695" s="94" t="s">
        <v>28</v>
      </c>
      <c r="E3695" s="105" t="s">
        <v>4848</v>
      </c>
      <c r="F3695" s="96" t="s">
        <v>4849</v>
      </c>
      <c r="G3695" s="96" t="s">
        <v>88</v>
      </c>
      <c r="H3695" s="19" t="s">
        <v>4861</v>
      </c>
      <c r="I3695" s="23" t="e">
        <f>VLOOKUP(H3695,'合同综合查询数据（3月返）'!$A:$A,1,FALSE)</f>
        <v>#N/A</v>
      </c>
      <c r="J3695" s="24" t="s">
        <v>126</v>
      </c>
      <c r="K3695" s="96" t="s">
        <v>4169</v>
      </c>
      <c r="L3695" s="114" t="s">
        <v>4862</v>
      </c>
      <c r="M3695" s="26" t="s">
        <v>4863</v>
      </c>
      <c r="N3695" s="106">
        <v>44105</v>
      </c>
      <c r="O3695" s="94" t="s">
        <v>1424</v>
      </c>
      <c r="P3695" s="268">
        <v>4000</v>
      </c>
      <c r="Q3695" s="273">
        <v>3</v>
      </c>
      <c r="R3695" s="268">
        <f t="shared" si="86"/>
        <v>12000</v>
      </c>
      <c r="S3695" s="24">
        <v>202303</v>
      </c>
      <c r="T3695" s="127" t="s">
        <v>4865</v>
      </c>
      <c r="U3695" s="97"/>
      <c r="V3695" s="128"/>
      <c r="W3695" s="97"/>
      <c r="X3695" s="106">
        <v>44105</v>
      </c>
      <c r="Y3695" s="106">
        <v>44469</v>
      </c>
    </row>
    <row r="3696" s="9" customFormat="1" customHeight="1" spans="1:25">
      <c r="A3696" s="104" t="s">
        <v>25</v>
      </c>
      <c r="B3696" s="94" t="s">
        <v>4074</v>
      </c>
      <c r="C3696" s="94" t="s">
        <v>161</v>
      </c>
      <c r="D3696" s="94" t="s">
        <v>28</v>
      </c>
      <c r="E3696" s="105" t="s">
        <v>4848</v>
      </c>
      <c r="F3696" s="96" t="s">
        <v>4849</v>
      </c>
      <c r="G3696" s="96" t="s">
        <v>88</v>
      </c>
      <c r="H3696" s="19" t="s">
        <v>4861</v>
      </c>
      <c r="I3696" s="23" t="e">
        <f>VLOOKUP(H3696,'合同综合查询数据（3月返）'!$A:$A,1,FALSE)</f>
        <v>#N/A</v>
      </c>
      <c r="J3696" s="24" t="s">
        <v>126</v>
      </c>
      <c r="K3696" s="96" t="s">
        <v>4169</v>
      </c>
      <c r="L3696" s="114" t="s">
        <v>4862</v>
      </c>
      <c r="M3696" s="26" t="s">
        <v>4863</v>
      </c>
      <c r="N3696" s="106">
        <v>44377</v>
      </c>
      <c r="O3696" s="94" t="s">
        <v>1424</v>
      </c>
      <c r="P3696" s="268">
        <v>4000</v>
      </c>
      <c r="Q3696" s="273">
        <v>-3</v>
      </c>
      <c r="R3696" s="268">
        <f t="shared" si="86"/>
        <v>-12000</v>
      </c>
      <c r="S3696" s="24">
        <v>202303</v>
      </c>
      <c r="T3696" s="127" t="s">
        <v>4866</v>
      </c>
      <c r="U3696" s="97"/>
      <c r="V3696" s="128"/>
      <c r="W3696" s="97"/>
      <c r="X3696" s="106">
        <v>44105</v>
      </c>
      <c r="Y3696" s="106">
        <v>44469</v>
      </c>
    </row>
    <row r="3697" s="9" customFormat="1" customHeight="1" spans="1:25">
      <c r="A3697" s="104" t="s">
        <v>25</v>
      </c>
      <c r="B3697" s="94" t="s">
        <v>4074</v>
      </c>
      <c r="C3697" s="94" t="s">
        <v>161</v>
      </c>
      <c r="D3697" s="94" t="s">
        <v>28</v>
      </c>
      <c r="E3697" s="105" t="s">
        <v>4848</v>
      </c>
      <c r="F3697" s="96" t="s">
        <v>4849</v>
      </c>
      <c r="G3697" s="96" t="s">
        <v>31</v>
      </c>
      <c r="H3697" s="19" t="s">
        <v>4867</v>
      </c>
      <c r="I3697" s="23" t="e">
        <f>VLOOKUP(H3697,'合同综合查询数据（3月返）'!$A:$A,1,FALSE)</f>
        <v>#N/A</v>
      </c>
      <c r="J3697" s="24" t="s">
        <v>33</v>
      </c>
      <c r="K3697" s="96" t="s">
        <v>4868</v>
      </c>
      <c r="L3697" s="114" t="s">
        <v>4869</v>
      </c>
      <c r="M3697" s="26" t="s">
        <v>4870</v>
      </c>
      <c r="N3697" s="106">
        <v>44348</v>
      </c>
      <c r="O3697" s="94" t="s">
        <v>37</v>
      </c>
      <c r="P3697" s="268">
        <v>50</v>
      </c>
      <c r="Q3697" s="273">
        <v>160</v>
      </c>
      <c r="R3697" s="268">
        <f t="shared" si="86"/>
        <v>8000</v>
      </c>
      <c r="S3697" s="24">
        <v>202303</v>
      </c>
      <c r="T3697" s="127" t="s">
        <v>4871</v>
      </c>
      <c r="U3697" s="97"/>
      <c r="V3697" s="128"/>
      <c r="W3697" s="97"/>
      <c r="X3697" s="106">
        <v>44713</v>
      </c>
      <c r="Y3697" s="106">
        <v>45077</v>
      </c>
    </row>
    <row r="3698" s="9" customFormat="1" customHeight="1" spans="1:25">
      <c r="A3698" s="104" t="s">
        <v>25</v>
      </c>
      <c r="B3698" s="94" t="s">
        <v>4074</v>
      </c>
      <c r="C3698" s="94" t="s">
        <v>161</v>
      </c>
      <c r="D3698" s="94" t="s">
        <v>28</v>
      </c>
      <c r="E3698" s="105" t="s">
        <v>4848</v>
      </c>
      <c r="F3698" s="96" t="s">
        <v>4849</v>
      </c>
      <c r="G3698" s="96" t="s">
        <v>31</v>
      </c>
      <c r="H3698" s="19" t="s">
        <v>4867</v>
      </c>
      <c r="I3698" s="23" t="e">
        <f>VLOOKUP(H3698,'合同综合查询数据（3月返）'!$A:$A,1,FALSE)</f>
        <v>#N/A</v>
      </c>
      <c r="J3698" s="24" t="s">
        <v>33</v>
      </c>
      <c r="K3698" s="96" t="s">
        <v>4868</v>
      </c>
      <c r="L3698" s="114" t="s">
        <v>4869</v>
      </c>
      <c r="M3698" s="26" t="s">
        <v>4870</v>
      </c>
      <c r="N3698" s="106"/>
      <c r="O3698" s="94" t="s">
        <v>152</v>
      </c>
      <c r="P3698" s="268">
        <v>0</v>
      </c>
      <c r="Q3698" s="273">
        <v>0</v>
      </c>
      <c r="R3698" s="268">
        <f t="shared" si="86"/>
        <v>0</v>
      </c>
      <c r="S3698" s="24">
        <v>202303</v>
      </c>
      <c r="T3698" s="127" t="s">
        <v>4872</v>
      </c>
      <c r="U3698" s="97"/>
      <c r="V3698" s="128"/>
      <c r="W3698" s="97"/>
      <c r="X3698" s="106">
        <v>44713</v>
      </c>
      <c r="Y3698" s="106">
        <v>45077</v>
      </c>
    </row>
    <row r="3699" s="9" customFormat="1" customHeight="1" spans="1:25">
      <c r="A3699" s="104" t="s">
        <v>25</v>
      </c>
      <c r="B3699" s="94" t="s">
        <v>4074</v>
      </c>
      <c r="C3699" s="94" t="s">
        <v>161</v>
      </c>
      <c r="D3699" s="94" t="s">
        <v>28</v>
      </c>
      <c r="E3699" s="105" t="s">
        <v>4848</v>
      </c>
      <c r="F3699" s="96" t="s">
        <v>4849</v>
      </c>
      <c r="G3699" s="96" t="s">
        <v>88</v>
      </c>
      <c r="H3699" s="19" t="s">
        <v>4867</v>
      </c>
      <c r="I3699" s="23" t="e">
        <f>VLOOKUP(H3699,'合同综合查询数据（3月返）'!$A:$A,1,FALSE)</f>
        <v>#N/A</v>
      </c>
      <c r="J3699" s="24" t="s">
        <v>126</v>
      </c>
      <c r="K3699" s="96" t="s">
        <v>4868</v>
      </c>
      <c r="L3699" s="114" t="s">
        <v>4869</v>
      </c>
      <c r="M3699" s="26" t="s">
        <v>4870</v>
      </c>
      <c r="N3699" s="106">
        <v>44348</v>
      </c>
      <c r="O3699" s="94" t="s">
        <v>127</v>
      </c>
      <c r="P3699" s="268">
        <v>4000</v>
      </c>
      <c r="Q3699" s="273">
        <v>3</v>
      </c>
      <c r="R3699" s="268">
        <f t="shared" si="86"/>
        <v>12000</v>
      </c>
      <c r="S3699" s="24">
        <v>202303</v>
      </c>
      <c r="T3699" s="127" t="s">
        <v>4873</v>
      </c>
      <c r="U3699" s="97"/>
      <c r="V3699" s="128"/>
      <c r="W3699" s="97"/>
      <c r="X3699" s="106">
        <v>44713</v>
      </c>
      <c r="Y3699" s="106">
        <v>45077</v>
      </c>
    </row>
    <row r="3700" s="9" customFormat="1" customHeight="1" spans="1:25">
      <c r="A3700" s="96" t="s">
        <v>109</v>
      </c>
      <c r="B3700" s="94" t="s">
        <v>4074</v>
      </c>
      <c r="C3700" s="94" t="s">
        <v>4743</v>
      </c>
      <c r="D3700" s="94" t="s">
        <v>28</v>
      </c>
      <c r="E3700" s="105" t="s">
        <v>4848</v>
      </c>
      <c r="F3700" s="96" t="s">
        <v>4849</v>
      </c>
      <c r="G3700" s="96" t="s">
        <v>31</v>
      </c>
      <c r="H3700" s="19" t="s">
        <v>4874</v>
      </c>
      <c r="I3700" s="23" t="e">
        <f>VLOOKUP(H3700,'合同综合查询数据（3月返）'!$A:$A,1,FALSE)</f>
        <v>#N/A</v>
      </c>
      <c r="J3700" s="24" t="s">
        <v>33</v>
      </c>
      <c r="K3700" s="96" t="s">
        <v>4743</v>
      </c>
      <c r="L3700" s="114" t="s">
        <v>4875</v>
      </c>
      <c r="M3700" s="26" t="s">
        <v>4876</v>
      </c>
      <c r="N3700" s="106">
        <v>44357</v>
      </c>
      <c r="O3700" s="94" t="s">
        <v>37</v>
      </c>
      <c r="P3700" s="268">
        <v>50</v>
      </c>
      <c r="Q3700" s="273">
        <v>288</v>
      </c>
      <c r="R3700" s="268">
        <f t="shared" si="86"/>
        <v>14400</v>
      </c>
      <c r="S3700" s="24">
        <v>202303</v>
      </c>
      <c r="T3700" s="127" t="s">
        <v>4877</v>
      </c>
      <c r="U3700" s="97"/>
      <c r="V3700" s="128"/>
      <c r="W3700" s="97"/>
      <c r="X3700" s="106">
        <v>44774</v>
      </c>
      <c r="Y3700" s="106">
        <v>45077</v>
      </c>
    </row>
    <row r="3701" s="9" customFormat="1" customHeight="1" spans="1:25">
      <c r="A3701" s="96" t="s">
        <v>109</v>
      </c>
      <c r="B3701" s="94" t="s">
        <v>4074</v>
      </c>
      <c r="C3701" s="94" t="s">
        <v>4743</v>
      </c>
      <c r="D3701" s="94" t="s">
        <v>28</v>
      </c>
      <c r="E3701" s="105" t="s">
        <v>4848</v>
      </c>
      <c r="F3701" s="96" t="s">
        <v>4849</v>
      </c>
      <c r="G3701" s="96" t="s">
        <v>31</v>
      </c>
      <c r="H3701" s="19" t="s">
        <v>4874</v>
      </c>
      <c r="I3701" s="23" t="e">
        <f>VLOOKUP(H3701,'合同综合查询数据（3月返）'!$A:$A,1,FALSE)</f>
        <v>#N/A</v>
      </c>
      <c r="J3701" s="24" t="s">
        <v>33</v>
      </c>
      <c r="K3701" s="96" t="s">
        <v>4743</v>
      </c>
      <c r="L3701" s="114" t="s">
        <v>4875</v>
      </c>
      <c r="M3701" s="26" t="s">
        <v>4876</v>
      </c>
      <c r="N3701" s="106">
        <v>44783</v>
      </c>
      <c r="O3701" s="94" t="s">
        <v>37</v>
      </c>
      <c r="P3701" s="268">
        <v>50</v>
      </c>
      <c r="Q3701" s="273">
        <v>-128</v>
      </c>
      <c r="R3701" s="268">
        <f t="shared" si="86"/>
        <v>-6400</v>
      </c>
      <c r="S3701" s="24">
        <v>202303</v>
      </c>
      <c r="T3701" s="127" t="s">
        <v>4878</v>
      </c>
      <c r="U3701" s="97"/>
      <c r="V3701" s="128"/>
      <c r="W3701" s="97"/>
      <c r="X3701" s="106">
        <v>44774</v>
      </c>
      <c r="Y3701" s="106">
        <v>45077</v>
      </c>
    </row>
    <row r="3702" s="9" customFormat="1" customHeight="1" spans="1:25">
      <c r="A3702" s="96" t="s">
        <v>109</v>
      </c>
      <c r="B3702" s="94" t="s">
        <v>4074</v>
      </c>
      <c r="C3702" s="94" t="s">
        <v>4743</v>
      </c>
      <c r="D3702" s="94" t="s">
        <v>28</v>
      </c>
      <c r="E3702" s="105" t="s">
        <v>4848</v>
      </c>
      <c r="F3702" s="96" t="s">
        <v>4849</v>
      </c>
      <c r="G3702" s="96" t="s">
        <v>31</v>
      </c>
      <c r="H3702" s="19" t="s">
        <v>4874</v>
      </c>
      <c r="I3702" s="23" t="e">
        <f>VLOOKUP(H3702,'合同综合查询数据（3月返）'!$A:$A,1,FALSE)</f>
        <v>#N/A</v>
      </c>
      <c r="J3702" s="24" t="s">
        <v>33</v>
      </c>
      <c r="K3702" s="96" t="s">
        <v>4743</v>
      </c>
      <c r="L3702" s="114" t="s">
        <v>4875</v>
      </c>
      <c r="M3702" s="26" t="s">
        <v>4876</v>
      </c>
      <c r="N3702" s="106"/>
      <c r="O3702" s="94" t="s">
        <v>152</v>
      </c>
      <c r="P3702" s="268">
        <v>0</v>
      </c>
      <c r="Q3702" s="273">
        <v>0</v>
      </c>
      <c r="R3702" s="268">
        <f t="shared" si="86"/>
        <v>0</v>
      </c>
      <c r="S3702" s="24">
        <v>202303</v>
      </c>
      <c r="T3702" s="127" t="s">
        <v>4879</v>
      </c>
      <c r="U3702" s="97"/>
      <c r="V3702" s="128"/>
      <c r="W3702" s="97"/>
      <c r="X3702" s="106">
        <v>44774</v>
      </c>
      <c r="Y3702" s="106">
        <v>45077</v>
      </c>
    </row>
    <row r="3703" s="9" customFormat="1" customHeight="1" spans="1:25">
      <c r="A3703" s="96" t="s">
        <v>109</v>
      </c>
      <c r="B3703" s="94" t="s">
        <v>4074</v>
      </c>
      <c r="C3703" s="94" t="s">
        <v>4743</v>
      </c>
      <c r="D3703" s="94" t="s">
        <v>28</v>
      </c>
      <c r="E3703" s="105" t="s">
        <v>4848</v>
      </c>
      <c r="F3703" s="96" t="s">
        <v>4849</v>
      </c>
      <c r="G3703" s="96" t="s">
        <v>88</v>
      </c>
      <c r="H3703" s="19" t="s">
        <v>4874</v>
      </c>
      <c r="I3703" s="23" t="e">
        <f>VLOOKUP(H3703,'合同综合查询数据（3月返）'!$A:$A,1,FALSE)</f>
        <v>#N/A</v>
      </c>
      <c r="J3703" s="24" t="s">
        <v>126</v>
      </c>
      <c r="K3703" s="96" t="s">
        <v>4743</v>
      </c>
      <c r="L3703" s="114" t="s">
        <v>4875</v>
      </c>
      <c r="M3703" s="26" t="s">
        <v>4876</v>
      </c>
      <c r="N3703" s="106">
        <v>44348</v>
      </c>
      <c r="O3703" s="94" t="s">
        <v>127</v>
      </c>
      <c r="P3703" s="268">
        <v>5000</v>
      </c>
      <c r="Q3703" s="273">
        <v>5</v>
      </c>
      <c r="R3703" s="268">
        <f t="shared" si="86"/>
        <v>25000</v>
      </c>
      <c r="S3703" s="24">
        <v>202303</v>
      </c>
      <c r="T3703" s="127" t="s">
        <v>4880</v>
      </c>
      <c r="U3703" s="97"/>
      <c r="V3703" s="128"/>
      <c r="W3703" s="97"/>
      <c r="X3703" s="106">
        <v>44774</v>
      </c>
      <c r="Y3703" s="106">
        <v>45077</v>
      </c>
    </row>
    <row r="3704" s="9" customFormat="1" customHeight="1" spans="1:25">
      <c r="A3704" s="96" t="s">
        <v>109</v>
      </c>
      <c r="B3704" s="94" t="s">
        <v>4074</v>
      </c>
      <c r="C3704" s="94" t="s">
        <v>4743</v>
      </c>
      <c r="D3704" s="94" t="s">
        <v>28</v>
      </c>
      <c r="E3704" s="105" t="s">
        <v>4848</v>
      </c>
      <c r="F3704" s="96" t="s">
        <v>4849</v>
      </c>
      <c r="G3704" s="96" t="s">
        <v>88</v>
      </c>
      <c r="H3704" s="19" t="s">
        <v>4874</v>
      </c>
      <c r="I3704" s="23" t="e">
        <f>VLOOKUP(H3704,'合同综合查询数据（3月返）'!$A:$A,1,FALSE)</f>
        <v>#N/A</v>
      </c>
      <c r="J3704" s="24" t="s">
        <v>126</v>
      </c>
      <c r="K3704" s="96" t="s">
        <v>4743</v>
      </c>
      <c r="L3704" s="114" t="s">
        <v>4875</v>
      </c>
      <c r="M3704" s="26" t="s">
        <v>4876</v>
      </c>
      <c r="N3704" s="106">
        <v>44783</v>
      </c>
      <c r="O3704" s="94" t="s">
        <v>127</v>
      </c>
      <c r="P3704" s="268">
        <v>5000</v>
      </c>
      <c r="Q3704" s="273">
        <v>-3</v>
      </c>
      <c r="R3704" s="268">
        <f t="shared" si="86"/>
        <v>-15000</v>
      </c>
      <c r="S3704" s="24">
        <v>202303</v>
      </c>
      <c r="T3704" s="127" t="s">
        <v>4881</v>
      </c>
      <c r="U3704" s="97"/>
      <c r="V3704" s="128"/>
      <c r="W3704" s="97"/>
      <c r="X3704" s="106">
        <v>44774</v>
      </c>
      <c r="Y3704" s="106">
        <v>45077</v>
      </c>
    </row>
    <row r="3705" s="9" customFormat="1" customHeight="1" spans="1:25">
      <c r="A3705" s="104" t="s">
        <v>25</v>
      </c>
      <c r="B3705" s="94" t="s">
        <v>4074</v>
      </c>
      <c r="C3705" s="94" t="s">
        <v>4500</v>
      </c>
      <c r="D3705" s="94" t="s">
        <v>4178</v>
      </c>
      <c r="E3705" s="105" t="s">
        <v>4882</v>
      </c>
      <c r="F3705" s="96" t="s">
        <v>4883</v>
      </c>
      <c r="G3705" s="96" t="s">
        <v>31</v>
      </c>
      <c r="H3705" s="19" t="s">
        <v>4884</v>
      </c>
      <c r="I3705" s="23" t="e">
        <f>VLOOKUP(H3705,'合同综合查询数据（3月返）'!$A:$A,1,FALSE)</f>
        <v>#N/A</v>
      </c>
      <c r="J3705" s="24" t="s">
        <v>33</v>
      </c>
      <c r="K3705" s="96" t="s">
        <v>4885</v>
      </c>
      <c r="L3705" s="114" t="s">
        <v>4886</v>
      </c>
      <c r="M3705" s="26" t="s">
        <v>4887</v>
      </c>
      <c r="N3705" s="106">
        <v>44228</v>
      </c>
      <c r="O3705" s="94" t="s">
        <v>37</v>
      </c>
      <c r="P3705" s="268">
        <v>0</v>
      </c>
      <c r="Q3705" s="273">
        <v>224</v>
      </c>
      <c r="R3705" s="268">
        <f t="shared" ref="R3705:R3752" si="87">ROUND(P3705*Q3705,2)</f>
        <v>0</v>
      </c>
      <c r="S3705" s="24">
        <v>202303</v>
      </c>
      <c r="T3705" s="127" t="s">
        <v>4888</v>
      </c>
      <c r="U3705" s="94"/>
      <c r="V3705" s="321"/>
      <c r="W3705" s="321"/>
      <c r="X3705" s="106">
        <v>44896</v>
      </c>
      <c r="Y3705" s="106">
        <v>45260</v>
      </c>
    </row>
    <row r="3706" s="9" customFormat="1" customHeight="1" spans="1:25">
      <c r="A3706" s="104" t="s">
        <v>25</v>
      </c>
      <c r="B3706" s="94" t="s">
        <v>4074</v>
      </c>
      <c r="C3706" s="94" t="s">
        <v>4500</v>
      </c>
      <c r="D3706" s="94" t="s">
        <v>4178</v>
      </c>
      <c r="E3706" s="105" t="s">
        <v>4882</v>
      </c>
      <c r="F3706" s="96" t="s">
        <v>4883</v>
      </c>
      <c r="G3706" s="96" t="s">
        <v>31</v>
      </c>
      <c r="H3706" s="19" t="s">
        <v>4884</v>
      </c>
      <c r="I3706" s="23" t="e">
        <f>VLOOKUP(H3706,'合同综合查询数据（3月返）'!$A:$A,1,FALSE)</f>
        <v>#N/A</v>
      </c>
      <c r="J3706" s="24" t="s">
        <v>33</v>
      </c>
      <c r="K3706" s="96" t="s">
        <v>4885</v>
      </c>
      <c r="L3706" s="114" t="s">
        <v>4886</v>
      </c>
      <c r="M3706" s="26" t="s">
        <v>4887</v>
      </c>
      <c r="N3706" s="106">
        <v>44228</v>
      </c>
      <c r="O3706" s="94" t="s">
        <v>37</v>
      </c>
      <c r="P3706" s="268">
        <v>20</v>
      </c>
      <c r="Q3706" s="273">
        <v>64</v>
      </c>
      <c r="R3706" s="268">
        <f t="shared" si="87"/>
        <v>1280</v>
      </c>
      <c r="S3706" s="24">
        <v>202303</v>
      </c>
      <c r="T3706" s="127" t="s">
        <v>4889</v>
      </c>
      <c r="U3706" s="94"/>
      <c r="V3706" s="321"/>
      <c r="W3706" s="321"/>
      <c r="X3706" s="106">
        <v>44896</v>
      </c>
      <c r="Y3706" s="106">
        <v>45260</v>
      </c>
    </row>
    <row r="3707" s="9" customFormat="1" customHeight="1" spans="1:25">
      <c r="A3707" s="104" t="s">
        <v>25</v>
      </c>
      <c r="B3707" s="94" t="s">
        <v>4074</v>
      </c>
      <c r="C3707" s="94" t="s">
        <v>4500</v>
      </c>
      <c r="D3707" s="94" t="s">
        <v>4178</v>
      </c>
      <c r="E3707" s="105" t="s">
        <v>4882</v>
      </c>
      <c r="F3707" s="96" t="s">
        <v>4883</v>
      </c>
      <c r="G3707" s="96" t="s">
        <v>31</v>
      </c>
      <c r="H3707" s="19" t="s">
        <v>4884</v>
      </c>
      <c r="I3707" s="23" t="e">
        <f>VLOOKUP(H3707,'合同综合查询数据（3月返）'!$A:$A,1,FALSE)</f>
        <v>#N/A</v>
      </c>
      <c r="J3707" s="24" t="s">
        <v>33</v>
      </c>
      <c r="K3707" s="96" t="s">
        <v>4885</v>
      </c>
      <c r="L3707" s="114" t="s">
        <v>4886</v>
      </c>
      <c r="M3707" s="26" t="s">
        <v>4887</v>
      </c>
      <c r="N3707" s="106">
        <v>44541</v>
      </c>
      <c r="O3707" s="94" t="s">
        <v>37</v>
      </c>
      <c r="P3707" s="268">
        <v>20</v>
      </c>
      <c r="Q3707" s="273">
        <v>256</v>
      </c>
      <c r="R3707" s="268">
        <f t="shared" si="87"/>
        <v>5120</v>
      </c>
      <c r="S3707" s="24">
        <v>202303</v>
      </c>
      <c r="T3707" s="127" t="s">
        <v>4890</v>
      </c>
      <c r="U3707" s="94"/>
      <c r="V3707" s="321"/>
      <c r="W3707" s="321"/>
      <c r="X3707" s="106">
        <v>44896</v>
      </c>
      <c r="Y3707" s="106">
        <v>45260</v>
      </c>
    </row>
    <row r="3708" s="9" customFormat="1" customHeight="1" spans="1:25">
      <c r="A3708" s="104" t="s">
        <v>25</v>
      </c>
      <c r="B3708" s="94" t="s">
        <v>4074</v>
      </c>
      <c r="C3708" s="94" t="s">
        <v>4500</v>
      </c>
      <c r="D3708" s="94" t="s">
        <v>4178</v>
      </c>
      <c r="E3708" s="105" t="s">
        <v>4882</v>
      </c>
      <c r="F3708" s="96" t="s">
        <v>4883</v>
      </c>
      <c r="G3708" s="96" t="s">
        <v>31</v>
      </c>
      <c r="H3708" s="19" t="s">
        <v>4884</v>
      </c>
      <c r="I3708" s="23" t="e">
        <f>VLOOKUP(H3708,'合同综合查询数据（3月返）'!$A:$A,1,FALSE)</f>
        <v>#N/A</v>
      </c>
      <c r="J3708" s="24" t="s">
        <v>33</v>
      </c>
      <c r="K3708" s="96" t="s">
        <v>4885</v>
      </c>
      <c r="L3708" s="114" t="s">
        <v>4886</v>
      </c>
      <c r="M3708" s="26" t="s">
        <v>4887</v>
      </c>
      <c r="N3708" s="106"/>
      <c r="O3708" s="94" t="s">
        <v>152</v>
      </c>
      <c r="P3708" s="268">
        <v>0</v>
      </c>
      <c r="Q3708" s="273">
        <v>0</v>
      </c>
      <c r="R3708" s="268">
        <f t="shared" si="87"/>
        <v>0</v>
      </c>
      <c r="S3708" s="24">
        <v>202303</v>
      </c>
      <c r="T3708" s="127" t="s">
        <v>4891</v>
      </c>
      <c r="U3708" s="94"/>
      <c r="V3708" s="321"/>
      <c r="W3708" s="321"/>
      <c r="X3708" s="106">
        <v>44896</v>
      </c>
      <c r="Y3708" s="106">
        <v>45260</v>
      </c>
    </row>
    <row r="3709" s="9" customFormat="1" customHeight="1" spans="1:25">
      <c r="A3709" s="104" t="s">
        <v>25</v>
      </c>
      <c r="B3709" s="94" t="s">
        <v>4074</v>
      </c>
      <c r="C3709" s="94" t="s">
        <v>4500</v>
      </c>
      <c r="D3709" s="94" t="s">
        <v>4178</v>
      </c>
      <c r="E3709" s="105" t="s">
        <v>4882</v>
      </c>
      <c r="F3709" s="96" t="s">
        <v>4883</v>
      </c>
      <c r="G3709" s="96" t="s">
        <v>88</v>
      </c>
      <c r="H3709" s="19" t="s">
        <v>4884</v>
      </c>
      <c r="I3709" s="23" t="e">
        <f>VLOOKUP(H3709,'合同综合查询数据（3月返）'!$A:$A,1,FALSE)</f>
        <v>#N/A</v>
      </c>
      <c r="J3709" s="24" t="s">
        <v>126</v>
      </c>
      <c r="K3709" s="96" t="s">
        <v>4885</v>
      </c>
      <c r="L3709" s="114" t="s">
        <v>4886</v>
      </c>
      <c r="M3709" s="26" t="s">
        <v>4887</v>
      </c>
      <c r="N3709" s="106">
        <v>44228</v>
      </c>
      <c r="O3709" s="94" t="s">
        <v>127</v>
      </c>
      <c r="P3709" s="268">
        <v>4000</v>
      </c>
      <c r="Q3709" s="273">
        <v>4</v>
      </c>
      <c r="R3709" s="268">
        <f t="shared" si="87"/>
        <v>16000</v>
      </c>
      <c r="S3709" s="24">
        <v>202303</v>
      </c>
      <c r="T3709" s="127" t="s">
        <v>4892</v>
      </c>
      <c r="U3709" s="94"/>
      <c r="V3709" s="321"/>
      <c r="W3709" s="321"/>
      <c r="X3709" s="106">
        <v>44896</v>
      </c>
      <c r="Y3709" s="106">
        <v>45260</v>
      </c>
    </row>
    <row r="3710" s="9" customFormat="1" customHeight="1" spans="1:25">
      <c r="A3710" s="104" t="s">
        <v>25</v>
      </c>
      <c r="B3710" s="94" t="s">
        <v>4074</v>
      </c>
      <c r="C3710" s="94" t="s">
        <v>4500</v>
      </c>
      <c r="D3710" s="94" t="s">
        <v>4178</v>
      </c>
      <c r="E3710" s="105" t="s">
        <v>4882</v>
      </c>
      <c r="F3710" s="96" t="s">
        <v>4883</v>
      </c>
      <c r="G3710" s="96" t="s">
        <v>88</v>
      </c>
      <c r="H3710" s="19" t="s">
        <v>4884</v>
      </c>
      <c r="I3710" s="23" t="e">
        <f>VLOOKUP(H3710,'合同综合查询数据（3月返）'!$A:$A,1,FALSE)</f>
        <v>#N/A</v>
      </c>
      <c r="J3710" s="24" t="s">
        <v>126</v>
      </c>
      <c r="K3710" s="96" t="s">
        <v>4885</v>
      </c>
      <c r="L3710" s="114" t="s">
        <v>4886</v>
      </c>
      <c r="M3710" s="26" t="s">
        <v>4887</v>
      </c>
      <c r="N3710" s="106">
        <v>44317</v>
      </c>
      <c r="O3710" s="94" t="s">
        <v>127</v>
      </c>
      <c r="P3710" s="268">
        <v>4000</v>
      </c>
      <c r="Q3710" s="273">
        <v>2</v>
      </c>
      <c r="R3710" s="268">
        <f t="shared" si="87"/>
        <v>8000</v>
      </c>
      <c r="S3710" s="24">
        <v>202303</v>
      </c>
      <c r="T3710" s="127" t="s">
        <v>4893</v>
      </c>
      <c r="U3710" s="94"/>
      <c r="V3710" s="321"/>
      <c r="W3710" s="321"/>
      <c r="X3710" s="106">
        <v>44896</v>
      </c>
      <c r="Y3710" s="106">
        <v>45260</v>
      </c>
    </row>
    <row r="3711" s="9" customFormat="1" customHeight="1" spans="1:25">
      <c r="A3711" s="104" t="s">
        <v>25</v>
      </c>
      <c r="B3711" s="94" t="s">
        <v>4074</v>
      </c>
      <c r="C3711" s="94" t="s">
        <v>4500</v>
      </c>
      <c r="D3711" s="94" t="s">
        <v>4178</v>
      </c>
      <c r="E3711" s="105" t="s">
        <v>4882</v>
      </c>
      <c r="F3711" s="96" t="s">
        <v>4883</v>
      </c>
      <c r="G3711" s="96" t="s">
        <v>88</v>
      </c>
      <c r="H3711" s="19" t="s">
        <v>4884</v>
      </c>
      <c r="I3711" s="23" t="e">
        <f>VLOOKUP(H3711,'合同综合查询数据（3月返）'!$A:$A,1,FALSE)</f>
        <v>#N/A</v>
      </c>
      <c r="J3711" s="24" t="s">
        <v>126</v>
      </c>
      <c r="K3711" s="96" t="s">
        <v>4885</v>
      </c>
      <c r="L3711" s="114" t="s">
        <v>4886</v>
      </c>
      <c r="M3711" s="26" t="s">
        <v>4887</v>
      </c>
      <c r="N3711" s="106">
        <v>44548</v>
      </c>
      <c r="O3711" s="94" t="s">
        <v>127</v>
      </c>
      <c r="P3711" s="268">
        <v>4000</v>
      </c>
      <c r="Q3711" s="273">
        <v>2</v>
      </c>
      <c r="R3711" s="268">
        <f t="shared" si="87"/>
        <v>8000</v>
      </c>
      <c r="S3711" s="24">
        <v>202303</v>
      </c>
      <c r="T3711" s="127" t="s">
        <v>4894</v>
      </c>
      <c r="U3711" s="94"/>
      <c r="V3711" s="321"/>
      <c r="W3711" s="321"/>
      <c r="X3711" s="106">
        <v>44896</v>
      </c>
      <c r="Y3711" s="106">
        <v>45260</v>
      </c>
    </row>
    <row r="3712" s="9" customFormat="1" customHeight="1" spans="1:25">
      <c r="A3712" s="104" t="s">
        <v>25</v>
      </c>
      <c r="B3712" s="94" t="s">
        <v>4074</v>
      </c>
      <c r="C3712" s="94" t="s">
        <v>4500</v>
      </c>
      <c r="D3712" s="94" t="s">
        <v>4178</v>
      </c>
      <c r="E3712" s="105" t="s">
        <v>4882</v>
      </c>
      <c r="F3712" s="96" t="s">
        <v>4883</v>
      </c>
      <c r="G3712" s="96" t="s">
        <v>88</v>
      </c>
      <c r="H3712" s="19" t="s">
        <v>4884</v>
      </c>
      <c r="I3712" s="23" t="e">
        <f>VLOOKUP(H3712,'合同综合查询数据（3月返）'!$A:$A,1,FALSE)</f>
        <v>#N/A</v>
      </c>
      <c r="J3712" s="24" t="s">
        <v>126</v>
      </c>
      <c r="K3712" s="96" t="s">
        <v>4885</v>
      </c>
      <c r="L3712" s="114" t="s">
        <v>4886</v>
      </c>
      <c r="M3712" s="26" t="s">
        <v>4887</v>
      </c>
      <c r="N3712" s="106">
        <v>44541</v>
      </c>
      <c r="O3712" s="94" t="s">
        <v>127</v>
      </c>
      <c r="P3712" s="268">
        <v>4000</v>
      </c>
      <c r="Q3712" s="273">
        <v>2</v>
      </c>
      <c r="R3712" s="268">
        <f t="shared" si="87"/>
        <v>8000</v>
      </c>
      <c r="S3712" s="24">
        <v>202303</v>
      </c>
      <c r="T3712" s="127" t="s">
        <v>4895</v>
      </c>
      <c r="U3712" s="94"/>
      <c r="V3712" s="321"/>
      <c r="W3712" s="321"/>
      <c r="X3712" s="106">
        <v>44896</v>
      </c>
      <c r="Y3712" s="106">
        <v>45260</v>
      </c>
    </row>
    <row r="3713" s="9" customFormat="1" customHeight="1" spans="1:25">
      <c r="A3713" s="104" t="s">
        <v>25</v>
      </c>
      <c r="B3713" s="94" t="s">
        <v>4074</v>
      </c>
      <c r="C3713" s="94" t="s">
        <v>4500</v>
      </c>
      <c r="D3713" s="94" t="s">
        <v>4178</v>
      </c>
      <c r="E3713" s="105" t="s">
        <v>4882</v>
      </c>
      <c r="F3713" s="96" t="s">
        <v>4883</v>
      </c>
      <c r="G3713" s="96" t="s">
        <v>88</v>
      </c>
      <c r="H3713" s="19" t="s">
        <v>4884</v>
      </c>
      <c r="I3713" s="23" t="e">
        <f>VLOOKUP(H3713,'合同综合查询数据（3月返）'!$A:$A,1,FALSE)</f>
        <v>#N/A</v>
      </c>
      <c r="J3713" s="24" t="s">
        <v>126</v>
      </c>
      <c r="K3713" s="96" t="s">
        <v>4885</v>
      </c>
      <c r="L3713" s="114" t="s">
        <v>4886</v>
      </c>
      <c r="M3713" s="26" t="s">
        <v>4887</v>
      </c>
      <c r="N3713" s="106">
        <v>44742</v>
      </c>
      <c r="O3713" s="94" t="s">
        <v>127</v>
      </c>
      <c r="P3713" s="268">
        <v>4000</v>
      </c>
      <c r="Q3713" s="273">
        <v>-2</v>
      </c>
      <c r="R3713" s="268">
        <f t="shared" si="87"/>
        <v>-8000</v>
      </c>
      <c r="S3713" s="24">
        <v>202303</v>
      </c>
      <c r="T3713" s="127" t="s">
        <v>4896</v>
      </c>
      <c r="U3713" s="94"/>
      <c r="V3713" s="321"/>
      <c r="W3713" s="321"/>
      <c r="X3713" s="106">
        <v>44896</v>
      </c>
      <c r="Y3713" s="106">
        <v>45260</v>
      </c>
    </row>
    <row r="3714" s="9" customFormat="1" customHeight="1" spans="1:25">
      <c r="A3714" s="104" t="s">
        <v>25</v>
      </c>
      <c r="B3714" s="94" t="s">
        <v>4074</v>
      </c>
      <c r="C3714" s="94" t="s">
        <v>283</v>
      </c>
      <c r="D3714" s="94" t="s">
        <v>4178</v>
      </c>
      <c r="E3714" s="105" t="s">
        <v>4882</v>
      </c>
      <c r="F3714" s="96" t="s">
        <v>4883</v>
      </c>
      <c r="G3714" s="96" t="s">
        <v>31</v>
      </c>
      <c r="H3714" s="19" t="s">
        <v>4897</v>
      </c>
      <c r="I3714" s="23" t="str">
        <f>VLOOKUP(H3714,'合同综合查询数据（3月返）'!$A:$A,1,FALSE)</f>
        <v>182315IDC00096</v>
      </c>
      <c r="J3714" s="24" t="s">
        <v>33</v>
      </c>
      <c r="K3714" s="96" t="s">
        <v>4898</v>
      </c>
      <c r="L3714" s="114" t="s">
        <v>4899</v>
      </c>
      <c r="M3714" s="26" t="s">
        <v>4900</v>
      </c>
      <c r="N3714" s="106">
        <v>44501</v>
      </c>
      <c r="O3714" s="94" t="s">
        <v>37</v>
      </c>
      <c r="P3714" s="268">
        <v>0</v>
      </c>
      <c r="Q3714" s="273">
        <v>160</v>
      </c>
      <c r="R3714" s="268">
        <f t="shared" si="87"/>
        <v>0</v>
      </c>
      <c r="S3714" s="24">
        <v>202303</v>
      </c>
      <c r="T3714" s="127" t="s">
        <v>4901</v>
      </c>
      <c r="U3714" s="94"/>
      <c r="V3714" s="321"/>
      <c r="W3714" s="321"/>
      <c r="X3714" s="106">
        <v>44713</v>
      </c>
      <c r="Y3714" s="106">
        <v>45077</v>
      </c>
    </row>
    <row r="3715" s="9" customFormat="1" customHeight="1" spans="1:25">
      <c r="A3715" s="104" t="s">
        <v>25</v>
      </c>
      <c r="B3715" s="94" t="s">
        <v>4074</v>
      </c>
      <c r="C3715" s="94" t="s">
        <v>283</v>
      </c>
      <c r="D3715" s="94" t="s">
        <v>4178</v>
      </c>
      <c r="E3715" s="105" t="s">
        <v>4882</v>
      </c>
      <c r="F3715" s="96" t="s">
        <v>4883</v>
      </c>
      <c r="G3715" s="96" t="s">
        <v>31</v>
      </c>
      <c r="H3715" s="19" t="s">
        <v>4897</v>
      </c>
      <c r="I3715" s="23" t="str">
        <f>VLOOKUP(H3715,'合同综合查询数据（3月返）'!$A:$A,1,FALSE)</f>
        <v>182315IDC00096</v>
      </c>
      <c r="J3715" s="24" t="s">
        <v>33</v>
      </c>
      <c r="K3715" s="96" t="s">
        <v>4898</v>
      </c>
      <c r="L3715" s="114" t="s">
        <v>4899</v>
      </c>
      <c r="M3715" s="26" t="s">
        <v>4900</v>
      </c>
      <c r="N3715" s="106">
        <v>44501</v>
      </c>
      <c r="O3715" s="94" t="s">
        <v>37</v>
      </c>
      <c r="P3715" s="268">
        <v>50</v>
      </c>
      <c r="Q3715" s="273">
        <v>128</v>
      </c>
      <c r="R3715" s="268">
        <f t="shared" si="87"/>
        <v>6400</v>
      </c>
      <c r="S3715" s="24">
        <v>202303</v>
      </c>
      <c r="T3715" s="127" t="s">
        <v>4901</v>
      </c>
      <c r="U3715" s="94"/>
      <c r="V3715" s="321"/>
      <c r="W3715" s="321"/>
      <c r="X3715" s="106">
        <v>44713</v>
      </c>
      <c r="Y3715" s="106">
        <v>45077</v>
      </c>
    </row>
    <row r="3716" s="9" customFormat="1" customHeight="1" spans="1:25">
      <c r="A3716" s="104" t="s">
        <v>25</v>
      </c>
      <c r="B3716" s="94" t="s">
        <v>4074</v>
      </c>
      <c r="C3716" s="94" t="s">
        <v>283</v>
      </c>
      <c r="D3716" s="94" t="s">
        <v>4178</v>
      </c>
      <c r="E3716" s="105" t="s">
        <v>4882</v>
      </c>
      <c r="F3716" s="96" t="s">
        <v>4883</v>
      </c>
      <c r="G3716" s="96" t="s">
        <v>31</v>
      </c>
      <c r="H3716" s="19" t="s">
        <v>4897</v>
      </c>
      <c r="I3716" s="23" t="str">
        <f>VLOOKUP(H3716,'合同综合查询数据（3月返）'!$A:$A,1,FALSE)</f>
        <v>182315IDC00096</v>
      </c>
      <c r="J3716" s="24" t="s">
        <v>33</v>
      </c>
      <c r="K3716" s="96" t="s">
        <v>4898</v>
      </c>
      <c r="L3716" s="114" t="s">
        <v>4899</v>
      </c>
      <c r="M3716" s="26" t="s">
        <v>4900</v>
      </c>
      <c r="N3716" s="106">
        <v>44902</v>
      </c>
      <c r="O3716" s="94" t="s">
        <v>37</v>
      </c>
      <c r="P3716" s="268">
        <v>50</v>
      </c>
      <c r="Q3716" s="273">
        <v>-128</v>
      </c>
      <c r="R3716" s="268">
        <f t="shared" si="87"/>
        <v>-6400</v>
      </c>
      <c r="S3716" s="24">
        <v>202303</v>
      </c>
      <c r="T3716" s="127" t="s">
        <v>4902</v>
      </c>
      <c r="U3716" s="94"/>
      <c r="V3716" s="321"/>
      <c r="W3716" s="321"/>
      <c r="X3716" s="106">
        <v>44713</v>
      </c>
      <c r="Y3716" s="106">
        <v>45077</v>
      </c>
    </row>
    <row r="3717" s="9" customFormat="1" customHeight="1" spans="1:25">
      <c r="A3717" s="104" t="s">
        <v>25</v>
      </c>
      <c r="B3717" s="94" t="s">
        <v>4074</v>
      </c>
      <c r="C3717" s="94" t="s">
        <v>283</v>
      </c>
      <c r="D3717" s="94" t="s">
        <v>4178</v>
      </c>
      <c r="E3717" s="105" t="s">
        <v>4882</v>
      </c>
      <c r="F3717" s="96" t="s">
        <v>4883</v>
      </c>
      <c r="G3717" s="96" t="s">
        <v>31</v>
      </c>
      <c r="H3717" s="19" t="s">
        <v>4897</v>
      </c>
      <c r="I3717" s="23" t="str">
        <f>VLOOKUP(H3717,'合同综合查询数据（3月返）'!$A:$A,1,FALSE)</f>
        <v>182315IDC00096</v>
      </c>
      <c r="J3717" s="24" t="s">
        <v>33</v>
      </c>
      <c r="K3717" s="96" t="s">
        <v>4898</v>
      </c>
      <c r="L3717" s="114" t="s">
        <v>4899</v>
      </c>
      <c r="M3717" s="26" t="s">
        <v>4900</v>
      </c>
      <c r="N3717" s="106"/>
      <c r="O3717" s="94" t="s">
        <v>152</v>
      </c>
      <c r="P3717" s="268">
        <v>0</v>
      </c>
      <c r="Q3717" s="268">
        <v>0</v>
      </c>
      <c r="R3717" s="268">
        <f t="shared" si="87"/>
        <v>0</v>
      </c>
      <c r="S3717" s="24">
        <v>202303</v>
      </c>
      <c r="T3717" s="127" t="s">
        <v>4903</v>
      </c>
      <c r="U3717" s="94"/>
      <c r="V3717" s="321"/>
      <c r="W3717" s="321"/>
      <c r="X3717" s="106">
        <v>44713</v>
      </c>
      <c r="Y3717" s="106">
        <v>45077</v>
      </c>
    </row>
    <row r="3718" s="9" customFormat="1" customHeight="1" spans="1:25">
      <c r="A3718" s="104" t="s">
        <v>25</v>
      </c>
      <c r="B3718" s="94" t="s">
        <v>4074</v>
      </c>
      <c r="C3718" s="94" t="s">
        <v>283</v>
      </c>
      <c r="D3718" s="94" t="s">
        <v>4178</v>
      </c>
      <c r="E3718" s="105" t="s">
        <v>4882</v>
      </c>
      <c r="F3718" s="96" t="s">
        <v>4883</v>
      </c>
      <c r="G3718" s="96" t="s">
        <v>88</v>
      </c>
      <c r="H3718" s="19" t="s">
        <v>4897</v>
      </c>
      <c r="I3718" s="23" t="str">
        <f>VLOOKUP(H3718,'合同综合查询数据（3月返）'!$A:$A,1,FALSE)</f>
        <v>182315IDC00096</v>
      </c>
      <c r="J3718" s="24" t="s">
        <v>126</v>
      </c>
      <c r="K3718" s="96" t="s">
        <v>4898</v>
      </c>
      <c r="L3718" s="114" t="s">
        <v>4899</v>
      </c>
      <c r="M3718" s="26" t="s">
        <v>4900</v>
      </c>
      <c r="N3718" s="106">
        <v>44501</v>
      </c>
      <c r="O3718" s="94" t="s">
        <v>127</v>
      </c>
      <c r="P3718" s="268">
        <v>4000</v>
      </c>
      <c r="Q3718" s="273">
        <v>3</v>
      </c>
      <c r="R3718" s="268">
        <f t="shared" si="87"/>
        <v>12000</v>
      </c>
      <c r="S3718" s="24">
        <v>202303</v>
      </c>
      <c r="T3718" s="127" t="s">
        <v>4904</v>
      </c>
      <c r="U3718" s="94"/>
      <c r="V3718" s="321"/>
      <c r="W3718" s="321"/>
      <c r="X3718" s="106">
        <v>44713</v>
      </c>
      <c r="Y3718" s="106">
        <v>45077</v>
      </c>
    </row>
    <row r="3719" s="9" customFormat="1" customHeight="1" spans="1:25">
      <c r="A3719" s="104" t="s">
        <v>25</v>
      </c>
      <c r="B3719" s="94" t="s">
        <v>4074</v>
      </c>
      <c r="C3719" s="94" t="s">
        <v>283</v>
      </c>
      <c r="D3719" s="94" t="s">
        <v>4178</v>
      </c>
      <c r="E3719" s="105" t="s">
        <v>4882</v>
      </c>
      <c r="F3719" s="96" t="s">
        <v>4883</v>
      </c>
      <c r="G3719" s="96" t="s">
        <v>88</v>
      </c>
      <c r="H3719" s="19" t="s">
        <v>4897</v>
      </c>
      <c r="I3719" s="23" t="str">
        <f>VLOOKUP(H3719,'合同综合查询数据（3月返）'!$A:$A,1,FALSE)</f>
        <v>182315IDC00096</v>
      </c>
      <c r="J3719" s="24" t="s">
        <v>126</v>
      </c>
      <c r="K3719" s="96" t="s">
        <v>4898</v>
      </c>
      <c r="L3719" s="114" t="s">
        <v>4899</v>
      </c>
      <c r="M3719" s="26" t="s">
        <v>4900</v>
      </c>
      <c r="N3719" s="106">
        <v>44925</v>
      </c>
      <c r="O3719" s="94" t="s">
        <v>127</v>
      </c>
      <c r="P3719" s="268">
        <v>4000</v>
      </c>
      <c r="Q3719" s="273">
        <v>2</v>
      </c>
      <c r="R3719" s="268">
        <f t="shared" si="87"/>
        <v>8000</v>
      </c>
      <c r="S3719" s="24">
        <v>202303</v>
      </c>
      <c r="T3719" s="127" t="s">
        <v>4905</v>
      </c>
      <c r="U3719" s="94"/>
      <c r="V3719" s="321"/>
      <c r="W3719" s="321"/>
      <c r="X3719" s="106">
        <v>44927</v>
      </c>
      <c r="Y3719" s="106">
        <v>45291</v>
      </c>
    </row>
    <row r="3720" s="9" customFormat="1" customHeight="1" spans="1:25">
      <c r="A3720" s="96" t="s">
        <v>129</v>
      </c>
      <c r="B3720" s="94" t="s">
        <v>4074</v>
      </c>
      <c r="C3720" s="94" t="s">
        <v>204</v>
      </c>
      <c r="D3720" s="94" t="s">
        <v>4178</v>
      </c>
      <c r="E3720" s="105" t="s">
        <v>4882</v>
      </c>
      <c r="F3720" s="96" t="s">
        <v>4883</v>
      </c>
      <c r="G3720" s="96" t="s">
        <v>31</v>
      </c>
      <c r="H3720" s="19" t="s">
        <v>4906</v>
      </c>
      <c r="I3720" s="23" t="e">
        <f>VLOOKUP(H3720,'合同综合查询数据（3月返）'!$A:$A,1,FALSE)</f>
        <v>#N/A</v>
      </c>
      <c r="J3720" s="24" t="s">
        <v>33</v>
      </c>
      <c r="K3720" s="96" t="s">
        <v>4907</v>
      </c>
      <c r="L3720" s="114" t="s">
        <v>4908</v>
      </c>
      <c r="M3720" s="26" t="s">
        <v>4909</v>
      </c>
      <c r="N3720" s="106">
        <v>44470</v>
      </c>
      <c r="O3720" s="94" t="s">
        <v>37</v>
      </c>
      <c r="P3720" s="268">
        <v>0</v>
      </c>
      <c r="Q3720" s="273">
        <v>256</v>
      </c>
      <c r="R3720" s="268">
        <f t="shared" si="87"/>
        <v>0</v>
      </c>
      <c r="S3720" s="24">
        <v>202303</v>
      </c>
      <c r="T3720" s="127" t="s">
        <v>4910</v>
      </c>
      <c r="U3720" s="94"/>
      <c r="V3720" s="321"/>
      <c r="W3720" s="321"/>
      <c r="X3720" s="106">
        <v>44713</v>
      </c>
      <c r="Y3720" s="106">
        <v>45077</v>
      </c>
    </row>
    <row r="3721" s="9" customFormat="1" customHeight="1" spans="1:25">
      <c r="A3721" s="96" t="s">
        <v>129</v>
      </c>
      <c r="B3721" s="94" t="s">
        <v>4074</v>
      </c>
      <c r="C3721" s="94" t="s">
        <v>204</v>
      </c>
      <c r="D3721" s="94" t="s">
        <v>4178</v>
      </c>
      <c r="E3721" s="105" t="s">
        <v>4882</v>
      </c>
      <c r="F3721" s="96" t="s">
        <v>4883</v>
      </c>
      <c r="G3721" s="96" t="s">
        <v>31</v>
      </c>
      <c r="H3721" s="19" t="s">
        <v>4906</v>
      </c>
      <c r="I3721" s="23" t="e">
        <f>VLOOKUP(H3721,'合同综合查询数据（3月返）'!$A:$A,1,FALSE)</f>
        <v>#N/A</v>
      </c>
      <c r="J3721" s="24" t="s">
        <v>33</v>
      </c>
      <c r="K3721" s="96" t="s">
        <v>4907</v>
      </c>
      <c r="L3721" s="114" t="s">
        <v>4908</v>
      </c>
      <c r="M3721" s="26" t="s">
        <v>4909</v>
      </c>
      <c r="N3721" s="106">
        <v>44470</v>
      </c>
      <c r="O3721" s="94" t="s">
        <v>37</v>
      </c>
      <c r="P3721" s="268">
        <v>30</v>
      </c>
      <c r="Q3721" s="273">
        <v>32</v>
      </c>
      <c r="R3721" s="268">
        <f t="shared" si="87"/>
        <v>960</v>
      </c>
      <c r="S3721" s="24">
        <v>202303</v>
      </c>
      <c r="T3721" s="127" t="s">
        <v>4911</v>
      </c>
      <c r="U3721" s="94"/>
      <c r="V3721" s="321"/>
      <c r="W3721" s="321"/>
      <c r="X3721" s="106">
        <v>44713</v>
      </c>
      <c r="Y3721" s="106">
        <v>45077</v>
      </c>
    </row>
    <row r="3722" s="9" customFormat="1" customHeight="1" spans="1:25">
      <c r="A3722" s="96" t="s">
        <v>129</v>
      </c>
      <c r="B3722" s="94" t="s">
        <v>4074</v>
      </c>
      <c r="C3722" s="94" t="s">
        <v>204</v>
      </c>
      <c r="D3722" s="94" t="s">
        <v>4178</v>
      </c>
      <c r="E3722" s="105" t="s">
        <v>4882</v>
      </c>
      <c r="F3722" s="96" t="s">
        <v>4883</v>
      </c>
      <c r="G3722" s="96" t="s">
        <v>31</v>
      </c>
      <c r="H3722" s="19" t="s">
        <v>4906</v>
      </c>
      <c r="I3722" s="23" t="e">
        <f>VLOOKUP(H3722,'合同综合查询数据（3月返）'!$A:$A,1,FALSE)</f>
        <v>#N/A</v>
      </c>
      <c r="J3722" s="24" t="s">
        <v>33</v>
      </c>
      <c r="K3722" s="96" t="s">
        <v>4907</v>
      </c>
      <c r="L3722" s="114" t="s">
        <v>4908</v>
      </c>
      <c r="M3722" s="26" t="s">
        <v>4909</v>
      </c>
      <c r="N3722" s="106">
        <v>44895</v>
      </c>
      <c r="O3722" s="94" t="s">
        <v>37</v>
      </c>
      <c r="P3722" s="268">
        <v>30</v>
      </c>
      <c r="Q3722" s="273">
        <v>-32</v>
      </c>
      <c r="R3722" s="268">
        <f t="shared" si="87"/>
        <v>-960</v>
      </c>
      <c r="S3722" s="24">
        <v>202303</v>
      </c>
      <c r="T3722" s="127" t="s">
        <v>4912</v>
      </c>
      <c r="U3722" s="94"/>
      <c r="V3722" s="321"/>
      <c r="W3722" s="321"/>
      <c r="X3722" s="106">
        <v>44713</v>
      </c>
      <c r="Y3722" s="106">
        <v>45077</v>
      </c>
    </row>
    <row r="3723" s="9" customFormat="1" customHeight="1" spans="1:25">
      <c r="A3723" s="96" t="s">
        <v>129</v>
      </c>
      <c r="B3723" s="94" t="s">
        <v>4074</v>
      </c>
      <c r="C3723" s="94" t="s">
        <v>204</v>
      </c>
      <c r="D3723" s="94" t="s">
        <v>4178</v>
      </c>
      <c r="E3723" s="105" t="s">
        <v>4882</v>
      </c>
      <c r="F3723" s="96" t="s">
        <v>4883</v>
      </c>
      <c r="G3723" s="96" t="s">
        <v>31</v>
      </c>
      <c r="H3723" s="19" t="s">
        <v>4906</v>
      </c>
      <c r="I3723" s="23" t="e">
        <f>VLOOKUP(H3723,'合同综合查询数据（3月返）'!$A:$A,1,FALSE)</f>
        <v>#N/A</v>
      </c>
      <c r="J3723" s="24" t="s">
        <v>33</v>
      </c>
      <c r="K3723" s="96" t="s">
        <v>4907</v>
      </c>
      <c r="L3723" s="114" t="s">
        <v>4908</v>
      </c>
      <c r="M3723" s="26" t="s">
        <v>4909</v>
      </c>
      <c r="N3723" s="106">
        <v>44895</v>
      </c>
      <c r="O3723" s="94" t="s">
        <v>37</v>
      </c>
      <c r="P3723" s="268">
        <v>0</v>
      </c>
      <c r="Q3723" s="273">
        <v>-96</v>
      </c>
      <c r="R3723" s="268">
        <f t="shared" si="87"/>
        <v>0</v>
      </c>
      <c r="S3723" s="24">
        <v>202303</v>
      </c>
      <c r="T3723" s="127"/>
      <c r="U3723" s="94"/>
      <c r="V3723" s="321"/>
      <c r="W3723" s="321"/>
      <c r="X3723" s="106">
        <v>44713</v>
      </c>
      <c r="Y3723" s="106">
        <v>45077</v>
      </c>
    </row>
    <row r="3724" s="9" customFormat="1" customHeight="1" spans="1:25">
      <c r="A3724" s="96" t="s">
        <v>129</v>
      </c>
      <c r="B3724" s="94" t="s">
        <v>4074</v>
      </c>
      <c r="C3724" s="94" t="s">
        <v>204</v>
      </c>
      <c r="D3724" s="94" t="s">
        <v>4178</v>
      </c>
      <c r="E3724" s="105" t="s">
        <v>4882</v>
      </c>
      <c r="F3724" s="96" t="s">
        <v>4883</v>
      </c>
      <c r="G3724" s="96" t="s">
        <v>31</v>
      </c>
      <c r="H3724" s="19" t="s">
        <v>4906</v>
      </c>
      <c r="I3724" s="23" t="e">
        <f>VLOOKUP(H3724,'合同综合查询数据（3月返）'!$A:$A,1,FALSE)</f>
        <v>#N/A</v>
      </c>
      <c r="J3724" s="24" t="s">
        <v>33</v>
      </c>
      <c r="K3724" s="96" t="s">
        <v>4907</v>
      </c>
      <c r="L3724" s="114" t="s">
        <v>4908</v>
      </c>
      <c r="M3724" s="26" t="s">
        <v>4909</v>
      </c>
      <c r="N3724" s="106"/>
      <c r="O3724" s="94" t="s">
        <v>152</v>
      </c>
      <c r="P3724" s="268">
        <v>0</v>
      </c>
      <c r="Q3724" s="268">
        <v>0</v>
      </c>
      <c r="R3724" s="268">
        <f t="shared" si="87"/>
        <v>0</v>
      </c>
      <c r="S3724" s="24">
        <v>202303</v>
      </c>
      <c r="T3724" s="127" t="s">
        <v>4903</v>
      </c>
      <c r="U3724" s="94"/>
      <c r="V3724" s="321"/>
      <c r="W3724" s="321"/>
      <c r="X3724" s="106">
        <v>44713</v>
      </c>
      <c r="Y3724" s="106">
        <v>45077</v>
      </c>
    </row>
    <row r="3725" s="9" customFormat="1" customHeight="1" spans="1:25">
      <c r="A3725" s="96" t="s">
        <v>129</v>
      </c>
      <c r="B3725" s="94" t="s">
        <v>4074</v>
      </c>
      <c r="C3725" s="94" t="s">
        <v>204</v>
      </c>
      <c r="D3725" s="94" t="s">
        <v>4178</v>
      </c>
      <c r="E3725" s="105" t="s">
        <v>4882</v>
      </c>
      <c r="F3725" s="96" t="s">
        <v>4883</v>
      </c>
      <c r="G3725" s="96" t="s">
        <v>88</v>
      </c>
      <c r="H3725" s="19" t="s">
        <v>4906</v>
      </c>
      <c r="I3725" s="23" t="e">
        <f>VLOOKUP(H3725,'合同综合查询数据（3月返）'!$A:$A,1,FALSE)</f>
        <v>#N/A</v>
      </c>
      <c r="J3725" s="24" t="s">
        <v>126</v>
      </c>
      <c r="K3725" s="96" t="s">
        <v>4907</v>
      </c>
      <c r="L3725" s="114" t="s">
        <v>4908</v>
      </c>
      <c r="M3725" s="26" t="s">
        <v>4909</v>
      </c>
      <c r="N3725" s="106">
        <v>44470</v>
      </c>
      <c r="O3725" s="94" t="s">
        <v>127</v>
      </c>
      <c r="P3725" s="268">
        <v>4000</v>
      </c>
      <c r="Q3725" s="273">
        <v>2</v>
      </c>
      <c r="R3725" s="268">
        <f t="shared" si="87"/>
        <v>8000</v>
      </c>
      <c r="S3725" s="24">
        <v>202303</v>
      </c>
      <c r="T3725" s="127" t="s">
        <v>4913</v>
      </c>
      <c r="U3725" s="94"/>
      <c r="V3725" s="321"/>
      <c r="W3725" s="321"/>
      <c r="X3725" s="106">
        <v>44713</v>
      </c>
      <c r="Y3725" s="106">
        <v>45077</v>
      </c>
    </row>
    <row r="3726" s="9" customFormat="1" customHeight="1" spans="1:25">
      <c r="A3726" s="96" t="s">
        <v>109</v>
      </c>
      <c r="B3726" s="96" t="s">
        <v>4074</v>
      </c>
      <c r="C3726" s="96" t="s">
        <v>130</v>
      </c>
      <c r="D3726" s="94" t="s">
        <v>4178</v>
      </c>
      <c r="E3726" s="105" t="s">
        <v>4914</v>
      </c>
      <c r="F3726" s="96" t="s">
        <v>4915</v>
      </c>
      <c r="G3726" s="96" t="s">
        <v>31</v>
      </c>
      <c r="H3726" s="19" t="s">
        <v>4916</v>
      </c>
      <c r="I3726" s="23" t="e">
        <f>VLOOKUP(H3726,'合同综合查询数据（3月返）'!$A:$A,1,FALSE)</f>
        <v>#N/A</v>
      </c>
      <c r="J3726" s="24" t="s">
        <v>33</v>
      </c>
      <c r="K3726" s="96" t="s">
        <v>4917</v>
      </c>
      <c r="L3726" s="114" t="s">
        <v>4918</v>
      </c>
      <c r="M3726" s="26" t="s">
        <v>4919</v>
      </c>
      <c r="N3726" s="311">
        <v>43318</v>
      </c>
      <c r="O3726" s="311" t="s">
        <v>37</v>
      </c>
      <c r="P3726" s="268">
        <v>0</v>
      </c>
      <c r="Q3726" s="273">
        <v>288</v>
      </c>
      <c r="R3726" s="268">
        <f t="shared" si="87"/>
        <v>0</v>
      </c>
      <c r="S3726" s="24">
        <v>202303</v>
      </c>
      <c r="T3726" s="127" t="s">
        <v>4920</v>
      </c>
      <c r="U3726" s="40"/>
      <c r="V3726" s="40"/>
      <c r="W3726" s="40"/>
      <c r="X3726" s="106">
        <v>44805</v>
      </c>
      <c r="Y3726" s="106">
        <v>45016</v>
      </c>
    </row>
    <row r="3727" s="9" customFormat="1" customHeight="1" spans="1:25">
      <c r="A3727" s="96" t="s">
        <v>109</v>
      </c>
      <c r="B3727" s="96" t="s">
        <v>4074</v>
      </c>
      <c r="C3727" s="96" t="s">
        <v>130</v>
      </c>
      <c r="D3727" s="94" t="s">
        <v>4178</v>
      </c>
      <c r="E3727" s="105" t="s">
        <v>4914</v>
      </c>
      <c r="F3727" s="96" t="s">
        <v>4915</v>
      </c>
      <c r="G3727" s="96" t="s">
        <v>31</v>
      </c>
      <c r="H3727" s="19" t="s">
        <v>4916</v>
      </c>
      <c r="I3727" s="23" t="e">
        <f>VLOOKUP(H3727,'合同综合查询数据（3月返）'!$A:$A,1,FALSE)</f>
        <v>#N/A</v>
      </c>
      <c r="J3727" s="24" t="s">
        <v>33</v>
      </c>
      <c r="K3727" s="96" t="s">
        <v>4917</v>
      </c>
      <c r="L3727" s="114" t="s">
        <v>4918</v>
      </c>
      <c r="M3727" s="26" t="s">
        <v>4921</v>
      </c>
      <c r="N3727" s="311">
        <v>44489</v>
      </c>
      <c r="O3727" s="311" t="s">
        <v>37</v>
      </c>
      <c r="P3727" s="268">
        <v>0</v>
      </c>
      <c r="Q3727" s="273">
        <v>128</v>
      </c>
      <c r="R3727" s="268">
        <f t="shared" si="87"/>
        <v>0</v>
      </c>
      <c r="S3727" s="24">
        <v>202303</v>
      </c>
      <c r="T3727" s="127" t="s">
        <v>4922</v>
      </c>
      <c r="U3727" s="40"/>
      <c r="V3727" s="40"/>
      <c r="W3727" s="40"/>
      <c r="X3727" s="106">
        <v>44805</v>
      </c>
      <c r="Y3727" s="106">
        <v>45016</v>
      </c>
    </row>
    <row r="3728" s="9" customFormat="1" customHeight="1" spans="1:25">
      <c r="A3728" s="96" t="s">
        <v>109</v>
      </c>
      <c r="B3728" s="96" t="s">
        <v>4074</v>
      </c>
      <c r="C3728" s="96" t="s">
        <v>130</v>
      </c>
      <c r="D3728" s="94" t="s">
        <v>4178</v>
      </c>
      <c r="E3728" s="105" t="s">
        <v>4914</v>
      </c>
      <c r="F3728" s="96" t="s">
        <v>4915</v>
      </c>
      <c r="G3728" s="96" t="s">
        <v>31</v>
      </c>
      <c r="H3728" s="19" t="s">
        <v>4916</v>
      </c>
      <c r="I3728" s="23" t="e">
        <f>VLOOKUP(H3728,'合同综合查询数据（3月返）'!$A:$A,1,FALSE)</f>
        <v>#N/A</v>
      </c>
      <c r="J3728" s="24" t="s">
        <v>33</v>
      </c>
      <c r="K3728" s="96" t="s">
        <v>4917</v>
      </c>
      <c r="L3728" s="114" t="s">
        <v>4918</v>
      </c>
      <c r="M3728" s="26" t="s">
        <v>4921</v>
      </c>
      <c r="N3728" s="311">
        <v>44865</v>
      </c>
      <c r="O3728" s="311" t="s">
        <v>37</v>
      </c>
      <c r="P3728" s="268">
        <v>0</v>
      </c>
      <c r="Q3728" s="273">
        <v>-128</v>
      </c>
      <c r="R3728" s="268">
        <f t="shared" si="87"/>
        <v>0</v>
      </c>
      <c r="S3728" s="24">
        <v>202303</v>
      </c>
      <c r="T3728" s="127" t="s">
        <v>4923</v>
      </c>
      <c r="U3728" s="40"/>
      <c r="V3728" s="40"/>
      <c r="W3728" s="40"/>
      <c r="X3728" s="106">
        <v>44805</v>
      </c>
      <c r="Y3728" s="106">
        <v>45016</v>
      </c>
    </row>
    <row r="3729" s="9" customFormat="1" customHeight="1" spans="1:25">
      <c r="A3729" s="96" t="s">
        <v>109</v>
      </c>
      <c r="B3729" s="96" t="s">
        <v>4074</v>
      </c>
      <c r="C3729" s="96" t="s">
        <v>130</v>
      </c>
      <c r="D3729" s="94" t="s">
        <v>4178</v>
      </c>
      <c r="E3729" s="105" t="s">
        <v>4914</v>
      </c>
      <c r="F3729" s="96" t="s">
        <v>4915</v>
      </c>
      <c r="G3729" s="96" t="s">
        <v>88</v>
      </c>
      <c r="H3729" s="19" t="s">
        <v>4916</v>
      </c>
      <c r="I3729" s="23" t="e">
        <f>VLOOKUP(H3729,'合同综合查询数据（3月返）'!$A:$A,1,FALSE)</f>
        <v>#N/A</v>
      </c>
      <c r="J3729" s="24" t="s">
        <v>126</v>
      </c>
      <c r="K3729" s="96" t="s">
        <v>4917</v>
      </c>
      <c r="L3729" s="114" t="s">
        <v>4918</v>
      </c>
      <c r="M3729" s="26" t="s">
        <v>4921</v>
      </c>
      <c r="N3729" s="311">
        <v>43318</v>
      </c>
      <c r="O3729" s="311" t="s">
        <v>92</v>
      </c>
      <c r="P3729" s="268">
        <v>4500</v>
      </c>
      <c r="Q3729" s="273">
        <v>5</v>
      </c>
      <c r="R3729" s="268">
        <f t="shared" si="87"/>
        <v>22500</v>
      </c>
      <c r="S3729" s="24">
        <v>202303</v>
      </c>
      <c r="T3729" s="127" t="s">
        <v>4924</v>
      </c>
      <c r="U3729" s="40"/>
      <c r="V3729" s="40"/>
      <c r="W3729" s="40"/>
      <c r="X3729" s="106">
        <v>44805</v>
      </c>
      <c r="Y3729" s="106">
        <v>45016</v>
      </c>
    </row>
    <row r="3730" s="9" customFormat="1" customHeight="1" spans="1:25">
      <c r="A3730" s="96" t="s">
        <v>109</v>
      </c>
      <c r="B3730" s="96" t="s">
        <v>4074</v>
      </c>
      <c r="C3730" s="96" t="s">
        <v>130</v>
      </c>
      <c r="D3730" s="94" t="s">
        <v>4178</v>
      </c>
      <c r="E3730" s="105" t="s">
        <v>4914</v>
      </c>
      <c r="F3730" s="96" t="s">
        <v>4915</v>
      </c>
      <c r="G3730" s="96" t="s">
        <v>88</v>
      </c>
      <c r="H3730" s="19" t="s">
        <v>4916</v>
      </c>
      <c r="I3730" s="23" t="e">
        <f>VLOOKUP(H3730,'合同综合查询数据（3月返）'!$A:$A,1,FALSE)</f>
        <v>#N/A</v>
      </c>
      <c r="J3730" s="24" t="s">
        <v>126</v>
      </c>
      <c r="K3730" s="96" t="s">
        <v>4917</v>
      </c>
      <c r="L3730" s="114" t="s">
        <v>4918</v>
      </c>
      <c r="M3730" s="26" t="s">
        <v>4921</v>
      </c>
      <c r="N3730" s="311">
        <v>43739</v>
      </c>
      <c r="O3730" s="311" t="s">
        <v>92</v>
      </c>
      <c r="P3730" s="268">
        <v>4500</v>
      </c>
      <c r="Q3730" s="273">
        <v>2</v>
      </c>
      <c r="R3730" s="268">
        <f t="shared" si="87"/>
        <v>9000</v>
      </c>
      <c r="S3730" s="24">
        <v>202303</v>
      </c>
      <c r="T3730" s="127" t="s">
        <v>4925</v>
      </c>
      <c r="U3730" s="40"/>
      <c r="V3730" s="40"/>
      <c r="W3730" s="40"/>
      <c r="X3730" s="106">
        <v>44805</v>
      </c>
      <c r="Y3730" s="106">
        <v>45016</v>
      </c>
    </row>
    <row r="3731" s="9" customFormat="1" customHeight="1" spans="1:25">
      <c r="A3731" s="96" t="s">
        <v>109</v>
      </c>
      <c r="B3731" s="96" t="s">
        <v>4074</v>
      </c>
      <c r="C3731" s="96" t="s">
        <v>130</v>
      </c>
      <c r="D3731" s="94" t="s">
        <v>4178</v>
      </c>
      <c r="E3731" s="105" t="s">
        <v>4914</v>
      </c>
      <c r="F3731" s="96" t="s">
        <v>4915</v>
      </c>
      <c r="G3731" s="96" t="s">
        <v>88</v>
      </c>
      <c r="H3731" s="19" t="s">
        <v>4916</v>
      </c>
      <c r="I3731" s="23" t="e">
        <f>VLOOKUP(H3731,'合同综合查询数据（3月返）'!$A:$A,1,FALSE)</f>
        <v>#N/A</v>
      </c>
      <c r="J3731" s="24" t="s">
        <v>126</v>
      </c>
      <c r="K3731" s="96" t="s">
        <v>4917</v>
      </c>
      <c r="L3731" s="114" t="s">
        <v>4918</v>
      </c>
      <c r="M3731" s="26" t="s">
        <v>4921</v>
      </c>
      <c r="N3731" s="311">
        <v>44489</v>
      </c>
      <c r="O3731" s="311" t="s">
        <v>92</v>
      </c>
      <c r="P3731" s="268">
        <v>5000</v>
      </c>
      <c r="Q3731" s="273">
        <v>1</v>
      </c>
      <c r="R3731" s="268">
        <f t="shared" si="87"/>
        <v>5000</v>
      </c>
      <c r="S3731" s="24">
        <v>202303</v>
      </c>
      <c r="T3731" s="127" t="s">
        <v>4926</v>
      </c>
      <c r="U3731" s="40"/>
      <c r="V3731" s="40"/>
      <c r="W3731" s="40"/>
      <c r="X3731" s="106">
        <v>44805</v>
      </c>
      <c r="Y3731" s="106">
        <v>45016</v>
      </c>
    </row>
    <row r="3732" s="9" customFormat="1" customHeight="1" spans="1:25">
      <c r="A3732" s="96" t="s">
        <v>109</v>
      </c>
      <c r="B3732" s="96" t="s">
        <v>4074</v>
      </c>
      <c r="C3732" s="96" t="s">
        <v>130</v>
      </c>
      <c r="D3732" s="94" t="s">
        <v>4178</v>
      </c>
      <c r="E3732" s="105" t="s">
        <v>4914</v>
      </c>
      <c r="F3732" s="96" t="s">
        <v>4915</v>
      </c>
      <c r="G3732" s="96" t="s">
        <v>88</v>
      </c>
      <c r="H3732" s="19" t="s">
        <v>4916</v>
      </c>
      <c r="I3732" s="23" t="e">
        <f>VLOOKUP(H3732,'合同综合查询数据（3月返）'!$A:$A,1,FALSE)</f>
        <v>#N/A</v>
      </c>
      <c r="J3732" s="24" t="s">
        <v>126</v>
      </c>
      <c r="K3732" s="96" t="s">
        <v>4917</v>
      </c>
      <c r="L3732" s="114" t="s">
        <v>4918</v>
      </c>
      <c r="M3732" s="26" t="s">
        <v>4921</v>
      </c>
      <c r="N3732" s="311">
        <v>44865</v>
      </c>
      <c r="O3732" s="311" t="s">
        <v>92</v>
      </c>
      <c r="P3732" s="268">
        <v>5000</v>
      </c>
      <c r="Q3732" s="273">
        <v>-1</v>
      </c>
      <c r="R3732" s="268">
        <f t="shared" si="87"/>
        <v>-5000</v>
      </c>
      <c r="S3732" s="24">
        <v>202303</v>
      </c>
      <c r="T3732" s="127" t="s">
        <v>4927</v>
      </c>
      <c r="U3732" s="40"/>
      <c r="V3732" s="40"/>
      <c r="W3732" s="40"/>
      <c r="X3732" s="106">
        <v>44805</v>
      </c>
      <c r="Y3732" s="106">
        <v>45016</v>
      </c>
    </row>
    <row r="3733" s="9" customFormat="1" customHeight="1" spans="1:25">
      <c r="A3733" s="96" t="s">
        <v>109</v>
      </c>
      <c r="B3733" s="96" t="s">
        <v>4074</v>
      </c>
      <c r="C3733" s="96" t="s">
        <v>130</v>
      </c>
      <c r="D3733" s="94" t="s">
        <v>4178</v>
      </c>
      <c r="E3733" s="105" t="s">
        <v>4914</v>
      </c>
      <c r="F3733" s="96" t="s">
        <v>4915</v>
      </c>
      <c r="G3733" s="96" t="s">
        <v>31</v>
      </c>
      <c r="H3733" s="19" t="s">
        <v>4928</v>
      </c>
      <c r="I3733" s="23" t="e">
        <f>VLOOKUP(H3733,'合同综合查询数据（3月返）'!$A:$A,1,FALSE)</f>
        <v>#N/A</v>
      </c>
      <c r="J3733" s="24" t="s">
        <v>33</v>
      </c>
      <c r="K3733" s="96" t="s">
        <v>132</v>
      </c>
      <c r="L3733" s="114"/>
      <c r="M3733" s="26" t="s">
        <v>4929</v>
      </c>
      <c r="N3733" s="311">
        <v>43491</v>
      </c>
      <c r="O3733" s="311" t="s">
        <v>37</v>
      </c>
      <c r="P3733" s="268">
        <v>0</v>
      </c>
      <c r="Q3733" s="273">
        <v>832</v>
      </c>
      <c r="R3733" s="268">
        <f t="shared" si="87"/>
        <v>0</v>
      </c>
      <c r="S3733" s="24">
        <v>202303</v>
      </c>
      <c r="T3733" s="127" t="s">
        <v>4930</v>
      </c>
      <c r="U3733" s="40"/>
      <c r="V3733" s="40"/>
      <c r="W3733" s="40"/>
      <c r="X3733" s="106">
        <v>44805</v>
      </c>
      <c r="Y3733" s="106">
        <v>45016</v>
      </c>
    </row>
    <row r="3734" s="9" customFormat="1" customHeight="1" spans="1:25">
      <c r="A3734" s="96" t="s">
        <v>109</v>
      </c>
      <c r="B3734" s="96" t="s">
        <v>4074</v>
      </c>
      <c r="C3734" s="96" t="s">
        <v>130</v>
      </c>
      <c r="D3734" s="94" t="s">
        <v>4178</v>
      </c>
      <c r="E3734" s="105" t="s">
        <v>4914</v>
      </c>
      <c r="F3734" s="96" t="s">
        <v>4915</v>
      </c>
      <c r="G3734" s="96" t="s">
        <v>31</v>
      </c>
      <c r="H3734" s="19" t="s">
        <v>4928</v>
      </c>
      <c r="I3734" s="23" t="e">
        <f>VLOOKUP(H3734,'合同综合查询数据（3月返）'!$A:$A,1,FALSE)</f>
        <v>#N/A</v>
      </c>
      <c r="J3734" s="24" t="s">
        <v>33</v>
      </c>
      <c r="K3734" s="96" t="s">
        <v>132</v>
      </c>
      <c r="L3734" s="114" t="s">
        <v>4931</v>
      </c>
      <c r="M3734" s="26" t="s">
        <v>4929</v>
      </c>
      <c r="N3734" s="311">
        <v>44135</v>
      </c>
      <c r="O3734" s="311" t="s">
        <v>37</v>
      </c>
      <c r="P3734" s="268">
        <v>0</v>
      </c>
      <c r="Q3734" s="273">
        <v>-288</v>
      </c>
      <c r="R3734" s="268">
        <f t="shared" si="87"/>
        <v>0</v>
      </c>
      <c r="S3734" s="24">
        <v>202303</v>
      </c>
      <c r="T3734" s="127" t="s">
        <v>4932</v>
      </c>
      <c r="U3734" s="40"/>
      <c r="V3734" s="40"/>
      <c r="W3734" s="40"/>
      <c r="X3734" s="106">
        <v>44805</v>
      </c>
      <c r="Y3734" s="106">
        <v>45016</v>
      </c>
    </row>
    <row r="3735" s="9" customFormat="1" customHeight="1" spans="1:25">
      <c r="A3735" s="96" t="s">
        <v>109</v>
      </c>
      <c r="B3735" s="96" t="s">
        <v>4074</v>
      </c>
      <c r="C3735" s="96" t="s">
        <v>130</v>
      </c>
      <c r="D3735" s="94" t="s">
        <v>4178</v>
      </c>
      <c r="E3735" s="105" t="s">
        <v>4914</v>
      </c>
      <c r="F3735" s="96" t="s">
        <v>4915</v>
      </c>
      <c r="G3735" s="96" t="s">
        <v>31</v>
      </c>
      <c r="H3735" s="19" t="s">
        <v>4928</v>
      </c>
      <c r="I3735" s="23" t="e">
        <f>VLOOKUP(H3735,'合同综合查询数据（3月返）'!$A:$A,1,FALSE)</f>
        <v>#N/A</v>
      </c>
      <c r="J3735" s="24" t="s">
        <v>33</v>
      </c>
      <c r="K3735" s="96" t="s">
        <v>132</v>
      </c>
      <c r="L3735" s="114"/>
      <c r="M3735" s="26" t="s">
        <v>4929</v>
      </c>
      <c r="N3735" s="311"/>
      <c r="O3735" s="94" t="s">
        <v>152</v>
      </c>
      <c r="P3735" s="268">
        <v>0</v>
      </c>
      <c r="Q3735" s="268">
        <v>0</v>
      </c>
      <c r="R3735" s="268">
        <f t="shared" si="87"/>
        <v>0</v>
      </c>
      <c r="S3735" s="24">
        <v>202303</v>
      </c>
      <c r="T3735" s="127" t="s">
        <v>4933</v>
      </c>
      <c r="U3735" s="40"/>
      <c r="V3735" s="40"/>
      <c r="W3735" s="40"/>
      <c r="X3735" s="106">
        <v>44805</v>
      </c>
      <c r="Y3735" s="106">
        <v>45016</v>
      </c>
    </row>
    <row r="3736" s="9" customFormat="1" customHeight="1" spans="1:25">
      <c r="A3736" s="96" t="s">
        <v>109</v>
      </c>
      <c r="B3736" s="96" t="s">
        <v>4074</v>
      </c>
      <c r="C3736" s="96" t="s">
        <v>130</v>
      </c>
      <c r="D3736" s="94" t="s">
        <v>4178</v>
      </c>
      <c r="E3736" s="105" t="s">
        <v>4914</v>
      </c>
      <c r="F3736" s="96" t="s">
        <v>4915</v>
      </c>
      <c r="G3736" s="96" t="s">
        <v>88</v>
      </c>
      <c r="H3736" s="19" t="s">
        <v>4928</v>
      </c>
      <c r="I3736" s="23" t="e">
        <f>VLOOKUP(H3736,'合同综合查询数据（3月返）'!$A:$A,1,FALSE)</f>
        <v>#N/A</v>
      </c>
      <c r="J3736" s="24" t="s">
        <v>126</v>
      </c>
      <c r="K3736" s="96" t="s">
        <v>132</v>
      </c>
      <c r="L3736" s="114" t="s">
        <v>4934</v>
      </c>
      <c r="M3736" s="26" t="s">
        <v>4929</v>
      </c>
      <c r="N3736" s="311">
        <v>43491</v>
      </c>
      <c r="O3736" s="311" t="s">
        <v>92</v>
      </c>
      <c r="P3736" s="268">
        <v>4500</v>
      </c>
      <c r="Q3736" s="273">
        <v>9</v>
      </c>
      <c r="R3736" s="268">
        <f t="shared" si="87"/>
        <v>40500</v>
      </c>
      <c r="S3736" s="24">
        <v>202303</v>
      </c>
      <c r="T3736" s="127" t="s">
        <v>4935</v>
      </c>
      <c r="U3736" s="40"/>
      <c r="V3736" s="40"/>
      <c r="W3736" s="40"/>
      <c r="X3736" s="106">
        <v>44805</v>
      </c>
      <c r="Y3736" s="106">
        <v>45016</v>
      </c>
    </row>
    <row r="3737" s="9" customFormat="1" customHeight="1" spans="1:25">
      <c r="A3737" s="96" t="s">
        <v>109</v>
      </c>
      <c r="B3737" s="96" t="s">
        <v>4074</v>
      </c>
      <c r="C3737" s="96" t="s">
        <v>130</v>
      </c>
      <c r="D3737" s="94" t="s">
        <v>4178</v>
      </c>
      <c r="E3737" s="105" t="s">
        <v>4914</v>
      </c>
      <c r="F3737" s="96" t="s">
        <v>4915</v>
      </c>
      <c r="G3737" s="96" t="s">
        <v>88</v>
      </c>
      <c r="H3737" s="19" t="s">
        <v>4936</v>
      </c>
      <c r="I3737" s="23" t="e">
        <f>VLOOKUP(H3737,'合同综合查询数据（3月返）'!$A:$A,1,FALSE)</f>
        <v>#N/A</v>
      </c>
      <c r="J3737" s="24" t="s">
        <v>126</v>
      </c>
      <c r="K3737" s="96" t="s">
        <v>132</v>
      </c>
      <c r="L3737" s="114" t="s">
        <v>4931</v>
      </c>
      <c r="M3737" s="26" t="s">
        <v>4929</v>
      </c>
      <c r="N3737" s="311">
        <v>43491</v>
      </c>
      <c r="O3737" s="311" t="s">
        <v>92</v>
      </c>
      <c r="P3737" s="268">
        <v>4500</v>
      </c>
      <c r="Q3737" s="273">
        <v>6</v>
      </c>
      <c r="R3737" s="268">
        <f t="shared" si="87"/>
        <v>27000</v>
      </c>
      <c r="S3737" s="24">
        <v>202303</v>
      </c>
      <c r="T3737" s="127" t="s">
        <v>4937</v>
      </c>
      <c r="U3737" s="40"/>
      <c r="V3737" s="40"/>
      <c r="W3737" s="40"/>
      <c r="X3737" s="106">
        <v>44075</v>
      </c>
      <c r="Y3737" s="106">
        <v>44439</v>
      </c>
    </row>
    <row r="3738" s="9" customFormat="1" customHeight="1" spans="1:25">
      <c r="A3738" s="96" t="s">
        <v>109</v>
      </c>
      <c r="B3738" s="96" t="s">
        <v>4074</v>
      </c>
      <c r="C3738" s="96" t="s">
        <v>130</v>
      </c>
      <c r="D3738" s="94" t="s">
        <v>4178</v>
      </c>
      <c r="E3738" s="105" t="s">
        <v>4914</v>
      </c>
      <c r="F3738" s="96" t="s">
        <v>4915</v>
      </c>
      <c r="G3738" s="96" t="s">
        <v>88</v>
      </c>
      <c r="H3738" s="19" t="s">
        <v>4936</v>
      </c>
      <c r="I3738" s="23" t="e">
        <f>VLOOKUP(H3738,'合同综合查询数据（3月返）'!$A:$A,1,FALSE)</f>
        <v>#N/A</v>
      </c>
      <c r="J3738" s="24" t="s">
        <v>126</v>
      </c>
      <c r="K3738" s="96" t="s">
        <v>132</v>
      </c>
      <c r="L3738" s="114" t="s">
        <v>4931</v>
      </c>
      <c r="M3738" s="26" t="s">
        <v>4929</v>
      </c>
      <c r="N3738" s="311">
        <v>44135</v>
      </c>
      <c r="O3738" s="311" t="s">
        <v>92</v>
      </c>
      <c r="P3738" s="268">
        <v>4500</v>
      </c>
      <c r="Q3738" s="273">
        <v>-6</v>
      </c>
      <c r="R3738" s="268">
        <f t="shared" si="87"/>
        <v>-27000</v>
      </c>
      <c r="S3738" s="24">
        <v>202303</v>
      </c>
      <c r="T3738" s="127" t="s">
        <v>4938</v>
      </c>
      <c r="U3738" s="40"/>
      <c r="V3738" s="40"/>
      <c r="W3738" s="40"/>
      <c r="X3738" s="106">
        <v>44075</v>
      </c>
      <c r="Y3738" s="106">
        <v>44439</v>
      </c>
    </row>
    <row r="3739" s="9" customFormat="1" customHeight="1" spans="1:25">
      <c r="A3739" s="96" t="s">
        <v>109</v>
      </c>
      <c r="B3739" s="96" t="s">
        <v>4074</v>
      </c>
      <c r="C3739" s="96" t="s">
        <v>130</v>
      </c>
      <c r="D3739" s="94" t="s">
        <v>4178</v>
      </c>
      <c r="E3739" s="105" t="s">
        <v>4914</v>
      </c>
      <c r="F3739" s="96" t="s">
        <v>4915</v>
      </c>
      <c r="G3739" s="96" t="s">
        <v>31</v>
      </c>
      <c r="H3739" s="19" t="s">
        <v>4916</v>
      </c>
      <c r="I3739" s="23" t="e">
        <f>VLOOKUP(H3739,'合同综合查询数据（3月返）'!$A:$A,1,FALSE)</f>
        <v>#N/A</v>
      </c>
      <c r="J3739" s="24" t="s">
        <v>33</v>
      </c>
      <c r="K3739" s="96" t="s">
        <v>4939</v>
      </c>
      <c r="L3739" s="96" t="s">
        <v>4939</v>
      </c>
      <c r="M3739" s="26" t="s">
        <v>1385</v>
      </c>
      <c r="N3739" s="311" t="s">
        <v>1225</v>
      </c>
      <c r="O3739" s="311" t="s">
        <v>37</v>
      </c>
      <c r="P3739" s="268">
        <v>0</v>
      </c>
      <c r="Q3739" s="268">
        <v>256</v>
      </c>
      <c r="R3739" s="268">
        <f t="shared" si="87"/>
        <v>0</v>
      </c>
      <c r="S3739" s="24">
        <v>202303</v>
      </c>
      <c r="T3739" s="127" t="s">
        <v>4940</v>
      </c>
      <c r="U3739" s="40"/>
      <c r="V3739" s="40"/>
      <c r="W3739" s="334"/>
      <c r="X3739" s="106">
        <v>44805</v>
      </c>
      <c r="Y3739" s="106">
        <v>45016</v>
      </c>
    </row>
    <row r="3740" s="9" customFormat="1" customHeight="1" spans="1:25">
      <c r="A3740" s="96" t="s">
        <v>109</v>
      </c>
      <c r="B3740" s="96" t="s">
        <v>4074</v>
      </c>
      <c r="C3740" s="96" t="s">
        <v>130</v>
      </c>
      <c r="D3740" s="94" t="s">
        <v>4178</v>
      </c>
      <c r="E3740" s="105" t="s">
        <v>4914</v>
      </c>
      <c r="F3740" s="96" t="s">
        <v>4915</v>
      </c>
      <c r="G3740" s="96" t="s">
        <v>31</v>
      </c>
      <c r="H3740" s="19" t="s">
        <v>4916</v>
      </c>
      <c r="I3740" s="23" t="e">
        <f>VLOOKUP(H3740,'合同综合查询数据（3月返）'!$A:$A,1,FALSE)</f>
        <v>#N/A</v>
      </c>
      <c r="J3740" s="24" t="s">
        <v>33</v>
      </c>
      <c r="K3740" s="96" t="s">
        <v>4939</v>
      </c>
      <c r="L3740" s="96" t="s">
        <v>4939</v>
      </c>
      <c r="M3740" s="26" t="s">
        <v>1385</v>
      </c>
      <c r="N3740" s="311">
        <v>43905</v>
      </c>
      <c r="O3740" s="311" t="s">
        <v>37</v>
      </c>
      <c r="P3740" s="268">
        <v>0</v>
      </c>
      <c r="Q3740" s="268">
        <v>32</v>
      </c>
      <c r="R3740" s="268">
        <f t="shared" si="87"/>
        <v>0</v>
      </c>
      <c r="S3740" s="24">
        <v>202303</v>
      </c>
      <c r="T3740" s="127" t="s">
        <v>4941</v>
      </c>
      <c r="U3740" s="40"/>
      <c r="V3740" s="40"/>
      <c r="W3740" s="334"/>
      <c r="X3740" s="106">
        <v>44805</v>
      </c>
      <c r="Y3740" s="106">
        <v>45016</v>
      </c>
    </row>
    <row r="3741" s="9" customFormat="1" customHeight="1" spans="1:25">
      <c r="A3741" s="96" t="s">
        <v>109</v>
      </c>
      <c r="B3741" s="96" t="s">
        <v>4074</v>
      </c>
      <c r="C3741" s="96" t="s">
        <v>130</v>
      </c>
      <c r="D3741" s="94" t="s">
        <v>4178</v>
      </c>
      <c r="E3741" s="105" t="s">
        <v>4914</v>
      </c>
      <c r="F3741" s="96" t="s">
        <v>4915</v>
      </c>
      <c r="G3741" s="96" t="s">
        <v>31</v>
      </c>
      <c r="H3741" s="19" t="s">
        <v>4916</v>
      </c>
      <c r="I3741" s="23" t="e">
        <f>VLOOKUP(H3741,'合同综合查询数据（3月返）'!$A:$A,1,FALSE)</f>
        <v>#N/A</v>
      </c>
      <c r="J3741" s="24" t="s">
        <v>33</v>
      </c>
      <c r="K3741" s="96" t="s">
        <v>4939</v>
      </c>
      <c r="L3741" s="96" t="s">
        <v>4939</v>
      </c>
      <c r="M3741" s="26" t="s">
        <v>1385</v>
      </c>
      <c r="N3741" s="311">
        <v>44016</v>
      </c>
      <c r="O3741" s="311" t="s">
        <v>37</v>
      </c>
      <c r="P3741" s="268">
        <v>0</v>
      </c>
      <c r="Q3741" s="268">
        <v>32</v>
      </c>
      <c r="R3741" s="268">
        <f t="shared" si="87"/>
        <v>0</v>
      </c>
      <c r="S3741" s="24">
        <v>202303</v>
      </c>
      <c r="T3741" s="127" t="s">
        <v>4942</v>
      </c>
      <c r="U3741" s="40"/>
      <c r="V3741" s="40"/>
      <c r="W3741" s="334"/>
      <c r="X3741" s="106">
        <v>44805</v>
      </c>
      <c r="Y3741" s="106">
        <v>45016</v>
      </c>
    </row>
    <row r="3742" s="9" customFormat="1" customHeight="1" spans="1:25">
      <c r="A3742" s="96" t="s">
        <v>109</v>
      </c>
      <c r="B3742" s="96" t="s">
        <v>4074</v>
      </c>
      <c r="C3742" s="96" t="s">
        <v>130</v>
      </c>
      <c r="D3742" s="94" t="s">
        <v>4178</v>
      </c>
      <c r="E3742" s="105" t="s">
        <v>4914</v>
      </c>
      <c r="F3742" s="96" t="s">
        <v>4915</v>
      </c>
      <c r="G3742" s="96" t="s">
        <v>31</v>
      </c>
      <c r="H3742" s="19" t="s">
        <v>4916</v>
      </c>
      <c r="I3742" s="23" t="e">
        <f>VLOOKUP(H3742,'合同综合查询数据（3月返）'!$A:$A,1,FALSE)</f>
        <v>#N/A</v>
      </c>
      <c r="J3742" s="24" t="s">
        <v>33</v>
      </c>
      <c r="K3742" s="96" t="s">
        <v>4939</v>
      </c>
      <c r="L3742" s="96" t="s">
        <v>4939</v>
      </c>
      <c r="M3742" s="26" t="s">
        <v>1385</v>
      </c>
      <c r="N3742" s="311">
        <v>44016</v>
      </c>
      <c r="O3742" s="311" t="s">
        <v>37</v>
      </c>
      <c r="P3742" s="268">
        <v>0</v>
      </c>
      <c r="Q3742" s="268">
        <v>256</v>
      </c>
      <c r="R3742" s="268">
        <f t="shared" si="87"/>
        <v>0</v>
      </c>
      <c r="S3742" s="24">
        <v>202303</v>
      </c>
      <c r="T3742" s="127" t="s">
        <v>4942</v>
      </c>
      <c r="U3742" s="40"/>
      <c r="V3742" s="40"/>
      <c r="W3742" s="334"/>
      <c r="X3742" s="106">
        <v>44805</v>
      </c>
      <c r="Y3742" s="106">
        <v>45016</v>
      </c>
    </row>
    <row r="3743" s="9" customFormat="1" customHeight="1" spans="1:25">
      <c r="A3743" s="96" t="s">
        <v>109</v>
      </c>
      <c r="B3743" s="96" t="s">
        <v>4074</v>
      </c>
      <c r="C3743" s="96" t="s">
        <v>130</v>
      </c>
      <c r="D3743" s="94" t="s">
        <v>4178</v>
      </c>
      <c r="E3743" s="105" t="s">
        <v>4914</v>
      </c>
      <c r="F3743" s="96" t="s">
        <v>4915</v>
      </c>
      <c r="G3743" s="96" t="s">
        <v>31</v>
      </c>
      <c r="H3743" s="19" t="s">
        <v>4916</v>
      </c>
      <c r="I3743" s="23" t="e">
        <f>VLOOKUP(H3743,'合同综合查询数据（3月返）'!$A:$A,1,FALSE)</f>
        <v>#N/A</v>
      </c>
      <c r="J3743" s="24" t="s">
        <v>33</v>
      </c>
      <c r="K3743" s="96" t="s">
        <v>4939</v>
      </c>
      <c r="L3743" s="96" t="s">
        <v>4939</v>
      </c>
      <c r="M3743" s="26" t="s">
        <v>1385</v>
      </c>
      <c r="N3743" s="311"/>
      <c r="O3743" s="94" t="s">
        <v>152</v>
      </c>
      <c r="P3743" s="268">
        <v>0</v>
      </c>
      <c r="Q3743" s="273">
        <v>0</v>
      </c>
      <c r="R3743" s="268">
        <f t="shared" si="87"/>
        <v>0</v>
      </c>
      <c r="S3743" s="24">
        <v>202303</v>
      </c>
      <c r="T3743" s="127" t="s">
        <v>4943</v>
      </c>
      <c r="U3743" s="40"/>
      <c r="V3743" s="40"/>
      <c r="W3743" s="334"/>
      <c r="X3743" s="106">
        <v>44805</v>
      </c>
      <c r="Y3743" s="106">
        <v>45016</v>
      </c>
    </row>
    <row r="3744" s="9" customFormat="1" customHeight="1" spans="1:25">
      <c r="A3744" s="96" t="s">
        <v>109</v>
      </c>
      <c r="B3744" s="96" t="s">
        <v>4074</v>
      </c>
      <c r="C3744" s="96" t="s">
        <v>130</v>
      </c>
      <c r="D3744" s="94" t="s">
        <v>4178</v>
      </c>
      <c r="E3744" s="105" t="s">
        <v>4914</v>
      </c>
      <c r="F3744" s="96" t="s">
        <v>4915</v>
      </c>
      <c r="G3744" s="96" t="s">
        <v>31</v>
      </c>
      <c r="H3744" s="19" t="s">
        <v>4916</v>
      </c>
      <c r="I3744" s="23" t="e">
        <f>VLOOKUP(H3744,'合同综合查询数据（3月返）'!$A:$A,1,FALSE)</f>
        <v>#N/A</v>
      </c>
      <c r="J3744" s="24" t="s">
        <v>4944</v>
      </c>
      <c r="K3744" s="96" t="s">
        <v>4945</v>
      </c>
      <c r="L3744" s="114" t="s">
        <v>4946</v>
      </c>
      <c r="M3744" s="26" t="s">
        <v>4947</v>
      </c>
      <c r="N3744" s="190">
        <v>43438</v>
      </c>
      <c r="O3744" s="199" t="s">
        <v>37</v>
      </c>
      <c r="P3744" s="268">
        <v>0</v>
      </c>
      <c r="Q3744" s="273">
        <v>640</v>
      </c>
      <c r="R3744" s="268">
        <f t="shared" si="87"/>
        <v>0</v>
      </c>
      <c r="S3744" s="24">
        <v>202303</v>
      </c>
      <c r="T3744" s="127"/>
      <c r="U3744" s="40"/>
      <c r="V3744" s="40"/>
      <c r="W3744" s="40"/>
      <c r="X3744" s="106">
        <v>44805</v>
      </c>
      <c r="Y3744" s="106">
        <v>45016</v>
      </c>
    </row>
    <row r="3745" s="9" customFormat="1" customHeight="1" spans="1:25">
      <c r="A3745" s="96" t="s">
        <v>109</v>
      </c>
      <c r="B3745" s="96" t="s">
        <v>4074</v>
      </c>
      <c r="C3745" s="96" t="s">
        <v>130</v>
      </c>
      <c r="D3745" s="94" t="s">
        <v>4178</v>
      </c>
      <c r="E3745" s="105" t="s">
        <v>4914</v>
      </c>
      <c r="F3745" s="96" t="s">
        <v>4915</v>
      </c>
      <c r="G3745" s="96" t="s">
        <v>31</v>
      </c>
      <c r="H3745" s="19" t="s">
        <v>4916</v>
      </c>
      <c r="I3745" s="23" t="e">
        <f>VLOOKUP(H3745,'合同综合查询数据（3月返）'!$A:$A,1,FALSE)</f>
        <v>#N/A</v>
      </c>
      <c r="J3745" s="24" t="s">
        <v>4944</v>
      </c>
      <c r="K3745" s="96" t="s">
        <v>4945</v>
      </c>
      <c r="L3745" s="114" t="s">
        <v>4946</v>
      </c>
      <c r="M3745" s="26" t="s">
        <v>4947</v>
      </c>
      <c r="N3745" s="190">
        <v>43438</v>
      </c>
      <c r="O3745" s="199" t="s">
        <v>37</v>
      </c>
      <c r="P3745" s="268">
        <v>0</v>
      </c>
      <c r="Q3745" s="273">
        <v>1408</v>
      </c>
      <c r="R3745" s="268">
        <f t="shared" si="87"/>
        <v>0</v>
      </c>
      <c r="S3745" s="24">
        <v>202303</v>
      </c>
      <c r="T3745" s="127" t="s">
        <v>4948</v>
      </c>
      <c r="U3745" s="40"/>
      <c r="V3745" s="40"/>
      <c r="W3745" s="40"/>
      <c r="X3745" s="106">
        <v>44805</v>
      </c>
      <c r="Y3745" s="106">
        <v>45016</v>
      </c>
    </row>
    <row r="3746" s="9" customFormat="1" customHeight="1" spans="1:25">
      <c r="A3746" s="96" t="s">
        <v>109</v>
      </c>
      <c r="B3746" s="96" t="s">
        <v>4074</v>
      </c>
      <c r="C3746" s="96" t="s">
        <v>130</v>
      </c>
      <c r="D3746" s="94" t="s">
        <v>4178</v>
      </c>
      <c r="E3746" s="105" t="s">
        <v>4914</v>
      </c>
      <c r="F3746" s="96" t="s">
        <v>4915</v>
      </c>
      <c r="G3746" s="96" t="s">
        <v>31</v>
      </c>
      <c r="H3746" s="19" t="s">
        <v>4916</v>
      </c>
      <c r="I3746" s="23" t="e">
        <f>VLOOKUP(H3746,'合同综合查询数据（3月返）'!$A:$A,1,FALSE)</f>
        <v>#N/A</v>
      </c>
      <c r="J3746" s="24" t="s">
        <v>4949</v>
      </c>
      <c r="K3746" s="96" t="s">
        <v>4945</v>
      </c>
      <c r="L3746" s="114" t="s">
        <v>4946</v>
      </c>
      <c r="M3746" s="26" t="s">
        <v>4947</v>
      </c>
      <c r="N3746" s="190">
        <v>43921</v>
      </c>
      <c r="O3746" s="199" t="s">
        <v>37</v>
      </c>
      <c r="P3746" s="268">
        <v>0</v>
      </c>
      <c r="Q3746" s="273">
        <v>-1024</v>
      </c>
      <c r="R3746" s="268">
        <f t="shared" si="87"/>
        <v>0</v>
      </c>
      <c r="S3746" s="24">
        <v>202303</v>
      </c>
      <c r="T3746" s="127" t="s">
        <v>4950</v>
      </c>
      <c r="U3746" s="40"/>
      <c r="V3746" s="40"/>
      <c r="W3746" s="40"/>
      <c r="X3746" s="106">
        <v>44805</v>
      </c>
      <c r="Y3746" s="106">
        <v>45016</v>
      </c>
    </row>
    <row r="3747" s="9" customFormat="1" customHeight="1" spans="1:25">
      <c r="A3747" s="96" t="s">
        <v>109</v>
      </c>
      <c r="B3747" s="96" t="s">
        <v>4074</v>
      </c>
      <c r="C3747" s="96" t="s">
        <v>130</v>
      </c>
      <c r="D3747" s="94" t="s">
        <v>4178</v>
      </c>
      <c r="E3747" s="105" t="s">
        <v>4914</v>
      </c>
      <c r="F3747" s="96" t="s">
        <v>4915</v>
      </c>
      <c r="G3747" s="96" t="s">
        <v>31</v>
      </c>
      <c r="H3747" s="19" t="s">
        <v>4916</v>
      </c>
      <c r="I3747" s="23" t="e">
        <f>VLOOKUP(H3747,'合同综合查询数据（3月返）'!$A:$A,1,FALSE)</f>
        <v>#N/A</v>
      </c>
      <c r="J3747" s="24" t="s">
        <v>4949</v>
      </c>
      <c r="K3747" s="96" t="s">
        <v>4945</v>
      </c>
      <c r="L3747" s="114" t="s">
        <v>4946</v>
      </c>
      <c r="M3747" s="26" t="s">
        <v>4947</v>
      </c>
      <c r="N3747" s="190">
        <v>44255</v>
      </c>
      <c r="O3747" s="199" t="s">
        <v>37</v>
      </c>
      <c r="P3747" s="268">
        <v>0</v>
      </c>
      <c r="Q3747" s="273">
        <v>-512</v>
      </c>
      <c r="R3747" s="268">
        <f t="shared" si="87"/>
        <v>0</v>
      </c>
      <c r="S3747" s="24">
        <v>202303</v>
      </c>
      <c r="T3747" s="127" t="s">
        <v>4951</v>
      </c>
      <c r="U3747" s="40"/>
      <c r="V3747" s="40"/>
      <c r="W3747" s="40"/>
      <c r="X3747" s="106">
        <v>44805</v>
      </c>
      <c r="Y3747" s="106">
        <v>45016</v>
      </c>
    </row>
    <row r="3748" s="9" customFormat="1" customHeight="1" spans="1:25">
      <c r="A3748" s="96" t="s">
        <v>109</v>
      </c>
      <c r="B3748" s="96" t="s">
        <v>4074</v>
      </c>
      <c r="C3748" s="96" t="s">
        <v>130</v>
      </c>
      <c r="D3748" s="94" t="s">
        <v>4178</v>
      </c>
      <c r="E3748" s="105" t="s">
        <v>4914</v>
      </c>
      <c r="F3748" s="96" t="s">
        <v>4915</v>
      </c>
      <c r="G3748" s="96" t="s">
        <v>88</v>
      </c>
      <c r="H3748" s="19" t="s">
        <v>4916</v>
      </c>
      <c r="I3748" s="23" t="e">
        <f>VLOOKUP(H3748,'合同综合查询数据（3月返）'!$A:$A,1,FALSE)</f>
        <v>#N/A</v>
      </c>
      <c r="J3748" s="24" t="s">
        <v>885</v>
      </c>
      <c r="K3748" s="96" t="s">
        <v>4945</v>
      </c>
      <c r="L3748" s="114"/>
      <c r="M3748" s="26" t="s">
        <v>4947</v>
      </c>
      <c r="N3748" s="190">
        <v>43438</v>
      </c>
      <c r="O3748" s="199" t="s">
        <v>92</v>
      </c>
      <c r="P3748" s="268">
        <v>5000</v>
      </c>
      <c r="Q3748" s="273">
        <v>10</v>
      </c>
      <c r="R3748" s="268">
        <f t="shared" si="87"/>
        <v>50000</v>
      </c>
      <c r="S3748" s="24">
        <v>202303</v>
      </c>
      <c r="T3748" s="127" t="s">
        <v>4952</v>
      </c>
      <c r="U3748" s="40"/>
      <c r="V3748" s="40"/>
      <c r="W3748" s="40"/>
      <c r="X3748" s="106">
        <v>44805</v>
      </c>
      <c r="Y3748" s="106">
        <v>45016</v>
      </c>
    </row>
    <row r="3749" s="9" customFormat="1" customHeight="1" spans="1:25">
      <c r="A3749" s="96" t="s">
        <v>109</v>
      </c>
      <c r="B3749" s="96" t="s">
        <v>4074</v>
      </c>
      <c r="C3749" s="96" t="s">
        <v>130</v>
      </c>
      <c r="D3749" s="94" t="s">
        <v>4178</v>
      </c>
      <c r="E3749" s="105" t="s">
        <v>4914</v>
      </c>
      <c r="F3749" s="96" t="s">
        <v>4915</v>
      </c>
      <c r="G3749" s="96" t="s">
        <v>88</v>
      </c>
      <c r="H3749" s="19" t="s">
        <v>4916</v>
      </c>
      <c r="I3749" s="23" t="e">
        <f>VLOOKUP(H3749,'合同综合查询数据（3月返）'!$A:$A,1,FALSE)</f>
        <v>#N/A</v>
      </c>
      <c r="J3749" s="24" t="s">
        <v>885</v>
      </c>
      <c r="K3749" s="96" t="s">
        <v>4945</v>
      </c>
      <c r="L3749" s="114"/>
      <c r="M3749" s="26" t="s">
        <v>4947</v>
      </c>
      <c r="N3749" s="190">
        <v>44255</v>
      </c>
      <c r="O3749" s="199" t="s">
        <v>92</v>
      </c>
      <c r="P3749" s="268">
        <v>5000</v>
      </c>
      <c r="Q3749" s="273">
        <v>-10</v>
      </c>
      <c r="R3749" s="268">
        <f t="shared" si="87"/>
        <v>-50000</v>
      </c>
      <c r="S3749" s="24">
        <v>202303</v>
      </c>
      <c r="T3749" s="127" t="s">
        <v>4953</v>
      </c>
      <c r="U3749" s="40"/>
      <c r="V3749" s="40"/>
      <c r="W3749" s="40"/>
      <c r="X3749" s="106">
        <v>44805</v>
      </c>
      <c r="Y3749" s="106">
        <v>45016</v>
      </c>
    </row>
    <row r="3750" s="9" customFormat="1" customHeight="1" spans="1:25">
      <c r="A3750" s="96" t="s">
        <v>109</v>
      </c>
      <c r="B3750" s="96" t="s">
        <v>4074</v>
      </c>
      <c r="C3750" s="96" t="s">
        <v>130</v>
      </c>
      <c r="D3750" s="94" t="s">
        <v>4178</v>
      </c>
      <c r="E3750" s="105" t="s">
        <v>4914</v>
      </c>
      <c r="F3750" s="96" t="s">
        <v>4915</v>
      </c>
      <c r="G3750" s="96" t="s">
        <v>88</v>
      </c>
      <c r="H3750" s="19" t="s">
        <v>4916</v>
      </c>
      <c r="I3750" s="23" t="e">
        <f>VLOOKUP(H3750,'合同综合查询数据（3月返）'!$A:$A,1,FALSE)</f>
        <v>#N/A</v>
      </c>
      <c r="J3750" s="24" t="s">
        <v>126</v>
      </c>
      <c r="K3750" s="96" t="s">
        <v>4917</v>
      </c>
      <c r="L3750" s="114"/>
      <c r="M3750" s="26" t="s">
        <v>4947</v>
      </c>
      <c r="N3750" s="190">
        <v>43438</v>
      </c>
      <c r="O3750" s="199" t="s">
        <v>92</v>
      </c>
      <c r="P3750" s="268">
        <v>5000</v>
      </c>
      <c r="Q3750" s="273">
        <v>5</v>
      </c>
      <c r="R3750" s="268">
        <f t="shared" si="87"/>
        <v>25000</v>
      </c>
      <c r="S3750" s="24">
        <v>202303</v>
      </c>
      <c r="T3750" s="127" t="s">
        <v>4954</v>
      </c>
      <c r="U3750" s="40"/>
      <c r="V3750" s="40"/>
      <c r="W3750" s="40"/>
      <c r="X3750" s="106">
        <v>44805</v>
      </c>
      <c r="Y3750" s="106">
        <v>45016</v>
      </c>
    </row>
    <row r="3751" s="9" customFormat="1" customHeight="1" spans="1:25">
      <c r="A3751" s="96" t="s">
        <v>109</v>
      </c>
      <c r="B3751" s="96" t="s">
        <v>4074</v>
      </c>
      <c r="C3751" s="96" t="s">
        <v>130</v>
      </c>
      <c r="D3751" s="94" t="s">
        <v>4178</v>
      </c>
      <c r="E3751" s="105" t="s">
        <v>4914</v>
      </c>
      <c r="F3751" s="96" t="s">
        <v>4915</v>
      </c>
      <c r="G3751" s="96" t="s">
        <v>31</v>
      </c>
      <c r="H3751" s="19" t="s">
        <v>4955</v>
      </c>
      <c r="I3751" s="23" t="e">
        <f>VLOOKUP(H3751,'合同综合查询数据（3月返）'!$A:$A,1,FALSE)</f>
        <v>#N/A</v>
      </c>
      <c r="J3751" s="24" t="s">
        <v>451</v>
      </c>
      <c r="K3751" s="96" t="s">
        <v>4956</v>
      </c>
      <c r="L3751" s="114"/>
      <c r="M3751" s="26" t="s">
        <v>1406</v>
      </c>
      <c r="N3751" s="190">
        <v>43773</v>
      </c>
      <c r="O3751" s="199" t="s">
        <v>37</v>
      </c>
      <c r="P3751" s="268">
        <v>50</v>
      </c>
      <c r="Q3751" s="273">
        <v>512</v>
      </c>
      <c r="R3751" s="268">
        <f t="shared" si="87"/>
        <v>25600</v>
      </c>
      <c r="S3751" s="24">
        <v>202303</v>
      </c>
      <c r="T3751" s="127" t="s">
        <v>4957</v>
      </c>
      <c r="U3751" s="40"/>
      <c r="V3751" s="40"/>
      <c r="W3751" s="40"/>
      <c r="X3751" s="106">
        <v>44805</v>
      </c>
      <c r="Y3751" s="106">
        <v>45016</v>
      </c>
    </row>
    <row r="3752" s="9" customFormat="1" customHeight="1" spans="1:25">
      <c r="A3752" s="96" t="s">
        <v>109</v>
      </c>
      <c r="B3752" s="96" t="s">
        <v>4074</v>
      </c>
      <c r="C3752" s="96" t="s">
        <v>130</v>
      </c>
      <c r="D3752" s="94" t="s">
        <v>4178</v>
      </c>
      <c r="E3752" s="105" t="s">
        <v>4914</v>
      </c>
      <c r="F3752" s="96" t="s">
        <v>4915</v>
      </c>
      <c r="G3752" s="96" t="s">
        <v>31</v>
      </c>
      <c r="H3752" s="19" t="s">
        <v>4955</v>
      </c>
      <c r="I3752" s="23" t="e">
        <f>VLOOKUP(H3752,'合同综合查询数据（3月返）'!$A:$A,1,FALSE)</f>
        <v>#N/A</v>
      </c>
      <c r="J3752" s="24" t="s">
        <v>451</v>
      </c>
      <c r="K3752" s="96" t="s">
        <v>4956</v>
      </c>
      <c r="L3752" s="114"/>
      <c r="M3752" s="26" t="s">
        <v>1406</v>
      </c>
      <c r="N3752" s="190"/>
      <c r="O3752" s="199" t="s">
        <v>152</v>
      </c>
      <c r="P3752" s="268">
        <v>0</v>
      </c>
      <c r="Q3752" s="273">
        <v>0</v>
      </c>
      <c r="R3752" s="268">
        <f t="shared" si="87"/>
        <v>0</v>
      </c>
      <c r="S3752" s="24">
        <v>202303</v>
      </c>
      <c r="T3752" s="127" t="s">
        <v>4933</v>
      </c>
      <c r="U3752" s="40"/>
      <c r="V3752" s="40"/>
      <c r="W3752" s="40"/>
      <c r="X3752" s="106">
        <v>44805</v>
      </c>
      <c r="Y3752" s="106">
        <v>45016</v>
      </c>
    </row>
    <row r="3753" s="9" customFormat="1" customHeight="1" spans="1:25">
      <c r="A3753" s="96" t="s">
        <v>109</v>
      </c>
      <c r="B3753" s="96" t="s">
        <v>4074</v>
      </c>
      <c r="C3753" s="96" t="s">
        <v>130</v>
      </c>
      <c r="D3753" s="94" t="s">
        <v>4178</v>
      </c>
      <c r="E3753" s="105" t="s">
        <v>4914</v>
      </c>
      <c r="F3753" s="96" t="s">
        <v>4915</v>
      </c>
      <c r="G3753" s="96" t="s">
        <v>31</v>
      </c>
      <c r="H3753" s="19" t="s">
        <v>4958</v>
      </c>
      <c r="I3753" s="23" t="e">
        <f>VLOOKUP(H3753,'合同综合查询数据（3月返）'!$A:$A,1,FALSE)</f>
        <v>#N/A</v>
      </c>
      <c r="J3753" s="24" t="s">
        <v>4949</v>
      </c>
      <c r="K3753" s="96" t="s">
        <v>4945</v>
      </c>
      <c r="L3753" s="114"/>
      <c r="M3753" s="249"/>
      <c r="N3753" s="190">
        <v>43647</v>
      </c>
      <c r="O3753" s="199" t="s">
        <v>37</v>
      </c>
      <c r="P3753" s="268">
        <v>6000</v>
      </c>
      <c r="Q3753" s="273">
        <v>1</v>
      </c>
      <c r="R3753" s="268">
        <v>0</v>
      </c>
      <c r="S3753" s="24">
        <v>202303</v>
      </c>
      <c r="T3753" s="127" t="s">
        <v>4959</v>
      </c>
      <c r="U3753" s="40"/>
      <c r="V3753" s="40"/>
      <c r="W3753" s="40"/>
      <c r="X3753" s="106">
        <v>44075</v>
      </c>
      <c r="Y3753" s="106">
        <v>44439</v>
      </c>
    </row>
    <row r="3754" s="9" customFormat="1" customHeight="1" spans="1:25">
      <c r="A3754" s="96" t="s">
        <v>109</v>
      </c>
      <c r="B3754" s="96" t="s">
        <v>4074</v>
      </c>
      <c r="C3754" s="96" t="s">
        <v>130</v>
      </c>
      <c r="D3754" s="94" t="s">
        <v>4178</v>
      </c>
      <c r="E3754" s="105" t="s">
        <v>4914</v>
      </c>
      <c r="F3754" s="96" t="s">
        <v>4915</v>
      </c>
      <c r="G3754" s="96" t="s">
        <v>31</v>
      </c>
      <c r="H3754" s="19" t="s">
        <v>4958</v>
      </c>
      <c r="I3754" s="23" t="e">
        <f>VLOOKUP(H3754,'合同综合查询数据（3月返）'!$A:$A,1,FALSE)</f>
        <v>#N/A</v>
      </c>
      <c r="J3754" s="24" t="s">
        <v>4949</v>
      </c>
      <c r="K3754" s="96" t="s">
        <v>4945</v>
      </c>
      <c r="L3754" s="114"/>
      <c r="M3754" s="249"/>
      <c r="N3754" s="190">
        <v>44196</v>
      </c>
      <c r="O3754" s="199" t="s">
        <v>37</v>
      </c>
      <c r="P3754" s="268">
        <v>6000</v>
      </c>
      <c r="Q3754" s="273">
        <v>-1</v>
      </c>
      <c r="R3754" s="268">
        <v>0</v>
      </c>
      <c r="S3754" s="24">
        <v>202303</v>
      </c>
      <c r="T3754" s="127" t="s">
        <v>4960</v>
      </c>
      <c r="U3754" s="40"/>
      <c r="V3754" s="40"/>
      <c r="W3754" s="40"/>
      <c r="X3754" s="106">
        <v>44075</v>
      </c>
      <c r="Y3754" s="106">
        <v>44439</v>
      </c>
    </row>
    <row r="3755" s="9" customFormat="1" customHeight="1" spans="1:25">
      <c r="A3755" s="96" t="s">
        <v>109</v>
      </c>
      <c r="B3755" s="96" t="s">
        <v>4074</v>
      </c>
      <c r="C3755" s="96" t="s">
        <v>130</v>
      </c>
      <c r="D3755" s="94" t="s">
        <v>4178</v>
      </c>
      <c r="E3755" s="105" t="s">
        <v>4914</v>
      </c>
      <c r="F3755" s="96" t="s">
        <v>4915</v>
      </c>
      <c r="G3755" s="24" t="s">
        <v>302</v>
      </c>
      <c r="H3755" s="19" t="s">
        <v>4955</v>
      </c>
      <c r="I3755" s="23" t="e">
        <f>VLOOKUP(H3755,'合同综合查询数据（3月返）'!$A:$A,1,FALSE)</f>
        <v>#N/A</v>
      </c>
      <c r="J3755" s="24" t="s">
        <v>302</v>
      </c>
      <c r="K3755" s="96" t="s">
        <v>4961</v>
      </c>
      <c r="L3755" s="114"/>
      <c r="M3755" s="249"/>
      <c r="N3755" s="190">
        <v>43773</v>
      </c>
      <c r="O3755" s="199" t="s">
        <v>1962</v>
      </c>
      <c r="P3755" s="268">
        <v>120000</v>
      </c>
      <c r="Q3755" s="273">
        <v>1</v>
      </c>
      <c r="R3755" s="268">
        <f t="shared" ref="R3755:R3818" si="88">ROUND(P3755*Q3755,2)</f>
        <v>120000</v>
      </c>
      <c r="S3755" s="24">
        <v>202303</v>
      </c>
      <c r="T3755" s="127" t="s">
        <v>4961</v>
      </c>
      <c r="U3755" s="40"/>
      <c r="V3755" s="40"/>
      <c r="W3755" s="40"/>
      <c r="X3755" s="106">
        <v>44805</v>
      </c>
      <c r="Y3755" s="106">
        <v>45016</v>
      </c>
    </row>
    <row r="3756" s="9" customFormat="1" customHeight="1" spans="1:25">
      <c r="A3756" s="96" t="s">
        <v>109</v>
      </c>
      <c r="B3756" s="96" t="s">
        <v>4074</v>
      </c>
      <c r="C3756" s="96" t="s">
        <v>130</v>
      </c>
      <c r="D3756" s="94" t="s">
        <v>4178</v>
      </c>
      <c r="E3756" s="105" t="s">
        <v>4914</v>
      </c>
      <c r="F3756" s="96" t="s">
        <v>4915</v>
      </c>
      <c r="G3756" s="96" t="s">
        <v>31</v>
      </c>
      <c r="H3756" s="19" t="s">
        <v>4916</v>
      </c>
      <c r="I3756" s="23" t="e">
        <f>VLOOKUP(H3756,'合同综合查询数据（3月返）'!$A:$A,1,FALSE)</f>
        <v>#N/A</v>
      </c>
      <c r="J3756" s="24" t="s">
        <v>33</v>
      </c>
      <c r="K3756" s="94" t="s">
        <v>4917</v>
      </c>
      <c r="L3756" s="94" t="s">
        <v>4962</v>
      </c>
      <c r="M3756" s="94" t="s">
        <v>4919</v>
      </c>
      <c r="N3756" s="106">
        <v>43852</v>
      </c>
      <c r="O3756" s="94" t="s">
        <v>37</v>
      </c>
      <c r="P3756" s="317">
        <v>0</v>
      </c>
      <c r="Q3756" s="297">
        <v>288</v>
      </c>
      <c r="R3756" s="268">
        <f t="shared" si="88"/>
        <v>0</v>
      </c>
      <c r="S3756" s="24">
        <v>202303</v>
      </c>
      <c r="T3756" s="127" t="s">
        <v>4963</v>
      </c>
      <c r="U3756" s="97"/>
      <c r="V3756" s="128"/>
      <c r="W3756" s="97"/>
      <c r="X3756" s="106">
        <v>44805</v>
      </c>
      <c r="Y3756" s="106">
        <v>45016</v>
      </c>
    </row>
    <row r="3757" s="9" customFormat="1" customHeight="1" spans="1:25">
      <c r="A3757" s="96" t="s">
        <v>109</v>
      </c>
      <c r="B3757" s="96" t="s">
        <v>4074</v>
      </c>
      <c r="C3757" s="96" t="s">
        <v>130</v>
      </c>
      <c r="D3757" s="94" t="s">
        <v>4178</v>
      </c>
      <c r="E3757" s="105" t="s">
        <v>4914</v>
      </c>
      <c r="F3757" s="96" t="s">
        <v>4915</v>
      </c>
      <c r="G3757" s="96" t="s">
        <v>31</v>
      </c>
      <c r="H3757" s="19" t="s">
        <v>4916</v>
      </c>
      <c r="I3757" s="23" t="e">
        <f>VLOOKUP(H3757,'合同综合查询数据（3月返）'!$A:$A,1,FALSE)</f>
        <v>#N/A</v>
      </c>
      <c r="J3757" s="24" t="s">
        <v>33</v>
      </c>
      <c r="K3757" s="94" t="s">
        <v>4917</v>
      </c>
      <c r="L3757" s="94" t="s">
        <v>4962</v>
      </c>
      <c r="M3757" s="94" t="s">
        <v>4919</v>
      </c>
      <c r="N3757" s="106">
        <v>44926</v>
      </c>
      <c r="O3757" s="94" t="s">
        <v>37</v>
      </c>
      <c r="P3757" s="317">
        <v>0</v>
      </c>
      <c r="Q3757" s="297">
        <v>-288</v>
      </c>
      <c r="R3757" s="268">
        <f t="shared" si="88"/>
        <v>0</v>
      </c>
      <c r="S3757" s="24">
        <v>202303</v>
      </c>
      <c r="T3757" s="127" t="s">
        <v>4964</v>
      </c>
      <c r="U3757" s="97"/>
      <c r="V3757" s="128"/>
      <c r="W3757" s="97"/>
      <c r="X3757" s="106">
        <v>44805</v>
      </c>
      <c r="Y3757" s="106">
        <v>45016</v>
      </c>
    </row>
    <row r="3758" s="9" customFormat="1" customHeight="1" spans="1:25">
      <c r="A3758" s="96" t="s">
        <v>109</v>
      </c>
      <c r="B3758" s="96" t="s">
        <v>4074</v>
      </c>
      <c r="C3758" s="96" t="s">
        <v>130</v>
      </c>
      <c r="D3758" s="94" t="s">
        <v>4178</v>
      </c>
      <c r="E3758" s="105" t="s">
        <v>4914</v>
      </c>
      <c r="F3758" s="96" t="s">
        <v>4915</v>
      </c>
      <c r="G3758" s="96" t="s">
        <v>31</v>
      </c>
      <c r="H3758" s="19" t="s">
        <v>4916</v>
      </c>
      <c r="I3758" s="23" t="e">
        <f>VLOOKUP(H3758,'合同综合查询数据（3月返）'!$A:$A,1,FALSE)</f>
        <v>#N/A</v>
      </c>
      <c r="J3758" s="24" t="s">
        <v>33</v>
      </c>
      <c r="K3758" s="94" t="s">
        <v>4917</v>
      </c>
      <c r="L3758" s="94" t="s">
        <v>4965</v>
      </c>
      <c r="M3758" s="94" t="s">
        <v>4921</v>
      </c>
      <c r="N3758" s="106">
        <v>44470</v>
      </c>
      <c r="O3758" s="94" t="s">
        <v>37</v>
      </c>
      <c r="P3758" s="317">
        <v>0</v>
      </c>
      <c r="Q3758" s="297">
        <v>256</v>
      </c>
      <c r="R3758" s="268">
        <f t="shared" si="88"/>
        <v>0</v>
      </c>
      <c r="S3758" s="24">
        <v>202303</v>
      </c>
      <c r="T3758" s="279" t="s">
        <v>4966</v>
      </c>
      <c r="U3758" s="97"/>
      <c r="V3758" s="128"/>
      <c r="W3758" s="97"/>
      <c r="X3758" s="106">
        <v>44805</v>
      </c>
      <c r="Y3758" s="106">
        <v>45016</v>
      </c>
    </row>
    <row r="3759" s="9" customFormat="1" customHeight="1" spans="1:25">
      <c r="A3759" s="96" t="s">
        <v>109</v>
      </c>
      <c r="B3759" s="96" t="s">
        <v>4074</v>
      </c>
      <c r="C3759" s="96" t="s">
        <v>130</v>
      </c>
      <c r="D3759" s="94" t="s">
        <v>4178</v>
      </c>
      <c r="E3759" s="105" t="s">
        <v>4914</v>
      </c>
      <c r="F3759" s="96" t="s">
        <v>4915</v>
      </c>
      <c r="G3759" s="96" t="s">
        <v>31</v>
      </c>
      <c r="H3759" s="19" t="s">
        <v>4916</v>
      </c>
      <c r="I3759" s="23" t="e">
        <f>VLOOKUP(H3759,'合同综合查询数据（3月返）'!$A:$A,1,FALSE)</f>
        <v>#N/A</v>
      </c>
      <c r="J3759" s="24" t="s">
        <v>33</v>
      </c>
      <c r="K3759" s="94" t="s">
        <v>4917</v>
      </c>
      <c r="L3759" s="94" t="s">
        <v>4965</v>
      </c>
      <c r="M3759" s="94" t="s">
        <v>4921</v>
      </c>
      <c r="N3759" s="106">
        <v>44937</v>
      </c>
      <c r="O3759" s="94" t="s">
        <v>37</v>
      </c>
      <c r="P3759" s="317">
        <v>0</v>
      </c>
      <c r="Q3759" s="297">
        <v>-128</v>
      </c>
      <c r="R3759" s="268">
        <f t="shared" si="88"/>
        <v>0</v>
      </c>
      <c r="S3759" s="24">
        <v>202303</v>
      </c>
      <c r="T3759" s="279" t="s">
        <v>4967</v>
      </c>
      <c r="U3759" s="97"/>
      <c r="V3759" s="128"/>
      <c r="W3759" s="97"/>
      <c r="X3759" s="106">
        <v>44805</v>
      </c>
      <c r="Y3759" s="106">
        <v>45016</v>
      </c>
    </row>
    <row r="3760" s="9" customFormat="1" customHeight="1" spans="1:25">
      <c r="A3760" s="96" t="s">
        <v>109</v>
      </c>
      <c r="B3760" s="96" t="s">
        <v>4074</v>
      </c>
      <c r="C3760" s="96" t="s">
        <v>130</v>
      </c>
      <c r="D3760" s="94" t="s">
        <v>4178</v>
      </c>
      <c r="E3760" s="105" t="s">
        <v>4914</v>
      </c>
      <c r="F3760" s="96" t="s">
        <v>4915</v>
      </c>
      <c r="G3760" s="96" t="s">
        <v>88</v>
      </c>
      <c r="H3760" s="19" t="s">
        <v>4916</v>
      </c>
      <c r="I3760" s="23" t="e">
        <f>VLOOKUP(H3760,'合同综合查询数据（3月返）'!$A:$A,1,FALSE)</f>
        <v>#N/A</v>
      </c>
      <c r="J3760" s="24" t="s">
        <v>126</v>
      </c>
      <c r="K3760" s="94" t="s">
        <v>4917</v>
      </c>
      <c r="L3760" s="94" t="s">
        <v>4968</v>
      </c>
      <c r="M3760" s="94" t="s">
        <v>4919</v>
      </c>
      <c r="N3760" s="106">
        <v>43852</v>
      </c>
      <c r="O3760" s="94" t="s">
        <v>92</v>
      </c>
      <c r="P3760" s="317">
        <v>5000</v>
      </c>
      <c r="Q3760" s="297">
        <v>6</v>
      </c>
      <c r="R3760" s="268">
        <f t="shared" si="88"/>
        <v>30000</v>
      </c>
      <c r="S3760" s="24">
        <v>202303</v>
      </c>
      <c r="T3760" s="279" t="s">
        <v>4969</v>
      </c>
      <c r="U3760" s="97"/>
      <c r="V3760" s="128"/>
      <c r="W3760" s="97"/>
      <c r="X3760" s="106">
        <v>44805</v>
      </c>
      <c r="Y3760" s="106">
        <v>45016</v>
      </c>
    </row>
    <row r="3761" s="9" customFormat="1" customHeight="1" spans="1:25">
      <c r="A3761" s="96" t="s">
        <v>109</v>
      </c>
      <c r="B3761" s="96" t="s">
        <v>4074</v>
      </c>
      <c r="C3761" s="96" t="s">
        <v>130</v>
      </c>
      <c r="D3761" s="94" t="s">
        <v>4178</v>
      </c>
      <c r="E3761" s="105" t="s">
        <v>4914</v>
      </c>
      <c r="F3761" s="96" t="s">
        <v>4915</v>
      </c>
      <c r="G3761" s="96" t="s">
        <v>88</v>
      </c>
      <c r="H3761" s="19" t="s">
        <v>4916</v>
      </c>
      <c r="I3761" s="23" t="e">
        <f>VLOOKUP(H3761,'合同综合查询数据（3月返）'!$A:$A,1,FALSE)</f>
        <v>#N/A</v>
      </c>
      <c r="J3761" s="24" t="s">
        <v>126</v>
      </c>
      <c r="K3761" s="94" t="s">
        <v>4917</v>
      </c>
      <c r="L3761" s="94" t="s">
        <v>4968</v>
      </c>
      <c r="M3761" s="94" t="s">
        <v>4919</v>
      </c>
      <c r="N3761" s="106">
        <v>44926</v>
      </c>
      <c r="O3761" s="94" t="s">
        <v>92</v>
      </c>
      <c r="P3761" s="317">
        <v>5000</v>
      </c>
      <c r="Q3761" s="297">
        <v>-2</v>
      </c>
      <c r="R3761" s="268">
        <f t="shared" si="88"/>
        <v>-10000</v>
      </c>
      <c r="S3761" s="24">
        <v>202303</v>
      </c>
      <c r="T3761" s="279" t="s">
        <v>4970</v>
      </c>
      <c r="U3761" s="97"/>
      <c r="V3761" s="128"/>
      <c r="W3761" s="97"/>
      <c r="X3761" s="106">
        <v>44805</v>
      </c>
      <c r="Y3761" s="106">
        <v>45016</v>
      </c>
    </row>
    <row r="3762" s="9" customFormat="1" customHeight="1" spans="1:25">
      <c r="A3762" s="96" t="s">
        <v>109</v>
      </c>
      <c r="B3762" s="96" t="s">
        <v>4074</v>
      </c>
      <c r="C3762" s="96" t="s">
        <v>130</v>
      </c>
      <c r="D3762" s="94" t="s">
        <v>4178</v>
      </c>
      <c r="E3762" s="105" t="s">
        <v>4914</v>
      </c>
      <c r="F3762" s="96" t="s">
        <v>4915</v>
      </c>
      <c r="G3762" s="96" t="s">
        <v>88</v>
      </c>
      <c r="H3762" s="19" t="s">
        <v>4916</v>
      </c>
      <c r="I3762" s="23" t="e">
        <f>VLOOKUP(H3762,'合同综合查询数据（3月返）'!$A:$A,1,FALSE)</f>
        <v>#N/A</v>
      </c>
      <c r="J3762" s="24" t="s">
        <v>126</v>
      </c>
      <c r="K3762" s="94" t="s">
        <v>4917</v>
      </c>
      <c r="L3762" s="94" t="s">
        <v>4968</v>
      </c>
      <c r="M3762" s="94" t="s">
        <v>4919</v>
      </c>
      <c r="N3762" s="106">
        <v>44926</v>
      </c>
      <c r="O3762" s="94" t="s">
        <v>92</v>
      </c>
      <c r="P3762" s="317">
        <v>5000</v>
      </c>
      <c r="Q3762" s="297">
        <v>-4</v>
      </c>
      <c r="R3762" s="268">
        <f t="shared" si="88"/>
        <v>-20000</v>
      </c>
      <c r="S3762" s="24">
        <v>202303</v>
      </c>
      <c r="T3762" s="279" t="s">
        <v>4971</v>
      </c>
      <c r="U3762" s="97"/>
      <c r="V3762" s="128"/>
      <c r="W3762" s="97"/>
      <c r="X3762" s="106">
        <v>44805</v>
      </c>
      <c r="Y3762" s="106">
        <v>45016</v>
      </c>
    </row>
    <row r="3763" s="9" customFormat="1" customHeight="1" spans="1:25">
      <c r="A3763" s="96" t="s">
        <v>109</v>
      </c>
      <c r="B3763" s="96" t="s">
        <v>4074</v>
      </c>
      <c r="C3763" s="96" t="s">
        <v>130</v>
      </c>
      <c r="D3763" s="94" t="s">
        <v>4178</v>
      </c>
      <c r="E3763" s="105" t="s">
        <v>4914</v>
      </c>
      <c r="F3763" s="96" t="s">
        <v>4915</v>
      </c>
      <c r="G3763" s="96" t="s">
        <v>88</v>
      </c>
      <c r="H3763" s="19" t="s">
        <v>4916</v>
      </c>
      <c r="I3763" s="23" t="e">
        <f>VLOOKUP(H3763,'合同综合查询数据（3月返）'!$A:$A,1,FALSE)</f>
        <v>#N/A</v>
      </c>
      <c r="J3763" s="24" t="s">
        <v>126</v>
      </c>
      <c r="K3763" s="94" t="s">
        <v>4917</v>
      </c>
      <c r="L3763" s="94" t="s">
        <v>4965</v>
      </c>
      <c r="M3763" s="94" t="s">
        <v>4919</v>
      </c>
      <c r="N3763" s="106">
        <v>44927</v>
      </c>
      <c r="O3763" s="94" t="s">
        <v>92</v>
      </c>
      <c r="P3763" s="317">
        <v>5000</v>
      </c>
      <c r="Q3763" s="297">
        <v>4</v>
      </c>
      <c r="R3763" s="268">
        <f t="shared" si="88"/>
        <v>20000</v>
      </c>
      <c r="S3763" s="24">
        <v>202303</v>
      </c>
      <c r="T3763" s="279" t="s">
        <v>4972</v>
      </c>
      <c r="U3763" s="97"/>
      <c r="V3763" s="128"/>
      <c r="W3763" s="97"/>
      <c r="X3763" s="106">
        <v>44805</v>
      </c>
      <c r="Y3763" s="106">
        <v>45016</v>
      </c>
    </row>
    <row r="3764" s="9" customFormat="1" customHeight="1" spans="1:25">
      <c r="A3764" s="96" t="s">
        <v>109</v>
      </c>
      <c r="B3764" s="96" t="s">
        <v>4074</v>
      </c>
      <c r="C3764" s="96" t="s">
        <v>118</v>
      </c>
      <c r="D3764" s="94" t="s">
        <v>28</v>
      </c>
      <c r="E3764" s="105" t="s">
        <v>4914</v>
      </c>
      <c r="F3764" s="96" t="s">
        <v>4915</v>
      </c>
      <c r="G3764" s="96" t="s">
        <v>31</v>
      </c>
      <c r="H3764" s="19" t="s">
        <v>4973</v>
      </c>
      <c r="I3764" s="23" t="e">
        <f>VLOOKUP(H3764,'合同综合查询数据（3月返）'!$A:$A,1,FALSE)</f>
        <v>#N/A</v>
      </c>
      <c r="J3764" s="24" t="s">
        <v>33</v>
      </c>
      <c r="K3764" s="96" t="s">
        <v>122</v>
      </c>
      <c r="L3764" s="94" t="s">
        <v>4974</v>
      </c>
      <c r="M3764" s="94" t="s">
        <v>4975</v>
      </c>
      <c r="N3764" s="106">
        <v>43831</v>
      </c>
      <c r="O3764" s="94" t="s">
        <v>37</v>
      </c>
      <c r="P3764" s="317">
        <v>0</v>
      </c>
      <c r="Q3764" s="297">
        <v>352</v>
      </c>
      <c r="R3764" s="268">
        <f t="shared" si="88"/>
        <v>0</v>
      </c>
      <c r="S3764" s="24">
        <v>202303</v>
      </c>
      <c r="T3764" s="279" t="s">
        <v>4976</v>
      </c>
      <c r="U3764" s="97"/>
      <c r="V3764" s="40"/>
      <c r="W3764" s="40"/>
      <c r="X3764" s="106">
        <v>44774</v>
      </c>
      <c r="Y3764" s="106">
        <v>45016</v>
      </c>
    </row>
    <row r="3765" s="9" customFormat="1" customHeight="1" spans="1:25">
      <c r="A3765" s="96" t="s">
        <v>109</v>
      </c>
      <c r="B3765" s="96" t="s">
        <v>4074</v>
      </c>
      <c r="C3765" s="96" t="s">
        <v>118</v>
      </c>
      <c r="D3765" s="94" t="s">
        <v>28</v>
      </c>
      <c r="E3765" s="105" t="s">
        <v>4914</v>
      </c>
      <c r="F3765" s="96" t="s">
        <v>4915</v>
      </c>
      <c r="G3765" s="96" t="s">
        <v>31</v>
      </c>
      <c r="H3765" s="19" t="s">
        <v>4973</v>
      </c>
      <c r="I3765" s="23" t="e">
        <f>VLOOKUP(H3765,'合同综合查询数据（3月返）'!$A:$A,1,FALSE)</f>
        <v>#N/A</v>
      </c>
      <c r="J3765" s="24" t="s">
        <v>33</v>
      </c>
      <c r="K3765" s="96" t="s">
        <v>122</v>
      </c>
      <c r="L3765" s="94" t="s">
        <v>4974</v>
      </c>
      <c r="M3765" s="94" t="s">
        <v>4975</v>
      </c>
      <c r="N3765" s="106"/>
      <c r="O3765" s="94" t="s">
        <v>152</v>
      </c>
      <c r="P3765" s="317">
        <v>0</v>
      </c>
      <c r="Q3765" s="297">
        <v>0</v>
      </c>
      <c r="R3765" s="268">
        <f t="shared" si="88"/>
        <v>0</v>
      </c>
      <c r="S3765" s="24">
        <v>202303</v>
      </c>
      <c r="T3765" s="279" t="s">
        <v>4386</v>
      </c>
      <c r="U3765" s="97"/>
      <c r="V3765" s="40"/>
      <c r="W3765" s="40"/>
      <c r="X3765" s="106">
        <v>44774</v>
      </c>
      <c r="Y3765" s="106">
        <v>45016</v>
      </c>
    </row>
    <row r="3766" s="9" customFormat="1" customHeight="1" spans="1:25">
      <c r="A3766" s="96" t="s">
        <v>109</v>
      </c>
      <c r="B3766" s="96" t="s">
        <v>4074</v>
      </c>
      <c r="C3766" s="96" t="s">
        <v>118</v>
      </c>
      <c r="D3766" s="94" t="s">
        <v>28</v>
      </c>
      <c r="E3766" s="105" t="s">
        <v>4914</v>
      </c>
      <c r="F3766" s="96" t="s">
        <v>4915</v>
      </c>
      <c r="G3766" s="96" t="s">
        <v>88</v>
      </c>
      <c r="H3766" s="19" t="s">
        <v>4973</v>
      </c>
      <c r="I3766" s="23" t="e">
        <f>VLOOKUP(H3766,'合同综合查询数据（3月返）'!$A:$A,1,FALSE)</f>
        <v>#N/A</v>
      </c>
      <c r="J3766" s="24" t="s">
        <v>126</v>
      </c>
      <c r="K3766" s="96" t="s">
        <v>122</v>
      </c>
      <c r="L3766" s="94" t="s">
        <v>4974</v>
      </c>
      <c r="M3766" s="94" t="s">
        <v>4975</v>
      </c>
      <c r="N3766" s="106">
        <v>43812</v>
      </c>
      <c r="O3766" s="94" t="s">
        <v>92</v>
      </c>
      <c r="P3766" s="317">
        <v>5000</v>
      </c>
      <c r="Q3766" s="297">
        <v>4</v>
      </c>
      <c r="R3766" s="268">
        <f t="shared" si="88"/>
        <v>20000</v>
      </c>
      <c r="S3766" s="24">
        <v>202303</v>
      </c>
      <c r="T3766" s="127" t="s">
        <v>4977</v>
      </c>
      <c r="U3766" s="97"/>
      <c r="V3766" s="128"/>
      <c r="W3766" s="97"/>
      <c r="X3766" s="106">
        <v>44774</v>
      </c>
      <c r="Y3766" s="106">
        <v>45016</v>
      </c>
    </row>
    <row r="3767" s="9" customFormat="1" customHeight="1" spans="1:25">
      <c r="A3767" s="96" t="s">
        <v>109</v>
      </c>
      <c r="B3767" s="96" t="s">
        <v>4074</v>
      </c>
      <c r="C3767" s="96" t="s">
        <v>118</v>
      </c>
      <c r="D3767" s="94" t="s">
        <v>28</v>
      </c>
      <c r="E3767" s="105" t="s">
        <v>4914</v>
      </c>
      <c r="F3767" s="96" t="s">
        <v>4915</v>
      </c>
      <c r="G3767" s="96" t="s">
        <v>88</v>
      </c>
      <c r="H3767" s="19" t="s">
        <v>4973</v>
      </c>
      <c r="I3767" s="23" t="e">
        <f>VLOOKUP(H3767,'合同综合查询数据（3月返）'!$A:$A,1,FALSE)</f>
        <v>#N/A</v>
      </c>
      <c r="J3767" s="24" t="s">
        <v>126</v>
      </c>
      <c r="K3767" s="96" t="s">
        <v>122</v>
      </c>
      <c r="L3767" s="94" t="s">
        <v>4974</v>
      </c>
      <c r="M3767" s="94" t="s">
        <v>4975</v>
      </c>
      <c r="N3767" s="106">
        <v>43952</v>
      </c>
      <c r="O3767" s="94" t="s">
        <v>92</v>
      </c>
      <c r="P3767" s="317">
        <v>5000</v>
      </c>
      <c r="Q3767" s="297">
        <v>2</v>
      </c>
      <c r="R3767" s="268">
        <f t="shared" si="88"/>
        <v>10000</v>
      </c>
      <c r="S3767" s="24">
        <v>202303</v>
      </c>
      <c r="T3767" s="279" t="s">
        <v>4978</v>
      </c>
      <c r="U3767" s="97"/>
      <c r="V3767" s="128"/>
      <c r="W3767" s="97"/>
      <c r="X3767" s="106">
        <v>44774</v>
      </c>
      <c r="Y3767" s="106">
        <v>45016</v>
      </c>
    </row>
    <row r="3768" s="9" customFormat="1" customHeight="1" spans="1:25">
      <c r="A3768" s="96" t="s">
        <v>109</v>
      </c>
      <c r="B3768" s="96" t="s">
        <v>4074</v>
      </c>
      <c r="C3768" s="96" t="s">
        <v>2035</v>
      </c>
      <c r="D3768" s="94" t="s">
        <v>28</v>
      </c>
      <c r="E3768" s="105" t="s">
        <v>4914</v>
      </c>
      <c r="F3768" s="96" t="s">
        <v>4915</v>
      </c>
      <c r="G3768" s="96" t="s">
        <v>31</v>
      </c>
      <c r="H3768" s="19" t="s">
        <v>4979</v>
      </c>
      <c r="I3768" s="23" t="e">
        <f>VLOOKUP(H3768,'合同综合查询数据（3月返）'!$A:$A,1,FALSE)</f>
        <v>#N/A</v>
      </c>
      <c r="J3768" s="24" t="s">
        <v>33</v>
      </c>
      <c r="K3768" s="96" t="s">
        <v>4980</v>
      </c>
      <c r="L3768" s="114" t="s">
        <v>4981</v>
      </c>
      <c r="M3768" s="26" t="s">
        <v>4982</v>
      </c>
      <c r="N3768" s="106">
        <v>43852</v>
      </c>
      <c r="O3768" s="94" t="s">
        <v>37</v>
      </c>
      <c r="P3768" s="268">
        <v>0</v>
      </c>
      <c r="Q3768" s="297">
        <v>416</v>
      </c>
      <c r="R3768" s="268">
        <f t="shared" si="88"/>
        <v>0</v>
      </c>
      <c r="S3768" s="24">
        <v>202303</v>
      </c>
      <c r="T3768" s="127" t="s">
        <v>4983</v>
      </c>
      <c r="U3768" s="97"/>
      <c r="V3768" s="128"/>
      <c r="W3768" s="97"/>
      <c r="X3768" s="311">
        <v>44197</v>
      </c>
      <c r="Y3768" s="311">
        <v>44561</v>
      </c>
    </row>
    <row r="3769" s="9" customFormat="1" customHeight="1" spans="1:25">
      <c r="A3769" s="96" t="s">
        <v>109</v>
      </c>
      <c r="B3769" s="96" t="s">
        <v>4074</v>
      </c>
      <c r="C3769" s="96" t="s">
        <v>2035</v>
      </c>
      <c r="D3769" s="94" t="s">
        <v>28</v>
      </c>
      <c r="E3769" s="105" t="s">
        <v>4914</v>
      </c>
      <c r="F3769" s="96" t="s">
        <v>4915</v>
      </c>
      <c r="G3769" s="96" t="s">
        <v>88</v>
      </c>
      <c r="H3769" s="19" t="s">
        <v>4979</v>
      </c>
      <c r="I3769" s="23" t="e">
        <f>VLOOKUP(H3769,'合同综合查询数据（3月返）'!$A:$A,1,FALSE)</f>
        <v>#N/A</v>
      </c>
      <c r="J3769" s="24" t="s">
        <v>126</v>
      </c>
      <c r="K3769" s="96" t="s">
        <v>4980</v>
      </c>
      <c r="L3769" s="114" t="s">
        <v>4981</v>
      </c>
      <c r="M3769" s="26" t="s">
        <v>4982</v>
      </c>
      <c r="N3769" s="106">
        <v>43852</v>
      </c>
      <c r="O3769" s="94" t="s">
        <v>127</v>
      </c>
      <c r="P3769" s="268">
        <v>5000</v>
      </c>
      <c r="Q3769" s="273">
        <v>5</v>
      </c>
      <c r="R3769" s="268">
        <f t="shared" si="88"/>
        <v>25000</v>
      </c>
      <c r="S3769" s="24">
        <v>202303</v>
      </c>
      <c r="T3769" s="127" t="s">
        <v>4984</v>
      </c>
      <c r="U3769" s="97"/>
      <c r="V3769" s="128"/>
      <c r="W3769" s="97"/>
      <c r="X3769" s="311">
        <v>44197</v>
      </c>
      <c r="Y3769" s="311">
        <v>44561</v>
      </c>
    </row>
    <row r="3770" s="9" customFormat="1" customHeight="1" spans="1:25">
      <c r="A3770" s="96" t="s">
        <v>109</v>
      </c>
      <c r="B3770" s="96" t="s">
        <v>4074</v>
      </c>
      <c r="C3770" s="96" t="s">
        <v>2035</v>
      </c>
      <c r="D3770" s="94" t="s">
        <v>28</v>
      </c>
      <c r="E3770" s="105" t="s">
        <v>4914</v>
      </c>
      <c r="F3770" s="96" t="s">
        <v>4915</v>
      </c>
      <c r="G3770" s="96" t="s">
        <v>88</v>
      </c>
      <c r="H3770" s="19" t="s">
        <v>4979</v>
      </c>
      <c r="I3770" s="23" t="e">
        <f>VLOOKUP(H3770,'合同综合查询数据（3月返）'!$A:$A,1,FALSE)</f>
        <v>#N/A</v>
      </c>
      <c r="J3770" s="24" t="s">
        <v>126</v>
      </c>
      <c r="K3770" s="96" t="s">
        <v>4980</v>
      </c>
      <c r="L3770" s="114" t="s">
        <v>4981</v>
      </c>
      <c r="M3770" s="26" t="s">
        <v>4982</v>
      </c>
      <c r="N3770" s="106">
        <v>44197</v>
      </c>
      <c r="O3770" s="94" t="s">
        <v>127</v>
      </c>
      <c r="P3770" s="268">
        <v>5000</v>
      </c>
      <c r="Q3770" s="273">
        <v>1</v>
      </c>
      <c r="R3770" s="268">
        <f t="shared" si="88"/>
        <v>5000</v>
      </c>
      <c r="S3770" s="24">
        <v>202303</v>
      </c>
      <c r="T3770" s="127" t="s">
        <v>4985</v>
      </c>
      <c r="U3770" s="97"/>
      <c r="V3770" s="128"/>
      <c r="W3770" s="97"/>
      <c r="X3770" s="311">
        <v>44197</v>
      </c>
      <c r="Y3770" s="311">
        <v>44561</v>
      </c>
    </row>
    <row r="3771" s="9" customFormat="1" customHeight="1" spans="1:25">
      <c r="A3771" s="96" t="s">
        <v>109</v>
      </c>
      <c r="B3771" s="96" t="s">
        <v>4074</v>
      </c>
      <c r="C3771" s="96" t="s">
        <v>2035</v>
      </c>
      <c r="D3771" s="94" t="s">
        <v>28</v>
      </c>
      <c r="E3771" s="105" t="s">
        <v>4914</v>
      </c>
      <c r="F3771" s="96" t="s">
        <v>4915</v>
      </c>
      <c r="G3771" s="96" t="s">
        <v>88</v>
      </c>
      <c r="H3771" s="19" t="s">
        <v>4979</v>
      </c>
      <c r="I3771" s="23" t="e">
        <f>VLOOKUP(H3771,'合同综合查询数据（3月返）'!$A:$A,1,FALSE)</f>
        <v>#N/A</v>
      </c>
      <c r="J3771" s="24" t="s">
        <v>126</v>
      </c>
      <c r="K3771" s="96" t="s">
        <v>4980</v>
      </c>
      <c r="L3771" s="114" t="s">
        <v>4981</v>
      </c>
      <c r="M3771" s="26" t="s">
        <v>4982</v>
      </c>
      <c r="N3771" s="106">
        <v>44286</v>
      </c>
      <c r="O3771" s="94" t="s">
        <v>127</v>
      </c>
      <c r="P3771" s="268">
        <v>5000</v>
      </c>
      <c r="Q3771" s="273">
        <v>-6</v>
      </c>
      <c r="R3771" s="268">
        <f t="shared" si="88"/>
        <v>-30000</v>
      </c>
      <c r="S3771" s="24">
        <v>202303</v>
      </c>
      <c r="T3771" s="127" t="s">
        <v>4986</v>
      </c>
      <c r="U3771" s="97"/>
      <c r="V3771" s="128"/>
      <c r="W3771" s="97"/>
      <c r="X3771" s="311">
        <v>44197</v>
      </c>
      <c r="Y3771" s="311">
        <v>44561</v>
      </c>
    </row>
    <row r="3772" s="9" customFormat="1" customHeight="1" spans="1:25">
      <c r="A3772" s="96" t="s">
        <v>109</v>
      </c>
      <c r="B3772" s="96" t="s">
        <v>4074</v>
      </c>
      <c r="C3772" s="96" t="s">
        <v>27</v>
      </c>
      <c r="D3772" s="94" t="s">
        <v>4178</v>
      </c>
      <c r="E3772" s="105" t="s">
        <v>4914</v>
      </c>
      <c r="F3772" s="96" t="s">
        <v>4915</v>
      </c>
      <c r="G3772" s="96" t="s">
        <v>31</v>
      </c>
      <c r="H3772" s="19" t="s">
        <v>4987</v>
      </c>
      <c r="I3772" s="23" t="e">
        <f>VLOOKUP(H3772,'合同综合查询数据（3月返）'!$A:$A,1,FALSE)</f>
        <v>#N/A</v>
      </c>
      <c r="J3772" s="24" t="s">
        <v>33</v>
      </c>
      <c r="K3772" s="96" t="s">
        <v>34</v>
      </c>
      <c r="L3772" s="114" t="s">
        <v>4988</v>
      </c>
      <c r="M3772" s="26" t="s">
        <v>4989</v>
      </c>
      <c r="N3772" s="311">
        <v>43952</v>
      </c>
      <c r="O3772" s="94" t="s">
        <v>37</v>
      </c>
      <c r="P3772" s="119">
        <v>0</v>
      </c>
      <c r="Q3772" s="273">
        <v>288</v>
      </c>
      <c r="R3772" s="268">
        <f t="shared" si="88"/>
        <v>0</v>
      </c>
      <c r="S3772" s="24">
        <v>202303</v>
      </c>
      <c r="T3772" s="127" t="s">
        <v>4990</v>
      </c>
      <c r="U3772" s="97"/>
      <c r="V3772" s="128"/>
      <c r="W3772" s="97"/>
      <c r="X3772" s="106">
        <v>44287</v>
      </c>
      <c r="Y3772" s="106">
        <v>44561</v>
      </c>
    </row>
    <row r="3773" s="9" customFormat="1" customHeight="1" spans="1:25">
      <c r="A3773" s="96" t="s">
        <v>109</v>
      </c>
      <c r="B3773" s="96" t="s">
        <v>4074</v>
      </c>
      <c r="C3773" s="96" t="s">
        <v>27</v>
      </c>
      <c r="D3773" s="94" t="s">
        <v>4178</v>
      </c>
      <c r="E3773" s="105" t="s">
        <v>4914</v>
      </c>
      <c r="F3773" s="96" t="s">
        <v>4915</v>
      </c>
      <c r="G3773" s="96" t="s">
        <v>31</v>
      </c>
      <c r="H3773" s="19" t="s">
        <v>4987</v>
      </c>
      <c r="I3773" s="23" t="e">
        <f>VLOOKUP(H3773,'合同综合查询数据（3月返）'!$A:$A,1,FALSE)</f>
        <v>#N/A</v>
      </c>
      <c r="J3773" s="24" t="s">
        <v>33</v>
      </c>
      <c r="K3773" s="96" t="s">
        <v>34</v>
      </c>
      <c r="L3773" s="114" t="s">
        <v>4988</v>
      </c>
      <c r="M3773" s="26" t="s">
        <v>4989</v>
      </c>
      <c r="N3773" s="286">
        <v>44469</v>
      </c>
      <c r="O3773" s="94" t="s">
        <v>37</v>
      </c>
      <c r="P3773" s="119">
        <v>0</v>
      </c>
      <c r="Q3773" s="273">
        <v>-288</v>
      </c>
      <c r="R3773" s="268">
        <f t="shared" si="88"/>
        <v>0</v>
      </c>
      <c r="S3773" s="24">
        <v>202303</v>
      </c>
      <c r="T3773" s="127" t="s">
        <v>4991</v>
      </c>
      <c r="U3773" s="97"/>
      <c r="V3773" s="128"/>
      <c r="W3773" s="97"/>
      <c r="X3773" s="106">
        <v>44287</v>
      </c>
      <c r="Y3773" s="106">
        <v>44561</v>
      </c>
    </row>
    <row r="3774" s="9" customFormat="1" customHeight="1" spans="1:25">
      <c r="A3774" s="96" t="s">
        <v>109</v>
      </c>
      <c r="B3774" s="94" t="s">
        <v>4074</v>
      </c>
      <c r="C3774" s="94" t="s">
        <v>27</v>
      </c>
      <c r="D3774" s="94" t="s">
        <v>4178</v>
      </c>
      <c r="E3774" s="105" t="s">
        <v>4914</v>
      </c>
      <c r="F3774" s="96" t="s">
        <v>4915</v>
      </c>
      <c r="G3774" s="96" t="s">
        <v>31</v>
      </c>
      <c r="H3774" s="19" t="s">
        <v>4987</v>
      </c>
      <c r="I3774" s="23" t="e">
        <f>VLOOKUP(H3774,'合同综合查询数据（3月返）'!$A:$A,1,FALSE)</f>
        <v>#N/A</v>
      </c>
      <c r="J3774" s="24" t="s">
        <v>33</v>
      </c>
      <c r="K3774" s="96" t="s">
        <v>34</v>
      </c>
      <c r="L3774" s="114" t="s">
        <v>4992</v>
      </c>
      <c r="M3774" s="26" t="s">
        <v>4989</v>
      </c>
      <c r="N3774" s="286">
        <v>44287</v>
      </c>
      <c r="O3774" s="94" t="s">
        <v>37</v>
      </c>
      <c r="P3774" s="268">
        <v>0</v>
      </c>
      <c r="Q3774" s="273">
        <v>288</v>
      </c>
      <c r="R3774" s="268">
        <f t="shared" si="88"/>
        <v>0</v>
      </c>
      <c r="S3774" s="24">
        <v>202303</v>
      </c>
      <c r="T3774" s="127" t="s">
        <v>4993</v>
      </c>
      <c r="U3774" s="97"/>
      <c r="V3774" s="128"/>
      <c r="W3774" s="128"/>
      <c r="X3774" s="106">
        <v>44287</v>
      </c>
      <c r="Y3774" s="106">
        <v>44561</v>
      </c>
    </row>
    <row r="3775" s="9" customFormat="1" customHeight="1" spans="1:25">
      <c r="A3775" s="96" t="s">
        <v>109</v>
      </c>
      <c r="B3775" s="94" t="s">
        <v>4074</v>
      </c>
      <c r="C3775" s="94" t="s">
        <v>27</v>
      </c>
      <c r="D3775" s="94" t="s">
        <v>4178</v>
      </c>
      <c r="E3775" s="105" t="s">
        <v>4914</v>
      </c>
      <c r="F3775" s="96" t="s">
        <v>4915</v>
      </c>
      <c r="G3775" s="96" t="s">
        <v>31</v>
      </c>
      <c r="H3775" s="19" t="s">
        <v>4987</v>
      </c>
      <c r="I3775" s="23" t="e">
        <f>VLOOKUP(H3775,'合同综合查询数据（3月返）'!$A:$A,1,FALSE)</f>
        <v>#N/A</v>
      </c>
      <c r="J3775" s="24" t="s">
        <v>33</v>
      </c>
      <c r="K3775" s="96" t="s">
        <v>34</v>
      </c>
      <c r="L3775" s="114" t="s">
        <v>4992</v>
      </c>
      <c r="M3775" s="26" t="s">
        <v>4989</v>
      </c>
      <c r="N3775" s="286">
        <v>44469</v>
      </c>
      <c r="O3775" s="94" t="s">
        <v>37</v>
      </c>
      <c r="P3775" s="268">
        <v>0</v>
      </c>
      <c r="Q3775" s="273">
        <v>-288</v>
      </c>
      <c r="R3775" s="268">
        <f t="shared" si="88"/>
        <v>0</v>
      </c>
      <c r="S3775" s="24">
        <v>202303</v>
      </c>
      <c r="T3775" s="127" t="s">
        <v>4994</v>
      </c>
      <c r="U3775" s="97"/>
      <c r="V3775" s="128"/>
      <c r="W3775" s="128"/>
      <c r="X3775" s="106">
        <v>44287</v>
      </c>
      <c r="Y3775" s="106">
        <v>44561</v>
      </c>
    </row>
    <row r="3776" s="9" customFormat="1" customHeight="1" spans="1:25">
      <c r="A3776" s="96" t="s">
        <v>109</v>
      </c>
      <c r="B3776" s="96" t="s">
        <v>4074</v>
      </c>
      <c r="C3776" s="96" t="s">
        <v>27</v>
      </c>
      <c r="D3776" s="94" t="s">
        <v>4178</v>
      </c>
      <c r="E3776" s="105" t="s">
        <v>4914</v>
      </c>
      <c r="F3776" s="96" t="s">
        <v>4915</v>
      </c>
      <c r="G3776" s="96" t="s">
        <v>31</v>
      </c>
      <c r="H3776" s="19" t="s">
        <v>4987</v>
      </c>
      <c r="I3776" s="23" t="e">
        <f>VLOOKUP(H3776,'合同综合查询数据（3月返）'!$A:$A,1,FALSE)</f>
        <v>#N/A</v>
      </c>
      <c r="J3776" s="24" t="s">
        <v>33</v>
      </c>
      <c r="K3776" s="96" t="s">
        <v>34</v>
      </c>
      <c r="L3776" s="114" t="s">
        <v>4988</v>
      </c>
      <c r="M3776" s="26" t="s">
        <v>4989</v>
      </c>
      <c r="N3776" s="311"/>
      <c r="O3776" s="94" t="s">
        <v>152</v>
      </c>
      <c r="P3776" s="119">
        <v>0</v>
      </c>
      <c r="Q3776" s="273">
        <v>0</v>
      </c>
      <c r="R3776" s="268">
        <f t="shared" si="88"/>
        <v>0</v>
      </c>
      <c r="S3776" s="24">
        <v>202303</v>
      </c>
      <c r="T3776" s="127" t="s">
        <v>4995</v>
      </c>
      <c r="U3776" s="97"/>
      <c r="V3776" s="128"/>
      <c r="W3776" s="97"/>
      <c r="X3776" s="106">
        <v>44287</v>
      </c>
      <c r="Y3776" s="106">
        <v>44561</v>
      </c>
    </row>
    <row r="3777" s="9" customFormat="1" customHeight="1" spans="1:25">
      <c r="A3777" s="96" t="s">
        <v>109</v>
      </c>
      <c r="B3777" s="96" t="s">
        <v>4074</v>
      </c>
      <c r="C3777" s="96" t="s">
        <v>27</v>
      </c>
      <c r="D3777" s="94" t="s">
        <v>4178</v>
      </c>
      <c r="E3777" s="105" t="s">
        <v>4914</v>
      </c>
      <c r="F3777" s="96" t="s">
        <v>4915</v>
      </c>
      <c r="G3777" s="96" t="s">
        <v>88</v>
      </c>
      <c r="H3777" s="19" t="s">
        <v>4987</v>
      </c>
      <c r="I3777" s="23" t="e">
        <f>VLOOKUP(H3777,'合同综合查询数据（3月返）'!$A:$A,1,FALSE)</f>
        <v>#N/A</v>
      </c>
      <c r="J3777" s="24" t="s">
        <v>126</v>
      </c>
      <c r="K3777" s="96" t="s">
        <v>34</v>
      </c>
      <c r="L3777" s="114" t="s">
        <v>4988</v>
      </c>
      <c r="M3777" s="26" t="s">
        <v>4989</v>
      </c>
      <c r="N3777" s="311">
        <v>43952</v>
      </c>
      <c r="O3777" s="94" t="s">
        <v>92</v>
      </c>
      <c r="P3777" s="119">
        <v>5000</v>
      </c>
      <c r="Q3777" s="273">
        <v>4</v>
      </c>
      <c r="R3777" s="268">
        <f t="shared" si="88"/>
        <v>20000</v>
      </c>
      <c r="S3777" s="24">
        <v>202303</v>
      </c>
      <c r="T3777" s="127" t="s">
        <v>4996</v>
      </c>
      <c r="U3777" s="97"/>
      <c r="V3777" s="128"/>
      <c r="W3777" s="97"/>
      <c r="X3777" s="106">
        <v>44287</v>
      </c>
      <c r="Y3777" s="106">
        <v>44561</v>
      </c>
    </row>
    <row r="3778" s="9" customFormat="1" customHeight="1" spans="1:25">
      <c r="A3778" s="96" t="s">
        <v>109</v>
      </c>
      <c r="B3778" s="96" t="s">
        <v>4074</v>
      </c>
      <c r="C3778" s="96" t="s">
        <v>27</v>
      </c>
      <c r="D3778" s="94" t="s">
        <v>4178</v>
      </c>
      <c r="E3778" s="105" t="s">
        <v>4914</v>
      </c>
      <c r="F3778" s="96" t="s">
        <v>4915</v>
      </c>
      <c r="G3778" s="96" t="s">
        <v>88</v>
      </c>
      <c r="H3778" s="19" t="s">
        <v>4987</v>
      </c>
      <c r="I3778" s="23" t="e">
        <f>VLOOKUP(H3778,'合同综合查询数据（3月返）'!$A:$A,1,FALSE)</f>
        <v>#N/A</v>
      </c>
      <c r="J3778" s="24" t="s">
        <v>126</v>
      </c>
      <c r="K3778" s="96" t="s">
        <v>34</v>
      </c>
      <c r="L3778" s="114" t="s">
        <v>4988</v>
      </c>
      <c r="M3778" s="26" t="s">
        <v>4989</v>
      </c>
      <c r="N3778" s="311">
        <v>44197</v>
      </c>
      <c r="O3778" s="94" t="s">
        <v>92</v>
      </c>
      <c r="P3778" s="119">
        <v>5000</v>
      </c>
      <c r="Q3778" s="273">
        <v>2</v>
      </c>
      <c r="R3778" s="268">
        <f t="shared" si="88"/>
        <v>10000</v>
      </c>
      <c r="S3778" s="24">
        <v>202303</v>
      </c>
      <c r="T3778" s="127" t="s">
        <v>4997</v>
      </c>
      <c r="U3778" s="97"/>
      <c r="V3778" s="128"/>
      <c r="W3778" s="97"/>
      <c r="X3778" s="106">
        <v>44287</v>
      </c>
      <c r="Y3778" s="106">
        <v>44561</v>
      </c>
    </row>
    <row r="3779" s="9" customFormat="1" customHeight="1" spans="1:25">
      <c r="A3779" s="96" t="s">
        <v>109</v>
      </c>
      <c r="B3779" s="96" t="s">
        <v>4074</v>
      </c>
      <c r="C3779" s="96" t="s">
        <v>27</v>
      </c>
      <c r="D3779" s="94" t="s">
        <v>4178</v>
      </c>
      <c r="E3779" s="105" t="s">
        <v>4914</v>
      </c>
      <c r="F3779" s="96" t="s">
        <v>4915</v>
      </c>
      <c r="G3779" s="96" t="s">
        <v>88</v>
      </c>
      <c r="H3779" s="19" t="s">
        <v>4987</v>
      </c>
      <c r="I3779" s="23" t="e">
        <f>VLOOKUP(H3779,'合同综合查询数据（3月返）'!$A:$A,1,FALSE)</f>
        <v>#N/A</v>
      </c>
      <c r="J3779" s="24" t="s">
        <v>126</v>
      </c>
      <c r="K3779" s="96" t="s">
        <v>34</v>
      </c>
      <c r="L3779" s="114" t="s">
        <v>4988</v>
      </c>
      <c r="M3779" s="26" t="s">
        <v>4989</v>
      </c>
      <c r="N3779" s="286">
        <v>44469</v>
      </c>
      <c r="O3779" s="94" t="s">
        <v>92</v>
      </c>
      <c r="P3779" s="119">
        <v>5000</v>
      </c>
      <c r="Q3779" s="273">
        <v>-6</v>
      </c>
      <c r="R3779" s="268">
        <f t="shared" si="88"/>
        <v>-30000</v>
      </c>
      <c r="S3779" s="24">
        <v>202303</v>
      </c>
      <c r="T3779" s="127" t="s">
        <v>4998</v>
      </c>
      <c r="U3779" s="97"/>
      <c r="V3779" s="128"/>
      <c r="W3779" s="97"/>
      <c r="X3779" s="106">
        <v>44287</v>
      </c>
      <c r="Y3779" s="106">
        <v>44561</v>
      </c>
    </row>
    <row r="3780" s="9" customFormat="1" customHeight="1" spans="1:25">
      <c r="A3780" s="96" t="s">
        <v>109</v>
      </c>
      <c r="B3780" s="94" t="s">
        <v>4074</v>
      </c>
      <c r="C3780" s="94" t="s">
        <v>27</v>
      </c>
      <c r="D3780" s="94" t="s">
        <v>4178</v>
      </c>
      <c r="E3780" s="105" t="s">
        <v>4914</v>
      </c>
      <c r="F3780" s="96" t="s">
        <v>4915</v>
      </c>
      <c r="G3780" s="96" t="s">
        <v>88</v>
      </c>
      <c r="H3780" s="19" t="s">
        <v>4987</v>
      </c>
      <c r="I3780" s="23" t="e">
        <f>VLOOKUP(H3780,'合同综合查询数据（3月返）'!$A:$A,1,FALSE)</f>
        <v>#N/A</v>
      </c>
      <c r="J3780" s="24" t="s">
        <v>126</v>
      </c>
      <c r="K3780" s="96" t="s">
        <v>34</v>
      </c>
      <c r="L3780" s="114" t="s">
        <v>4992</v>
      </c>
      <c r="M3780" s="26" t="s">
        <v>4989</v>
      </c>
      <c r="N3780" s="286">
        <v>44287</v>
      </c>
      <c r="O3780" s="94" t="s">
        <v>92</v>
      </c>
      <c r="P3780" s="268">
        <v>5000</v>
      </c>
      <c r="Q3780" s="273">
        <v>5</v>
      </c>
      <c r="R3780" s="268">
        <f t="shared" si="88"/>
        <v>25000</v>
      </c>
      <c r="S3780" s="24">
        <v>202303</v>
      </c>
      <c r="T3780" s="127" t="s">
        <v>4999</v>
      </c>
      <c r="U3780" s="97"/>
      <c r="V3780" s="128"/>
      <c r="W3780" s="128"/>
      <c r="X3780" s="106">
        <v>44287</v>
      </c>
      <c r="Y3780" s="106">
        <v>44561</v>
      </c>
    </row>
    <row r="3781" s="9" customFormat="1" customHeight="1" spans="1:25">
      <c r="A3781" s="96" t="s">
        <v>109</v>
      </c>
      <c r="B3781" s="94" t="s">
        <v>4074</v>
      </c>
      <c r="C3781" s="94" t="s">
        <v>27</v>
      </c>
      <c r="D3781" s="94" t="s">
        <v>4178</v>
      </c>
      <c r="E3781" s="105" t="s">
        <v>4914</v>
      </c>
      <c r="F3781" s="96" t="s">
        <v>4915</v>
      </c>
      <c r="G3781" s="96" t="s">
        <v>88</v>
      </c>
      <c r="H3781" s="19" t="s">
        <v>4987</v>
      </c>
      <c r="I3781" s="23" t="e">
        <f>VLOOKUP(H3781,'合同综合查询数据（3月返）'!$A:$A,1,FALSE)</f>
        <v>#N/A</v>
      </c>
      <c r="J3781" s="24" t="s">
        <v>126</v>
      </c>
      <c r="K3781" s="96" t="s">
        <v>34</v>
      </c>
      <c r="L3781" s="114" t="s">
        <v>4992</v>
      </c>
      <c r="M3781" s="26" t="s">
        <v>4989</v>
      </c>
      <c r="N3781" s="286">
        <v>44469</v>
      </c>
      <c r="O3781" s="94" t="s">
        <v>92</v>
      </c>
      <c r="P3781" s="268">
        <v>5000</v>
      </c>
      <c r="Q3781" s="273">
        <v>-5</v>
      </c>
      <c r="R3781" s="268">
        <f t="shared" si="88"/>
        <v>-25000</v>
      </c>
      <c r="S3781" s="24">
        <v>202303</v>
      </c>
      <c r="T3781" s="127" t="s">
        <v>5000</v>
      </c>
      <c r="U3781" s="97"/>
      <c r="V3781" s="128"/>
      <c r="W3781" s="128"/>
      <c r="X3781" s="106">
        <v>44287</v>
      </c>
      <c r="Y3781" s="106">
        <v>44561</v>
      </c>
    </row>
    <row r="3782" s="9" customFormat="1" customHeight="1" spans="1:25">
      <c r="A3782" s="96" t="s">
        <v>109</v>
      </c>
      <c r="B3782" s="96" t="s">
        <v>4074</v>
      </c>
      <c r="C3782" s="96" t="s">
        <v>130</v>
      </c>
      <c r="D3782" s="94" t="s">
        <v>4178</v>
      </c>
      <c r="E3782" s="105" t="s">
        <v>4914</v>
      </c>
      <c r="F3782" s="96" t="s">
        <v>4915</v>
      </c>
      <c r="G3782" s="24" t="s">
        <v>302</v>
      </c>
      <c r="H3782" s="19" t="s">
        <v>4958</v>
      </c>
      <c r="I3782" s="23" t="e">
        <f>VLOOKUP(H3782,'合同综合查询数据（3月返）'!$A:$A,1,FALSE)</f>
        <v>#N/A</v>
      </c>
      <c r="J3782" s="24" t="s">
        <v>302</v>
      </c>
      <c r="K3782" s="96" t="s">
        <v>5001</v>
      </c>
      <c r="L3782" s="114"/>
      <c r="M3782" s="249"/>
      <c r="N3782" s="311">
        <v>44075</v>
      </c>
      <c r="O3782" s="94" t="s">
        <v>5002</v>
      </c>
      <c r="P3782" s="119">
        <v>28000</v>
      </c>
      <c r="Q3782" s="273">
        <v>1</v>
      </c>
      <c r="R3782" s="268">
        <f t="shared" si="88"/>
        <v>28000</v>
      </c>
      <c r="S3782" s="24">
        <v>202303</v>
      </c>
      <c r="T3782" s="127"/>
      <c r="U3782" s="97"/>
      <c r="V3782" s="128"/>
      <c r="W3782" s="97"/>
      <c r="X3782" s="106">
        <v>44197</v>
      </c>
      <c r="Y3782" s="106">
        <v>44439</v>
      </c>
    </row>
    <row r="3783" s="9" customFormat="1" customHeight="1" spans="1:25">
      <c r="A3783" s="96" t="s">
        <v>109</v>
      </c>
      <c r="B3783" s="96" t="s">
        <v>4074</v>
      </c>
      <c r="C3783" s="96" t="s">
        <v>130</v>
      </c>
      <c r="D3783" s="94" t="s">
        <v>4178</v>
      </c>
      <c r="E3783" s="105" t="s">
        <v>4914</v>
      </c>
      <c r="F3783" s="96" t="s">
        <v>4915</v>
      </c>
      <c r="G3783" s="24" t="s">
        <v>302</v>
      </c>
      <c r="H3783" s="19" t="s">
        <v>4958</v>
      </c>
      <c r="I3783" s="23" t="e">
        <f>VLOOKUP(H3783,'合同综合查询数据（3月返）'!$A:$A,1,FALSE)</f>
        <v>#N/A</v>
      </c>
      <c r="J3783" s="24" t="s">
        <v>302</v>
      </c>
      <c r="K3783" s="96" t="s">
        <v>5001</v>
      </c>
      <c r="L3783" s="114"/>
      <c r="M3783" s="249"/>
      <c r="N3783" s="311">
        <v>44196</v>
      </c>
      <c r="O3783" s="94" t="s">
        <v>5002</v>
      </c>
      <c r="P3783" s="119">
        <v>28000</v>
      </c>
      <c r="Q3783" s="273">
        <v>-1</v>
      </c>
      <c r="R3783" s="268">
        <f t="shared" si="88"/>
        <v>-28000</v>
      </c>
      <c r="S3783" s="24">
        <v>202303</v>
      </c>
      <c r="T3783" s="127" t="s">
        <v>5003</v>
      </c>
      <c r="U3783" s="97"/>
      <c r="V3783" s="128"/>
      <c r="W3783" s="97"/>
      <c r="X3783" s="106">
        <v>44197</v>
      </c>
      <c r="Y3783" s="106">
        <v>44439</v>
      </c>
    </row>
    <row r="3784" s="9" customFormat="1" customHeight="1" spans="1:25">
      <c r="A3784" s="96" t="s">
        <v>109</v>
      </c>
      <c r="B3784" s="95" t="s">
        <v>4074</v>
      </c>
      <c r="C3784" s="94" t="s">
        <v>130</v>
      </c>
      <c r="D3784" s="94" t="s">
        <v>4178</v>
      </c>
      <c r="E3784" s="105" t="s">
        <v>4914</v>
      </c>
      <c r="F3784" s="96" t="s">
        <v>4915</v>
      </c>
      <c r="G3784" s="96" t="s">
        <v>31</v>
      </c>
      <c r="H3784" s="19" t="s">
        <v>5004</v>
      </c>
      <c r="I3784" s="23" t="e">
        <f>VLOOKUP(H3784,'合同综合查询数据（3月返）'!$A:$A,1,FALSE)</f>
        <v>#N/A</v>
      </c>
      <c r="J3784" s="24" t="s">
        <v>33</v>
      </c>
      <c r="K3784" s="96" t="s">
        <v>4917</v>
      </c>
      <c r="L3784" s="114" t="s">
        <v>5005</v>
      </c>
      <c r="M3784" s="26" t="s">
        <v>4921</v>
      </c>
      <c r="N3784" s="106">
        <v>44228</v>
      </c>
      <c r="O3784" s="94" t="s">
        <v>37</v>
      </c>
      <c r="P3784" s="268">
        <v>0</v>
      </c>
      <c r="Q3784" s="273">
        <v>320</v>
      </c>
      <c r="R3784" s="268">
        <f t="shared" si="88"/>
        <v>0</v>
      </c>
      <c r="S3784" s="24">
        <v>202303</v>
      </c>
      <c r="T3784" s="127" t="s">
        <v>5006</v>
      </c>
      <c r="U3784" s="97"/>
      <c r="V3784" s="128"/>
      <c r="W3784" s="128"/>
      <c r="X3784" s="106">
        <v>44835</v>
      </c>
      <c r="Y3784" s="28">
        <v>45199</v>
      </c>
    </row>
    <row r="3785" s="9" customFormat="1" customHeight="1" spans="1:25">
      <c r="A3785" s="96" t="s">
        <v>109</v>
      </c>
      <c r="B3785" s="95" t="s">
        <v>4074</v>
      </c>
      <c r="C3785" s="94" t="s">
        <v>130</v>
      </c>
      <c r="D3785" s="94" t="s">
        <v>4178</v>
      </c>
      <c r="E3785" s="105" t="s">
        <v>4914</v>
      </c>
      <c r="F3785" s="96" t="s">
        <v>4915</v>
      </c>
      <c r="G3785" s="96" t="s">
        <v>31</v>
      </c>
      <c r="H3785" s="19" t="s">
        <v>5004</v>
      </c>
      <c r="I3785" s="23" t="e">
        <f>VLOOKUP(H3785,'合同综合查询数据（3月返）'!$A:$A,1,FALSE)</f>
        <v>#N/A</v>
      </c>
      <c r="J3785" s="24" t="s">
        <v>33</v>
      </c>
      <c r="K3785" s="96" t="s">
        <v>4917</v>
      </c>
      <c r="L3785" s="114" t="s">
        <v>5005</v>
      </c>
      <c r="M3785" s="26" t="s">
        <v>4921</v>
      </c>
      <c r="N3785" s="106"/>
      <c r="O3785" s="94" t="s">
        <v>152</v>
      </c>
      <c r="P3785" s="268">
        <v>0</v>
      </c>
      <c r="Q3785" s="273">
        <v>0</v>
      </c>
      <c r="R3785" s="268">
        <f t="shared" si="88"/>
        <v>0</v>
      </c>
      <c r="S3785" s="24">
        <v>202303</v>
      </c>
      <c r="T3785" s="127" t="s">
        <v>5007</v>
      </c>
      <c r="U3785" s="97"/>
      <c r="V3785" s="128"/>
      <c r="W3785" s="128"/>
      <c r="X3785" s="106">
        <v>44835</v>
      </c>
      <c r="Y3785" s="28">
        <v>45199</v>
      </c>
    </row>
    <row r="3786" s="9" customFormat="1" customHeight="1" spans="1:25">
      <c r="A3786" s="96" t="s">
        <v>109</v>
      </c>
      <c r="B3786" s="95" t="s">
        <v>4074</v>
      </c>
      <c r="C3786" s="94" t="s">
        <v>130</v>
      </c>
      <c r="D3786" s="94" t="s">
        <v>4178</v>
      </c>
      <c r="E3786" s="105" t="s">
        <v>4914</v>
      </c>
      <c r="F3786" s="96" t="s">
        <v>4915</v>
      </c>
      <c r="G3786" s="96" t="s">
        <v>88</v>
      </c>
      <c r="H3786" s="19" t="s">
        <v>5004</v>
      </c>
      <c r="I3786" s="23" t="e">
        <f>VLOOKUP(H3786,'合同综合查询数据（3月返）'!$A:$A,1,FALSE)</f>
        <v>#N/A</v>
      </c>
      <c r="J3786" s="24" t="s">
        <v>126</v>
      </c>
      <c r="K3786" s="96" t="s">
        <v>4917</v>
      </c>
      <c r="L3786" s="114" t="s">
        <v>5005</v>
      </c>
      <c r="M3786" s="26" t="s">
        <v>4921</v>
      </c>
      <c r="N3786" s="106">
        <v>44228</v>
      </c>
      <c r="O3786" s="94" t="s">
        <v>127</v>
      </c>
      <c r="P3786" s="268">
        <v>5000</v>
      </c>
      <c r="Q3786" s="273">
        <v>3</v>
      </c>
      <c r="R3786" s="268">
        <f t="shared" si="88"/>
        <v>15000</v>
      </c>
      <c r="S3786" s="24">
        <v>202303</v>
      </c>
      <c r="T3786" s="127" t="s">
        <v>5008</v>
      </c>
      <c r="U3786" s="97"/>
      <c r="V3786" s="128"/>
      <c r="W3786" s="128"/>
      <c r="X3786" s="106">
        <v>44835</v>
      </c>
      <c r="Y3786" s="28">
        <v>45199</v>
      </c>
    </row>
    <row r="3787" s="9" customFormat="1" customHeight="1" spans="1:25">
      <c r="A3787" s="96" t="s">
        <v>109</v>
      </c>
      <c r="B3787" s="95" t="s">
        <v>4074</v>
      </c>
      <c r="C3787" s="94" t="s">
        <v>130</v>
      </c>
      <c r="D3787" s="94" t="s">
        <v>4178</v>
      </c>
      <c r="E3787" s="105" t="s">
        <v>4914</v>
      </c>
      <c r="F3787" s="96" t="s">
        <v>4915</v>
      </c>
      <c r="G3787" s="96" t="s">
        <v>88</v>
      </c>
      <c r="H3787" s="19" t="s">
        <v>5004</v>
      </c>
      <c r="I3787" s="23" t="e">
        <f>VLOOKUP(H3787,'合同综合查询数据（3月返）'!$A:$A,1,FALSE)</f>
        <v>#N/A</v>
      </c>
      <c r="J3787" s="24" t="s">
        <v>126</v>
      </c>
      <c r="K3787" s="96" t="s">
        <v>4917</v>
      </c>
      <c r="L3787" s="114" t="s">
        <v>5005</v>
      </c>
      <c r="M3787" s="26" t="s">
        <v>4921</v>
      </c>
      <c r="N3787" s="106">
        <v>44411</v>
      </c>
      <c r="O3787" s="94" t="s">
        <v>127</v>
      </c>
      <c r="P3787" s="268">
        <v>5000</v>
      </c>
      <c r="Q3787" s="273">
        <v>1</v>
      </c>
      <c r="R3787" s="268">
        <f t="shared" si="88"/>
        <v>5000</v>
      </c>
      <c r="S3787" s="24">
        <v>202303</v>
      </c>
      <c r="T3787" s="127" t="s">
        <v>5009</v>
      </c>
      <c r="U3787" s="97"/>
      <c r="V3787" s="128"/>
      <c r="W3787" s="128"/>
      <c r="X3787" s="106">
        <v>44835</v>
      </c>
      <c r="Y3787" s="28">
        <v>45199</v>
      </c>
    </row>
    <row r="3788" s="9" customFormat="1" customHeight="1" spans="1:25">
      <c r="A3788" s="96" t="s">
        <v>109</v>
      </c>
      <c r="B3788" s="95" t="s">
        <v>4074</v>
      </c>
      <c r="C3788" s="94" t="s">
        <v>130</v>
      </c>
      <c r="D3788" s="94" t="s">
        <v>4178</v>
      </c>
      <c r="E3788" s="105" t="s">
        <v>4914</v>
      </c>
      <c r="F3788" s="96" t="s">
        <v>4915</v>
      </c>
      <c r="G3788" s="96" t="s">
        <v>88</v>
      </c>
      <c r="H3788" s="19" t="s">
        <v>5004</v>
      </c>
      <c r="I3788" s="23" t="e">
        <f>VLOOKUP(H3788,'合同综合查询数据（3月返）'!$A:$A,1,FALSE)</f>
        <v>#N/A</v>
      </c>
      <c r="J3788" s="24" t="s">
        <v>126</v>
      </c>
      <c r="K3788" s="96" t="s">
        <v>4917</v>
      </c>
      <c r="L3788" s="114" t="s">
        <v>5005</v>
      </c>
      <c r="M3788" s="26" t="s">
        <v>4921</v>
      </c>
      <c r="N3788" s="106">
        <v>44865</v>
      </c>
      <c r="O3788" s="94" t="s">
        <v>127</v>
      </c>
      <c r="P3788" s="268">
        <v>5000</v>
      </c>
      <c r="Q3788" s="273">
        <v>-1</v>
      </c>
      <c r="R3788" s="268">
        <f t="shared" si="88"/>
        <v>-5000</v>
      </c>
      <c r="S3788" s="24">
        <v>202303</v>
      </c>
      <c r="T3788" s="127" t="s">
        <v>5010</v>
      </c>
      <c r="U3788" s="97"/>
      <c r="V3788" s="128"/>
      <c r="W3788" s="128"/>
      <c r="X3788" s="106">
        <v>44835</v>
      </c>
      <c r="Y3788" s="28">
        <v>45199</v>
      </c>
    </row>
    <row r="3789" s="9" customFormat="1" customHeight="1" spans="1:25">
      <c r="A3789" s="96" t="s">
        <v>109</v>
      </c>
      <c r="B3789" s="96" t="s">
        <v>4074</v>
      </c>
      <c r="C3789" s="96" t="s">
        <v>130</v>
      </c>
      <c r="D3789" s="94" t="s">
        <v>4178</v>
      </c>
      <c r="E3789" s="105" t="s">
        <v>4914</v>
      </c>
      <c r="F3789" s="96" t="s">
        <v>4915</v>
      </c>
      <c r="G3789" s="96" t="s">
        <v>31</v>
      </c>
      <c r="H3789" s="19" t="s">
        <v>5011</v>
      </c>
      <c r="I3789" s="23" t="str">
        <f>VLOOKUP(H3789,'合同综合查询数据（3月返）'!$A:$A,1,FALSE)</f>
        <v>182315IDC00062</v>
      </c>
      <c r="J3789" s="24" t="s">
        <v>33</v>
      </c>
      <c r="K3789" s="96" t="s">
        <v>132</v>
      </c>
      <c r="L3789" s="114" t="s">
        <v>5012</v>
      </c>
      <c r="M3789" s="249" t="s">
        <v>5013</v>
      </c>
      <c r="N3789" s="311">
        <v>44201</v>
      </c>
      <c r="O3789" s="94" t="s">
        <v>37</v>
      </c>
      <c r="P3789" s="268">
        <v>0</v>
      </c>
      <c r="Q3789" s="273">
        <v>320</v>
      </c>
      <c r="R3789" s="268">
        <f t="shared" si="88"/>
        <v>0</v>
      </c>
      <c r="S3789" s="24">
        <v>202303</v>
      </c>
      <c r="T3789" s="127" t="s">
        <v>5014</v>
      </c>
      <c r="U3789" s="97"/>
      <c r="V3789" s="128"/>
      <c r="W3789" s="97"/>
      <c r="X3789" s="106">
        <v>44927</v>
      </c>
      <c r="Y3789" s="106">
        <v>45291</v>
      </c>
    </row>
    <row r="3790" s="9" customFormat="1" customHeight="1" spans="1:25">
      <c r="A3790" s="96" t="s">
        <v>109</v>
      </c>
      <c r="B3790" s="94" t="s">
        <v>4074</v>
      </c>
      <c r="C3790" s="94" t="s">
        <v>130</v>
      </c>
      <c r="D3790" s="94" t="s">
        <v>4178</v>
      </c>
      <c r="E3790" s="105" t="s">
        <v>4914</v>
      </c>
      <c r="F3790" s="96" t="s">
        <v>4915</v>
      </c>
      <c r="G3790" s="96" t="s">
        <v>31</v>
      </c>
      <c r="H3790" s="19" t="s">
        <v>5011</v>
      </c>
      <c r="I3790" s="23" t="str">
        <f>VLOOKUP(H3790,'合同综合查询数据（3月返）'!$A:$A,1,FALSE)</f>
        <v>182315IDC00062</v>
      </c>
      <c r="J3790" s="24" t="s">
        <v>33</v>
      </c>
      <c r="K3790" s="96" t="s">
        <v>132</v>
      </c>
      <c r="L3790" s="114" t="s">
        <v>5015</v>
      </c>
      <c r="M3790" s="26" t="s">
        <v>5013</v>
      </c>
      <c r="N3790" s="106">
        <v>44287</v>
      </c>
      <c r="O3790" s="94" t="s">
        <v>37</v>
      </c>
      <c r="P3790" s="268">
        <v>0</v>
      </c>
      <c r="Q3790" s="273">
        <v>320</v>
      </c>
      <c r="R3790" s="268">
        <f t="shared" si="88"/>
        <v>0</v>
      </c>
      <c r="S3790" s="24">
        <v>202303</v>
      </c>
      <c r="T3790" s="127" t="s">
        <v>5016</v>
      </c>
      <c r="U3790" s="97"/>
      <c r="V3790" s="128"/>
      <c r="W3790" s="128"/>
      <c r="X3790" s="106">
        <v>44927</v>
      </c>
      <c r="Y3790" s="106">
        <v>45291</v>
      </c>
    </row>
    <row r="3791" s="9" customFormat="1" customHeight="1" spans="1:25">
      <c r="A3791" s="96" t="s">
        <v>109</v>
      </c>
      <c r="B3791" s="96" t="s">
        <v>4074</v>
      </c>
      <c r="C3791" s="96" t="s">
        <v>130</v>
      </c>
      <c r="D3791" s="94" t="s">
        <v>4178</v>
      </c>
      <c r="E3791" s="105" t="s">
        <v>4914</v>
      </c>
      <c r="F3791" s="96" t="s">
        <v>4915</v>
      </c>
      <c r="G3791" s="96" t="s">
        <v>31</v>
      </c>
      <c r="H3791" s="19" t="s">
        <v>5011</v>
      </c>
      <c r="I3791" s="23" t="str">
        <f>VLOOKUP(H3791,'合同综合查询数据（3月返）'!$A:$A,1,FALSE)</f>
        <v>182315IDC00062</v>
      </c>
      <c r="J3791" s="24" t="s">
        <v>33</v>
      </c>
      <c r="K3791" s="96" t="s">
        <v>132</v>
      </c>
      <c r="L3791" s="114" t="s">
        <v>5017</v>
      </c>
      <c r="M3791" s="26" t="s">
        <v>5013</v>
      </c>
      <c r="N3791" s="311"/>
      <c r="O3791" s="94" t="s">
        <v>152</v>
      </c>
      <c r="P3791" s="119">
        <v>0</v>
      </c>
      <c r="Q3791" s="273">
        <v>0</v>
      </c>
      <c r="R3791" s="268">
        <f t="shared" si="88"/>
        <v>0</v>
      </c>
      <c r="S3791" s="24">
        <v>202303</v>
      </c>
      <c r="T3791" s="127" t="s">
        <v>5018</v>
      </c>
      <c r="U3791" s="97"/>
      <c r="V3791" s="128"/>
      <c r="W3791" s="97"/>
      <c r="X3791" s="106">
        <v>44927</v>
      </c>
      <c r="Y3791" s="106">
        <v>45291</v>
      </c>
    </row>
    <row r="3792" s="9" customFormat="1" customHeight="1" spans="1:25">
      <c r="A3792" s="96" t="s">
        <v>109</v>
      </c>
      <c r="B3792" s="96" t="s">
        <v>4074</v>
      </c>
      <c r="C3792" s="96" t="s">
        <v>130</v>
      </c>
      <c r="D3792" s="94" t="s">
        <v>4178</v>
      </c>
      <c r="E3792" s="105" t="s">
        <v>4914</v>
      </c>
      <c r="F3792" s="96" t="s">
        <v>4915</v>
      </c>
      <c r="G3792" s="96" t="s">
        <v>88</v>
      </c>
      <c r="H3792" s="19" t="s">
        <v>5011</v>
      </c>
      <c r="I3792" s="23" t="str">
        <f>VLOOKUP(H3792,'合同综合查询数据（3月返）'!$A:$A,1,FALSE)</f>
        <v>182315IDC00062</v>
      </c>
      <c r="J3792" s="24" t="s">
        <v>126</v>
      </c>
      <c r="K3792" s="96" t="s">
        <v>132</v>
      </c>
      <c r="L3792" s="114" t="s">
        <v>5012</v>
      </c>
      <c r="M3792" s="249" t="s">
        <v>5013</v>
      </c>
      <c r="N3792" s="311">
        <v>44201</v>
      </c>
      <c r="O3792" s="94" t="s">
        <v>127</v>
      </c>
      <c r="P3792" s="119">
        <v>5000</v>
      </c>
      <c r="Q3792" s="273">
        <v>4</v>
      </c>
      <c r="R3792" s="268">
        <f t="shared" si="88"/>
        <v>20000</v>
      </c>
      <c r="S3792" s="24">
        <v>202303</v>
      </c>
      <c r="T3792" s="127" t="s">
        <v>5019</v>
      </c>
      <c r="U3792" s="97"/>
      <c r="V3792" s="128"/>
      <c r="W3792" s="97"/>
      <c r="X3792" s="106">
        <v>44927</v>
      </c>
      <c r="Y3792" s="106">
        <v>45291</v>
      </c>
    </row>
    <row r="3793" s="9" customFormat="1" customHeight="1" spans="1:25">
      <c r="A3793" s="96" t="s">
        <v>109</v>
      </c>
      <c r="B3793" s="94" t="s">
        <v>4074</v>
      </c>
      <c r="C3793" s="94" t="s">
        <v>130</v>
      </c>
      <c r="D3793" s="94" t="s">
        <v>4178</v>
      </c>
      <c r="E3793" s="105" t="s">
        <v>4914</v>
      </c>
      <c r="F3793" s="96" t="s">
        <v>4915</v>
      </c>
      <c r="G3793" s="96" t="s">
        <v>88</v>
      </c>
      <c r="H3793" s="19" t="s">
        <v>5011</v>
      </c>
      <c r="I3793" s="23" t="str">
        <f>VLOOKUP(H3793,'合同综合查询数据（3月返）'!$A:$A,1,FALSE)</f>
        <v>182315IDC00062</v>
      </c>
      <c r="J3793" s="24" t="s">
        <v>126</v>
      </c>
      <c r="K3793" s="96" t="s">
        <v>132</v>
      </c>
      <c r="L3793" s="114" t="s">
        <v>5015</v>
      </c>
      <c r="M3793" s="26" t="s">
        <v>5013</v>
      </c>
      <c r="N3793" s="106">
        <v>44287</v>
      </c>
      <c r="O3793" s="94" t="s">
        <v>127</v>
      </c>
      <c r="P3793" s="268">
        <v>5000</v>
      </c>
      <c r="Q3793" s="273">
        <v>4</v>
      </c>
      <c r="R3793" s="268">
        <f t="shared" si="88"/>
        <v>20000</v>
      </c>
      <c r="S3793" s="24">
        <v>202303</v>
      </c>
      <c r="T3793" s="127" t="s">
        <v>5020</v>
      </c>
      <c r="U3793" s="97"/>
      <c r="V3793" s="128"/>
      <c r="W3793" s="128"/>
      <c r="X3793" s="106">
        <v>44927</v>
      </c>
      <c r="Y3793" s="106">
        <v>45291</v>
      </c>
    </row>
    <row r="3794" s="9" customFormat="1" customHeight="1" spans="1:25">
      <c r="A3794" s="96" t="s">
        <v>109</v>
      </c>
      <c r="B3794" s="94" t="s">
        <v>4074</v>
      </c>
      <c r="C3794" s="94" t="s">
        <v>130</v>
      </c>
      <c r="D3794" s="94" t="s">
        <v>4178</v>
      </c>
      <c r="E3794" s="105" t="s">
        <v>4914</v>
      </c>
      <c r="F3794" s="96" t="s">
        <v>4915</v>
      </c>
      <c r="G3794" s="96" t="s">
        <v>88</v>
      </c>
      <c r="H3794" s="19" t="s">
        <v>5011</v>
      </c>
      <c r="I3794" s="23" t="str">
        <f>VLOOKUP(H3794,'合同综合查询数据（3月返）'!$A:$A,1,FALSE)</f>
        <v>182315IDC00062</v>
      </c>
      <c r="J3794" s="24" t="s">
        <v>126</v>
      </c>
      <c r="K3794" s="96" t="s">
        <v>132</v>
      </c>
      <c r="L3794" s="114" t="s">
        <v>5012</v>
      </c>
      <c r="M3794" s="26" t="s">
        <v>5013</v>
      </c>
      <c r="N3794" s="106">
        <v>44937</v>
      </c>
      <c r="O3794" s="94" t="s">
        <v>127</v>
      </c>
      <c r="P3794" s="268">
        <v>5000</v>
      </c>
      <c r="Q3794" s="273">
        <v>1</v>
      </c>
      <c r="R3794" s="268">
        <f t="shared" si="88"/>
        <v>5000</v>
      </c>
      <c r="S3794" s="24">
        <v>202303</v>
      </c>
      <c r="T3794" s="127" t="s">
        <v>5021</v>
      </c>
      <c r="U3794" s="97"/>
      <c r="V3794" s="128"/>
      <c r="W3794" s="128"/>
      <c r="X3794" s="106">
        <v>44927</v>
      </c>
      <c r="Y3794" s="106">
        <v>45291</v>
      </c>
    </row>
    <row r="3795" s="9" customFormat="1" customHeight="1" spans="1:25">
      <c r="A3795" s="96" t="s">
        <v>109</v>
      </c>
      <c r="B3795" s="94" t="s">
        <v>4074</v>
      </c>
      <c r="C3795" s="94" t="s">
        <v>217</v>
      </c>
      <c r="D3795" s="94" t="s">
        <v>4178</v>
      </c>
      <c r="E3795" s="105" t="s">
        <v>4914</v>
      </c>
      <c r="F3795" s="96" t="s">
        <v>4915</v>
      </c>
      <c r="G3795" s="96" t="s">
        <v>31</v>
      </c>
      <c r="H3795" s="19" t="s">
        <v>5022</v>
      </c>
      <c r="I3795" s="23" t="e">
        <f>VLOOKUP(H3795,'合同综合查询数据（3月返）'!$A:$A,1,FALSE)</f>
        <v>#N/A</v>
      </c>
      <c r="J3795" s="24" t="s">
        <v>33</v>
      </c>
      <c r="K3795" s="96" t="s">
        <v>5023</v>
      </c>
      <c r="L3795" s="114" t="s">
        <v>5024</v>
      </c>
      <c r="M3795" s="26" t="s">
        <v>5025</v>
      </c>
      <c r="N3795" s="106">
        <v>44348</v>
      </c>
      <c r="O3795" s="94" t="s">
        <v>37</v>
      </c>
      <c r="P3795" s="268">
        <v>50</v>
      </c>
      <c r="Q3795" s="273">
        <v>32</v>
      </c>
      <c r="R3795" s="268">
        <f t="shared" si="88"/>
        <v>1600</v>
      </c>
      <c r="S3795" s="24">
        <v>202303</v>
      </c>
      <c r="T3795" s="127" t="s">
        <v>5026</v>
      </c>
      <c r="U3795" s="97"/>
      <c r="V3795" s="128"/>
      <c r="W3795" s="128"/>
      <c r="X3795" s="106">
        <v>44713</v>
      </c>
      <c r="Y3795" s="106">
        <v>45016</v>
      </c>
    </row>
    <row r="3796" s="9" customFormat="1" customHeight="1" spans="1:25">
      <c r="A3796" s="96" t="s">
        <v>109</v>
      </c>
      <c r="B3796" s="94" t="s">
        <v>4074</v>
      </c>
      <c r="C3796" s="94" t="s">
        <v>217</v>
      </c>
      <c r="D3796" s="94" t="s">
        <v>4178</v>
      </c>
      <c r="E3796" s="105" t="s">
        <v>4914</v>
      </c>
      <c r="F3796" s="96" t="s">
        <v>4915</v>
      </c>
      <c r="G3796" s="96" t="s">
        <v>31</v>
      </c>
      <c r="H3796" s="19" t="s">
        <v>5022</v>
      </c>
      <c r="I3796" s="23" t="e">
        <f>VLOOKUP(H3796,'合同综合查询数据（3月返）'!$A:$A,1,FALSE)</f>
        <v>#N/A</v>
      </c>
      <c r="J3796" s="24" t="s">
        <v>33</v>
      </c>
      <c r="K3796" s="96" t="s">
        <v>5023</v>
      </c>
      <c r="L3796" s="114" t="s">
        <v>5024</v>
      </c>
      <c r="M3796" s="26" t="s">
        <v>5025</v>
      </c>
      <c r="N3796" s="106">
        <v>44348</v>
      </c>
      <c r="O3796" s="94" t="s">
        <v>37</v>
      </c>
      <c r="P3796" s="268">
        <v>0</v>
      </c>
      <c r="Q3796" s="273">
        <v>256</v>
      </c>
      <c r="R3796" s="268">
        <f t="shared" si="88"/>
        <v>0</v>
      </c>
      <c r="S3796" s="24">
        <v>202303</v>
      </c>
      <c r="T3796" s="127" t="s">
        <v>5027</v>
      </c>
      <c r="U3796" s="97"/>
      <c r="V3796" s="128"/>
      <c r="W3796" s="128"/>
      <c r="X3796" s="106">
        <v>44713</v>
      </c>
      <c r="Y3796" s="106">
        <v>45016</v>
      </c>
    </row>
    <row r="3797" s="9" customFormat="1" customHeight="1" spans="1:25">
      <c r="A3797" s="96" t="s">
        <v>109</v>
      </c>
      <c r="B3797" s="94" t="s">
        <v>4074</v>
      </c>
      <c r="C3797" s="94" t="s">
        <v>217</v>
      </c>
      <c r="D3797" s="94" t="s">
        <v>4178</v>
      </c>
      <c r="E3797" s="105" t="s">
        <v>4914</v>
      </c>
      <c r="F3797" s="96" t="s">
        <v>4915</v>
      </c>
      <c r="G3797" s="96" t="s">
        <v>31</v>
      </c>
      <c r="H3797" s="19" t="s">
        <v>5022</v>
      </c>
      <c r="I3797" s="23" t="e">
        <f>VLOOKUP(H3797,'合同综合查询数据（3月返）'!$A:$A,1,FALSE)</f>
        <v>#N/A</v>
      </c>
      <c r="J3797" s="24" t="s">
        <v>33</v>
      </c>
      <c r="K3797" s="96" t="s">
        <v>5023</v>
      </c>
      <c r="L3797" s="114" t="s">
        <v>5024</v>
      </c>
      <c r="M3797" s="26" t="s">
        <v>5025</v>
      </c>
      <c r="N3797" s="106">
        <v>44904</v>
      </c>
      <c r="O3797" s="94" t="s">
        <v>37</v>
      </c>
      <c r="P3797" s="268">
        <v>50</v>
      </c>
      <c r="Q3797" s="273">
        <v>-32</v>
      </c>
      <c r="R3797" s="268">
        <f t="shared" si="88"/>
        <v>-1600</v>
      </c>
      <c r="S3797" s="24">
        <v>202303</v>
      </c>
      <c r="T3797" s="127" t="s">
        <v>5028</v>
      </c>
      <c r="U3797" s="97"/>
      <c r="V3797" s="128"/>
      <c r="W3797" s="128"/>
      <c r="X3797" s="106">
        <v>44713</v>
      </c>
      <c r="Y3797" s="106">
        <v>45016</v>
      </c>
    </row>
    <row r="3798" s="9" customFormat="1" customHeight="1" spans="1:25">
      <c r="A3798" s="96" t="s">
        <v>109</v>
      </c>
      <c r="B3798" s="94" t="s">
        <v>4074</v>
      </c>
      <c r="C3798" s="94" t="s">
        <v>217</v>
      </c>
      <c r="D3798" s="94" t="s">
        <v>4178</v>
      </c>
      <c r="E3798" s="105" t="s">
        <v>4914</v>
      </c>
      <c r="F3798" s="96" t="s">
        <v>4915</v>
      </c>
      <c r="G3798" s="96" t="s">
        <v>31</v>
      </c>
      <c r="H3798" s="19" t="s">
        <v>5022</v>
      </c>
      <c r="I3798" s="23" t="e">
        <f>VLOOKUP(H3798,'合同综合查询数据（3月返）'!$A:$A,1,FALSE)</f>
        <v>#N/A</v>
      </c>
      <c r="J3798" s="24" t="s">
        <v>33</v>
      </c>
      <c r="K3798" s="96" t="s">
        <v>5023</v>
      </c>
      <c r="L3798" s="114" t="s">
        <v>5024</v>
      </c>
      <c r="M3798" s="26" t="s">
        <v>5025</v>
      </c>
      <c r="N3798" s="106">
        <v>44904</v>
      </c>
      <c r="O3798" s="94" t="s">
        <v>37</v>
      </c>
      <c r="P3798" s="268">
        <v>0</v>
      </c>
      <c r="Q3798" s="273">
        <v>-96</v>
      </c>
      <c r="R3798" s="268">
        <f t="shared" si="88"/>
        <v>0</v>
      </c>
      <c r="S3798" s="24">
        <v>202303</v>
      </c>
      <c r="T3798" s="127"/>
      <c r="U3798" s="97"/>
      <c r="V3798" s="128"/>
      <c r="W3798" s="128"/>
      <c r="X3798" s="106">
        <v>44713</v>
      </c>
      <c r="Y3798" s="106">
        <v>45016</v>
      </c>
    </row>
    <row r="3799" s="9" customFormat="1" customHeight="1" spans="1:25">
      <c r="A3799" s="96" t="s">
        <v>109</v>
      </c>
      <c r="B3799" s="94" t="s">
        <v>4074</v>
      </c>
      <c r="C3799" s="94" t="s">
        <v>217</v>
      </c>
      <c r="D3799" s="94" t="s">
        <v>4178</v>
      </c>
      <c r="E3799" s="105" t="s">
        <v>4914</v>
      </c>
      <c r="F3799" s="96" t="s">
        <v>4915</v>
      </c>
      <c r="G3799" s="96" t="s">
        <v>31</v>
      </c>
      <c r="H3799" s="19" t="s">
        <v>5022</v>
      </c>
      <c r="I3799" s="23" t="e">
        <f>VLOOKUP(H3799,'合同综合查询数据（3月返）'!$A:$A,1,FALSE)</f>
        <v>#N/A</v>
      </c>
      <c r="J3799" s="24" t="s">
        <v>33</v>
      </c>
      <c r="K3799" s="96" t="s">
        <v>5023</v>
      </c>
      <c r="L3799" s="114" t="s">
        <v>5024</v>
      </c>
      <c r="M3799" s="26" t="s">
        <v>5025</v>
      </c>
      <c r="N3799" s="106"/>
      <c r="O3799" s="94" t="s">
        <v>152</v>
      </c>
      <c r="P3799" s="268">
        <v>0</v>
      </c>
      <c r="Q3799" s="273">
        <v>0</v>
      </c>
      <c r="R3799" s="268">
        <f t="shared" si="88"/>
        <v>0</v>
      </c>
      <c r="S3799" s="24">
        <v>202303</v>
      </c>
      <c r="T3799" s="127" t="s">
        <v>5029</v>
      </c>
      <c r="U3799" s="97"/>
      <c r="V3799" s="128"/>
      <c r="W3799" s="128"/>
      <c r="X3799" s="106">
        <v>44713</v>
      </c>
      <c r="Y3799" s="106">
        <v>45016</v>
      </c>
    </row>
    <row r="3800" s="9" customFormat="1" customHeight="1" spans="1:25">
      <c r="A3800" s="96" t="s">
        <v>109</v>
      </c>
      <c r="B3800" s="94" t="s">
        <v>4074</v>
      </c>
      <c r="C3800" s="94" t="s">
        <v>217</v>
      </c>
      <c r="D3800" s="94" t="s">
        <v>4178</v>
      </c>
      <c r="E3800" s="105" t="s">
        <v>4914</v>
      </c>
      <c r="F3800" s="96" t="s">
        <v>4915</v>
      </c>
      <c r="G3800" s="96" t="s">
        <v>88</v>
      </c>
      <c r="H3800" s="19" t="s">
        <v>5022</v>
      </c>
      <c r="I3800" s="23" t="e">
        <f>VLOOKUP(H3800,'合同综合查询数据（3月返）'!$A:$A,1,FALSE)</f>
        <v>#N/A</v>
      </c>
      <c r="J3800" s="24" t="s">
        <v>126</v>
      </c>
      <c r="K3800" s="96" t="s">
        <v>5023</v>
      </c>
      <c r="L3800" s="114" t="s">
        <v>5024</v>
      </c>
      <c r="M3800" s="26" t="s">
        <v>5025</v>
      </c>
      <c r="N3800" s="106">
        <v>44348</v>
      </c>
      <c r="O3800" s="94" t="s">
        <v>92</v>
      </c>
      <c r="P3800" s="268">
        <v>5000</v>
      </c>
      <c r="Q3800" s="273">
        <v>6</v>
      </c>
      <c r="R3800" s="268">
        <f t="shared" si="88"/>
        <v>30000</v>
      </c>
      <c r="S3800" s="24">
        <v>202303</v>
      </c>
      <c r="T3800" s="127" t="s">
        <v>5030</v>
      </c>
      <c r="U3800" s="97"/>
      <c r="V3800" s="128"/>
      <c r="W3800" s="128"/>
      <c r="X3800" s="106">
        <v>44713</v>
      </c>
      <c r="Y3800" s="106">
        <v>45016</v>
      </c>
    </row>
    <row r="3801" s="9" customFormat="1" customHeight="1" spans="1:25">
      <c r="A3801" s="96" t="s">
        <v>109</v>
      </c>
      <c r="B3801" s="94" t="s">
        <v>4074</v>
      </c>
      <c r="C3801" s="96" t="s">
        <v>130</v>
      </c>
      <c r="D3801" s="94" t="s">
        <v>4178</v>
      </c>
      <c r="E3801" s="105" t="s">
        <v>4914</v>
      </c>
      <c r="F3801" s="96" t="s">
        <v>4915</v>
      </c>
      <c r="G3801" s="96" t="s">
        <v>31</v>
      </c>
      <c r="H3801" s="19" t="s">
        <v>5031</v>
      </c>
      <c r="I3801" s="23" t="str">
        <f>VLOOKUP(H3801,'合同综合查询数据（3月返）'!$A:$A,1,FALSE)</f>
        <v>182315IDC00047</v>
      </c>
      <c r="J3801" s="24" t="s">
        <v>33</v>
      </c>
      <c r="K3801" s="96" t="s">
        <v>2901</v>
      </c>
      <c r="L3801" s="281" t="s">
        <v>5032</v>
      </c>
      <c r="M3801" s="26" t="s">
        <v>5033</v>
      </c>
      <c r="N3801" s="311">
        <v>44591</v>
      </c>
      <c r="O3801" s="311" t="s">
        <v>37</v>
      </c>
      <c r="P3801" s="268">
        <v>0</v>
      </c>
      <c r="Q3801" s="273">
        <v>320</v>
      </c>
      <c r="R3801" s="268">
        <f t="shared" si="88"/>
        <v>0</v>
      </c>
      <c r="S3801" s="24">
        <v>202303</v>
      </c>
      <c r="T3801" s="127" t="s">
        <v>5034</v>
      </c>
      <c r="U3801" s="97"/>
      <c r="V3801" s="128"/>
      <c r="W3801" s="128"/>
      <c r="X3801" s="106">
        <v>44958</v>
      </c>
      <c r="Y3801" s="106">
        <v>45322</v>
      </c>
    </row>
    <row r="3802" s="9" customFormat="1" customHeight="1" spans="1:25">
      <c r="A3802" s="96" t="s">
        <v>109</v>
      </c>
      <c r="B3802" s="94" t="s">
        <v>4074</v>
      </c>
      <c r="C3802" s="96" t="s">
        <v>130</v>
      </c>
      <c r="D3802" s="94" t="s">
        <v>4178</v>
      </c>
      <c r="E3802" s="105" t="s">
        <v>4914</v>
      </c>
      <c r="F3802" s="96" t="s">
        <v>4915</v>
      </c>
      <c r="G3802" s="96" t="s">
        <v>31</v>
      </c>
      <c r="H3802" s="19" t="s">
        <v>5031</v>
      </c>
      <c r="I3802" s="23" t="str">
        <f>VLOOKUP(H3802,'合同综合查询数据（3月返）'!$A:$A,1,FALSE)</f>
        <v>182315IDC00047</v>
      </c>
      <c r="J3802" s="24" t="s">
        <v>33</v>
      </c>
      <c r="K3802" s="96" t="s">
        <v>2901</v>
      </c>
      <c r="L3802" s="281" t="s">
        <v>5032</v>
      </c>
      <c r="M3802" s="26" t="s">
        <v>5033</v>
      </c>
      <c r="N3802" s="311"/>
      <c r="O3802" s="311" t="s">
        <v>152</v>
      </c>
      <c r="P3802" s="268">
        <v>0</v>
      </c>
      <c r="Q3802" s="268">
        <v>0</v>
      </c>
      <c r="R3802" s="268">
        <f t="shared" si="88"/>
        <v>0</v>
      </c>
      <c r="S3802" s="24">
        <v>202303</v>
      </c>
      <c r="T3802" s="127" t="s">
        <v>5035</v>
      </c>
      <c r="U3802" s="97"/>
      <c r="V3802" s="128"/>
      <c r="W3802" s="128"/>
      <c r="X3802" s="106">
        <v>44958</v>
      </c>
      <c r="Y3802" s="106">
        <v>45322</v>
      </c>
    </row>
    <row r="3803" s="9" customFormat="1" customHeight="1" spans="1:25">
      <c r="A3803" s="96" t="s">
        <v>109</v>
      </c>
      <c r="B3803" s="94" t="s">
        <v>4074</v>
      </c>
      <c r="C3803" s="96" t="s">
        <v>130</v>
      </c>
      <c r="D3803" s="94" t="s">
        <v>4178</v>
      </c>
      <c r="E3803" s="105" t="s">
        <v>4914</v>
      </c>
      <c r="F3803" s="96" t="s">
        <v>4915</v>
      </c>
      <c r="G3803" s="96" t="s">
        <v>88</v>
      </c>
      <c r="H3803" s="19" t="s">
        <v>5031</v>
      </c>
      <c r="I3803" s="23" t="str">
        <f>VLOOKUP(H3803,'合同综合查询数据（3月返）'!$A:$A,1,FALSE)</f>
        <v>182315IDC00047</v>
      </c>
      <c r="J3803" s="24" t="s">
        <v>126</v>
      </c>
      <c r="K3803" s="96" t="s">
        <v>2901</v>
      </c>
      <c r="L3803" s="281" t="s">
        <v>5032</v>
      </c>
      <c r="M3803" s="26" t="s">
        <v>5033</v>
      </c>
      <c r="N3803" s="311">
        <v>44591</v>
      </c>
      <c r="O3803" s="311" t="s">
        <v>92</v>
      </c>
      <c r="P3803" s="268">
        <v>5000</v>
      </c>
      <c r="Q3803" s="273">
        <v>4</v>
      </c>
      <c r="R3803" s="268">
        <f t="shared" si="88"/>
        <v>20000</v>
      </c>
      <c r="S3803" s="24">
        <v>202303</v>
      </c>
      <c r="T3803" s="127" t="s">
        <v>5036</v>
      </c>
      <c r="U3803" s="97"/>
      <c r="V3803" s="128"/>
      <c r="W3803" s="128"/>
      <c r="X3803" s="106">
        <v>44958</v>
      </c>
      <c r="Y3803" s="106">
        <v>45322</v>
      </c>
    </row>
    <row r="3804" s="9" customFormat="1" customHeight="1" spans="1:25">
      <c r="A3804" s="96" t="s">
        <v>109</v>
      </c>
      <c r="B3804" s="94" t="s">
        <v>4074</v>
      </c>
      <c r="C3804" s="96" t="s">
        <v>130</v>
      </c>
      <c r="D3804" s="94" t="s">
        <v>4178</v>
      </c>
      <c r="E3804" s="105" t="s">
        <v>4914</v>
      </c>
      <c r="F3804" s="96" t="s">
        <v>4915</v>
      </c>
      <c r="G3804" s="96" t="s">
        <v>31</v>
      </c>
      <c r="H3804" s="19" t="s">
        <v>5037</v>
      </c>
      <c r="I3804" s="23" t="str">
        <f>VLOOKUP(H3804,'合同综合查询数据（3月返）'!$A:$A,1,FALSE)</f>
        <v>182315IDC00056</v>
      </c>
      <c r="J3804" s="24" t="s">
        <v>33</v>
      </c>
      <c r="K3804" s="96" t="s">
        <v>132</v>
      </c>
      <c r="L3804" s="281" t="s">
        <v>5038</v>
      </c>
      <c r="M3804" s="26" t="s">
        <v>5039</v>
      </c>
      <c r="N3804" s="311">
        <v>44591</v>
      </c>
      <c r="O3804" s="311" t="s">
        <v>37</v>
      </c>
      <c r="P3804" s="268">
        <v>0</v>
      </c>
      <c r="Q3804" s="273">
        <v>320</v>
      </c>
      <c r="R3804" s="268">
        <f t="shared" si="88"/>
        <v>0</v>
      </c>
      <c r="S3804" s="24">
        <v>202303</v>
      </c>
      <c r="T3804" s="127" t="s">
        <v>5040</v>
      </c>
      <c r="U3804" s="97"/>
      <c r="V3804" s="128"/>
      <c r="W3804" s="128"/>
      <c r="X3804" s="106">
        <v>44927</v>
      </c>
      <c r="Y3804" s="106">
        <v>45291</v>
      </c>
    </row>
    <row r="3805" s="9" customFormat="1" customHeight="1" spans="1:25">
      <c r="A3805" s="96" t="s">
        <v>109</v>
      </c>
      <c r="B3805" s="94" t="s">
        <v>4074</v>
      </c>
      <c r="C3805" s="96" t="s">
        <v>130</v>
      </c>
      <c r="D3805" s="94" t="s">
        <v>4178</v>
      </c>
      <c r="E3805" s="105" t="s">
        <v>4914</v>
      </c>
      <c r="F3805" s="96" t="s">
        <v>4915</v>
      </c>
      <c r="G3805" s="96" t="s">
        <v>31</v>
      </c>
      <c r="H3805" s="19" t="s">
        <v>5037</v>
      </c>
      <c r="I3805" s="23" t="str">
        <f>VLOOKUP(H3805,'合同综合查询数据（3月返）'!$A:$A,1,FALSE)</f>
        <v>182315IDC00056</v>
      </c>
      <c r="J3805" s="24" t="s">
        <v>33</v>
      </c>
      <c r="K3805" s="96" t="s">
        <v>132</v>
      </c>
      <c r="L3805" s="281" t="s">
        <v>5038</v>
      </c>
      <c r="M3805" s="26" t="s">
        <v>5039</v>
      </c>
      <c r="N3805" s="311"/>
      <c r="O3805" s="94" t="s">
        <v>152</v>
      </c>
      <c r="P3805" s="268">
        <v>0</v>
      </c>
      <c r="Q3805" s="268">
        <v>0</v>
      </c>
      <c r="R3805" s="268">
        <f t="shared" si="88"/>
        <v>0</v>
      </c>
      <c r="S3805" s="24">
        <v>202303</v>
      </c>
      <c r="T3805" s="127" t="s">
        <v>5035</v>
      </c>
      <c r="U3805" s="97"/>
      <c r="V3805" s="128"/>
      <c r="W3805" s="128"/>
      <c r="X3805" s="106">
        <v>44927</v>
      </c>
      <c r="Y3805" s="106">
        <v>45291</v>
      </c>
    </row>
    <row r="3806" s="9" customFormat="1" customHeight="1" spans="1:25">
      <c r="A3806" s="96" t="s">
        <v>109</v>
      </c>
      <c r="B3806" s="94" t="s">
        <v>4074</v>
      </c>
      <c r="C3806" s="96" t="s">
        <v>130</v>
      </c>
      <c r="D3806" s="94" t="s">
        <v>4178</v>
      </c>
      <c r="E3806" s="105" t="s">
        <v>4914</v>
      </c>
      <c r="F3806" s="96" t="s">
        <v>4915</v>
      </c>
      <c r="G3806" s="96" t="s">
        <v>88</v>
      </c>
      <c r="H3806" s="19" t="s">
        <v>5037</v>
      </c>
      <c r="I3806" s="23" t="str">
        <f>VLOOKUP(H3806,'合同综合查询数据（3月返）'!$A:$A,1,FALSE)</f>
        <v>182315IDC00056</v>
      </c>
      <c r="J3806" s="24" t="s">
        <v>126</v>
      </c>
      <c r="K3806" s="96" t="s">
        <v>132</v>
      </c>
      <c r="L3806" s="281" t="s">
        <v>5038</v>
      </c>
      <c r="M3806" s="26" t="s">
        <v>5039</v>
      </c>
      <c r="N3806" s="311">
        <v>44591</v>
      </c>
      <c r="O3806" s="311" t="s">
        <v>127</v>
      </c>
      <c r="P3806" s="268">
        <v>5000</v>
      </c>
      <c r="Q3806" s="273">
        <v>3</v>
      </c>
      <c r="R3806" s="268">
        <f t="shared" si="88"/>
        <v>15000</v>
      </c>
      <c r="S3806" s="24">
        <v>202303</v>
      </c>
      <c r="T3806" s="127" t="s">
        <v>5041</v>
      </c>
      <c r="U3806" s="97"/>
      <c r="V3806" s="128"/>
      <c r="W3806" s="128"/>
      <c r="X3806" s="106">
        <v>44927</v>
      </c>
      <c r="Y3806" s="106">
        <v>45291</v>
      </c>
    </row>
    <row r="3807" s="9" customFormat="1" customHeight="1" spans="1:25">
      <c r="A3807" s="96" t="s">
        <v>129</v>
      </c>
      <c r="B3807" s="94" t="s">
        <v>4074</v>
      </c>
      <c r="C3807" s="94" t="s">
        <v>130</v>
      </c>
      <c r="D3807" s="94" t="s">
        <v>4178</v>
      </c>
      <c r="E3807" s="23" t="s">
        <v>4914</v>
      </c>
      <c r="F3807" s="94" t="s">
        <v>4915</v>
      </c>
      <c r="G3807" s="96" t="s">
        <v>31</v>
      </c>
      <c r="H3807" s="97" t="s">
        <v>5042</v>
      </c>
      <c r="I3807" s="23" t="e">
        <f>VLOOKUP(H3807,'合同综合查询数据（3月返）'!$A:$A,1,FALSE)</f>
        <v>#N/A</v>
      </c>
      <c r="J3807" s="24" t="s">
        <v>33</v>
      </c>
      <c r="K3807" s="94" t="s">
        <v>2901</v>
      </c>
      <c r="L3807" s="94" t="s">
        <v>5043</v>
      </c>
      <c r="M3807" s="94" t="s">
        <v>5044</v>
      </c>
      <c r="N3807" s="106">
        <v>44593</v>
      </c>
      <c r="O3807" s="94" t="s">
        <v>37</v>
      </c>
      <c r="P3807" s="297">
        <v>0</v>
      </c>
      <c r="Q3807" s="297">
        <v>480</v>
      </c>
      <c r="R3807" s="297">
        <f t="shared" si="88"/>
        <v>0</v>
      </c>
      <c r="S3807" s="24">
        <v>202303</v>
      </c>
      <c r="T3807" s="23" t="s">
        <v>5045</v>
      </c>
      <c r="U3807" s="94"/>
      <c r="V3807" s="321"/>
      <c r="W3807" s="94"/>
      <c r="X3807" s="106">
        <v>44652</v>
      </c>
      <c r="Y3807" s="106">
        <v>45016</v>
      </c>
    </row>
    <row r="3808" s="9" customFormat="1" customHeight="1" spans="1:25">
      <c r="A3808" s="96" t="s">
        <v>129</v>
      </c>
      <c r="B3808" s="94" t="s">
        <v>4074</v>
      </c>
      <c r="C3808" s="94" t="s">
        <v>130</v>
      </c>
      <c r="D3808" s="94" t="s">
        <v>4178</v>
      </c>
      <c r="E3808" s="23" t="s">
        <v>4914</v>
      </c>
      <c r="F3808" s="94" t="s">
        <v>4915</v>
      </c>
      <c r="G3808" s="96" t="s">
        <v>31</v>
      </c>
      <c r="H3808" s="97" t="s">
        <v>5042</v>
      </c>
      <c r="I3808" s="23" t="e">
        <f>VLOOKUP(H3808,'合同综合查询数据（3月返）'!$A:$A,1,FALSE)</f>
        <v>#N/A</v>
      </c>
      <c r="J3808" s="24" t="s">
        <v>33</v>
      </c>
      <c r="K3808" s="94" t="s">
        <v>2901</v>
      </c>
      <c r="L3808" s="94" t="s">
        <v>5046</v>
      </c>
      <c r="M3808" s="94" t="s">
        <v>5044</v>
      </c>
      <c r="N3808" s="106"/>
      <c r="O3808" s="94" t="s">
        <v>152</v>
      </c>
      <c r="P3808" s="268">
        <v>0</v>
      </c>
      <c r="Q3808" s="273">
        <v>0</v>
      </c>
      <c r="R3808" s="268">
        <f t="shared" si="88"/>
        <v>0</v>
      </c>
      <c r="S3808" s="24">
        <v>202303</v>
      </c>
      <c r="T3808" s="23" t="s">
        <v>5035</v>
      </c>
      <c r="U3808" s="94"/>
      <c r="V3808" s="321"/>
      <c r="W3808" s="94"/>
      <c r="X3808" s="106">
        <v>44652</v>
      </c>
      <c r="Y3808" s="106">
        <v>45016</v>
      </c>
    </row>
    <row r="3809" s="9" customFormat="1" customHeight="1" spans="1:25">
      <c r="A3809" s="96" t="s">
        <v>129</v>
      </c>
      <c r="B3809" s="94" t="s">
        <v>4074</v>
      </c>
      <c r="C3809" s="94" t="s">
        <v>130</v>
      </c>
      <c r="D3809" s="94" t="s">
        <v>4178</v>
      </c>
      <c r="E3809" s="23" t="s">
        <v>4914</v>
      </c>
      <c r="F3809" s="94" t="s">
        <v>4915</v>
      </c>
      <c r="G3809" s="96" t="s">
        <v>88</v>
      </c>
      <c r="H3809" s="97" t="s">
        <v>5042</v>
      </c>
      <c r="I3809" s="23" t="e">
        <f>VLOOKUP(H3809,'合同综合查询数据（3月返）'!$A:$A,1,FALSE)</f>
        <v>#N/A</v>
      </c>
      <c r="J3809" s="24" t="s">
        <v>126</v>
      </c>
      <c r="K3809" s="94" t="s">
        <v>2901</v>
      </c>
      <c r="L3809" s="94" t="s">
        <v>5043</v>
      </c>
      <c r="M3809" s="94" t="s">
        <v>5044</v>
      </c>
      <c r="N3809" s="106">
        <v>44593</v>
      </c>
      <c r="O3809" s="94" t="s">
        <v>127</v>
      </c>
      <c r="P3809" s="297">
        <v>4000</v>
      </c>
      <c r="Q3809" s="297">
        <v>5</v>
      </c>
      <c r="R3809" s="297">
        <f t="shared" si="88"/>
        <v>20000</v>
      </c>
      <c r="S3809" s="24">
        <v>202303</v>
      </c>
      <c r="T3809" s="23" t="s">
        <v>5047</v>
      </c>
      <c r="U3809" s="94"/>
      <c r="V3809" s="321"/>
      <c r="W3809" s="94"/>
      <c r="X3809" s="106">
        <v>44652</v>
      </c>
      <c r="Y3809" s="106">
        <v>45016</v>
      </c>
    </row>
    <row r="3810" s="9" customFormat="1" customHeight="1" spans="1:25">
      <c r="A3810" s="96" t="s">
        <v>129</v>
      </c>
      <c r="B3810" s="94" t="s">
        <v>4074</v>
      </c>
      <c r="C3810" s="94" t="s">
        <v>130</v>
      </c>
      <c r="D3810" s="94" t="s">
        <v>4178</v>
      </c>
      <c r="E3810" s="23" t="s">
        <v>4914</v>
      </c>
      <c r="F3810" s="94" t="s">
        <v>4915</v>
      </c>
      <c r="G3810" s="96" t="s">
        <v>88</v>
      </c>
      <c r="H3810" s="97" t="s">
        <v>5042</v>
      </c>
      <c r="I3810" s="23" t="e">
        <f>VLOOKUP(H3810,'合同综合查询数据（3月返）'!$A:$A,1,FALSE)</f>
        <v>#N/A</v>
      </c>
      <c r="J3810" s="24" t="s">
        <v>126</v>
      </c>
      <c r="K3810" s="94" t="s">
        <v>2901</v>
      </c>
      <c r="L3810" s="94" t="s">
        <v>5043</v>
      </c>
      <c r="M3810" s="94" t="s">
        <v>5044</v>
      </c>
      <c r="N3810" s="106">
        <v>44681</v>
      </c>
      <c r="O3810" s="94" t="s">
        <v>127</v>
      </c>
      <c r="P3810" s="297">
        <v>4000</v>
      </c>
      <c r="Q3810" s="297">
        <v>-1</v>
      </c>
      <c r="R3810" s="297">
        <f t="shared" si="88"/>
        <v>-4000</v>
      </c>
      <c r="S3810" s="24">
        <v>202303</v>
      </c>
      <c r="T3810" s="23" t="s">
        <v>5048</v>
      </c>
      <c r="U3810" s="94"/>
      <c r="V3810" s="321"/>
      <c r="W3810" s="94"/>
      <c r="X3810" s="106">
        <v>44652</v>
      </c>
      <c r="Y3810" s="106">
        <v>45016</v>
      </c>
    </row>
    <row r="3811" s="9" customFormat="1" customHeight="1" spans="1:25">
      <c r="A3811" s="96" t="s">
        <v>109</v>
      </c>
      <c r="B3811" s="94" t="s">
        <v>4074</v>
      </c>
      <c r="C3811" s="96" t="s">
        <v>130</v>
      </c>
      <c r="D3811" s="94" t="s">
        <v>4178</v>
      </c>
      <c r="E3811" s="105" t="s">
        <v>4914</v>
      </c>
      <c r="F3811" s="96" t="s">
        <v>4915</v>
      </c>
      <c r="G3811" s="96" t="s">
        <v>31</v>
      </c>
      <c r="H3811" s="97" t="s">
        <v>5049</v>
      </c>
      <c r="I3811" s="23" t="e">
        <f>VLOOKUP(H3811,'合同综合查询数据（3月返）'!$A:$A,1,FALSE)</f>
        <v>#N/A</v>
      </c>
      <c r="J3811" s="24" t="s">
        <v>33</v>
      </c>
      <c r="K3811" s="94" t="s">
        <v>5050</v>
      </c>
      <c r="L3811" s="94" t="s">
        <v>5051</v>
      </c>
      <c r="M3811" s="94" t="s">
        <v>5052</v>
      </c>
      <c r="N3811" s="106">
        <v>44835</v>
      </c>
      <c r="O3811" s="94" t="s">
        <v>37</v>
      </c>
      <c r="P3811" s="297">
        <v>0</v>
      </c>
      <c r="Q3811" s="297">
        <v>288</v>
      </c>
      <c r="R3811" s="297">
        <f t="shared" si="88"/>
        <v>0</v>
      </c>
      <c r="S3811" s="24">
        <v>202303</v>
      </c>
      <c r="T3811" s="23" t="s">
        <v>5053</v>
      </c>
      <c r="U3811" s="94"/>
      <c r="V3811" s="321"/>
      <c r="W3811" s="94"/>
      <c r="X3811" s="106">
        <v>44835</v>
      </c>
      <c r="Y3811" s="28">
        <v>45199</v>
      </c>
    </row>
    <row r="3812" s="9" customFormat="1" customHeight="1" spans="1:25">
      <c r="A3812" s="96" t="s">
        <v>109</v>
      </c>
      <c r="B3812" s="94" t="s">
        <v>4074</v>
      </c>
      <c r="C3812" s="96" t="s">
        <v>130</v>
      </c>
      <c r="D3812" s="94" t="s">
        <v>4178</v>
      </c>
      <c r="E3812" s="105" t="s">
        <v>4914</v>
      </c>
      <c r="F3812" s="96" t="s">
        <v>4915</v>
      </c>
      <c r="G3812" s="96" t="s">
        <v>88</v>
      </c>
      <c r="H3812" s="97" t="s">
        <v>5049</v>
      </c>
      <c r="I3812" s="23" t="e">
        <f>VLOOKUP(H3812,'合同综合查询数据（3月返）'!$A:$A,1,FALSE)</f>
        <v>#N/A</v>
      </c>
      <c r="J3812" s="24" t="s">
        <v>126</v>
      </c>
      <c r="K3812" s="94" t="s">
        <v>5050</v>
      </c>
      <c r="L3812" s="94" t="s">
        <v>5051</v>
      </c>
      <c r="M3812" s="94" t="s">
        <v>5052</v>
      </c>
      <c r="N3812" s="106">
        <v>44835</v>
      </c>
      <c r="O3812" s="94" t="s">
        <v>92</v>
      </c>
      <c r="P3812" s="297">
        <v>5000</v>
      </c>
      <c r="Q3812" s="297">
        <v>3</v>
      </c>
      <c r="R3812" s="297">
        <f t="shared" si="88"/>
        <v>15000</v>
      </c>
      <c r="S3812" s="24">
        <v>202303</v>
      </c>
      <c r="T3812" s="23" t="s">
        <v>5054</v>
      </c>
      <c r="U3812" s="94"/>
      <c r="V3812" s="321"/>
      <c r="W3812" s="94"/>
      <c r="X3812" s="106">
        <v>44835</v>
      </c>
      <c r="Y3812" s="28">
        <v>45199</v>
      </c>
    </row>
    <row r="3813" s="9" customFormat="1" customHeight="1" spans="1:25">
      <c r="A3813" s="96" t="s">
        <v>109</v>
      </c>
      <c r="B3813" s="96" t="s">
        <v>4074</v>
      </c>
      <c r="C3813" s="96" t="s">
        <v>217</v>
      </c>
      <c r="D3813" s="94" t="s">
        <v>4178</v>
      </c>
      <c r="E3813" s="105" t="s">
        <v>5055</v>
      </c>
      <c r="F3813" s="96" t="s">
        <v>5056</v>
      </c>
      <c r="G3813" s="96" t="s">
        <v>31</v>
      </c>
      <c r="H3813" s="19" t="s">
        <v>5057</v>
      </c>
      <c r="I3813" s="23" t="str">
        <f>VLOOKUP(H3813,'合同综合查询数据（3月返）'!$A:$A,1,FALSE)</f>
        <v>182315IDC00054</v>
      </c>
      <c r="J3813" s="24" t="s">
        <v>33</v>
      </c>
      <c r="K3813" s="96" t="s">
        <v>4518</v>
      </c>
      <c r="L3813" s="114" t="s">
        <v>5058</v>
      </c>
      <c r="M3813" s="26" t="s">
        <v>5059</v>
      </c>
      <c r="N3813" s="311">
        <v>43306</v>
      </c>
      <c r="O3813" s="311" t="s">
        <v>37</v>
      </c>
      <c r="P3813" s="268">
        <v>0</v>
      </c>
      <c r="Q3813" s="273">
        <v>288</v>
      </c>
      <c r="R3813" s="268">
        <f t="shared" si="88"/>
        <v>0</v>
      </c>
      <c r="S3813" s="24">
        <v>202303</v>
      </c>
      <c r="T3813" s="127" t="s">
        <v>5060</v>
      </c>
      <c r="U3813" s="40"/>
      <c r="V3813" s="40"/>
      <c r="W3813" s="40"/>
      <c r="X3813" s="106">
        <v>44927</v>
      </c>
      <c r="Y3813" s="106">
        <v>45291</v>
      </c>
    </row>
    <row r="3814" s="9" customFormat="1" customHeight="1" spans="1:25">
      <c r="A3814" s="96" t="s">
        <v>109</v>
      </c>
      <c r="B3814" s="96" t="s">
        <v>4074</v>
      </c>
      <c r="C3814" s="96" t="s">
        <v>217</v>
      </c>
      <c r="D3814" s="94" t="s">
        <v>4178</v>
      </c>
      <c r="E3814" s="105" t="s">
        <v>5055</v>
      </c>
      <c r="F3814" s="96" t="s">
        <v>5056</v>
      </c>
      <c r="G3814" s="96" t="s">
        <v>31</v>
      </c>
      <c r="H3814" s="19" t="s">
        <v>5057</v>
      </c>
      <c r="I3814" s="23" t="str">
        <f>VLOOKUP(H3814,'合同综合查询数据（3月返）'!$A:$A,1,FALSE)</f>
        <v>182315IDC00054</v>
      </c>
      <c r="J3814" s="24" t="s">
        <v>33</v>
      </c>
      <c r="K3814" s="96" t="s">
        <v>4518</v>
      </c>
      <c r="L3814" s="114" t="s">
        <v>5058</v>
      </c>
      <c r="M3814" s="26" t="s">
        <v>5059</v>
      </c>
      <c r="N3814" s="311"/>
      <c r="O3814" s="311" t="s">
        <v>152</v>
      </c>
      <c r="P3814" s="268">
        <v>0</v>
      </c>
      <c r="Q3814" s="273">
        <v>0</v>
      </c>
      <c r="R3814" s="268">
        <f t="shared" si="88"/>
        <v>0</v>
      </c>
      <c r="S3814" s="24">
        <v>202303</v>
      </c>
      <c r="T3814" s="127" t="s">
        <v>5061</v>
      </c>
      <c r="U3814" s="40"/>
      <c r="V3814" s="40"/>
      <c r="W3814" s="40"/>
      <c r="X3814" s="106">
        <v>44927</v>
      </c>
      <c r="Y3814" s="106">
        <v>45291</v>
      </c>
    </row>
    <row r="3815" s="9" customFormat="1" customHeight="1" spans="1:25">
      <c r="A3815" s="96" t="s">
        <v>109</v>
      </c>
      <c r="B3815" s="96" t="s">
        <v>4074</v>
      </c>
      <c r="C3815" s="96" t="s">
        <v>217</v>
      </c>
      <c r="D3815" s="94" t="s">
        <v>4178</v>
      </c>
      <c r="E3815" s="105" t="s">
        <v>5055</v>
      </c>
      <c r="F3815" s="96" t="s">
        <v>5056</v>
      </c>
      <c r="G3815" s="96" t="s">
        <v>88</v>
      </c>
      <c r="H3815" s="19" t="s">
        <v>5057</v>
      </c>
      <c r="I3815" s="23" t="str">
        <f>VLOOKUP(H3815,'合同综合查询数据（3月返）'!$A:$A,1,FALSE)</f>
        <v>182315IDC00054</v>
      </c>
      <c r="J3815" s="24" t="s">
        <v>126</v>
      </c>
      <c r="K3815" s="96" t="s">
        <v>4518</v>
      </c>
      <c r="L3815" s="114" t="s">
        <v>5058</v>
      </c>
      <c r="M3815" s="26" t="s">
        <v>5059</v>
      </c>
      <c r="N3815" s="311">
        <v>43306</v>
      </c>
      <c r="O3815" s="311" t="s">
        <v>92</v>
      </c>
      <c r="P3815" s="268">
        <v>4300</v>
      </c>
      <c r="Q3815" s="273">
        <v>5</v>
      </c>
      <c r="R3815" s="268">
        <f t="shared" si="88"/>
        <v>21500</v>
      </c>
      <c r="S3815" s="24">
        <v>202303</v>
      </c>
      <c r="T3815" s="127" t="s">
        <v>5062</v>
      </c>
      <c r="U3815" s="40"/>
      <c r="V3815" s="40"/>
      <c r="W3815" s="40"/>
      <c r="X3815" s="106">
        <v>44927</v>
      </c>
      <c r="Y3815" s="106">
        <v>45291</v>
      </c>
    </row>
    <row r="3816" s="9" customFormat="1" customHeight="1" spans="1:25">
      <c r="A3816" s="96" t="s">
        <v>25</v>
      </c>
      <c r="B3816" s="95" t="s">
        <v>4074</v>
      </c>
      <c r="C3816" s="94" t="s">
        <v>217</v>
      </c>
      <c r="D3816" s="94" t="s">
        <v>4178</v>
      </c>
      <c r="E3816" s="105" t="s">
        <v>5055</v>
      </c>
      <c r="F3816" s="96" t="s">
        <v>5056</v>
      </c>
      <c r="G3816" s="96" t="s">
        <v>31</v>
      </c>
      <c r="H3816" s="19" t="s">
        <v>5063</v>
      </c>
      <c r="I3816" s="23" t="e">
        <f>VLOOKUP(H3816,'合同综合查询数据（3月返）'!$A:$A,1,FALSE)</f>
        <v>#N/A</v>
      </c>
      <c r="J3816" s="24" t="s">
        <v>33</v>
      </c>
      <c r="K3816" s="96" t="s">
        <v>2223</v>
      </c>
      <c r="L3816" s="114" t="s">
        <v>5064</v>
      </c>
      <c r="M3816" s="26" t="s">
        <v>5065</v>
      </c>
      <c r="N3816" s="106">
        <v>44317</v>
      </c>
      <c r="O3816" s="94" t="s">
        <v>37</v>
      </c>
      <c r="P3816" s="268">
        <v>50</v>
      </c>
      <c r="Q3816" s="273">
        <v>224</v>
      </c>
      <c r="R3816" s="268">
        <f t="shared" si="88"/>
        <v>11200</v>
      </c>
      <c r="S3816" s="24">
        <v>202303</v>
      </c>
      <c r="T3816" s="127" t="s">
        <v>5066</v>
      </c>
      <c r="U3816" s="97"/>
      <c r="V3816" s="128"/>
      <c r="W3816" s="128"/>
      <c r="X3816" s="106">
        <v>44562</v>
      </c>
      <c r="Y3816" s="106">
        <v>44926</v>
      </c>
    </row>
    <row r="3817" s="9" customFormat="1" customHeight="1" spans="1:25">
      <c r="A3817" s="96" t="s">
        <v>25</v>
      </c>
      <c r="B3817" s="95" t="s">
        <v>4074</v>
      </c>
      <c r="C3817" s="94" t="s">
        <v>217</v>
      </c>
      <c r="D3817" s="94" t="s">
        <v>4178</v>
      </c>
      <c r="E3817" s="105" t="s">
        <v>5055</v>
      </c>
      <c r="F3817" s="96" t="s">
        <v>5056</v>
      </c>
      <c r="G3817" s="96" t="s">
        <v>31</v>
      </c>
      <c r="H3817" s="19" t="s">
        <v>5063</v>
      </c>
      <c r="I3817" s="23" t="e">
        <f>VLOOKUP(H3817,'合同综合查询数据（3月返）'!$A:$A,1,FALSE)</f>
        <v>#N/A</v>
      </c>
      <c r="J3817" s="24" t="s">
        <v>33</v>
      </c>
      <c r="K3817" s="96" t="s">
        <v>2223</v>
      </c>
      <c r="L3817" s="114" t="s">
        <v>5064</v>
      </c>
      <c r="M3817" s="26" t="s">
        <v>5065</v>
      </c>
      <c r="N3817" s="106">
        <v>44317</v>
      </c>
      <c r="O3817" s="94" t="s">
        <v>37</v>
      </c>
      <c r="P3817" s="268">
        <v>0</v>
      </c>
      <c r="Q3817" s="273">
        <v>64</v>
      </c>
      <c r="R3817" s="268">
        <f t="shared" si="88"/>
        <v>0</v>
      </c>
      <c r="S3817" s="24">
        <v>202303</v>
      </c>
      <c r="T3817" s="127" t="s">
        <v>5066</v>
      </c>
      <c r="U3817" s="97"/>
      <c r="V3817" s="128"/>
      <c r="W3817" s="128"/>
      <c r="X3817" s="106">
        <v>44562</v>
      </c>
      <c r="Y3817" s="106">
        <v>44926</v>
      </c>
    </row>
    <row r="3818" s="9" customFormat="1" customHeight="1" spans="1:25">
      <c r="A3818" s="96" t="s">
        <v>25</v>
      </c>
      <c r="B3818" s="95" t="s">
        <v>4074</v>
      </c>
      <c r="C3818" s="94" t="s">
        <v>217</v>
      </c>
      <c r="D3818" s="94" t="s">
        <v>4178</v>
      </c>
      <c r="E3818" s="105" t="s">
        <v>5055</v>
      </c>
      <c r="F3818" s="96" t="s">
        <v>5056</v>
      </c>
      <c r="G3818" s="96" t="s">
        <v>31</v>
      </c>
      <c r="H3818" s="19" t="s">
        <v>5063</v>
      </c>
      <c r="I3818" s="23" t="e">
        <f>VLOOKUP(H3818,'合同综合查询数据（3月返）'!$A:$A,1,FALSE)</f>
        <v>#N/A</v>
      </c>
      <c r="J3818" s="24" t="s">
        <v>33</v>
      </c>
      <c r="K3818" s="96" t="s">
        <v>2223</v>
      </c>
      <c r="L3818" s="114" t="s">
        <v>5064</v>
      </c>
      <c r="M3818" s="26" t="s">
        <v>5065</v>
      </c>
      <c r="N3818" s="106">
        <v>44742</v>
      </c>
      <c r="O3818" s="94" t="s">
        <v>37</v>
      </c>
      <c r="P3818" s="268">
        <v>50</v>
      </c>
      <c r="Q3818" s="273">
        <v>-224</v>
      </c>
      <c r="R3818" s="268">
        <f t="shared" si="88"/>
        <v>-11200</v>
      </c>
      <c r="S3818" s="24">
        <v>202303</v>
      </c>
      <c r="T3818" s="127" t="s">
        <v>5067</v>
      </c>
      <c r="U3818" s="97"/>
      <c r="V3818" s="128"/>
      <c r="W3818" s="128"/>
      <c r="X3818" s="106">
        <v>44562</v>
      </c>
      <c r="Y3818" s="106">
        <v>44926</v>
      </c>
    </row>
    <row r="3819" s="9" customFormat="1" customHeight="1" spans="1:25">
      <c r="A3819" s="96" t="s">
        <v>25</v>
      </c>
      <c r="B3819" s="95" t="s">
        <v>4074</v>
      </c>
      <c r="C3819" s="94" t="s">
        <v>217</v>
      </c>
      <c r="D3819" s="94" t="s">
        <v>4178</v>
      </c>
      <c r="E3819" s="105" t="s">
        <v>5055</v>
      </c>
      <c r="F3819" s="96" t="s">
        <v>5056</v>
      </c>
      <c r="G3819" s="96" t="s">
        <v>31</v>
      </c>
      <c r="H3819" s="19" t="s">
        <v>5063</v>
      </c>
      <c r="I3819" s="23" t="e">
        <f>VLOOKUP(H3819,'合同综合查询数据（3月返）'!$A:$A,1,FALSE)</f>
        <v>#N/A</v>
      </c>
      <c r="J3819" s="24" t="s">
        <v>33</v>
      </c>
      <c r="K3819" s="96" t="s">
        <v>2223</v>
      </c>
      <c r="L3819" s="114" t="s">
        <v>5064</v>
      </c>
      <c r="M3819" s="26" t="s">
        <v>5065</v>
      </c>
      <c r="N3819" s="106">
        <v>44742</v>
      </c>
      <c r="O3819" s="94" t="s">
        <v>37</v>
      </c>
      <c r="P3819" s="268">
        <v>0</v>
      </c>
      <c r="Q3819" s="273">
        <v>-64</v>
      </c>
      <c r="R3819" s="268">
        <f t="shared" ref="R3819:R3882" si="89">ROUND(P3819*Q3819,2)</f>
        <v>0</v>
      </c>
      <c r="S3819" s="24">
        <v>202303</v>
      </c>
      <c r="T3819" s="127" t="s">
        <v>5067</v>
      </c>
      <c r="U3819" s="97"/>
      <c r="V3819" s="128"/>
      <c r="W3819" s="128"/>
      <c r="X3819" s="106">
        <v>44562</v>
      </c>
      <c r="Y3819" s="106">
        <v>44926</v>
      </c>
    </row>
    <row r="3820" s="9" customFormat="1" customHeight="1" spans="1:25">
      <c r="A3820" s="96" t="s">
        <v>25</v>
      </c>
      <c r="B3820" s="95" t="s">
        <v>4074</v>
      </c>
      <c r="C3820" s="94" t="s">
        <v>217</v>
      </c>
      <c r="D3820" s="94" t="s">
        <v>4178</v>
      </c>
      <c r="E3820" s="105" t="s">
        <v>5055</v>
      </c>
      <c r="F3820" s="96" t="s">
        <v>5056</v>
      </c>
      <c r="G3820" s="96" t="s">
        <v>31</v>
      </c>
      <c r="H3820" s="19" t="s">
        <v>5063</v>
      </c>
      <c r="I3820" s="23" t="e">
        <f>VLOOKUP(H3820,'合同综合查询数据（3月返）'!$A:$A,1,FALSE)</f>
        <v>#N/A</v>
      </c>
      <c r="J3820" s="24" t="s">
        <v>33</v>
      </c>
      <c r="K3820" s="96" t="s">
        <v>2223</v>
      </c>
      <c r="L3820" s="114" t="s">
        <v>5064</v>
      </c>
      <c r="M3820" s="26" t="s">
        <v>5065</v>
      </c>
      <c r="N3820" s="106"/>
      <c r="O3820" s="94" t="s">
        <v>152</v>
      </c>
      <c r="P3820" s="268">
        <v>0</v>
      </c>
      <c r="Q3820" s="273">
        <v>0</v>
      </c>
      <c r="R3820" s="268">
        <f t="shared" si="89"/>
        <v>0</v>
      </c>
      <c r="S3820" s="24">
        <v>202303</v>
      </c>
      <c r="T3820" s="127" t="s">
        <v>5068</v>
      </c>
      <c r="U3820" s="97"/>
      <c r="V3820" s="128"/>
      <c r="W3820" s="128"/>
      <c r="X3820" s="106">
        <v>44562</v>
      </c>
      <c r="Y3820" s="106">
        <v>44926</v>
      </c>
    </row>
    <row r="3821" s="9" customFormat="1" customHeight="1" spans="1:25">
      <c r="A3821" s="96" t="s">
        <v>25</v>
      </c>
      <c r="B3821" s="95" t="s">
        <v>4074</v>
      </c>
      <c r="C3821" s="94" t="s">
        <v>217</v>
      </c>
      <c r="D3821" s="94" t="s">
        <v>4178</v>
      </c>
      <c r="E3821" s="105" t="s">
        <v>5055</v>
      </c>
      <c r="F3821" s="96" t="s">
        <v>5056</v>
      </c>
      <c r="G3821" s="96" t="s">
        <v>31</v>
      </c>
      <c r="H3821" s="19" t="s">
        <v>5063</v>
      </c>
      <c r="I3821" s="23" t="e">
        <f>VLOOKUP(H3821,'合同综合查询数据（3月返）'!$A:$A,1,FALSE)</f>
        <v>#N/A</v>
      </c>
      <c r="J3821" s="24" t="s">
        <v>33</v>
      </c>
      <c r="K3821" s="96" t="s">
        <v>2223</v>
      </c>
      <c r="L3821" s="114" t="s">
        <v>5064</v>
      </c>
      <c r="M3821" s="26" t="s">
        <v>5065</v>
      </c>
      <c r="N3821" s="106">
        <v>44742</v>
      </c>
      <c r="O3821" s="94" t="s">
        <v>152</v>
      </c>
      <c r="P3821" s="268">
        <v>0</v>
      </c>
      <c r="Q3821" s="273">
        <v>0</v>
      </c>
      <c r="R3821" s="268">
        <f t="shared" si="89"/>
        <v>0</v>
      </c>
      <c r="S3821" s="24">
        <v>202303</v>
      </c>
      <c r="T3821" s="127" t="s">
        <v>5069</v>
      </c>
      <c r="U3821" s="97"/>
      <c r="V3821" s="128"/>
      <c r="W3821" s="128"/>
      <c r="X3821" s="106">
        <v>44562</v>
      </c>
      <c r="Y3821" s="106">
        <v>44926</v>
      </c>
    </row>
    <row r="3822" s="9" customFormat="1" customHeight="1" spans="1:25">
      <c r="A3822" s="96" t="s">
        <v>25</v>
      </c>
      <c r="B3822" s="95" t="s">
        <v>4074</v>
      </c>
      <c r="C3822" s="94" t="s">
        <v>217</v>
      </c>
      <c r="D3822" s="94" t="s">
        <v>4178</v>
      </c>
      <c r="E3822" s="105" t="s">
        <v>5055</v>
      </c>
      <c r="F3822" s="96" t="s">
        <v>5056</v>
      </c>
      <c r="G3822" s="96" t="s">
        <v>88</v>
      </c>
      <c r="H3822" s="19" t="s">
        <v>5063</v>
      </c>
      <c r="I3822" s="23" t="e">
        <f>VLOOKUP(H3822,'合同综合查询数据（3月返）'!$A:$A,1,FALSE)</f>
        <v>#N/A</v>
      </c>
      <c r="J3822" s="24" t="s">
        <v>126</v>
      </c>
      <c r="K3822" s="96" t="s">
        <v>2223</v>
      </c>
      <c r="L3822" s="114" t="s">
        <v>5064</v>
      </c>
      <c r="M3822" s="26" t="s">
        <v>5065</v>
      </c>
      <c r="N3822" s="106">
        <v>44317</v>
      </c>
      <c r="O3822" s="94" t="s">
        <v>1424</v>
      </c>
      <c r="P3822" s="268">
        <v>4500</v>
      </c>
      <c r="Q3822" s="273">
        <v>3</v>
      </c>
      <c r="R3822" s="268">
        <f t="shared" si="89"/>
        <v>13500</v>
      </c>
      <c r="S3822" s="24">
        <v>202303</v>
      </c>
      <c r="T3822" s="127" t="s">
        <v>5070</v>
      </c>
      <c r="U3822" s="97"/>
      <c r="V3822" s="128"/>
      <c r="W3822" s="128"/>
      <c r="X3822" s="106">
        <v>44562</v>
      </c>
      <c r="Y3822" s="106">
        <v>44926</v>
      </c>
    </row>
    <row r="3823" s="9" customFormat="1" customHeight="1" spans="1:25">
      <c r="A3823" s="96" t="s">
        <v>25</v>
      </c>
      <c r="B3823" s="95" t="s">
        <v>4074</v>
      </c>
      <c r="C3823" s="94" t="s">
        <v>217</v>
      </c>
      <c r="D3823" s="94" t="s">
        <v>4178</v>
      </c>
      <c r="E3823" s="105" t="s">
        <v>5055</v>
      </c>
      <c r="F3823" s="96" t="s">
        <v>5056</v>
      </c>
      <c r="G3823" s="96" t="s">
        <v>88</v>
      </c>
      <c r="H3823" s="19" t="s">
        <v>5063</v>
      </c>
      <c r="I3823" s="23" t="e">
        <f>VLOOKUP(H3823,'合同综合查询数据（3月返）'!$A:$A,1,FALSE)</f>
        <v>#N/A</v>
      </c>
      <c r="J3823" s="24" t="s">
        <v>126</v>
      </c>
      <c r="K3823" s="96" t="s">
        <v>2223</v>
      </c>
      <c r="L3823" s="114" t="s">
        <v>5064</v>
      </c>
      <c r="M3823" s="26" t="s">
        <v>5065</v>
      </c>
      <c r="N3823" s="106">
        <v>44742</v>
      </c>
      <c r="O3823" s="94" t="s">
        <v>1424</v>
      </c>
      <c r="P3823" s="268">
        <v>4500</v>
      </c>
      <c r="Q3823" s="273">
        <v>-3</v>
      </c>
      <c r="R3823" s="268">
        <f t="shared" si="89"/>
        <v>-13500</v>
      </c>
      <c r="S3823" s="24">
        <v>202303</v>
      </c>
      <c r="T3823" s="127" t="s">
        <v>5071</v>
      </c>
      <c r="U3823" s="97"/>
      <c r="V3823" s="128"/>
      <c r="W3823" s="128"/>
      <c r="X3823" s="106">
        <v>44562</v>
      </c>
      <c r="Y3823" s="106">
        <v>44926</v>
      </c>
    </row>
    <row r="3824" s="9" customFormat="1" customHeight="1" spans="1:25">
      <c r="A3824" s="96" t="s">
        <v>109</v>
      </c>
      <c r="B3824" s="96" t="s">
        <v>4074</v>
      </c>
      <c r="C3824" s="96" t="s">
        <v>217</v>
      </c>
      <c r="D3824" s="94" t="s">
        <v>4178</v>
      </c>
      <c r="E3824" s="105" t="s">
        <v>5055</v>
      </c>
      <c r="F3824" s="96" t="s">
        <v>5056</v>
      </c>
      <c r="G3824" s="96" t="s">
        <v>31</v>
      </c>
      <c r="H3824" s="19" t="s">
        <v>5072</v>
      </c>
      <c r="I3824" s="23" t="str">
        <f>VLOOKUP(H3824,'合同综合查询数据（3月返）'!$A:$A,1,FALSE)</f>
        <v>182315IDC00051</v>
      </c>
      <c r="J3824" s="24" t="s">
        <v>33</v>
      </c>
      <c r="K3824" s="96" t="s">
        <v>2166</v>
      </c>
      <c r="L3824" s="114" t="s">
        <v>5073</v>
      </c>
      <c r="M3824" s="26" t="s">
        <v>5074</v>
      </c>
      <c r="N3824" s="311">
        <v>44018</v>
      </c>
      <c r="O3824" s="311" t="s">
        <v>37</v>
      </c>
      <c r="P3824" s="268">
        <v>50</v>
      </c>
      <c r="Q3824" s="273">
        <v>224</v>
      </c>
      <c r="R3824" s="268">
        <f t="shared" si="89"/>
        <v>11200</v>
      </c>
      <c r="S3824" s="24">
        <v>202303</v>
      </c>
      <c r="T3824" s="127" t="s">
        <v>5075</v>
      </c>
      <c r="U3824" s="40"/>
      <c r="V3824" s="40"/>
      <c r="W3824" s="40"/>
      <c r="X3824" s="106"/>
      <c r="Y3824" s="106"/>
    </row>
    <row r="3825" s="9" customFormat="1" customHeight="1" spans="1:25">
      <c r="A3825" s="96" t="s">
        <v>109</v>
      </c>
      <c r="B3825" s="96" t="s">
        <v>4074</v>
      </c>
      <c r="C3825" s="96" t="s">
        <v>217</v>
      </c>
      <c r="D3825" s="94" t="s">
        <v>4178</v>
      </c>
      <c r="E3825" s="105" t="s">
        <v>5055</v>
      </c>
      <c r="F3825" s="96" t="s">
        <v>5056</v>
      </c>
      <c r="G3825" s="96" t="s">
        <v>31</v>
      </c>
      <c r="H3825" s="19" t="s">
        <v>5072</v>
      </c>
      <c r="I3825" s="23" t="str">
        <f>VLOOKUP(H3825,'合同综合查询数据（3月返）'!$A:$A,1,FALSE)</f>
        <v>182315IDC00051</v>
      </c>
      <c r="J3825" s="24" t="s">
        <v>33</v>
      </c>
      <c r="K3825" s="96" t="s">
        <v>2166</v>
      </c>
      <c r="L3825" s="114" t="s">
        <v>5073</v>
      </c>
      <c r="M3825" s="26" t="s">
        <v>5074</v>
      </c>
      <c r="N3825" s="311">
        <v>44018</v>
      </c>
      <c r="O3825" s="311" t="s">
        <v>37</v>
      </c>
      <c r="P3825" s="268">
        <v>0</v>
      </c>
      <c r="Q3825" s="273">
        <v>64</v>
      </c>
      <c r="R3825" s="268">
        <f t="shared" si="89"/>
        <v>0</v>
      </c>
      <c r="S3825" s="24">
        <v>202303</v>
      </c>
      <c r="T3825" s="127" t="s">
        <v>5076</v>
      </c>
      <c r="U3825" s="40"/>
      <c r="V3825" s="40"/>
      <c r="W3825" s="40"/>
      <c r="X3825" s="106"/>
      <c r="Y3825" s="106"/>
    </row>
    <row r="3826" s="9" customFormat="1" customHeight="1" spans="1:25">
      <c r="A3826" s="96" t="s">
        <v>109</v>
      </c>
      <c r="B3826" s="96" t="s">
        <v>4074</v>
      </c>
      <c r="C3826" s="96" t="s">
        <v>217</v>
      </c>
      <c r="D3826" s="94" t="s">
        <v>4178</v>
      </c>
      <c r="E3826" s="105" t="s">
        <v>5055</v>
      </c>
      <c r="F3826" s="96" t="s">
        <v>5056</v>
      </c>
      <c r="G3826" s="96" t="s">
        <v>31</v>
      </c>
      <c r="H3826" s="19" t="s">
        <v>5072</v>
      </c>
      <c r="I3826" s="23" t="str">
        <f>VLOOKUP(H3826,'合同综合查询数据（3月返）'!$A:$A,1,FALSE)</f>
        <v>182315IDC00051</v>
      </c>
      <c r="J3826" s="24" t="s">
        <v>33</v>
      </c>
      <c r="K3826" s="96" t="s">
        <v>2166</v>
      </c>
      <c r="L3826" s="114" t="s">
        <v>5073</v>
      </c>
      <c r="M3826" s="26" t="s">
        <v>5074</v>
      </c>
      <c r="N3826" s="311">
        <v>44898</v>
      </c>
      <c r="O3826" s="311" t="s">
        <v>37</v>
      </c>
      <c r="P3826" s="268">
        <v>50</v>
      </c>
      <c r="Q3826" s="273">
        <v>-128</v>
      </c>
      <c r="R3826" s="268">
        <f t="shared" si="89"/>
        <v>-6400</v>
      </c>
      <c r="S3826" s="24">
        <v>202303</v>
      </c>
      <c r="T3826" s="127" t="s">
        <v>5077</v>
      </c>
      <c r="U3826" s="40"/>
      <c r="V3826" s="40"/>
      <c r="W3826" s="40"/>
      <c r="X3826" s="106"/>
      <c r="Y3826" s="106"/>
    </row>
    <row r="3827" s="9" customFormat="1" customHeight="1" spans="1:25">
      <c r="A3827" s="96" t="s">
        <v>109</v>
      </c>
      <c r="B3827" s="96" t="s">
        <v>4074</v>
      </c>
      <c r="C3827" s="96" t="s">
        <v>217</v>
      </c>
      <c r="D3827" s="94" t="s">
        <v>4178</v>
      </c>
      <c r="E3827" s="105" t="s">
        <v>5055</v>
      </c>
      <c r="F3827" s="96" t="s">
        <v>5056</v>
      </c>
      <c r="G3827" s="96" t="s">
        <v>31</v>
      </c>
      <c r="H3827" s="19" t="s">
        <v>5072</v>
      </c>
      <c r="I3827" s="23" t="str">
        <f>VLOOKUP(H3827,'合同综合查询数据（3月返）'!$A:$A,1,FALSE)</f>
        <v>182315IDC00051</v>
      </c>
      <c r="J3827" s="24" t="s">
        <v>33</v>
      </c>
      <c r="K3827" s="96" t="s">
        <v>2166</v>
      </c>
      <c r="L3827" s="114" t="s">
        <v>5073</v>
      </c>
      <c r="M3827" s="26" t="s">
        <v>5074</v>
      </c>
      <c r="N3827" s="311"/>
      <c r="O3827" s="94" t="s">
        <v>152</v>
      </c>
      <c r="P3827" s="268">
        <v>0</v>
      </c>
      <c r="Q3827" s="273">
        <v>0</v>
      </c>
      <c r="R3827" s="268">
        <f t="shared" si="89"/>
        <v>0</v>
      </c>
      <c r="S3827" s="24">
        <v>202303</v>
      </c>
      <c r="T3827" s="127" t="s">
        <v>5078</v>
      </c>
      <c r="U3827" s="40"/>
      <c r="V3827" s="40"/>
      <c r="W3827" s="40"/>
      <c r="X3827" s="106"/>
      <c r="Y3827" s="106"/>
    </row>
    <row r="3828" s="9" customFormat="1" customHeight="1" spans="1:25">
      <c r="A3828" s="96" t="s">
        <v>109</v>
      </c>
      <c r="B3828" s="95" t="s">
        <v>4074</v>
      </c>
      <c r="C3828" s="94" t="s">
        <v>217</v>
      </c>
      <c r="D3828" s="94" t="s">
        <v>4178</v>
      </c>
      <c r="E3828" s="105" t="s">
        <v>5055</v>
      </c>
      <c r="F3828" s="96" t="s">
        <v>5056</v>
      </c>
      <c r="G3828" s="96" t="s">
        <v>88</v>
      </c>
      <c r="H3828" s="19" t="s">
        <v>5072</v>
      </c>
      <c r="I3828" s="23" t="str">
        <f>VLOOKUP(H3828,'合同综合查询数据（3月返）'!$A:$A,1,FALSE)</f>
        <v>182315IDC00051</v>
      </c>
      <c r="J3828" s="24" t="s">
        <v>126</v>
      </c>
      <c r="K3828" s="96" t="s">
        <v>2166</v>
      </c>
      <c r="L3828" s="114" t="s">
        <v>5073</v>
      </c>
      <c r="M3828" s="26" t="s">
        <v>5074</v>
      </c>
      <c r="N3828" s="106">
        <v>44018</v>
      </c>
      <c r="O3828" s="94" t="s">
        <v>624</v>
      </c>
      <c r="P3828" s="268">
        <v>5000</v>
      </c>
      <c r="Q3828" s="273">
        <v>2</v>
      </c>
      <c r="R3828" s="268">
        <f t="shared" si="89"/>
        <v>10000</v>
      </c>
      <c r="S3828" s="24">
        <v>202303</v>
      </c>
      <c r="T3828" s="127" t="s">
        <v>5079</v>
      </c>
      <c r="U3828" s="97"/>
      <c r="V3828" s="128"/>
      <c r="W3828" s="128"/>
      <c r="X3828" s="106"/>
      <c r="Y3828" s="106"/>
    </row>
    <row r="3829" s="9" customFormat="1" customHeight="1" spans="1:25">
      <c r="A3829" s="96" t="s">
        <v>109</v>
      </c>
      <c r="B3829" s="95" t="s">
        <v>4074</v>
      </c>
      <c r="C3829" s="94" t="s">
        <v>217</v>
      </c>
      <c r="D3829" s="94" t="s">
        <v>4178</v>
      </c>
      <c r="E3829" s="105" t="s">
        <v>5055</v>
      </c>
      <c r="F3829" s="96" t="s">
        <v>5056</v>
      </c>
      <c r="G3829" s="96" t="s">
        <v>88</v>
      </c>
      <c r="H3829" s="19" t="s">
        <v>5072</v>
      </c>
      <c r="I3829" s="23" t="str">
        <f>VLOOKUP(H3829,'合同综合查询数据（3月返）'!$A:$A,1,FALSE)</f>
        <v>182315IDC00051</v>
      </c>
      <c r="J3829" s="24" t="s">
        <v>126</v>
      </c>
      <c r="K3829" s="96" t="s">
        <v>2166</v>
      </c>
      <c r="L3829" s="114" t="s">
        <v>5073</v>
      </c>
      <c r="M3829" s="26" t="s">
        <v>5074</v>
      </c>
      <c r="N3829" s="106">
        <v>44197</v>
      </c>
      <c r="O3829" s="94" t="s">
        <v>624</v>
      </c>
      <c r="P3829" s="268">
        <v>5000</v>
      </c>
      <c r="Q3829" s="273">
        <v>1</v>
      </c>
      <c r="R3829" s="268">
        <f t="shared" si="89"/>
        <v>5000</v>
      </c>
      <c r="S3829" s="24">
        <v>202303</v>
      </c>
      <c r="T3829" s="127" t="s">
        <v>5080</v>
      </c>
      <c r="U3829" s="97"/>
      <c r="V3829" s="128"/>
      <c r="W3829" s="128"/>
      <c r="X3829" s="106"/>
      <c r="Y3829" s="106"/>
    </row>
    <row r="3830" s="9" customFormat="1" customHeight="1" spans="1:25">
      <c r="A3830" s="96" t="s">
        <v>109</v>
      </c>
      <c r="B3830" s="95" t="s">
        <v>4074</v>
      </c>
      <c r="C3830" s="94" t="s">
        <v>217</v>
      </c>
      <c r="D3830" s="94" t="s">
        <v>4178</v>
      </c>
      <c r="E3830" s="105" t="s">
        <v>5055</v>
      </c>
      <c r="F3830" s="96" t="s">
        <v>5056</v>
      </c>
      <c r="G3830" s="96" t="s">
        <v>88</v>
      </c>
      <c r="H3830" s="19" t="s">
        <v>5072</v>
      </c>
      <c r="I3830" s="23" t="str">
        <f>VLOOKUP(H3830,'合同综合查询数据（3月返）'!$A:$A,1,FALSE)</f>
        <v>182315IDC00051</v>
      </c>
      <c r="J3830" s="24" t="s">
        <v>126</v>
      </c>
      <c r="K3830" s="96" t="s">
        <v>2166</v>
      </c>
      <c r="L3830" s="114" t="s">
        <v>5073</v>
      </c>
      <c r="M3830" s="26" t="s">
        <v>5074</v>
      </c>
      <c r="N3830" s="106">
        <v>44932</v>
      </c>
      <c r="O3830" s="94" t="s">
        <v>624</v>
      </c>
      <c r="P3830" s="268">
        <v>5000</v>
      </c>
      <c r="Q3830" s="273">
        <v>1</v>
      </c>
      <c r="R3830" s="268">
        <f t="shared" si="89"/>
        <v>5000</v>
      </c>
      <c r="S3830" s="24">
        <v>202303</v>
      </c>
      <c r="T3830" s="127" t="s">
        <v>5081</v>
      </c>
      <c r="U3830" s="97"/>
      <c r="V3830" s="128"/>
      <c r="W3830" s="128"/>
      <c r="X3830" s="106"/>
      <c r="Y3830" s="106"/>
    </row>
    <row r="3831" s="9" customFormat="1" customHeight="1" spans="1:25">
      <c r="A3831" s="104" t="s">
        <v>109</v>
      </c>
      <c r="B3831" s="95" t="s">
        <v>4074</v>
      </c>
      <c r="C3831" s="94" t="s">
        <v>2998</v>
      </c>
      <c r="D3831" s="94" t="s">
        <v>4178</v>
      </c>
      <c r="E3831" s="105" t="s">
        <v>5055</v>
      </c>
      <c r="F3831" s="96" t="s">
        <v>5056</v>
      </c>
      <c r="G3831" s="96" t="s">
        <v>31</v>
      </c>
      <c r="H3831" s="19" t="s">
        <v>5082</v>
      </c>
      <c r="I3831" s="23" t="e">
        <f>VLOOKUP(H3831,'合同综合查询数据（3月返）'!$A:$A,1,FALSE)</f>
        <v>#N/A</v>
      </c>
      <c r="J3831" s="24" t="s">
        <v>33</v>
      </c>
      <c r="K3831" s="96" t="s">
        <v>4216</v>
      </c>
      <c r="L3831" s="114" t="s">
        <v>5083</v>
      </c>
      <c r="M3831" s="26" t="s">
        <v>5084</v>
      </c>
      <c r="N3831" s="106">
        <v>44562</v>
      </c>
      <c r="O3831" s="94" t="s">
        <v>37</v>
      </c>
      <c r="P3831" s="268">
        <v>0</v>
      </c>
      <c r="Q3831" s="273">
        <v>128</v>
      </c>
      <c r="R3831" s="268">
        <f t="shared" si="89"/>
        <v>0</v>
      </c>
      <c r="S3831" s="24">
        <v>202303</v>
      </c>
      <c r="T3831" s="127" t="s">
        <v>5085</v>
      </c>
      <c r="U3831" s="97"/>
      <c r="V3831" s="128"/>
      <c r="W3831" s="128"/>
      <c r="X3831" s="311">
        <v>44743</v>
      </c>
      <c r="Y3831" s="106">
        <v>45107</v>
      </c>
    </row>
    <row r="3832" s="9" customFormat="1" customHeight="1" spans="1:25">
      <c r="A3832" s="104" t="s">
        <v>109</v>
      </c>
      <c r="B3832" s="95" t="s">
        <v>4074</v>
      </c>
      <c r="C3832" s="94" t="s">
        <v>2998</v>
      </c>
      <c r="D3832" s="94" t="s">
        <v>4178</v>
      </c>
      <c r="E3832" s="105" t="s">
        <v>5055</v>
      </c>
      <c r="F3832" s="96" t="s">
        <v>5056</v>
      </c>
      <c r="G3832" s="96" t="s">
        <v>31</v>
      </c>
      <c r="H3832" s="19" t="s">
        <v>5082</v>
      </c>
      <c r="I3832" s="23" t="e">
        <f>VLOOKUP(H3832,'合同综合查询数据（3月返）'!$A:$A,1,FALSE)</f>
        <v>#N/A</v>
      </c>
      <c r="J3832" s="24" t="s">
        <v>33</v>
      </c>
      <c r="K3832" s="96" t="s">
        <v>4216</v>
      </c>
      <c r="L3832" s="114" t="s">
        <v>5083</v>
      </c>
      <c r="M3832" s="26" t="s">
        <v>5084</v>
      </c>
      <c r="N3832" s="106">
        <v>44562</v>
      </c>
      <c r="O3832" s="94" t="s">
        <v>37</v>
      </c>
      <c r="P3832" s="268">
        <v>50</v>
      </c>
      <c r="Q3832" s="273">
        <v>160</v>
      </c>
      <c r="R3832" s="268">
        <f t="shared" si="89"/>
        <v>8000</v>
      </c>
      <c r="S3832" s="24">
        <v>202303</v>
      </c>
      <c r="T3832" s="127" t="s">
        <v>5085</v>
      </c>
      <c r="U3832" s="97"/>
      <c r="V3832" s="128"/>
      <c r="W3832" s="128"/>
      <c r="X3832" s="311">
        <v>44743</v>
      </c>
      <c r="Y3832" s="106">
        <v>45107</v>
      </c>
    </row>
    <row r="3833" s="9" customFormat="1" customHeight="1" spans="1:25">
      <c r="A3833" s="104" t="s">
        <v>109</v>
      </c>
      <c r="B3833" s="95" t="s">
        <v>4074</v>
      </c>
      <c r="C3833" s="94" t="s">
        <v>2998</v>
      </c>
      <c r="D3833" s="94" t="s">
        <v>4178</v>
      </c>
      <c r="E3833" s="105" t="s">
        <v>5055</v>
      </c>
      <c r="F3833" s="96" t="s">
        <v>5056</v>
      </c>
      <c r="G3833" s="96" t="s">
        <v>31</v>
      </c>
      <c r="H3833" s="19" t="s">
        <v>5082</v>
      </c>
      <c r="I3833" s="23" t="e">
        <f>VLOOKUP(H3833,'合同综合查询数据（3月返）'!$A:$A,1,FALSE)</f>
        <v>#N/A</v>
      </c>
      <c r="J3833" s="24" t="s">
        <v>33</v>
      </c>
      <c r="K3833" s="96" t="s">
        <v>4216</v>
      </c>
      <c r="L3833" s="114" t="s">
        <v>5083</v>
      </c>
      <c r="M3833" s="26" t="s">
        <v>5084</v>
      </c>
      <c r="N3833" s="106">
        <v>44562</v>
      </c>
      <c r="O3833" s="94" t="s">
        <v>37</v>
      </c>
      <c r="P3833" s="268">
        <v>0</v>
      </c>
      <c r="Q3833" s="273">
        <v>-128</v>
      </c>
      <c r="R3833" s="268">
        <f t="shared" si="89"/>
        <v>0</v>
      </c>
      <c r="S3833" s="24">
        <v>202303</v>
      </c>
      <c r="T3833" s="127" t="s">
        <v>5086</v>
      </c>
      <c r="U3833" s="97"/>
      <c r="V3833" s="128"/>
      <c r="W3833" s="128"/>
      <c r="X3833" s="311">
        <v>44743</v>
      </c>
      <c r="Y3833" s="106">
        <v>45107</v>
      </c>
    </row>
    <row r="3834" s="9" customFormat="1" customHeight="1" spans="1:25">
      <c r="A3834" s="104" t="s">
        <v>109</v>
      </c>
      <c r="B3834" s="95" t="s">
        <v>4074</v>
      </c>
      <c r="C3834" s="94" t="s">
        <v>2998</v>
      </c>
      <c r="D3834" s="94" t="s">
        <v>4178</v>
      </c>
      <c r="E3834" s="105" t="s">
        <v>5055</v>
      </c>
      <c r="F3834" s="96" t="s">
        <v>5056</v>
      </c>
      <c r="G3834" s="96" t="s">
        <v>31</v>
      </c>
      <c r="H3834" s="19" t="s">
        <v>5082</v>
      </c>
      <c r="I3834" s="23" t="e">
        <f>VLOOKUP(H3834,'合同综合查询数据（3月返）'!$A:$A,1,FALSE)</f>
        <v>#N/A</v>
      </c>
      <c r="J3834" s="24" t="s">
        <v>33</v>
      </c>
      <c r="K3834" s="96" t="s">
        <v>4216</v>
      </c>
      <c r="L3834" s="114" t="s">
        <v>5083</v>
      </c>
      <c r="M3834" s="26" t="s">
        <v>5084</v>
      </c>
      <c r="N3834" s="106">
        <v>44865</v>
      </c>
      <c r="O3834" s="94" t="s">
        <v>37</v>
      </c>
      <c r="P3834" s="268">
        <v>50</v>
      </c>
      <c r="Q3834" s="273">
        <v>-160</v>
      </c>
      <c r="R3834" s="268">
        <f t="shared" si="89"/>
        <v>-8000</v>
      </c>
      <c r="S3834" s="24">
        <v>202303</v>
      </c>
      <c r="T3834" s="127"/>
      <c r="U3834" s="97"/>
      <c r="V3834" s="128"/>
      <c r="W3834" s="128"/>
      <c r="X3834" s="311">
        <v>44743</v>
      </c>
      <c r="Y3834" s="106">
        <v>45107</v>
      </c>
    </row>
    <row r="3835" s="9" customFormat="1" customHeight="1" spans="1:25">
      <c r="A3835" s="104" t="s">
        <v>109</v>
      </c>
      <c r="B3835" s="95" t="s">
        <v>4074</v>
      </c>
      <c r="C3835" s="94" t="s">
        <v>2998</v>
      </c>
      <c r="D3835" s="94" t="s">
        <v>4178</v>
      </c>
      <c r="E3835" s="105" t="s">
        <v>5055</v>
      </c>
      <c r="F3835" s="96" t="s">
        <v>5056</v>
      </c>
      <c r="G3835" s="96" t="s">
        <v>31</v>
      </c>
      <c r="H3835" s="19" t="s">
        <v>5082</v>
      </c>
      <c r="I3835" s="23" t="e">
        <f>VLOOKUP(H3835,'合同综合查询数据（3月返）'!$A:$A,1,FALSE)</f>
        <v>#N/A</v>
      </c>
      <c r="J3835" s="24" t="s">
        <v>33</v>
      </c>
      <c r="K3835" s="96" t="s">
        <v>4216</v>
      </c>
      <c r="L3835" s="114" t="s">
        <v>5083</v>
      </c>
      <c r="M3835" s="26" t="s">
        <v>5084</v>
      </c>
      <c r="N3835" s="106"/>
      <c r="O3835" s="94" t="s">
        <v>152</v>
      </c>
      <c r="P3835" s="268">
        <v>0</v>
      </c>
      <c r="Q3835" s="273">
        <v>0</v>
      </c>
      <c r="R3835" s="268">
        <f t="shared" si="89"/>
        <v>0</v>
      </c>
      <c r="S3835" s="24">
        <v>202303</v>
      </c>
      <c r="T3835" s="127" t="s">
        <v>5087</v>
      </c>
      <c r="U3835" s="97"/>
      <c r="V3835" s="128"/>
      <c r="W3835" s="128"/>
      <c r="X3835" s="311">
        <v>44743</v>
      </c>
      <c r="Y3835" s="106">
        <v>45107</v>
      </c>
    </row>
    <row r="3836" s="9" customFormat="1" customHeight="1" spans="1:25">
      <c r="A3836" s="104" t="s">
        <v>109</v>
      </c>
      <c r="B3836" s="95" t="s">
        <v>4074</v>
      </c>
      <c r="C3836" s="94" t="s">
        <v>2998</v>
      </c>
      <c r="D3836" s="94" t="s">
        <v>4178</v>
      </c>
      <c r="E3836" s="105" t="s">
        <v>5055</v>
      </c>
      <c r="F3836" s="96" t="s">
        <v>5056</v>
      </c>
      <c r="G3836" s="96" t="s">
        <v>88</v>
      </c>
      <c r="H3836" s="19" t="s">
        <v>5082</v>
      </c>
      <c r="I3836" s="23" t="e">
        <f>VLOOKUP(H3836,'合同综合查询数据（3月返）'!$A:$A,1,FALSE)</f>
        <v>#N/A</v>
      </c>
      <c r="J3836" s="24" t="s">
        <v>126</v>
      </c>
      <c r="K3836" s="96" t="s">
        <v>4216</v>
      </c>
      <c r="L3836" s="114" t="s">
        <v>5083</v>
      </c>
      <c r="M3836" s="26" t="s">
        <v>5084</v>
      </c>
      <c r="N3836" s="106">
        <v>44562</v>
      </c>
      <c r="O3836" s="94" t="s">
        <v>1424</v>
      </c>
      <c r="P3836" s="268">
        <v>4500</v>
      </c>
      <c r="Q3836" s="273">
        <v>5</v>
      </c>
      <c r="R3836" s="268">
        <f t="shared" si="89"/>
        <v>22500</v>
      </c>
      <c r="S3836" s="24">
        <v>202303</v>
      </c>
      <c r="T3836" s="127" t="s">
        <v>5088</v>
      </c>
      <c r="U3836" s="97"/>
      <c r="V3836" s="128"/>
      <c r="W3836" s="128"/>
      <c r="X3836" s="311">
        <v>44743</v>
      </c>
      <c r="Y3836" s="106">
        <v>45107</v>
      </c>
    </row>
    <row r="3837" s="9" customFormat="1" customHeight="1" spans="1:25">
      <c r="A3837" s="104" t="s">
        <v>109</v>
      </c>
      <c r="B3837" s="95" t="s">
        <v>4074</v>
      </c>
      <c r="C3837" s="94" t="s">
        <v>2998</v>
      </c>
      <c r="D3837" s="94" t="s">
        <v>4178</v>
      </c>
      <c r="E3837" s="105" t="s">
        <v>5055</v>
      </c>
      <c r="F3837" s="96" t="s">
        <v>5056</v>
      </c>
      <c r="G3837" s="96" t="s">
        <v>88</v>
      </c>
      <c r="H3837" s="19" t="s">
        <v>5082</v>
      </c>
      <c r="I3837" s="23" t="e">
        <f>VLOOKUP(H3837,'合同综合查询数据（3月返）'!$A:$A,1,FALSE)</f>
        <v>#N/A</v>
      </c>
      <c r="J3837" s="24" t="s">
        <v>126</v>
      </c>
      <c r="K3837" s="96" t="s">
        <v>4216</v>
      </c>
      <c r="L3837" s="114" t="s">
        <v>5083</v>
      </c>
      <c r="M3837" s="26" t="s">
        <v>5084</v>
      </c>
      <c r="N3837" s="106">
        <v>44587</v>
      </c>
      <c r="O3837" s="94" t="s">
        <v>1424</v>
      </c>
      <c r="P3837" s="268">
        <v>4500</v>
      </c>
      <c r="Q3837" s="273">
        <v>1</v>
      </c>
      <c r="R3837" s="268">
        <f t="shared" si="89"/>
        <v>4500</v>
      </c>
      <c r="S3837" s="24">
        <v>202303</v>
      </c>
      <c r="T3837" s="127" t="s">
        <v>5089</v>
      </c>
      <c r="U3837" s="97"/>
      <c r="V3837" s="128"/>
      <c r="W3837" s="128"/>
      <c r="X3837" s="311">
        <v>44743</v>
      </c>
      <c r="Y3837" s="106">
        <v>45107</v>
      </c>
    </row>
    <row r="3838" s="9" customFormat="1" customHeight="1" spans="1:25">
      <c r="A3838" s="104" t="s">
        <v>109</v>
      </c>
      <c r="B3838" s="95" t="s">
        <v>4074</v>
      </c>
      <c r="C3838" s="94" t="s">
        <v>2998</v>
      </c>
      <c r="D3838" s="94" t="s">
        <v>4178</v>
      </c>
      <c r="E3838" s="105" t="s">
        <v>5055</v>
      </c>
      <c r="F3838" s="96" t="s">
        <v>5056</v>
      </c>
      <c r="G3838" s="96" t="s">
        <v>88</v>
      </c>
      <c r="H3838" s="19" t="s">
        <v>5082</v>
      </c>
      <c r="I3838" s="23" t="e">
        <f>VLOOKUP(H3838,'合同综合查询数据（3月返）'!$A:$A,1,FALSE)</f>
        <v>#N/A</v>
      </c>
      <c r="J3838" s="24" t="s">
        <v>126</v>
      </c>
      <c r="K3838" s="96" t="s">
        <v>4216</v>
      </c>
      <c r="L3838" s="114" t="s">
        <v>5083</v>
      </c>
      <c r="M3838" s="26" t="s">
        <v>5084</v>
      </c>
      <c r="N3838" s="106">
        <v>44865</v>
      </c>
      <c r="O3838" s="94" t="s">
        <v>1424</v>
      </c>
      <c r="P3838" s="268">
        <v>4500</v>
      </c>
      <c r="Q3838" s="273">
        <v>-6</v>
      </c>
      <c r="R3838" s="268">
        <f t="shared" si="89"/>
        <v>-27000</v>
      </c>
      <c r="S3838" s="24">
        <v>202303</v>
      </c>
      <c r="T3838" s="127" t="s">
        <v>5090</v>
      </c>
      <c r="U3838" s="97"/>
      <c r="V3838" s="128"/>
      <c r="W3838" s="128"/>
      <c r="X3838" s="311">
        <v>44743</v>
      </c>
      <c r="Y3838" s="106">
        <v>45107</v>
      </c>
    </row>
    <row r="3839" s="9" customFormat="1" customHeight="1" spans="1:25">
      <c r="A3839" s="104" t="s">
        <v>25</v>
      </c>
      <c r="B3839" s="94" t="s">
        <v>4074</v>
      </c>
      <c r="C3839" s="94" t="s">
        <v>130</v>
      </c>
      <c r="D3839" s="94" t="s">
        <v>4178</v>
      </c>
      <c r="E3839" s="105" t="s">
        <v>5091</v>
      </c>
      <c r="F3839" s="96" t="s">
        <v>5092</v>
      </c>
      <c r="G3839" s="96" t="s">
        <v>31</v>
      </c>
      <c r="H3839" s="19" t="s">
        <v>5093</v>
      </c>
      <c r="I3839" s="23" t="e">
        <f>VLOOKUP(H3839,'合同综合查询数据（3月返）'!$A:$A,1,FALSE)</f>
        <v>#N/A</v>
      </c>
      <c r="J3839" s="24" t="s">
        <v>33</v>
      </c>
      <c r="K3839" s="96" t="s">
        <v>4917</v>
      </c>
      <c r="L3839" s="114" t="s">
        <v>5094</v>
      </c>
      <c r="M3839" s="26" t="s">
        <v>5095</v>
      </c>
      <c r="N3839" s="106">
        <v>44082</v>
      </c>
      <c r="O3839" s="94" t="s">
        <v>37</v>
      </c>
      <c r="P3839" s="268">
        <v>0</v>
      </c>
      <c r="Q3839" s="273">
        <v>288</v>
      </c>
      <c r="R3839" s="268">
        <f t="shared" si="89"/>
        <v>0</v>
      </c>
      <c r="S3839" s="24">
        <v>202303</v>
      </c>
      <c r="T3839" s="127" t="s">
        <v>5096</v>
      </c>
      <c r="U3839" s="97"/>
      <c r="V3839" s="128"/>
      <c r="W3839" s="97"/>
      <c r="X3839" s="106">
        <v>44682</v>
      </c>
      <c r="Y3839" s="106">
        <v>45046</v>
      </c>
    </row>
    <row r="3840" s="9" customFormat="1" customHeight="1" spans="1:25">
      <c r="A3840" s="104" t="s">
        <v>25</v>
      </c>
      <c r="B3840" s="94" t="s">
        <v>4074</v>
      </c>
      <c r="C3840" s="94" t="s">
        <v>130</v>
      </c>
      <c r="D3840" s="94" t="s">
        <v>4178</v>
      </c>
      <c r="E3840" s="105" t="s">
        <v>5091</v>
      </c>
      <c r="F3840" s="96" t="s">
        <v>5092</v>
      </c>
      <c r="G3840" s="96" t="s">
        <v>31</v>
      </c>
      <c r="H3840" s="19" t="s">
        <v>5093</v>
      </c>
      <c r="I3840" s="23" t="e">
        <f>VLOOKUP(H3840,'合同综合查询数据（3月返）'!$A:$A,1,FALSE)</f>
        <v>#N/A</v>
      </c>
      <c r="J3840" s="24" t="s">
        <v>33</v>
      </c>
      <c r="K3840" s="96" t="s">
        <v>4917</v>
      </c>
      <c r="L3840" s="114" t="s">
        <v>5094</v>
      </c>
      <c r="M3840" s="26" t="s">
        <v>5095</v>
      </c>
      <c r="N3840" s="106">
        <v>44768</v>
      </c>
      <c r="O3840" s="94" t="s">
        <v>37</v>
      </c>
      <c r="P3840" s="268">
        <v>0</v>
      </c>
      <c r="Q3840" s="273">
        <v>-128</v>
      </c>
      <c r="R3840" s="268">
        <f t="shared" si="89"/>
        <v>0</v>
      </c>
      <c r="S3840" s="24">
        <v>202303</v>
      </c>
      <c r="T3840" s="127" t="s">
        <v>5097</v>
      </c>
      <c r="U3840" s="97"/>
      <c r="V3840" s="128"/>
      <c r="W3840" s="97"/>
      <c r="X3840" s="106">
        <v>44682</v>
      </c>
      <c r="Y3840" s="106">
        <v>45046</v>
      </c>
    </row>
    <row r="3841" s="9" customFormat="1" customHeight="1" spans="1:25">
      <c r="A3841" s="104" t="s">
        <v>25</v>
      </c>
      <c r="B3841" s="94" t="s">
        <v>4074</v>
      </c>
      <c r="C3841" s="94" t="s">
        <v>130</v>
      </c>
      <c r="D3841" s="94" t="s">
        <v>4178</v>
      </c>
      <c r="E3841" s="105" t="s">
        <v>5091</v>
      </c>
      <c r="F3841" s="96" t="s">
        <v>5092</v>
      </c>
      <c r="G3841" s="96" t="s">
        <v>31</v>
      </c>
      <c r="H3841" s="19" t="s">
        <v>5093</v>
      </c>
      <c r="I3841" s="23" t="e">
        <f>VLOOKUP(H3841,'合同综合查询数据（3月返）'!$A:$A,1,FALSE)</f>
        <v>#N/A</v>
      </c>
      <c r="J3841" s="24" t="s">
        <v>33</v>
      </c>
      <c r="K3841" s="96" t="s">
        <v>4917</v>
      </c>
      <c r="L3841" s="114" t="s">
        <v>5098</v>
      </c>
      <c r="M3841" s="26" t="s">
        <v>5095</v>
      </c>
      <c r="N3841" s="106">
        <v>44410</v>
      </c>
      <c r="O3841" s="94" t="s">
        <v>37</v>
      </c>
      <c r="P3841" s="268">
        <v>0</v>
      </c>
      <c r="Q3841" s="273">
        <v>288</v>
      </c>
      <c r="R3841" s="268">
        <f t="shared" si="89"/>
        <v>0</v>
      </c>
      <c r="S3841" s="24">
        <v>202303</v>
      </c>
      <c r="T3841" s="127" t="s">
        <v>5099</v>
      </c>
      <c r="U3841" s="97"/>
      <c r="V3841" s="128"/>
      <c r="W3841" s="97"/>
      <c r="X3841" s="106">
        <v>44682</v>
      </c>
      <c r="Y3841" s="106">
        <v>45046</v>
      </c>
    </row>
    <row r="3842" s="9" customFormat="1" customHeight="1" spans="1:25">
      <c r="A3842" s="104" t="s">
        <v>25</v>
      </c>
      <c r="B3842" s="94" t="s">
        <v>4074</v>
      </c>
      <c r="C3842" s="94" t="s">
        <v>130</v>
      </c>
      <c r="D3842" s="94" t="s">
        <v>4178</v>
      </c>
      <c r="E3842" s="105" t="s">
        <v>5091</v>
      </c>
      <c r="F3842" s="96" t="s">
        <v>5092</v>
      </c>
      <c r="G3842" s="96" t="s">
        <v>31</v>
      </c>
      <c r="H3842" s="19" t="s">
        <v>5093</v>
      </c>
      <c r="I3842" s="23" t="e">
        <f>VLOOKUP(H3842,'合同综合查询数据（3月返）'!$A:$A,1,FALSE)</f>
        <v>#N/A</v>
      </c>
      <c r="J3842" s="24" t="s">
        <v>33</v>
      </c>
      <c r="K3842" s="96" t="s">
        <v>4917</v>
      </c>
      <c r="L3842" s="114" t="s">
        <v>5094</v>
      </c>
      <c r="M3842" s="26" t="s">
        <v>5095</v>
      </c>
      <c r="N3842" s="106"/>
      <c r="O3842" s="94" t="s">
        <v>152</v>
      </c>
      <c r="P3842" s="268">
        <v>0</v>
      </c>
      <c r="Q3842" s="273">
        <v>0</v>
      </c>
      <c r="R3842" s="268">
        <f t="shared" si="89"/>
        <v>0</v>
      </c>
      <c r="S3842" s="24">
        <v>202303</v>
      </c>
      <c r="T3842" s="127" t="s">
        <v>5100</v>
      </c>
      <c r="U3842" s="97"/>
      <c r="V3842" s="128"/>
      <c r="W3842" s="97"/>
      <c r="X3842" s="106">
        <v>44682</v>
      </c>
      <c r="Y3842" s="106">
        <v>45046</v>
      </c>
    </row>
    <row r="3843" s="9" customFormat="1" customHeight="1" spans="1:25">
      <c r="A3843" s="104" t="s">
        <v>25</v>
      </c>
      <c r="B3843" s="94" t="s">
        <v>4074</v>
      </c>
      <c r="C3843" s="94" t="s">
        <v>130</v>
      </c>
      <c r="D3843" s="94" t="s">
        <v>4178</v>
      </c>
      <c r="E3843" s="105" t="s">
        <v>5091</v>
      </c>
      <c r="F3843" s="96" t="s">
        <v>5092</v>
      </c>
      <c r="G3843" s="96" t="s">
        <v>88</v>
      </c>
      <c r="H3843" s="19" t="s">
        <v>5093</v>
      </c>
      <c r="I3843" s="23" t="e">
        <f>VLOOKUP(H3843,'合同综合查询数据（3月返）'!$A:$A,1,FALSE)</f>
        <v>#N/A</v>
      </c>
      <c r="J3843" s="24" t="s">
        <v>126</v>
      </c>
      <c r="K3843" s="96" t="s">
        <v>4917</v>
      </c>
      <c r="L3843" s="114" t="s">
        <v>5094</v>
      </c>
      <c r="M3843" s="26" t="s">
        <v>5095</v>
      </c>
      <c r="N3843" s="106">
        <v>44082</v>
      </c>
      <c r="O3843" s="94" t="s">
        <v>457</v>
      </c>
      <c r="P3843" s="268">
        <v>5000</v>
      </c>
      <c r="Q3843" s="273">
        <v>5</v>
      </c>
      <c r="R3843" s="268">
        <f t="shared" si="89"/>
        <v>25000</v>
      </c>
      <c r="S3843" s="24">
        <v>202303</v>
      </c>
      <c r="T3843" s="127" t="s">
        <v>5101</v>
      </c>
      <c r="U3843" s="97"/>
      <c r="V3843" s="128"/>
      <c r="W3843" s="97"/>
      <c r="X3843" s="106">
        <v>44682</v>
      </c>
      <c r="Y3843" s="106">
        <v>45046</v>
      </c>
    </row>
    <row r="3844" s="9" customFormat="1" customHeight="1" spans="1:25">
      <c r="A3844" s="104" t="s">
        <v>25</v>
      </c>
      <c r="B3844" s="94" t="s">
        <v>4074</v>
      </c>
      <c r="C3844" s="94" t="s">
        <v>130</v>
      </c>
      <c r="D3844" s="94" t="s">
        <v>4178</v>
      </c>
      <c r="E3844" s="105" t="s">
        <v>5091</v>
      </c>
      <c r="F3844" s="96" t="s">
        <v>5092</v>
      </c>
      <c r="G3844" s="96" t="s">
        <v>88</v>
      </c>
      <c r="H3844" s="19" t="s">
        <v>5093</v>
      </c>
      <c r="I3844" s="23" t="e">
        <f>VLOOKUP(H3844,'合同综合查询数据（3月返）'!$A:$A,1,FALSE)</f>
        <v>#N/A</v>
      </c>
      <c r="J3844" s="24" t="s">
        <v>126</v>
      </c>
      <c r="K3844" s="96" t="s">
        <v>4917</v>
      </c>
      <c r="L3844" s="114" t="s">
        <v>5094</v>
      </c>
      <c r="M3844" s="26" t="s">
        <v>5095</v>
      </c>
      <c r="N3844" s="106">
        <v>44409</v>
      </c>
      <c r="O3844" s="94" t="s">
        <v>457</v>
      </c>
      <c r="P3844" s="268">
        <v>5000</v>
      </c>
      <c r="Q3844" s="273">
        <v>1</v>
      </c>
      <c r="R3844" s="268">
        <f t="shared" si="89"/>
        <v>5000</v>
      </c>
      <c r="S3844" s="24">
        <v>202303</v>
      </c>
      <c r="T3844" s="127" t="s">
        <v>5102</v>
      </c>
      <c r="U3844" s="97"/>
      <c r="V3844" s="128"/>
      <c r="W3844" s="97"/>
      <c r="X3844" s="106">
        <v>44682</v>
      </c>
      <c r="Y3844" s="106">
        <v>45046</v>
      </c>
    </row>
    <row r="3845" s="9" customFormat="1" customHeight="1" spans="1:25">
      <c r="A3845" s="104" t="s">
        <v>25</v>
      </c>
      <c r="B3845" s="94" t="s">
        <v>4074</v>
      </c>
      <c r="C3845" s="94" t="s">
        <v>130</v>
      </c>
      <c r="D3845" s="94" t="s">
        <v>4178</v>
      </c>
      <c r="E3845" s="105" t="s">
        <v>5091</v>
      </c>
      <c r="F3845" s="96" t="s">
        <v>5092</v>
      </c>
      <c r="G3845" s="96" t="s">
        <v>88</v>
      </c>
      <c r="H3845" s="19" t="s">
        <v>5093</v>
      </c>
      <c r="I3845" s="23" t="e">
        <f>VLOOKUP(H3845,'合同综合查询数据（3月返）'!$A:$A,1,FALSE)</f>
        <v>#N/A</v>
      </c>
      <c r="J3845" s="24" t="s">
        <v>126</v>
      </c>
      <c r="K3845" s="96" t="s">
        <v>4917</v>
      </c>
      <c r="L3845" s="114" t="s">
        <v>5098</v>
      </c>
      <c r="M3845" s="26" t="s">
        <v>5095</v>
      </c>
      <c r="N3845" s="106">
        <v>44410</v>
      </c>
      <c r="O3845" s="94" t="s">
        <v>457</v>
      </c>
      <c r="P3845" s="268">
        <v>5000</v>
      </c>
      <c r="Q3845" s="273">
        <v>4</v>
      </c>
      <c r="R3845" s="268">
        <f t="shared" si="89"/>
        <v>20000</v>
      </c>
      <c r="S3845" s="24">
        <v>202303</v>
      </c>
      <c r="T3845" s="127" t="s">
        <v>5103</v>
      </c>
      <c r="U3845" s="97"/>
      <c r="V3845" s="128"/>
      <c r="W3845" s="97"/>
      <c r="X3845" s="106">
        <v>44682</v>
      </c>
      <c r="Y3845" s="106">
        <v>45046</v>
      </c>
    </row>
    <row r="3846" s="9" customFormat="1" customHeight="1" spans="1:25">
      <c r="A3846" s="104" t="s">
        <v>25</v>
      </c>
      <c r="B3846" s="94" t="s">
        <v>4074</v>
      </c>
      <c r="C3846" s="94" t="s">
        <v>130</v>
      </c>
      <c r="D3846" s="94" t="s">
        <v>4178</v>
      </c>
      <c r="E3846" s="105" t="s">
        <v>5091</v>
      </c>
      <c r="F3846" s="96" t="s">
        <v>5092</v>
      </c>
      <c r="G3846" s="96" t="s">
        <v>88</v>
      </c>
      <c r="H3846" s="19" t="s">
        <v>5093</v>
      </c>
      <c r="I3846" s="23" t="e">
        <f>VLOOKUP(H3846,'合同综合查询数据（3月返）'!$A:$A,1,FALSE)</f>
        <v>#N/A</v>
      </c>
      <c r="J3846" s="24" t="s">
        <v>126</v>
      </c>
      <c r="K3846" s="96" t="s">
        <v>4917</v>
      </c>
      <c r="L3846" s="114" t="s">
        <v>5098</v>
      </c>
      <c r="M3846" s="26" t="s">
        <v>5095</v>
      </c>
      <c r="N3846" s="106">
        <v>44584</v>
      </c>
      <c r="O3846" s="94" t="s">
        <v>457</v>
      </c>
      <c r="P3846" s="268">
        <v>5000</v>
      </c>
      <c r="Q3846" s="273">
        <v>1</v>
      </c>
      <c r="R3846" s="268">
        <f t="shared" si="89"/>
        <v>5000</v>
      </c>
      <c r="S3846" s="24">
        <v>202303</v>
      </c>
      <c r="T3846" s="127" t="s">
        <v>5104</v>
      </c>
      <c r="U3846" s="97"/>
      <c r="V3846" s="128"/>
      <c r="W3846" s="97"/>
      <c r="X3846" s="106">
        <v>44682</v>
      </c>
      <c r="Y3846" s="106">
        <v>45046</v>
      </c>
    </row>
    <row r="3847" s="9" customFormat="1" customHeight="1" spans="1:25">
      <c r="A3847" s="104" t="s">
        <v>25</v>
      </c>
      <c r="B3847" s="94" t="s">
        <v>4074</v>
      </c>
      <c r="C3847" s="94" t="s">
        <v>130</v>
      </c>
      <c r="D3847" s="94" t="s">
        <v>4178</v>
      </c>
      <c r="E3847" s="105" t="s">
        <v>5091</v>
      </c>
      <c r="F3847" s="96" t="s">
        <v>5092</v>
      </c>
      <c r="G3847" s="96" t="s">
        <v>88</v>
      </c>
      <c r="H3847" s="19" t="s">
        <v>5093</v>
      </c>
      <c r="I3847" s="23" t="e">
        <f>VLOOKUP(H3847,'合同综合查询数据（3月返）'!$A:$A,1,FALSE)</f>
        <v>#N/A</v>
      </c>
      <c r="J3847" s="24" t="s">
        <v>126</v>
      </c>
      <c r="K3847" s="96" t="s">
        <v>4917</v>
      </c>
      <c r="L3847" s="114" t="s">
        <v>5094</v>
      </c>
      <c r="M3847" s="26" t="s">
        <v>5095</v>
      </c>
      <c r="N3847" s="106">
        <v>44768</v>
      </c>
      <c r="O3847" s="94" t="s">
        <v>457</v>
      </c>
      <c r="P3847" s="268">
        <v>5000</v>
      </c>
      <c r="Q3847" s="273">
        <v>-3</v>
      </c>
      <c r="R3847" s="268">
        <f t="shared" si="89"/>
        <v>-15000</v>
      </c>
      <c r="S3847" s="24">
        <v>202303</v>
      </c>
      <c r="T3847" s="127" t="s">
        <v>5105</v>
      </c>
      <c r="U3847" s="97"/>
      <c r="V3847" s="128"/>
      <c r="W3847" s="97"/>
      <c r="X3847" s="106">
        <v>44682</v>
      </c>
      <c r="Y3847" s="106">
        <v>45046</v>
      </c>
    </row>
    <row r="3848" s="9" customFormat="1" customHeight="1" spans="1:25">
      <c r="A3848" s="104" t="s">
        <v>25</v>
      </c>
      <c r="B3848" s="94" t="s">
        <v>4074</v>
      </c>
      <c r="C3848" s="94" t="s">
        <v>130</v>
      </c>
      <c r="D3848" s="94" t="s">
        <v>4178</v>
      </c>
      <c r="E3848" s="105" t="s">
        <v>5091</v>
      </c>
      <c r="F3848" s="96" t="s">
        <v>5092</v>
      </c>
      <c r="G3848" s="96" t="s">
        <v>31</v>
      </c>
      <c r="H3848" s="19" t="s">
        <v>5106</v>
      </c>
      <c r="I3848" s="23" t="e">
        <f>VLOOKUP(H3848,'合同综合查询数据（3月返）'!$A:$A,1,FALSE)</f>
        <v>#N/A</v>
      </c>
      <c r="J3848" s="24" t="s">
        <v>33</v>
      </c>
      <c r="K3848" s="96" t="s">
        <v>5107</v>
      </c>
      <c r="L3848" s="114" t="s">
        <v>5108</v>
      </c>
      <c r="M3848" s="26" t="s">
        <v>5109</v>
      </c>
      <c r="N3848" s="106">
        <v>44470</v>
      </c>
      <c r="O3848" s="94" t="s">
        <v>37</v>
      </c>
      <c r="P3848" s="297">
        <v>0</v>
      </c>
      <c r="Q3848" s="273">
        <v>320</v>
      </c>
      <c r="R3848" s="268">
        <f t="shared" si="89"/>
        <v>0</v>
      </c>
      <c r="S3848" s="24">
        <v>202303</v>
      </c>
      <c r="T3848" s="127" t="s">
        <v>5110</v>
      </c>
      <c r="U3848" s="97"/>
      <c r="V3848" s="128"/>
      <c r="W3848" s="97"/>
      <c r="X3848" s="311">
        <v>44743</v>
      </c>
      <c r="Y3848" s="106">
        <v>45046</v>
      </c>
    </row>
    <row r="3849" s="9" customFormat="1" customHeight="1" spans="1:25">
      <c r="A3849" s="104" t="s">
        <v>25</v>
      </c>
      <c r="B3849" s="94" t="s">
        <v>4074</v>
      </c>
      <c r="C3849" s="94" t="s">
        <v>130</v>
      </c>
      <c r="D3849" s="94" t="s">
        <v>4178</v>
      </c>
      <c r="E3849" s="105" t="s">
        <v>5091</v>
      </c>
      <c r="F3849" s="96" t="s">
        <v>5092</v>
      </c>
      <c r="G3849" s="96" t="s">
        <v>31</v>
      </c>
      <c r="H3849" s="19" t="s">
        <v>5106</v>
      </c>
      <c r="I3849" s="23" t="e">
        <f>VLOOKUP(H3849,'合同综合查询数据（3月返）'!$A:$A,1,FALSE)</f>
        <v>#N/A</v>
      </c>
      <c r="J3849" s="24" t="s">
        <v>33</v>
      </c>
      <c r="K3849" s="96" t="s">
        <v>5107</v>
      </c>
      <c r="L3849" s="114" t="s">
        <v>5108</v>
      </c>
      <c r="M3849" s="26" t="s">
        <v>5109</v>
      </c>
      <c r="N3849" s="106"/>
      <c r="O3849" s="94" t="s">
        <v>152</v>
      </c>
      <c r="P3849" s="297">
        <v>0</v>
      </c>
      <c r="Q3849" s="297">
        <v>0</v>
      </c>
      <c r="R3849" s="268">
        <f t="shared" si="89"/>
        <v>0</v>
      </c>
      <c r="S3849" s="24">
        <v>202303</v>
      </c>
      <c r="T3849" s="127" t="s">
        <v>5111</v>
      </c>
      <c r="U3849" s="97"/>
      <c r="V3849" s="128"/>
      <c r="W3849" s="97"/>
      <c r="X3849" s="311">
        <v>44743</v>
      </c>
      <c r="Y3849" s="106">
        <v>45046</v>
      </c>
    </row>
    <row r="3850" s="9" customFormat="1" customHeight="1" spans="1:25">
      <c r="A3850" s="104" t="s">
        <v>25</v>
      </c>
      <c r="B3850" s="94" t="s">
        <v>4074</v>
      </c>
      <c r="C3850" s="94" t="s">
        <v>130</v>
      </c>
      <c r="D3850" s="94" t="s">
        <v>4178</v>
      </c>
      <c r="E3850" s="105" t="s">
        <v>5091</v>
      </c>
      <c r="F3850" s="96" t="s">
        <v>5092</v>
      </c>
      <c r="G3850" s="96" t="s">
        <v>88</v>
      </c>
      <c r="H3850" s="19" t="s">
        <v>5106</v>
      </c>
      <c r="I3850" s="23" t="e">
        <f>VLOOKUP(H3850,'合同综合查询数据（3月返）'!$A:$A,1,FALSE)</f>
        <v>#N/A</v>
      </c>
      <c r="J3850" s="24" t="s">
        <v>126</v>
      </c>
      <c r="K3850" s="96" t="s">
        <v>5107</v>
      </c>
      <c r="L3850" s="114" t="s">
        <v>5108</v>
      </c>
      <c r="M3850" s="26" t="s">
        <v>5109</v>
      </c>
      <c r="N3850" s="106">
        <v>44470</v>
      </c>
      <c r="O3850" s="94" t="s">
        <v>457</v>
      </c>
      <c r="P3850" s="297">
        <v>4500</v>
      </c>
      <c r="Q3850" s="273">
        <v>3</v>
      </c>
      <c r="R3850" s="268">
        <f t="shared" si="89"/>
        <v>13500</v>
      </c>
      <c r="S3850" s="24">
        <v>202303</v>
      </c>
      <c r="T3850" s="127" t="s">
        <v>5112</v>
      </c>
      <c r="U3850" s="97"/>
      <c r="V3850" s="128"/>
      <c r="W3850" s="97"/>
      <c r="X3850" s="311">
        <v>44743</v>
      </c>
      <c r="Y3850" s="106">
        <v>45046</v>
      </c>
    </row>
    <row r="3851" s="9" customFormat="1" customHeight="1" spans="1:25">
      <c r="A3851" s="104" t="s">
        <v>129</v>
      </c>
      <c r="B3851" s="94" t="s">
        <v>4074</v>
      </c>
      <c r="C3851" s="94" t="s">
        <v>130</v>
      </c>
      <c r="D3851" s="94" t="s">
        <v>4178</v>
      </c>
      <c r="E3851" s="105" t="s">
        <v>5091</v>
      </c>
      <c r="F3851" s="96" t="s">
        <v>5092</v>
      </c>
      <c r="G3851" s="96" t="s">
        <v>31</v>
      </c>
      <c r="H3851" s="19" t="s">
        <v>5113</v>
      </c>
      <c r="I3851" s="23" t="str">
        <f>VLOOKUP(H3851,'合同综合查询数据（3月返）'!$A:$A,1,FALSE)</f>
        <v>182315IDC00058</v>
      </c>
      <c r="J3851" s="24" t="s">
        <v>33</v>
      </c>
      <c r="K3851" s="96" t="s">
        <v>4917</v>
      </c>
      <c r="L3851" s="114" t="s">
        <v>1954</v>
      </c>
      <c r="M3851" s="26" t="s">
        <v>5114</v>
      </c>
      <c r="N3851" s="106">
        <v>44927</v>
      </c>
      <c r="O3851" s="94" t="s">
        <v>37</v>
      </c>
      <c r="P3851" s="297">
        <v>0</v>
      </c>
      <c r="Q3851" s="273">
        <v>480</v>
      </c>
      <c r="R3851" s="268">
        <f t="shared" si="89"/>
        <v>0</v>
      </c>
      <c r="S3851" s="24">
        <v>202303</v>
      </c>
      <c r="T3851" s="127" t="s">
        <v>5115</v>
      </c>
      <c r="U3851" s="97"/>
      <c r="V3851" s="128"/>
      <c r="W3851" s="97"/>
      <c r="X3851" s="106">
        <v>44927</v>
      </c>
      <c r="Y3851" s="106">
        <v>45291</v>
      </c>
    </row>
    <row r="3852" s="9" customFormat="1" customHeight="1" spans="1:25">
      <c r="A3852" s="104" t="s">
        <v>129</v>
      </c>
      <c r="B3852" s="94" t="s">
        <v>4074</v>
      </c>
      <c r="C3852" s="94" t="s">
        <v>130</v>
      </c>
      <c r="D3852" s="94" t="s">
        <v>4178</v>
      </c>
      <c r="E3852" s="105" t="s">
        <v>5091</v>
      </c>
      <c r="F3852" s="96" t="s">
        <v>5092</v>
      </c>
      <c r="G3852" s="96" t="s">
        <v>31</v>
      </c>
      <c r="H3852" s="19" t="s">
        <v>5113</v>
      </c>
      <c r="I3852" s="23" t="str">
        <f>VLOOKUP(H3852,'合同综合查询数据（3月返）'!$A:$A,1,FALSE)</f>
        <v>182315IDC00058</v>
      </c>
      <c r="J3852" s="24" t="s">
        <v>33</v>
      </c>
      <c r="K3852" s="96" t="s">
        <v>4917</v>
      </c>
      <c r="L3852" s="114" t="s">
        <v>1954</v>
      </c>
      <c r="M3852" s="26" t="s">
        <v>5114</v>
      </c>
      <c r="N3852" s="106"/>
      <c r="O3852" s="94" t="s">
        <v>152</v>
      </c>
      <c r="P3852" s="297">
        <v>0</v>
      </c>
      <c r="Q3852" s="273">
        <v>0</v>
      </c>
      <c r="R3852" s="268">
        <f t="shared" si="89"/>
        <v>0</v>
      </c>
      <c r="S3852" s="24">
        <v>202303</v>
      </c>
      <c r="T3852" s="127" t="s">
        <v>5111</v>
      </c>
      <c r="U3852" s="97"/>
      <c r="V3852" s="128"/>
      <c r="W3852" s="97"/>
      <c r="X3852" s="106">
        <v>44927</v>
      </c>
      <c r="Y3852" s="106">
        <v>45291</v>
      </c>
    </row>
    <row r="3853" s="9" customFormat="1" customHeight="1" spans="1:25">
      <c r="A3853" s="104" t="s">
        <v>129</v>
      </c>
      <c r="B3853" s="94" t="s">
        <v>4074</v>
      </c>
      <c r="C3853" s="94" t="s">
        <v>130</v>
      </c>
      <c r="D3853" s="94" t="s">
        <v>4178</v>
      </c>
      <c r="E3853" s="105" t="s">
        <v>5091</v>
      </c>
      <c r="F3853" s="96" t="s">
        <v>5092</v>
      </c>
      <c r="G3853" s="96" t="s">
        <v>88</v>
      </c>
      <c r="H3853" s="19" t="s">
        <v>5113</v>
      </c>
      <c r="I3853" s="23" t="str">
        <f>VLOOKUP(H3853,'合同综合查询数据（3月返）'!$A:$A,1,FALSE)</f>
        <v>182315IDC00058</v>
      </c>
      <c r="J3853" s="24" t="s">
        <v>126</v>
      </c>
      <c r="K3853" s="96" t="s">
        <v>4917</v>
      </c>
      <c r="L3853" s="114" t="s">
        <v>1954</v>
      </c>
      <c r="M3853" s="26" t="s">
        <v>5114</v>
      </c>
      <c r="N3853" s="106">
        <v>44927</v>
      </c>
      <c r="O3853" s="94" t="s">
        <v>457</v>
      </c>
      <c r="P3853" s="297">
        <v>5000</v>
      </c>
      <c r="Q3853" s="273">
        <v>2</v>
      </c>
      <c r="R3853" s="268">
        <f t="shared" si="89"/>
        <v>10000</v>
      </c>
      <c r="S3853" s="24">
        <v>202303</v>
      </c>
      <c r="T3853" s="127" t="s">
        <v>5116</v>
      </c>
      <c r="U3853" s="97"/>
      <c r="V3853" s="128"/>
      <c r="W3853" s="97"/>
      <c r="X3853" s="106">
        <v>44927</v>
      </c>
      <c r="Y3853" s="106">
        <v>45291</v>
      </c>
    </row>
    <row r="3854" s="9" customFormat="1" customHeight="1" spans="1:25">
      <c r="A3854" s="104" t="s">
        <v>129</v>
      </c>
      <c r="B3854" s="94" t="s">
        <v>4074</v>
      </c>
      <c r="C3854" s="94" t="s">
        <v>130</v>
      </c>
      <c r="D3854" s="94" t="s">
        <v>4178</v>
      </c>
      <c r="E3854" s="105" t="s">
        <v>5091</v>
      </c>
      <c r="F3854" s="96" t="s">
        <v>5092</v>
      </c>
      <c r="G3854" s="96" t="s">
        <v>31</v>
      </c>
      <c r="H3854" s="19" t="s">
        <v>5113</v>
      </c>
      <c r="I3854" s="23" t="str">
        <f>VLOOKUP(H3854,'合同综合查询数据（3月返）'!$A:$A,1,FALSE)</f>
        <v>182315IDC00058</v>
      </c>
      <c r="J3854" s="24" t="s">
        <v>33</v>
      </c>
      <c r="K3854" s="96" t="s">
        <v>4917</v>
      </c>
      <c r="L3854" s="114" t="s">
        <v>1956</v>
      </c>
      <c r="M3854" s="26" t="s">
        <v>5114</v>
      </c>
      <c r="N3854" s="106">
        <v>44927</v>
      </c>
      <c r="O3854" s="94" t="s">
        <v>37</v>
      </c>
      <c r="P3854" s="297">
        <v>0</v>
      </c>
      <c r="Q3854" s="273">
        <v>480</v>
      </c>
      <c r="R3854" s="268">
        <f t="shared" si="89"/>
        <v>0</v>
      </c>
      <c r="S3854" s="24">
        <v>202303</v>
      </c>
      <c r="T3854" s="127" t="s">
        <v>5117</v>
      </c>
      <c r="U3854" s="97"/>
      <c r="V3854" s="128"/>
      <c r="W3854" s="97"/>
      <c r="X3854" s="106">
        <v>44927</v>
      </c>
      <c r="Y3854" s="106">
        <v>45291</v>
      </c>
    </row>
    <row r="3855" s="9" customFormat="1" customHeight="1" spans="1:25">
      <c r="A3855" s="104" t="s">
        <v>129</v>
      </c>
      <c r="B3855" s="94" t="s">
        <v>4074</v>
      </c>
      <c r="C3855" s="94" t="s">
        <v>130</v>
      </c>
      <c r="D3855" s="94" t="s">
        <v>4178</v>
      </c>
      <c r="E3855" s="105" t="s">
        <v>5091</v>
      </c>
      <c r="F3855" s="96" t="s">
        <v>5092</v>
      </c>
      <c r="G3855" s="96" t="s">
        <v>31</v>
      </c>
      <c r="H3855" s="19" t="s">
        <v>5113</v>
      </c>
      <c r="I3855" s="23" t="str">
        <f>VLOOKUP(H3855,'合同综合查询数据（3月返）'!$A:$A,1,FALSE)</f>
        <v>182315IDC00058</v>
      </c>
      <c r="J3855" s="24" t="s">
        <v>33</v>
      </c>
      <c r="K3855" s="96" t="s">
        <v>4917</v>
      </c>
      <c r="L3855" s="114" t="s">
        <v>1956</v>
      </c>
      <c r="M3855" s="26" t="s">
        <v>5114</v>
      </c>
      <c r="N3855" s="106"/>
      <c r="O3855" s="94" t="s">
        <v>152</v>
      </c>
      <c r="P3855" s="297">
        <v>0</v>
      </c>
      <c r="Q3855" s="273">
        <v>0</v>
      </c>
      <c r="R3855" s="268">
        <f t="shared" si="89"/>
        <v>0</v>
      </c>
      <c r="S3855" s="24">
        <v>202303</v>
      </c>
      <c r="T3855" s="127" t="s">
        <v>5111</v>
      </c>
      <c r="U3855" s="97"/>
      <c r="V3855" s="128"/>
      <c r="W3855" s="97"/>
      <c r="X3855" s="106">
        <v>44927</v>
      </c>
      <c r="Y3855" s="106">
        <v>45291</v>
      </c>
    </row>
    <row r="3856" s="9" customFormat="1" customHeight="1" spans="1:25">
      <c r="A3856" s="104" t="s">
        <v>129</v>
      </c>
      <c r="B3856" s="94" t="s">
        <v>4074</v>
      </c>
      <c r="C3856" s="94" t="s">
        <v>130</v>
      </c>
      <c r="D3856" s="94" t="s">
        <v>4178</v>
      </c>
      <c r="E3856" s="105" t="s">
        <v>5091</v>
      </c>
      <c r="F3856" s="96" t="s">
        <v>5092</v>
      </c>
      <c r="G3856" s="96" t="s">
        <v>88</v>
      </c>
      <c r="H3856" s="19" t="s">
        <v>5113</v>
      </c>
      <c r="I3856" s="23" t="str">
        <f>VLOOKUP(H3856,'合同综合查询数据（3月返）'!$A:$A,1,FALSE)</f>
        <v>182315IDC00058</v>
      </c>
      <c r="J3856" s="24" t="s">
        <v>126</v>
      </c>
      <c r="K3856" s="96" t="s">
        <v>4917</v>
      </c>
      <c r="L3856" s="114" t="s">
        <v>1956</v>
      </c>
      <c r="M3856" s="26" t="s">
        <v>5114</v>
      </c>
      <c r="N3856" s="106">
        <v>44927</v>
      </c>
      <c r="O3856" s="94" t="s">
        <v>457</v>
      </c>
      <c r="P3856" s="297">
        <v>5000</v>
      </c>
      <c r="Q3856" s="273">
        <v>2</v>
      </c>
      <c r="R3856" s="268">
        <f t="shared" si="89"/>
        <v>10000</v>
      </c>
      <c r="S3856" s="24">
        <v>202303</v>
      </c>
      <c r="T3856" s="127" t="s">
        <v>5118</v>
      </c>
      <c r="U3856" s="97"/>
      <c r="V3856" s="128"/>
      <c r="W3856" s="97"/>
      <c r="X3856" s="106">
        <v>44927</v>
      </c>
      <c r="Y3856" s="106">
        <v>45291</v>
      </c>
    </row>
    <row r="3857" s="9" customFormat="1" customHeight="1" spans="1:25">
      <c r="A3857" s="96" t="s">
        <v>109</v>
      </c>
      <c r="B3857" s="94" t="s">
        <v>4074</v>
      </c>
      <c r="C3857" s="94" t="s">
        <v>2035</v>
      </c>
      <c r="D3857" s="94" t="s">
        <v>28</v>
      </c>
      <c r="E3857" s="105" t="s">
        <v>5119</v>
      </c>
      <c r="F3857" s="96" t="s">
        <v>5120</v>
      </c>
      <c r="G3857" s="96" t="s">
        <v>31</v>
      </c>
      <c r="H3857" s="19" t="s">
        <v>5121</v>
      </c>
      <c r="I3857" s="23" t="str">
        <f>VLOOKUP(H3857,'合同综合查询数据（3月返）'!$A:$A,1,FALSE)</f>
        <v>182315IDC00055</v>
      </c>
      <c r="J3857" s="24" t="s">
        <v>33</v>
      </c>
      <c r="K3857" s="96" t="s">
        <v>4980</v>
      </c>
      <c r="L3857" s="114" t="s">
        <v>5122</v>
      </c>
      <c r="M3857" s="26" t="s">
        <v>5123</v>
      </c>
      <c r="N3857" s="106">
        <v>44197</v>
      </c>
      <c r="O3857" s="94" t="s">
        <v>37</v>
      </c>
      <c r="P3857" s="268">
        <v>0</v>
      </c>
      <c r="Q3857" s="273">
        <v>176</v>
      </c>
      <c r="R3857" s="268">
        <f t="shared" si="89"/>
        <v>0</v>
      </c>
      <c r="S3857" s="24">
        <v>202303</v>
      </c>
      <c r="T3857" s="127" t="s">
        <v>5124</v>
      </c>
      <c r="U3857" s="97"/>
      <c r="V3857" s="128"/>
      <c r="W3857" s="128"/>
      <c r="X3857" s="106">
        <v>44927</v>
      </c>
      <c r="Y3857" s="106">
        <v>45291</v>
      </c>
    </row>
    <row r="3858" s="9" customFormat="1" customHeight="1" spans="1:25">
      <c r="A3858" s="96" t="s">
        <v>109</v>
      </c>
      <c r="B3858" s="94" t="s">
        <v>4074</v>
      </c>
      <c r="C3858" s="94" t="s">
        <v>2035</v>
      </c>
      <c r="D3858" s="94" t="s">
        <v>28</v>
      </c>
      <c r="E3858" s="105" t="s">
        <v>5119</v>
      </c>
      <c r="F3858" s="96" t="s">
        <v>5120</v>
      </c>
      <c r="G3858" s="96" t="s">
        <v>31</v>
      </c>
      <c r="H3858" s="19" t="s">
        <v>5121</v>
      </c>
      <c r="I3858" s="23" t="str">
        <f>VLOOKUP(H3858,'合同综合查询数据（3月返）'!$A:$A,1,FALSE)</f>
        <v>182315IDC00055</v>
      </c>
      <c r="J3858" s="24" t="s">
        <v>33</v>
      </c>
      <c r="K3858" s="96" t="s">
        <v>4980</v>
      </c>
      <c r="L3858" s="114" t="s">
        <v>5122</v>
      </c>
      <c r="M3858" s="26" t="s">
        <v>5123</v>
      </c>
      <c r="N3858" s="106">
        <v>44287</v>
      </c>
      <c r="O3858" s="94" t="s">
        <v>37</v>
      </c>
      <c r="P3858" s="268">
        <v>0</v>
      </c>
      <c r="Q3858" s="273">
        <v>368</v>
      </c>
      <c r="R3858" s="268">
        <f t="shared" si="89"/>
        <v>0</v>
      </c>
      <c r="S3858" s="24">
        <v>202303</v>
      </c>
      <c r="T3858" s="127" t="s">
        <v>5125</v>
      </c>
      <c r="U3858" s="97"/>
      <c r="V3858" s="128"/>
      <c r="W3858" s="128"/>
      <c r="X3858" s="106">
        <v>44927</v>
      </c>
      <c r="Y3858" s="106">
        <v>45291</v>
      </c>
    </row>
    <row r="3859" s="9" customFormat="1" customHeight="1" spans="1:25">
      <c r="A3859" s="96" t="s">
        <v>109</v>
      </c>
      <c r="B3859" s="94" t="s">
        <v>4074</v>
      </c>
      <c r="C3859" s="94" t="s">
        <v>2035</v>
      </c>
      <c r="D3859" s="94" t="s">
        <v>28</v>
      </c>
      <c r="E3859" s="105" t="s">
        <v>5119</v>
      </c>
      <c r="F3859" s="96" t="s">
        <v>5120</v>
      </c>
      <c r="G3859" s="96" t="s">
        <v>31</v>
      </c>
      <c r="H3859" s="19" t="s">
        <v>5121</v>
      </c>
      <c r="I3859" s="23" t="str">
        <f>VLOOKUP(H3859,'合同综合查询数据（3月返）'!$A:$A,1,FALSE)</f>
        <v>182315IDC00055</v>
      </c>
      <c r="J3859" s="24" t="s">
        <v>33</v>
      </c>
      <c r="K3859" s="96" t="s">
        <v>4980</v>
      </c>
      <c r="L3859" s="114" t="s">
        <v>5122</v>
      </c>
      <c r="M3859" s="26" t="s">
        <v>5123</v>
      </c>
      <c r="N3859" s="106"/>
      <c r="O3859" s="94" t="s">
        <v>152</v>
      </c>
      <c r="P3859" s="268">
        <v>0</v>
      </c>
      <c r="Q3859" s="273">
        <v>0</v>
      </c>
      <c r="R3859" s="268">
        <f t="shared" si="89"/>
        <v>0</v>
      </c>
      <c r="S3859" s="24">
        <v>202303</v>
      </c>
      <c r="T3859" s="127" t="s">
        <v>4726</v>
      </c>
      <c r="U3859" s="97"/>
      <c r="V3859" s="128"/>
      <c r="W3859" s="128"/>
      <c r="X3859" s="106">
        <v>44927</v>
      </c>
      <c r="Y3859" s="106">
        <v>45291</v>
      </c>
    </row>
    <row r="3860" s="9" customFormat="1" customHeight="1" spans="1:25">
      <c r="A3860" s="96" t="s">
        <v>109</v>
      </c>
      <c r="B3860" s="94" t="s">
        <v>4074</v>
      </c>
      <c r="C3860" s="94" t="s">
        <v>2035</v>
      </c>
      <c r="D3860" s="94" t="s">
        <v>28</v>
      </c>
      <c r="E3860" s="105" t="s">
        <v>5119</v>
      </c>
      <c r="F3860" s="96" t="s">
        <v>5120</v>
      </c>
      <c r="G3860" s="96" t="s">
        <v>88</v>
      </c>
      <c r="H3860" s="19" t="s">
        <v>5121</v>
      </c>
      <c r="I3860" s="23" t="str">
        <f>VLOOKUP(H3860,'合同综合查询数据（3月返）'!$A:$A,1,FALSE)</f>
        <v>182315IDC00055</v>
      </c>
      <c r="J3860" s="24" t="s">
        <v>126</v>
      </c>
      <c r="K3860" s="96" t="s">
        <v>4980</v>
      </c>
      <c r="L3860" s="114" t="s">
        <v>5122</v>
      </c>
      <c r="M3860" s="26" t="s">
        <v>5123</v>
      </c>
      <c r="N3860" s="106">
        <v>44197</v>
      </c>
      <c r="O3860" s="94" t="s">
        <v>3534</v>
      </c>
      <c r="P3860" s="268">
        <v>5000</v>
      </c>
      <c r="Q3860" s="273">
        <v>2</v>
      </c>
      <c r="R3860" s="268">
        <f t="shared" si="89"/>
        <v>10000</v>
      </c>
      <c r="S3860" s="24">
        <v>202303</v>
      </c>
      <c r="T3860" s="127" t="s">
        <v>5126</v>
      </c>
      <c r="U3860" s="97"/>
      <c r="V3860" s="128"/>
      <c r="W3860" s="128"/>
      <c r="X3860" s="106">
        <v>44927</v>
      </c>
      <c r="Y3860" s="106">
        <v>45291</v>
      </c>
    </row>
    <row r="3861" s="9" customFormat="1" customHeight="1" spans="1:25">
      <c r="A3861" s="96" t="s">
        <v>109</v>
      </c>
      <c r="B3861" s="94" t="s">
        <v>4074</v>
      </c>
      <c r="C3861" s="94" t="s">
        <v>2035</v>
      </c>
      <c r="D3861" s="94" t="s">
        <v>28</v>
      </c>
      <c r="E3861" s="105" t="s">
        <v>5119</v>
      </c>
      <c r="F3861" s="96" t="s">
        <v>5120</v>
      </c>
      <c r="G3861" s="96" t="s">
        <v>88</v>
      </c>
      <c r="H3861" s="19" t="s">
        <v>5121</v>
      </c>
      <c r="I3861" s="23" t="str">
        <f>VLOOKUP(H3861,'合同综合查询数据（3月返）'!$A:$A,1,FALSE)</f>
        <v>182315IDC00055</v>
      </c>
      <c r="J3861" s="24" t="s">
        <v>126</v>
      </c>
      <c r="K3861" s="96" t="s">
        <v>4980</v>
      </c>
      <c r="L3861" s="114" t="s">
        <v>5122</v>
      </c>
      <c r="M3861" s="26" t="s">
        <v>5123</v>
      </c>
      <c r="N3861" s="106">
        <v>44287</v>
      </c>
      <c r="O3861" s="94" t="s">
        <v>3534</v>
      </c>
      <c r="P3861" s="268">
        <v>5000</v>
      </c>
      <c r="Q3861" s="273">
        <v>3</v>
      </c>
      <c r="R3861" s="268">
        <f t="shared" si="89"/>
        <v>15000</v>
      </c>
      <c r="S3861" s="24">
        <v>202303</v>
      </c>
      <c r="T3861" s="127" t="s">
        <v>5127</v>
      </c>
      <c r="U3861" s="97"/>
      <c r="V3861" s="128"/>
      <c r="W3861" s="128"/>
      <c r="X3861" s="106">
        <v>44927</v>
      </c>
      <c r="Y3861" s="106">
        <v>45291</v>
      </c>
    </row>
    <row r="3862" s="9" customFormat="1" customHeight="1" spans="1:25">
      <c r="A3862" s="96" t="s">
        <v>109</v>
      </c>
      <c r="B3862" s="94" t="s">
        <v>4074</v>
      </c>
      <c r="C3862" s="94" t="s">
        <v>2035</v>
      </c>
      <c r="D3862" s="94" t="s">
        <v>28</v>
      </c>
      <c r="E3862" s="105" t="s">
        <v>5119</v>
      </c>
      <c r="F3862" s="96" t="s">
        <v>5120</v>
      </c>
      <c r="G3862" s="96" t="s">
        <v>88</v>
      </c>
      <c r="H3862" s="19" t="s">
        <v>5121</v>
      </c>
      <c r="I3862" s="23" t="str">
        <f>VLOOKUP(H3862,'合同综合查询数据（3月返）'!$A:$A,1,FALSE)</f>
        <v>182315IDC00055</v>
      </c>
      <c r="J3862" s="24" t="s">
        <v>126</v>
      </c>
      <c r="K3862" s="96" t="s">
        <v>4980</v>
      </c>
      <c r="L3862" s="114" t="s">
        <v>5122</v>
      </c>
      <c r="M3862" s="26" t="s">
        <v>5123</v>
      </c>
      <c r="N3862" s="106">
        <v>44935</v>
      </c>
      <c r="O3862" s="94" t="s">
        <v>3534</v>
      </c>
      <c r="P3862" s="268">
        <v>5000</v>
      </c>
      <c r="Q3862" s="273">
        <v>1</v>
      </c>
      <c r="R3862" s="268">
        <f t="shared" si="89"/>
        <v>5000</v>
      </c>
      <c r="S3862" s="24">
        <v>202303</v>
      </c>
      <c r="T3862" s="127" t="s">
        <v>5128</v>
      </c>
      <c r="U3862" s="97"/>
      <c r="V3862" s="128"/>
      <c r="W3862" s="128"/>
      <c r="X3862" s="106">
        <v>44927</v>
      </c>
      <c r="Y3862" s="106">
        <v>45291</v>
      </c>
    </row>
    <row r="3863" s="10" customFormat="1" customHeight="1" spans="1:25">
      <c r="A3863" s="60" t="s">
        <v>109</v>
      </c>
      <c r="B3863" s="62" t="s">
        <v>4074</v>
      </c>
      <c r="C3863" s="62" t="s">
        <v>2035</v>
      </c>
      <c r="D3863" s="62" t="s">
        <v>28</v>
      </c>
      <c r="E3863" s="63" t="s">
        <v>5119</v>
      </c>
      <c r="F3863" s="60" t="s">
        <v>5120</v>
      </c>
      <c r="G3863" s="60" t="s">
        <v>31</v>
      </c>
      <c r="H3863" s="45" t="s">
        <v>5129</v>
      </c>
      <c r="I3863" s="47" t="e">
        <f>VLOOKUP(H3863,'合同综合查询数据（3月返）'!$A:$A,1,FALSE)</f>
        <v>#N/A</v>
      </c>
      <c r="J3863" s="48" t="s">
        <v>33</v>
      </c>
      <c r="K3863" s="60" t="s">
        <v>4980</v>
      </c>
      <c r="L3863" s="113" t="s">
        <v>5130</v>
      </c>
      <c r="M3863" s="50" t="s">
        <v>5123</v>
      </c>
      <c r="N3863" s="111">
        <v>44625</v>
      </c>
      <c r="O3863" s="62" t="s">
        <v>37</v>
      </c>
      <c r="P3863" s="266">
        <v>0</v>
      </c>
      <c r="Q3863" s="270">
        <v>256</v>
      </c>
      <c r="R3863" s="266">
        <f t="shared" si="89"/>
        <v>0</v>
      </c>
      <c r="S3863" s="48">
        <v>202303</v>
      </c>
      <c r="T3863" s="125" t="s">
        <v>5131</v>
      </c>
      <c r="U3863" s="102"/>
      <c r="V3863" s="126"/>
      <c r="W3863" s="126"/>
      <c r="X3863" s="111"/>
      <c r="Y3863" s="111"/>
    </row>
    <row r="3864" s="10" customFormat="1" customHeight="1" spans="1:25">
      <c r="A3864" s="60" t="s">
        <v>109</v>
      </c>
      <c r="B3864" s="62" t="s">
        <v>4074</v>
      </c>
      <c r="C3864" s="62" t="s">
        <v>2035</v>
      </c>
      <c r="D3864" s="62" t="s">
        <v>28</v>
      </c>
      <c r="E3864" s="63" t="s">
        <v>5119</v>
      </c>
      <c r="F3864" s="60" t="s">
        <v>5120</v>
      </c>
      <c r="G3864" s="60" t="s">
        <v>88</v>
      </c>
      <c r="H3864" s="45" t="s">
        <v>5129</v>
      </c>
      <c r="I3864" s="47" t="e">
        <f>VLOOKUP(H3864,'合同综合查询数据（3月返）'!$A:$A,1,FALSE)</f>
        <v>#N/A</v>
      </c>
      <c r="J3864" s="48" t="s">
        <v>126</v>
      </c>
      <c r="K3864" s="60" t="s">
        <v>4980</v>
      </c>
      <c r="L3864" s="113" t="s">
        <v>5130</v>
      </c>
      <c r="M3864" s="50" t="s">
        <v>5123</v>
      </c>
      <c r="N3864" s="111">
        <v>44625</v>
      </c>
      <c r="O3864" s="62" t="s">
        <v>3534</v>
      </c>
      <c r="P3864" s="266">
        <v>5000</v>
      </c>
      <c r="Q3864" s="270">
        <v>3</v>
      </c>
      <c r="R3864" s="266">
        <f t="shared" si="89"/>
        <v>15000</v>
      </c>
      <c r="S3864" s="48">
        <v>202303</v>
      </c>
      <c r="T3864" s="125" t="s">
        <v>5132</v>
      </c>
      <c r="U3864" s="102"/>
      <c r="V3864" s="126"/>
      <c r="W3864" s="126"/>
      <c r="X3864" s="111"/>
      <c r="Y3864" s="111"/>
    </row>
    <row r="3865" s="9" customFormat="1" customHeight="1" spans="1:25">
      <c r="A3865" s="96" t="s">
        <v>109</v>
      </c>
      <c r="B3865" s="94" t="s">
        <v>4074</v>
      </c>
      <c r="C3865" s="94" t="s">
        <v>161</v>
      </c>
      <c r="D3865" s="94" t="s">
        <v>28</v>
      </c>
      <c r="E3865" s="105" t="s">
        <v>5133</v>
      </c>
      <c r="F3865" s="96" t="s">
        <v>5134</v>
      </c>
      <c r="G3865" s="96" t="s">
        <v>31</v>
      </c>
      <c r="H3865" s="19" t="s">
        <v>5135</v>
      </c>
      <c r="I3865" s="23" t="e">
        <f>VLOOKUP(H3865,'合同综合查询数据（3月返）'!$A:$A,1,FALSE)</f>
        <v>#N/A</v>
      </c>
      <c r="J3865" s="24" t="s">
        <v>33</v>
      </c>
      <c r="K3865" s="96" t="s">
        <v>4868</v>
      </c>
      <c r="L3865" s="114" t="s">
        <v>5136</v>
      </c>
      <c r="M3865" s="26" t="s">
        <v>5137</v>
      </c>
      <c r="N3865" s="106">
        <v>44169</v>
      </c>
      <c r="O3865" s="94" t="s">
        <v>37</v>
      </c>
      <c r="P3865" s="268">
        <v>0</v>
      </c>
      <c r="Q3865" s="268">
        <v>320</v>
      </c>
      <c r="R3865" s="268">
        <f t="shared" si="89"/>
        <v>0</v>
      </c>
      <c r="S3865" s="24">
        <v>202303</v>
      </c>
      <c r="T3865" s="127" t="s">
        <v>5138</v>
      </c>
      <c r="U3865" s="97"/>
      <c r="V3865" s="128"/>
      <c r="W3865" s="97"/>
      <c r="X3865" s="106">
        <v>44470</v>
      </c>
      <c r="Y3865" s="106">
        <v>44834</v>
      </c>
    </row>
    <row r="3866" s="9" customFormat="1" customHeight="1" spans="1:25">
      <c r="A3866" s="96" t="s">
        <v>109</v>
      </c>
      <c r="B3866" s="94" t="s">
        <v>4074</v>
      </c>
      <c r="C3866" s="94" t="s">
        <v>161</v>
      </c>
      <c r="D3866" s="94" t="s">
        <v>28</v>
      </c>
      <c r="E3866" s="105" t="s">
        <v>5133</v>
      </c>
      <c r="F3866" s="96" t="s">
        <v>5134</v>
      </c>
      <c r="G3866" s="96" t="s">
        <v>31</v>
      </c>
      <c r="H3866" s="19" t="s">
        <v>5135</v>
      </c>
      <c r="I3866" s="23" t="e">
        <f>VLOOKUP(H3866,'合同综合查询数据（3月返）'!$A:$A,1,FALSE)</f>
        <v>#N/A</v>
      </c>
      <c r="J3866" s="24" t="s">
        <v>33</v>
      </c>
      <c r="K3866" s="96" t="s">
        <v>4868</v>
      </c>
      <c r="L3866" s="114" t="s">
        <v>5136</v>
      </c>
      <c r="M3866" s="26" t="s">
        <v>5137</v>
      </c>
      <c r="N3866" s="106">
        <v>44435</v>
      </c>
      <c r="O3866" s="94" t="s">
        <v>37</v>
      </c>
      <c r="P3866" s="268">
        <v>80</v>
      </c>
      <c r="Q3866" s="268">
        <v>128</v>
      </c>
      <c r="R3866" s="268">
        <f t="shared" si="89"/>
        <v>10240</v>
      </c>
      <c r="S3866" s="24">
        <v>202303</v>
      </c>
      <c r="T3866" s="127" t="s">
        <v>5139</v>
      </c>
      <c r="U3866" s="97"/>
      <c r="V3866" s="128"/>
      <c r="W3866" s="97"/>
      <c r="X3866" s="106">
        <v>44470</v>
      </c>
      <c r="Y3866" s="106">
        <v>44834</v>
      </c>
    </row>
    <row r="3867" s="9" customFormat="1" customHeight="1" spans="1:25">
      <c r="A3867" s="96" t="s">
        <v>109</v>
      </c>
      <c r="B3867" s="94" t="s">
        <v>4074</v>
      </c>
      <c r="C3867" s="94" t="s">
        <v>161</v>
      </c>
      <c r="D3867" s="94" t="s">
        <v>28</v>
      </c>
      <c r="E3867" s="105" t="s">
        <v>5133</v>
      </c>
      <c r="F3867" s="96" t="s">
        <v>5134</v>
      </c>
      <c r="G3867" s="96" t="s">
        <v>31</v>
      </c>
      <c r="H3867" s="19" t="s">
        <v>5135</v>
      </c>
      <c r="I3867" s="23" t="e">
        <f>VLOOKUP(H3867,'合同综合查询数据（3月返）'!$A:$A,1,FALSE)</f>
        <v>#N/A</v>
      </c>
      <c r="J3867" s="24" t="s">
        <v>33</v>
      </c>
      <c r="K3867" s="96" t="s">
        <v>4868</v>
      </c>
      <c r="L3867" s="114" t="s">
        <v>5136</v>
      </c>
      <c r="M3867" s="26" t="s">
        <v>5137</v>
      </c>
      <c r="N3867" s="106">
        <v>44561</v>
      </c>
      <c r="O3867" s="94" t="s">
        <v>37</v>
      </c>
      <c r="P3867" s="268">
        <v>80</v>
      </c>
      <c r="Q3867" s="268">
        <v>-128</v>
      </c>
      <c r="R3867" s="268">
        <f t="shared" si="89"/>
        <v>-10240</v>
      </c>
      <c r="S3867" s="24">
        <v>202303</v>
      </c>
      <c r="T3867" s="127" t="s">
        <v>5140</v>
      </c>
      <c r="U3867" s="97"/>
      <c r="V3867" s="128"/>
      <c r="W3867" s="97"/>
      <c r="X3867" s="106">
        <v>44470</v>
      </c>
      <c r="Y3867" s="106">
        <v>44834</v>
      </c>
    </row>
    <row r="3868" s="9" customFormat="1" customHeight="1" spans="1:25">
      <c r="A3868" s="96" t="s">
        <v>109</v>
      </c>
      <c r="B3868" s="94" t="s">
        <v>4074</v>
      </c>
      <c r="C3868" s="94" t="s">
        <v>161</v>
      </c>
      <c r="D3868" s="94" t="s">
        <v>28</v>
      </c>
      <c r="E3868" s="105" t="s">
        <v>5133</v>
      </c>
      <c r="F3868" s="96" t="s">
        <v>5134</v>
      </c>
      <c r="G3868" s="96" t="s">
        <v>31</v>
      </c>
      <c r="H3868" s="19" t="s">
        <v>5135</v>
      </c>
      <c r="I3868" s="23" t="e">
        <f>VLOOKUP(H3868,'合同综合查询数据（3月返）'!$A:$A,1,FALSE)</f>
        <v>#N/A</v>
      </c>
      <c r="J3868" s="24" t="s">
        <v>33</v>
      </c>
      <c r="K3868" s="96" t="s">
        <v>4868</v>
      </c>
      <c r="L3868" s="114" t="s">
        <v>5136</v>
      </c>
      <c r="M3868" s="26" t="s">
        <v>5137</v>
      </c>
      <c r="N3868" s="106"/>
      <c r="O3868" s="94" t="s">
        <v>152</v>
      </c>
      <c r="P3868" s="268">
        <v>0</v>
      </c>
      <c r="Q3868" s="273">
        <v>0</v>
      </c>
      <c r="R3868" s="268">
        <f t="shared" si="89"/>
        <v>0</v>
      </c>
      <c r="S3868" s="24">
        <v>202303</v>
      </c>
      <c r="T3868" s="127" t="s">
        <v>5141</v>
      </c>
      <c r="U3868" s="97"/>
      <c r="V3868" s="128"/>
      <c r="W3868" s="97"/>
      <c r="X3868" s="106">
        <v>44470</v>
      </c>
      <c r="Y3868" s="106">
        <v>44834</v>
      </c>
    </row>
    <row r="3869" s="9" customFormat="1" customHeight="1" spans="1:25">
      <c r="A3869" s="96" t="s">
        <v>109</v>
      </c>
      <c r="B3869" s="94" t="s">
        <v>4074</v>
      </c>
      <c r="C3869" s="94" t="s">
        <v>161</v>
      </c>
      <c r="D3869" s="94" t="s">
        <v>28</v>
      </c>
      <c r="E3869" s="105" t="s">
        <v>5133</v>
      </c>
      <c r="F3869" s="96" t="s">
        <v>5134</v>
      </c>
      <c r="G3869" s="96" t="s">
        <v>88</v>
      </c>
      <c r="H3869" s="19" t="s">
        <v>5135</v>
      </c>
      <c r="I3869" s="23" t="e">
        <f>VLOOKUP(H3869,'合同综合查询数据（3月返）'!$A:$A,1,FALSE)</f>
        <v>#N/A</v>
      </c>
      <c r="J3869" s="24" t="s">
        <v>126</v>
      </c>
      <c r="K3869" s="96" t="s">
        <v>4868</v>
      </c>
      <c r="L3869" s="114" t="s">
        <v>5136</v>
      </c>
      <c r="M3869" s="26" t="s">
        <v>5137</v>
      </c>
      <c r="N3869" s="106">
        <v>44169</v>
      </c>
      <c r="O3869" s="94" t="s">
        <v>624</v>
      </c>
      <c r="P3869" s="268">
        <v>5000</v>
      </c>
      <c r="Q3869" s="268">
        <v>6</v>
      </c>
      <c r="R3869" s="268">
        <f t="shared" si="89"/>
        <v>30000</v>
      </c>
      <c r="S3869" s="24">
        <v>202303</v>
      </c>
      <c r="T3869" s="127" t="s">
        <v>5142</v>
      </c>
      <c r="U3869" s="97"/>
      <c r="V3869" s="128"/>
      <c r="W3869" s="97"/>
      <c r="X3869" s="106">
        <v>44470</v>
      </c>
      <c r="Y3869" s="106">
        <v>44834</v>
      </c>
    </row>
    <row r="3870" s="9" customFormat="1" customHeight="1" spans="1:25">
      <c r="A3870" s="96" t="s">
        <v>109</v>
      </c>
      <c r="B3870" s="94" t="s">
        <v>4074</v>
      </c>
      <c r="C3870" s="94" t="s">
        <v>161</v>
      </c>
      <c r="D3870" s="94" t="s">
        <v>28</v>
      </c>
      <c r="E3870" s="105" t="s">
        <v>5133</v>
      </c>
      <c r="F3870" s="96" t="s">
        <v>5134</v>
      </c>
      <c r="G3870" s="96" t="s">
        <v>88</v>
      </c>
      <c r="H3870" s="19" t="s">
        <v>5135</v>
      </c>
      <c r="I3870" s="23" t="e">
        <f>VLOOKUP(H3870,'合同综合查询数据（3月返）'!$A:$A,1,FALSE)</f>
        <v>#N/A</v>
      </c>
      <c r="J3870" s="24" t="s">
        <v>126</v>
      </c>
      <c r="K3870" s="96" t="s">
        <v>4868</v>
      </c>
      <c r="L3870" s="114" t="s">
        <v>5136</v>
      </c>
      <c r="M3870" s="26" t="s">
        <v>5137</v>
      </c>
      <c r="N3870" s="106">
        <v>44434</v>
      </c>
      <c r="O3870" s="94" t="s">
        <v>624</v>
      </c>
      <c r="P3870" s="268">
        <v>5000</v>
      </c>
      <c r="Q3870" s="268">
        <v>-2</v>
      </c>
      <c r="R3870" s="268">
        <f t="shared" si="89"/>
        <v>-10000</v>
      </c>
      <c r="S3870" s="24">
        <v>202303</v>
      </c>
      <c r="T3870" s="127" t="s">
        <v>5143</v>
      </c>
      <c r="U3870" s="97"/>
      <c r="V3870" s="128"/>
      <c r="W3870" s="97"/>
      <c r="X3870" s="106">
        <v>44470</v>
      </c>
      <c r="Y3870" s="106">
        <v>44834</v>
      </c>
    </row>
    <row r="3871" s="9" customFormat="1" customHeight="1" spans="1:25">
      <c r="A3871" s="96" t="s">
        <v>109</v>
      </c>
      <c r="B3871" s="94" t="s">
        <v>4074</v>
      </c>
      <c r="C3871" s="94" t="s">
        <v>161</v>
      </c>
      <c r="D3871" s="94" t="s">
        <v>28</v>
      </c>
      <c r="E3871" s="105" t="s">
        <v>5133</v>
      </c>
      <c r="F3871" s="96" t="s">
        <v>5134</v>
      </c>
      <c r="G3871" s="96" t="s">
        <v>88</v>
      </c>
      <c r="H3871" s="19" t="s">
        <v>5135</v>
      </c>
      <c r="I3871" s="23" t="e">
        <f>VLOOKUP(H3871,'合同综合查询数据（3月返）'!$A:$A,1,FALSE)</f>
        <v>#N/A</v>
      </c>
      <c r="J3871" s="24" t="s">
        <v>126</v>
      </c>
      <c r="K3871" s="96" t="s">
        <v>4868</v>
      </c>
      <c r="L3871" s="114" t="s">
        <v>5136</v>
      </c>
      <c r="M3871" s="26" t="s">
        <v>5137</v>
      </c>
      <c r="N3871" s="106">
        <v>44435</v>
      </c>
      <c r="O3871" s="94" t="s">
        <v>624</v>
      </c>
      <c r="P3871" s="268">
        <v>5000</v>
      </c>
      <c r="Q3871" s="268">
        <v>2</v>
      </c>
      <c r="R3871" s="268">
        <f t="shared" si="89"/>
        <v>10000</v>
      </c>
      <c r="S3871" s="24">
        <v>202303</v>
      </c>
      <c r="T3871" s="127" t="s">
        <v>5144</v>
      </c>
      <c r="U3871" s="97"/>
      <c r="V3871" s="128"/>
      <c r="W3871" s="97"/>
      <c r="X3871" s="106">
        <v>44470</v>
      </c>
      <c r="Y3871" s="106">
        <v>44834</v>
      </c>
    </row>
    <row r="3872" s="9" customFormat="1" customHeight="1" spans="1:25">
      <c r="A3872" s="96" t="s">
        <v>109</v>
      </c>
      <c r="B3872" s="94" t="s">
        <v>4074</v>
      </c>
      <c r="C3872" s="94" t="s">
        <v>161</v>
      </c>
      <c r="D3872" s="94" t="s">
        <v>28</v>
      </c>
      <c r="E3872" s="105" t="s">
        <v>5133</v>
      </c>
      <c r="F3872" s="96" t="s">
        <v>5134</v>
      </c>
      <c r="G3872" s="96" t="s">
        <v>88</v>
      </c>
      <c r="H3872" s="19" t="s">
        <v>5135</v>
      </c>
      <c r="I3872" s="23" t="e">
        <f>VLOOKUP(H3872,'合同综合查询数据（3月返）'!$A:$A,1,FALSE)</f>
        <v>#N/A</v>
      </c>
      <c r="J3872" s="24" t="s">
        <v>126</v>
      </c>
      <c r="K3872" s="96" t="s">
        <v>4868</v>
      </c>
      <c r="L3872" s="114" t="s">
        <v>5136</v>
      </c>
      <c r="M3872" s="26" t="s">
        <v>5137</v>
      </c>
      <c r="N3872" s="106">
        <v>44561</v>
      </c>
      <c r="O3872" s="94" t="s">
        <v>624</v>
      </c>
      <c r="P3872" s="268">
        <v>5000</v>
      </c>
      <c r="Q3872" s="268">
        <v>-2</v>
      </c>
      <c r="R3872" s="268">
        <f t="shared" si="89"/>
        <v>-10000</v>
      </c>
      <c r="S3872" s="24">
        <v>202303</v>
      </c>
      <c r="T3872" s="127" t="s">
        <v>5145</v>
      </c>
      <c r="U3872" s="97"/>
      <c r="V3872" s="128"/>
      <c r="W3872" s="97"/>
      <c r="X3872" s="106">
        <v>44470</v>
      </c>
      <c r="Y3872" s="106">
        <v>44834</v>
      </c>
    </row>
    <row r="3873" s="9" customFormat="1" customHeight="1" spans="1:25">
      <c r="A3873" s="96" t="s">
        <v>109</v>
      </c>
      <c r="B3873" s="94" t="s">
        <v>4074</v>
      </c>
      <c r="C3873" s="94" t="s">
        <v>161</v>
      </c>
      <c r="D3873" s="94" t="s">
        <v>28</v>
      </c>
      <c r="E3873" s="105" t="s">
        <v>5133</v>
      </c>
      <c r="F3873" s="96" t="s">
        <v>5134</v>
      </c>
      <c r="G3873" s="96" t="s">
        <v>88</v>
      </c>
      <c r="H3873" s="19" t="s">
        <v>5135</v>
      </c>
      <c r="I3873" s="23" t="e">
        <f>VLOOKUP(H3873,'合同综合查询数据（3月返）'!$A:$A,1,FALSE)</f>
        <v>#N/A</v>
      </c>
      <c r="J3873" s="24" t="s">
        <v>126</v>
      </c>
      <c r="K3873" s="96" t="s">
        <v>4868</v>
      </c>
      <c r="L3873" s="114" t="s">
        <v>5136</v>
      </c>
      <c r="M3873" s="26" t="s">
        <v>5137</v>
      </c>
      <c r="N3873" s="106">
        <v>44561</v>
      </c>
      <c r="O3873" s="94" t="s">
        <v>624</v>
      </c>
      <c r="P3873" s="268">
        <v>5000</v>
      </c>
      <c r="Q3873" s="268">
        <v>-4</v>
      </c>
      <c r="R3873" s="268">
        <f t="shared" si="89"/>
        <v>-20000</v>
      </c>
      <c r="S3873" s="24">
        <v>202303</v>
      </c>
      <c r="T3873" s="127" t="s">
        <v>5146</v>
      </c>
      <c r="U3873" s="97"/>
      <c r="V3873" s="128"/>
      <c r="W3873" s="97"/>
      <c r="X3873" s="106">
        <v>44470</v>
      </c>
      <c r="Y3873" s="106">
        <v>44834</v>
      </c>
    </row>
    <row r="3874" s="9" customFormat="1" customHeight="1" spans="1:25">
      <c r="A3874" s="96" t="s">
        <v>109</v>
      </c>
      <c r="B3874" s="94" t="s">
        <v>4074</v>
      </c>
      <c r="C3874" s="94" t="s">
        <v>161</v>
      </c>
      <c r="D3874" s="94" t="s">
        <v>28</v>
      </c>
      <c r="E3874" s="105" t="s">
        <v>5133</v>
      </c>
      <c r="F3874" s="96" t="s">
        <v>5134</v>
      </c>
      <c r="G3874" s="96" t="s">
        <v>31</v>
      </c>
      <c r="H3874" s="19" t="s">
        <v>5135</v>
      </c>
      <c r="I3874" s="23" t="e">
        <f>VLOOKUP(H3874,'合同综合查询数据（3月返）'!$A:$A,1,FALSE)</f>
        <v>#N/A</v>
      </c>
      <c r="J3874" s="24" t="s">
        <v>33</v>
      </c>
      <c r="K3874" s="96" t="s">
        <v>4868</v>
      </c>
      <c r="L3874" s="114" t="s">
        <v>5147</v>
      </c>
      <c r="M3874" s="26" t="s">
        <v>5137</v>
      </c>
      <c r="N3874" s="106">
        <v>44470</v>
      </c>
      <c r="O3874" s="94" t="s">
        <v>37</v>
      </c>
      <c r="P3874" s="268">
        <v>0</v>
      </c>
      <c r="Q3874" s="268">
        <v>256</v>
      </c>
      <c r="R3874" s="268">
        <f t="shared" si="89"/>
        <v>0</v>
      </c>
      <c r="S3874" s="24">
        <v>202303</v>
      </c>
      <c r="T3874" s="127" t="s">
        <v>5148</v>
      </c>
      <c r="U3874" s="97"/>
      <c r="V3874" s="128"/>
      <c r="W3874" s="97"/>
      <c r="X3874" s="106">
        <v>44470</v>
      </c>
      <c r="Y3874" s="106">
        <v>44834</v>
      </c>
    </row>
    <row r="3875" s="9" customFormat="1" customHeight="1" spans="1:25">
      <c r="A3875" s="96" t="s">
        <v>109</v>
      </c>
      <c r="B3875" s="94" t="s">
        <v>4074</v>
      </c>
      <c r="C3875" s="94" t="s">
        <v>161</v>
      </c>
      <c r="D3875" s="94" t="s">
        <v>28</v>
      </c>
      <c r="E3875" s="105" t="s">
        <v>5133</v>
      </c>
      <c r="F3875" s="96" t="s">
        <v>5134</v>
      </c>
      <c r="G3875" s="96" t="s">
        <v>31</v>
      </c>
      <c r="H3875" s="19" t="s">
        <v>5135</v>
      </c>
      <c r="I3875" s="23" t="e">
        <f>VLOOKUP(H3875,'合同综合查询数据（3月返）'!$A:$A,1,FALSE)</f>
        <v>#N/A</v>
      </c>
      <c r="J3875" s="24" t="s">
        <v>33</v>
      </c>
      <c r="K3875" s="96" t="s">
        <v>4868</v>
      </c>
      <c r="L3875" s="114" t="s">
        <v>5147</v>
      </c>
      <c r="M3875" s="26" t="s">
        <v>5137</v>
      </c>
      <c r="N3875" s="106">
        <v>44592</v>
      </c>
      <c r="O3875" s="94" t="s">
        <v>37</v>
      </c>
      <c r="P3875" s="268">
        <v>0</v>
      </c>
      <c r="Q3875" s="268">
        <v>-256</v>
      </c>
      <c r="R3875" s="268">
        <f t="shared" si="89"/>
        <v>0</v>
      </c>
      <c r="S3875" s="24">
        <v>202303</v>
      </c>
      <c r="T3875" s="127" t="s">
        <v>5149</v>
      </c>
      <c r="U3875" s="97"/>
      <c r="V3875" s="128"/>
      <c r="W3875" s="97"/>
      <c r="X3875" s="106">
        <v>44470</v>
      </c>
      <c r="Y3875" s="106">
        <v>44834</v>
      </c>
    </row>
    <row r="3876" s="9" customFormat="1" customHeight="1" spans="1:25">
      <c r="A3876" s="96" t="s">
        <v>109</v>
      </c>
      <c r="B3876" s="94" t="s">
        <v>4074</v>
      </c>
      <c r="C3876" s="94" t="s">
        <v>161</v>
      </c>
      <c r="D3876" s="94" t="s">
        <v>28</v>
      </c>
      <c r="E3876" s="105" t="s">
        <v>5133</v>
      </c>
      <c r="F3876" s="96" t="s">
        <v>5134</v>
      </c>
      <c r="G3876" s="96" t="s">
        <v>88</v>
      </c>
      <c r="H3876" s="19" t="s">
        <v>5135</v>
      </c>
      <c r="I3876" s="23" t="e">
        <f>VLOOKUP(H3876,'合同综合查询数据（3月返）'!$A:$A,1,FALSE)</f>
        <v>#N/A</v>
      </c>
      <c r="J3876" s="24" t="s">
        <v>126</v>
      </c>
      <c r="K3876" s="96" t="s">
        <v>4868</v>
      </c>
      <c r="L3876" s="114" t="s">
        <v>5147</v>
      </c>
      <c r="M3876" s="26" t="s">
        <v>5137</v>
      </c>
      <c r="N3876" s="106">
        <v>44470</v>
      </c>
      <c r="O3876" s="94" t="s">
        <v>624</v>
      </c>
      <c r="P3876" s="268">
        <v>5000</v>
      </c>
      <c r="Q3876" s="268">
        <v>4</v>
      </c>
      <c r="R3876" s="268">
        <f t="shared" si="89"/>
        <v>20000</v>
      </c>
      <c r="S3876" s="24">
        <v>202303</v>
      </c>
      <c r="T3876" s="127" t="s">
        <v>5150</v>
      </c>
      <c r="U3876" s="97"/>
      <c r="V3876" s="128"/>
      <c r="W3876" s="97"/>
      <c r="X3876" s="106">
        <v>44470</v>
      </c>
      <c r="Y3876" s="106">
        <v>44834</v>
      </c>
    </row>
    <row r="3877" s="9" customFormat="1" customHeight="1" spans="1:25">
      <c r="A3877" s="96" t="s">
        <v>109</v>
      </c>
      <c r="B3877" s="94" t="s">
        <v>4074</v>
      </c>
      <c r="C3877" s="94" t="s">
        <v>161</v>
      </c>
      <c r="D3877" s="94" t="s">
        <v>28</v>
      </c>
      <c r="E3877" s="105" t="s">
        <v>5133</v>
      </c>
      <c r="F3877" s="96" t="s">
        <v>5134</v>
      </c>
      <c r="G3877" s="96" t="s">
        <v>88</v>
      </c>
      <c r="H3877" s="19" t="s">
        <v>5135</v>
      </c>
      <c r="I3877" s="23" t="e">
        <f>VLOOKUP(H3877,'合同综合查询数据（3月返）'!$A:$A,1,FALSE)</f>
        <v>#N/A</v>
      </c>
      <c r="J3877" s="24" t="s">
        <v>126</v>
      </c>
      <c r="K3877" s="96" t="s">
        <v>4868</v>
      </c>
      <c r="L3877" s="114" t="s">
        <v>5147</v>
      </c>
      <c r="M3877" s="26" t="s">
        <v>5137</v>
      </c>
      <c r="N3877" s="106">
        <v>44592</v>
      </c>
      <c r="O3877" s="94" t="s">
        <v>624</v>
      </c>
      <c r="P3877" s="268">
        <v>5000</v>
      </c>
      <c r="Q3877" s="268">
        <v>-4</v>
      </c>
      <c r="R3877" s="268">
        <f t="shared" si="89"/>
        <v>-20000</v>
      </c>
      <c r="S3877" s="24">
        <v>202303</v>
      </c>
      <c r="T3877" s="127" t="s">
        <v>5151</v>
      </c>
      <c r="U3877" s="97"/>
      <c r="V3877" s="128"/>
      <c r="W3877" s="97"/>
      <c r="X3877" s="106">
        <v>44470</v>
      </c>
      <c r="Y3877" s="106">
        <v>44834</v>
      </c>
    </row>
    <row r="3878" s="10" customFormat="1" customHeight="1" spans="1:25">
      <c r="A3878" s="103" t="s">
        <v>25</v>
      </c>
      <c r="B3878" s="62" t="s">
        <v>4074</v>
      </c>
      <c r="C3878" s="62" t="s">
        <v>217</v>
      </c>
      <c r="D3878" s="62" t="s">
        <v>4178</v>
      </c>
      <c r="E3878" s="63" t="s">
        <v>5133</v>
      </c>
      <c r="F3878" s="60" t="s">
        <v>5134</v>
      </c>
      <c r="G3878" s="60" t="s">
        <v>31</v>
      </c>
      <c r="H3878" s="45" t="s">
        <v>5152</v>
      </c>
      <c r="I3878" s="47" t="e">
        <f>VLOOKUP(H3878,'合同综合查询数据（3月返）'!$A:$A,1,FALSE)</f>
        <v>#N/A</v>
      </c>
      <c r="J3878" s="48" t="s">
        <v>33</v>
      </c>
      <c r="K3878" s="60" t="s">
        <v>5153</v>
      </c>
      <c r="L3878" s="113" t="s">
        <v>5154</v>
      </c>
      <c r="M3878" s="50" t="s">
        <v>5155</v>
      </c>
      <c r="N3878" s="111">
        <v>44228</v>
      </c>
      <c r="O3878" s="62" t="s">
        <v>37</v>
      </c>
      <c r="P3878" s="266">
        <v>0</v>
      </c>
      <c r="Q3878" s="270">
        <v>64</v>
      </c>
      <c r="R3878" s="266">
        <f t="shared" si="89"/>
        <v>0</v>
      </c>
      <c r="S3878" s="48">
        <v>202303</v>
      </c>
      <c r="T3878" s="125" t="s">
        <v>5156</v>
      </c>
      <c r="U3878" s="62"/>
      <c r="V3878" s="310"/>
      <c r="W3878" s="310"/>
      <c r="X3878" s="111"/>
      <c r="Y3878" s="111"/>
    </row>
    <row r="3879" s="10" customFormat="1" customHeight="1" spans="1:25">
      <c r="A3879" s="103" t="s">
        <v>25</v>
      </c>
      <c r="B3879" s="62" t="s">
        <v>4074</v>
      </c>
      <c r="C3879" s="62" t="s">
        <v>217</v>
      </c>
      <c r="D3879" s="62" t="s">
        <v>4178</v>
      </c>
      <c r="E3879" s="63" t="s">
        <v>5133</v>
      </c>
      <c r="F3879" s="60" t="s">
        <v>5134</v>
      </c>
      <c r="G3879" s="60" t="s">
        <v>31</v>
      </c>
      <c r="H3879" s="45" t="s">
        <v>5152</v>
      </c>
      <c r="I3879" s="47" t="e">
        <f>VLOOKUP(H3879,'合同综合查询数据（3月返）'!$A:$A,1,FALSE)</f>
        <v>#N/A</v>
      </c>
      <c r="J3879" s="48" t="s">
        <v>33</v>
      </c>
      <c r="K3879" s="60" t="s">
        <v>5153</v>
      </c>
      <c r="L3879" s="113" t="s">
        <v>5154</v>
      </c>
      <c r="M3879" s="50" t="s">
        <v>5155</v>
      </c>
      <c r="N3879" s="111">
        <v>44228</v>
      </c>
      <c r="O3879" s="62" t="s">
        <v>37</v>
      </c>
      <c r="P3879" s="266">
        <v>50</v>
      </c>
      <c r="Q3879" s="270">
        <v>224</v>
      </c>
      <c r="R3879" s="266">
        <f t="shared" si="89"/>
        <v>11200</v>
      </c>
      <c r="S3879" s="48">
        <v>202303</v>
      </c>
      <c r="T3879" s="125" t="s">
        <v>5157</v>
      </c>
      <c r="U3879" s="62"/>
      <c r="V3879" s="310"/>
      <c r="W3879" s="310"/>
      <c r="X3879" s="111"/>
      <c r="Y3879" s="111"/>
    </row>
    <row r="3880" s="10" customFormat="1" customHeight="1" spans="1:25">
      <c r="A3880" s="103" t="s">
        <v>25</v>
      </c>
      <c r="B3880" s="62" t="s">
        <v>4074</v>
      </c>
      <c r="C3880" s="62" t="s">
        <v>217</v>
      </c>
      <c r="D3880" s="62" t="s">
        <v>4178</v>
      </c>
      <c r="E3880" s="63" t="s">
        <v>5133</v>
      </c>
      <c r="F3880" s="60" t="s">
        <v>5134</v>
      </c>
      <c r="G3880" s="60" t="s">
        <v>31</v>
      </c>
      <c r="H3880" s="45" t="s">
        <v>5152</v>
      </c>
      <c r="I3880" s="47" t="e">
        <f>VLOOKUP(H3880,'合同综合查询数据（3月返）'!$A:$A,1,FALSE)</f>
        <v>#N/A</v>
      </c>
      <c r="J3880" s="48" t="s">
        <v>33</v>
      </c>
      <c r="K3880" s="60" t="s">
        <v>5153</v>
      </c>
      <c r="L3880" s="113" t="s">
        <v>5154</v>
      </c>
      <c r="M3880" s="50" t="s">
        <v>5155</v>
      </c>
      <c r="N3880" s="111">
        <v>44879</v>
      </c>
      <c r="O3880" s="62" t="s">
        <v>37</v>
      </c>
      <c r="P3880" s="266">
        <v>50</v>
      </c>
      <c r="Q3880" s="270">
        <v>-128</v>
      </c>
      <c r="R3880" s="266">
        <f t="shared" si="89"/>
        <v>-6400</v>
      </c>
      <c r="S3880" s="48">
        <v>202303</v>
      </c>
      <c r="T3880" s="125" t="s">
        <v>5158</v>
      </c>
      <c r="U3880" s="62"/>
      <c r="V3880" s="310"/>
      <c r="W3880" s="310"/>
      <c r="X3880" s="111"/>
      <c r="Y3880" s="111"/>
    </row>
    <row r="3881" s="10" customFormat="1" customHeight="1" spans="1:25">
      <c r="A3881" s="103" t="s">
        <v>25</v>
      </c>
      <c r="B3881" s="62" t="s">
        <v>4074</v>
      </c>
      <c r="C3881" s="62" t="s">
        <v>217</v>
      </c>
      <c r="D3881" s="62" t="s">
        <v>4178</v>
      </c>
      <c r="E3881" s="63" t="s">
        <v>5133</v>
      </c>
      <c r="F3881" s="60" t="s">
        <v>5134</v>
      </c>
      <c r="G3881" s="60" t="s">
        <v>31</v>
      </c>
      <c r="H3881" s="45" t="s">
        <v>5152</v>
      </c>
      <c r="I3881" s="47" t="e">
        <f>VLOOKUP(H3881,'合同综合查询数据（3月返）'!$A:$A,1,FALSE)</f>
        <v>#N/A</v>
      </c>
      <c r="J3881" s="48" t="s">
        <v>33</v>
      </c>
      <c r="K3881" s="60" t="s">
        <v>5153</v>
      </c>
      <c r="L3881" s="113" t="s">
        <v>5154</v>
      </c>
      <c r="M3881" s="50" t="s">
        <v>5155</v>
      </c>
      <c r="N3881" s="111"/>
      <c r="O3881" s="62" t="s">
        <v>152</v>
      </c>
      <c r="P3881" s="266">
        <v>0</v>
      </c>
      <c r="Q3881" s="270">
        <v>0</v>
      </c>
      <c r="R3881" s="266">
        <f t="shared" si="89"/>
        <v>0</v>
      </c>
      <c r="S3881" s="48">
        <v>202303</v>
      </c>
      <c r="T3881" s="125" t="s">
        <v>5159</v>
      </c>
      <c r="U3881" s="62"/>
      <c r="V3881" s="310"/>
      <c r="W3881" s="310"/>
      <c r="X3881" s="111"/>
      <c r="Y3881" s="111"/>
    </row>
    <row r="3882" s="10" customFormat="1" customHeight="1" spans="1:25">
      <c r="A3882" s="103" t="s">
        <v>25</v>
      </c>
      <c r="B3882" s="62" t="s">
        <v>4074</v>
      </c>
      <c r="C3882" s="62" t="s">
        <v>217</v>
      </c>
      <c r="D3882" s="62" t="s">
        <v>4178</v>
      </c>
      <c r="E3882" s="63" t="s">
        <v>5133</v>
      </c>
      <c r="F3882" s="60" t="s">
        <v>5134</v>
      </c>
      <c r="G3882" s="60" t="s">
        <v>88</v>
      </c>
      <c r="H3882" s="45" t="s">
        <v>5152</v>
      </c>
      <c r="I3882" s="47" t="e">
        <f>VLOOKUP(H3882,'合同综合查询数据（3月返）'!$A:$A,1,FALSE)</f>
        <v>#N/A</v>
      </c>
      <c r="J3882" s="48" t="s">
        <v>126</v>
      </c>
      <c r="K3882" s="60" t="s">
        <v>5153</v>
      </c>
      <c r="L3882" s="113" t="s">
        <v>5154</v>
      </c>
      <c r="M3882" s="50" t="s">
        <v>5155</v>
      </c>
      <c r="N3882" s="111">
        <v>44228</v>
      </c>
      <c r="O3882" s="62" t="s">
        <v>127</v>
      </c>
      <c r="P3882" s="266">
        <v>4000</v>
      </c>
      <c r="Q3882" s="270">
        <v>3</v>
      </c>
      <c r="R3882" s="266">
        <f t="shared" si="89"/>
        <v>12000</v>
      </c>
      <c r="S3882" s="48">
        <v>202303</v>
      </c>
      <c r="T3882" s="125" t="s">
        <v>5160</v>
      </c>
      <c r="U3882" s="62"/>
      <c r="V3882" s="310"/>
      <c r="W3882" s="310"/>
      <c r="X3882" s="111"/>
      <c r="Y3882" s="111"/>
    </row>
    <row r="3883" s="9" customFormat="1" customHeight="1" spans="1:25">
      <c r="A3883" s="104" t="s">
        <v>25</v>
      </c>
      <c r="B3883" s="94" t="s">
        <v>4074</v>
      </c>
      <c r="C3883" s="94" t="s">
        <v>217</v>
      </c>
      <c r="D3883" s="94" t="s">
        <v>4178</v>
      </c>
      <c r="E3883" s="105" t="s">
        <v>5133</v>
      </c>
      <c r="F3883" s="96" t="s">
        <v>5134</v>
      </c>
      <c r="G3883" s="96" t="s">
        <v>31</v>
      </c>
      <c r="H3883" s="19" t="s">
        <v>5161</v>
      </c>
      <c r="I3883" s="23" t="str">
        <f>VLOOKUP(H3883,'合同综合查询数据（3月返）'!$A:$A,1,FALSE)</f>
        <v>182315IDC00048</v>
      </c>
      <c r="J3883" s="24" t="s">
        <v>33</v>
      </c>
      <c r="K3883" s="96" t="s">
        <v>5153</v>
      </c>
      <c r="L3883" s="114" t="s">
        <v>5162</v>
      </c>
      <c r="M3883" s="26" t="s">
        <v>5163</v>
      </c>
      <c r="N3883" s="106">
        <v>44229</v>
      </c>
      <c r="O3883" s="94" t="s">
        <v>37</v>
      </c>
      <c r="P3883" s="268">
        <v>0</v>
      </c>
      <c r="Q3883" s="273">
        <v>80</v>
      </c>
      <c r="R3883" s="268">
        <f t="shared" ref="R3883:R3946" si="90">ROUND(P3883*Q3883,2)</f>
        <v>0</v>
      </c>
      <c r="S3883" s="24">
        <v>202303</v>
      </c>
      <c r="T3883" s="127" t="s">
        <v>5164</v>
      </c>
      <c r="U3883" s="94"/>
      <c r="V3883" s="321"/>
      <c r="W3883" s="321"/>
      <c r="X3883" s="106">
        <v>44958</v>
      </c>
      <c r="Y3883" s="106">
        <v>45322</v>
      </c>
    </row>
    <row r="3884" s="9" customFormat="1" customHeight="1" spans="1:25">
      <c r="A3884" s="104" t="s">
        <v>25</v>
      </c>
      <c r="B3884" s="94" t="s">
        <v>4074</v>
      </c>
      <c r="C3884" s="94" t="s">
        <v>217</v>
      </c>
      <c r="D3884" s="94" t="s">
        <v>4178</v>
      </c>
      <c r="E3884" s="105" t="s">
        <v>5133</v>
      </c>
      <c r="F3884" s="96" t="s">
        <v>5134</v>
      </c>
      <c r="G3884" s="96" t="s">
        <v>31</v>
      </c>
      <c r="H3884" s="19" t="s">
        <v>5161</v>
      </c>
      <c r="I3884" s="23" t="str">
        <f>VLOOKUP(H3884,'合同综合查询数据（3月返）'!$A:$A,1,FALSE)</f>
        <v>182315IDC00048</v>
      </c>
      <c r="J3884" s="24" t="s">
        <v>33</v>
      </c>
      <c r="K3884" s="96" t="s">
        <v>5153</v>
      </c>
      <c r="L3884" s="114" t="s">
        <v>5162</v>
      </c>
      <c r="M3884" s="26" t="s">
        <v>5163</v>
      </c>
      <c r="N3884" s="106">
        <v>44229</v>
      </c>
      <c r="O3884" s="94" t="s">
        <v>37</v>
      </c>
      <c r="P3884" s="268">
        <v>50</v>
      </c>
      <c r="Q3884" s="273">
        <v>208</v>
      </c>
      <c r="R3884" s="268">
        <f t="shared" si="90"/>
        <v>10400</v>
      </c>
      <c r="S3884" s="24">
        <v>202303</v>
      </c>
      <c r="T3884" s="127" t="s">
        <v>5165</v>
      </c>
      <c r="U3884" s="94"/>
      <c r="V3884" s="321"/>
      <c r="W3884" s="321"/>
      <c r="X3884" s="106">
        <v>44958</v>
      </c>
      <c r="Y3884" s="106">
        <v>45322</v>
      </c>
    </row>
    <row r="3885" s="9" customFormat="1" customHeight="1" spans="1:25">
      <c r="A3885" s="104" t="s">
        <v>25</v>
      </c>
      <c r="B3885" s="94" t="s">
        <v>4074</v>
      </c>
      <c r="C3885" s="94" t="s">
        <v>217</v>
      </c>
      <c r="D3885" s="94" t="s">
        <v>4178</v>
      </c>
      <c r="E3885" s="105" t="s">
        <v>5133</v>
      </c>
      <c r="F3885" s="96" t="s">
        <v>5134</v>
      </c>
      <c r="G3885" s="96" t="s">
        <v>31</v>
      </c>
      <c r="H3885" s="19" t="s">
        <v>5161</v>
      </c>
      <c r="I3885" s="23" t="str">
        <f>VLOOKUP(H3885,'合同综合查询数据（3月返）'!$A:$A,1,FALSE)</f>
        <v>182315IDC00048</v>
      </c>
      <c r="J3885" s="24" t="s">
        <v>33</v>
      </c>
      <c r="K3885" s="96" t="s">
        <v>5153</v>
      </c>
      <c r="L3885" s="114" t="s">
        <v>5162</v>
      </c>
      <c r="M3885" s="26" t="s">
        <v>5163</v>
      </c>
      <c r="N3885" s="106">
        <v>44879</v>
      </c>
      <c r="O3885" s="94" t="s">
        <v>37</v>
      </c>
      <c r="P3885" s="268">
        <v>50</v>
      </c>
      <c r="Q3885" s="273">
        <v>-128</v>
      </c>
      <c r="R3885" s="268">
        <f t="shared" si="90"/>
        <v>-6400</v>
      </c>
      <c r="S3885" s="24">
        <v>202303</v>
      </c>
      <c r="T3885" s="127" t="s">
        <v>5166</v>
      </c>
      <c r="U3885" s="94"/>
      <c r="V3885" s="321"/>
      <c r="W3885" s="321"/>
      <c r="X3885" s="106">
        <v>44958</v>
      </c>
      <c r="Y3885" s="106">
        <v>45322</v>
      </c>
    </row>
    <row r="3886" s="9" customFormat="1" customHeight="1" spans="1:25">
      <c r="A3886" s="104" t="s">
        <v>25</v>
      </c>
      <c r="B3886" s="94" t="s">
        <v>4074</v>
      </c>
      <c r="C3886" s="94" t="s">
        <v>217</v>
      </c>
      <c r="D3886" s="94" t="s">
        <v>4178</v>
      </c>
      <c r="E3886" s="105" t="s">
        <v>5133</v>
      </c>
      <c r="F3886" s="96" t="s">
        <v>5134</v>
      </c>
      <c r="G3886" s="96" t="s">
        <v>31</v>
      </c>
      <c r="H3886" s="19" t="s">
        <v>5161</v>
      </c>
      <c r="I3886" s="23" t="str">
        <f>VLOOKUP(H3886,'合同综合查询数据（3月返）'!$A:$A,1,FALSE)</f>
        <v>182315IDC00048</v>
      </c>
      <c r="J3886" s="24" t="s">
        <v>33</v>
      </c>
      <c r="K3886" s="96" t="s">
        <v>5153</v>
      </c>
      <c r="L3886" s="114" t="s">
        <v>5162</v>
      </c>
      <c r="M3886" s="26" t="s">
        <v>5163</v>
      </c>
      <c r="N3886" s="106"/>
      <c r="O3886" s="94" t="s">
        <v>152</v>
      </c>
      <c r="P3886" s="268">
        <v>0</v>
      </c>
      <c r="Q3886" s="273">
        <v>0</v>
      </c>
      <c r="R3886" s="268">
        <f t="shared" si="90"/>
        <v>0</v>
      </c>
      <c r="S3886" s="24">
        <v>202303</v>
      </c>
      <c r="T3886" s="127" t="s">
        <v>5159</v>
      </c>
      <c r="U3886" s="94"/>
      <c r="V3886" s="321"/>
      <c r="W3886" s="321"/>
      <c r="X3886" s="106">
        <v>44958</v>
      </c>
      <c r="Y3886" s="106">
        <v>45322</v>
      </c>
    </row>
    <row r="3887" s="9" customFormat="1" customHeight="1" spans="1:25">
      <c r="A3887" s="104" t="s">
        <v>25</v>
      </c>
      <c r="B3887" s="94" t="s">
        <v>4074</v>
      </c>
      <c r="C3887" s="94" t="s">
        <v>217</v>
      </c>
      <c r="D3887" s="94" t="s">
        <v>4178</v>
      </c>
      <c r="E3887" s="105" t="s">
        <v>5133</v>
      </c>
      <c r="F3887" s="96" t="s">
        <v>5134</v>
      </c>
      <c r="G3887" s="96" t="s">
        <v>88</v>
      </c>
      <c r="H3887" s="19" t="s">
        <v>5161</v>
      </c>
      <c r="I3887" s="23" t="str">
        <f>VLOOKUP(H3887,'合同综合查询数据（3月返）'!$A:$A,1,FALSE)</f>
        <v>182315IDC00048</v>
      </c>
      <c r="J3887" s="24" t="s">
        <v>126</v>
      </c>
      <c r="K3887" s="96" t="s">
        <v>5153</v>
      </c>
      <c r="L3887" s="114" t="s">
        <v>5162</v>
      </c>
      <c r="M3887" s="26" t="s">
        <v>5163</v>
      </c>
      <c r="N3887" s="106">
        <v>44229</v>
      </c>
      <c r="O3887" s="94" t="s">
        <v>127</v>
      </c>
      <c r="P3887" s="268">
        <v>4000</v>
      </c>
      <c r="Q3887" s="273">
        <v>4</v>
      </c>
      <c r="R3887" s="268">
        <f t="shared" si="90"/>
        <v>16000</v>
      </c>
      <c r="S3887" s="24">
        <v>202303</v>
      </c>
      <c r="T3887" s="127" t="s">
        <v>5167</v>
      </c>
      <c r="U3887" s="94"/>
      <c r="V3887" s="321"/>
      <c r="W3887" s="321"/>
      <c r="X3887" s="106">
        <v>44958</v>
      </c>
      <c r="Y3887" s="106">
        <v>45322</v>
      </c>
    </row>
    <row r="3888" s="9" customFormat="1" customHeight="1" spans="1:25">
      <c r="A3888" s="104" t="s">
        <v>25</v>
      </c>
      <c r="B3888" s="94" t="s">
        <v>4074</v>
      </c>
      <c r="C3888" s="94" t="s">
        <v>217</v>
      </c>
      <c r="D3888" s="94" t="s">
        <v>4178</v>
      </c>
      <c r="E3888" s="105" t="s">
        <v>5133</v>
      </c>
      <c r="F3888" s="96" t="s">
        <v>5134</v>
      </c>
      <c r="G3888" s="96" t="s">
        <v>88</v>
      </c>
      <c r="H3888" s="19" t="s">
        <v>5161</v>
      </c>
      <c r="I3888" s="23" t="str">
        <f>VLOOKUP(H3888,'合同综合查询数据（3月返）'!$A:$A,1,FALSE)</f>
        <v>182315IDC00048</v>
      </c>
      <c r="J3888" s="24" t="s">
        <v>126</v>
      </c>
      <c r="K3888" s="96" t="s">
        <v>5153</v>
      </c>
      <c r="L3888" s="114" t="s">
        <v>5162</v>
      </c>
      <c r="M3888" s="26" t="s">
        <v>5163</v>
      </c>
      <c r="N3888" s="106">
        <v>44861</v>
      </c>
      <c r="O3888" s="94" t="s">
        <v>127</v>
      </c>
      <c r="P3888" s="268">
        <v>4000</v>
      </c>
      <c r="Q3888" s="273">
        <v>1</v>
      </c>
      <c r="R3888" s="268">
        <f t="shared" si="90"/>
        <v>4000</v>
      </c>
      <c r="S3888" s="24">
        <v>202303</v>
      </c>
      <c r="T3888" s="127" t="s">
        <v>5168</v>
      </c>
      <c r="U3888" s="94"/>
      <c r="V3888" s="321"/>
      <c r="W3888" s="321"/>
      <c r="X3888" s="106">
        <v>44958</v>
      </c>
      <c r="Y3888" s="106">
        <v>45322</v>
      </c>
    </row>
    <row r="3889" s="9" customFormat="1" customHeight="1" spans="1:25">
      <c r="A3889" s="96" t="s">
        <v>25</v>
      </c>
      <c r="B3889" s="94" t="s">
        <v>4074</v>
      </c>
      <c r="C3889" s="94" t="s">
        <v>169</v>
      </c>
      <c r="D3889" s="94" t="s">
        <v>4250</v>
      </c>
      <c r="E3889" s="105" t="s">
        <v>5133</v>
      </c>
      <c r="F3889" s="96" t="s">
        <v>5134</v>
      </c>
      <c r="G3889" s="96" t="s">
        <v>31</v>
      </c>
      <c r="H3889" s="19" t="s">
        <v>5169</v>
      </c>
      <c r="I3889" s="23" t="e">
        <f>VLOOKUP(H3889,'合同综合查询数据（3月返）'!$A:$A,1,FALSE)</f>
        <v>#N/A</v>
      </c>
      <c r="J3889" s="24" t="s">
        <v>33</v>
      </c>
      <c r="K3889" s="96" t="s">
        <v>171</v>
      </c>
      <c r="L3889" s="114" t="s">
        <v>5170</v>
      </c>
      <c r="M3889" s="26" t="s">
        <v>5171</v>
      </c>
      <c r="N3889" s="106">
        <v>44441</v>
      </c>
      <c r="O3889" s="94" t="s">
        <v>37</v>
      </c>
      <c r="P3889" s="268">
        <v>0</v>
      </c>
      <c r="Q3889" s="273">
        <v>288</v>
      </c>
      <c r="R3889" s="268">
        <f t="shared" si="90"/>
        <v>0</v>
      </c>
      <c r="S3889" s="24">
        <v>202303</v>
      </c>
      <c r="T3889" s="127" t="s">
        <v>5172</v>
      </c>
      <c r="U3889" s="97"/>
      <c r="V3889" s="128"/>
      <c r="W3889" s="128"/>
      <c r="X3889" s="227">
        <v>44805</v>
      </c>
      <c r="Y3889" s="227">
        <v>45016</v>
      </c>
    </row>
    <row r="3890" s="9" customFormat="1" customHeight="1" spans="1:25">
      <c r="A3890" s="96" t="s">
        <v>25</v>
      </c>
      <c r="B3890" s="94" t="s">
        <v>4074</v>
      </c>
      <c r="C3890" s="94" t="s">
        <v>169</v>
      </c>
      <c r="D3890" s="94" t="s">
        <v>4250</v>
      </c>
      <c r="E3890" s="105" t="s">
        <v>5133</v>
      </c>
      <c r="F3890" s="96" t="s">
        <v>5134</v>
      </c>
      <c r="G3890" s="96" t="s">
        <v>31</v>
      </c>
      <c r="H3890" s="19" t="s">
        <v>5169</v>
      </c>
      <c r="I3890" s="23" t="e">
        <f>VLOOKUP(H3890,'合同综合查询数据（3月返）'!$A:$A,1,FALSE)</f>
        <v>#N/A</v>
      </c>
      <c r="J3890" s="24" t="s">
        <v>33</v>
      </c>
      <c r="K3890" s="96" t="s">
        <v>171</v>
      </c>
      <c r="L3890" s="114" t="s">
        <v>5170</v>
      </c>
      <c r="M3890" s="26" t="s">
        <v>5171</v>
      </c>
      <c r="N3890" s="106"/>
      <c r="O3890" s="94" t="s">
        <v>152</v>
      </c>
      <c r="P3890" s="268">
        <v>0</v>
      </c>
      <c r="Q3890" s="273">
        <v>0</v>
      </c>
      <c r="R3890" s="268">
        <f t="shared" si="90"/>
        <v>0</v>
      </c>
      <c r="S3890" s="24">
        <v>202303</v>
      </c>
      <c r="T3890" s="127" t="s">
        <v>4933</v>
      </c>
      <c r="U3890" s="97"/>
      <c r="V3890" s="128"/>
      <c r="W3890" s="128"/>
      <c r="X3890" s="227">
        <v>44805</v>
      </c>
      <c r="Y3890" s="227">
        <v>45016</v>
      </c>
    </row>
    <row r="3891" s="9" customFormat="1" customHeight="1" spans="1:25">
      <c r="A3891" s="96" t="s">
        <v>25</v>
      </c>
      <c r="B3891" s="94" t="s">
        <v>4074</v>
      </c>
      <c r="C3891" s="94" t="s">
        <v>169</v>
      </c>
      <c r="D3891" s="94" t="s">
        <v>4250</v>
      </c>
      <c r="E3891" s="105" t="s">
        <v>5133</v>
      </c>
      <c r="F3891" s="96" t="s">
        <v>5134</v>
      </c>
      <c r="G3891" s="96" t="s">
        <v>88</v>
      </c>
      <c r="H3891" s="19" t="s">
        <v>5169</v>
      </c>
      <c r="I3891" s="23" t="e">
        <f>VLOOKUP(H3891,'合同综合查询数据（3月返）'!$A:$A,1,FALSE)</f>
        <v>#N/A</v>
      </c>
      <c r="J3891" s="24" t="s">
        <v>126</v>
      </c>
      <c r="K3891" s="96" t="s">
        <v>171</v>
      </c>
      <c r="L3891" s="114" t="s">
        <v>5170</v>
      </c>
      <c r="M3891" s="26" t="s">
        <v>5171</v>
      </c>
      <c r="N3891" s="106">
        <v>44441</v>
      </c>
      <c r="O3891" s="94" t="s">
        <v>127</v>
      </c>
      <c r="P3891" s="268">
        <v>5000</v>
      </c>
      <c r="Q3891" s="273">
        <v>3</v>
      </c>
      <c r="R3891" s="268">
        <f t="shared" si="90"/>
        <v>15000</v>
      </c>
      <c r="S3891" s="24">
        <v>202303</v>
      </c>
      <c r="T3891" s="127" t="s">
        <v>5173</v>
      </c>
      <c r="U3891" s="97"/>
      <c r="V3891" s="128"/>
      <c r="W3891" s="128"/>
      <c r="X3891" s="227">
        <v>44805</v>
      </c>
      <c r="Y3891" s="227">
        <v>45016</v>
      </c>
    </row>
    <row r="3892" s="9" customFormat="1" customHeight="1" spans="1:25">
      <c r="A3892" s="96" t="s">
        <v>25</v>
      </c>
      <c r="B3892" s="94" t="s">
        <v>4074</v>
      </c>
      <c r="C3892" s="94" t="s">
        <v>39</v>
      </c>
      <c r="D3892" s="94" t="s">
        <v>4178</v>
      </c>
      <c r="E3892" s="105" t="s">
        <v>5133</v>
      </c>
      <c r="F3892" s="96" t="s">
        <v>5134</v>
      </c>
      <c r="G3892" s="96" t="s">
        <v>31</v>
      </c>
      <c r="H3892" s="19" t="s">
        <v>5174</v>
      </c>
      <c r="I3892" s="23" t="e">
        <f>VLOOKUP(H3892,'合同综合查询数据（3月返）'!$A:$A,1,FALSE)</f>
        <v>#N/A</v>
      </c>
      <c r="J3892" s="24" t="s">
        <v>33</v>
      </c>
      <c r="K3892" s="96" t="s">
        <v>5175</v>
      </c>
      <c r="L3892" s="114" t="s">
        <v>5176</v>
      </c>
      <c r="M3892" s="26" t="s">
        <v>5177</v>
      </c>
      <c r="N3892" s="106">
        <v>44470</v>
      </c>
      <c r="O3892" s="94" t="s">
        <v>37</v>
      </c>
      <c r="P3892" s="268">
        <v>0</v>
      </c>
      <c r="Q3892" s="273">
        <v>320</v>
      </c>
      <c r="R3892" s="268">
        <f t="shared" si="90"/>
        <v>0</v>
      </c>
      <c r="S3892" s="24">
        <v>202303</v>
      </c>
      <c r="T3892" s="127" t="s">
        <v>5178</v>
      </c>
      <c r="U3892" s="97"/>
      <c r="V3892" s="128"/>
      <c r="W3892" s="128"/>
      <c r="X3892" s="106">
        <v>44652</v>
      </c>
      <c r="Y3892" s="106">
        <v>45016</v>
      </c>
    </row>
    <row r="3893" s="9" customFormat="1" customHeight="1" spans="1:25">
      <c r="A3893" s="96" t="s">
        <v>25</v>
      </c>
      <c r="B3893" s="94" t="s">
        <v>4074</v>
      </c>
      <c r="C3893" s="94" t="s">
        <v>39</v>
      </c>
      <c r="D3893" s="94" t="s">
        <v>4178</v>
      </c>
      <c r="E3893" s="105" t="s">
        <v>5133</v>
      </c>
      <c r="F3893" s="96" t="s">
        <v>5134</v>
      </c>
      <c r="G3893" s="96" t="s">
        <v>88</v>
      </c>
      <c r="H3893" s="19" t="s">
        <v>5174</v>
      </c>
      <c r="I3893" s="23" t="e">
        <f>VLOOKUP(H3893,'合同综合查询数据（3月返）'!$A:$A,1,FALSE)</f>
        <v>#N/A</v>
      </c>
      <c r="J3893" s="24" t="s">
        <v>126</v>
      </c>
      <c r="K3893" s="96" t="s">
        <v>5175</v>
      </c>
      <c r="L3893" s="114" t="s">
        <v>5176</v>
      </c>
      <c r="M3893" s="26" t="s">
        <v>5177</v>
      </c>
      <c r="N3893" s="106">
        <v>44470</v>
      </c>
      <c r="O3893" s="94" t="s">
        <v>127</v>
      </c>
      <c r="P3893" s="268">
        <v>4000</v>
      </c>
      <c r="Q3893" s="273">
        <v>4</v>
      </c>
      <c r="R3893" s="268">
        <f t="shared" si="90"/>
        <v>16000</v>
      </c>
      <c r="S3893" s="24">
        <v>202303</v>
      </c>
      <c r="T3893" s="127" t="s">
        <v>5179</v>
      </c>
      <c r="U3893" s="97"/>
      <c r="V3893" s="128"/>
      <c r="W3893" s="128"/>
      <c r="X3893" s="106">
        <v>44652</v>
      </c>
      <c r="Y3893" s="106">
        <v>45016</v>
      </c>
    </row>
    <row r="3894" s="9" customFormat="1" customHeight="1" spans="1:25">
      <c r="A3894" s="96" t="s">
        <v>109</v>
      </c>
      <c r="B3894" s="94" t="s">
        <v>4074</v>
      </c>
      <c r="C3894" s="94" t="s">
        <v>3134</v>
      </c>
      <c r="D3894" s="94" t="s">
        <v>4250</v>
      </c>
      <c r="E3894" s="105" t="s">
        <v>5180</v>
      </c>
      <c r="F3894" s="96" t="s">
        <v>5181</v>
      </c>
      <c r="G3894" s="96" t="s">
        <v>31</v>
      </c>
      <c r="H3894" s="19" t="s">
        <v>5182</v>
      </c>
      <c r="I3894" s="23" t="e">
        <f>VLOOKUP(H3894,'合同综合查询数据（3月返）'!$A:$A,1,FALSE)</f>
        <v>#N/A</v>
      </c>
      <c r="J3894" s="24" t="s">
        <v>33</v>
      </c>
      <c r="K3894" s="96" t="s">
        <v>3155</v>
      </c>
      <c r="L3894" s="114" t="s">
        <v>5183</v>
      </c>
      <c r="M3894" s="26" t="s">
        <v>5184</v>
      </c>
      <c r="N3894" s="106">
        <v>44234</v>
      </c>
      <c r="O3894" s="94" t="s">
        <v>37</v>
      </c>
      <c r="P3894" s="268">
        <v>0</v>
      </c>
      <c r="Q3894" s="273">
        <v>640</v>
      </c>
      <c r="R3894" s="268">
        <f t="shared" si="90"/>
        <v>0</v>
      </c>
      <c r="S3894" s="24">
        <v>202303</v>
      </c>
      <c r="T3894" s="127" t="s">
        <v>5185</v>
      </c>
      <c r="U3894" s="97"/>
      <c r="V3894" s="128"/>
      <c r="W3894" s="128"/>
      <c r="X3894" s="106">
        <v>44234</v>
      </c>
      <c r="Y3894" s="106">
        <v>44592</v>
      </c>
    </row>
    <row r="3895" s="9" customFormat="1" customHeight="1" spans="1:25">
      <c r="A3895" s="96" t="s">
        <v>109</v>
      </c>
      <c r="B3895" s="94" t="s">
        <v>4074</v>
      </c>
      <c r="C3895" s="94" t="s">
        <v>3134</v>
      </c>
      <c r="D3895" s="94" t="s">
        <v>4250</v>
      </c>
      <c r="E3895" s="105" t="s">
        <v>5180</v>
      </c>
      <c r="F3895" s="96" t="s">
        <v>5181</v>
      </c>
      <c r="G3895" s="96" t="s">
        <v>31</v>
      </c>
      <c r="H3895" s="19" t="s">
        <v>5182</v>
      </c>
      <c r="I3895" s="23" t="e">
        <f>VLOOKUP(H3895,'合同综合查询数据（3月返）'!$A:$A,1,FALSE)</f>
        <v>#N/A</v>
      </c>
      <c r="J3895" s="24" t="s">
        <v>33</v>
      </c>
      <c r="K3895" s="96" t="s">
        <v>3155</v>
      </c>
      <c r="L3895" s="114" t="s">
        <v>5183</v>
      </c>
      <c r="M3895" s="26" t="s">
        <v>5184</v>
      </c>
      <c r="N3895" s="106"/>
      <c r="O3895" s="94" t="s">
        <v>152</v>
      </c>
      <c r="P3895" s="268">
        <v>0</v>
      </c>
      <c r="Q3895" s="273">
        <v>0</v>
      </c>
      <c r="R3895" s="268">
        <f t="shared" si="90"/>
        <v>0</v>
      </c>
      <c r="S3895" s="24">
        <v>202303</v>
      </c>
      <c r="T3895" s="127" t="s">
        <v>5186</v>
      </c>
      <c r="U3895" s="97"/>
      <c r="V3895" s="128"/>
      <c r="W3895" s="128"/>
      <c r="X3895" s="106">
        <v>44234</v>
      </c>
      <c r="Y3895" s="106">
        <v>44592</v>
      </c>
    </row>
    <row r="3896" s="9" customFormat="1" customHeight="1" spans="1:25">
      <c r="A3896" s="96" t="s">
        <v>109</v>
      </c>
      <c r="B3896" s="94" t="s">
        <v>4074</v>
      </c>
      <c r="C3896" s="94" t="s">
        <v>3134</v>
      </c>
      <c r="D3896" s="94" t="s">
        <v>4250</v>
      </c>
      <c r="E3896" s="105" t="s">
        <v>5180</v>
      </c>
      <c r="F3896" s="96" t="s">
        <v>5181</v>
      </c>
      <c r="G3896" s="96" t="s">
        <v>88</v>
      </c>
      <c r="H3896" s="19" t="s">
        <v>5182</v>
      </c>
      <c r="I3896" s="23" t="e">
        <f>VLOOKUP(H3896,'合同综合查询数据（3月返）'!$A:$A,1,FALSE)</f>
        <v>#N/A</v>
      </c>
      <c r="J3896" s="24" t="s">
        <v>126</v>
      </c>
      <c r="K3896" s="96" t="s">
        <v>3155</v>
      </c>
      <c r="L3896" s="114" t="s">
        <v>5183</v>
      </c>
      <c r="M3896" s="26" t="s">
        <v>5184</v>
      </c>
      <c r="N3896" s="106">
        <v>44234</v>
      </c>
      <c r="O3896" s="94" t="s">
        <v>92</v>
      </c>
      <c r="P3896" s="268">
        <v>5000</v>
      </c>
      <c r="Q3896" s="273">
        <v>4</v>
      </c>
      <c r="R3896" s="268">
        <f t="shared" si="90"/>
        <v>20000</v>
      </c>
      <c r="S3896" s="24">
        <v>202303</v>
      </c>
      <c r="T3896" s="127" t="s">
        <v>5187</v>
      </c>
      <c r="U3896" s="97"/>
      <c r="V3896" s="128"/>
      <c r="W3896" s="128"/>
      <c r="X3896" s="106">
        <v>44234</v>
      </c>
      <c r="Y3896" s="106">
        <v>44592</v>
      </c>
    </row>
    <row r="3897" s="9" customFormat="1" customHeight="1" spans="1:25">
      <c r="A3897" s="96" t="s">
        <v>109</v>
      </c>
      <c r="B3897" s="94" t="s">
        <v>4074</v>
      </c>
      <c r="C3897" s="94" t="s">
        <v>3134</v>
      </c>
      <c r="D3897" s="94" t="s">
        <v>4250</v>
      </c>
      <c r="E3897" s="105" t="s">
        <v>5180</v>
      </c>
      <c r="F3897" s="96" t="s">
        <v>5181</v>
      </c>
      <c r="G3897" s="96" t="s">
        <v>88</v>
      </c>
      <c r="H3897" s="19" t="s">
        <v>5182</v>
      </c>
      <c r="I3897" s="23" t="e">
        <f>VLOOKUP(H3897,'合同综合查询数据（3月返）'!$A:$A,1,FALSE)</f>
        <v>#N/A</v>
      </c>
      <c r="J3897" s="24" t="s">
        <v>126</v>
      </c>
      <c r="K3897" s="96" t="s">
        <v>3155</v>
      </c>
      <c r="L3897" s="114" t="s">
        <v>5183</v>
      </c>
      <c r="M3897" s="26" t="s">
        <v>5184</v>
      </c>
      <c r="N3897" s="106">
        <v>44469</v>
      </c>
      <c r="O3897" s="94" t="s">
        <v>92</v>
      </c>
      <c r="P3897" s="268">
        <v>5000</v>
      </c>
      <c r="Q3897" s="273">
        <v>-4</v>
      </c>
      <c r="R3897" s="268">
        <f t="shared" si="90"/>
        <v>-20000</v>
      </c>
      <c r="S3897" s="24">
        <v>202303</v>
      </c>
      <c r="T3897" s="127" t="s">
        <v>5188</v>
      </c>
      <c r="U3897" s="97"/>
      <c r="V3897" s="128"/>
      <c r="W3897" s="128"/>
      <c r="X3897" s="106">
        <v>44234</v>
      </c>
      <c r="Y3897" s="106">
        <v>44592</v>
      </c>
    </row>
    <row r="3898" s="9" customFormat="1" customHeight="1" spans="1:25">
      <c r="A3898" s="96" t="s">
        <v>109</v>
      </c>
      <c r="B3898" s="94" t="s">
        <v>4074</v>
      </c>
      <c r="C3898" s="94" t="s">
        <v>3134</v>
      </c>
      <c r="D3898" s="94" t="s">
        <v>4250</v>
      </c>
      <c r="E3898" s="105" t="s">
        <v>5180</v>
      </c>
      <c r="F3898" s="96" t="s">
        <v>5181</v>
      </c>
      <c r="G3898" s="96" t="s">
        <v>88</v>
      </c>
      <c r="H3898" s="19" t="s">
        <v>5189</v>
      </c>
      <c r="I3898" s="23" t="e">
        <f>VLOOKUP(H3898,'合同综合查询数据（3月返）'!$A:$A,1,FALSE)</f>
        <v>#N/A</v>
      </c>
      <c r="J3898" s="24" t="s">
        <v>126</v>
      </c>
      <c r="K3898" s="96" t="s">
        <v>3155</v>
      </c>
      <c r="L3898" s="114" t="s">
        <v>5183</v>
      </c>
      <c r="M3898" s="26" t="s">
        <v>5184</v>
      </c>
      <c r="N3898" s="106">
        <v>44287</v>
      </c>
      <c r="O3898" s="94" t="s">
        <v>92</v>
      </c>
      <c r="P3898" s="268">
        <v>5000</v>
      </c>
      <c r="Q3898" s="273">
        <v>1</v>
      </c>
      <c r="R3898" s="268">
        <f t="shared" si="90"/>
        <v>5000</v>
      </c>
      <c r="S3898" s="24">
        <v>202303</v>
      </c>
      <c r="T3898" s="127" t="s">
        <v>5190</v>
      </c>
      <c r="U3898" s="97"/>
      <c r="V3898" s="128"/>
      <c r="W3898" s="128"/>
      <c r="X3898" s="106">
        <v>44287</v>
      </c>
      <c r="Y3898" s="106">
        <v>44592</v>
      </c>
    </row>
    <row r="3899" s="9" customFormat="1" customHeight="1" spans="1:25">
      <c r="A3899" s="96" t="s">
        <v>109</v>
      </c>
      <c r="B3899" s="94" t="s">
        <v>4074</v>
      </c>
      <c r="C3899" s="94" t="s">
        <v>3134</v>
      </c>
      <c r="D3899" s="94" t="s">
        <v>4250</v>
      </c>
      <c r="E3899" s="105" t="s">
        <v>5180</v>
      </c>
      <c r="F3899" s="96" t="s">
        <v>5181</v>
      </c>
      <c r="G3899" s="96" t="s">
        <v>88</v>
      </c>
      <c r="H3899" s="19" t="s">
        <v>5189</v>
      </c>
      <c r="I3899" s="23" t="e">
        <f>VLOOKUP(H3899,'合同综合查询数据（3月返）'!$A:$A,1,FALSE)</f>
        <v>#N/A</v>
      </c>
      <c r="J3899" s="24" t="s">
        <v>126</v>
      </c>
      <c r="K3899" s="96" t="s">
        <v>3155</v>
      </c>
      <c r="L3899" s="114" t="s">
        <v>5183</v>
      </c>
      <c r="M3899" s="26" t="s">
        <v>5184</v>
      </c>
      <c r="N3899" s="106">
        <v>44469</v>
      </c>
      <c r="O3899" s="94" t="s">
        <v>92</v>
      </c>
      <c r="P3899" s="268">
        <v>5000</v>
      </c>
      <c r="Q3899" s="273">
        <v>-1</v>
      </c>
      <c r="R3899" s="268">
        <f t="shared" si="90"/>
        <v>-5000</v>
      </c>
      <c r="S3899" s="24">
        <v>202303</v>
      </c>
      <c r="T3899" s="127" t="s">
        <v>5191</v>
      </c>
      <c r="U3899" s="97"/>
      <c r="V3899" s="128"/>
      <c r="W3899" s="128"/>
      <c r="X3899" s="106">
        <v>44287</v>
      </c>
      <c r="Y3899" s="106">
        <v>44592</v>
      </c>
    </row>
    <row r="3900" s="9" customFormat="1" customHeight="1" spans="1:25">
      <c r="A3900" s="96" t="s">
        <v>25</v>
      </c>
      <c r="B3900" s="96" t="s">
        <v>4074</v>
      </c>
      <c r="C3900" s="96" t="s">
        <v>39</v>
      </c>
      <c r="D3900" s="94" t="s">
        <v>4178</v>
      </c>
      <c r="E3900" s="105" t="s">
        <v>5192</v>
      </c>
      <c r="F3900" s="96" t="s">
        <v>5193</v>
      </c>
      <c r="G3900" s="96" t="s">
        <v>31</v>
      </c>
      <c r="H3900" s="19" t="s">
        <v>5194</v>
      </c>
      <c r="I3900" s="23" t="e">
        <f>VLOOKUP(H3900,'合同综合查询数据（3月返）'!$A:$A,1,FALSE)</f>
        <v>#N/A</v>
      </c>
      <c r="J3900" s="24" t="s">
        <v>3856</v>
      </c>
      <c r="K3900" s="96" t="s">
        <v>4228</v>
      </c>
      <c r="L3900" s="114" t="s">
        <v>5195</v>
      </c>
      <c r="M3900" s="26" t="s">
        <v>5196</v>
      </c>
      <c r="N3900" s="311">
        <v>43325</v>
      </c>
      <c r="O3900" s="335" t="s">
        <v>37</v>
      </c>
      <c r="P3900" s="268">
        <v>0</v>
      </c>
      <c r="Q3900" s="273">
        <v>320</v>
      </c>
      <c r="R3900" s="268">
        <f t="shared" si="90"/>
        <v>0</v>
      </c>
      <c r="S3900" s="24">
        <v>202303</v>
      </c>
      <c r="T3900" s="127" t="s">
        <v>5197</v>
      </c>
      <c r="U3900" s="40"/>
      <c r="V3900" s="40"/>
      <c r="W3900" s="40"/>
      <c r="X3900" s="311">
        <v>44075</v>
      </c>
      <c r="Y3900" s="311">
        <v>44439</v>
      </c>
    </row>
    <row r="3901" s="9" customFormat="1" customHeight="1" spans="1:25">
      <c r="A3901" s="96" t="s">
        <v>25</v>
      </c>
      <c r="B3901" s="96" t="s">
        <v>4074</v>
      </c>
      <c r="C3901" s="96" t="s">
        <v>39</v>
      </c>
      <c r="D3901" s="94" t="s">
        <v>4178</v>
      </c>
      <c r="E3901" s="105" t="s">
        <v>5192</v>
      </c>
      <c r="F3901" s="96" t="s">
        <v>5193</v>
      </c>
      <c r="G3901" s="96" t="s">
        <v>88</v>
      </c>
      <c r="H3901" s="19" t="s">
        <v>5194</v>
      </c>
      <c r="I3901" s="23" t="e">
        <f>VLOOKUP(H3901,'合同综合查询数据（3月返）'!$A:$A,1,FALSE)</f>
        <v>#N/A</v>
      </c>
      <c r="J3901" s="24" t="s">
        <v>126</v>
      </c>
      <c r="K3901" s="96" t="s">
        <v>4228</v>
      </c>
      <c r="L3901" s="114" t="s">
        <v>5195</v>
      </c>
      <c r="M3901" s="26" t="s">
        <v>5196</v>
      </c>
      <c r="N3901" s="311">
        <v>43325</v>
      </c>
      <c r="O3901" s="311" t="s">
        <v>127</v>
      </c>
      <c r="P3901" s="268">
        <v>0</v>
      </c>
      <c r="Q3901" s="273">
        <v>4</v>
      </c>
      <c r="R3901" s="268">
        <f t="shared" si="90"/>
        <v>0</v>
      </c>
      <c r="S3901" s="24">
        <v>202303</v>
      </c>
      <c r="T3901" s="127" t="s">
        <v>5198</v>
      </c>
      <c r="U3901" s="40"/>
      <c r="V3901" s="40"/>
      <c r="W3901" s="40"/>
      <c r="X3901" s="311">
        <v>44075</v>
      </c>
      <c r="Y3901" s="311">
        <v>44439</v>
      </c>
    </row>
    <row r="3902" s="9" customFormat="1" customHeight="1" spans="1:25">
      <c r="A3902" s="96" t="s">
        <v>25</v>
      </c>
      <c r="B3902" s="96" t="s">
        <v>4074</v>
      </c>
      <c r="C3902" s="96" t="s">
        <v>39</v>
      </c>
      <c r="D3902" s="94" t="s">
        <v>4178</v>
      </c>
      <c r="E3902" s="105" t="s">
        <v>5192</v>
      </c>
      <c r="F3902" s="96" t="s">
        <v>5193</v>
      </c>
      <c r="G3902" s="96" t="s">
        <v>88</v>
      </c>
      <c r="H3902" s="19" t="s">
        <v>5194</v>
      </c>
      <c r="I3902" s="23" t="e">
        <f>VLOOKUP(H3902,'合同综合查询数据（3月返）'!$A:$A,1,FALSE)</f>
        <v>#N/A</v>
      </c>
      <c r="J3902" s="24" t="s">
        <v>126</v>
      </c>
      <c r="K3902" s="96" t="s">
        <v>4228</v>
      </c>
      <c r="L3902" s="114" t="s">
        <v>5195</v>
      </c>
      <c r="M3902" s="26" t="s">
        <v>5196</v>
      </c>
      <c r="N3902" s="311">
        <v>44439</v>
      </c>
      <c r="O3902" s="311" t="s">
        <v>127</v>
      </c>
      <c r="P3902" s="268">
        <v>0</v>
      </c>
      <c r="Q3902" s="273">
        <v>-4</v>
      </c>
      <c r="R3902" s="268">
        <f t="shared" si="90"/>
        <v>0</v>
      </c>
      <c r="S3902" s="24">
        <v>202303</v>
      </c>
      <c r="T3902" s="127" t="s">
        <v>5199</v>
      </c>
      <c r="U3902" s="40"/>
      <c r="V3902" s="40"/>
      <c r="W3902" s="40"/>
      <c r="X3902" s="311">
        <v>44075</v>
      </c>
      <c r="Y3902" s="311">
        <v>44439</v>
      </c>
    </row>
    <row r="3903" s="9" customFormat="1" customHeight="1" spans="1:25">
      <c r="A3903" s="96" t="s">
        <v>109</v>
      </c>
      <c r="B3903" s="94" t="s">
        <v>4074</v>
      </c>
      <c r="C3903" s="94" t="s">
        <v>5200</v>
      </c>
      <c r="D3903" s="94" t="s">
        <v>4250</v>
      </c>
      <c r="E3903" s="105" t="s">
        <v>5201</v>
      </c>
      <c r="F3903" s="96" t="s">
        <v>5202</v>
      </c>
      <c r="G3903" s="96" t="s">
        <v>31</v>
      </c>
      <c r="H3903" s="19" t="s">
        <v>5203</v>
      </c>
      <c r="I3903" s="23" t="e">
        <f>VLOOKUP(H3903,'合同综合查询数据（3月返）'!$A:$A,1,FALSE)</f>
        <v>#N/A</v>
      </c>
      <c r="J3903" s="24" t="s">
        <v>33</v>
      </c>
      <c r="K3903" s="96" t="s">
        <v>5204</v>
      </c>
      <c r="L3903" s="114" t="s">
        <v>5205</v>
      </c>
      <c r="M3903" s="26" t="s">
        <v>5206</v>
      </c>
      <c r="N3903" s="106">
        <v>44197</v>
      </c>
      <c r="O3903" s="94" t="s">
        <v>37</v>
      </c>
      <c r="P3903" s="268">
        <v>0</v>
      </c>
      <c r="Q3903" s="273">
        <v>320</v>
      </c>
      <c r="R3903" s="268">
        <f t="shared" si="90"/>
        <v>0</v>
      </c>
      <c r="S3903" s="24">
        <v>202303</v>
      </c>
      <c r="T3903" s="127" t="s">
        <v>5207</v>
      </c>
      <c r="U3903" s="97"/>
      <c r="V3903" s="128"/>
      <c r="W3903" s="336"/>
      <c r="X3903" s="106">
        <v>44743</v>
      </c>
      <c r="Y3903" s="106">
        <v>45107</v>
      </c>
    </row>
    <row r="3904" s="9" customFormat="1" customHeight="1" spans="1:25">
      <c r="A3904" s="96" t="s">
        <v>109</v>
      </c>
      <c r="B3904" s="94" t="s">
        <v>4074</v>
      </c>
      <c r="C3904" s="94" t="s">
        <v>5200</v>
      </c>
      <c r="D3904" s="94" t="s">
        <v>4250</v>
      </c>
      <c r="E3904" s="105" t="s">
        <v>5201</v>
      </c>
      <c r="F3904" s="96" t="s">
        <v>5202</v>
      </c>
      <c r="G3904" s="96" t="s">
        <v>31</v>
      </c>
      <c r="H3904" s="19" t="s">
        <v>5203</v>
      </c>
      <c r="I3904" s="23" t="e">
        <f>VLOOKUP(H3904,'合同综合查询数据（3月返）'!$A:$A,1,FALSE)</f>
        <v>#N/A</v>
      </c>
      <c r="J3904" s="24" t="s">
        <v>33</v>
      </c>
      <c r="K3904" s="96" t="s">
        <v>5204</v>
      </c>
      <c r="L3904" s="114" t="s">
        <v>5205</v>
      </c>
      <c r="M3904" s="26" t="s">
        <v>5206</v>
      </c>
      <c r="N3904" s="106"/>
      <c r="O3904" s="94" t="s">
        <v>152</v>
      </c>
      <c r="P3904" s="268">
        <v>0</v>
      </c>
      <c r="Q3904" s="273">
        <v>0</v>
      </c>
      <c r="R3904" s="268">
        <f t="shared" si="90"/>
        <v>0</v>
      </c>
      <c r="S3904" s="24">
        <v>202303</v>
      </c>
      <c r="T3904" s="127" t="s">
        <v>4386</v>
      </c>
      <c r="U3904" s="97"/>
      <c r="V3904" s="128"/>
      <c r="W3904" s="128"/>
      <c r="X3904" s="106">
        <v>44743</v>
      </c>
      <c r="Y3904" s="106">
        <v>45107</v>
      </c>
    </row>
    <row r="3905" s="9" customFormat="1" customHeight="1" spans="1:25">
      <c r="A3905" s="96" t="s">
        <v>109</v>
      </c>
      <c r="B3905" s="94" t="s">
        <v>4074</v>
      </c>
      <c r="C3905" s="94" t="s">
        <v>5200</v>
      </c>
      <c r="D3905" s="94" t="s">
        <v>4250</v>
      </c>
      <c r="E3905" s="105" t="s">
        <v>5201</v>
      </c>
      <c r="F3905" s="96" t="s">
        <v>5202</v>
      </c>
      <c r="G3905" s="96" t="s">
        <v>88</v>
      </c>
      <c r="H3905" s="19" t="s">
        <v>5203</v>
      </c>
      <c r="I3905" s="23" t="e">
        <f>VLOOKUP(H3905,'合同综合查询数据（3月返）'!$A:$A,1,FALSE)</f>
        <v>#N/A</v>
      </c>
      <c r="J3905" s="24" t="s">
        <v>126</v>
      </c>
      <c r="K3905" s="96" t="s">
        <v>5204</v>
      </c>
      <c r="L3905" s="114" t="s">
        <v>5205</v>
      </c>
      <c r="M3905" s="26" t="s">
        <v>5206</v>
      </c>
      <c r="N3905" s="106">
        <v>44197</v>
      </c>
      <c r="O3905" s="94" t="s">
        <v>127</v>
      </c>
      <c r="P3905" s="268">
        <v>5000</v>
      </c>
      <c r="Q3905" s="273">
        <v>6</v>
      </c>
      <c r="R3905" s="268">
        <f t="shared" si="90"/>
        <v>30000</v>
      </c>
      <c r="S3905" s="24">
        <v>202303</v>
      </c>
      <c r="T3905" s="127" t="s">
        <v>5208</v>
      </c>
      <c r="U3905" s="97"/>
      <c r="V3905" s="128"/>
      <c r="W3905" s="128"/>
      <c r="X3905" s="106">
        <v>44743</v>
      </c>
      <c r="Y3905" s="106">
        <v>45107</v>
      </c>
    </row>
    <row r="3906" s="9" customFormat="1" customHeight="1" spans="1:25">
      <c r="A3906" s="96" t="s">
        <v>109</v>
      </c>
      <c r="B3906" s="94" t="s">
        <v>4074</v>
      </c>
      <c r="C3906" s="94" t="s">
        <v>5200</v>
      </c>
      <c r="D3906" s="94" t="s">
        <v>4250</v>
      </c>
      <c r="E3906" s="105" t="s">
        <v>5201</v>
      </c>
      <c r="F3906" s="96" t="s">
        <v>5202</v>
      </c>
      <c r="G3906" s="96" t="s">
        <v>31</v>
      </c>
      <c r="H3906" s="19" t="s">
        <v>5209</v>
      </c>
      <c r="I3906" s="23" t="e">
        <f>VLOOKUP(H3906,'合同综合查询数据（3月返）'!$A:$A,1,FALSE)</f>
        <v>#N/A</v>
      </c>
      <c r="J3906" s="24" t="s">
        <v>33</v>
      </c>
      <c r="K3906" s="96" t="s">
        <v>5204</v>
      </c>
      <c r="L3906" s="114" t="s">
        <v>5210</v>
      </c>
      <c r="M3906" s="26" t="s">
        <v>5211</v>
      </c>
      <c r="N3906" s="106">
        <v>44440</v>
      </c>
      <c r="O3906" s="94" t="s">
        <v>37</v>
      </c>
      <c r="P3906" s="268">
        <v>0</v>
      </c>
      <c r="Q3906" s="273">
        <v>320</v>
      </c>
      <c r="R3906" s="268">
        <f t="shared" si="90"/>
        <v>0</v>
      </c>
      <c r="S3906" s="24">
        <v>202303</v>
      </c>
      <c r="T3906" s="127" t="s">
        <v>5212</v>
      </c>
      <c r="U3906" s="97"/>
      <c r="V3906" s="128"/>
      <c r="W3906" s="128"/>
      <c r="X3906" s="106">
        <v>44805</v>
      </c>
      <c r="Y3906" s="28">
        <v>45107</v>
      </c>
    </row>
    <row r="3907" s="9" customFormat="1" customHeight="1" spans="1:25">
      <c r="A3907" s="96" t="s">
        <v>109</v>
      </c>
      <c r="B3907" s="94" t="s">
        <v>4074</v>
      </c>
      <c r="C3907" s="94" t="s">
        <v>5200</v>
      </c>
      <c r="D3907" s="94" t="s">
        <v>4250</v>
      </c>
      <c r="E3907" s="105" t="s">
        <v>5201</v>
      </c>
      <c r="F3907" s="96" t="s">
        <v>5202</v>
      </c>
      <c r="G3907" s="96" t="s">
        <v>88</v>
      </c>
      <c r="H3907" s="19" t="s">
        <v>5209</v>
      </c>
      <c r="I3907" s="23" t="e">
        <f>VLOOKUP(H3907,'合同综合查询数据（3月返）'!$A:$A,1,FALSE)</f>
        <v>#N/A</v>
      </c>
      <c r="J3907" s="24" t="s">
        <v>126</v>
      </c>
      <c r="K3907" s="96" t="s">
        <v>5204</v>
      </c>
      <c r="L3907" s="114" t="s">
        <v>5210</v>
      </c>
      <c r="M3907" s="26" t="s">
        <v>5211</v>
      </c>
      <c r="N3907" s="106">
        <v>44440</v>
      </c>
      <c r="O3907" s="94" t="s">
        <v>127</v>
      </c>
      <c r="P3907" s="268">
        <v>5000</v>
      </c>
      <c r="Q3907" s="273">
        <v>3</v>
      </c>
      <c r="R3907" s="268">
        <f t="shared" si="90"/>
        <v>15000</v>
      </c>
      <c r="S3907" s="24">
        <v>202303</v>
      </c>
      <c r="T3907" s="127" t="s">
        <v>5213</v>
      </c>
      <c r="U3907" s="97"/>
      <c r="V3907" s="128"/>
      <c r="W3907" s="128"/>
      <c r="X3907" s="106">
        <v>44805</v>
      </c>
      <c r="Y3907" s="28">
        <v>45107</v>
      </c>
    </row>
    <row r="3908" s="9" customFormat="1" customHeight="1" spans="1:25">
      <c r="A3908" s="96" t="s">
        <v>109</v>
      </c>
      <c r="B3908" s="94" t="s">
        <v>4074</v>
      </c>
      <c r="C3908" s="94" t="s">
        <v>5200</v>
      </c>
      <c r="D3908" s="94" t="s">
        <v>4250</v>
      </c>
      <c r="E3908" s="105" t="s">
        <v>5201</v>
      </c>
      <c r="F3908" s="96" t="s">
        <v>5202</v>
      </c>
      <c r="G3908" s="96" t="s">
        <v>31</v>
      </c>
      <c r="H3908" s="19" t="s">
        <v>5214</v>
      </c>
      <c r="I3908" s="23" t="e">
        <f>VLOOKUP(H3908,'合同综合查询数据（3月返）'!$A:$A,1,FALSE)</f>
        <v>#N/A</v>
      </c>
      <c r="J3908" s="24" t="s">
        <v>33</v>
      </c>
      <c r="K3908" s="96" t="s">
        <v>5215</v>
      </c>
      <c r="L3908" s="114" t="s">
        <v>5216</v>
      </c>
      <c r="M3908" s="26" t="s">
        <v>5217</v>
      </c>
      <c r="N3908" s="106">
        <v>44562</v>
      </c>
      <c r="O3908" s="94" t="s">
        <v>37</v>
      </c>
      <c r="P3908" s="268">
        <v>0</v>
      </c>
      <c r="Q3908" s="273">
        <v>128</v>
      </c>
      <c r="R3908" s="268">
        <f t="shared" si="90"/>
        <v>0</v>
      </c>
      <c r="S3908" s="24">
        <v>202303</v>
      </c>
      <c r="T3908" s="127" t="s">
        <v>5218</v>
      </c>
      <c r="U3908" s="97"/>
      <c r="V3908" s="249"/>
      <c r="W3908" s="128"/>
      <c r="X3908" s="106">
        <v>44562</v>
      </c>
      <c r="Y3908" s="106">
        <v>44985</v>
      </c>
    </row>
    <row r="3909" s="9" customFormat="1" customHeight="1" spans="1:25">
      <c r="A3909" s="96" t="s">
        <v>109</v>
      </c>
      <c r="B3909" s="94" t="s">
        <v>4074</v>
      </c>
      <c r="C3909" s="94" t="s">
        <v>5200</v>
      </c>
      <c r="D3909" s="94" t="s">
        <v>4250</v>
      </c>
      <c r="E3909" s="105" t="s">
        <v>5201</v>
      </c>
      <c r="F3909" s="96" t="s">
        <v>5202</v>
      </c>
      <c r="G3909" s="96" t="s">
        <v>31</v>
      </c>
      <c r="H3909" s="19" t="s">
        <v>5214</v>
      </c>
      <c r="I3909" s="23" t="e">
        <f>VLOOKUP(H3909,'合同综合查询数据（3月返）'!$A:$A,1,FALSE)</f>
        <v>#N/A</v>
      </c>
      <c r="J3909" s="24" t="s">
        <v>33</v>
      </c>
      <c r="K3909" s="96" t="s">
        <v>5215</v>
      </c>
      <c r="L3909" s="114" t="s">
        <v>5216</v>
      </c>
      <c r="M3909" s="26" t="s">
        <v>5217</v>
      </c>
      <c r="N3909" s="106">
        <v>44562</v>
      </c>
      <c r="O3909" s="94" t="s">
        <v>37</v>
      </c>
      <c r="P3909" s="268">
        <v>0</v>
      </c>
      <c r="Q3909" s="273">
        <v>-128</v>
      </c>
      <c r="R3909" s="268">
        <f t="shared" si="90"/>
        <v>0</v>
      </c>
      <c r="S3909" s="24">
        <v>202303</v>
      </c>
      <c r="T3909" s="127" t="s">
        <v>5218</v>
      </c>
      <c r="U3909" s="97"/>
      <c r="V3909" s="249"/>
      <c r="W3909" s="128"/>
      <c r="X3909" s="106">
        <v>44562</v>
      </c>
      <c r="Y3909" s="106">
        <v>44985</v>
      </c>
    </row>
    <row r="3910" s="9" customFormat="1" customHeight="1" spans="1:25">
      <c r="A3910" s="96" t="s">
        <v>109</v>
      </c>
      <c r="B3910" s="94" t="s">
        <v>4074</v>
      </c>
      <c r="C3910" s="94" t="s">
        <v>5200</v>
      </c>
      <c r="D3910" s="94" t="s">
        <v>4250</v>
      </c>
      <c r="E3910" s="105" t="s">
        <v>5201</v>
      </c>
      <c r="F3910" s="96" t="s">
        <v>5202</v>
      </c>
      <c r="G3910" s="96" t="s">
        <v>31</v>
      </c>
      <c r="H3910" s="19" t="s">
        <v>5214</v>
      </c>
      <c r="I3910" s="23" t="e">
        <f>VLOOKUP(H3910,'合同综合查询数据（3月返）'!$A:$A,1,FALSE)</f>
        <v>#N/A</v>
      </c>
      <c r="J3910" s="24" t="s">
        <v>33</v>
      </c>
      <c r="K3910" s="96" t="s">
        <v>5215</v>
      </c>
      <c r="L3910" s="114" t="s">
        <v>5216</v>
      </c>
      <c r="M3910" s="26" t="s">
        <v>5217</v>
      </c>
      <c r="N3910" s="106">
        <v>44562</v>
      </c>
      <c r="O3910" s="94" t="s">
        <v>37</v>
      </c>
      <c r="P3910" s="268">
        <v>0</v>
      </c>
      <c r="Q3910" s="273">
        <v>16</v>
      </c>
      <c r="R3910" s="268">
        <f t="shared" si="90"/>
        <v>0</v>
      </c>
      <c r="S3910" s="24">
        <v>202303</v>
      </c>
      <c r="T3910" s="127" t="s">
        <v>5218</v>
      </c>
      <c r="U3910" s="97"/>
      <c r="V3910" s="128"/>
      <c r="W3910" s="128"/>
      <c r="X3910" s="106">
        <v>44562</v>
      </c>
      <c r="Y3910" s="106">
        <v>44985</v>
      </c>
    </row>
    <row r="3911" s="9" customFormat="1" customHeight="1" spans="1:25">
      <c r="A3911" s="96" t="s">
        <v>109</v>
      </c>
      <c r="B3911" s="94" t="s">
        <v>4074</v>
      </c>
      <c r="C3911" s="94" t="s">
        <v>5200</v>
      </c>
      <c r="D3911" s="94" t="s">
        <v>4250</v>
      </c>
      <c r="E3911" s="105" t="s">
        <v>5201</v>
      </c>
      <c r="F3911" s="96" t="s">
        <v>5202</v>
      </c>
      <c r="G3911" s="96" t="s">
        <v>31</v>
      </c>
      <c r="H3911" s="19" t="s">
        <v>5214</v>
      </c>
      <c r="I3911" s="23" t="e">
        <f>VLOOKUP(H3911,'合同综合查询数据（3月返）'!$A:$A,1,FALSE)</f>
        <v>#N/A</v>
      </c>
      <c r="J3911" s="24" t="s">
        <v>33</v>
      </c>
      <c r="K3911" s="96" t="s">
        <v>5215</v>
      </c>
      <c r="L3911" s="114" t="s">
        <v>5216</v>
      </c>
      <c r="M3911" s="26" t="s">
        <v>5217</v>
      </c>
      <c r="N3911" s="106">
        <v>44562</v>
      </c>
      <c r="O3911" s="94" t="s">
        <v>37</v>
      </c>
      <c r="P3911" s="268">
        <v>100</v>
      </c>
      <c r="Q3911" s="273">
        <v>112</v>
      </c>
      <c r="R3911" s="268">
        <f t="shared" si="90"/>
        <v>11200</v>
      </c>
      <c r="S3911" s="24">
        <v>202303</v>
      </c>
      <c r="T3911" s="127" t="s">
        <v>5218</v>
      </c>
      <c r="U3911" s="97"/>
      <c r="V3911" s="128"/>
      <c r="W3911" s="128"/>
      <c r="X3911" s="106">
        <v>44562</v>
      </c>
      <c r="Y3911" s="106">
        <v>44985</v>
      </c>
    </row>
    <row r="3912" s="9" customFormat="1" customHeight="1" spans="1:25">
      <c r="A3912" s="96" t="s">
        <v>109</v>
      </c>
      <c r="B3912" s="94" t="s">
        <v>4074</v>
      </c>
      <c r="C3912" s="94" t="s">
        <v>5200</v>
      </c>
      <c r="D3912" s="94" t="s">
        <v>4250</v>
      </c>
      <c r="E3912" s="105" t="s">
        <v>5201</v>
      </c>
      <c r="F3912" s="96" t="s">
        <v>5202</v>
      </c>
      <c r="G3912" s="96" t="s">
        <v>31</v>
      </c>
      <c r="H3912" s="19" t="s">
        <v>5214</v>
      </c>
      <c r="I3912" s="23" t="e">
        <f>VLOOKUP(H3912,'合同综合查询数据（3月返）'!$A:$A,1,FALSE)</f>
        <v>#N/A</v>
      </c>
      <c r="J3912" s="24" t="s">
        <v>33</v>
      </c>
      <c r="K3912" s="96" t="s">
        <v>5215</v>
      </c>
      <c r="L3912" s="114" t="s">
        <v>5216</v>
      </c>
      <c r="M3912" s="26" t="s">
        <v>5217</v>
      </c>
      <c r="N3912" s="106">
        <v>44985</v>
      </c>
      <c r="O3912" s="94" t="s">
        <v>37</v>
      </c>
      <c r="P3912" s="268">
        <v>0</v>
      </c>
      <c r="Q3912" s="273">
        <v>-16</v>
      </c>
      <c r="R3912" s="268">
        <f t="shared" si="90"/>
        <v>0</v>
      </c>
      <c r="S3912" s="24">
        <v>202303</v>
      </c>
      <c r="T3912" s="127" t="s">
        <v>5219</v>
      </c>
      <c r="U3912" s="97"/>
      <c r="V3912" s="128"/>
      <c r="W3912" s="128"/>
      <c r="X3912" s="106">
        <v>44562</v>
      </c>
      <c r="Y3912" s="106">
        <v>44985</v>
      </c>
    </row>
    <row r="3913" s="9" customFormat="1" customHeight="1" spans="1:25">
      <c r="A3913" s="96" t="s">
        <v>109</v>
      </c>
      <c r="B3913" s="94" t="s">
        <v>4074</v>
      </c>
      <c r="C3913" s="94" t="s">
        <v>5200</v>
      </c>
      <c r="D3913" s="94" t="s">
        <v>4250</v>
      </c>
      <c r="E3913" s="105" t="s">
        <v>5201</v>
      </c>
      <c r="F3913" s="96" t="s">
        <v>5202</v>
      </c>
      <c r="G3913" s="96" t="s">
        <v>31</v>
      </c>
      <c r="H3913" s="19" t="s">
        <v>5214</v>
      </c>
      <c r="I3913" s="23" t="e">
        <f>VLOOKUP(H3913,'合同综合查询数据（3月返）'!$A:$A,1,FALSE)</f>
        <v>#N/A</v>
      </c>
      <c r="J3913" s="24" t="s">
        <v>33</v>
      </c>
      <c r="K3913" s="96" t="s">
        <v>5215</v>
      </c>
      <c r="L3913" s="114" t="s">
        <v>5216</v>
      </c>
      <c r="M3913" s="26" t="s">
        <v>5217</v>
      </c>
      <c r="N3913" s="106">
        <v>44985</v>
      </c>
      <c r="O3913" s="94" t="s">
        <v>37</v>
      </c>
      <c r="P3913" s="268">
        <v>100</v>
      </c>
      <c r="Q3913" s="273">
        <v>-112</v>
      </c>
      <c r="R3913" s="268">
        <f t="shared" si="90"/>
        <v>-11200</v>
      </c>
      <c r="S3913" s="24">
        <v>202303</v>
      </c>
      <c r="T3913" s="127" t="s">
        <v>5219</v>
      </c>
      <c r="U3913" s="97"/>
      <c r="V3913" s="128"/>
      <c r="W3913" s="128"/>
      <c r="X3913" s="106">
        <v>44562</v>
      </c>
      <c r="Y3913" s="106">
        <v>44985</v>
      </c>
    </row>
    <row r="3914" s="9" customFormat="1" customHeight="1" spans="1:25">
      <c r="A3914" s="96" t="s">
        <v>109</v>
      </c>
      <c r="B3914" s="94" t="s">
        <v>4074</v>
      </c>
      <c r="C3914" s="94" t="s">
        <v>5200</v>
      </c>
      <c r="D3914" s="94" t="s">
        <v>4250</v>
      </c>
      <c r="E3914" s="105" t="s">
        <v>5201</v>
      </c>
      <c r="F3914" s="96" t="s">
        <v>5202</v>
      </c>
      <c r="G3914" s="96" t="s">
        <v>88</v>
      </c>
      <c r="H3914" s="19" t="s">
        <v>5214</v>
      </c>
      <c r="I3914" s="23" t="e">
        <f>VLOOKUP(H3914,'合同综合查询数据（3月返）'!$A:$A,1,FALSE)</f>
        <v>#N/A</v>
      </c>
      <c r="J3914" s="24" t="s">
        <v>126</v>
      </c>
      <c r="K3914" s="96" t="s">
        <v>5215</v>
      </c>
      <c r="L3914" s="114" t="s">
        <v>5216</v>
      </c>
      <c r="M3914" s="26" t="s">
        <v>5217</v>
      </c>
      <c r="N3914" s="106">
        <v>44562</v>
      </c>
      <c r="O3914" s="94" t="s">
        <v>127</v>
      </c>
      <c r="P3914" s="268">
        <v>5000</v>
      </c>
      <c r="Q3914" s="273">
        <v>3</v>
      </c>
      <c r="R3914" s="268">
        <f t="shared" si="90"/>
        <v>15000</v>
      </c>
      <c r="S3914" s="24">
        <v>202303</v>
      </c>
      <c r="T3914" s="127" t="s">
        <v>5220</v>
      </c>
      <c r="U3914" s="97"/>
      <c r="V3914" s="128"/>
      <c r="W3914" s="128"/>
      <c r="X3914" s="106">
        <v>44562</v>
      </c>
      <c r="Y3914" s="106">
        <v>44985</v>
      </c>
    </row>
    <row r="3915" s="9" customFormat="1" customHeight="1" spans="1:25">
      <c r="A3915" s="96" t="s">
        <v>109</v>
      </c>
      <c r="B3915" s="94" t="s">
        <v>4074</v>
      </c>
      <c r="C3915" s="94" t="s">
        <v>5200</v>
      </c>
      <c r="D3915" s="94" t="s">
        <v>4250</v>
      </c>
      <c r="E3915" s="105" t="s">
        <v>5201</v>
      </c>
      <c r="F3915" s="96" t="s">
        <v>5202</v>
      </c>
      <c r="G3915" s="96" t="s">
        <v>88</v>
      </c>
      <c r="H3915" s="19" t="s">
        <v>5214</v>
      </c>
      <c r="I3915" s="23" t="e">
        <f>VLOOKUP(H3915,'合同综合查询数据（3月返）'!$A:$A,1,FALSE)</f>
        <v>#N/A</v>
      </c>
      <c r="J3915" s="24" t="s">
        <v>126</v>
      </c>
      <c r="K3915" s="96" t="s">
        <v>5215</v>
      </c>
      <c r="L3915" s="114" t="s">
        <v>5216</v>
      </c>
      <c r="M3915" s="26" t="s">
        <v>5217</v>
      </c>
      <c r="N3915" s="106">
        <v>44742</v>
      </c>
      <c r="O3915" s="94" t="s">
        <v>127</v>
      </c>
      <c r="P3915" s="268">
        <v>5000</v>
      </c>
      <c r="Q3915" s="273">
        <v>-1</v>
      </c>
      <c r="R3915" s="268">
        <f t="shared" si="90"/>
        <v>-5000</v>
      </c>
      <c r="S3915" s="24">
        <v>202303</v>
      </c>
      <c r="T3915" s="127" t="s">
        <v>5221</v>
      </c>
      <c r="U3915" s="97"/>
      <c r="V3915" s="128"/>
      <c r="W3915" s="128"/>
      <c r="X3915" s="106">
        <v>44562</v>
      </c>
      <c r="Y3915" s="106">
        <v>44985</v>
      </c>
    </row>
    <row r="3916" s="9" customFormat="1" customHeight="1" spans="1:25">
      <c r="A3916" s="96" t="s">
        <v>109</v>
      </c>
      <c r="B3916" s="94" t="s">
        <v>4074</v>
      </c>
      <c r="C3916" s="94" t="s">
        <v>5200</v>
      </c>
      <c r="D3916" s="94" t="s">
        <v>4250</v>
      </c>
      <c r="E3916" s="105" t="s">
        <v>5201</v>
      </c>
      <c r="F3916" s="96" t="s">
        <v>5202</v>
      </c>
      <c r="G3916" s="96" t="s">
        <v>88</v>
      </c>
      <c r="H3916" s="19" t="s">
        <v>5214</v>
      </c>
      <c r="I3916" s="23" t="e">
        <f>VLOOKUP(H3916,'合同综合查询数据（3月返）'!$A:$A,1,FALSE)</f>
        <v>#N/A</v>
      </c>
      <c r="J3916" s="24" t="s">
        <v>126</v>
      </c>
      <c r="K3916" s="96" t="s">
        <v>5215</v>
      </c>
      <c r="L3916" s="114" t="s">
        <v>5216</v>
      </c>
      <c r="M3916" s="26" t="s">
        <v>5217</v>
      </c>
      <c r="N3916" s="106">
        <v>44985</v>
      </c>
      <c r="O3916" s="94" t="s">
        <v>127</v>
      </c>
      <c r="P3916" s="268">
        <v>5000</v>
      </c>
      <c r="Q3916" s="273">
        <v>-2</v>
      </c>
      <c r="R3916" s="268">
        <f t="shared" si="90"/>
        <v>-10000</v>
      </c>
      <c r="S3916" s="24">
        <v>202303</v>
      </c>
      <c r="T3916" s="127" t="s">
        <v>5222</v>
      </c>
      <c r="U3916" s="97"/>
      <c r="V3916" s="128"/>
      <c r="W3916" s="128"/>
      <c r="X3916" s="106">
        <v>44562</v>
      </c>
      <c r="Y3916" s="106">
        <v>44985</v>
      </c>
    </row>
    <row r="3917" s="9" customFormat="1" customHeight="1" spans="1:25">
      <c r="A3917" s="96" t="s">
        <v>129</v>
      </c>
      <c r="B3917" s="96" t="s">
        <v>4074</v>
      </c>
      <c r="C3917" s="96" t="s">
        <v>50</v>
      </c>
      <c r="D3917" s="94" t="s">
        <v>4250</v>
      </c>
      <c r="E3917" s="105" t="s">
        <v>5223</v>
      </c>
      <c r="F3917" s="96" t="s">
        <v>5224</v>
      </c>
      <c r="G3917" s="96" t="s">
        <v>31</v>
      </c>
      <c r="H3917" s="19" t="s">
        <v>5225</v>
      </c>
      <c r="I3917" s="23" t="e">
        <f>VLOOKUP(H3917,'合同综合查询数据（3月返）'!$A:$A,1,FALSE)</f>
        <v>#N/A</v>
      </c>
      <c r="J3917" s="24" t="s">
        <v>33</v>
      </c>
      <c r="K3917" s="96" t="s">
        <v>51</v>
      </c>
      <c r="L3917" s="114" t="s">
        <v>5226</v>
      </c>
      <c r="M3917" s="26" t="s">
        <v>5227</v>
      </c>
      <c r="N3917" s="190">
        <v>43617</v>
      </c>
      <c r="O3917" s="96" t="s">
        <v>37</v>
      </c>
      <c r="P3917" s="268">
        <v>0</v>
      </c>
      <c r="Q3917" s="273">
        <v>128</v>
      </c>
      <c r="R3917" s="268">
        <f t="shared" si="90"/>
        <v>0</v>
      </c>
      <c r="S3917" s="24">
        <v>202303</v>
      </c>
      <c r="T3917" s="127" t="s">
        <v>5228</v>
      </c>
      <c r="U3917" s="40"/>
      <c r="V3917" s="40"/>
      <c r="W3917" s="40"/>
      <c r="X3917" s="106">
        <v>44652</v>
      </c>
      <c r="Y3917" s="106">
        <v>45016</v>
      </c>
    </row>
    <row r="3918" s="9" customFormat="1" customHeight="1" spans="1:25">
      <c r="A3918" s="96" t="s">
        <v>129</v>
      </c>
      <c r="B3918" s="96" t="s">
        <v>4074</v>
      </c>
      <c r="C3918" s="96" t="s">
        <v>50</v>
      </c>
      <c r="D3918" s="94" t="s">
        <v>4250</v>
      </c>
      <c r="E3918" s="105" t="s">
        <v>5223</v>
      </c>
      <c r="F3918" s="96" t="s">
        <v>5224</v>
      </c>
      <c r="G3918" s="96" t="s">
        <v>31</v>
      </c>
      <c r="H3918" s="19" t="s">
        <v>5225</v>
      </c>
      <c r="I3918" s="23" t="e">
        <f>VLOOKUP(H3918,'合同综合查询数据（3月返）'!$A:$A,1,FALSE)</f>
        <v>#N/A</v>
      </c>
      <c r="J3918" s="24" t="s">
        <v>33</v>
      </c>
      <c r="K3918" s="96" t="s">
        <v>51</v>
      </c>
      <c r="L3918" s="114" t="s">
        <v>5226</v>
      </c>
      <c r="M3918" s="26" t="s">
        <v>5227</v>
      </c>
      <c r="N3918" s="190">
        <v>43617</v>
      </c>
      <c r="O3918" s="96" t="s">
        <v>37</v>
      </c>
      <c r="P3918" s="268">
        <v>50</v>
      </c>
      <c r="Q3918" s="273">
        <v>32</v>
      </c>
      <c r="R3918" s="268">
        <f t="shared" si="90"/>
        <v>1600</v>
      </c>
      <c r="S3918" s="24">
        <v>202303</v>
      </c>
      <c r="T3918" s="127" t="s">
        <v>5229</v>
      </c>
      <c r="U3918" s="40"/>
      <c r="V3918" s="40"/>
      <c r="W3918" s="40"/>
      <c r="X3918" s="106">
        <v>44652</v>
      </c>
      <c r="Y3918" s="106">
        <v>45016</v>
      </c>
    </row>
    <row r="3919" s="9" customFormat="1" customHeight="1" spans="1:25">
      <c r="A3919" s="96" t="s">
        <v>129</v>
      </c>
      <c r="B3919" s="96" t="s">
        <v>4074</v>
      </c>
      <c r="C3919" s="96" t="s">
        <v>50</v>
      </c>
      <c r="D3919" s="94" t="s">
        <v>4250</v>
      </c>
      <c r="E3919" s="105" t="s">
        <v>5223</v>
      </c>
      <c r="F3919" s="96" t="s">
        <v>5224</v>
      </c>
      <c r="G3919" s="96" t="s">
        <v>31</v>
      </c>
      <c r="H3919" s="19" t="s">
        <v>5225</v>
      </c>
      <c r="I3919" s="23" t="e">
        <f>VLOOKUP(H3919,'合同综合查询数据（3月返）'!$A:$A,1,FALSE)</f>
        <v>#N/A</v>
      </c>
      <c r="J3919" s="24" t="s">
        <v>33</v>
      </c>
      <c r="K3919" s="96" t="s">
        <v>51</v>
      </c>
      <c r="L3919" s="114" t="s">
        <v>5226</v>
      </c>
      <c r="M3919" s="26" t="s">
        <v>5227</v>
      </c>
      <c r="N3919" s="190"/>
      <c r="O3919" s="96" t="s">
        <v>152</v>
      </c>
      <c r="P3919" s="268">
        <v>0</v>
      </c>
      <c r="Q3919" s="273">
        <v>0</v>
      </c>
      <c r="R3919" s="268">
        <f t="shared" si="90"/>
        <v>0</v>
      </c>
      <c r="S3919" s="24">
        <v>202303</v>
      </c>
      <c r="T3919" s="127" t="s">
        <v>5230</v>
      </c>
      <c r="U3919" s="40"/>
      <c r="V3919" s="40"/>
      <c r="W3919" s="40"/>
      <c r="X3919" s="106">
        <v>44652</v>
      </c>
      <c r="Y3919" s="106">
        <v>45016</v>
      </c>
    </row>
    <row r="3920" s="9" customFormat="1" customHeight="1" spans="1:25">
      <c r="A3920" s="96" t="s">
        <v>129</v>
      </c>
      <c r="B3920" s="96" t="s">
        <v>4074</v>
      </c>
      <c r="C3920" s="96" t="s">
        <v>50</v>
      </c>
      <c r="D3920" s="94" t="s">
        <v>4250</v>
      </c>
      <c r="E3920" s="105" t="s">
        <v>5223</v>
      </c>
      <c r="F3920" s="96" t="s">
        <v>5224</v>
      </c>
      <c r="G3920" s="96" t="s">
        <v>88</v>
      </c>
      <c r="H3920" s="19" t="s">
        <v>5225</v>
      </c>
      <c r="I3920" s="23" t="e">
        <f>VLOOKUP(H3920,'合同综合查询数据（3月返）'!$A:$A,1,FALSE)</f>
        <v>#N/A</v>
      </c>
      <c r="J3920" s="24" t="s">
        <v>126</v>
      </c>
      <c r="K3920" s="96" t="s">
        <v>51</v>
      </c>
      <c r="L3920" s="114" t="s">
        <v>5226</v>
      </c>
      <c r="M3920" s="26" t="s">
        <v>5227</v>
      </c>
      <c r="N3920" s="190">
        <v>43617</v>
      </c>
      <c r="O3920" s="199" t="s">
        <v>92</v>
      </c>
      <c r="P3920" s="268">
        <v>0</v>
      </c>
      <c r="Q3920" s="273">
        <v>4</v>
      </c>
      <c r="R3920" s="268">
        <f t="shared" si="90"/>
        <v>0</v>
      </c>
      <c r="S3920" s="24">
        <v>202303</v>
      </c>
      <c r="T3920" s="127" t="s">
        <v>5231</v>
      </c>
      <c r="U3920" s="40"/>
      <c r="V3920" s="40"/>
      <c r="W3920" s="40"/>
      <c r="X3920" s="106">
        <v>44652</v>
      </c>
      <c r="Y3920" s="106">
        <v>45016</v>
      </c>
    </row>
    <row r="3921" s="9" customFormat="1" customHeight="1" spans="1:25">
      <c r="A3921" s="96" t="s">
        <v>129</v>
      </c>
      <c r="B3921" s="96" t="s">
        <v>4074</v>
      </c>
      <c r="C3921" s="96" t="s">
        <v>4500</v>
      </c>
      <c r="D3921" s="94" t="s">
        <v>4178</v>
      </c>
      <c r="E3921" s="105" t="s">
        <v>5232</v>
      </c>
      <c r="F3921" s="96" t="s">
        <v>5233</v>
      </c>
      <c r="G3921" s="96" t="s">
        <v>31</v>
      </c>
      <c r="H3921" s="19" t="s">
        <v>5234</v>
      </c>
      <c r="I3921" s="23" t="e">
        <f>VLOOKUP(H3921,'合同综合查询数据（3月返）'!$A:$A,1,FALSE)</f>
        <v>#N/A</v>
      </c>
      <c r="J3921" s="24" t="s">
        <v>33</v>
      </c>
      <c r="K3921" s="96" t="s">
        <v>4502</v>
      </c>
      <c r="L3921" s="114" t="s">
        <v>5235</v>
      </c>
      <c r="M3921" s="26" t="s">
        <v>5236</v>
      </c>
      <c r="N3921" s="106">
        <v>43262</v>
      </c>
      <c r="O3921" s="106" t="s">
        <v>37</v>
      </c>
      <c r="P3921" s="268">
        <v>0</v>
      </c>
      <c r="Q3921" s="273">
        <v>288</v>
      </c>
      <c r="R3921" s="268">
        <f t="shared" si="90"/>
        <v>0</v>
      </c>
      <c r="S3921" s="24">
        <v>202303</v>
      </c>
      <c r="T3921" s="127" t="s">
        <v>5237</v>
      </c>
      <c r="U3921" s="40"/>
      <c r="V3921" s="40"/>
      <c r="W3921" s="40"/>
      <c r="X3921" s="106">
        <v>44348</v>
      </c>
      <c r="Y3921" s="106">
        <v>44712</v>
      </c>
    </row>
    <row r="3922" s="9" customFormat="1" customHeight="1" spans="1:25">
      <c r="A3922" s="96" t="s">
        <v>129</v>
      </c>
      <c r="B3922" s="96" t="s">
        <v>4074</v>
      </c>
      <c r="C3922" s="96" t="s">
        <v>4500</v>
      </c>
      <c r="D3922" s="94" t="s">
        <v>4178</v>
      </c>
      <c r="E3922" s="105" t="s">
        <v>5232</v>
      </c>
      <c r="F3922" s="96" t="s">
        <v>5233</v>
      </c>
      <c r="G3922" s="96" t="s">
        <v>31</v>
      </c>
      <c r="H3922" s="19" t="s">
        <v>5234</v>
      </c>
      <c r="I3922" s="23" t="e">
        <f>VLOOKUP(H3922,'合同综合查询数据（3月返）'!$A:$A,1,FALSE)</f>
        <v>#N/A</v>
      </c>
      <c r="J3922" s="24" t="s">
        <v>33</v>
      </c>
      <c r="K3922" s="96" t="s">
        <v>4502</v>
      </c>
      <c r="L3922" s="114" t="s">
        <v>5235</v>
      </c>
      <c r="M3922" s="26" t="s">
        <v>5236</v>
      </c>
      <c r="N3922" s="106">
        <v>44561</v>
      </c>
      <c r="O3922" s="106" t="s">
        <v>37</v>
      </c>
      <c r="P3922" s="268">
        <v>0</v>
      </c>
      <c r="Q3922" s="273">
        <v>-288</v>
      </c>
      <c r="R3922" s="268">
        <f t="shared" si="90"/>
        <v>0</v>
      </c>
      <c r="S3922" s="24">
        <v>202303</v>
      </c>
      <c r="T3922" s="127" t="s">
        <v>4356</v>
      </c>
      <c r="U3922" s="40"/>
      <c r="V3922" s="40"/>
      <c r="W3922" s="40"/>
      <c r="X3922" s="106">
        <v>44348</v>
      </c>
      <c r="Y3922" s="106">
        <v>44712</v>
      </c>
    </row>
    <row r="3923" s="9" customFormat="1" customHeight="1" spans="1:25">
      <c r="A3923" s="96" t="s">
        <v>129</v>
      </c>
      <c r="B3923" s="96" t="s">
        <v>4074</v>
      </c>
      <c r="C3923" s="96" t="s">
        <v>4500</v>
      </c>
      <c r="D3923" s="94" t="s">
        <v>4178</v>
      </c>
      <c r="E3923" s="105" t="s">
        <v>5232</v>
      </c>
      <c r="F3923" s="96" t="s">
        <v>5233</v>
      </c>
      <c r="G3923" s="96" t="s">
        <v>88</v>
      </c>
      <c r="H3923" s="19" t="s">
        <v>5234</v>
      </c>
      <c r="I3923" s="23" t="e">
        <f>VLOOKUP(H3923,'合同综合查询数据（3月返）'!$A:$A,1,FALSE)</f>
        <v>#N/A</v>
      </c>
      <c r="J3923" s="24" t="s">
        <v>126</v>
      </c>
      <c r="K3923" s="96" t="s">
        <v>4502</v>
      </c>
      <c r="L3923" s="114" t="s">
        <v>5235</v>
      </c>
      <c r="M3923" s="26" t="s">
        <v>5236</v>
      </c>
      <c r="N3923" s="106">
        <v>43262</v>
      </c>
      <c r="O3923" s="106" t="s">
        <v>92</v>
      </c>
      <c r="P3923" s="268">
        <v>3500</v>
      </c>
      <c r="Q3923" s="273">
        <v>4</v>
      </c>
      <c r="R3923" s="268">
        <f t="shared" si="90"/>
        <v>14000</v>
      </c>
      <c r="S3923" s="24">
        <v>202303</v>
      </c>
      <c r="T3923" s="127" t="s">
        <v>5238</v>
      </c>
      <c r="U3923" s="40"/>
      <c r="V3923" s="40"/>
      <c r="W3923" s="40"/>
      <c r="X3923" s="106">
        <v>44348</v>
      </c>
      <c r="Y3923" s="106">
        <v>44712</v>
      </c>
    </row>
    <row r="3924" s="9" customFormat="1" customHeight="1" spans="1:25">
      <c r="A3924" s="96" t="s">
        <v>129</v>
      </c>
      <c r="B3924" s="96" t="s">
        <v>4074</v>
      </c>
      <c r="C3924" s="96" t="s">
        <v>4500</v>
      </c>
      <c r="D3924" s="94" t="s">
        <v>4178</v>
      </c>
      <c r="E3924" s="105" t="s">
        <v>5232</v>
      </c>
      <c r="F3924" s="96" t="s">
        <v>5233</v>
      </c>
      <c r="G3924" s="96" t="s">
        <v>88</v>
      </c>
      <c r="H3924" s="19" t="s">
        <v>5234</v>
      </c>
      <c r="I3924" s="23" t="e">
        <f>VLOOKUP(H3924,'合同综合查询数据（3月返）'!$A:$A,1,FALSE)</f>
        <v>#N/A</v>
      </c>
      <c r="J3924" s="24" t="s">
        <v>126</v>
      </c>
      <c r="K3924" s="96" t="s">
        <v>4502</v>
      </c>
      <c r="L3924" s="114" t="s">
        <v>5235</v>
      </c>
      <c r="M3924" s="26" t="s">
        <v>5236</v>
      </c>
      <c r="N3924" s="106">
        <v>44561</v>
      </c>
      <c r="O3924" s="106" t="s">
        <v>92</v>
      </c>
      <c r="P3924" s="268">
        <v>3500</v>
      </c>
      <c r="Q3924" s="273">
        <v>-4</v>
      </c>
      <c r="R3924" s="268">
        <f t="shared" si="90"/>
        <v>-14000</v>
      </c>
      <c r="S3924" s="24">
        <v>202303</v>
      </c>
      <c r="T3924" s="127" t="s">
        <v>5239</v>
      </c>
      <c r="U3924" s="40"/>
      <c r="V3924" s="40"/>
      <c r="W3924" s="40"/>
      <c r="X3924" s="106">
        <v>44348</v>
      </c>
      <c r="Y3924" s="106">
        <v>44712</v>
      </c>
    </row>
    <row r="3925" s="9" customFormat="1" customHeight="1" spans="1:25">
      <c r="A3925" s="96" t="s">
        <v>109</v>
      </c>
      <c r="B3925" s="96" t="s">
        <v>4074</v>
      </c>
      <c r="C3925" s="96" t="s">
        <v>44</v>
      </c>
      <c r="D3925" s="94" t="s">
        <v>4178</v>
      </c>
      <c r="E3925" s="105" t="s">
        <v>5240</v>
      </c>
      <c r="F3925" s="96" t="s">
        <v>5241</v>
      </c>
      <c r="G3925" s="96" t="s">
        <v>31</v>
      </c>
      <c r="H3925" s="19" t="s">
        <v>5242</v>
      </c>
      <c r="I3925" s="23" t="e">
        <f>VLOOKUP(H3925,'合同综合查询数据（3月返）'!$A:$A,1,FALSE)</f>
        <v>#N/A</v>
      </c>
      <c r="J3925" s="24" t="s">
        <v>33</v>
      </c>
      <c r="K3925" s="96" t="s">
        <v>5243</v>
      </c>
      <c r="L3925" s="114" t="s">
        <v>5244</v>
      </c>
      <c r="M3925" s="26" t="s">
        <v>5245</v>
      </c>
      <c r="N3925" s="311" t="s">
        <v>1225</v>
      </c>
      <c r="O3925" s="311" t="s">
        <v>37</v>
      </c>
      <c r="P3925" s="268">
        <v>0</v>
      </c>
      <c r="Q3925" s="273">
        <v>288</v>
      </c>
      <c r="R3925" s="268">
        <f t="shared" si="90"/>
        <v>0</v>
      </c>
      <c r="S3925" s="24">
        <v>202303</v>
      </c>
      <c r="T3925" s="127" t="s">
        <v>5246</v>
      </c>
      <c r="U3925" s="40"/>
      <c r="V3925" s="40"/>
      <c r="W3925" s="40"/>
      <c r="X3925" s="311">
        <v>44197</v>
      </c>
      <c r="Y3925" s="311">
        <v>44561</v>
      </c>
    </row>
    <row r="3926" s="9" customFormat="1" customHeight="1" spans="1:25">
      <c r="A3926" s="96" t="s">
        <v>109</v>
      </c>
      <c r="B3926" s="96" t="s">
        <v>4074</v>
      </c>
      <c r="C3926" s="96" t="s">
        <v>44</v>
      </c>
      <c r="D3926" s="94" t="s">
        <v>4178</v>
      </c>
      <c r="E3926" s="105" t="s">
        <v>5240</v>
      </c>
      <c r="F3926" s="96" t="s">
        <v>5241</v>
      </c>
      <c r="G3926" s="96" t="s">
        <v>31</v>
      </c>
      <c r="H3926" s="19" t="s">
        <v>5242</v>
      </c>
      <c r="I3926" s="23" t="e">
        <f>VLOOKUP(H3926,'合同综合查询数据（3月返）'!$A:$A,1,FALSE)</f>
        <v>#N/A</v>
      </c>
      <c r="J3926" s="24" t="s">
        <v>33</v>
      </c>
      <c r="K3926" s="96" t="s">
        <v>5243</v>
      </c>
      <c r="L3926" s="114" t="s">
        <v>5244</v>
      </c>
      <c r="M3926" s="26" t="s">
        <v>5245</v>
      </c>
      <c r="N3926" s="311">
        <v>44500</v>
      </c>
      <c r="O3926" s="311" t="s">
        <v>37</v>
      </c>
      <c r="P3926" s="268">
        <v>0</v>
      </c>
      <c r="Q3926" s="273">
        <v>-288</v>
      </c>
      <c r="R3926" s="268">
        <f t="shared" si="90"/>
        <v>0</v>
      </c>
      <c r="S3926" s="24">
        <v>202303</v>
      </c>
      <c r="T3926" s="127" t="s">
        <v>5247</v>
      </c>
      <c r="U3926" s="40"/>
      <c r="V3926" s="40"/>
      <c r="W3926" s="40"/>
      <c r="X3926" s="311">
        <v>44197</v>
      </c>
      <c r="Y3926" s="311">
        <v>44561</v>
      </c>
    </row>
    <row r="3927" s="9" customFormat="1" customHeight="1" spans="1:25">
      <c r="A3927" s="96" t="s">
        <v>109</v>
      </c>
      <c r="B3927" s="96" t="s">
        <v>4074</v>
      </c>
      <c r="C3927" s="96" t="s">
        <v>44</v>
      </c>
      <c r="D3927" s="94" t="s">
        <v>4178</v>
      </c>
      <c r="E3927" s="105" t="s">
        <v>5240</v>
      </c>
      <c r="F3927" s="96" t="s">
        <v>5241</v>
      </c>
      <c r="G3927" s="96" t="s">
        <v>88</v>
      </c>
      <c r="H3927" s="19" t="s">
        <v>5242</v>
      </c>
      <c r="I3927" s="23" t="e">
        <f>VLOOKUP(H3927,'合同综合查询数据（3月返）'!$A:$A,1,FALSE)</f>
        <v>#N/A</v>
      </c>
      <c r="J3927" s="24" t="s">
        <v>126</v>
      </c>
      <c r="K3927" s="96" t="s">
        <v>5243</v>
      </c>
      <c r="L3927" s="114" t="s">
        <v>5244</v>
      </c>
      <c r="M3927" s="26" t="s">
        <v>5248</v>
      </c>
      <c r="N3927" s="311">
        <v>43374</v>
      </c>
      <c r="O3927" s="311" t="s">
        <v>92</v>
      </c>
      <c r="P3927" s="268">
        <v>5040</v>
      </c>
      <c r="Q3927" s="273">
        <v>4</v>
      </c>
      <c r="R3927" s="268">
        <f t="shared" si="90"/>
        <v>20160</v>
      </c>
      <c r="S3927" s="24">
        <v>202303</v>
      </c>
      <c r="T3927" s="127" t="s">
        <v>5249</v>
      </c>
      <c r="U3927" s="40"/>
      <c r="V3927" s="40"/>
      <c r="W3927" s="40"/>
      <c r="X3927" s="311">
        <v>44197</v>
      </c>
      <c r="Y3927" s="311">
        <v>44561</v>
      </c>
    </row>
    <row r="3928" s="9" customFormat="1" customHeight="1" spans="1:25">
      <c r="A3928" s="96" t="s">
        <v>109</v>
      </c>
      <c r="B3928" s="96" t="s">
        <v>4074</v>
      </c>
      <c r="C3928" s="96" t="s">
        <v>44</v>
      </c>
      <c r="D3928" s="94" t="s">
        <v>4178</v>
      </c>
      <c r="E3928" s="105" t="s">
        <v>5240</v>
      </c>
      <c r="F3928" s="96" t="s">
        <v>5241</v>
      </c>
      <c r="G3928" s="96" t="s">
        <v>88</v>
      </c>
      <c r="H3928" s="19" t="s">
        <v>5242</v>
      </c>
      <c r="I3928" s="23" t="e">
        <f>VLOOKUP(H3928,'合同综合查询数据（3月返）'!$A:$A,1,FALSE)</f>
        <v>#N/A</v>
      </c>
      <c r="J3928" s="24" t="s">
        <v>126</v>
      </c>
      <c r="K3928" s="96" t="s">
        <v>5243</v>
      </c>
      <c r="L3928" s="114" t="s">
        <v>5244</v>
      </c>
      <c r="M3928" s="26" t="s">
        <v>5248</v>
      </c>
      <c r="N3928" s="311">
        <v>44500</v>
      </c>
      <c r="O3928" s="311" t="s">
        <v>92</v>
      </c>
      <c r="P3928" s="268">
        <v>5040</v>
      </c>
      <c r="Q3928" s="273">
        <v>-4</v>
      </c>
      <c r="R3928" s="268">
        <f t="shared" si="90"/>
        <v>-20160</v>
      </c>
      <c r="S3928" s="24">
        <v>202303</v>
      </c>
      <c r="T3928" s="127" t="s">
        <v>5250</v>
      </c>
      <c r="U3928" s="40"/>
      <c r="V3928" s="40"/>
      <c r="W3928" s="40"/>
      <c r="X3928" s="311">
        <v>44197</v>
      </c>
      <c r="Y3928" s="311">
        <v>44561</v>
      </c>
    </row>
    <row r="3929" s="10" customFormat="1" customHeight="1" spans="1:25">
      <c r="A3929" s="60" t="s">
        <v>109</v>
      </c>
      <c r="B3929" s="60" t="s">
        <v>4074</v>
      </c>
      <c r="C3929" s="60" t="s">
        <v>44</v>
      </c>
      <c r="D3929" s="62" t="s">
        <v>4178</v>
      </c>
      <c r="E3929" s="63" t="s">
        <v>5240</v>
      </c>
      <c r="F3929" s="60" t="s">
        <v>5241</v>
      </c>
      <c r="G3929" s="60" t="s">
        <v>31</v>
      </c>
      <c r="H3929" s="45" t="s">
        <v>5251</v>
      </c>
      <c r="I3929" s="47" t="e">
        <f>VLOOKUP(H3929,'合同综合查询数据（3月返）'!$A:$A,1,FALSE)</f>
        <v>#N/A</v>
      </c>
      <c r="J3929" s="48" t="s">
        <v>33</v>
      </c>
      <c r="K3929" s="60" t="s">
        <v>5252</v>
      </c>
      <c r="L3929" s="113" t="s">
        <v>5253</v>
      </c>
      <c r="M3929" s="50" t="s">
        <v>5254</v>
      </c>
      <c r="N3929" s="309"/>
      <c r="O3929" s="309" t="s">
        <v>37</v>
      </c>
      <c r="P3929" s="266">
        <v>0</v>
      </c>
      <c r="Q3929" s="299">
        <v>640</v>
      </c>
      <c r="R3929" s="266">
        <f t="shared" si="90"/>
        <v>0</v>
      </c>
      <c r="S3929" s="48">
        <v>202303</v>
      </c>
      <c r="T3929" s="125" t="s">
        <v>5255</v>
      </c>
      <c r="U3929" s="58"/>
      <c r="V3929" s="310"/>
      <c r="W3929" s="310"/>
      <c r="X3929" s="309"/>
      <c r="Y3929" s="309"/>
    </row>
    <row r="3930" s="10" customFormat="1" customHeight="1" spans="1:25">
      <c r="A3930" s="60" t="s">
        <v>109</v>
      </c>
      <c r="B3930" s="60" t="s">
        <v>4074</v>
      </c>
      <c r="C3930" s="60" t="s">
        <v>44</v>
      </c>
      <c r="D3930" s="62" t="s">
        <v>4178</v>
      </c>
      <c r="E3930" s="63" t="s">
        <v>5240</v>
      </c>
      <c r="F3930" s="60" t="s">
        <v>5241</v>
      </c>
      <c r="G3930" s="60" t="s">
        <v>88</v>
      </c>
      <c r="H3930" s="45" t="s">
        <v>5251</v>
      </c>
      <c r="I3930" s="47" t="e">
        <f>VLOOKUP(H3930,'合同综合查询数据（3月返）'!$A:$A,1,FALSE)</f>
        <v>#N/A</v>
      </c>
      <c r="J3930" s="48" t="s">
        <v>126</v>
      </c>
      <c r="K3930" s="60" t="s">
        <v>5252</v>
      </c>
      <c r="L3930" s="60" t="s">
        <v>5253</v>
      </c>
      <c r="M3930" s="50" t="s">
        <v>5256</v>
      </c>
      <c r="N3930" s="309">
        <v>43374</v>
      </c>
      <c r="O3930" s="309" t="s">
        <v>92</v>
      </c>
      <c r="P3930" s="266">
        <v>4320</v>
      </c>
      <c r="Q3930" s="270">
        <v>8</v>
      </c>
      <c r="R3930" s="266">
        <f t="shared" si="90"/>
        <v>34560</v>
      </c>
      <c r="S3930" s="48">
        <v>202303</v>
      </c>
      <c r="T3930" s="125" t="s">
        <v>5257</v>
      </c>
      <c r="U3930" s="58"/>
      <c r="V3930" s="58"/>
      <c r="W3930" s="58"/>
      <c r="X3930" s="309"/>
      <c r="Y3930" s="309"/>
    </row>
    <row r="3931" s="10" customFormat="1" customHeight="1" spans="1:25">
      <c r="A3931" s="60" t="s">
        <v>109</v>
      </c>
      <c r="B3931" s="60" t="s">
        <v>4074</v>
      </c>
      <c r="C3931" s="60" t="s">
        <v>44</v>
      </c>
      <c r="D3931" s="62" t="s">
        <v>4178</v>
      </c>
      <c r="E3931" s="63" t="s">
        <v>5240</v>
      </c>
      <c r="F3931" s="60" t="s">
        <v>5241</v>
      </c>
      <c r="G3931" s="60" t="s">
        <v>88</v>
      </c>
      <c r="H3931" s="45" t="s">
        <v>5251</v>
      </c>
      <c r="I3931" s="47" t="e">
        <f>VLOOKUP(H3931,'合同综合查询数据（3月返）'!$A:$A,1,FALSE)</f>
        <v>#N/A</v>
      </c>
      <c r="J3931" s="48" t="s">
        <v>126</v>
      </c>
      <c r="K3931" s="60" t="s">
        <v>5252</v>
      </c>
      <c r="L3931" s="60" t="s">
        <v>5253</v>
      </c>
      <c r="M3931" s="50" t="s">
        <v>5256</v>
      </c>
      <c r="N3931" s="309">
        <v>44181</v>
      </c>
      <c r="O3931" s="309" t="s">
        <v>92</v>
      </c>
      <c r="P3931" s="266">
        <v>4320</v>
      </c>
      <c r="Q3931" s="270">
        <v>-8</v>
      </c>
      <c r="R3931" s="266">
        <f t="shared" si="90"/>
        <v>-34560</v>
      </c>
      <c r="S3931" s="48">
        <v>202303</v>
      </c>
      <c r="T3931" s="125" t="s">
        <v>5258</v>
      </c>
      <c r="U3931" s="58"/>
      <c r="V3931" s="58"/>
      <c r="W3931" s="58"/>
      <c r="X3931" s="309"/>
      <c r="Y3931" s="309"/>
    </row>
    <row r="3932" s="10" customFormat="1" customHeight="1" spans="1:25">
      <c r="A3932" s="60" t="s">
        <v>109</v>
      </c>
      <c r="B3932" s="60" t="s">
        <v>4074</v>
      </c>
      <c r="C3932" s="60" t="s">
        <v>44</v>
      </c>
      <c r="D3932" s="62" t="s">
        <v>4178</v>
      </c>
      <c r="E3932" s="63" t="s">
        <v>5240</v>
      </c>
      <c r="F3932" s="60" t="s">
        <v>5241</v>
      </c>
      <c r="G3932" s="60" t="s">
        <v>88</v>
      </c>
      <c r="H3932" s="45" t="s">
        <v>5251</v>
      </c>
      <c r="I3932" s="47" t="e">
        <f>VLOOKUP(H3932,'合同综合查询数据（3月返）'!$A:$A,1,FALSE)</f>
        <v>#N/A</v>
      </c>
      <c r="J3932" s="48" t="s">
        <v>126</v>
      </c>
      <c r="K3932" s="60" t="s">
        <v>5252</v>
      </c>
      <c r="L3932" s="60" t="s">
        <v>5253</v>
      </c>
      <c r="M3932" s="50" t="s">
        <v>5254</v>
      </c>
      <c r="N3932" s="309">
        <v>44182</v>
      </c>
      <c r="O3932" s="309" t="s">
        <v>92</v>
      </c>
      <c r="P3932" s="266">
        <v>4320</v>
      </c>
      <c r="Q3932" s="270">
        <v>5</v>
      </c>
      <c r="R3932" s="266">
        <f t="shared" si="90"/>
        <v>21600</v>
      </c>
      <c r="S3932" s="48">
        <v>202303</v>
      </c>
      <c r="T3932" s="125" t="s">
        <v>5259</v>
      </c>
      <c r="U3932" s="58"/>
      <c r="V3932" s="58"/>
      <c r="W3932" s="58"/>
      <c r="X3932" s="309"/>
      <c r="Y3932" s="309"/>
    </row>
    <row r="3933" s="10" customFormat="1" customHeight="1" spans="1:25">
      <c r="A3933" s="60" t="s">
        <v>25</v>
      </c>
      <c r="B3933" s="60" t="s">
        <v>4074</v>
      </c>
      <c r="C3933" s="60" t="s">
        <v>44</v>
      </c>
      <c r="D3933" s="62" t="s">
        <v>4178</v>
      </c>
      <c r="E3933" s="63" t="s">
        <v>5240</v>
      </c>
      <c r="F3933" s="60" t="s">
        <v>5241</v>
      </c>
      <c r="G3933" s="60" t="s">
        <v>31</v>
      </c>
      <c r="H3933" s="45" t="s">
        <v>5260</v>
      </c>
      <c r="I3933" s="47" t="e">
        <f>VLOOKUP(H3933,'合同综合查询数据（3月返）'!$A:$A,1,FALSE)</f>
        <v>#N/A</v>
      </c>
      <c r="J3933" s="48" t="s">
        <v>33</v>
      </c>
      <c r="K3933" s="60" t="s">
        <v>5252</v>
      </c>
      <c r="L3933" s="113" t="s">
        <v>5261</v>
      </c>
      <c r="M3933" s="50" t="s">
        <v>5262</v>
      </c>
      <c r="N3933" s="309">
        <v>43669</v>
      </c>
      <c r="O3933" s="309" t="s">
        <v>37</v>
      </c>
      <c r="P3933" s="266">
        <v>50</v>
      </c>
      <c r="Q3933" s="270">
        <v>256</v>
      </c>
      <c r="R3933" s="266">
        <f t="shared" si="90"/>
        <v>12800</v>
      </c>
      <c r="S3933" s="48">
        <v>202303</v>
      </c>
      <c r="T3933" s="125" t="s">
        <v>5263</v>
      </c>
      <c r="U3933" s="58"/>
      <c r="V3933" s="58"/>
      <c r="W3933" s="58"/>
      <c r="X3933" s="111"/>
      <c r="Y3933" s="111"/>
    </row>
    <row r="3934" s="10" customFormat="1" customHeight="1" spans="1:25">
      <c r="A3934" s="60" t="s">
        <v>25</v>
      </c>
      <c r="B3934" s="60" t="s">
        <v>4074</v>
      </c>
      <c r="C3934" s="60" t="s">
        <v>44</v>
      </c>
      <c r="D3934" s="62" t="s">
        <v>4178</v>
      </c>
      <c r="E3934" s="63" t="s">
        <v>5240</v>
      </c>
      <c r="F3934" s="60" t="s">
        <v>5241</v>
      </c>
      <c r="G3934" s="60" t="s">
        <v>31</v>
      </c>
      <c r="H3934" s="45" t="s">
        <v>5260</v>
      </c>
      <c r="I3934" s="47" t="e">
        <f>VLOOKUP(H3934,'合同综合查询数据（3月返）'!$A:$A,1,FALSE)</f>
        <v>#N/A</v>
      </c>
      <c r="J3934" s="48" t="s">
        <v>33</v>
      </c>
      <c r="K3934" s="60" t="s">
        <v>5252</v>
      </c>
      <c r="L3934" s="113" t="s">
        <v>5261</v>
      </c>
      <c r="M3934" s="50" t="s">
        <v>5262</v>
      </c>
      <c r="N3934" s="309">
        <v>44013</v>
      </c>
      <c r="O3934" s="309" t="s">
        <v>37</v>
      </c>
      <c r="P3934" s="266">
        <v>50</v>
      </c>
      <c r="Q3934" s="270">
        <v>32</v>
      </c>
      <c r="R3934" s="266">
        <f t="shared" si="90"/>
        <v>1600</v>
      </c>
      <c r="S3934" s="48">
        <v>202303</v>
      </c>
      <c r="T3934" s="125" t="s">
        <v>5264</v>
      </c>
      <c r="U3934" s="58"/>
      <c r="V3934" s="58"/>
      <c r="W3934" s="58"/>
      <c r="X3934" s="111"/>
      <c r="Y3934" s="111"/>
    </row>
    <row r="3935" s="10" customFormat="1" customHeight="1" spans="1:25">
      <c r="A3935" s="60" t="s">
        <v>25</v>
      </c>
      <c r="B3935" s="60" t="s">
        <v>4074</v>
      </c>
      <c r="C3935" s="60" t="s">
        <v>44</v>
      </c>
      <c r="D3935" s="62" t="s">
        <v>4178</v>
      </c>
      <c r="E3935" s="63" t="s">
        <v>5240</v>
      </c>
      <c r="F3935" s="60" t="s">
        <v>5241</v>
      </c>
      <c r="G3935" s="60" t="s">
        <v>31</v>
      </c>
      <c r="H3935" s="45" t="s">
        <v>5260</v>
      </c>
      <c r="I3935" s="47" t="e">
        <f>VLOOKUP(H3935,'合同综合查询数据（3月返）'!$A:$A,1,FALSE)</f>
        <v>#N/A</v>
      </c>
      <c r="J3935" s="48" t="s">
        <v>33</v>
      </c>
      <c r="K3935" s="60" t="s">
        <v>5252</v>
      </c>
      <c r="L3935" s="113" t="s">
        <v>5261</v>
      </c>
      <c r="M3935" s="50" t="s">
        <v>5262</v>
      </c>
      <c r="N3935" s="309">
        <v>44665</v>
      </c>
      <c r="O3935" s="309" t="s">
        <v>37</v>
      </c>
      <c r="P3935" s="266">
        <v>0</v>
      </c>
      <c r="Q3935" s="270">
        <v>384</v>
      </c>
      <c r="R3935" s="266">
        <f t="shared" si="90"/>
        <v>0</v>
      </c>
      <c r="S3935" s="48">
        <v>202303</v>
      </c>
      <c r="T3935" s="125" t="s">
        <v>5265</v>
      </c>
      <c r="U3935" s="58"/>
      <c r="V3935" s="58"/>
      <c r="W3935" s="58"/>
      <c r="X3935" s="111"/>
      <c r="Y3935" s="111"/>
    </row>
    <row r="3936" s="10" customFormat="1" customHeight="1" spans="1:25">
      <c r="A3936" s="60" t="s">
        <v>25</v>
      </c>
      <c r="B3936" s="60" t="s">
        <v>4074</v>
      </c>
      <c r="C3936" s="60" t="s">
        <v>44</v>
      </c>
      <c r="D3936" s="62" t="s">
        <v>4178</v>
      </c>
      <c r="E3936" s="63" t="s">
        <v>5240</v>
      </c>
      <c r="F3936" s="60" t="s">
        <v>5241</v>
      </c>
      <c r="G3936" s="60" t="s">
        <v>31</v>
      </c>
      <c r="H3936" s="45" t="s">
        <v>5260</v>
      </c>
      <c r="I3936" s="47" t="e">
        <f>VLOOKUP(H3936,'合同综合查询数据（3月返）'!$A:$A,1,FALSE)</f>
        <v>#N/A</v>
      </c>
      <c r="J3936" s="48" t="s">
        <v>33</v>
      </c>
      <c r="K3936" s="60" t="s">
        <v>5252</v>
      </c>
      <c r="L3936" s="113" t="s">
        <v>5261</v>
      </c>
      <c r="M3936" s="50" t="s">
        <v>5262</v>
      </c>
      <c r="N3936" s="309">
        <v>44665</v>
      </c>
      <c r="O3936" s="309" t="s">
        <v>37</v>
      </c>
      <c r="P3936" s="266">
        <v>0</v>
      </c>
      <c r="Q3936" s="270">
        <v>128</v>
      </c>
      <c r="R3936" s="266">
        <f t="shared" si="90"/>
        <v>0</v>
      </c>
      <c r="S3936" s="48">
        <v>202303</v>
      </c>
      <c r="T3936" s="125" t="s">
        <v>5266</v>
      </c>
      <c r="U3936" s="58"/>
      <c r="V3936" s="58"/>
      <c r="W3936" s="58"/>
      <c r="X3936" s="111"/>
      <c r="Y3936" s="111"/>
    </row>
    <row r="3937" s="10" customFormat="1" customHeight="1" spans="1:25">
      <c r="A3937" s="60" t="s">
        <v>25</v>
      </c>
      <c r="B3937" s="60" t="s">
        <v>4074</v>
      </c>
      <c r="C3937" s="60" t="s">
        <v>44</v>
      </c>
      <c r="D3937" s="62" t="s">
        <v>4178</v>
      </c>
      <c r="E3937" s="63" t="s">
        <v>5240</v>
      </c>
      <c r="F3937" s="60" t="s">
        <v>5241</v>
      </c>
      <c r="G3937" s="60" t="s">
        <v>31</v>
      </c>
      <c r="H3937" s="45" t="s">
        <v>5260</v>
      </c>
      <c r="I3937" s="47" t="e">
        <f>VLOOKUP(H3937,'合同综合查询数据（3月返）'!$A:$A,1,FALSE)</f>
        <v>#N/A</v>
      </c>
      <c r="J3937" s="48" t="s">
        <v>33</v>
      </c>
      <c r="K3937" s="60" t="s">
        <v>5252</v>
      </c>
      <c r="L3937" s="113" t="s">
        <v>5261</v>
      </c>
      <c r="M3937" s="50" t="s">
        <v>5262</v>
      </c>
      <c r="N3937" s="309">
        <v>44719</v>
      </c>
      <c r="O3937" s="309" t="s">
        <v>37</v>
      </c>
      <c r="P3937" s="266">
        <v>0</v>
      </c>
      <c r="Q3937" s="270">
        <v>32</v>
      </c>
      <c r="R3937" s="266">
        <f t="shared" si="90"/>
        <v>0</v>
      </c>
      <c r="S3937" s="48">
        <v>202303</v>
      </c>
      <c r="T3937" s="125" t="s">
        <v>5267</v>
      </c>
      <c r="U3937" s="58"/>
      <c r="V3937" s="58"/>
      <c r="W3937" s="58"/>
      <c r="X3937" s="111"/>
      <c r="Y3937" s="111"/>
    </row>
    <row r="3938" s="10" customFormat="1" customHeight="1" spans="1:25">
      <c r="A3938" s="60" t="s">
        <v>25</v>
      </c>
      <c r="B3938" s="60" t="s">
        <v>4074</v>
      </c>
      <c r="C3938" s="60" t="s">
        <v>44</v>
      </c>
      <c r="D3938" s="62" t="s">
        <v>4178</v>
      </c>
      <c r="E3938" s="63" t="s">
        <v>5240</v>
      </c>
      <c r="F3938" s="60" t="s">
        <v>5241</v>
      </c>
      <c r="G3938" s="60" t="s">
        <v>88</v>
      </c>
      <c r="H3938" s="45" t="s">
        <v>5260</v>
      </c>
      <c r="I3938" s="47" t="e">
        <f>VLOOKUP(H3938,'合同综合查询数据（3月返）'!$A:$A,1,FALSE)</f>
        <v>#N/A</v>
      </c>
      <c r="J3938" s="48" t="s">
        <v>126</v>
      </c>
      <c r="K3938" s="60" t="s">
        <v>5252</v>
      </c>
      <c r="L3938" s="113" t="s">
        <v>5261</v>
      </c>
      <c r="M3938" s="50" t="s">
        <v>5262</v>
      </c>
      <c r="N3938" s="309">
        <v>43669</v>
      </c>
      <c r="O3938" s="309" t="s">
        <v>92</v>
      </c>
      <c r="P3938" s="266">
        <v>0</v>
      </c>
      <c r="Q3938" s="270">
        <v>2</v>
      </c>
      <c r="R3938" s="266">
        <f t="shared" si="90"/>
        <v>0</v>
      </c>
      <c r="S3938" s="48">
        <v>202303</v>
      </c>
      <c r="T3938" s="125" t="s">
        <v>5268</v>
      </c>
      <c r="U3938" s="58"/>
      <c r="V3938" s="58"/>
      <c r="W3938" s="58"/>
      <c r="X3938" s="309"/>
      <c r="Y3938" s="309"/>
    </row>
    <row r="3939" s="10" customFormat="1" customHeight="1" spans="1:25">
      <c r="A3939" s="60" t="s">
        <v>25</v>
      </c>
      <c r="B3939" s="60" t="s">
        <v>4074</v>
      </c>
      <c r="C3939" s="60" t="s">
        <v>44</v>
      </c>
      <c r="D3939" s="62" t="s">
        <v>4178</v>
      </c>
      <c r="E3939" s="63" t="s">
        <v>5240</v>
      </c>
      <c r="F3939" s="60" t="s">
        <v>5241</v>
      </c>
      <c r="G3939" s="60" t="s">
        <v>88</v>
      </c>
      <c r="H3939" s="45" t="s">
        <v>5260</v>
      </c>
      <c r="I3939" s="47" t="e">
        <f>VLOOKUP(H3939,'合同综合查询数据（3月返）'!$A:$A,1,FALSE)</f>
        <v>#N/A</v>
      </c>
      <c r="J3939" s="48" t="s">
        <v>126</v>
      </c>
      <c r="K3939" s="60" t="s">
        <v>5252</v>
      </c>
      <c r="L3939" s="113" t="s">
        <v>5261</v>
      </c>
      <c r="M3939" s="50" t="s">
        <v>5262</v>
      </c>
      <c r="N3939" s="309">
        <v>44408</v>
      </c>
      <c r="O3939" s="309" t="s">
        <v>92</v>
      </c>
      <c r="P3939" s="266">
        <v>0</v>
      </c>
      <c r="Q3939" s="270">
        <v>-2</v>
      </c>
      <c r="R3939" s="266">
        <f t="shared" si="90"/>
        <v>0</v>
      </c>
      <c r="S3939" s="48">
        <v>202303</v>
      </c>
      <c r="T3939" s="125" t="s">
        <v>5269</v>
      </c>
      <c r="U3939" s="58"/>
      <c r="V3939" s="58"/>
      <c r="W3939" s="58"/>
      <c r="X3939" s="309"/>
      <c r="Y3939" s="309"/>
    </row>
    <row r="3940" s="10" customFormat="1" customHeight="1" spans="1:25">
      <c r="A3940" s="60" t="s">
        <v>25</v>
      </c>
      <c r="B3940" s="60" t="s">
        <v>4074</v>
      </c>
      <c r="C3940" s="60" t="s">
        <v>44</v>
      </c>
      <c r="D3940" s="62" t="s">
        <v>4178</v>
      </c>
      <c r="E3940" s="63" t="s">
        <v>5240</v>
      </c>
      <c r="F3940" s="60" t="s">
        <v>5241</v>
      </c>
      <c r="G3940" s="60" t="s">
        <v>88</v>
      </c>
      <c r="H3940" s="45" t="s">
        <v>5260</v>
      </c>
      <c r="I3940" s="47" t="e">
        <f>VLOOKUP(H3940,'合同综合查询数据（3月返）'!$A:$A,1,FALSE)</f>
        <v>#N/A</v>
      </c>
      <c r="J3940" s="48" t="s">
        <v>126</v>
      </c>
      <c r="K3940" s="60" t="s">
        <v>5252</v>
      </c>
      <c r="L3940" s="113" t="s">
        <v>5261</v>
      </c>
      <c r="M3940" s="50" t="s">
        <v>5262</v>
      </c>
      <c r="N3940" s="309">
        <v>44409</v>
      </c>
      <c r="O3940" s="309" t="s">
        <v>92</v>
      </c>
      <c r="P3940" s="266">
        <v>0</v>
      </c>
      <c r="Q3940" s="270">
        <v>2</v>
      </c>
      <c r="R3940" s="266">
        <f t="shared" si="90"/>
        <v>0</v>
      </c>
      <c r="S3940" s="48">
        <v>202303</v>
      </c>
      <c r="T3940" s="125" t="s">
        <v>5270</v>
      </c>
      <c r="U3940" s="58"/>
      <c r="V3940" s="58"/>
      <c r="W3940" s="58"/>
      <c r="X3940" s="309"/>
      <c r="Y3940" s="309"/>
    </row>
    <row r="3941" s="10" customFormat="1" customHeight="1" spans="1:25">
      <c r="A3941" s="60" t="s">
        <v>25</v>
      </c>
      <c r="B3941" s="60" t="s">
        <v>4074</v>
      </c>
      <c r="C3941" s="60" t="s">
        <v>44</v>
      </c>
      <c r="D3941" s="62" t="s">
        <v>4178</v>
      </c>
      <c r="E3941" s="63" t="s">
        <v>5240</v>
      </c>
      <c r="F3941" s="60" t="s">
        <v>5241</v>
      </c>
      <c r="G3941" s="60" t="s">
        <v>88</v>
      </c>
      <c r="H3941" s="45" t="s">
        <v>5260</v>
      </c>
      <c r="I3941" s="47" t="e">
        <f>VLOOKUP(H3941,'合同综合查询数据（3月返）'!$A:$A,1,FALSE)</f>
        <v>#N/A</v>
      </c>
      <c r="J3941" s="48" t="s">
        <v>126</v>
      </c>
      <c r="K3941" s="60" t="s">
        <v>5252</v>
      </c>
      <c r="L3941" s="113" t="s">
        <v>5261</v>
      </c>
      <c r="M3941" s="50" t="s">
        <v>5262</v>
      </c>
      <c r="N3941" s="309">
        <v>44301</v>
      </c>
      <c r="O3941" s="309" t="s">
        <v>92</v>
      </c>
      <c r="P3941" s="299">
        <v>0</v>
      </c>
      <c r="Q3941" s="270">
        <v>1</v>
      </c>
      <c r="R3941" s="266">
        <f t="shared" si="90"/>
        <v>0</v>
      </c>
      <c r="S3941" s="48">
        <v>202303</v>
      </c>
      <c r="T3941" s="125" t="s">
        <v>5271</v>
      </c>
      <c r="U3941" s="58"/>
      <c r="V3941" s="58"/>
      <c r="W3941" s="58"/>
      <c r="X3941" s="309"/>
      <c r="Y3941" s="309"/>
    </row>
    <row r="3942" s="10" customFormat="1" customHeight="1" spans="1:25">
      <c r="A3942" s="60" t="s">
        <v>25</v>
      </c>
      <c r="B3942" s="60" t="s">
        <v>4074</v>
      </c>
      <c r="C3942" s="60" t="s">
        <v>44</v>
      </c>
      <c r="D3942" s="62" t="s">
        <v>4178</v>
      </c>
      <c r="E3942" s="63" t="s">
        <v>5240</v>
      </c>
      <c r="F3942" s="60" t="s">
        <v>5241</v>
      </c>
      <c r="G3942" s="60" t="s">
        <v>88</v>
      </c>
      <c r="H3942" s="45" t="s">
        <v>5260</v>
      </c>
      <c r="I3942" s="47" t="e">
        <f>VLOOKUP(H3942,'合同综合查询数据（3月返）'!$A:$A,1,FALSE)</f>
        <v>#N/A</v>
      </c>
      <c r="J3942" s="48" t="s">
        <v>126</v>
      </c>
      <c r="K3942" s="60" t="s">
        <v>5252</v>
      </c>
      <c r="L3942" s="113" t="s">
        <v>5261</v>
      </c>
      <c r="M3942" s="50" t="s">
        <v>5262</v>
      </c>
      <c r="N3942" s="309">
        <v>44651</v>
      </c>
      <c r="O3942" s="309" t="s">
        <v>92</v>
      </c>
      <c r="P3942" s="299">
        <v>0</v>
      </c>
      <c r="Q3942" s="270">
        <v>-3</v>
      </c>
      <c r="R3942" s="266">
        <f t="shared" si="90"/>
        <v>0</v>
      </c>
      <c r="S3942" s="48">
        <v>202303</v>
      </c>
      <c r="T3942" s="125" t="s">
        <v>5272</v>
      </c>
      <c r="U3942" s="58"/>
      <c r="V3942" s="58"/>
      <c r="W3942" s="58"/>
      <c r="X3942" s="309"/>
      <c r="Y3942" s="309"/>
    </row>
    <row r="3943" s="10" customFormat="1" customHeight="1" spans="1:25">
      <c r="A3943" s="60" t="s">
        <v>25</v>
      </c>
      <c r="B3943" s="60" t="s">
        <v>4074</v>
      </c>
      <c r="C3943" s="60" t="s">
        <v>44</v>
      </c>
      <c r="D3943" s="62" t="s">
        <v>4178</v>
      </c>
      <c r="E3943" s="63" t="s">
        <v>5240</v>
      </c>
      <c r="F3943" s="60" t="s">
        <v>5241</v>
      </c>
      <c r="G3943" s="60" t="s">
        <v>88</v>
      </c>
      <c r="H3943" s="45" t="s">
        <v>5260</v>
      </c>
      <c r="I3943" s="47" t="e">
        <f>VLOOKUP(H3943,'合同综合查询数据（3月返）'!$A:$A,1,FALSE)</f>
        <v>#N/A</v>
      </c>
      <c r="J3943" s="48" t="s">
        <v>126</v>
      </c>
      <c r="K3943" s="60" t="s">
        <v>5252</v>
      </c>
      <c r="L3943" s="113" t="s">
        <v>5261</v>
      </c>
      <c r="M3943" s="50" t="s">
        <v>5262</v>
      </c>
      <c r="N3943" s="309">
        <v>44652</v>
      </c>
      <c r="O3943" s="309" t="s">
        <v>92</v>
      </c>
      <c r="P3943" s="299">
        <v>0</v>
      </c>
      <c r="Q3943" s="270">
        <v>3</v>
      </c>
      <c r="R3943" s="266">
        <f t="shared" si="90"/>
        <v>0</v>
      </c>
      <c r="S3943" s="48">
        <v>202303</v>
      </c>
      <c r="T3943" s="125" t="s">
        <v>5273</v>
      </c>
      <c r="U3943" s="58"/>
      <c r="V3943" s="58"/>
      <c r="W3943" s="58"/>
      <c r="X3943" s="309"/>
      <c r="Y3943" s="309"/>
    </row>
    <row r="3944" s="10" customFormat="1" customHeight="1" spans="1:25">
      <c r="A3944" s="60" t="s">
        <v>25</v>
      </c>
      <c r="B3944" s="60" t="s">
        <v>4074</v>
      </c>
      <c r="C3944" s="60" t="s">
        <v>44</v>
      </c>
      <c r="D3944" s="62" t="s">
        <v>4178</v>
      </c>
      <c r="E3944" s="63" t="s">
        <v>5240</v>
      </c>
      <c r="F3944" s="60" t="s">
        <v>5241</v>
      </c>
      <c r="G3944" s="60" t="s">
        <v>88</v>
      </c>
      <c r="H3944" s="45" t="s">
        <v>5260</v>
      </c>
      <c r="I3944" s="47" t="e">
        <f>VLOOKUP(H3944,'合同综合查询数据（3月返）'!$A:$A,1,FALSE)</f>
        <v>#N/A</v>
      </c>
      <c r="J3944" s="48" t="s">
        <v>126</v>
      </c>
      <c r="K3944" s="60" t="s">
        <v>5252</v>
      </c>
      <c r="L3944" s="113" t="s">
        <v>5261</v>
      </c>
      <c r="M3944" s="50" t="s">
        <v>5262</v>
      </c>
      <c r="N3944" s="309">
        <v>44665</v>
      </c>
      <c r="O3944" s="309" t="s">
        <v>92</v>
      </c>
      <c r="P3944" s="299">
        <v>0</v>
      </c>
      <c r="Q3944" s="270">
        <v>9</v>
      </c>
      <c r="R3944" s="266">
        <f t="shared" si="90"/>
        <v>0</v>
      </c>
      <c r="S3944" s="48">
        <v>202303</v>
      </c>
      <c r="T3944" s="125" t="s">
        <v>5274</v>
      </c>
      <c r="U3944" s="58"/>
      <c r="V3944" s="58"/>
      <c r="W3944" s="58"/>
      <c r="X3944" s="309"/>
      <c r="Y3944" s="111"/>
    </row>
    <row r="3945" s="10" customFormat="1" customHeight="1" spans="1:25">
      <c r="A3945" s="60" t="s">
        <v>25</v>
      </c>
      <c r="B3945" s="60" t="s">
        <v>4074</v>
      </c>
      <c r="C3945" s="60" t="s">
        <v>44</v>
      </c>
      <c r="D3945" s="62" t="s">
        <v>4178</v>
      </c>
      <c r="E3945" s="63" t="s">
        <v>5240</v>
      </c>
      <c r="F3945" s="60" t="s">
        <v>5241</v>
      </c>
      <c r="G3945" s="60" t="s">
        <v>88</v>
      </c>
      <c r="H3945" s="45" t="s">
        <v>5260</v>
      </c>
      <c r="I3945" s="47" t="e">
        <f>VLOOKUP(H3945,'合同综合查询数据（3月返）'!$A:$A,1,FALSE)</f>
        <v>#N/A</v>
      </c>
      <c r="J3945" s="48" t="s">
        <v>126</v>
      </c>
      <c r="K3945" s="60" t="s">
        <v>5252</v>
      </c>
      <c r="L3945" s="113" t="s">
        <v>5261</v>
      </c>
      <c r="M3945" s="50" t="s">
        <v>5262</v>
      </c>
      <c r="N3945" s="309">
        <v>44665</v>
      </c>
      <c r="O3945" s="309" t="s">
        <v>92</v>
      </c>
      <c r="P3945" s="299">
        <v>0</v>
      </c>
      <c r="Q3945" s="270">
        <v>6</v>
      </c>
      <c r="R3945" s="266">
        <f t="shared" si="90"/>
        <v>0</v>
      </c>
      <c r="S3945" s="48">
        <v>202303</v>
      </c>
      <c r="T3945" s="125" t="s">
        <v>5275</v>
      </c>
      <c r="U3945" s="58"/>
      <c r="V3945" s="58"/>
      <c r="W3945" s="58"/>
      <c r="X3945" s="111"/>
      <c r="Y3945" s="111"/>
    </row>
    <row r="3946" s="10" customFormat="1" customHeight="1" spans="1:25">
      <c r="A3946" s="60" t="s">
        <v>25</v>
      </c>
      <c r="B3946" s="60" t="s">
        <v>4074</v>
      </c>
      <c r="C3946" s="60" t="s">
        <v>44</v>
      </c>
      <c r="D3946" s="62" t="s">
        <v>4178</v>
      </c>
      <c r="E3946" s="63" t="s">
        <v>5240</v>
      </c>
      <c r="F3946" s="60" t="s">
        <v>5241</v>
      </c>
      <c r="G3946" s="60" t="s">
        <v>88</v>
      </c>
      <c r="H3946" s="45" t="s">
        <v>5260</v>
      </c>
      <c r="I3946" s="47" t="e">
        <f>VLOOKUP(H3946,'合同综合查询数据（3月返）'!$A:$A,1,FALSE)</f>
        <v>#N/A</v>
      </c>
      <c r="J3946" s="48" t="s">
        <v>126</v>
      </c>
      <c r="K3946" s="60" t="s">
        <v>5252</v>
      </c>
      <c r="L3946" s="113" t="s">
        <v>5261</v>
      </c>
      <c r="M3946" s="50" t="s">
        <v>5262</v>
      </c>
      <c r="N3946" s="309">
        <v>44743</v>
      </c>
      <c r="O3946" s="309" t="s">
        <v>92</v>
      </c>
      <c r="P3946" s="299">
        <v>0</v>
      </c>
      <c r="Q3946" s="270">
        <v>4</v>
      </c>
      <c r="R3946" s="266">
        <f t="shared" si="90"/>
        <v>0</v>
      </c>
      <c r="S3946" s="48">
        <v>202303</v>
      </c>
      <c r="T3946" s="125" t="s">
        <v>5276</v>
      </c>
      <c r="U3946" s="58"/>
      <c r="V3946" s="58"/>
      <c r="W3946" s="58"/>
      <c r="X3946" s="111"/>
      <c r="Y3946" s="111"/>
    </row>
    <row r="3947" s="10" customFormat="1" customHeight="1" spans="1:25">
      <c r="A3947" s="60" t="s">
        <v>109</v>
      </c>
      <c r="B3947" s="60" t="s">
        <v>4074</v>
      </c>
      <c r="C3947" s="60" t="s">
        <v>44</v>
      </c>
      <c r="D3947" s="62" t="s">
        <v>4178</v>
      </c>
      <c r="E3947" s="63" t="s">
        <v>5240</v>
      </c>
      <c r="F3947" s="60" t="s">
        <v>5241</v>
      </c>
      <c r="G3947" s="60" t="s">
        <v>31</v>
      </c>
      <c r="H3947" s="45" t="s">
        <v>5277</v>
      </c>
      <c r="I3947" s="47" t="e">
        <f>VLOOKUP(H3947,'合同综合查询数据（3月返）'!$A:$A,1,FALSE)</f>
        <v>#N/A</v>
      </c>
      <c r="J3947" s="48" t="s">
        <v>33</v>
      </c>
      <c r="K3947" s="60" t="s">
        <v>5252</v>
      </c>
      <c r="L3947" s="113" t="s">
        <v>5278</v>
      </c>
      <c r="M3947" s="50" t="s">
        <v>5254</v>
      </c>
      <c r="N3947" s="111">
        <v>43983</v>
      </c>
      <c r="O3947" s="62" t="s">
        <v>37</v>
      </c>
      <c r="P3947" s="266">
        <v>0</v>
      </c>
      <c r="Q3947" s="270">
        <v>288</v>
      </c>
      <c r="R3947" s="266">
        <f t="shared" ref="R3947:R3998" si="91">ROUND(P3947*Q3947,2)</f>
        <v>0</v>
      </c>
      <c r="S3947" s="48">
        <v>202303</v>
      </c>
      <c r="T3947" s="125" t="s">
        <v>5279</v>
      </c>
      <c r="U3947" s="102"/>
      <c r="V3947" s="126"/>
      <c r="W3947" s="102"/>
      <c r="X3947" s="309"/>
      <c r="Y3947" s="309"/>
    </row>
    <row r="3948" s="10" customFormat="1" customHeight="1" spans="1:25">
      <c r="A3948" s="60" t="s">
        <v>109</v>
      </c>
      <c r="B3948" s="60" t="s">
        <v>4074</v>
      </c>
      <c r="C3948" s="60" t="s">
        <v>44</v>
      </c>
      <c r="D3948" s="62" t="s">
        <v>4178</v>
      </c>
      <c r="E3948" s="63" t="s">
        <v>5240</v>
      </c>
      <c r="F3948" s="60" t="s">
        <v>5241</v>
      </c>
      <c r="G3948" s="60" t="s">
        <v>88</v>
      </c>
      <c r="H3948" s="45" t="s">
        <v>5277</v>
      </c>
      <c r="I3948" s="47" t="e">
        <f>VLOOKUP(H3948,'合同综合查询数据（3月返）'!$A:$A,1,FALSE)</f>
        <v>#N/A</v>
      </c>
      <c r="J3948" s="48" t="s">
        <v>126</v>
      </c>
      <c r="K3948" s="60" t="s">
        <v>5252</v>
      </c>
      <c r="L3948" s="113" t="s">
        <v>5278</v>
      </c>
      <c r="M3948" s="50" t="s">
        <v>5254</v>
      </c>
      <c r="N3948" s="111">
        <v>43983</v>
      </c>
      <c r="O3948" s="309" t="s">
        <v>92</v>
      </c>
      <c r="P3948" s="266">
        <v>4320</v>
      </c>
      <c r="Q3948" s="270">
        <v>1</v>
      </c>
      <c r="R3948" s="266">
        <f t="shared" si="91"/>
        <v>4320</v>
      </c>
      <c r="S3948" s="48">
        <v>202303</v>
      </c>
      <c r="T3948" s="125" t="s">
        <v>5280</v>
      </c>
      <c r="U3948" s="102"/>
      <c r="V3948" s="126"/>
      <c r="W3948" s="102"/>
      <c r="X3948" s="309"/>
      <c r="Y3948" s="309"/>
    </row>
    <row r="3949" s="10" customFormat="1" customHeight="1" spans="1:25">
      <c r="A3949" s="60" t="s">
        <v>109</v>
      </c>
      <c r="B3949" s="60" t="s">
        <v>4074</v>
      </c>
      <c r="C3949" s="60" t="s">
        <v>44</v>
      </c>
      <c r="D3949" s="62" t="s">
        <v>4178</v>
      </c>
      <c r="E3949" s="63" t="s">
        <v>5240</v>
      </c>
      <c r="F3949" s="60" t="s">
        <v>5241</v>
      </c>
      <c r="G3949" s="60" t="s">
        <v>88</v>
      </c>
      <c r="H3949" s="45" t="s">
        <v>5277</v>
      </c>
      <c r="I3949" s="47" t="e">
        <f>VLOOKUP(H3949,'合同综合查询数据（3月返）'!$A:$A,1,FALSE)</f>
        <v>#N/A</v>
      </c>
      <c r="J3949" s="48" t="s">
        <v>126</v>
      </c>
      <c r="K3949" s="60" t="s">
        <v>5252</v>
      </c>
      <c r="L3949" s="113" t="s">
        <v>5278</v>
      </c>
      <c r="M3949" s="50" t="s">
        <v>5254</v>
      </c>
      <c r="N3949" s="111">
        <v>44182</v>
      </c>
      <c r="O3949" s="309" t="s">
        <v>92</v>
      </c>
      <c r="P3949" s="266">
        <v>4320</v>
      </c>
      <c r="Q3949" s="270">
        <v>3</v>
      </c>
      <c r="R3949" s="266">
        <f t="shared" si="91"/>
        <v>12960</v>
      </c>
      <c r="S3949" s="48">
        <v>202303</v>
      </c>
      <c r="T3949" s="125" t="s">
        <v>5281</v>
      </c>
      <c r="U3949" s="102"/>
      <c r="V3949" s="126"/>
      <c r="W3949" s="102"/>
      <c r="X3949" s="309"/>
      <c r="Y3949" s="309"/>
    </row>
    <row r="3950" s="9" customFormat="1" customHeight="1" spans="1:25">
      <c r="A3950" s="96" t="s">
        <v>109</v>
      </c>
      <c r="B3950" s="95" t="s">
        <v>4074</v>
      </c>
      <c r="C3950" s="94" t="s">
        <v>4743</v>
      </c>
      <c r="D3950" s="94" t="s">
        <v>28</v>
      </c>
      <c r="E3950" s="105" t="s">
        <v>5240</v>
      </c>
      <c r="F3950" s="96" t="s">
        <v>5241</v>
      </c>
      <c r="G3950" s="96" t="s">
        <v>31</v>
      </c>
      <c r="H3950" s="19" t="s">
        <v>5282</v>
      </c>
      <c r="I3950" s="23" t="e">
        <f>VLOOKUP(H3950,'合同综合查询数据（3月返）'!$A:$A,1,FALSE)</f>
        <v>#N/A</v>
      </c>
      <c r="J3950" s="24" t="s">
        <v>33</v>
      </c>
      <c r="K3950" s="96" t="s">
        <v>4743</v>
      </c>
      <c r="L3950" s="114" t="s">
        <v>5283</v>
      </c>
      <c r="M3950" s="26" t="s">
        <v>5284</v>
      </c>
      <c r="N3950" s="106">
        <v>44075</v>
      </c>
      <c r="O3950" s="94" t="s">
        <v>37</v>
      </c>
      <c r="P3950" s="268">
        <v>0</v>
      </c>
      <c r="Q3950" s="273">
        <v>288</v>
      </c>
      <c r="R3950" s="268">
        <f t="shared" si="91"/>
        <v>0</v>
      </c>
      <c r="S3950" s="24">
        <v>202303</v>
      </c>
      <c r="T3950" s="127" t="s">
        <v>5285</v>
      </c>
      <c r="U3950" s="97"/>
      <c r="V3950" s="128"/>
      <c r="W3950" s="97"/>
      <c r="X3950" s="106">
        <v>44440</v>
      </c>
      <c r="Y3950" s="106">
        <v>44804</v>
      </c>
    </row>
    <row r="3951" s="9" customFormat="1" customHeight="1" spans="1:25">
      <c r="A3951" s="96" t="s">
        <v>109</v>
      </c>
      <c r="B3951" s="95" t="s">
        <v>4074</v>
      </c>
      <c r="C3951" s="94" t="s">
        <v>4743</v>
      </c>
      <c r="D3951" s="94" t="s">
        <v>28</v>
      </c>
      <c r="E3951" s="105" t="s">
        <v>5240</v>
      </c>
      <c r="F3951" s="96" t="s">
        <v>5241</v>
      </c>
      <c r="G3951" s="96" t="s">
        <v>31</v>
      </c>
      <c r="H3951" s="19" t="s">
        <v>5282</v>
      </c>
      <c r="I3951" s="23" t="e">
        <f>VLOOKUP(H3951,'合同综合查询数据（3月返）'!$A:$A,1,FALSE)</f>
        <v>#N/A</v>
      </c>
      <c r="J3951" s="24" t="s">
        <v>33</v>
      </c>
      <c r="K3951" s="96" t="s">
        <v>4743</v>
      </c>
      <c r="L3951" s="114" t="s">
        <v>5283</v>
      </c>
      <c r="M3951" s="26" t="s">
        <v>5284</v>
      </c>
      <c r="N3951" s="106">
        <v>44561</v>
      </c>
      <c r="O3951" s="94" t="s">
        <v>37</v>
      </c>
      <c r="P3951" s="268">
        <v>0</v>
      </c>
      <c r="Q3951" s="273">
        <v>-288</v>
      </c>
      <c r="R3951" s="268">
        <f t="shared" si="91"/>
        <v>0</v>
      </c>
      <c r="S3951" s="24">
        <v>202303</v>
      </c>
      <c r="T3951" s="127" t="s">
        <v>4356</v>
      </c>
      <c r="U3951" s="97"/>
      <c r="V3951" s="128"/>
      <c r="W3951" s="97"/>
      <c r="X3951" s="106">
        <v>44440</v>
      </c>
      <c r="Y3951" s="106">
        <v>44804</v>
      </c>
    </row>
    <row r="3952" s="9" customFormat="1" customHeight="1" spans="1:25">
      <c r="A3952" s="96" t="s">
        <v>109</v>
      </c>
      <c r="B3952" s="95" t="s">
        <v>4074</v>
      </c>
      <c r="C3952" s="94" t="s">
        <v>4743</v>
      </c>
      <c r="D3952" s="94" t="s">
        <v>28</v>
      </c>
      <c r="E3952" s="105" t="s">
        <v>5240</v>
      </c>
      <c r="F3952" s="96" t="s">
        <v>5241</v>
      </c>
      <c r="G3952" s="96" t="s">
        <v>31</v>
      </c>
      <c r="H3952" s="19" t="s">
        <v>5282</v>
      </c>
      <c r="I3952" s="23" t="e">
        <f>VLOOKUP(H3952,'合同综合查询数据（3月返）'!$A:$A,1,FALSE)</f>
        <v>#N/A</v>
      </c>
      <c r="J3952" s="24" t="s">
        <v>33</v>
      </c>
      <c r="K3952" s="96" t="s">
        <v>4743</v>
      </c>
      <c r="L3952" s="114" t="s">
        <v>5283</v>
      </c>
      <c r="M3952" s="26" t="s">
        <v>5284</v>
      </c>
      <c r="N3952" s="106"/>
      <c r="O3952" s="94" t="s">
        <v>152</v>
      </c>
      <c r="P3952" s="268">
        <v>0</v>
      </c>
      <c r="Q3952" s="268">
        <v>0</v>
      </c>
      <c r="R3952" s="268">
        <f t="shared" si="91"/>
        <v>0</v>
      </c>
      <c r="S3952" s="24">
        <v>202303</v>
      </c>
      <c r="T3952" s="127" t="s">
        <v>5100</v>
      </c>
      <c r="U3952" s="97"/>
      <c r="V3952" s="128"/>
      <c r="W3952" s="97"/>
      <c r="X3952" s="106">
        <v>44440</v>
      </c>
      <c r="Y3952" s="106">
        <v>44804</v>
      </c>
    </row>
    <row r="3953" s="9" customFormat="1" customHeight="1" spans="1:25">
      <c r="A3953" s="96" t="s">
        <v>109</v>
      </c>
      <c r="B3953" s="95" t="s">
        <v>4074</v>
      </c>
      <c r="C3953" s="94" t="s">
        <v>4743</v>
      </c>
      <c r="D3953" s="94" t="s">
        <v>28</v>
      </c>
      <c r="E3953" s="105" t="s">
        <v>5240</v>
      </c>
      <c r="F3953" s="96" t="s">
        <v>5241</v>
      </c>
      <c r="G3953" s="96" t="s">
        <v>88</v>
      </c>
      <c r="H3953" s="19" t="s">
        <v>5282</v>
      </c>
      <c r="I3953" s="23" t="e">
        <f>VLOOKUP(H3953,'合同综合查询数据（3月返）'!$A:$A,1,FALSE)</f>
        <v>#N/A</v>
      </c>
      <c r="J3953" s="24" t="s">
        <v>126</v>
      </c>
      <c r="K3953" s="96" t="s">
        <v>4743</v>
      </c>
      <c r="L3953" s="114" t="s">
        <v>5283</v>
      </c>
      <c r="M3953" s="26" t="s">
        <v>5284</v>
      </c>
      <c r="N3953" s="106">
        <v>44075</v>
      </c>
      <c r="O3953" s="94" t="s">
        <v>457</v>
      </c>
      <c r="P3953" s="268">
        <v>4800</v>
      </c>
      <c r="Q3953" s="273">
        <v>5</v>
      </c>
      <c r="R3953" s="268">
        <f t="shared" si="91"/>
        <v>24000</v>
      </c>
      <c r="S3953" s="24">
        <v>202303</v>
      </c>
      <c r="T3953" s="127" t="s">
        <v>5286</v>
      </c>
      <c r="U3953" s="97"/>
      <c r="V3953" s="128"/>
      <c r="W3953" s="97"/>
      <c r="X3953" s="106">
        <v>44440</v>
      </c>
      <c r="Y3953" s="106">
        <v>44804</v>
      </c>
    </row>
    <row r="3954" s="9" customFormat="1" customHeight="1" spans="1:25">
      <c r="A3954" s="96" t="s">
        <v>109</v>
      </c>
      <c r="B3954" s="95" t="s">
        <v>4074</v>
      </c>
      <c r="C3954" s="94" t="s">
        <v>4743</v>
      </c>
      <c r="D3954" s="94" t="s">
        <v>28</v>
      </c>
      <c r="E3954" s="105" t="s">
        <v>5240</v>
      </c>
      <c r="F3954" s="96" t="s">
        <v>5241</v>
      </c>
      <c r="G3954" s="96" t="s">
        <v>88</v>
      </c>
      <c r="H3954" s="19" t="s">
        <v>5282</v>
      </c>
      <c r="I3954" s="23" t="e">
        <f>VLOOKUP(H3954,'合同综合查询数据（3月返）'!$A:$A,1,FALSE)</f>
        <v>#N/A</v>
      </c>
      <c r="J3954" s="24" t="s">
        <v>126</v>
      </c>
      <c r="K3954" s="96" t="s">
        <v>4743</v>
      </c>
      <c r="L3954" s="114" t="s">
        <v>5283</v>
      </c>
      <c r="M3954" s="26" t="s">
        <v>5284</v>
      </c>
      <c r="N3954" s="106">
        <v>44561</v>
      </c>
      <c r="O3954" s="94" t="s">
        <v>457</v>
      </c>
      <c r="P3954" s="268">
        <v>4800</v>
      </c>
      <c r="Q3954" s="273">
        <v>-5</v>
      </c>
      <c r="R3954" s="268">
        <f t="shared" si="91"/>
        <v>-24000</v>
      </c>
      <c r="S3954" s="24">
        <v>202303</v>
      </c>
      <c r="T3954" s="127" t="s">
        <v>5287</v>
      </c>
      <c r="U3954" s="97"/>
      <c r="V3954" s="128"/>
      <c r="W3954" s="97"/>
      <c r="X3954" s="106">
        <v>44440</v>
      </c>
      <c r="Y3954" s="106">
        <v>44804</v>
      </c>
    </row>
    <row r="3955" s="9" customFormat="1" customHeight="1" spans="1:25">
      <c r="A3955" s="104" t="s">
        <v>25</v>
      </c>
      <c r="B3955" s="95" t="s">
        <v>4074</v>
      </c>
      <c r="C3955" s="96" t="s">
        <v>44</v>
      </c>
      <c r="D3955" s="94" t="s">
        <v>4178</v>
      </c>
      <c r="E3955" s="105" t="s">
        <v>5240</v>
      </c>
      <c r="F3955" s="96" t="s">
        <v>5241</v>
      </c>
      <c r="G3955" s="96" t="s">
        <v>31</v>
      </c>
      <c r="H3955" s="19" t="s">
        <v>5288</v>
      </c>
      <c r="I3955" s="23" t="e">
        <f>VLOOKUP(H3955,'合同综合查询数据（3月返）'!$A:$A,1,FALSE)</f>
        <v>#N/A</v>
      </c>
      <c r="J3955" s="24" t="s">
        <v>33</v>
      </c>
      <c r="K3955" s="96" t="s">
        <v>5252</v>
      </c>
      <c r="L3955" s="114" t="s">
        <v>5289</v>
      </c>
      <c r="M3955" s="26" t="s">
        <v>5290</v>
      </c>
      <c r="N3955" s="106">
        <v>44105</v>
      </c>
      <c r="O3955" s="94" t="s">
        <v>37</v>
      </c>
      <c r="P3955" s="268">
        <v>0</v>
      </c>
      <c r="Q3955" s="273">
        <v>320</v>
      </c>
      <c r="R3955" s="268">
        <f t="shared" si="91"/>
        <v>0</v>
      </c>
      <c r="S3955" s="24">
        <v>202303</v>
      </c>
      <c r="T3955" s="127" t="s">
        <v>5291</v>
      </c>
      <c r="U3955" s="97"/>
      <c r="V3955" s="128"/>
      <c r="W3955" s="97"/>
      <c r="X3955" s="106">
        <v>44378</v>
      </c>
      <c r="Y3955" s="106">
        <v>44742</v>
      </c>
    </row>
    <row r="3956" s="9" customFormat="1" customHeight="1" spans="1:25">
      <c r="A3956" s="104" t="s">
        <v>25</v>
      </c>
      <c r="B3956" s="95" t="s">
        <v>4074</v>
      </c>
      <c r="C3956" s="96" t="s">
        <v>44</v>
      </c>
      <c r="D3956" s="94" t="s">
        <v>4178</v>
      </c>
      <c r="E3956" s="105" t="s">
        <v>5240</v>
      </c>
      <c r="F3956" s="96" t="s">
        <v>5241</v>
      </c>
      <c r="G3956" s="96" t="s">
        <v>31</v>
      </c>
      <c r="H3956" s="19" t="s">
        <v>5288</v>
      </c>
      <c r="I3956" s="23" t="e">
        <f>VLOOKUP(H3956,'合同综合查询数据（3月返）'!$A:$A,1,FALSE)</f>
        <v>#N/A</v>
      </c>
      <c r="J3956" s="24" t="s">
        <v>33</v>
      </c>
      <c r="K3956" s="96" t="s">
        <v>5252</v>
      </c>
      <c r="L3956" s="114" t="s">
        <v>5289</v>
      </c>
      <c r="M3956" s="26" t="s">
        <v>5290</v>
      </c>
      <c r="N3956" s="106"/>
      <c r="O3956" s="94" t="s">
        <v>152</v>
      </c>
      <c r="P3956" s="268">
        <v>0</v>
      </c>
      <c r="Q3956" s="268">
        <v>0</v>
      </c>
      <c r="R3956" s="268">
        <f t="shared" si="91"/>
        <v>0</v>
      </c>
      <c r="S3956" s="24">
        <v>202303</v>
      </c>
      <c r="T3956" s="127" t="s">
        <v>5292</v>
      </c>
      <c r="U3956" s="97"/>
      <c r="V3956" s="128"/>
      <c r="W3956" s="97"/>
      <c r="X3956" s="106">
        <v>44378</v>
      </c>
      <c r="Y3956" s="106">
        <v>44742</v>
      </c>
    </row>
    <row r="3957" s="9" customFormat="1" customHeight="1" spans="1:25">
      <c r="A3957" s="104" t="s">
        <v>25</v>
      </c>
      <c r="B3957" s="95" t="s">
        <v>4074</v>
      </c>
      <c r="C3957" s="96" t="s">
        <v>44</v>
      </c>
      <c r="D3957" s="94" t="s">
        <v>4178</v>
      </c>
      <c r="E3957" s="105" t="s">
        <v>5240</v>
      </c>
      <c r="F3957" s="96" t="s">
        <v>5241</v>
      </c>
      <c r="G3957" s="96" t="s">
        <v>88</v>
      </c>
      <c r="H3957" s="19" t="s">
        <v>5288</v>
      </c>
      <c r="I3957" s="23" t="e">
        <f>VLOOKUP(H3957,'合同综合查询数据（3月返）'!$A:$A,1,FALSE)</f>
        <v>#N/A</v>
      </c>
      <c r="J3957" s="24" t="s">
        <v>126</v>
      </c>
      <c r="K3957" s="96" t="s">
        <v>5252</v>
      </c>
      <c r="L3957" s="114" t="s">
        <v>5289</v>
      </c>
      <c r="M3957" s="26" t="s">
        <v>5290</v>
      </c>
      <c r="N3957" s="106">
        <v>44105</v>
      </c>
      <c r="O3957" s="94" t="s">
        <v>92</v>
      </c>
      <c r="P3957" s="268">
        <v>0</v>
      </c>
      <c r="Q3957" s="273">
        <v>6</v>
      </c>
      <c r="R3957" s="268">
        <f t="shared" si="91"/>
        <v>0</v>
      </c>
      <c r="S3957" s="24">
        <v>202303</v>
      </c>
      <c r="T3957" s="127" t="s">
        <v>5293</v>
      </c>
      <c r="U3957" s="97"/>
      <c r="V3957" s="128"/>
      <c r="W3957" s="97"/>
      <c r="X3957" s="106">
        <v>44378</v>
      </c>
      <c r="Y3957" s="106">
        <v>44742</v>
      </c>
    </row>
    <row r="3958" s="9" customFormat="1" customHeight="1" spans="1:25">
      <c r="A3958" s="104" t="s">
        <v>25</v>
      </c>
      <c r="B3958" s="95" t="s">
        <v>4074</v>
      </c>
      <c r="C3958" s="96" t="s">
        <v>44</v>
      </c>
      <c r="D3958" s="94" t="s">
        <v>4178</v>
      </c>
      <c r="E3958" s="105" t="s">
        <v>5240</v>
      </c>
      <c r="F3958" s="96" t="s">
        <v>5241</v>
      </c>
      <c r="G3958" s="96" t="s">
        <v>88</v>
      </c>
      <c r="H3958" s="19" t="s">
        <v>5288</v>
      </c>
      <c r="I3958" s="23" t="e">
        <f>VLOOKUP(H3958,'合同综合查询数据（3月返）'!$A:$A,1,FALSE)</f>
        <v>#N/A</v>
      </c>
      <c r="J3958" s="24" t="s">
        <v>126</v>
      </c>
      <c r="K3958" s="96" t="s">
        <v>5252</v>
      </c>
      <c r="L3958" s="114" t="s">
        <v>5289</v>
      </c>
      <c r="M3958" s="26" t="s">
        <v>5290</v>
      </c>
      <c r="N3958" s="106">
        <v>44742</v>
      </c>
      <c r="O3958" s="94" t="s">
        <v>92</v>
      </c>
      <c r="P3958" s="268">
        <v>0</v>
      </c>
      <c r="Q3958" s="273">
        <v>-6</v>
      </c>
      <c r="R3958" s="268">
        <f t="shared" si="91"/>
        <v>0</v>
      </c>
      <c r="S3958" s="24">
        <v>202303</v>
      </c>
      <c r="T3958" s="127" t="s">
        <v>5294</v>
      </c>
      <c r="U3958" s="97"/>
      <c r="V3958" s="128"/>
      <c r="W3958" s="97"/>
      <c r="X3958" s="106">
        <v>44378</v>
      </c>
      <c r="Y3958" s="106">
        <v>44742</v>
      </c>
    </row>
    <row r="3959" s="9" customFormat="1" customHeight="1" spans="1:25">
      <c r="A3959" s="96" t="s">
        <v>109</v>
      </c>
      <c r="B3959" s="95" t="s">
        <v>4074</v>
      </c>
      <c r="C3959" s="96" t="s">
        <v>217</v>
      </c>
      <c r="D3959" s="94" t="s">
        <v>4178</v>
      </c>
      <c r="E3959" s="105" t="s">
        <v>5240</v>
      </c>
      <c r="F3959" s="96" t="s">
        <v>5241</v>
      </c>
      <c r="G3959" s="96" t="s">
        <v>31</v>
      </c>
      <c r="H3959" s="19" t="s">
        <v>5295</v>
      </c>
      <c r="I3959" s="23" t="e">
        <f>VLOOKUP(H3959,'合同综合查询数据（3月返）'!$A:$A,1,FALSE)</f>
        <v>#N/A</v>
      </c>
      <c r="J3959" s="24" t="s">
        <v>33</v>
      </c>
      <c r="K3959" s="96" t="s">
        <v>219</v>
      </c>
      <c r="L3959" s="114" t="s">
        <v>2064</v>
      </c>
      <c r="M3959" s="26" t="s">
        <v>5296</v>
      </c>
      <c r="N3959" s="106">
        <v>44317</v>
      </c>
      <c r="O3959" s="94" t="s">
        <v>37</v>
      </c>
      <c r="P3959" s="268">
        <v>0</v>
      </c>
      <c r="Q3959" s="273">
        <v>320</v>
      </c>
      <c r="R3959" s="268">
        <f t="shared" si="91"/>
        <v>0</v>
      </c>
      <c r="S3959" s="24">
        <v>202303</v>
      </c>
      <c r="T3959" s="127" t="s">
        <v>5297</v>
      </c>
      <c r="U3959" s="97"/>
      <c r="V3959" s="128"/>
      <c r="W3959" s="97"/>
      <c r="X3959" s="106">
        <v>44317</v>
      </c>
      <c r="Y3959" s="106">
        <v>44681</v>
      </c>
    </row>
    <row r="3960" s="9" customFormat="1" customHeight="1" spans="1:25">
      <c r="A3960" s="96" t="s">
        <v>109</v>
      </c>
      <c r="B3960" s="95" t="s">
        <v>4074</v>
      </c>
      <c r="C3960" s="96" t="s">
        <v>217</v>
      </c>
      <c r="D3960" s="94" t="s">
        <v>4178</v>
      </c>
      <c r="E3960" s="105" t="s">
        <v>5240</v>
      </c>
      <c r="F3960" s="96" t="s">
        <v>5241</v>
      </c>
      <c r="G3960" s="96" t="s">
        <v>31</v>
      </c>
      <c r="H3960" s="19" t="s">
        <v>5295</v>
      </c>
      <c r="I3960" s="23" t="e">
        <f>VLOOKUP(H3960,'合同综合查询数据（3月返）'!$A:$A,1,FALSE)</f>
        <v>#N/A</v>
      </c>
      <c r="J3960" s="24" t="s">
        <v>33</v>
      </c>
      <c r="K3960" s="96" t="s">
        <v>219</v>
      </c>
      <c r="L3960" s="114" t="s">
        <v>2064</v>
      </c>
      <c r="M3960" s="26" t="s">
        <v>5296</v>
      </c>
      <c r="N3960" s="106"/>
      <c r="O3960" s="94" t="s">
        <v>152</v>
      </c>
      <c r="P3960" s="268">
        <v>0</v>
      </c>
      <c r="Q3960" s="268">
        <v>0</v>
      </c>
      <c r="R3960" s="268">
        <f t="shared" si="91"/>
        <v>0</v>
      </c>
      <c r="S3960" s="24">
        <v>202303</v>
      </c>
      <c r="T3960" s="127" t="s">
        <v>4458</v>
      </c>
      <c r="U3960" s="97"/>
      <c r="V3960" s="128"/>
      <c r="W3960" s="97"/>
      <c r="X3960" s="106">
        <v>44317</v>
      </c>
      <c r="Y3960" s="106">
        <v>44681</v>
      </c>
    </row>
    <row r="3961" s="9" customFormat="1" customHeight="1" spans="1:25">
      <c r="A3961" s="96" t="s">
        <v>109</v>
      </c>
      <c r="B3961" s="95" t="s">
        <v>4074</v>
      </c>
      <c r="C3961" s="96" t="s">
        <v>217</v>
      </c>
      <c r="D3961" s="94" t="s">
        <v>4178</v>
      </c>
      <c r="E3961" s="105" t="s">
        <v>5240</v>
      </c>
      <c r="F3961" s="96" t="s">
        <v>5241</v>
      </c>
      <c r="G3961" s="96" t="s">
        <v>88</v>
      </c>
      <c r="H3961" s="19" t="s">
        <v>5295</v>
      </c>
      <c r="I3961" s="23" t="e">
        <f>VLOOKUP(H3961,'合同综合查询数据（3月返）'!$A:$A,1,FALSE)</f>
        <v>#N/A</v>
      </c>
      <c r="J3961" s="24" t="s">
        <v>126</v>
      </c>
      <c r="K3961" s="96" t="s">
        <v>219</v>
      </c>
      <c r="L3961" s="114" t="s">
        <v>2064</v>
      </c>
      <c r="M3961" s="26" t="s">
        <v>5296</v>
      </c>
      <c r="N3961" s="106">
        <v>44317</v>
      </c>
      <c r="O3961" s="94" t="s">
        <v>92</v>
      </c>
      <c r="P3961" s="268">
        <v>4000</v>
      </c>
      <c r="Q3961" s="273">
        <v>4</v>
      </c>
      <c r="R3961" s="268">
        <f t="shared" si="91"/>
        <v>16000</v>
      </c>
      <c r="S3961" s="24">
        <v>202303</v>
      </c>
      <c r="T3961" s="127" t="s">
        <v>5298</v>
      </c>
      <c r="U3961" s="97"/>
      <c r="V3961" s="128"/>
      <c r="W3961" s="97"/>
      <c r="X3961" s="106">
        <v>44317</v>
      </c>
      <c r="Y3961" s="106">
        <v>44681</v>
      </c>
    </row>
    <row r="3962" s="9" customFormat="1" customHeight="1" spans="1:25">
      <c r="A3962" s="96" t="s">
        <v>109</v>
      </c>
      <c r="B3962" s="95" t="s">
        <v>4074</v>
      </c>
      <c r="C3962" s="96" t="s">
        <v>217</v>
      </c>
      <c r="D3962" s="94" t="s">
        <v>4178</v>
      </c>
      <c r="E3962" s="105" t="s">
        <v>5240</v>
      </c>
      <c r="F3962" s="96" t="s">
        <v>5241</v>
      </c>
      <c r="G3962" s="96" t="s">
        <v>88</v>
      </c>
      <c r="H3962" s="19" t="s">
        <v>5295</v>
      </c>
      <c r="I3962" s="23" t="e">
        <f>VLOOKUP(H3962,'合同综合查询数据（3月返）'!$A:$A,1,FALSE)</f>
        <v>#N/A</v>
      </c>
      <c r="J3962" s="24" t="s">
        <v>126</v>
      </c>
      <c r="K3962" s="96" t="s">
        <v>219</v>
      </c>
      <c r="L3962" s="114" t="s">
        <v>2064</v>
      </c>
      <c r="M3962" s="26" t="s">
        <v>5296</v>
      </c>
      <c r="N3962" s="106">
        <v>44500</v>
      </c>
      <c r="O3962" s="94" t="s">
        <v>92</v>
      </c>
      <c r="P3962" s="268">
        <v>4000</v>
      </c>
      <c r="Q3962" s="273">
        <v>-4</v>
      </c>
      <c r="R3962" s="268">
        <f t="shared" si="91"/>
        <v>-16000</v>
      </c>
      <c r="S3962" s="24">
        <v>202303</v>
      </c>
      <c r="T3962" s="127" t="s">
        <v>5299</v>
      </c>
      <c r="U3962" s="97"/>
      <c r="V3962" s="128"/>
      <c r="W3962" s="97"/>
      <c r="X3962" s="106">
        <v>44317</v>
      </c>
      <c r="Y3962" s="106">
        <v>44681</v>
      </c>
    </row>
    <row r="3963" s="9" customFormat="1" customHeight="1" spans="1:25">
      <c r="A3963" s="96" t="s">
        <v>109</v>
      </c>
      <c r="B3963" s="95" t="s">
        <v>4074</v>
      </c>
      <c r="C3963" s="94" t="s">
        <v>204</v>
      </c>
      <c r="D3963" s="94" t="s">
        <v>4178</v>
      </c>
      <c r="E3963" s="105" t="s">
        <v>5240</v>
      </c>
      <c r="F3963" s="96" t="s">
        <v>5241</v>
      </c>
      <c r="G3963" s="96" t="s">
        <v>31</v>
      </c>
      <c r="H3963" s="19" t="s">
        <v>5300</v>
      </c>
      <c r="I3963" s="23" t="e">
        <f>VLOOKUP(H3963,'合同综合查询数据（3月返）'!$A:$A,1,FALSE)</f>
        <v>#N/A</v>
      </c>
      <c r="J3963" s="24" t="s">
        <v>33</v>
      </c>
      <c r="K3963" s="96" t="s">
        <v>206</v>
      </c>
      <c r="L3963" s="114" t="s">
        <v>5301</v>
      </c>
      <c r="M3963" s="26" t="s">
        <v>5302</v>
      </c>
      <c r="N3963" s="106">
        <v>44410</v>
      </c>
      <c r="O3963" s="94" t="s">
        <v>37</v>
      </c>
      <c r="P3963" s="268">
        <v>0</v>
      </c>
      <c r="Q3963" s="273">
        <v>160</v>
      </c>
      <c r="R3963" s="268">
        <f t="shared" si="91"/>
        <v>0</v>
      </c>
      <c r="S3963" s="24">
        <v>202303</v>
      </c>
      <c r="T3963" s="127" t="s">
        <v>5303</v>
      </c>
      <c r="U3963" s="97"/>
      <c r="V3963" s="128"/>
      <c r="W3963" s="128"/>
      <c r="X3963" s="311">
        <v>44409</v>
      </c>
      <c r="Y3963" s="311">
        <v>44773</v>
      </c>
    </row>
    <row r="3964" s="9" customFormat="1" customHeight="1" spans="1:25">
      <c r="A3964" s="96" t="s">
        <v>109</v>
      </c>
      <c r="B3964" s="95" t="s">
        <v>4074</v>
      </c>
      <c r="C3964" s="94" t="s">
        <v>204</v>
      </c>
      <c r="D3964" s="94" t="s">
        <v>4178</v>
      </c>
      <c r="E3964" s="105" t="s">
        <v>5240</v>
      </c>
      <c r="F3964" s="96" t="s">
        <v>5241</v>
      </c>
      <c r="G3964" s="96" t="s">
        <v>31</v>
      </c>
      <c r="H3964" s="19" t="s">
        <v>5300</v>
      </c>
      <c r="I3964" s="23" t="e">
        <f>VLOOKUP(H3964,'合同综合查询数据（3月返）'!$A:$A,1,FALSE)</f>
        <v>#N/A</v>
      </c>
      <c r="J3964" s="24" t="s">
        <v>33</v>
      </c>
      <c r="K3964" s="96" t="s">
        <v>206</v>
      </c>
      <c r="L3964" s="114" t="s">
        <v>5301</v>
      </c>
      <c r="M3964" s="26" t="s">
        <v>5302</v>
      </c>
      <c r="N3964" s="106">
        <v>44410</v>
      </c>
      <c r="O3964" s="94" t="s">
        <v>37</v>
      </c>
      <c r="P3964" s="268">
        <v>50</v>
      </c>
      <c r="Q3964" s="273">
        <v>128</v>
      </c>
      <c r="R3964" s="268">
        <f t="shared" si="91"/>
        <v>6400</v>
      </c>
      <c r="S3964" s="24">
        <v>202303</v>
      </c>
      <c r="T3964" s="127" t="s">
        <v>5303</v>
      </c>
      <c r="U3964" s="97"/>
      <c r="V3964" s="128"/>
      <c r="W3964" s="128"/>
      <c r="X3964" s="311">
        <v>44409</v>
      </c>
      <c r="Y3964" s="311">
        <v>44773</v>
      </c>
    </row>
    <row r="3965" s="9" customFormat="1" customHeight="1" spans="1:25">
      <c r="A3965" s="96" t="s">
        <v>109</v>
      </c>
      <c r="B3965" s="95" t="s">
        <v>4074</v>
      </c>
      <c r="C3965" s="94" t="s">
        <v>204</v>
      </c>
      <c r="D3965" s="94" t="s">
        <v>4178</v>
      </c>
      <c r="E3965" s="105" t="s">
        <v>5240</v>
      </c>
      <c r="F3965" s="96" t="s">
        <v>5241</v>
      </c>
      <c r="G3965" s="96" t="s">
        <v>31</v>
      </c>
      <c r="H3965" s="19" t="s">
        <v>5300</v>
      </c>
      <c r="I3965" s="23" t="e">
        <f>VLOOKUP(H3965,'合同综合查询数据（3月返）'!$A:$A,1,FALSE)</f>
        <v>#N/A</v>
      </c>
      <c r="J3965" s="24" t="s">
        <v>33</v>
      </c>
      <c r="K3965" s="96" t="s">
        <v>206</v>
      </c>
      <c r="L3965" s="114" t="s">
        <v>5301</v>
      </c>
      <c r="M3965" s="26" t="s">
        <v>5302</v>
      </c>
      <c r="N3965" s="106">
        <v>44742</v>
      </c>
      <c r="O3965" s="94" t="s">
        <v>37</v>
      </c>
      <c r="P3965" s="268">
        <v>0</v>
      </c>
      <c r="Q3965" s="273">
        <v>-160</v>
      </c>
      <c r="R3965" s="268">
        <f t="shared" si="91"/>
        <v>0</v>
      </c>
      <c r="S3965" s="24">
        <v>202303</v>
      </c>
      <c r="T3965" s="127" t="s">
        <v>5304</v>
      </c>
      <c r="U3965" s="97"/>
      <c r="V3965" s="128"/>
      <c r="W3965" s="128"/>
      <c r="X3965" s="311">
        <v>44409</v>
      </c>
      <c r="Y3965" s="311">
        <v>44773</v>
      </c>
    </row>
    <row r="3966" s="9" customFormat="1" customHeight="1" spans="1:25">
      <c r="A3966" s="96" t="s">
        <v>109</v>
      </c>
      <c r="B3966" s="95" t="s">
        <v>4074</v>
      </c>
      <c r="C3966" s="94" t="s">
        <v>204</v>
      </c>
      <c r="D3966" s="94" t="s">
        <v>4178</v>
      </c>
      <c r="E3966" s="105" t="s">
        <v>5240</v>
      </c>
      <c r="F3966" s="96" t="s">
        <v>5241</v>
      </c>
      <c r="G3966" s="96" t="s">
        <v>31</v>
      </c>
      <c r="H3966" s="19" t="s">
        <v>5300</v>
      </c>
      <c r="I3966" s="23" t="e">
        <f>VLOOKUP(H3966,'合同综合查询数据（3月返）'!$A:$A,1,FALSE)</f>
        <v>#N/A</v>
      </c>
      <c r="J3966" s="24" t="s">
        <v>33</v>
      </c>
      <c r="K3966" s="96" t="s">
        <v>206</v>
      </c>
      <c r="L3966" s="114" t="s">
        <v>5301</v>
      </c>
      <c r="M3966" s="26" t="s">
        <v>5302</v>
      </c>
      <c r="N3966" s="106">
        <v>44742</v>
      </c>
      <c r="O3966" s="94" t="s">
        <v>37</v>
      </c>
      <c r="P3966" s="268">
        <v>50</v>
      </c>
      <c r="Q3966" s="273">
        <v>-128</v>
      </c>
      <c r="R3966" s="268">
        <f t="shared" si="91"/>
        <v>-6400</v>
      </c>
      <c r="S3966" s="24">
        <v>202303</v>
      </c>
      <c r="T3966" s="127" t="s">
        <v>5304</v>
      </c>
      <c r="U3966" s="97"/>
      <c r="V3966" s="128"/>
      <c r="W3966" s="128"/>
      <c r="X3966" s="311">
        <v>44409</v>
      </c>
      <c r="Y3966" s="311">
        <v>44773</v>
      </c>
    </row>
    <row r="3967" s="9" customFormat="1" customHeight="1" spans="1:25">
      <c r="A3967" s="96" t="s">
        <v>109</v>
      </c>
      <c r="B3967" s="95" t="s">
        <v>4074</v>
      </c>
      <c r="C3967" s="94" t="s">
        <v>204</v>
      </c>
      <c r="D3967" s="94" t="s">
        <v>4178</v>
      </c>
      <c r="E3967" s="105" t="s">
        <v>5240</v>
      </c>
      <c r="F3967" s="96" t="s">
        <v>5241</v>
      </c>
      <c r="G3967" s="96" t="s">
        <v>31</v>
      </c>
      <c r="H3967" s="19" t="s">
        <v>5300</v>
      </c>
      <c r="I3967" s="23" t="e">
        <f>VLOOKUP(H3967,'合同综合查询数据（3月返）'!$A:$A,1,FALSE)</f>
        <v>#N/A</v>
      </c>
      <c r="J3967" s="24" t="s">
        <v>33</v>
      </c>
      <c r="K3967" s="96" t="s">
        <v>206</v>
      </c>
      <c r="L3967" s="114" t="s">
        <v>5301</v>
      </c>
      <c r="M3967" s="26" t="s">
        <v>5302</v>
      </c>
      <c r="N3967" s="106"/>
      <c r="O3967" s="94" t="s">
        <v>152</v>
      </c>
      <c r="P3967" s="268">
        <v>0</v>
      </c>
      <c r="Q3967" s="273">
        <v>0</v>
      </c>
      <c r="R3967" s="268">
        <f t="shared" si="91"/>
        <v>0</v>
      </c>
      <c r="S3967" s="24">
        <v>202303</v>
      </c>
      <c r="T3967" s="127" t="s">
        <v>5305</v>
      </c>
      <c r="U3967" s="97"/>
      <c r="V3967" s="128"/>
      <c r="W3967" s="128"/>
      <c r="X3967" s="311">
        <v>44409</v>
      </c>
      <c r="Y3967" s="311">
        <v>44773</v>
      </c>
    </row>
    <row r="3968" s="9" customFormat="1" customHeight="1" spans="1:25">
      <c r="A3968" s="96" t="s">
        <v>109</v>
      </c>
      <c r="B3968" s="95" t="s">
        <v>4074</v>
      </c>
      <c r="C3968" s="94" t="s">
        <v>204</v>
      </c>
      <c r="D3968" s="94" t="s">
        <v>4178</v>
      </c>
      <c r="E3968" s="105" t="s">
        <v>5240</v>
      </c>
      <c r="F3968" s="96" t="s">
        <v>5241</v>
      </c>
      <c r="G3968" s="96" t="s">
        <v>88</v>
      </c>
      <c r="H3968" s="19" t="s">
        <v>5300</v>
      </c>
      <c r="I3968" s="23" t="e">
        <f>VLOOKUP(H3968,'合同综合查询数据（3月返）'!$A:$A,1,FALSE)</f>
        <v>#N/A</v>
      </c>
      <c r="J3968" s="24" t="s">
        <v>126</v>
      </c>
      <c r="K3968" s="96" t="s">
        <v>206</v>
      </c>
      <c r="L3968" s="114" t="s">
        <v>5301</v>
      </c>
      <c r="M3968" s="26" t="s">
        <v>5302</v>
      </c>
      <c r="N3968" s="106">
        <v>44410</v>
      </c>
      <c r="O3968" s="94" t="s">
        <v>92</v>
      </c>
      <c r="P3968" s="268">
        <v>5000</v>
      </c>
      <c r="Q3968" s="273">
        <v>7</v>
      </c>
      <c r="R3968" s="268">
        <f t="shared" si="91"/>
        <v>35000</v>
      </c>
      <c r="S3968" s="24">
        <v>202303</v>
      </c>
      <c r="T3968" s="127" t="s">
        <v>5306</v>
      </c>
      <c r="U3968" s="97"/>
      <c r="V3968" s="128"/>
      <c r="W3968" s="128"/>
      <c r="X3968" s="311">
        <v>44409</v>
      </c>
      <c r="Y3968" s="311">
        <v>44773</v>
      </c>
    </row>
    <row r="3969" s="9" customFormat="1" customHeight="1" spans="1:25">
      <c r="A3969" s="96" t="s">
        <v>109</v>
      </c>
      <c r="B3969" s="95" t="s">
        <v>4074</v>
      </c>
      <c r="C3969" s="94" t="s">
        <v>204</v>
      </c>
      <c r="D3969" s="94" t="s">
        <v>4178</v>
      </c>
      <c r="E3969" s="105" t="s">
        <v>5240</v>
      </c>
      <c r="F3969" s="96" t="s">
        <v>5241</v>
      </c>
      <c r="G3969" s="96" t="s">
        <v>88</v>
      </c>
      <c r="H3969" s="19" t="s">
        <v>5300</v>
      </c>
      <c r="I3969" s="23" t="e">
        <f>VLOOKUP(H3969,'合同综合查询数据（3月返）'!$A:$A,1,FALSE)</f>
        <v>#N/A</v>
      </c>
      <c r="J3969" s="24" t="s">
        <v>126</v>
      </c>
      <c r="K3969" s="96" t="s">
        <v>206</v>
      </c>
      <c r="L3969" s="114" t="s">
        <v>5301</v>
      </c>
      <c r="M3969" s="26" t="s">
        <v>5302</v>
      </c>
      <c r="N3969" s="106">
        <v>44651</v>
      </c>
      <c r="O3969" s="94" t="s">
        <v>92</v>
      </c>
      <c r="P3969" s="268">
        <v>5000</v>
      </c>
      <c r="Q3969" s="273">
        <v>-7</v>
      </c>
      <c r="R3969" s="268">
        <f t="shared" si="91"/>
        <v>-35000</v>
      </c>
      <c r="S3969" s="24">
        <v>202303</v>
      </c>
      <c r="T3969" s="127" t="s">
        <v>5307</v>
      </c>
      <c r="U3969" s="97"/>
      <c r="V3969" s="128"/>
      <c r="W3969" s="128"/>
      <c r="X3969" s="311">
        <v>44409</v>
      </c>
      <c r="Y3969" s="311">
        <v>44773</v>
      </c>
    </row>
    <row r="3970" s="9" customFormat="1" customHeight="1" spans="1:25">
      <c r="A3970" s="96" t="s">
        <v>109</v>
      </c>
      <c r="B3970" s="95" t="s">
        <v>4074</v>
      </c>
      <c r="C3970" s="94" t="s">
        <v>204</v>
      </c>
      <c r="D3970" s="94" t="s">
        <v>4178</v>
      </c>
      <c r="E3970" s="105" t="s">
        <v>5240</v>
      </c>
      <c r="F3970" s="96" t="s">
        <v>5241</v>
      </c>
      <c r="G3970" s="96" t="s">
        <v>88</v>
      </c>
      <c r="H3970" s="19" t="s">
        <v>5300</v>
      </c>
      <c r="I3970" s="23" t="e">
        <f>VLOOKUP(H3970,'合同综合查询数据（3月返）'!$A:$A,1,FALSE)</f>
        <v>#N/A</v>
      </c>
      <c r="J3970" s="24" t="s">
        <v>126</v>
      </c>
      <c r="K3970" s="96" t="s">
        <v>206</v>
      </c>
      <c r="L3970" s="114" t="s">
        <v>5301</v>
      </c>
      <c r="M3970" s="26" t="s">
        <v>5302</v>
      </c>
      <c r="N3970" s="106">
        <v>44652</v>
      </c>
      <c r="O3970" s="94" t="s">
        <v>92</v>
      </c>
      <c r="P3970" s="268">
        <v>5000</v>
      </c>
      <c r="Q3970" s="273">
        <v>3</v>
      </c>
      <c r="R3970" s="268">
        <f t="shared" si="91"/>
        <v>15000</v>
      </c>
      <c r="S3970" s="24">
        <v>202303</v>
      </c>
      <c r="T3970" s="127" t="s">
        <v>5308</v>
      </c>
      <c r="U3970" s="97"/>
      <c r="V3970" s="128"/>
      <c r="W3970" s="128"/>
      <c r="X3970" s="311">
        <v>44409</v>
      </c>
      <c r="Y3970" s="311">
        <v>44773</v>
      </c>
    </row>
    <row r="3971" s="9" customFormat="1" customHeight="1" spans="1:25">
      <c r="A3971" s="96" t="s">
        <v>109</v>
      </c>
      <c r="B3971" s="95" t="s">
        <v>4074</v>
      </c>
      <c r="C3971" s="94" t="s">
        <v>204</v>
      </c>
      <c r="D3971" s="94" t="s">
        <v>4178</v>
      </c>
      <c r="E3971" s="105" t="s">
        <v>5240</v>
      </c>
      <c r="F3971" s="96" t="s">
        <v>5241</v>
      </c>
      <c r="G3971" s="96" t="s">
        <v>88</v>
      </c>
      <c r="H3971" s="19" t="s">
        <v>5300</v>
      </c>
      <c r="I3971" s="23" t="e">
        <f>VLOOKUP(H3971,'合同综合查询数据（3月返）'!$A:$A,1,FALSE)</f>
        <v>#N/A</v>
      </c>
      <c r="J3971" s="24" t="s">
        <v>126</v>
      </c>
      <c r="K3971" s="96" t="s">
        <v>206</v>
      </c>
      <c r="L3971" s="114" t="s">
        <v>5301</v>
      </c>
      <c r="M3971" s="26" t="s">
        <v>5302</v>
      </c>
      <c r="N3971" s="106">
        <v>44742</v>
      </c>
      <c r="O3971" s="94" t="s">
        <v>92</v>
      </c>
      <c r="P3971" s="268">
        <v>5000</v>
      </c>
      <c r="Q3971" s="273">
        <v>-3</v>
      </c>
      <c r="R3971" s="268">
        <f t="shared" si="91"/>
        <v>-15000</v>
      </c>
      <c r="S3971" s="24">
        <v>202303</v>
      </c>
      <c r="T3971" s="127" t="s">
        <v>5309</v>
      </c>
      <c r="U3971" s="97"/>
      <c r="V3971" s="128"/>
      <c r="W3971" s="128"/>
      <c r="X3971" s="311">
        <v>44409</v>
      </c>
      <c r="Y3971" s="311">
        <v>44773</v>
      </c>
    </row>
    <row r="3972" s="10" customFormat="1" customHeight="1" spans="1:25">
      <c r="A3972" s="60" t="s">
        <v>109</v>
      </c>
      <c r="B3972" s="60" t="s">
        <v>4074</v>
      </c>
      <c r="C3972" s="60" t="s">
        <v>204</v>
      </c>
      <c r="D3972" s="62" t="s">
        <v>4178</v>
      </c>
      <c r="E3972" s="63" t="s">
        <v>5240</v>
      </c>
      <c r="F3972" s="60" t="s">
        <v>5241</v>
      </c>
      <c r="G3972" s="60" t="s">
        <v>31</v>
      </c>
      <c r="H3972" s="45" t="s">
        <v>5310</v>
      </c>
      <c r="I3972" s="47" t="e">
        <f>VLOOKUP(H3972,'合同综合查询数据（3月返）'!$A:$A,1,FALSE)</f>
        <v>#N/A</v>
      </c>
      <c r="J3972" s="48" t="s">
        <v>33</v>
      </c>
      <c r="K3972" s="60" t="s">
        <v>206</v>
      </c>
      <c r="L3972" s="60" t="s">
        <v>5311</v>
      </c>
      <c r="M3972" s="50" t="s">
        <v>5302</v>
      </c>
      <c r="N3972" s="111">
        <v>43922</v>
      </c>
      <c r="O3972" s="62" t="s">
        <v>37</v>
      </c>
      <c r="P3972" s="266">
        <v>0</v>
      </c>
      <c r="Q3972" s="270">
        <v>160</v>
      </c>
      <c r="R3972" s="266">
        <f t="shared" si="91"/>
        <v>0</v>
      </c>
      <c r="S3972" s="48">
        <v>202303</v>
      </c>
      <c r="T3972" s="125" t="s">
        <v>5312</v>
      </c>
      <c r="U3972" s="58"/>
      <c r="V3972" s="58"/>
      <c r="W3972" s="58"/>
      <c r="X3972" s="309"/>
      <c r="Y3972" s="309"/>
    </row>
    <row r="3973" s="10" customFormat="1" customHeight="1" spans="1:25">
      <c r="A3973" s="60" t="s">
        <v>109</v>
      </c>
      <c r="B3973" s="60" t="s">
        <v>4074</v>
      </c>
      <c r="C3973" s="60" t="s">
        <v>204</v>
      </c>
      <c r="D3973" s="62" t="s">
        <v>4178</v>
      </c>
      <c r="E3973" s="63" t="s">
        <v>5240</v>
      </c>
      <c r="F3973" s="60" t="s">
        <v>5241</v>
      </c>
      <c r="G3973" s="60" t="s">
        <v>31</v>
      </c>
      <c r="H3973" s="45" t="s">
        <v>5310</v>
      </c>
      <c r="I3973" s="47" t="e">
        <f>VLOOKUP(H3973,'合同综合查询数据（3月返）'!$A:$A,1,FALSE)</f>
        <v>#N/A</v>
      </c>
      <c r="J3973" s="48" t="s">
        <v>33</v>
      </c>
      <c r="K3973" s="60" t="s">
        <v>206</v>
      </c>
      <c r="L3973" s="60" t="s">
        <v>5311</v>
      </c>
      <c r="M3973" s="50" t="s">
        <v>5302</v>
      </c>
      <c r="N3973" s="111">
        <v>43922</v>
      </c>
      <c r="O3973" s="62" t="s">
        <v>37</v>
      </c>
      <c r="P3973" s="266">
        <v>50</v>
      </c>
      <c r="Q3973" s="270">
        <v>128</v>
      </c>
      <c r="R3973" s="266">
        <f t="shared" si="91"/>
        <v>6400</v>
      </c>
      <c r="S3973" s="48">
        <v>202303</v>
      </c>
      <c r="T3973" s="125" t="s">
        <v>5312</v>
      </c>
      <c r="U3973" s="58"/>
      <c r="V3973" s="58"/>
      <c r="W3973" s="58"/>
      <c r="X3973" s="309"/>
      <c r="Y3973" s="309"/>
    </row>
    <row r="3974" s="10" customFormat="1" customHeight="1" spans="1:25">
      <c r="A3974" s="60" t="s">
        <v>109</v>
      </c>
      <c r="B3974" s="60" t="s">
        <v>4074</v>
      </c>
      <c r="C3974" s="60" t="s">
        <v>204</v>
      </c>
      <c r="D3974" s="62" t="s">
        <v>4178</v>
      </c>
      <c r="E3974" s="63" t="s">
        <v>5240</v>
      </c>
      <c r="F3974" s="60" t="s">
        <v>5241</v>
      </c>
      <c r="G3974" s="60" t="s">
        <v>31</v>
      </c>
      <c r="H3974" s="45" t="s">
        <v>5310</v>
      </c>
      <c r="I3974" s="47" t="e">
        <f>VLOOKUP(H3974,'合同综合查询数据（3月返）'!$A:$A,1,FALSE)</f>
        <v>#N/A</v>
      </c>
      <c r="J3974" s="48" t="s">
        <v>33</v>
      </c>
      <c r="K3974" s="60" t="s">
        <v>206</v>
      </c>
      <c r="L3974" s="60" t="s">
        <v>5311</v>
      </c>
      <c r="M3974" s="50" t="s">
        <v>5302</v>
      </c>
      <c r="N3974" s="111">
        <v>44742</v>
      </c>
      <c r="O3974" s="62" t="s">
        <v>37</v>
      </c>
      <c r="P3974" s="266">
        <v>0</v>
      </c>
      <c r="Q3974" s="270">
        <v>-160</v>
      </c>
      <c r="R3974" s="266">
        <f t="shared" si="91"/>
        <v>0</v>
      </c>
      <c r="S3974" s="48">
        <v>202303</v>
      </c>
      <c r="T3974" s="125" t="s">
        <v>5313</v>
      </c>
      <c r="U3974" s="58"/>
      <c r="V3974" s="58"/>
      <c r="W3974" s="58"/>
      <c r="X3974" s="309"/>
      <c r="Y3974" s="309"/>
    </row>
    <row r="3975" s="10" customFormat="1" customHeight="1" spans="1:25">
      <c r="A3975" s="60" t="s">
        <v>109</v>
      </c>
      <c r="B3975" s="60" t="s">
        <v>4074</v>
      </c>
      <c r="C3975" s="60" t="s">
        <v>204</v>
      </c>
      <c r="D3975" s="62" t="s">
        <v>4178</v>
      </c>
      <c r="E3975" s="63" t="s">
        <v>5240</v>
      </c>
      <c r="F3975" s="60" t="s">
        <v>5241</v>
      </c>
      <c r="G3975" s="60" t="s">
        <v>31</v>
      </c>
      <c r="H3975" s="45" t="s">
        <v>5310</v>
      </c>
      <c r="I3975" s="47" t="e">
        <f>VLOOKUP(H3975,'合同综合查询数据（3月返）'!$A:$A,1,FALSE)</f>
        <v>#N/A</v>
      </c>
      <c r="J3975" s="48" t="s">
        <v>33</v>
      </c>
      <c r="K3975" s="60" t="s">
        <v>206</v>
      </c>
      <c r="L3975" s="60" t="s">
        <v>5311</v>
      </c>
      <c r="M3975" s="50" t="s">
        <v>5302</v>
      </c>
      <c r="N3975" s="111">
        <v>44742</v>
      </c>
      <c r="O3975" s="62" t="s">
        <v>37</v>
      </c>
      <c r="P3975" s="266">
        <v>50</v>
      </c>
      <c r="Q3975" s="270">
        <v>-128</v>
      </c>
      <c r="R3975" s="266">
        <f t="shared" si="91"/>
        <v>-6400</v>
      </c>
      <c r="S3975" s="48">
        <v>202303</v>
      </c>
      <c r="T3975" s="125" t="s">
        <v>5313</v>
      </c>
      <c r="U3975" s="58"/>
      <c r="V3975" s="58"/>
      <c r="W3975" s="58"/>
      <c r="X3975" s="309"/>
      <c r="Y3975" s="309"/>
    </row>
    <row r="3976" s="9" customFormat="1" customHeight="1" spans="1:25">
      <c r="A3976" s="96" t="s">
        <v>109</v>
      </c>
      <c r="B3976" s="96" t="s">
        <v>4074</v>
      </c>
      <c r="C3976" s="96" t="s">
        <v>204</v>
      </c>
      <c r="D3976" s="94" t="s">
        <v>4178</v>
      </c>
      <c r="E3976" s="105" t="s">
        <v>5240</v>
      </c>
      <c r="F3976" s="96" t="s">
        <v>5241</v>
      </c>
      <c r="G3976" s="96" t="s">
        <v>31</v>
      </c>
      <c r="H3976" s="19" t="s">
        <v>5300</v>
      </c>
      <c r="I3976" s="23" t="e">
        <f>VLOOKUP(H3976,'合同综合查询数据（3月返）'!$A:$A,1,FALSE)</f>
        <v>#N/A</v>
      </c>
      <c r="J3976" s="24" t="s">
        <v>33</v>
      </c>
      <c r="K3976" s="96" t="s">
        <v>206</v>
      </c>
      <c r="L3976" s="96" t="s">
        <v>5311</v>
      </c>
      <c r="M3976" s="26" t="s">
        <v>5302</v>
      </c>
      <c r="N3976" s="106"/>
      <c r="O3976" s="94" t="s">
        <v>152</v>
      </c>
      <c r="P3976" s="268">
        <v>0</v>
      </c>
      <c r="Q3976" s="273">
        <v>0</v>
      </c>
      <c r="R3976" s="268">
        <f t="shared" si="91"/>
        <v>0</v>
      </c>
      <c r="S3976" s="24">
        <v>202303</v>
      </c>
      <c r="T3976" s="127" t="s">
        <v>5314</v>
      </c>
      <c r="U3976" s="40"/>
      <c r="V3976" s="40"/>
      <c r="W3976" s="40"/>
      <c r="X3976" s="311">
        <v>44409</v>
      </c>
      <c r="Y3976" s="311">
        <v>44773</v>
      </c>
    </row>
    <row r="3977" s="9" customFormat="1" customHeight="1" spans="1:25">
      <c r="A3977" s="96" t="s">
        <v>109</v>
      </c>
      <c r="B3977" s="96" t="s">
        <v>4074</v>
      </c>
      <c r="C3977" s="96" t="s">
        <v>204</v>
      </c>
      <c r="D3977" s="94" t="s">
        <v>4178</v>
      </c>
      <c r="E3977" s="105" t="s">
        <v>5240</v>
      </c>
      <c r="F3977" s="96" t="s">
        <v>5241</v>
      </c>
      <c r="G3977" s="96" t="s">
        <v>88</v>
      </c>
      <c r="H3977" s="19" t="s">
        <v>5300</v>
      </c>
      <c r="I3977" s="23" t="e">
        <f>VLOOKUP(H3977,'合同综合查询数据（3月返）'!$A:$A,1,FALSE)</f>
        <v>#N/A</v>
      </c>
      <c r="J3977" s="24" t="s">
        <v>126</v>
      </c>
      <c r="K3977" s="96" t="s">
        <v>206</v>
      </c>
      <c r="L3977" s="96" t="s">
        <v>5311</v>
      </c>
      <c r="M3977" s="26" t="s">
        <v>5302</v>
      </c>
      <c r="N3977" s="106">
        <v>43922</v>
      </c>
      <c r="O3977" s="311" t="s">
        <v>92</v>
      </c>
      <c r="P3977" s="268">
        <v>5000</v>
      </c>
      <c r="Q3977" s="273">
        <v>3</v>
      </c>
      <c r="R3977" s="268">
        <f t="shared" si="91"/>
        <v>15000</v>
      </c>
      <c r="S3977" s="24">
        <v>202303</v>
      </c>
      <c r="T3977" s="127" t="s">
        <v>5315</v>
      </c>
      <c r="U3977" s="40"/>
      <c r="V3977" s="40"/>
      <c r="W3977" s="40"/>
      <c r="X3977" s="311">
        <v>44409</v>
      </c>
      <c r="Y3977" s="311">
        <v>44773</v>
      </c>
    </row>
    <row r="3978" s="9" customFormat="1" customHeight="1" spans="1:25">
      <c r="A3978" s="96" t="s">
        <v>109</v>
      </c>
      <c r="B3978" s="96" t="s">
        <v>4074</v>
      </c>
      <c r="C3978" s="96" t="s">
        <v>204</v>
      </c>
      <c r="D3978" s="94" t="s">
        <v>4178</v>
      </c>
      <c r="E3978" s="105" t="s">
        <v>5240</v>
      </c>
      <c r="F3978" s="96" t="s">
        <v>5241</v>
      </c>
      <c r="G3978" s="96" t="s">
        <v>88</v>
      </c>
      <c r="H3978" s="19" t="s">
        <v>5300</v>
      </c>
      <c r="I3978" s="23" t="e">
        <f>VLOOKUP(H3978,'合同综合查询数据（3月返）'!$A:$A,1,FALSE)</f>
        <v>#N/A</v>
      </c>
      <c r="J3978" s="24" t="s">
        <v>126</v>
      </c>
      <c r="K3978" s="96" t="s">
        <v>206</v>
      </c>
      <c r="L3978" s="96" t="s">
        <v>5311</v>
      </c>
      <c r="M3978" s="26" t="s">
        <v>5302</v>
      </c>
      <c r="N3978" s="106">
        <v>43855</v>
      </c>
      <c r="O3978" s="311" t="s">
        <v>92</v>
      </c>
      <c r="P3978" s="268">
        <v>5000</v>
      </c>
      <c r="Q3978" s="273">
        <v>-3</v>
      </c>
      <c r="R3978" s="268">
        <f t="shared" si="91"/>
        <v>-15000</v>
      </c>
      <c r="S3978" s="24">
        <v>202303</v>
      </c>
      <c r="T3978" s="127" t="s">
        <v>5316</v>
      </c>
      <c r="U3978" s="40"/>
      <c r="V3978" s="40"/>
      <c r="W3978" s="40"/>
      <c r="X3978" s="311">
        <v>44409</v>
      </c>
      <c r="Y3978" s="311">
        <v>44773</v>
      </c>
    </row>
    <row r="3979" s="9" customFormat="1" customHeight="1" spans="1:25">
      <c r="A3979" s="96" t="s">
        <v>109</v>
      </c>
      <c r="B3979" s="96" t="s">
        <v>4074</v>
      </c>
      <c r="C3979" s="96" t="s">
        <v>204</v>
      </c>
      <c r="D3979" s="94" t="s">
        <v>4178</v>
      </c>
      <c r="E3979" s="105" t="s">
        <v>5240</v>
      </c>
      <c r="F3979" s="96" t="s">
        <v>5241</v>
      </c>
      <c r="G3979" s="96" t="s">
        <v>88</v>
      </c>
      <c r="H3979" s="19" t="s">
        <v>5300</v>
      </c>
      <c r="I3979" s="23" t="e">
        <f>VLOOKUP(H3979,'合同综合查询数据（3月返）'!$A:$A,1,FALSE)</f>
        <v>#N/A</v>
      </c>
      <c r="J3979" s="24" t="s">
        <v>126</v>
      </c>
      <c r="K3979" s="96" t="s">
        <v>206</v>
      </c>
      <c r="L3979" s="96" t="s">
        <v>5311</v>
      </c>
      <c r="M3979" s="26" t="s">
        <v>5302</v>
      </c>
      <c r="N3979" s="106">
        <v>43856</v>
      </c>
      <c r="O3979" s="311" t="s">
        <v>92</v>
      </c>
      <c r="P3979" s="268">
        <v>5000</v>
      </c>
      <c r="Q3979" s="273">
        <v>3</v>
      </c>
      <c r="R3979" s="268">
        <f t="shared" si="91"/>
        <v>15000</v>
      </c>
      <c r="S3979" s="24">
        <v>202303</v>
      </c>
      <c r="T3979" s="127" t="s">
        <v>5317</v>
      </c>
      <c r="U3979" s="40"/>
      <c r="V3979" s="40"/>
      <c r="W3979" s="40"/>
      <c r="X3979" s="311">
        <v>44409</v>
      </c>
      <c r="Y3979" s="311">
        <v>44773</v>
      </c>
    </row>
    <row r="3980" s="9" customFormat="1" customHeight="1" spans="1:25">
      <c r="A3980" s="96" t="s">
        <v>109</v>
      </c>
      <c r="B3980" s="96" t="s">
        <v>4074</v>
      </c>
      <c r="C3980" s="96" t="s">
        <v>204</v>
      </c>
      <c r="D3980" s="94" t="s">
        <v>4178</v>
      </c>
      <c r="E3980" s="105" t="s">
        <v>5240</v>
      </c>
      <c r="F3980" s="96" t="s">
        <v>5241</v>
      </c>
      <c r="G3980" s="96" t="s">
        <v>88</v>
      </c>
      <c r="H3980" s="19" t="s">
        <v>5300</v>
      </c>
      <c r="I3980" s="23" t="e">
        <f>VLOOKUP(H3980,'合同综合查询数据（3月返）'!$A:$A,1,FALSE)</f>
        <v>#N/A</v>
      </c>
      <c r="J3980" s="24" t="s">
        <v>126</v>
      </c>
      <c r="K3980" s="96" t="s">
        <v>206</v>
      </c>
      <c r="L3980" s="96" t="s">
        <v>5311</v>
      </c>
      <c r="M3980" s="26" t="s">
        <v>5302</v>
      </c>
      <c r="N3980" s="106">
        <v>44228</v>
      </c>
      <c r="O3980" s="311" t="s">
        <v>92</v>
      </c>
      <c r="P3980" s="268">
        <v>5000</v>
      </c>
      <c r="Q3980" s="273">
        <v>3</v>
      </c>
      <c r="R3980" s="268">
        <f t="shared" si="91"/>
        <v>15000</v>
      </c>
      <c r="S3980" s="24">
        <v>202303</v>
      </c>
      <c r="T3980" s="127" t="s">
        <v>5318</v>
      </c>
      <c r="U3980" s="40"/>
      <c r="V3980" s="40"/>
      <c r="W3980" s="40"/>
      <c r="X3980" s="311">
        <v>44409</v>
      </c>
      <c r="Y3980" s="311">
        <v>44773</v>
      </c>
    </row>
    <row r="3981" s="9" customFormat="1" customHeight="1" spans="1:25">
      <c r="A3981" s="96" t="s">
        <v>109</v>
      </c>
      <c r="B3981" s="96" t="s">
        <v>4074</v>
      </c>
      <c r="C3981" s="96" t="s">
        <v>204</v>
      </c>
      <c r="D3981" s="94" t="s">
        <v>4178</v>
      </c>
      <c r="E3981" s="105" t="s">
        <v>5240</v>
      </c>
      <c r="F3981" s="96" t="s">
        <v>5241</v>
      </c>
      <c r="G3981" s="96" t="s">
        <v>88</v>
      </c>
      <c r="H3981" s="19" t="s">
        <v>5300</v>
      </c>
      <c r="I3981" s="23" t="e">
        <f>VLOOKUP(H3981,'合同综合查询数据（3月返）'!$A:$A,1,FALSE)</f>
        <v>#N/A</v>
      </c>
      <c r="J3981" s="24" t="s">
        <v>126</v>
      </c>
      <c r="K3981" s="96" t="s">
        <v>206</v>
      </c>
      <c r="L3981" s="96" t="s">
        <v>5311</v>
      </c>
      <c r="M3981" s="26" t="s">
        <v>5302</v>
      </c>
      <c r="N3981" s="106">
        <v>44651</v>
      </c>
      <c r="O3981" s="311" t="s">
        <v>92</v>
      </c>
      <c r="P3981" s="268">
        <v>5000</v>
      </c>
      <c r="Q3981" s="273">
        <v>-3</v>
      </c>
      <c r="R3981" s="268">
        <f t="shared" si="91"/>
        <v>-15000</v>
      </c>
      <c r="S3981" s="24">
        <v>202303</v>
      </c>
      <c r="T3981" s="127" t="s">
        <v>5319</v>
      </c>
      <c r="U3981" s="40"/>
      <c r="V3981" s="40"/>
      <c r="W3981" s="40"/>
      <c r="X3981" s="311">
        <v>44409</v>
      </c>
      <c r="Y3981" s="311">
        <v>44773</v>
      </c>
    </row>
    <row r="3982" s="9" customFormat="1" customHeight="1" spans="1:25">
      <c r="A3982" s="96" t="s">
        <v>109</v>
      </c>
      <c r="B3982" s="96" t="s">
        <v>4074</v>
      </c>
      <c r="C3982" s="96" t="s">
        <v>204</v>
      </c>
      <c r="D3982" s="94" t="s">
        <v>4178</v>
      </c>
      <c r="E3982" s="105" t="s">
        <v>5240</v>
      </c>
      <c r="F3982" s="96" t="s">
        <v>5241</v>
      </c>
      <c r="G3982" s="96" t="s">
        <v>88</v>
      </c>
      <c r="H3982" s="19" t="s">
        <v>5300</v>
      </c>
      <c r="I3982" s="23" t="e">
        <f>VLOOKUP(H3982,'合同综合查询数据（3月返）'!$A:$A,1,FALSE)</f>
        <v>#N/A</v>
      </c>
      <c r="J3982" s="24" t="s">
        <v>126</v>
      </c>
      <c r="K3982" s="96" t="s">
        <v>206</v>
      </c>
      <c r="L3982" s="96" t="s">
        <v>5311</v>
      </c>
      <c r="M3982" s="26" t="s">
        <v>5302</v>
      </c>
      <c r="N3982" s="106">
        <v>44742</v>
      </c>
      <c r="O3982" s="311" t="s">
        <v>92</v>
      </c>
      <c r="P3982" s="268">
        <v>5000</v>
      </c>
      <c r="Q3982" s="273">
        <v>-3</v>
      </c>
      <c r="R3982" s="268">
        <f t="shared" si="91"/>
        <v>-15000</v>
      </c>
      <c r="S3982" s="24">
        <v>202303</v>
      </c>
      <c r="T3982" s="127" t="s">
        <v>5320</v>
      </c>
      <c r="U3982" s="40"/>
      <c r="V3982" s="40"/>
      <c r="W3982" s="40"/>
      <c r="X3982" s="311">
        <v>44409</v>
      </c>
      <c r="Y3982" s="311">
        <v>44773</v>
      </c>
    </row>
    <row r="3983" s="9" customFormat="1" customHeight="1" spans="1:25">
      <c r="A3983" s="96" t="s">
        <v>109</v>
      </c>
      <c r="B3983" s="96" t="s">
        <v>4074</v>
      </c>
      <c r="C3983" s="96" t="s">
        <v>217</v>
      </c>
      <c r="D3983" s="94" t="s">
        <v>4178</v>
      </c>
      <c r="E3983" s="105" t="s">
        <v>5240</v>
      </c>
      <c r="F3983" s="96" t="s">
        <v>5241</v>
      </c>
      <c r="G3983" s="96" t="s">
        <v>31</v>
      </c>
      <c r="H3983" s="19" t="s">
        <v>5321</v>
      </c>
      <c r="I3983" s="23" t="e">
        <f>VLOOKUP(H3983,'合同综合查询数据（3月返）'!$A:$A,1,FALSE)</f>
        <v>#N/A</v>
      </c>
      <c r="J3983" s="24" t="s">
        <v>33</v>
      </c>
      <c r="K3983" s="96" t="s">
        <v>219</v>
      </c>
      <c r="L3983" s="96" t="s">
        <v>5322</v>
      </c>
      <c r="M3983" s="26" t="s">
        <v>5323</v>
      </c>
      <c r="N3983" s="106">
        <v>44502</v>
      </c>
      <c r="O3983" s="311" t="s">
        <v>37</v>
      </c>
      <c r="P3983" s="268">
        <v>0</v>
      </c>
      <c r="Q3983" s="273">
        <v>288</v>
      </c>
      <c r="R3983" s="268">
        <f t="shared" si="91"/>
        <v>0</v>
      </c>
      <c r="S3983" s="24">
        <v>202303</v>
      </c>
      <c r="T3983" s="127" t="s">
        <v>5324</v>
      </c>
      <c r="U3983" s="40"/>
      <c r="V3983" s="40"/>
      <c r="W3983" s="40"/>
      <c r="X3983" s="106">
        <v>44866</v>
      </c>
      <c r="Y3983" s="106">
        <v>45230</v>
      </c>
    </row>
    <row r="3984" s="9" customFormat="1" customHeight="1" spans="1:25">
      <c r="A3984" s="96" t="s">
        <v>109</v>
      </c>
      <c r="B3984" s="96" t="s">
        <v>4074</v>
      </c>
      <c r="C3984" s="96" t="s">
        <v>217</v>
      </c>
      <c r="D3984" s="94" t="s">
        <v>4178</v>
      </c>
      <c r="E3984" s="105" t="s">
        <v>5240</v>
      </c>
      <c r="F3984" s="96" t="s">
        <v>5241</v>
      </c>
      <c r="G3984" s="96" t="s">
        <v>31</v>
      </c>
      <c r="H3984" s="19" t="s">
        <v>5321</v>
      </c>
      <c r="I3984" s="23" t="e">
        <f>VLOOKUP(H3984,'合同综合查询数据（3月返）'!$A:$A,1,FALSE)</f>
        <v>#N/A</v>
      </c>
      <c r="J3984" s="24" t="s">
        <v>33</v>
      </c>
      <c r="K3984" s="96" t="s">
        <v>219</v>
      </c>
      <c r="L3984" s="96" t="s">
        <v>5322</v>
      </c>
      <c r="M3984" s="26" t="s">
        <v>5323</v>
      </c>
      <c r="N3984" s="106">
        <v>44791</v>
      </c>
      <c r="O3984" s="311" t="s">
        <v>37</v>
      </c>
      <c r="P3984" s="268">
        <v>0</v>
      </c>
      <c r="Q3984" s="273">
        <v>32</v>
      </c>
      <c r="R3984" s="268">
        <f t="shared" si="91"/>
        <v>0</v>
      </c>
      <c r="S3984" s="24">
        <v>202303</v>
      </c>
      <c r="T3984" s="127" t="s">
        <v>5325</v>
      </c>
      <c r="U3984" s="40"/>
      <c r="V3984" s="40"/>
      <c r="W3984" s="40"/>
      <c r="X3984" s="106">
        <v>44866</v>
      </c>
      <c r="Y3984" s="106">
        <v>45230</v>
      </c>
    </row>
    <row r="3985" s="9" customFormat="1" customHeight="1" spans="1:25">
      <c r="A3985" s="96" t="s">
        <v>109</v>
      </c>
      <c r="B3985" s="96" t="s">
        <v>4074</v>
      </c>
      <c r="C3985" s="96" t="s">
        <v>217</v>
      </c>
      <c r="D3985" s="94" t="s">
        <v>4178</v>
      </c>
      <c r="E3985" s="105" t="s">
        <v>5240</v>
      </c>
      <c r="F3985" s="96" t="s">
        <v>5241</v>
      </c>
      <c r="G3985" s="96" t="s">
        <v>31</v>
      </c>
      <c r="H3985" s="19" t="s">
        <v>5321</v>
      </c>
      <c r="I3985" s="23" t="e">
        <f>VLOOKUP(H3985,'合同综合查询数据（3月返）'!$A:$A,1,FALSE)</f>
        <v>#N/A</v>
      </c>
      <c r="J3985" s="24" t="s">
        <v>33</v>
      </c>
      <c r="K3985" s="96" t="s">
        <v>219</v>
      </c>
      <c r="L3985" s="96" t="s">
        <v>5322</v>
      </c>
      <c r="M3985" s="26" t="s">
        <v>5323</v>
      </c>
      <c r="N3985" s="106">
        <v>44791</v>
      </c>
      <c r="O3985" s="311" t="s">
        <v>37</v>
      </c>
      <c r="P3985" s="268">
        <v>50</v>
      </c>
      <c r="Q3985" s="273">
        <v>96</v>
      </c>
      <c r="R3985" s="268">
        <f t="shared" si="91"/>
        <v>4800</v>
      </c>
      <c r="S3985" s="24">
        <v>202303</v>
      </c>
      <c r="T3985" s="127" t="s">
        <v>5325</v>
      </c>
      <c r="U3985" s="40"/>
      <c r="V3985" s="40"/>
      <c r="W3985" s="40"/>
      <c r="X3985" s="106">
        <v>44866</v>
      </c>
      <c r="Y3985" s="106">
        <v>45230</v>
      </c>
    </row>
    <row r="3986" s="9" customFormat="1" customHeight="1" spans="1:25">
      <c r="A3986" s="96" t="s">
        <v>109</v>
      </c>
      <c r="B3986" s="96" t="s">
        <v>4074</v>
      </c>
      <c r="C3986" s="96" t="s">
        <v>217</v>
      </c>
      <c r="D3986" s="94" t="s">
        <v>4178</v>
      </c>
      <c r="E3986" s="105" t="s">
        <v>5240</v>
      </c>
      <c r="F3986" s="96" t="s">
        <v>5241</v>
      </c>
      <c r="G3986" s="96" t="s">
        <v>31</v>
      </c>
      <c r="H3986" s="19" t="s">
        <v>5321</v>
      </c>
      <c r="I3986" s="23" t="e">
        <f>VLOOKUP(H3986,'合同综合查询数据（3月返）'!$A:$A,1,FALSE)</f>
        <v>#N/A</v>
      </c>
      <c r="J3986" s="24" t="s">
        <v>33</v>
      </c>
      <c r="K3986" s="96" t="s">
        <v>219</v>
      </c>
      <c r="L3986" s="96" t="s">
        <v>5322</v>
      </c>
      <c r="M3986" s="26" t="s">
        <v>5323</v>
      </c>
      <c r="N3986" s="106">
        <v>44894</v>
      </c>
      <c r="O3986" s="311" t="s">
        <v>37</v>
      </c>
      <c r="P3986" s="268">
        <v>50</v>
      </c>
      <c r="Q3986" s="273">
        <v>-96</v>
      </c>
      <c r="R3986" s="268">
        <f t="shared" si="91"/>
        <v>-4800</v>
      </c>
      <c r="S3986" s="24">
        <v>202303</v>
      </c>
      <c r="T3986" s="127" t="s">
        <v>5326</v>
      </c>
      <c r="U3986" s="40"/>
      <c r="V3986" s="40"/>
      <c r="W3986" s="40"/>
      <c r="X3986" s="106">
        <v>44866</v>
      </c>
      <c r="Y3986" s="106">
        <v>45230</v>
      </c>
    </row>
    <row r="3987" s="9" customFormat="1" customHeight="1" spans="1:25">
      <c r="A3987" s="96" t="s">
        <v>109</v>
      </c>
      <c r="B3987" s="96" t="s">
        <v>4074</v>
      </c>
      <c r="C3987" s="96" t="s">
        <v>217</v>
      </c>
      <c r="D3987" s="94" t="s">
        <v>4178</v>
      </c>
      <c r="E3987" s="105" t="s">
        <v>5240</v>
      </c>
      <c r="F3987" s="96" t="s">
        <v>5241</v>
      </c>
      <c r="G3987" s="96" t="s">
        <v>31</v>
      </c>
      <c r="H3987" s="19" t="s">
        <v>5321</v>
      </c>
      <c r="I3987" s="23" t="e">
        <f>VLOOKUP(H3987,'合同综合查询数据（3月返）'!$A:$A,1,FALSE)</f>
        <v>#N/A</v>
      </c>
      <c r="J3987" s="24" t="s">
        <v>33</v>
      </c>
      <c r="K3987" s="96" t="s">
        <v>219</v>
      </c>
      <c r="L3987" s="96" t="s">
        <v>5322</v>
      </c>
      <c r="M3987" s="26" t="s">
        <v>5323</v>
      </c>
      <c r="N3987" s="106">
        <v>44894</v>
      </c>
      <c r="O3987" s="311" t="s">
        <v>37</v>
      </c>
      <c r="P3987" s="268">
        <v>0</v>
      </c>
      <c r="Q3987" s="273">
        <v>-32</v>
      </c>
      <c r="R3987" s="268">
        <f t="shared" si="91"/>
        <v>0</v>
      </c>
      <c r="S3987" s="24">
        <v>202303</v>
      </c>
      <c r="T3987" s="127" t="s">
        <v>5327</v>
      </c>
      <c r="U3987" s="40"/>
      <c r="V3987" s="40"/>
      <c r="W3987" s="40"/>
      <c r="X3987" s="106">
        <v>44866</v>
      </c>
      <c r="Y3987" s="106">
        <v>45230</v>
      </c>
    </row>
    <row r="3988" s="9" customFormat="1" customHeight="1" spans="1:25">
      <c r="A3988" s="96" t="s">
        <v>109</v>
      </c>
      <c r="B3988" s="96" t="s">
        <v>4074</v>
      </c>
      <c r="C3988" s="96" t="s">
        <v>217</v>
      </c>
      <c r="D3988" s="94" t="s">
        <v>4178</v>
      </c>
      <c r="E3988" s="105" t="s">
        <v>5240</v>
      </c>
      <c r="F3988" s="96" t="s">
        <v>5241</v>
      </c>
      <c r="G3988" s="96" t="s">
        <v>88</v>
      </c>
      <c r="H3988" s="19" t="s">
        <v>5321</v>
      </c>
      <c r="I3988" s="23" t="e">
        <f>VLOOKUP(H3988,'合同综合查询数据（3月返）'!$A:$A,1,FALSE)</f>
        <v>#N/A</v>
      </c>
      <c r="J3988" s="24" t="s">
        <v>126</v>
      </c>
      <c r="K3988" s="96" t="s">
        <v>219</v>
      </c>
      <c r="L3988" s="96" t="s">
        <v>5322</v>
      </c>
      <c r="M3988" s="26" t="s">
        <v>5323</v>
      </c>
      <c r="N3988" s="106">
        <v>44502</v>
      </c>
      <c r="O3988" s="311" t="s">
        <v>92</v>
      </c>
      <c r="P3988" s="268">
        <v>4000</v>
      </c>
      <c r="Q3988" s="273">
        <v>4</v>
      </c>
      <c r="R3988" s="268">
        <f t="shared" si="91"/>
        <v>16000</v>
      </c>
      <c r="S3988" s="24">
        <v>202303</v>
      </c>
      <c r="T3988" s="127" t="s">
        <v>5328</v>
      </c>
      <c r="U3988" s="40"/>
      <c r="V3988" s="40"/>
      <c r="W3988" s="40"/>
      <c r="X3988" s="106">
        <v>44866</v>
      </c>
      <c r="Y3988" s="106">
        <v>45230</v>
      </c>
    </row>
    <row r="3989" s="9" customFormat="1" customHeight="1" spans="1:25">
      <c r="A3989" s="96" t="s">
        <v>109</v>
      </c>
      <c r="B3989" s="96" t="s">
        <v>4074</v>
      </c>
      <c r="C3989" s="96" t="s">
        <v>217</v>
      </c>
      <c r="D3989" s="94" t="s">
        <v>4178</v>
      </c>
      <c r="E3989" s="105" t="s">
        <v>5240</v>
      </c>
      <c r="F3989" s="96" t="s">
        <v>5241</v>
      </c>
      <c r="G3989" s="96" t="s">
        <v>88</v>
      </c>
      <c r="H3989" s="19" t="s">
        <v>5321</v>
      </c>
      <c r="I3989" s="23" t="e">
        <f>VLOOKUP(H3989,'合同综合查询数据（3月返）'!$A:$A,1,FALSE)</f>
        <v>#N/A</v>
      </c>
      <c r="J3989" s="24" t="s">
        <v>126</v>
      </c>
      <c r="K3989" s="96" t="s">
        <v>219</v>
      </c>
      <c r="L3989" s="96" t="s">
        <v>5322</v>
      </c>
      <c r="M3989" s="26" t="s">
        <v>5323</v>
      </c>
      <c r="N3989" s="106">
        <v>44791</v>
      </c>
      <c r="O3989" s="311" t="s">
        <v>92</v>
      </c>
      <c r="P3989" s="268">
        <v>4000</v>
      </c>
      <c r="Q3989" s="273">
        <v>3</v>
      </c>
      <c r="R3989" s="268">
        <f t="shared" si="91"/>
        <v>12000</v>
      </c>
      <c r="S3989" s="24">
        <v>202303</v>
      </c>
      <c r="T3989" s="127" t="s">
        <v>5329</v>
      </c>
      <c r="U3989" s="40"/>
      <c r="V3989" s="40"/>
      <c r="W3989" s="40"/>
      <c r="X3989" s="106">
        <v>44866</v>
      </c>
      <c r="Y3989" s="106">
        <v>45230</v>
      </c>
    </row>
    <row r="3990" s="10" customFormat="1" customHeight="1" spans="1:25">
      <c r="A3990" s="60" t="s">
        <v>109</v>
      </c>
      <c r="B3990" s="60" t="s">
        <v>4074</v>
      </c>
      <c r="C3990" s="60" t="s">
        <v>2998</v>
      </c>
      <c r="D3990" s="62" t="s">
        <v>4178</v>
      </c>
      <c r="E3990" s="63" t="s">
        <v>5240</v>
      </c>
      <c r="F3990" s="60" t="s">
        <v>5241</v>
      </c>
      <c r="G3990" s="60" t="s">
        <v>31</v>
      </c>
      <c r="H3990" s="45" t="s">
        <v>5330</v>
      </c>
      <c r="I3990" s="47" t="e">
        <f>VLOOKUP(H3990,'合同综合查询数据（3月返）'!$A:$A,1,FALSE)</f>
        <v>#N/A</v>
      </c>
      <c r="J3990" s="48" t="s">
        <v>33</v>
      </c>
      <c r="K3990" s="60" t="s">
        <v>3335</v>
      </c>
      <c r="L3990" s="60" t="s">
        <v>5331</v>
      </c>
      <c r="M3990" s="50" t="s">
        <v>5332</v>
      </c>
      <c r="N3990" s="111">
        <v>44621</v>
      </c>
      <c r="O3990" s="309" t="s">
        <v>37</v>
      </c>
      <c r="P3990" s="270">
        <v>0</v>
      </c>
      <c r="Q3990" s="266">
        <v>320</v>
      </c>
      <c r="R3990" s="266">
        <f t="shared" si="91"/>
        <v>0</v>
      </c>
      <c r="S3990" s="48">
        <v>202303</v>
      </c>
      <c r="T3990" s="125" t="s">
        <v>5333</v>
      </c>
      <c r="U3990" s="58"/>
      <c r="V3990" s="58"/>
      <c r="W3990" s="58"/>
      <c r="X3990" s="309"/>
      <c r="Y3990" s="309"/>
    </row>
    <row r="3991" s="10" customFormat="1" customHeight="1" spans="1:25">
      <c r="A3991" s="60" t="s">
        <v>109</v>
      </c>
      <c r="B3991" s="60" t="s">
        <v>4074</v>
      </c>
      <c r="C3991" s="60" t="s">
        <v>2998</v>
      </c>
      <c r="D3991" s="62" t="s">
        <v>4178</v>
      </c>
      <c r="E3991" s="63" t="s">
        <v>5240</v>
      </c>
      <c r="F3991" s="60" t="s">
        <v>5241</v>
      </c>
      <c r="G3991" s="60" t="s">
        <v>88</v>
      </c>
      <c r="H3991" s="45" t="s">
        <v>5330</v>
      </c>
      <c r="I3991" s="47" t="e">
        <f>VLOOKUP(H3991,'合同综合查询数据（3月返）'!$A:$A,1,FALSE)</f>
        <v>#N/A</v>
      </c>
      <c r="J3991" s="48" t="s">
        <v>126</v>
      </c>
      <c r="K3991" s="60" t="s">
        <v>3335</v>
      </c>
      <c r="L3991" s="60" t="s">
        <v>5331</v>
      </c>
      <c r="M3991" s="50" t="s">
        <v>5332</v>
      </c>
      <c r="N3991" s="111">
        <v>44621</v>
      </c>
      <c r="O3991" s="309" t="s">
        <v>92</v>
      </c>
      <c r="P3991" s="266">
        <v>4666.67</v>
      </c>
      <c r="Q3991" s="270">
        <v>4</v>
      </c>
      <c r="R3991" s="266">
        <f t="shared" si="91"/>
        <v>18666.68</v>
      </c>
      <c r="S3991" s="48">
        <v>202303</v>
      </c>
      <c r="T3991" s="125" t="s">
        <v>5334</v>
      </c>
      <c r="U3991" s="58"/>
      <c r="V3991" s="58"/>
      <c r="W3991" s="58"/>
      <c r="X3991" s="309"/>
      <c r="Y3991" s="309"/>
    </row>
    <row r="3992" s="10" customFormat="1" customHeight="1" spans="1:25">
      <c r="A3992" s="60" t="s">
        <v>109</v>
      </c>
      <c r="B3992" s="60" t="s">
        <v>4074</v>
      </c>
      <c r="C3992" s="60" t="s">
        <v>2998</v>
      </c>
      <c r="D3992" s="62" t="s">
        <v>4178</v>
      </c>
      <c r="E3992" s="63" t="s">
        <v>5240</v>
      </c>
      <c r="F3992" s="60" t="s">
        <v>5241</v>
      </c>
      <c r="G3992" s="60" t="s">
        <v>88</v>
      </c>
      <c r="H3992" s="45" t="s">
        <v>5330</v>
      </c>
      <c r="I3992" s="47" t="e">
        <f>VLOOKUP(H3992,'合同综合查询数据（3月返）'!$A:$A,1,FALSE)</f>
        <v>#N/A</v>
      </c>
      <c r="J3992" s="48" t="s">
        <v>126</v>
      </c>
      <c r="K3992" s="60" t="s">
        <v>3335</v>
      </c>
      <c r="L3992" s="60" t="s">
        <v>5331</v>
      </c>
      <c r="M3992" s="50" t="s">
        <v>5332</v>
      </c>
      <c r="N3992" s="111">
        <v>44831</v>
      </c>
      <c r="O3992" s="309" t="s">
        <v>92</v>
      </c>
      <c r="P3992" s="266">
        <v>4666.67</v>
      </c>
      <c r="Q3992" s="270">
        <v>-4</v>
      </c>
      <c r="R3992" s="266">
        <f t="shared" si="91"/>
        <v>-18666.68</v>
      </c>
      <c r="S3992" s="48">
        <v>202303</v>
      </c>
      <c r="T3992" s="125" t="s">
        <v>5335</v>
      </c>
      <c r="U3992" s="58"/>
      <c r="V3992" s="58"/>
      <c r="W3992" s="58"/>
      <c r="X3992" s="309"/>
      <c r="Y3992" s="309"/>
    </row>
    <row r="3993" s="10" customFormat="1" customHeight="1" spans="1:25">
      <c r="A3993" s="60" t="s">
        <v>109</v>
      </c>
      <c r="B3993" s="60" t="s">
        <v>4074</v>
      </c>
      <c r="C3993" s="60" t="s">
        <v>2998</v>
      </c>
      <c r="D3993" s="62" t="s">
        <v>4178</v>
      </c>
      <c r="E3993" s="63" t="s">
        <v>5240</v>
      </c>
      <c r="F3993" s="60" t="s">
        <v>5241</v>
      </c>
      <c r="G3993" s="60" t="s">
        <v>88</v>
      </c>
      <c r="H3993" s="45" t="s">
        <v>5330</v>
      </c>
      <c r="I3993" s="47" t="e">
        <f>VLOOKUP(H3993,'合同综合查询数据（3月返）'!$A:$A,1,FALSE)</f>
        <v>#N/A</v>
      </c>
      <c r="J3993" s="48" t="s">
        <v>126</v>
      </c>
      <c r="K3993" s="60" t="s">
        <v>3335</v>
      </c>
      <c r="L3993" s="60" t="s">
        <v>5331</v>
      </c>
      <c r="M3993" s="50" t="s">
        <v>5332</v>
      </c>
      <c r="N3993" s="111">
        <v>44832</v>
      </c>
      <c r="O3993" s="309" t="s">
        <v>92</v>
      </c>
      <c r="P3993" s="266">
        <v>4666.67</v>
      </c>
      <c r="Q3993" s="270">
        <v>4</v>
      </c>
      <c r="R3993" s="266">
        <f t="shared" si="91"/>
        <v>18666.68</v>
      </c>
      <c r="S3993" s="48">
        <v>202303</v>
      </c>
      <c r="T3993" s="125" t="s">
        <v>5336</v>
      </c>
      <c r="U3993" s="58"/>
      <c r="V3993" s="58"/>
      <c r="W3993" s="58"/>
      <c r="X3993" s="309"/>
      <c r="Y3993" s="309"/>
    </row>
    <row r="3994" s="9" customFormat="1" customHeight="1" spans="1:25">
      <c r="A3994" s="96" t="s">
        <v>109</v>
      </c>
      <c r="B3994" s="95" t="s">
        <v>4074</v>
      </c>
      <c r="C3994" s="94" t="s">
        <v>4500</v>
      </c>
      <c r="D3994" s="94" t="s">
        <v>4178</v>
      </c>
      <c r="E3994" s="105" t="s">
        <v>5337</v>
      </c>
      <c r="F3994" s="96" t="s">
        <v>5338</v>
      </c>
      <c r="G3994" s="96" t="s">
        <v>31</v>
      </c>
      <c r="H3994" s="19" t="s">
        <v>5339</v>
      </c>
      <c r="I3994" s="23" t="e">
        <f>VLOOKUP(H3994,'合同综合查询数据（3月返）'!$A:$A,1,FALSE)</f>
        <v>#N/A</v>
      </c>
      <c r="J3994" s="24" t="s">
        <v>33</v>
      </c>
      <c r="K3994" s="96" t="s">
        <v>5340</v>
      </c>
      <c r="L3994" s="114" t="s">
        <v>5341</v>
      </c>
      <c r="M3994" s="26" t="s">
        <v>5342</v>
      </c>
      <c r="N3994" s="106">
        <v>44317</v>
      </c>
      <c r="O3994" s="94" t="s">
        <v>37</v>
      </c>
      <c r="P3994" s="268">
        <v>0</v>
      </c>
      <c r="Q3994" s="273">
        <v>640</v>
      </c>
      <c r="R3994" s="268">
        <f t="shared" si="91"/>
        <v>0</v>
      </c>
      <c r="S3994" s="24">
        <v>202303</v>
      </c>
      <c r="T3994" s="127" t="s">
        <v>5343</v>
      </c>
      <c r="U3994" s="97"/>
      <c r="V3994" s="128"/>
      <c r="W3994" s="128"/>
      <c r="X3994" s="106">
        <v>44805</v>
      </c>
      <c r="Y3994" s="227">
        <v>45169</v>
      </c>
    </row>
    <row r="3995" s="9" customFormat="1" customHeight="1" spans="1:25">
      <c r="A3995" s="96" t="s">
        <v>109</v>
      </c>
      <c r="B3995" s="95" t="s">
        <v>4074</v>
      </c>
      <c r="C3995" s="94" t="s">
        <v>4500</v>
      </c>
      <c r="D3995" s="94" t="s">
        <v>4178</v>
      </c>
      <c r="E3995" s="105" t="s">
        <v>5337</v>
      </c>
      <c r="F3995" s="96" t="s">
        <v>5338</v>
      </c>
      <c r="G3995" s="96" t="s">
        <v>31</v>
      </c>
      <c r="H3995" s="19" t="s">
        <v>5339</v>
      </c>
      <c r="I3995" s="23" t="e">
        <f>VLOOKUP(H3995,'合同综合查询数据（3月返）'!$A:$A,1,FALSE)</f>
        <v>#N/A</v>
      </c>
      <c r="J3995" s="24" t="s">
        <v>33</v>
      </c>
      <c r="K3995" s="96" t="s">
        <v>5340</v>
      </c>
      <c r="L3995" s="114" t="s">
        <v>5341</v>
      </c>
      <c r="M3995" s="26" t="s">
        <v>5342</v>
      </c>
      <c r="N3995" s="106"/>
      <c r="O3995" s="94" t="s">
        <v>152</v>
      </c>
      <c r="P3995" s="268">
        <v>0</v>
      </c>
      <c r="Q3995" s="273">
        <v>0</v>
      </c>
      <c r="R3995" s="268">
        <f t="shared" si="91"/>
        <v>0</v>
      </c>
      <c r="S3995" s="24">
        <v>202303</v>
      </c>
      <c r="T3995" s="127" t="s">
        <v>5344</v>
      </c>
      <c r="U3995" s="97"/>
      <c r="V3995" s="128"/>
      <c r="W3995" s="128"/>
      <c r="X3995" s="106">
        <v>44805</v>
      </c>
      <c r="Y3995" s="227">
        <v>45169</v>
      </c>
    </row>
    <row r="3996" s="9" customFormat="1" customHeight="1" spans="1:25">
      <c r="A3996" s="96" t="s">
        <v>109</v>
      </c>
      <c r="B3996" s="95" t="s">
        <v>4074</v>
      </c>
      <c r="C3996" s="94" t="s">
        <v>4500</v>
      </c>
      <c r="D3996" s="94" t="s">
        <v>4178</v>
      </c>
      <c r="E3996" s="105" t="s">
        <v>5337</v>
      </c>
      <c r="F3996" s="96" t="s">
        <v>5338</v>
      </c>
      <c r="G3996" s="96" t="s">
        <v>88</v>
      </c>
      <c r="H3996" s="19" t="s">
        <v>5339</v>
      </c>
      <c r="I3996" s="23" t="e">
        <f>VLOOKUP(H3996,'合同综合查询数据（3月返）'!$A:$A,1,FALSE)</f>
        <v>#N/A</v>
      </c>
      <c r="J3996" s="24" t="s">
        <v>126</v>
      </c>
      <c r="K3996" s="96" t="s">
        <v>5340</v>
      </c>
      <c r="L3996" s="114" t="s">
        <v>5341</v>
      </c>
      <c r="M3996" s="26" t="s">
        <v>5342</v>
      </c>
      <c r="N3996" s="106">
        <v>44317</v>
      </c>
      <c r="O3996" s="94" t="s">
        <v>127</v>
      </c>
      <c r="P3996" s="268">
        <v>5000</v>
      </c>
      <c r="Q3996" s="273">
        <v>4</v>
      </c>
      <c r="R3996" s="268">
        <f t="shared" si="91"/>
        <v>20000</v>
      </c>
      <c r="S3996" s="24">
        <v>202303</v>
      </c>
      <c r="T3996" s="127" t="s">
        <v>5345</v>
      </c>
      <c r="U3996" s="97"/>
      <c r="V3996" s="128"/>
      <c r="W3996" s="128"/>
      <c r="X3996" s="106">
        <v>44805</v>
      </c>
      <c r="Y3996" s="227">
        <v>45169</v>
      </c>
    </row>
    <row r="3997" s="9" customFormat="1" customHeight="1" spans="1:25">
      <c r="A3997" s="96" t="s">
        <v>109</v>
      </c>
      <c r="B3997" s="95" t="s">
        <v>4074</v>
      </c>
      <c r="C3997" s="94" t="s">
        <v>4500</v>
      </c>
      <c r="D3997" s="94" t="s">
        <v>4178</v>
      </c>
      <c r="E3997" s="105" t="s">
        <v>5337</v>
      </c>
      <c r="F3997" s="96" t="s">
        <v>5338</v>
      </c>
      <c r="G3997" s="96" t="s">
        <v>88</v>
      </c>
      <c r="H3997" s="19" t="s">
        <v>5339</v>
      </c>
      <c r="I3997" s="23" t="e">
        <f>VLOOKUP(H3997,'合同综合查询数据（3月返）'!$A:$A,1,FALSE)</f>
        <v>#N/A</v>
      </c>
      <c r="J3997" s="24" t="s">
        <v>126</v>
      </c>
      <c r="K3997" s="96" t="s">
        <v>5340</v>
      </c>
      <c r="L3997" s="114" t="s">
        <v>5341</v>
      </c>
      <c r="M3997" s="26" t="s">
        <v>5342</v>
      </c>
      <c r="N3997" s="106">
        <v>44591</v>
      </c>
      <c r="O3997" s="94" t="s">
        <v>127</v>
      </c>
      <c r="P3997" s="268">
        <v>5000</v>
      </c>
      <c r="Q3997" s="273">
        <v>3</v>
      </c>
      <c r="R3997" s="268">
        <f t="shared" si="91"/>
        <v>15000</v>
      </c>
      <c r="S3997" s="24">
        <v>202303</v>
      </c>
      <c r="T3997" s="127" t="s">
        <v>5346</v>
      </c>
      <c r="U3997" s="97"/>
      <c r="V3997" s="128"/>
      <c r="W3997" s="128"/>
      <c r="X3997" s="106">
        <v>44805</v>
      </c>
      <c r="Y3997" s="227">
        <v>45169</v>
      </c>
    </row>
    <row r="3998" s="9" customFormat="1" customHeight="1" spans="1:25">
      <c r="A3998" s="96" t="s">
        <v>109</v>
      </c>
      <c r="B3998" s="95" t="s">
        <v>4074</v>
      </c>
      <c r="C3998" s="94" t="s">
        <v>4500</v>
      </c>
      <c r="D3998" s="94" t="s">
        <v>4178</v>
      </c>
      <c r="E3998" s="105" t="s">
        <v>5337</v>
      </c>
      <c r="F3998" s="96" t="s">
        <v>5338</v>
      </c>
      <c r="G3998" s="96" t="s">
        <v>88</v>
      </c>
      <c r="H3998" s="19" t="s">
        <v>5339</v>
      </c>
      <c r="I3998" s="23" t="e">
        <f>VLOOKUP(H3998,'合同综合查询数据（3月返）'!$A:$A,1,FALSE)</f>
        <v>#N/A</v>
      </c>
      <c r="J3998" s="24" t="s">
        <v>126</v>
      </c>
      <c r="K3998" s="96" t="s">
        <v>5340</v>
      </c>
      <c r="L3998" s="114" t="s">
        <v>5341</v>
      </c>
      <c r="M3998" s="26" t="s">
        <v>5342</v>
      </c>
      <c r="N3998" s="106">
        <v>44809</v>
      </c>
      <c r="O3998" s="94" t="s">
        <v>127</v>
      </c>
      <c r="P3998" s="268">
        <v>5000</v>
      </c>
      <c r="Q3998" s="273">
        <v>2</v>
      </c>
      <c r="R3998" s="268">
        <f t="shared" si="91"/>
        <v>10000</v>
      </c>
      <c r="S3998" s="24">
        <v>202303</v>
      </c>
      <c r="T3998" s="127" t="s">
        <v>5347</v>
      </c>
      <c r="U3998" s="97"/>
      <c r="V3998" s="128"/>
      <c r="W3998" s="128"/>
      <c r="X3998" s="106">
        <v>44805</v>
      </c>
      <c r="Y3998" s="227">
        <v>45169</v>
      </c>
    </row>
    <row r="3999" s="10" customFormat="1" customHeight="1" spans="1:25">
      <c r="A3999" s="60" t="s">
        <v>109</v>
      </c>
      <c r="B3999" s="101" t="s">
        <v>4074</v>
      </c>
      <c r="C3999" s="62" t="s">
        <v>4500</v>
      </c>
      <c r="D3999" s="62" t="s">
        <v>4178</v>
      </c>
      <c r="E3999" s="63" t="s">
        <v>5337</v>
      </c>
      <c r="F3999" s="60" t="s">
        <v>5338</v>
      </c>
      <c r="G3999" s="60" t="s">
        <v>88</v>
      </c>
      <c r="H3999" s="45" t="s">
        <v>5348</v>
      </c>
      <c r="I3999" s="47" t="e">
        <f>VLOOKUP(H3999,'合同综合查询数据（3月返）'!$A:$A,1,FALSE)</f>
        <v>#N/A</v>
      </c>
      <c r="J3999" s="48" t="s">
        <v>126</v>
      </c>
      <c r="K3999" s="60" t="s">
        <v>5340</v>
      </c>
      <c r="L3999" s="113" t="s">
        <v>5341</v>
      </c>
      <c r="M3999" s="50" t="s">
        <v>5342</v>
      </c>
      <c r="N3999" s="111">
        <v>45006</v>
      </c>
      <c r="O3999" s="62" t="s">
        <v>127</v>
      </c>
      <c r="P3999" s="266">
        <v>4000</v>
      </c>
      <c r="Q3999" s="320">
        <v>2</v>
      </c>
      <c r="R3999" s="266">
        <f>ROUND(P3999*Q3999*11/31,2)</f>
        <v>2838.71</v>
      </c>
      <c r="S3999" s="48">
        <v>202303</v>
      </c>
      <c r="T3999" s="125" t="s">
        <v>5349</v>
      </c>
      <c r="U3999" s="102"/>
      <c r="V3999" s="325"/>
      <c r="W3999" s="126"/>
      <c r="X3999" s="111"/>
      <c r="Y3999" s="337"/>
    </row>
    <row r="4000" s="9" customFormat="1" customHeight="1" spans="1:25">
      <c r="A4000" s="96" t="s">
        <v>109</v>
      </c>
      <c r="B4000" s="95" t="s">
        <v>4074</v>
      </c>
      <c r="C4000" s="94" t="s">
        <v>1854</v>
      </c>
      <c r="D4000" s="94" t="s">
        <v>4178</v>
      </c>
      <c r="E4000" s="105" t="s">
        <v>5337</v>
      </c>
      <c r="F4000" s="96" t="s">
        <v>5338</v>
      </c>
      <c r="G4000" s="96" t="s">
        <v>31</v>
      </c>
      <c r="H4000" s="19" t="s">
        <v>5350</v>
      </c>
      <c r="I4000" s="23" t="e">
        <f>VLOOKUP(H4000,'合同综合查询数据（3月返）'!$A:$A,1,FALSE)</f>
        <v>#N/A</v>
      </c>
      <c r="J4000" s="24" t="s">
        <v>33</v>
      </c>
      <c r="K4000" s="96" t="s">
        <v>5351</v>
      </c>
      <c r="L4000" s="114" t="s">
        <v>5352</v>
      </c>
      <c r="M4000" s="26" t="s">
        <v>5353</v>
      </c>
      <c r="N4000" s="106">
        <v>44501</v>
      </c>
      <c r="O4000" s="94" t="s">
        <v>37</v>
      </c>
      <c r="P4000" s="268">
        <v>0</v>
      </c>
      <c r="Q4000" s="273">
        <v>288</v>
      </c>
      <c r="R4000" s="268">
        <f>ROUND(P4000*Q4000,2)</f>
        <v>0</v>
      </c>
      <c r="S4000" s="24">
        <v>202303</v>
      </c>
      <c r="T4000" s="127" t="s">
        <v>5354</v>
      </c>
      <c r="U4000" s="97"/>
      <c r="V4000" s="128"/>
      <c r="W4000" s="128"/>
      <c r="X4000" s="106">
        <v>44866</v>
      </c>
      <c r="Y4000" s="28">
        <v>45230</v>
      </c>
    </row>
    <row r="4001" s="9" customFormat="1" customHeight="1" spans="1:25">
      <c r="A4001" s="96" t="s">
        <v>109</v>
      </c>
      <c r="B4001" s="95" t="s">
        <v>4074</v>
      </c>
      <c r="C4001" s="94" t="s">
        <v>1854</v>
      </c>
      <c r="D4001" s="94" t="s">
        <v>4178</v>
      </c>
      <c r="E4001" s="105" t="s">
        <v>5337</v>
      </c>
      <c r="F4001" s="96" t="s">
        <v>5338</v>
      </c>
      <c r="G4001" s="96" t="s">
        <v>31</v>
      </c>
      <c r="H4001" s="19" t="s">
        <v>5350</v>
      </c>
      <c r="I4001" s="23" t="e">
        <f>VLOOKUP(H4001,'合同综合查询数据（3月返）'!$A:$A,1,FALSE)</f>
        <v>#N/A</v>
      </c>
      <c r="J4001" s="24" t="s">
        <v>33</v>
      </c>
      <c r="K4001" s="96" t="s">
        <v>5351</v>
      </c>
      <c r="L4001" s="114" t="s">
        <v>5352</v>
      </c>
      <c r="M4001" s="26" t="s">
        <v>5353</v>
      </c>
      <c r="N4001" s="106"/>
      <c r="O4001" s="94" t="s">
        <v>152</v>
      </c>
      <c r="P4001" s="268">
        <v>0</v>
      </c>
      <c r="Q4001" s="273">
        <v>0</v>
      </c>
      <c r="R4001" s="268">
        <f>ROUND(P4001*Q4001,2)</f>
        <v>0</v>
      </c>
      <c r="S4001" s="24">
        <v>202303</v>
      </c>
      <c r="T4001" s="127" t="s">
        <v>5355</v>
      </c>
      <c r="U4001" s="97"/>
      <c r="V4001" s="128"/>
      <c r="W4001" s="128"/>
      <c r="X4001" s="106">
        <v>44866</v>
      </c>
      <c r="Y4001" s="28">
        <v>45230</v>
      </c>
    </row>
    <row r="4002" s="9" customFormat="1" customHeight="1" spans="1:25">
      <c r="A4002" s="96" t="s">
        <v>109</v>
      </c>
      <c r="B4002" s="95" t="s">
        <v>4074</v>
      </c>
      <c r="C4002" s="94" t="s">
        <v>1854</v>
      </c>
      <c r="D4002" s="94" t="s">
        <v>4178</v>
      </c>
      <c r="E4002" s="105" t="s">
        <v>5337</v>
      </c>
      <c r="F4002" s="96" t="s">
        <v>5338</v>
      </c>
      <c r="G4002" s="96" t="s">
        <v>88</v>
      </c>
      <c r="H4002" s="19" t="s">
        <v>5350</v>
      </c>
      <c r="I4002" s="23" t="e">
        <f>VLOOKUP(H4002,'合同综合查询数据（3月返）'!$A:$A,1,FALSE)</f>
        <v>#N/A</v>
      </c>
      <c r="J4002" s="24" t="s">
        <v>126</v>
      </c>
      <c r="K4002" s="96" t="s">
        <v>5351</v>
      </c>
      <c r="L4002" s="114" t="s">
        <v>5352</v>
      </c>
      <c r="M4002" s="26" t="s">
        <v>5353</v>
      </c>
      <c r="N4002" s="106">
        <v>44501</v>
      </c>
      <c r="O4002" s="94" t="s">
        <v>127</v>
      </c>
      <c r="P4002" s="268">
        <v>5000</v>
      </c>
      <c r="Q4002" s="273">
        <v>3</v>
      </c>
      <c r="R4002" s="268">
        <f>ROUND(P4002*Q4002,2)</f>
        <v>15000</v>
      </c>
      <c r="S4002" s="24">
        <v>202303</v>
      </c>
      <c r="T4002" s="127" t="s">
        <v>5356</v>
      </c>
      <c r="U4002" s="97"/>
      <c r="V4002" s="128"/>
      <c r="W4002" s="128"/>
      <c r="X4002" s="106">
        <v>44866</v>
      </c>
      <c r="Y4002" s="28">
        <v>45230</v>
      </c>
    </row>
    <row r="4003" s="10" customFormat="1" customHeight="1" spans="1:25">
      <c r="A4003" s="60" t="s">
        <v>109</v>
      </c>
      <c r="B4003" s="101" t="s">
        <v>4074</v>
      </c>
      <c r="C4003" s="62" t="s">
        <v>1854</v>
      </c>
      <c r="D4003" s="62" t="s">
        <v>4178</v>
      </c>
      <c r="E4003" s="63" t="s">
        <v>5337</v>
      </c>
      <c r="F4003" s="60" t="s">
        <v>5338</v>
      </c>
      <c r="G4003" s="60" t="s">
        <v>88</v>
      </c>
      <c r="H4003" s="45" t="s">
        <v>5348</v>
      </c>
      <c r="I4003" s="47" t="e">
        <f>VLOOKUP(H4003,'合同综合查询数据（3月返）'!$A:$A,1,FALSE)</f>
        <v>#N/A</v>
      </c>
      <c r="J4003" s="48" t="s">
        <v>126</v>
      </c>
      <c r="K4003" s="60" t="s">
        <v>5351</v>
      </c>
      <c r="L4003" s="113" t="s">
        <v>5352</v>
      </c>
      <c r="M4003" s="50" t="s">
        <v>5353</v>
      </c>
      <c r="N4003" s="111">
        <v>45007</v>
      </c>
      <c r="O4003" s="62" t="s">
        <v>469</v>
      </c>
      <c r="P4003" s="266">
        <v>5000</v>
      </c>
      <c r="Q4003" s="320">
        <v>3</v>
      </c>
      <c r="R4003" s="266">
        <f>ROUND(P4003*Q4003*10/31,2)</f>
        <v>4838.71</v>
      </c>
      <c r="S4003" s="48">
        <v>202303</v>
      </c>
      <c r="T4003" s="125" t="s">
        <v>5357</v>
      </c>
      <c r="U4003" s="102"/>
      <c r="V4003" s="325"/>
      <c r="W4003" s="126"/>
      <c r="X4003" s="111"/>
      <c r="Y4003" s="51"/>
    </row>
    <row r="4004" s="9" customFormat="1" customHeight="1" spans="1:25">
      <c r="A4004" s="96" t="s">
        <v>109</v>
      </c>
      <c r="B4004" s="95" t="s">
        <v>4074</v>
      </c>
      <c r="C4004" s="94" t="s">
        <v>2998</v>
      </c>
      <c r="D4004" s="94" t="s">
        <v>4178</v>
      </c>
      <c r="E4004" s="105" t="s">
        <v>5337</v>
      </c>
      <c r="F4004" s="96" t="s">
        <v>5338</v>
      </c>
      <c r="G4004" s="96" t="s">
        <v>31</v>
      </c>
      <c r="H4004" s="19" t="s">
        <v>5358</v>
      </c>
      <c r="I4004" s="23" t="e">
        <f>VLOOKUP(H4004,'合同综合查询数据（3月返）'!$A:$A,1,FALSE)</f>
        <v>#N/A</v>
      </c>
      <c r="J4004" s="24" t="s">
        <v>33</v>
      </c>
      <c r="K4004" s="96" t="s">
        <v>4216</v>
      </c>
      <c r="L4004" s="114" t="s">
        <v>5359</v>
      </c>
      <c r="M4004" s="26" t="s">
        <v>5360</v>
      </c>
      <c r="N4004" s="106">
        <v>44591</v>
      </c>
      <c r="O4004" s="94" t="s">
        <v>37</v>
      </c>
      <c r="P4004" s="268">
        <v>0</v>
      </c>
      <c r="Q4004" s="273">
        <v>640</v>
      </c>
      <c r="R4004" s="268">
        <f t="shared" ref="R4004:R4067" si="92">ROUND(P4004*Q4004,2)</f>
        <v>0</v>
      </c>
      <c r="S4004" s="24">
        <v>202303</v>
      </c>
      <c r="T4004" s="127" t="s">
        <v>5361</v>
      </c>
      <c r="U4004" s="97"/>
      <c r="V4004" s="128"/>
      <c r="W4004" s="128"/>
      <c r="X4004" s="106">
        <v>44741</v>
      </c>
      <c r="Y4004" s="311">
        <v>45169</v>
      </c>
    </row>
    <row r="4005" s="9" customFormat="1" customHeight="1" spans="1:25">
      <c r="A4005" s="96" t="s">
        <v>109</v>
      </c>
      <c r="B4005" s="95" t="s">
        <v>4074</v>
      </c>
      <c r="C4005" s="94" t="s">
        <v>2998</v>
      </c>
      <c r="D4005" s="94" t="s">
        <v>4178</v>
      </c>
      <c r="E4005" s="105" t="s">
        <v>5337</v>
      </c>
      <c r="F4005" s="96" t="s">
        <v>5338</v>
      </c>
      <c r="G4005" s="96" t="s">
        <v>31</v>
      </c>
      <c r="H4005" s="19" t="s">
        <v>5358</v>
      </c>
      <c r="I4005" s="23" t="e">
        <f>VLOOKUP(H4005,'合同综合查询数据（3月返）'!$A:$A,1,FALSE)</f>
        <v>#N/A</v>
      </c>
      <c r="J4005" s="24" t="s">
        <v>33</v>
      </c>
      <c r="K4005" s="96" t="s">
        <v>4216</v>
      </c>
      <c r="L4005" s="114" t="s">
        <v>5359</v>
      </c>
      <c r="M4005" s="26" t="s">
        <v>5360</v>
      </c>
      <c r="N4005" s="106">
        <v>44741</v>
      </c>
      <c r="O4005" s="94" t="s">
        <v>37</v>
      </c>
      <c r="P4005" s="268">
        <v>50</v>
      </c>
      <c r="Q4005" s="273">
        <v>128</v>
      </c>
      <c r="R4005" s="268">
        <f t="shared" si="92"/>
        <v>6400</v>
      </c>
      <c r="S4005" s="24">
        <v>202303</v>
      </c>
      <c r="T4005" s="127" t="s">
        <v>5362</v>
      </c>
      <c r="U4005" s="97"/>
      <c r="V4005" s="128"/>
      <c r="W4005" s="128"/>
      <c r="X4005" s="311">
        <v>44741</v>
      </c>
      <c r="Y4005" s="311">
        <v>45169</v>
      </c>
    </row>
    <row r="4006" s="9" customFormat="1" customHeight="1" spans="1:25">
      <c r="A4006" s="96" t="s">
        <v>109</v>
      </c>
      <c r="B4006" s="95" t="s">
        <v>4074</v>
      </c>
      <c r="C4006" s="94" t="s">
        <v>2998</v>
      </c>
      <c r="D4006" s="94" t="s">
        <v>4178</v>
      </c>
      <c r="E4006" s="105" t="s">
        <v>5337</v>
      </c>
      <c r="F4006" s="96" t="s">
        <v>5338</v>
      </c>
      <c r="G4006" s="96" t="s">
        <v>31</v>
      </c>
      <c r="H4006" s="19" t="s">
        <v>5358</v>
      </c>
      <c r="I4006" s="23" t="e">
        <f>VLOOKUP(H4006,'合同综合查询数据（3月返）'!$A:$A,1,FALSE)</f>
        <v>#N/A</v>
      </c>
      <c r="J4006" s="24" t="s">
        <v>33</v>
      </c>
      <c r="K4006" s="96" t="s">
        <v>4216</v>
      </c>
      <c r="L4006" s="114" t="s">
        <v>5359</v>
      </c>
      <c r="M4006" s="26" t="s">
        <v>5360</v>
      </c>
      <c r="N4006" s="106">
        <v>44743</v>
      </c>
      <c r="O4006" s="94" t="s">
        <v>37</v>
      </c>
      <c r="P4006" s="268">
        <v>50</v>
      </c>
      <c r="Q4006" s="273">
        <v>-128</v>
      </c>
      <c r="R4006" s="268">
        <f t="shared" si="92"/>
        <v>-6400</v>
      </c>
      <c r="S4006" s="24">
        <v>202303</v>
      </c>
      <c r="T4006" s="127" t="s">
        <v>5363</v>
      </c>
      <c r="U4006" s="97"/>
      <c r="V4006" s="128"/>
      <c r="W4006" s="128"/>
      <c r="X4006" s="311">
        <v>44741</v>
      </c>
      <c r="Y4006" s="311">
        <v>45169</v>
      </c>
    </row>
    <row r="4007" s="9" customFormat="1" customHeight="1" spans="1:25">
      <c r="A4007" s="96" t="s">
        <v>109</v>
      </c>
      <c r="B4007" s="95" t="s">
        <v>4074</v>
      </c>
      <c r="C4007" s="94" t="s">
        <v>2998</v>
      </c>
      <c r="D4007" s="94" t="s">
        <v>4178</v>
      </c>
      <c r="E4007" s="105" t="s">
        <v>5337</v>
      </c>
      <c r="F4007" s="96" t="s">
        <v>5338</v>
      </c>
      <c r="G4007" s="96" t="s">
        <v>31</v>
      </c>
      <c r="H4007" s="19" t="s">
        <v>5358</v>
      </c>
      <c r="I4007" s="23" t="e">
        <f>VLOOKUP(H4007,'合同综合查询数据（3月返）'!$A:$A,1,FALSE)</f>
        <v>#N/A</v>
      </c>
      <c r="J4007" s="24" t="s">
        <v>33</v>
      </c>
      <c r="K4007" s="96" t="s">
        <v>4216</v>
      </c>
      <c r="L4007" s="114" t="s">
        <v>5359</v>
      </c>
      <c r="M4007" s="26" t="s">
        <v>5360</v>
      </c>
      <c r="N4007" s="106">
        <v>44743</v>
      </c>
      <c r="O4007" s="94" t="s">
        <v>37</v>
      </c>
      <c r="P4007" s="268">
        <v>0</v>
      </c>
      <c r="Q4007" s="273">
        <v>128</v>
      </c>
      <c r="R4007" s="268">
        <f t="shared" si="92"/>
        <v>0</v>
      </c>
      <c r="S4007" s="24">
        <v>202303</v>
      </c>
      <c r="T4007" s="127" t="s">
        <v>5364</v>
      </c>
      <c r="U4007" s="97"/>
      <c r="V4007" s="128"/>
      <c r="W4007" s="128"/>
      <c r="X4007" s="311">
        <v>44741</v>
      </c>
      <c r="Y4007" s="311">
        <v>45169</v>
      </c>
    </row>
    <row r="4008" s="9" customFormat="1" customHeight="1" spans="1:25">
      <c r="A4008" s="96" t="s">
        <v>109</v>
      </c>
      <c r="B4008" s="95" t="s">
        <v>4074</v>
      </c>
      <c r="C4008" s="94" t="s">
        <v>2998</v>
      </c>
      <c r="D4008" s="94" t="s">
        <v>4178</v>
      </c>
      <c r="E4008" s="105" t="s">
        <v>5337</v>
      </c>
      <c r="F4008" s="96" t="s">
        <v>5338</v>
      </c>
      <c r="G4008" s="96" t="s">
        <v>31</v>
      </c>
      <c r="H4008" s="19" t="s">
        <v>5365</v>
      </c>
      <c r="I4008" s="23" t="str">
        <f>VLOOKUP(H4008,'合同综合查询数据（3月返）'!$A:$A,1,FALSE)</f>
        <v>182315IDC00067</v>
      </c>
      <c r="J4008" s="24" t="s">
        <v>33</v>
      </c>
      <c r="K4008" s="96" t="s">
        <v>4216</v>
      </c>
      <c r="L4008" s="114" t="s">
        <v>5359</v>
      </c>
      <c r="M4008" s="26" t="s">
        <v>5360</v>
      </c>
      <c r="N4008" s="106">
        <v>44920</v>
      </c>
      <c r="O4008" s="94" t="s">
        <v>37</v>
      </c>
      <c r="P4008" s="268">
        <v>0</v>
      </c>
      <c r="Q4008" s="273">
        <v>128</v>
      </c>
      <c r="R4008" s="268">
        <f t="shared" si="92"/>
        <v>0</v>
      </c>
      <c r="S4008" s="24">
        <v>202303</v>
      </c>
      <c r="T4008" s="127" t="s">
        <v>5366</v>
      </c>
      <c r="U4008" s="97"/>
      <c r="V4008" s="128"/>
      <c r="W4008" s="128"/>
      <c r="X4008" s="311">
        <v>44920</v>
      </c>
      <c r="Y4008" s="311">
        <v>45169</v>
      </c>
    </row>
    <row r="4009" s="9" customFormat="1" customHeight="1" spans="1:25">
      <c r="A4009" s="96" t="s">
        <v>109</v>
      </c>
      <c r="B4009" s="95" t="s">
        <v>4074</v>
      </c>
      <c r="C4009" s="94" t="s">
        <v>2998</v>
      </c>
      <c r="D4009" s="94" t="s">
        <v>4178</v>
      </c>
      <c r="E4009" s="105" t="s">
        <v>5337</v>
      </c>
      <c r="F4009" s="96" t="s">
        <v>5338</v>
      </c>
      <c r="G4009" s="96" t="s">
        <v>31</v>
      </c>
      <c r="H4009" s="19" t="s">
        <v>5358</v>
      </c>
      <c r="I4009" s="23" t="e">
        <f>VLOOKUP(H4009,'合同综合查询数据（3月返）'!$A:$A,1,FALSE)</f>
        <v>#N/A</v>
      </c>
      <c r="J4009" s="24" t="s">
        <v>33</v>
      </c>
      <c r="K4009" s="96" t="s">
        <v>4216</v>
      </c>
      <c r="L4009" s="114" t="s">
        <v>5359</v>
      </c>
      <c r="M4009" s="26" t="s">
        <v>5360</v>
      </c>
      <c r="N4009" s="106"/>
      <c r="O4009" s="94" t="s">
        <v>152</v>
      </c>
      <c r="P4009" s="268">
        <v>0</v>
      </c>
      <c r="Q4009" s="268">
        <v>0</v>
      </c>
      <c r="R4009" s="268">
        <f t="shared" si="92"/>
        <v>0</v>
      </c>
      <c r="S4009" s="24">
        <v>202303</v>
      </c>
      <c r="T4009" s="127" t="s">
        <v>5367</v>
      </c>
      <c r="U4009" s="97"/>
      <c r="V4009" s="128"/>
      <c r="W4009" s="128"/>
      <c r="X4009" s="106">
        <v>44741</v>
      </c>
      <c r="Y4009" s="311">
        <v>45169</v>
      </c>
    </row>
    <row r="4010" s="9" customFormat="1" customHeight="1" spans="1:25">
      <c r="A4010" s="96" t="s">
        <v>109</v>
      </c>
      <c r="B4010" s="95" t="s">
        <v>4074</v>
      </c>
      <c r="C4010" s="94" t="s">
        <v>2998</v>
      </c>
      <c r="D4010" s="94" t="s">
        <v>4178</v>
      </c>
      <c r="E4010" s="105" t="s">
        <v>5337</v>
      </c>
      <c r="F4010" s="96" t="s">
        <v>5338</v>
      </c>
      <c r="G4010" s="96" t="s">
        <v>31</v>
      </c>
      <c r="H4010" s="19" t="s">
        <v>5365</v>
      </c>
      <c r="I4010" s="23" t="str">
        <f>VLOOKUP(H4010,'合同综合查询数据（3月返）'!$A:$A,1,FALSE)</f>
        <v>182315IDC00067</v>
      </c>
      <c r="J4010" s="24" t="s">
        <v>33</v>
      </c>
      <c r="K4010" s="96" t="s">
        <v>4216</v>
      </c>
      <c r="L4010" s="114" t="s">
        <v>5359</v>
      </c>
      <c r="M4010" s="26" t="s">
        <v>5360</v>
      </c>
      <c r="N4010" s="106">
        <v>44920</v>
      </c>
      <c r="O4010" s="94" t="s">
        <v>152</v>
      </c>
      <c r="P4010" s="268">
        <v>0</v>
      </c>
      <c r="Q4010" s="268">
        <v>1</v>
      </c>
      <c r="R4010" s="268">
        <f t="shared" si="92"/>
        <v>0</v>
      </c>
      <c r="S4010" s="24">
        <v>202303</v>
      </c>
      <c r="T4010" s="127" t="s">
        <v>5368</v>
      </c>
      <c r="U4010" s="97"/>
      <c r="V4010" s="128"/>
      <c r="W4010" s="128"/>
      <c r="X4010" s="311">
        <v>44920</v>
      </c>
      <c r="Y4010" s="311">
        <v>45169</v>
      </c>
    </row>
    <row r="4011" s="9" customFormat="1" customHeight="1" spans="1:25">
      <c r="A4011" s="96" t="s">
        <v>109</v>
      </c>
      <c r="B4011" s="95" t="s">
        <v>4074</v>
      </c>
      <c r="C4011" s="94" t="s">
        <v>2998</v>
      </c>
      <c r="D4011" s="94" t="s">
        <v>4178</v>
      </c>
      <c r="E4011" s="105" t="s">
        <v>5337</v>
      </c>
      <c r="F4011" s="96" t="s">
        <v>5338</v>
      </c>
      <c r="G4011" s="96" t="s">
        <v>88</v>
      </c>
      <c r="H4011" s="19" t="s">
        <v>5358</v>
      </c>
      <c r="I4011" s="23" t="e">
        <f>VLOOKUP(H4011,'合同综合查询数据（3月返）'!$A:$A,1,FALSE)</f>
        <v>#N/A</v>
      </c>
      <c r="J4011" s="24" t="s">
        <v>126</v>
      </c>
      <c r="K4011" s="96" t="s">
        <v>4216</v>
      </c>
      <c r="L4011" s="114" t="s">
        <v>5359</v>
      </c>
      <c r="M4011" s="26" t="s">
        <v>5360</v>
      </c>
      <c r="N4011" s="106">
        <v>44591</v>
      </c>
      <c r="O4011" s="94" t="s">
        <v>127</v>
      </c>
      <c r="P4011" s="268">
        <v>4800</v>
      </c>
      <c r="Q4011" s="273">
        <v>6</v>
      </c>
      <c r="R4011" s="268">
        <f t="shared" si="92"/>
        <v>28800</v>
      </c>
      <c r="S4011" s="24">
        <v>202303</v>
      </c>
      <c r="T4011" s="127" t="s">
        <v>5369</v>
      </c>
      <c r="U4011" s="97"/>
      <c r="V4011" s="128"/>
      <c r="W4011" s="128"/>
      <c r="X4011" s="311">
        <v>44741</v>
      </c>
      <c r="Y4011" s="311">
        <v>45169</v>
      </c>
    </row>
    <row r="4012" s="9" customFormat="1" customHeight="1" spans="1:25">
      <c r="A4012" s="96" t="s">
        <v>109</v>
      </c>
      <c r="B4012" s="95" t="s">
        <v>4074</v>
      </c>
      <c r="C4012" s="94" t="s">
        <v>2998</v>
      </c>
      <c r="D4012" s="94" t="s">
        <v>4178</v>
      </c>
      <c r="E4012" s="105" t="s">
        <v>5337</v>
      </c>
      <c r="F4012" s="96" t="s">
        <v>5338</v>
      </c>
      <c r="G4012" s="96" t="s">
        <v>88</v>
      </c>
      <c r="H4012" s="19" t="s">
        <v>5358</v>
      </c>
      <c r="I4012" s="23" t="e">
        <f>VLOOKUP(H4012,'合同综合查询数据（3月返）'!$A:$A,1,FALSE)</f>
        <v>#N/A</v>
      </c>
      <c r="J4012" s="24" t="s">
        <v>126</v>
      </c>
      <c r="K4012" s="96" t="s">
        <v>4216</v>
      </c>
      <c r="L4012" s="114" t="s">
        <v>5359</v>
      </c>
      <c r="M4012" s="26" t="s">
        <v>5360</v>
      </c>
      <c r="N4012" s="106">
        <v>44741</v>
      </c>
      <c r="O4012" s="94" t="s">
        <v>127</v>
      </c>
      <c r="P4012" s="268">
        <v>4800</v>
      </c>
      <c r="Q4012" s="273">
        <v>2</v>
      </c>
      <c r="R4012" s="268">
        <f t="shared" si="92"/>
        <v>9600</v>
      </c>
      <c r="S4012" s="24">
        <v>202303</v>
      </c>
      <c r="T4012" s="127" t="s">
        <v>5370</v>
      </c>
      <c r="U4012" s="97"/>
      <c r="V4012" s="128"/>
      <c r="W4012" s="128"/>
      <c r="X4012" s="311">
        <v>44741</v>
      </c>
      <c r="Y4012" s="311">
        <v>45169</v>
      </c>
    </row>
    <row r="4013" s="9" customFormat="1" customHeight="1" spans="1:25">
      <c r="A4013" s="96" t="s">
        <v>109</v>
      </c>
      <c r="B4013" s="95" t="s">
        <v>4074</v>
      </c>
      <c r="C4013" s="94" t="s">
        <v>2998</v>
      </c>
      <c r="D4013" s="94" t="s">
        <v>4178</v>
      </c>
      <c r="E4013" s="105" t="s">
        <v>5337</v>
      </c>
      <c r="F4013" s="96" t="s">
        <v>5338</v>
      </c>
      <c r="G4013" s="96" t="s">
        <v>88</v>
      </c>
      <c r="H4013" s="19" t="s">
        <v>5358</v>
      </c>
      <c r="I4013" s="23" t="e">
        <f>VLOOKUP(H4013,'合同综合查询数据（3月返）'!$A:$A,1,FALSE)</f>
        <v>#N/A</v>
      </c>
      <c r="J4013" s="24" t="s">
        <v>126</v>
      </c>
      <c r="K4013" s="96" t="s">
        <v>4216</v>
      </c>
      <c r="L4013" s="114" t="s">
        <v>5359</v>
      </c>
      <c r="M4013" s="26" t="s">
        <v>5360</v>
      </c>
      <c r="N4013" s="106">
        <v>44743</v>
      </c>
      <c r="O4013" s="94" t="s">
        <v>127</v>
      </c>
      <c r="P4013" s="268">
        <v>4800</v>
      </c>
      <c r="Q4013" s="273">
        <v>-2</v>
      </c>
      <c r="R4013" s="268">
        <f t="shared" si="92"/>
        <v>-9600</v>
      </c>
      <c r="S4013" s="24">
        <v>202303</v>
      </c>
      <c r="T4013" s="127" t="s">
        <v>5371</v>
      </c>
      <c r="U4013" s="97"/>
      <c r="V4013" s="128"/>
      <c r="W4013" s="128"/>
      <c r="X4013" s="311">
        <v>44741</v>
      </c>
      <c r="Y4013" s="311">
        <v>45169</v>
      </c>
    </row>
    <row r="4014" s="9" customFormat="1" customHeight="1" spans="1:25">
      <c r="A4014" s="96" t="s">
        <v>109</v>
      </c>
      <c r="B4014" s="95" t="s">
        <v>4074</v>
      </c>
      <c r="C4014" s="94" t="s">
        <v>2998</v>
      </c>
      <c r="D4014" s="94" t="s">
        <v>4178</v>
      </c>
      <c r="E4014" s="105" t="s">
        <v>5337</v>
      </c>
      <c r="F4014" s="96" t="s">
        <v>5338</v>
      </c>
      <c r="G4014" s="96" t="s">
        <v>88</v>
      </c>
      <c r="H4014" s="19" t="s">
        <v>5358</v>
      </c>
      <c r="I4014" s="23" t="e">
        <f>VLOOKUP(H4014,'合同综合查询数据（3月返）'!$A:$A,1,FALSE)</f>
        <v>#N/A</v>
      </c>
      <c r="J4014" s="24" t="s">
        <v>126</v>
      </c>
      <c r="K4014" s="96" t="s">
        <v>4216</v>
      </c>
      <c r="L4014" s="114" t="s">
        <v>5359</v>
      </c>
      <c r="M4014" s="26" t="s">
        <v>5360</v>
      </c>
      <c r="N4014" s="106">
        <v>44743</v>
      </c>
      <c r="O4014" s="94" t="s">
        <v>127</v>
      </c>
      <c r="P4014" s="268">
        <v>4800</v>
      </c>
      <c r="Q4014" s="273">
        <v>3</v>
      </c>
      <c r="R4014" s="268">
        <f t="shared" si="92"/>
        <v>14400</v>
      </c>
      <c r="S4014" s="24">
        <v>202303</v>
      </c>
      <c r="T4014" s="127" t="s">
        <v>5372</v>
      </c>
      <c r="U4014" s="97"/>
      <c r="V4014" s="128"/>
      <c r="W4014" s="128"/>
      <c r="X4014" s="311">
        <v>44741</v>
      </c>
      <c r="Y4014" s="311">
        <v>45169</v>
      </c>
    </row>
    <row r="4015" s="9" customFormat="1" customHeight="1" spans="1:25">
      <c r="A4015" s="96" t="s">
        <v>109</v>
      </c>
      <c r="B4015" s="95" t="s">
        <v>4074</v>
      </c>
      <c r="C4015" s="94" t="s">
        <v>2998</v>
      </c>
      <c r="D4015" s="94" t="s">
        <v>4178</v>
      </c>
      <c r="E4015" s="105" t="s">
        <v>5337</v>
      </c>
      <c r="F4015" s="96" t="s">
        <v>5338</v>
      </c>
      <c r="G4015" s="96" t="s">
        <v>88</v>
      </c>
      <c r="H4015" s="19" t="s">
        <v>5358</v>
      </c>
      <c r="I4015" s="23" t="e">
        <f>VLOOKUP(H4015,'合同综合查询数据（3月返）'!$A:$A,1,FALSE)</f>
        <v>#N/A</v>
      </c>
      <c r="J4015" s="24" t="s">
        <v>126</v>
      </c>
      <c r="K4015" s="96" t="s">
        <v>4216</v>
      </c>
      <c r="L4015" s="114" t="s">
        <v>5359</v>
      </c>
      <c r="M4015" s="26" t="s">
        <v>5360</v>
      </c>
      <c r="N4015" s="106">
        <v>44747</v>
      </c>
      <c r="O4015" s="94" t="s">
        <v>127</v>
      </c>
      <c r="P4015" s="268">
        <v>4800</v>
      </c>
      <c r="Q4015" s="273">
        <v>1</v>
      </c>
      <c r="R4015" s="268">
        <f t="shared" si="92"/>
        <v>4800</v>
      </c>
      <c r="S4015" s="24">
        <v>202303</v>
      </c>
      <c r="T4015" s="127" t="s">
        <v>5373</v>
      </c>
      <c r="U4015" s="97"/>
      <c r="V4015" s="128"/>
      <c r="W4015" s="128"/>
      <c r="X4015" s="311">
        <v>44741</v>
      </c>
      <c r="Y4015" s="311">
        <v>45169</v>
      </c>
    </row>
    <row r="4016" s="9" customFormat="1" customHeight="1" spans="1:25">
      <c r="A4016" s="96" t="s">
        <v>109</v>
      </c>
      <c r="B4016" s="95" t="s">
        <v>4074</v>
      </c>
      <c r="C4016" s="94" t="s">
        <v>2998</v>
      </c>
      <c r="D4016" s="94" t="s">
        <v>4178</v>
      </c>
      <c r="E4016" s="105" t="s">
        <v>5337</v>
      </c>
      <c r="F4016" s="96" t="s">
        <v>5338</v>
      </c>
      <c r="G4016" s="96" t="s">
        <v>88</v>
      </c>
      <c r="H4016" s="19" t="s">
        <v>5358</v>
      </c>
      <c r="I4016" s="23" t="e">
        <f>VLOOKUP(H4016,'合同综合查询数据（3月返）'!$A:$A,1,FALSE)</f>
        <v>#N/A</v>
      </c>
      <c r="J4016" s="24" t="s">
        <v>126</v>
      </c>
      <c r="K4016" s="96" t="s">
        <v>4216</v>
      </c>
      <c r="L4016" s="114" t="s">
        <v>5359</v>
      </c>
      <c r="M4016" s="26" t="s">
        <v>5360</v>
      </c>
      <c r="N4016" s="106">
        <v>44754</v>
      </c>
      <c r="O4016" s="94" t="s">
        <v>127</v>
      </c>
      <c r="P4016" s="268">
        <v>4800</v>
      </c>
      <c r="Q4016" s="273">
        <v>-1</v>
      </c>
      <c r="R4016" s="268">
        <f t="shared" si="92"/>
        <v>-4800</v>
      </c>
      <c r="S4016" s="24">
        <v>202303</v>
      </c>
      <c r="T4016" s="127" t="s">
        <v>5374</v>
      </c>
      <c r="U4016" s="97"/>
      <c r="V4016" s="128"/>
      <c r="W4016" s="128"/>
      <c r="X4016" s="311">
        <v>44741</v>
      </c>
      <c r="Y4016" s="311">
        <v>45169</v>
      </c>
    </row>
    <row r="4017" s="9" customFormat="1" customHeight="1" spans="1:25">
      <c r="A4017" s="96" t="s">
        <v>109</v>
      </c>
      <c r="B4017" s="95" t="s">
        <v>4074</v>
      </c>
      <c r="C4017" s="94" t="s">
        <v>2998</v>
      </c>
      <c r="D4017" s="94" t="s">
        <v>4178</v>
      </c>
      <c r="E4017" s="105" t="s">
        <v>5337</v>
      </c>
      <c r="F4017" s="96" t="s">
        <v>5338</v>
      </c>
      <c r="G4017" s="96" t="s">
        <v>88</v>
      </c>
      <c r="H4017" s="19" t="s">
        <v>5365</v>
      </c>
      <c r="I4017" s="23" t="str">
        <f>VLOOKUP(H4017,'合同综合查询数据（3月返）'!$A:$A,1,FALSE)</f>
        <v>182315IDC00067</v>
      </c>
      <c r="J4017" s="24" t="s">
        <v>126</v>
      </c>
      <c r="K4017" s="96" t="s">
        <v>4216</v>
      </c>
      <c r="L4017" s="114" t="s">
        <v>5359</v>
      </c>
      <c r="M4017" s="26" t="s">
        <v>5360</v>
      </c>
      <c r="N4017" s="106">
        <v>44920</v>
      </c>
      <c r="O4017" s="94" t="s">
        <v>127</v>
      </c>
      <c r="P4017" s="268">
        <v>4800</v>
      </c>
      <c r="Q4017" s="273">
        <v>4</v>
      </c>
      <c r="R4017" s="268">
        <f t="shared" si="92"/>
        <v>19200</v>
      </c>
      <c r="S4017" s="24">
        <v>202303</v>
      </c>
      <c r="T4017" s="127" t="s">
        <v>5375</v>
      </c>
      <c r="U4017" s="97"/>
      <c r="V4017" s="128"/>
      <c r="W4017" s="128"/>
      <c r="X4017" s="311">
        <v>44920</v>
      </c>
      <c r="Y4017" s="311">
        <v>45169</v>
      </c>
    </row>
    <row r="4018" s="9" customFormat="1" customHeight="1" spans="1:25">
      <c r="A4018" s="96" t="s">
        <v>109</v>
      </c>
      <c r="B4018" s="95" t="s">
        <v>4074</v>
      </c>
      <c r="C4018" s="94" t="s">
        <v>4743</v>
      </c>
      <c r="D4018" s="94" t="s">
        <v>28</v>
      </c>
      <c r="E4018" s="105" t="s">
        <v>5337</v>
      </c>
      <c r="F4018" s="96" t="s">
        <v>5338</v>
      </c>
      <c r="G4018" s="96" t="s">
        <v>31</v>
      </c>
      <c r="H4018" s="19" t="s">
        <v>5376</v>
      </c>
      <c r="I4018" s="23" t="str">
        <f>VLOOKUP(H4018,'合同综合查询数据（3月返）'!$A:$A,1,FALSE)</f>
        <v>182315IDC00066</v>
      </c>
      <c r="J4018" s="24" t="s">
        <v>33</v>
      </c>
      <c r="K4018" s="96" t="s">
        <v>4743</v>
      </c>
      <c r="L4018" s="114" t="s">
        <v>5377</v>
      </c>
      <c r="M4018" s="26" t="s">
        <v>5378</v>
      </c>
      <c r="N4018" s="106">
        <v>44924</v>
      </c>
      <c r="O4018" s="94" t="s">
        <v>37</v>
      </c>
      <c r="P4018" s="268">
        <v>0</v>
      </c>
      <c r="Q4018" s="273">
        <v>320</v>
      </c>
      <c r="R4018" s="268">
        <f t="shared" si="92"/>
        <v>0</v>
      </c>
      <c r="S4018" s="24">
        <v>202303</v>
      </c>
      <c r="T4018" s="127" t="s">
        <v>5379</v>
      </c>
      <c r="U4018" s="97"/>
      <c r="V4018" s="128"/>
      <c r="W4018" s="128"/>
      <c r="X4018" s="311">
        <v>44924</v>
      </c>
      <c r="Y4018" s="311">
        <v>45291</v>
      </c>
    </row>
    <row r="4019" s="9" customFormat="1" customHeight="1" spans="1:25">
      <c r="A4019" s="96" t="s">
        <v>109</v>
      </c>
      <c r="B4019" s="95" t="s">
        <v>4074</v>
      </c>
      <c r="C4019" s="94" t="s">
        <v>4743</v>
      </c>
      <c r="D4019" s="94" t="s">
        <v>28</v>
      </c>
      <c r="E4019" s="105" t="s">
        <v>5337</v>
      </c>
      <c r="F4019" s="96" t="s">
        <v>5338</v>
      </c>
      <c r="G4019" s="96" t="s">
        <v>31</v>
      </c>
      <c r="H4019" s="19" t="s">
        <v>5376</v>
      </c>
      <c r="I4019" s="23" t="str">
        <f>VLOOKUP(H4019,'合同综合查询数据（3月返）'!$A:$A,1,FALSE)</f>
        <v>182315IDC00066</v>
      </c>
      <c r="J4019" s="24" t="s">
        <v>33</v>
      </c>
      <c r="K4019" s="96" t="s">
        <v>4743</v>
      </c>
      <c r="L4019" s="114" t="s">
        <v>5377</v>
      </c>
      <c r="M4019" s="26" t="s">
        <v>5378</v>
      </c>
      <c r="N4019" s="106"/>
      <c r="O4019" s="94" t="s">
        <v>152</v>
      </c>
      <c r="P4019" s="268">
        <v>0</v>
      </c>
      <c r="Q4019" s="273">
        <v>0</v>
      </c>
      <c r="R4019" s="268">
        <f t="shared" si="92"/>
        <v>0</v>
      </c>
      <c r="S4019" s="24">
        <v>202303</v>
      </c>
      <c r="T4019" s="127" t="s">
        <v>5380</v>
      </c>
      <c r="U4019" s="97"/>
      <c r="V4019" s="128"/>
      <c r="W4019" s="128"/>
      <c r="X4019" s="311">
        <v>44924</v>
      </c>
      <c r="Y4019" s="311">
        <v>45291</v>
      </c>
    </row>
    <row r="4020" s="9" customFormat="1" customHeight="1" spans="1:25">
      <c r="A4020" s="96" t="s">
        <v>109</v>
      </c>
      <c r="B4020" s="95" t="s">
        <v>4074</v>
      </c>
      <c r="C4020" s="94" t="s">
        <v>4743</v>
      </c>
      <c r="D4020" s="94" t="s">
        <v>28</v>
      </c>
      <c r="E4020" s="105" t="s">
        <v>5337</v>
      </c>
      <c r="F4020" s="96" t="s">
        <v>5338</v>
      </c>
      <c r="G4020" s="96" t="s">
        <v>88</v>
      </c>
      <c r="H4020" s="19" t="s">
        <v>5376</v>
      </c>
      <c r="I4020" s="23" t="str">
        <f>VLOOKUP(H4020,'合同综合查询数据（3月返）'!$A:$A,1,FALSE)</f>
        <v>182315IDC00066</v>
      </c>
      <c r="J4020" s="24" t="s">
        <v>126</v>
      </c>
      <c r="K4020" s="96" t="s">
        <v>4743</v>
      </c>
      <c r="L4020" s="114" t="s">
        <v>5377</v>
      </c>
      <c r="M4020" s="26" t="s">
        <v>5378</v>
      </c>
      <c r="N4020" s="106">
        <v>44924</v>
      </c>
      <c r="O4020" s="94" t="s">
        <v>127</v>
      </c>
      <c r="P4020" s="268">
        <v>5000</v>
      </c>
      <c r="Q4020" s="273">
        <v>4</v>
      </c>
      <c r="R4020" s="268">
        <f t="shared" si="92"/>
        <v>20000</v>
      </c>
      <c r="S4020" s="24">
        <v>202303</v>
      </c>
      <c r="T4020" s="127" t="s">
        <v>5381</v>
      </c>
      <c r="U4020" s="97"/>
      <c r="V4020" s="128"/>
      <c r="W4020" s="128"/>
      <c r="X4020" s="311">
        <v>44924</v>
      </c>
      <c r="Y4020" s="311">
        <v>45291</v>
      </c>
    </row>
    <row r="4021" s="9" customFormat="1" customHeight="1" spans="1:25">
      <c r="A4021" s="96" t="s">
        <v>109</v>
      </c>
      <c r="B4021" s="94" t="s">
        <v>4074</v>
      </c>
      <c r="C4021" s="94" t="s">
        <v>27</v>
      </c>
      <c r="D4021" s="94" t="s">
        <v>4178</v>
      </c>
      <c r="E4021" s="105" t="s">
        <v>5337</v>
      </c>
      <c r="F4021" s="96" t="s">
        <v>5338</v>
      </c>
      <c r="G4021" s="98" t="s">
        <v>31</v>
      </c>
      <c r="H4021" s="19" t="s">
        <v>5382</v>
      </c>
      <c r="I4021" s="23" t="str">
        <f>VLOOKUP(H4021,'合同综合查询数据（3月返）'!$A:$A,1,FALSE)</f>
        <v>182315IDC00050</v>
      </c>
      <c r="J4021" s="24" t="s">
        <v>33</v>
      </c>
      <c r="K4021" s="98" t="s">
        <v>561</v>
      </c>
      <c r="L4021" s="98" t="s">
        <v>562</v>
      </c>
      <c r="M4021" s="26" t="s">
        <v>563</v>
      </c>
      <c r="N4021" s="106">
        <v>44927</v>
      </c>
      <c r="O4021" s="129" t="s">
        <v>37</v>
      </c>
      <c r="P4021" s="268">
        <v>0</v>
      </c>
      <c r="Q4021" s="273">
        <v>160</v>
      </c>
      <c r="R4021" s="268">
        <f t="shared" si="92"/>
        <v>0</v>
      </c>
      <c r="S4021" s="24">
        <v>202303</v>
      </c>
      <c r="T4021" s="327" t="s">
        <v>5383</v>
      </c>
      <c r="U4021" s="97"/>
      <c r="V4021" s="128"/>
      <c r="W4021" s="128"/>
      <c r="X4021" s="106">
        <v>44927</v>
      </c>
      <c r="Y4021" s="106">
        <v>45291</v>
      </c>
    </row>
    <row r="4022" s="9" customFormat="1" customHeight="1" spans="1:25">
      <c r="A4022" s="96" t="s">
        <v>109</v>
      </c>
      <c r="B4022" s="94" t="s">
        <v>4074</v>
      </c>
      <c r="C4022" s="94" t="s">
        <v>27</v>
      </c>
      <c r="D4022" s="94" t="s">
        <v>4178</v>
      </c>
      <c r="E4022" s="105" t="s">
        <v>5337</v>
      </c>
      <c r="F4022" s="96" t="s">
        <v>5338</v>
      </c>
      <c r="G4022" s="98" t="s">
        <v>31</v>
      </c>
      <c r="H4022" s="19" t="s">
        <v>5382</v>
      </c>
      <c r="I4022" s="23" t="str">
        <f>VLOOKUP(H4022,'合同综合查询数据（3月返）'!$A:$A,1,FALSE)</f>
        <v>182315IDC00050</v>
      </c>
      <c r="J4022" s="24" t="s">
        <v>33</v>
      </c>
      <c r="K4022" s="98" t="s">
        <v>561</v>
      </c>
      <c r="L4022" s="98" t="s">
        <v>562</v>
      </c>
      <c r="M4022" s="26" t="s">
        <v>563</v>
      </c>
      <c r="N4022" s="106">
        <v>44927</v>
      </c>
      <c r="O4022" s="129" t="s">
        <v>37</v>
      </c>
      <c r="P4022" s="268">
        <v>50</v>
      </c>
      <c r="Q4022" s="273">
        <v>128</v>
      </c>
      <c r="R4022" s="268">
        <f t="shared" si="92"/>
        <v>6400</v>
      </c>
      <c r="S4022" s="24">
        <v>202303</v>
      </c>
      <c r="T4022" s="327" t="s">
        <v>5383</v>
      </c>
      <c r="U4022" s="97"/>
      <c r="V4022" s="128"/>
      <c r="W4022" s="128"/>
      <c r="X4022" s="106">
        <v>44927</v>
      </c>
      <c r="Y4022" s="106">
        <v>45291</v>
      </c>
    </row>
    <row r="4023" s="9" customFormat="1" customHeight="1" spans="1:25">
      <c r="A4023" s="96" t="s">
        <v>109</v>
      </c>
      <c r="B4023" s="94" t="s">
        <v>4074</v>
      </c>
      <c r="C4023" s="94" t="s">
        <v>27</v>
      </c>
      <c r="D4023" s="94" t="s">
        <v>4178</v>
      </c>
      <c r="E4023" s="105" t="s">
        <v>5337</v>
      </c>
      <c r="F4023" s="96" t="s">
        <v>5338</v>
      </c>
      <c r="G4023" s="98" t="s">
        <v>31</v>
      </c>
      <c r="H4023" s="19" t="s">
        <v>5382</v>
      </c>
      <c r="I4023" s="23" t="str">
        <f>VLOOKUP(H4023,'合同综合查询数据（3月返）'!$A:$A,1,FALSE)</f>
        <v>182315IDC00050</v>
      </c>
      <c r="J4023" s="24" t="s">
        <v>33</v>
      </c>
      <c r="K4023" s="98" t="s">
        <v>561</v>
      </c>
      <c r="L4023" s="98" t="s">
        <v>562</v>
      </c>
      <c r="M4023" s="26" t="s">
        <v>563</v>
      </c>
      <c r="N4023" s="106">
        <v>44937</v>
      </c>
      <c r="O4023" s="129" t="s">
        <v>37</v>
      </c>
      <c r="P4023" s="268">
        <v>50</v>
      </c>
      <c r="Q4023" s="273">
        <v>-128</v>
      </c>
      <c r="R4023" s="268">
        <f t="shared" si="92"/>
        <v>-6400</v>
      </c>
      <c r="S4023" s="24">
        <v>202303</v>
      </c>
      <c r="T4023" s="327" t="s">
        <v>5384</v>
      </c>
      <c r="U4023" s="97"/>
      <c r="V4023" s="128"/>
      <c r="W4023" s="128"/>
      <c r="X4023" s="106">
        <v>44927</v>
      </c>
      <c r="Y4023" s="106">
        <v>45291</v>
      </c>
    </row>
    <row r="4024" s="9" customFormat="1" customHeight="1" spans="1:25">
      <c r="A4024" s="96" t="s">
        <v>109</v>
      </c>
      <c r="B4024" s="94" t="s">
        <v>4074</v>
      </c>
      <c r="C4024" s="94" t="s">
        <v>27</v>
      </c>
      <c r="D4024" s="94" t="s">
        <v>4178</v>
      </c>
      <c r="E4024" s="105" t="s">
        <v>5337</v>
      </c>
      <c r="F4024" s="96" t="s">
        <v>5338</v>
      </c>
      <c r="G4024" s="96" t="s">
        <v>88</v>
      </c>
      <c r="H4024" s="19" t="s">
        <v>5382</v>
      </c>
      <c r="I4024" s="23" t="str">
        <f>VLOOKUP(H4024,'合同综合查询数据（3月返）'!$A:$A,1,FALSE)</f>
        <v>182315IDC00050</v>
      </c>
      <c r="J4024" s="24" t="s">
        <v>126</v>
      </c>
      <c r="K4024" s="98" t="s">
        <v>561</v>
      </c>
      <c r="L4024" s="98" t="s">
        <v>562</v>
      </c>
      <c r="M4024" s="26" t="s">
        <v>563</v>
      </c>
      <c r="N4024" s="106">
        <v>44927</v>
      </c>
      <c r="O4024" s="129" t="s">
        <v>127</v>
      </c>
      <c r="P4024" s="268">
        <v>5000</v>
      </c>
      <c r="Q4024" s="273">
        <v>2</v>
      </c>
      <c r="R4024" s="268">
        <f t="shared" si="92"/>
        <v>10000</v>
      </c>
      <c r="S4024" s="24">
        <v>202303</v>
      </c>
      <c r="T4024" s="327" t="s">
        <v>5385</v>
      </c>
      <c r="U4024" s="97"/>
      <c r="V4024" s="128"/>
      <c r="W4024" s="128"/>
      <c r="X4024" s="106">
        <v>44927</v>
      </c>
      <c r="Y4024" s="106">
        <v>45291</v>
      </c>
    </row>
    <row r="4025" s="9" customFormat="1" customHeight="1" spans="1:25">
      <c r="A4025" s="104" t="s">
        <v>25</v>
      </c>
      <c r="B4025" s="95" t="s">
        <v>4074</v>
      </c>
      <c r="C4025" s="94" t="s">
        <v>39</v>
      </c>
      <c r="D4025" s="94" t="s">
        <v>4178</v>
      </c>
      <c r="E4025" s="105" t="s">
        <v>5386</v>
      </c>
      <c r="F4025" s="96" t="s">
        <v>5387</v>
      </c>
      <c r="G4025" s="96" t="s">
        <v>31</v>
      </c>
      <c r="H4025" s="19" t="s">
        <v>5388</v>
      </c>
      <c r="I4025" s="23" t="e">
        <f>VLOOKUP(H4025,'合同综合查询数据（3月返）'!$A:$A,1,FALSE)</f>
        <v>#N/A</v>
      </c>
      <c r="J4025" s="24" t="s">
        <v>33</v>
      </c>
      <c r="K4025" s="96" t="s">
        <v>5389</v>
      </c>
      <c r="L4025" s="114" t="s">
        <v>5390</v>
      </c>
      <c r="M4025" s="26" t="s">
        <v>5391</v>
      </c>
      <c r="N4025" s="106">
        <v>44317</v>
      </c>
      <c r="O4025" s="94" t="s">
        <v>37</v>
      </c>
      <c r="P4025" s="268">
        <v>0</v>
      </c>
      <c r="Q4025" s="273">
        <v>648</v>
      </c>
      <c r="R4025" s="268">
        <f t="shared" si="92"/>
        <v>0</v>
      </c>
      <c r="S4025" s="24">
        <v>202303</v>
      </c>
      <c r="T4025" s="127" t="s">
        <v>5392</v>
      </c>
      <c r="U4025" s="97"/>
      <c r="V4025" s="128"/>
      <c r="W4025" s="128"/>
      <c r="X4025" s="311">
        <v>44866</v>
      </c>
      <c r="Y4025" s="311">
        <v>45230</v>
      </c>
    </row>
    <row r="4026" s="9" customFormat="1" customHeight="1" spans="1:25">
      <c r="A4026" s="104" t="s">
        <v>25</v>
      </c>
      <c r="B4026" s="95" t="s">
        <v>4074</v>
      </c>
      <c r="C4026" s="94" t="s">
        <v>39</v>
      </c>
      <c r="D4026" s="94" t="s">
        <v>4178</v>
      </c>
      <c r="E4026" s="105" t="s">
        <v>5386</v>
      </c>
      <c r="F4026" s="96" t="s">
        <v>5387</v>
      </c>
      <c r="G4026" s="96" t="s">
        <v>31</v>
      </c>
      <c r="H4026" s="19" t="s">
        <v>5388</v>
      </c>
      <c r="I4026" s="23" t="e">
        <f>VLOOKUP(H4026,'合同综合查询数据（3月返）'!$A:$A,1,FALSE)</f>
        <v>#N/A</v>
      </c>
      <c r="J4026" s="24" t="s">
        <v>33</v>
      </c>
      <c r="K4026" s="96" t="s">
        <v>5389</v>
      </c>
      <c r="L4026" s="114" t="s">
        <v>5390</v>
      </c>
      <c r="M4026" s="26" t="s">
        <v>5391</v>
      </c>
      <c r="N4026" s="106"/>
      <c r="O4026" s="106" t="s">
        <v>152</v>
      </c>
      <c r="P4026" s="268">
        <v>0</v>
      </c>
      <c r="Q4026" s="273">
        <v>0</v>
      </c>
      <c r="R4026" s="268">
        <f t="shared" si="92"/>
        <v>0</v>
      </c>
      <c r="S4026" s="24">
        <v>202303</v>
      </c>
      <c r="T4026" s="127" t="s">
        <v>4386</v>
      </c>
      <c r="U4026" s="97"/>
      <c r="V4026" s="128"/>
      <c r="W4026" s="128"/>
      <c r="X4026" s="311">
        <v>44866</v>
      </c>
      <c r="Y4026" s="311">
        <v>45230</v>
      </c>
    </row>
    <row r="4027" s="9" customFormat="1" customHeight="1" spans="1:25">
      <c r="A4027" s="104" t="s">
        <v>25</v>
      </c>
      <c r="B4027" s="95" t="s">
        <v>4074</v>
      </c>
      <c r="C4027" s="94" t="s">
        <v>39</v>
      </c>
      <c r="D4027" s="94" t="s">
        <v>4178</v>
      </c>
      <c r="E4027" s="105" t="s">
        <v>5386</v>
      </c>
      <c r="F4027" s="96" t="s">
        <v>5387</v>
      </c>
      <c r="G4027" s="96" t="s">
        <v>88</v>
      </c>
      <c r="H4027" s="19" t="s">
        <v>5388</v>
      </c>
      <c r="I4027" s="23" t="e">
        <f>VLOOKUP(H4027,'合同综合查询数据（3月返）'!$A:$A,1,FALSE)</f>
        <v>#N/A</v>
      </c>
      <c r="J4027" s="24" t="s">
        <v>126</v>
      </c>
      <c r="K4027" s="96" t="s">
        <v>5389</v>
      </c>
      <c r="L4027" s="114" t="s">
        <v>5390</v>
      </c>
      <c r="M4027" s="26" t="s">
        <v>5391</v>
      </c>
      <c r="N4027" s="106">
        <v>44317</v>
      </c>
      <c r="O4027" s="94" t="s">
        <v>2989</v>
      </c>
      <c r="P4027" s="268">
        <v>4000</v>
      </c>
      <c r="Q4027" s="273">
        <v>3</v>
      </c>
      <c r="R4027" s="268">
        <f t="shared" si="92"/>
        <v>12000</v>
      </c>
      <c r="S4027" s="24">
        <v>202303</v>
      </c>
      <c r="T4027" s="127" t="s">
        <v>5393</v>
      </c>
      <c r="U4027" s="97"/>
      <c r="V4027" s="128"/>
      <c r="W4027" s="128"/>
      <c r="X4027" s="311">
        <v>44866</v>
      </c>
      <c r="Y4027" s="311">
        <v>45230</v>
      </c>
    </row>
    <row r="4028" s="9" customFormat="1" customHeight="1" spans="1:25">
      <c r="A4028" s="104" t="s">
        <v>25</v>
      </c>
      <c r="B4028" s="95" t="s">
        <v>4074</v>
      </c>
      <c r="C4028" s="94" t="s">
        <v>39</v>
      </c>
      <c r="D4028" s="94" t="s">
        <v>4178</v>
      </c>
      <c r="E4028" s="105" t="s">
        <v>5386</v>
      </c>
      <c r="F4028" s="96" t="s">
        <v>5387</v>
      </c>
      <c r="G4028" s="96" t="s">
        <v>88</v>
      </c>
      <c r="H4028" s="19" t="s">
        <v>5388</v>
      </c>
      <c r="I4028" s="23" t="e">
        <f>VLOOKUP(H4028,'合同综合查询数据（3月返）'!$A:$A,1,FALSE)</f>
        <v>#N/A</v>
      </c>
      <c r="J4028" s="24" t="s">
        <v>126</v>
      </c>
      <c r="K4028" s="96" t="s">
        <v>5389</v>
      </c>
      <c r="L4028" s="114" t="s">
        <v>5390</v>
      </c>
      <c r="M4028" s="26" t="s">
        <v>5391</v>
      </c>
      <c r="N4028" s="106">
        <v>44440</v>
      </c>
      <c r="O4028" s="94" t="s">
        <v>2989</v>
      </c>
      <c r="P4028" s="268">
        <v>4000</v>
      </c>
      <c r="Q4028" s="273">
        <v>2</v>
      </c>
      <c r="R4028" s="268">
        <f t="shared" si="92"/>
        <v>8000</v>
      </c>
      <c r="S4028" s="24">
        <v>202303</v>
      </c>
      <c r="T4028" s="127" t="s">
        <v>5394</v>
      </c>
      <c r="U4028" s="97"/>
      <c r="V4028" s="128"/>
      <c r="W4028" s="128"/>
      <c r="X4028" s="311">
        <v>44866</v>
      </c>
      <c r="Y4028" s="311">
        <v>45230</v>
      </c>
    </row>
    <row r="4029" s="9" customFormat="1" customHeight="1" spans="1:25">
      <c r="A4029" s="104" t="s">
        <v>25</v>
      </c>
      <c r="B4029" s="95" t="s">
        <v>4074</v>
      </c>
      <c r="C4029" s="94" t="s">
        <v>39</v>
      </c>
      <c r="D4029" s="94" t="s">
        <v>4178</v>
      </c>
      <c r="E4029" s="105" t="s">
        <v>5386</v>
      </c>
      <c r="F4029" s="96" t="s">
        <v>5387</v>
      </c>
      <c r="G4029" s="96" t="s">
        <v>88</v>
      </c>
      <c r="H4029" s="19" t="s">
        <v>5388</v>
      </c>
      <c r="I4029" s="23" t="e">
        <f>VLOOKUP(H4029,'合同综合查询数据（3月返）'!$A:$A,1,FALSE)</f>
        <v>#N/A</v>
      </c>
      <c r="J4029" s="24" t="s">
        <v>126</v>
      </c>
      <c r="K4029" s="96" t="s">
        <v>5389</v>
      </c>
      <c r="L4029" s="114" t="s">
        <v>5390</v>
      </c>
      <c r="M4029" s="26" t="s">
        <v>5391</v>
      </c>
      <c r="N4029" s="106">
        <v>44501</v>
      </c>
      <c r="O4029" s="94" t="s">
        <v>2989</v>
      </c>
      <c r="P4029" s="268">
        <v>4000</v>
      </c>
      <c r="Q4029" s="273">
        <v>3</v>
      </c>
      <c r="R4029" s="268">
        <f t="shared" si="92"/>
        <v>12000</v>
      </c>
      <c r="S4029" s="24">
        <v>202303</v>
      </c>
      <c r="T4029" s="127" t="s">
        <v>5395</v>
      </c>
      <c r="U4029" s="97"/>
      <c r="V4029" s="128"/>
      <c r="W4029" s="128"/>
      <c r="X4029" s="311">
        <v>44866</v>
      </c>
      <c r="Y4029" s="311">
        <v>45230</v>
      </c>
    </row>
    <row r="4030" s="9" customFormat="1" customHeight="1" spans="1:25">
      <c r="A4030" s="104" t="s">
        <v>25</v>
      </c>
      <c r="B4030" s="94" t="s">
        <v>4074</v>
      </c>
      <c r="C4030" s="94" t="s">
        <v>1854</v>
      </c>
      <c r="D4030" s="94" t="s">
        <v>4178</v>
      </c>
      <c r="E4030" s="105" t="s">
        <v>5386</v>
      </c>
      <c r="F4030" s="96" t="s">
        <v>5387</v>
      </c>
      <c r="G4030" s="96" t="s">
        <v>31</v>
      </c>
      <c r="H4030" s="19" t="s">
        <v>5396</v>
      </c>
      <c r="I4030" s="23" t="e">
        <f>VLOOKUP(H4030,'合同综合查询数据（3月返）'!$A:$A,1,FALSE)</f>
        <v>#N/A</v>
      </c>
      <c r="J4030" s="24" t="s">
        <v>33</v>
      </c>
      <c r="K4030" s="96" t="s">
        <v>5397</v>
      </c>
      <c r="L4030" s="114" t="s">
        <v>5398</v>
      </c>
      <c r="M4030" s="26" t="s">
        <v>5399</v>
      </c>
      <c r="N4030" s="106">
        <v>44652</v>
      </c>
      <c r="O4030" s="94" t="s">
        <v>37</v>
      </c>
      <c r="P4030" s="268">
        <v>0</v>
      </c>
      <c r="Q4030" s="273">
        <v>128</v>
      </c>
      <c r="R4030" s="268">
        <f t="shared" si="92"/>
        <v>0</v>
      </c>
      <c r="S4030" s="24">
        <v>202303</v>
      </c>
      <c r="T4030" s="127" t="s">
        <v>5400</v>
      </c>
      <c r="U4030" s="97"/>
      <c r="V4030" s="128"/>
      <c r="W4030" s="128"/>
      <c r="X4030" s="311">
        <v>44652</v>
      </c>
      <c r="Y4030" s="311">
        <v>45016</v>
      </c>
    </row>
    <row r="4031" s="9" customFormat="1" customHeight="1" spans="1:25">
      <c r="A4031" s="104" t="s">
        <v>25</v>
      </c>
      <c r="B4031" s="94" t="s">
        <v>4074</v>
      </c>
      <c r="C4031" s="94" t="s">
        <v>1854</v>
      </c>
      <c r="D4031" s="94" t="s">
        <v>4178</v>
      </c>
      <c r="E4031" s="105" t="s">
        <v>5386</v>
      </c>
      <c r="F4031" s="96" t="s">
        <v>5387</v>
      </c>
      <c r="G4031" s="96" t="s">
        <v>31</v>
      </c>
      <c r="H4031" s="19" t="s">
        <v>5396</v>
      </c>
      <c r="I4031" s="23" t="e">
        <f>VLOOKUP(H4031,'合同综合查询数据（3月返）'!$A:$A,1,FALSE)</f>
        <v>#N/A</v>
      </c>
      <c r="J4031" s="24" t="s">
        <v>33</v>
      </c>
      <c r="K4031" s="96" t="s">
        <v>5397</v>
      </c>
      <c r="L4031" s="114" t="s">
        <v>5398</v>
      </c>
      <c r="M4031" s="26" t="s">
        <v>5399</v>
      </c>
      <c r="N4031" s="106">
        <v>44652</v>
      </c>
      <c r="O4031" s="94" t="s">
        <v>37</v>
      </c>
      <c r="P4031" s="268">
        <v>50</v>
      </c>
      <c r="Q4031" s="273">
        <v>128</v>
      </c>
      <c r="R4031" s="268">
        <f t="shared" si="92"/>
        <v>6400</v>
      </c>
      <c r="S4031" s="24">
        <v>202303</v>
      </c>
      <c r="T4031" s="127" t="s">
        <v>5401</v>
      </c>
      <c r="U4031" s="97"/>
      <c r="V4031" s="128"/>
      <c r="W4031" s="128"/>
      <c r="X4031" s="311">
        <v>44652</v>
      </c>
      <c r="Y4031" s="311">
        <v>45016</v>
      </c>
    </row>
    <row r="4032" s="9" customFormat="1" customHeight="1" spans="1:25">
      <c r="A4032" s="104" t="s">
        <v>25</v>
      </c>
      <c r="B4032" s="94" t="s">
        <v>4074</v>
      </c>
      <c r="C4032" s="94" t="s">
        <v>1854</v>
      </c>
      <c r="D4032" s="94" t="s">
        <v>4178</v>
      </c>
      <c r="E4032" s="105" t="s">
        <v>5386</v>
      </c>
      <c r="F4032" s="96" t="s">
        <v>5387</v>
      </c>
      <c r="G4032" s="96" t="s">
        <v>31</v>
      </c>
      <c r="H4032" s="19" t="s">
        <v>5396</v>
      </c>
      <c r="I4032" s="23" t="e">
        <f>VLOOKUP(H4032,'合同综合查询数据（3月返）'!$A:$A,1,FALSE)</f>
        <v>#N/A</v>
      </c>
      <c r="J4032" s="24" t="s">
        <v>33</v>
      </c>
      <c r="K4032" s="96" t="s">
        <v>5397</v>
      </c>
      <c r="L4032" s="114" t="s">
        <v>5398</v>
      </c>
      <c r="M4032" s="26" t="s">
        <v>5399</v>
      </c>
      <c r="N4032" s="106">
        <v>44865</v>
      </c>
      <c r="O4032" s="94" t="s">
        <v>37</v>
      </c>
      <c r="P4032" s="268">
        <v>50</v>
      </c>
      <c r="Q4032" s="273">
        <v>-128</v>
      </c>
      <c r="R4032" s="268">
        <f t="shared" si="92"/>
        <v>-6400</v>
      </c>
      <c r="S4032" s="24">
        <v>202303</v>
      </c>
      <c r="T4032" s="127" t="s">
        <v>5402</v>
      </c>
      <c r="U4032" s="97"/>
      <c r="V4032" s="128"/>
      <c r="W4032" s="128"/>
      <c r="X4032" s="311">
        <v>44652</v>
      </c>
      <c r="Y4032" s="311">
        <v>45016</v>
      </c>
    </row>
    <row r="4033" s="9" customFormat="1" customHeight="1" spans="1:25">
      <c r="A4033" s="104" t="s">
        <v>25</v>
      </c>
      <c r="B4033" s="94" t="s">
        <v>4074</v>
      </c>
      <c r="C4033" s="94" t="s">
        <v>1854</v>
      </c>
      <c r="D4033" s="94" t="s">
        <v>4178</v>
      </c>
      <c r="E4033" s="105" t="s">
        <v>5386</v>
      </c>
      <c r="F4033" s="96" t="s">
        <v>5387</v>
      </c>
      <c r="G4033" s="96" t="s">
        <v>31</v>
      </c>
      <c r="H4033" s="19" t="s">
        <v>5396</v>
      </c>
      <c r="I4033" s="23" t="e">
        <f>VLOOKUP(H4033,'合同综合查询数据（3月返）'!$A:$A,1,FALSE)</f>
        <v>#N/A</v>
      </c>
      <c r="J4033" s="24" t="s">
        <v>33</v>
      </c>
      <c r="K4033" s="96" t="s">
        <v>5397</v>
      </c>
      <c r="L4033" s="114" t="s">
        <v>5398</v>
      </c>
      <c r="M4033" s="26" t="s">
        <v>5399</v>
      </c>
      <c r="N4033" s="106"/>
      <c r="O4033" s="94" t="s">
        <v>152</v>
      </c>
      <c r="P4033" s="268">
        <v>0</v>
      </c>
      <c r="Q4033" s="268">
        <v>0</v>
      </c>
      <c r="R4033" s="268">
        <f t="shared" si="92"/>
        <v>0</v>
      </c>
      <c r="S4033" s="24">
        <v>202303</v>
      </c>
      <c r="T4033" s="127" t="s">
        <v>5403</v>
      </c>
      <c r="U4033" s="97"/>
      <c r="V4033" s="128"/>
      <c r="W4033" s="128"/>
      <c r="X4033" s="311">
        <v>44652</v>
      </c>
      <c r="Y4033" s="311">
        <v>45016</v>
      </c>
    </row>
    <row r="4034" s="9" customFormat="1" customHeight="1" spans="1:25">
      <c r="A4034" s="104" t="s">
        <v>25</v>
      </c>
      <c r="B4034" s="94" t="s">
        <v>4074</v>
      </c>
      <c r="C4034" s="94" t="s">
        <v>1854</v>
      </c>
      <c r="D4034" s="94" t="s">
        <v>4178</v>
      </c>
      <c r="E4034" s="105" t="s">
        <v>5386</v>
      </c>
      <c r="F4034" s="96" t="s">
        <v>5387</v>
      </c>
      <c r="G4034" s="96" t="s">
        <v>88</v>
      </c>
      <c r="H4034" s="19" t="s">
        <v>5396</v>
      </c>
      <c r="I4034" s="23" t="e">
        <f>VLOOKUP(H4034,'合同综合查询数据（3月返）'!$A:$A,1,FALSE)</f>
        <v>#N/A</v>
      </c>
      <c r="J4034" s="24" t="s">
        <v>126</v>
      </c>
      <c r="K4034" s="96" t="s">
        <v>5397</v>
      </c>
      <c r="L4034" s="114" t="s">
        <v>5398</v>
      </c>
      <c r="M4034" s="26" t="s">
        <v>5399</v>
      </c>
      <c r="N4034" s="106">
        <v>44652</v>
      </c>
      <c r="O4034" s="94" t="s">
        <v>457</v>
      </c>
      <c r="P4034" s="268">
        <v>4000</v>
      </c>
      <c r="Q4034" s="273">
        <v>2</v>
      </c>
      <c r="R4034" s="268">
        <f t="shared" si="92"/>
        <v>8000</v>
      </c>
      <c r="S4034" s="24">
        <v>202303</v>
      </c>
      <c r="T4034" s="127" t="s">
        <v>5404</v>
      </c>
      <c r="U4034" s="97"/>
      <c r="V4034" s="128"/>
      <c r="W4034" s="128"/>
      <c r="X4034" s="311">
        <v>44652</v>
      </c>
      <c r="Y4034" s="311">
        <v>45016</v>
      </c>
    </row>
    <row r="4035" s="10" customFormat="1" customHeight="1" spans="1:25">
      <c r="A4035" s="103" t="s">
        <v>25</v>
      </c>
      <c r="B4035" s="101" t="s">
        <v>4074</v>
      </c>
      <c r="C4035" s="60" t="s">
        <v>5200</v>
      </c>
      <c r="D4035" s="62" t="s">
        <v>4250</v>
      </c>
      <c r="E4035" s="63" t="s">
        <v>5405</v>
      </c>
      <c r="F4035" s="60" t="s">
        <v>5406</v>
      </c>
      <c r="G4035" s="60" t="s">
        <v>31</v>
      </c>
      <c r="H4035" s="45" t="s">
        <v>5407</v>
      </c>
      <c r="I4035" s="47" t="e">
        <f>VLOOKUP(H4035,'合同综合查询数据（3月返）'!$A:$A,1,FALSE)</f>
        <v>#N/A</v>
      </c>
      <c r="J4035" s="48" t="s">
        <v>33</v>
      </c>
      <c r="K4035" s="60" t="s">
        <v>5215</v>
      </c>
      <c r="L4035" s="113" t="s">
        <v>5408</v>
      </c>
      <c r="M4035" s="50" t="s">
        <v>5409</v>
      </c>
      <c r="N4035" s="111">
        <v>44348</v>
      </c>
      <c r="O4035" s="62" t="s">
        <v>37</v>
      </c>
      <c r="P4035" s="266">
        <v>0</v>
      </c>
      <c r="Q4035" s="270">
        <v>192</v>
      </c>
      <c r="R4035" s="266">
        <f t="shared" si="92"/>
        <v>0</v>
      </c>
      <c r="S4035" s="48">
        <v>202303</v>
      </c>
      <c r="T4035" s="125" t="s">
        <v>5410</v>
      </c>
      <c r="U4035" s="102"/>
      <c r="V4035" s="126"/>
      <c r="W4035" s="126"/>
      <c r="X4035" s="111"/>
      <c r="Y4035" s="111"/>
    </row>
    <row r="4036" s="10" customFormat="1" customHeight="1" spans="1:25">
      <c r="A4036" s="103" t="s">
        <v>25</v>
      </c>
      <c r="B4036" s="101" t="s">
        <v>4074</v>
      </c>
      <c r="C4036" s="60" t="s">
        <v>5200</v>
      </c>
      <c r="D4036" s="62" t="s">
        <v>4250</v>
      </c>
      <c r="E4036" s="63" t="s">
        <v>5405</v>
      </c>
      <c r="F4036" s="60" t="s">
        <v>5406</v>
      </c>
      <c r="G4036" s="60" t="s">
        <v>31</v>
      </c>
      <c r="H4036" s="45" t="s">
        <v>5407</v>
      </c>
      <c r="I4036" s="47" t="e">
        <f>VLOOKUP(H4036,'合同综合查询数据（3月返）'!$A:$A,1,FALSE)</f>
        <v>#N/A</v>
      </c>
      <c r="J4036" s="48" t="s">
        <v>33</v>
      </c>
      <c r="K4036" s="60" t="s">
        <v>5215</v>
      </c>
      <c r="L4036" s="113" t="s">
        <v>5408</v>
      </c>
      <c r="M4036" s="50" t="s">
        <v>5409</v>
      </c>
      <c r="N4036" s="111">
        <v>44348</v>
      </c>
      <c r="O4036" s="62" t="s">
        <v>37</v>
      </c>
      <c r="P4036" s="266">
        <v>30</v>
      </c>
      <c r="Q4036" s="270">
        <v>32</v>
      </c>
      <c r="R4036" s="266">
        <f t="shared" si="92"/>
        <v>960</v>
      </c>
      <c r="S4036" s="48">
        <v>202303</v>
      </c>
      <c r="T4036" s="125" t="s">
        <v>5410</v>
      </c>
      <c r="U4036" s="102"/>
      <c r="V4036" s="126"/>
      <c r="W4036" s="126"/>
      <c r="X4036" s="111"/>
      <c r="Y4036" s="111"/>
    </row>
    <row r="4037" s="10" customFormat="1" customHeight="1" spans="1:25">
      <c r="A4037" s="103" t="s">
        <v>25</v>
      </c>
      <c r="B4037" s="101" t="s">
        <v>4074</v>
      </c>
      <c r="C4037" s="60" t="s">
        <v>5200</v>
      </c>
      <c r="D4037" s="62" t="s">
        <v>4250</v>
      </c>
      <c r="E4037" s="63" t="s">
        <v>5405</v>
      </c>
      <c r="F4037" s="60" t="s">
        <v>5406</v>
      </c>
      <c r="G4037" s="60" t="s">
        <v>31</v>
      </c>
      <c r="H4037" s="45" t="s">
        <v>5407</v>
      </c>
      <c r="I4037" s="47" t="e">
        <f>VLOOKUP(H4037,'合同综合查询数据（3月返）'!$A:$A,1,FALSE)</f>
        <v>#N/A</v>
      </c>
      <c r="J4037" s="48" t="s">
        <v>33</v>
      </c>
      <c r="K4037" s="60" t="s">
        <v>5215</v>
      </c>
      <c r="L4037" s="113" t="s">
        <v>5408</v>
      </c>
      <c r="M4037" s="50" t="s">
        <v>5409</v>
      </c>
      <c r="N4037" s="111">
        <v>44348</v>
      </c>
      <c r="O4037" s="62" t="s">
        <v>37</v>
      </c>
      <c r="P4037" s="266">
        <v>30</v>
      </c>
      <c r="Q4037" s="270">
        <v>64</v>
      </c>
      <c r="R4037" s="266">
        <f t="shared" si="92"/>
        <v>1920</v>
      </c>
      <c r="S4037" s="48">
        <v>202303</v>
      </c>
      <c r="T4037" s="125" t="s">
        <v>5410</v>
      </c>
      <c r="U4037" s="102"/>
      <c r="V4037" s="126"/>
      <c r="W4037" s="126"/>
      <c r="X4037" s="111"/>
      <c r="Y4037" s="111"/>
    </row>
    <row r="4038" s="10" customFormat="1" customHeight="1" spans="1:25">
      <c r="A4038" s="103" t="s">
        <v>25</v>
      </c>
      <c r="B4038" s="101" t="s">
        <v>4074</v>
      </c>
      <c r="C4038" s="60" t="s">
        <v>5200</v>
      </c>
      <c r="D4038" s="62" t="s">
        <v>4250</v>
      </c>
      <c r="E4038" s="63" t="s">
        <v>5405</v>
      </c>
      <c r="F4038" s="60" t="s">
        <v>5406</v>
      </c>
      <c r="G4038" s="60" t="s">
        <v>31</v>
      </c>
      <c r="H4038" s="45" t="s">
        <v>5407</v>
      </c>
      <c r="I4038" s="47" t="e">
        <f>VLOOKUP(H4038,'合同综合查询数据（3月返）'!$A:$A,1,FALSE)</f>
        <v>#N/A</v>
      </c>
      <c r="J4038" s="48" t="s">
        <v>33</v>
      </c>
      <c r="K4038" s="60" t="s">
        <v>5215</v>
      </c>
      <c r="L4038" s="113" t="s">
        <v>5408</v>
      </c>
      <c r="M4038" s="50" t="s">
        <v>5409</v>
      </c>
      <c r="N4038" s="111">
        <v>44551</v>
      </c>
      <c r="O4038" s="62" t="s">
        <v>37</v>
      </c>
      <c r="P4038" s="266">
        <v>0</v>
      </c>
      <c r="Q4038" s="270">
        <v>32</v>
      </c>
      <c r="R4038" s="266">
        <f t="shared" si="92"/>
        <v>0</v>
      </c>
      <c r="S4038" s="48">
        <v>202303</v>
      </c>
      <c r="T4038" s="125" t="s">
        <v>5411</v>
      </c>
      <c r="U4038" s="102"/>
      <c r="V4038" s="126"/>
      <c r="W4038" s="126"/>
      <c r="X4038" s="309"/>
      <c r="Y4038" s="111"/>
    </row>
    <row r="4039" s="10" customFormat="1" customHeight="1" spans="1:25">
      <c r="A4039" s="103" t="s">
        <v>25</v>
      </c>
      <c r="B4039" s="101" t="s">
        <v>4074</v>
      </c>
      <c r="C4039" s="60" t="s">
        <v>5200</v>
      </c>
      <c r="D4039" s="62" t="s">
        <v>4250</v>
      </c>
      <c r="E4039" s="63" t="s">
        <v>5405</v>
      </c>
      <c r="F4039" s="60" t="s">
        <v>5406</v>
      </c>
      <c r="G4039" s="60" t="s">
        <v>31</v>
      </c>
      <c r="H4039" s="45" t="s">
        <v>5407</v>
      </c>
      <c r="I4039" s="47" t="e">
        <f>VLOOKUP(H4039,'合同综合查询数据（3月返）'!$A:$A,1,FALSE)</f>
        <v>#N/A</v>
      </c>
      <c r="J4039" s="48" t="s">
        <v>33</v>
      </c>
      <c r="K4039" s="60" t="s">
        <v>5215</v>
      </c>
      <c r="L4039" s="113" t="s">
        <v>5408</v>
      </c>
      <c r="M4039" s="50" t="s">
        <v>5409</v>
      </c>
      <c r="N4039" s="111">
        <v>44551</v>
      </c>
      <c r="O4039" s="62" t="s">
        <v>37</v>
      </c>
      <c r="P4039" s="266">
        <v>50</v>
      </c>
      <c r="Q4039" s="270">
        <v>96</v>
      </c>
      <c r="R4039" s="266">
        <f t="shared" si="92"/>
        <v>4800</v>
      </c>
      <c r="S4039" s="48">
        <v>202303</v>
      </c>
      <c r="T4039" s="125" t="s">
        <v>5411</v>
      </c>
      <c r="U4039" s="102"/>
      <c r="V4039" s="126"/>
      <c r="W4039" s="126"/>
      <c r="X4039" s="309"/>
      <c r="Y4039" s="111"/>
    </row>
    <row r="4040" s="10" customFormat="1" customHeight="1" spans="1:25">
      <c r="A4040" s="103" t="s">
        <v>25</v>
      </c>
      <c r="B4040" s="101" t="s">
        <v>4074</v>
      </c>
      <c r="C4040" s="60" t="s">
        <v>5200</v>
      </c>
      <c r="D4040" s="62" t="s">
        <v>4250</v>
      </c>
      <c r="E4040" s="63" t="s">
        <v>5405</v>
      </c>
      <c r="F4040" s="60" t="s">
        <v>5406</v>
      </c>
      <c r="G4040" s="60" t="s">
        <v>31</v>
      </c>
      <c r="H4040" s="45" t="s">
        <v>5407</v>
      </c>
      <c r="I4040" s="47" t="e">
        <f>VLOOKUP(H4040,'合同综合查询数据（3月返）'!$A:$A,1,FALSE)</f>
        <v>#N/A</v>
      </c>
      <c r="J4040" s="48" t="s">
        <v>33</v>
      </c>
      <c r="K4040" s="60" t="s">
        <v>5215</v>
      </c>
      <c r="L4040" s="113" t="s">
        <v>5408</v>
      </c>
      <c r="M4040" s="50" t="s">
        <v>5409</v>
      </c>
      <c r="N4040" s="111">
        <v>44896</v>
      </c>
      <c r="O4040" s="62" t="s">
        <v>37</v>
      </c>
      <c r="P4040" s="266">
        <v>30</v>
      </c>
      <c r="Q4040" s="270">
        <v>-96</v>
      </c>
      <c r="R4040" s="266">
        <f t="shared" si="92"/>
        <v>-2880</v>
      </c>
      <c r="S4040" s="48">
        <v>202303</v>
      </c>
      <c r="T4040" s="125" t="s">
        <v>5412</v>
      </c>
      <c r="U4040" s="102"/>
      <c r="V4040" s="126"/>
      <c r="W4040" s="126"/>
      <c r="X4040" s="309"/>
      <c r="Y4040" s="111"/>
    </row>
    <row r="4041" s="10" customFormat="1" customHeight="1" spans="1:25">
      <c r="A4041" s="103" t="s">
        <v>25</v>
      </c>
      <c r="B4041" s="101" t="s">
        <v>4074</v>
      </c>
      <c r="C4041" s="60" t="s">
        <v>5200</v>
      </c>
      <c r="D4041" s="62" t="s">
        <v>4250</v>
      </c>
      <c r="E4041" s="63" t="s">
        <v>5405</v>
      </c>
      <c r="F4041" s="60" t="s">
        <v>5406</v>
      </c>
      <c r="G4041" s="60" t="s">
        <v>31</v>
      </c>
      <c r="H4041" s="45" t="s">
        <v>5407</v>
      </c>
      <c r="I4041" s="47" t="e">
        <f>VLOOKUP(H4041,'合同综合查询数据（3月返）'!$A:$A,1,FALSE)</f>
        <v>#N/A</v>
      </c>
      <c r="J4041" s="48" t="s">
        <v>33</v>
      </c>
      <c r="K4041" s="60" t="s">
        <v>5215</v>
      </c>
      <c r="L4041" s="113" t="s">
        <v>5408</v>
      </c>
      <c r="M4041" s="50" t="s">
        <v>5409</v>
      </c>
      <c r="N4041" s="111">
        <v>44896</v>
      </c>
      <c r="O4041" s="62" t="s">
        <v>37</v>
      </c>
      <c r="P4041" s="266">
        <v>0</v>
      </c>
      <c r="Q4041" s="270">
        <v>-32</v>
      </c>
      <c r="R4041" s="266">
        <f t="shared" si="92"/>
        <v>0</v>
      </c>
      <c r="S4041" s="48">
        <v>202303</v>
      </c>
      <c r="T4041" s="125" t="s">
        <v>5413</v>
      </c>
      <c r="U4041" s="102"/>
      <c r="V4041" s="126"/>
      <c r="W4041" s="126"/>
      <c r="X4041" s="309"/>
      <c r="Y4041" s="111"/>
    </row>
    <row r="4042" s="10" customFormat="1" customHeight="1" spans="1:25">
      <c r="A4042" s="103" t="s">
        <v>25</v>
      </c>
      <c r="B4042" s="101" t="s">
        <v>4074</v>
      </c>
      <c r="C4042" s="60" t="s">
        <v>5200</v>
      </c>
      <c r="D4042" s="62" t="s">
        <v>4250</v>
      </c>
      <c r="E4042" s="63" t="s">
        <v>5405</v>
      </c>
      <c r="F4042" s="60" t="s">
        <v>5406</v>
      </c>
      <c r="G4042" s="60" t="s">
        <v>88</v>
      </c>
      <c r="H4042" s="45" t="s">
        <v>5414</v>
      </c>
      <c r="I4042" s="47" t="e">
        <f>VLOOKUP(H4042,'合同综合查询数据（3月返）'!$A:$A,1,FALSE)</f>
        <v>#N/A</v>
      </c>
      <c r="J4042" s="48" t="s">
        <v>126</v>
      </c>
      <c r="K4042" s="60" t="s">
        <v>5215</v>
      </c>
      <c r="L4042" s="113" t="s">
        <v>5408</v>
      </c>
      <c r="M4042" s="50" t="s">
        <v>5409</v>
      </c>
      <c r="N4042" s="111">
        <v>44348</v>
      </c>
      <c r="O4042" s="62" t="s">
        <v>457</v>
      </c>
      <c r="P4042" s="266">
        <v>4500</v>
      </c>
      <c r="Q4042" s="270">
        <v>3</v>
      </c>
      <c r="R4042" s="266">
        <f t="shared" si="92"/>
        <v>13500</v>
      </c>
      <c r="S4042" s="48">
        <v>202303</v>
      </c>
      <c r="T4042" s="125" t="s">
        <v>5415</v>
      </c>
      <c r="U4042" s="102"/>
      <c r="V4042" s="126"/>
      <c r="W4042" s="126"/>
      <c r="X4042" s="111"/>
      <c r="Y4042" s="111"/>
    </row>
    <row r="4043" s="10" customFormat="1" customHeight="1" spans="1:25">
      <c r="A4043" s="103" t="s">
        <v>25</v>
      </c>
      <c r="B4043" s="101" t="s">
        <v>4074</v>
      </c>
      <c r="C4043" s="60" t="s">
        <v>5200</v>
      </c>
      <c r="D4043" s="62" t="s">
        <v>4250</v>
      </c>
      <c r="E4043" s="63" t="s">
        <v>5405</v>
      </c>
      <c r="F4043" s="60" t="s">
        <v>5406</v>
      </c>
      <c r="G4043" s="60" t="s">
        <v>88</v>
      </c>
      <c r="H4043" s="45" t="s">
        <v>5414</v>
      </c>
      <c r="I4043" s="47" t="e">
        <f>VLOOKUP(H4043,'合同综合查询数据（3月返）'!$A:$A,1,FALSE)</f>
        <v>#N/A</v>
      </c>
      <c r="J4043" s="48" t="s">
        <v>126</v>
      </c>
      <c r="K4043" s="60" t="s">
        <v>5215</v>
      </c>
      <c r="L4043" s="113" t="s">
        <v>5408</v>
      </c>
      <c r="M4043" s="50" t="s">
        <v>5409</v>
      </c>
      <c r="N4043" s="111">
        <v>44551</v>
      </c>
      <c r="O4043" s="62" t="s">
        <v>457</v>
      </c>
      <c r="P4043" s="266">
        <v>4500</v>
      </c>
      <c r="Q4043" s="270">
        <v>1</v>
      </c>
      <c r="R4043" s="266">
        <f t="shared" si="92"/>
        <v>4500</v>
      </c>
      <c r="S4043" s="48">
        <v>202303</v>
      </c>
      <c r="T4043" s="125" t="s">
        <v>5416</v>
      </c>
      <c r="U4043" s="102"/>
      <c r="V4043" s="126"/>
      <c r="W4043" s="126"/>
      <c r="X4043" s="111"/>
      <c r="Y4043" s="111"/>
    </row>
    <row r="4044" s="10" customFormat="1" customHeight="1" spans="1:25">
      <c r="A4044" s="103" t="s">
        <v>25</v>
      </c>
      <c r="B4044" s="101" t="s">
        <v>4074</v>
      </c>
      <c r="C4044" s="60" t="s">
        <v>5200</v>
      </c>
      <c r="D4044" s="62" t="s">
        <v>4250</v>
      </c>
      <c r="E4044" s="63" t="s">
        <v>5405</v>
      </c>
      <c r="F4044" s="60" t="s">
        <v>5406</v>
      </c>
      <c r="G4044" s="60" t="s">
        <v>88</v>
      </c>
      <c r="H4044" s="45" t="s">
        <v>5414</v>
      </c>
      <c r="I4044" s="47" t="e">
        <f>VLOOKUP(H4044,'合同综合查询数据（3月返）'!$A:$A,1,FALSE)</f>
        <v>#N/A</v>
      </c>
      <c r="J4044" s="48" t="s">
        <v>126</v>
      </c>
      <c r="K4044" s="60" t="s">
        <v>5215</v>
      </c>
      <c r="L4044" s="113" t="s">
        <v>5408</v>
      </c>
      <c r="M4044" s="50" t="s">
        <v>5409</v>
      </c>
      <c r="N4044" s="111">
        <v>44593</v>
      </c>
      <c r="O4044" s="62" t="s">
        <v>457</v>
      </c>
      <c r="P4044" s="266">
        <v>4500</v>
      </c>
      <c r="Q4044" s="270">
        <v>2</v>
      </c>
      <c r="R4044" s="266">
        <f t="shared" si="92"/>
        <v>9000</v>
      </c>
      <c r="S4044" s="48">
        <v>202303</v>
      </c>
      <c r="T4044" s="125" t="s">
        <v>5417</v>
      </c>
      <c r="U4044" s="102"/>
      <c r="V4044" s="126"/>
      <c r="W4044" s="126"/>
      <c r="X4044" s="111"/>
      <c r="Y4044" s="111"/>
    </row>
    <row r="4045" s="10" customFormat="1" customHeight="1" spans="1:25">
      <c r="A4045" s="103" t="s">
        <v>25</v>
      </c>
      <c r="B4045" s="101" t="s">
        <v>4074</v>
      </c>
      <c r="C4045" s="60" t="s">
        <v>5200</v>
      </c>
      <c r="D4045" s="62" t="s">
        <v>4250</v>
      </c>
      <c r="E4045" s="63" t="s">
        <v>5405</v>
      </c>
      <c r="F4045" s="60" t="s">
        <v>5406</v>
      </c>
      <c r="G4045" s="60" t="s">
        <v>88</v>
      </c>
      <c r="H4045" s="45" t="s">
        <v>5414</v>
      </c>
      <c r="I4045" s="47" t="e">
        <f>VLOOKUP(H4045,'合同综合查询数据（3月返）'!$A:$A,1,FALSE)</f>
        <v>#N/A</v>
      </c>
      <c r="J4045" s="48" t="s">
        <v>126</v>
      </c>
      <c r="K4045" s="60" t="s">
        <v>5215</v>
      </c>
      <c r="L4045" s="113" t="s">
        <v>5408</v>
      </c>
      <c r="M4045" s="50" t="s">
        <v>5409</v>
      </c>
      <c r="N4045" s="111">
        <v>44742</v>
      </c>
      <c r="O4045" s="62" t="s">
        <v>457</v>
      </c>
      <c r="P4045" s="266">
        <v>4500</v>
      </c>
      <c r="Q4045" s="270">
        <v>-1</v>
      </c>
      <c r="R4045" s="266">
        <f t="shared" si="92"/>
        <v>-4500</v>
      </c>
      <c r="S4045" s="48">
        <v>202303</v>
      </c>
      <c r="T4045" s="125" t="s">
        <v>5418</v>
      </c>
      <c r="U4045" s="102"/>
      <c r="V4045" s="126"/>
      <c r="W4045" s="126"/>
      <c r="X4045" s="111"/>
      <c r="Y4045" s="111"/>
    </row>
    <row r="4046" s="9" customFormat="1" customHeight="1" spans="1:25">
      <c r="A4046" s="104" t="s">
        <v>25</v>
      </c>
      <c r="B4046" s="95" t="s">
        <v>4074</v>
      </c>
      <c r="C4046" s="94" t="s">
        <v>44</v>
      </c>
      <c r="D4046" s="94" t="s">
        <v>4178</v>
      </c>
      <c r="E4046" s="105" t="s">
        <v>119</v>
      </c>
      <c r="F4046" s="96" t="s">
        <v>120</v>
      </c>
      <c r="G4046" s="96" t="s">
        <v>31</v>
      </c>
      <c r="H4046" s="19" t="s">
        <v>5419</v>
      </c>
      <c r="I4046" s="23" t="e">
        <f>VLOOKUP(H4046,'合同综合查询数据（3月返）'!$A:$A,1,FALSE)</f>
        <v>#N/A</v>
      </c>
      <c r="J4046" s="24" t="s">
        <v>33</v>
      </c>
      <c r="K4046" s="96" t="s">
        <v>5252</v>
      </c>
      <c r="L4046" s="114" t="s">
        <v>5420</v>
      </c>
      <c r="M4046" s="26" t="s">
        <v>5421</v>
      </c>
      <c r="N4046" s="106">
        <v>44378</v>
      </c>
      <c r="O4046" s="94" t="s">
        <v>37</v>
      </c>
      <c r="P4046" s="268">
        <v>0</v>
      </c>
      <c r="Q4046" s="273">
        <v>128</v>
      </c>
      <c r="R4046" s="268">
        <f t="shared" si="92"/>
        <v>0</v>
      </c>
      <c r="S4046" s="24">
        <v>202303</v>
      </c>
      <c r="T4046" s="127" t="s">
        <v>5422</v>
      </c>
      <c r="U4046" s="97"/>
      <c r="V4046" s="128"/>
      <c r="W4046" s="128"/>
      <c r="X4046" s="106">
        <v>44378</v>
      </c>
      <c r="Y4046" s="106">
        <v>44742</v>
      </c>
    </row>
    <row r="4047" s="9" customFormat="1" customHeight="1" spans="1:25">
      <c r="A4047" s="104" t="s">
        <v>25</v>
      </c>
      <c r="B4047" s="95" t="s">
        <v>4074</v>
      </c>
      <c r="C4047" s="94" t="s">
        <v>44</v>
      </c>
      <c r="D4047" s="94" t="s">
        <v>4178</v>
      </c>
      <c r="E4047" s="105" t="s">
        <v>119</v>
      </c>
      <c r="F4047" s="96" t="s">
        <v>120</v>
      </c>
      <c r="G4047" s="96" t="s">
        <v>31</v>
      </c>
      <c r="H4047" s="19" t="s">
        <v>5419</v>
      </c>
      <c r="I4047" s="23" t="e">
        <f>VLOOKUP(H4047,'合同综合查询数据（3月返）'!$A:$A,1,FALSE)</f>
        <v>#N/A</v>
      </c>
      <c r="J4047" s="24" t="s">
        <v>33</v>
      </c>
      <c r="K4047" s="96" t="s">
        <v>5252</v>
      </c>
      <c r="L4047" s="114" t="s">
        <v>5420</v>
      </c>
      <c r="M4047" s="26" t="s">
        <v>5421</v>
      </c>
      <c r="N4047" s="106">
        <v>44561</v>
      </c>
      <c r="O4047" s="94" t="s">
        <v>37</v>
      </c>
      <c r="P4047" s="268">
        <v>0</v>
      </c>
      <c r="Q4047" s="273">
        <v>-128</v>
      </c>
      <c r="R4047" s="268">
        <f t="shared" si="92"/>
        <v>0</v>
      </c>
      <c r="S4047" s="24">
        <v>202303</v>
      </c>
      <c r="T4047" s="127" t="s">
        <v>4356</v>
      </c>
      <c r="U4047" s="97"/>
      <c r="V4047" s="128"/>
      <c r="W4047" s="128"/>
      <c r="X4047" s="106">
        <v>44378</v>
      </c>
      <c r="Y4047" s="106">
        <v>44742</v>
      </c>
    </row>
    <row r="4048" s="9" customFormat="1" customHeight="1" spans="1:25">
      <c r="A4048" s="104" t="s">
        <v>25</v>
      </c>
      <c r="B4048" s="95" t="s">
        <v>4074</v>
      </c>
      <c r="C4048" s="94" t="s">
        <v>44</v>
      </c>
      <c r="D4048" s="94" t="s">
        <v>4178</v>
      </c>
      <c r="E4048" s="105" t="s">
        <v>119</v>
      </c>
      <c r="F4048" s="96" t="s">
        <v>120</v>
      </c>
      <c r="G4048" s="96" t="s">
        <v>31</v>
      </c>
      <c r="H4048" s="19" t="s">
        <v>5419</v>
      </c>
      <c r="I4048" s="23" t="e">
        <f>VLOOKUP(H4048,'合同综合查询数据（3月返）'!$A:$A,1,FALSE)</f>
        <v>#N/A</v>
      </c>
      <c r="J4048" s="24" t="s">
        <v>33</v>
      </c>
      <c r="K4048" s="96" t="s">
        <v>5252</v>
      </c>
      <c r="L4048" s="114" t="s">
        <v>5420</v>
      </c>
      <c r="M4048" s="26" t="s">
        <v>5421</v>
      </c>
      <c r="N4048" s="106">
        <v>44378</v>
      </c>
      <c r="O4048" s="94" t="s">
        <v>37</v>
      </c>
      <c r="P4048" s="268">
        <v>50</v>
      </c>
      <c r="Q4048" s="273">
        <v>160</v>
      </c>
      <c r="R4048" s="268">
        <f t="shared" si="92"/>
        <v>8000</v>
      </c>
      <c r="S4048" s="24">
        <v>202303</v>
      </c>
      <c r="T4048" s="127" t="s">
        <v>5422</v>
      </c>
      <c r="U4048" s="97"/>
      <c r="V4048" s="128"/>
      <c r="W4048" s="128"/>
      <c r="X4048" s="106">
        <v>44378</v>
      </c>
      <c r="Y4048" s="106">
        <v>44742</v>
      </c>
    </row>
    <row r="4049" s="9" customFormat="1" customHeight="1" spans="1:25">
      <c r="A4049" s="104" t="s">
        <v>25</v>
      </c>
      <c r="B4049" s="95" t="s">
        <v>4074</v>
      </c>
      <c r="C4049" s="94" t="s">
        <v>44</v>
      </c>
      <c r="D4049" s="94" t="s">
        <v>4178</v>
      </c>
      <c r="E4049" s="105" t="s">
        <v>119</v>
      </c>
      <c r="F4049" s="96" t="s">
        <v>120</v>
      </c>
      <c r="G4049" s="96" t="s">
        <v>31</v>
      </c>
      <c r="H4049" s="19" t="s">
        <v>5419</v>
      </c>
      <c r="I4049" s="23" t="e">
        <f>VLOOKUP(H4049,'合同综合查询数据（3月返）'!$A:$A,1,FALSE)</f>
        <v>#N/A</v>
      </c>
      <c r="J4049" s="24" t="s">
        <v>33</v>
      </c>
      <c r="K4049" s="96" t="s">
        <v>5252</v>
      </c>
      <c r="L4049" s="114" t="s">
        <v>5420</v>
      </c>
      <c r="M4049" s="26" t="s">
        <v>5421</v>
      </c>
      <c r="N4049" s="106">
        <v>44561</v>
      </c>
      <c r="O4049" s="94" t="s">
        <v>37</v>
      </c>
      <c r="P4049" s="268">
        <v>50</v>
      </c>
      <c r="Q4049" s="273">
        <v>-160</v>
      </c>
      <c r="R4049" s="268">
        <f t="shared" si="92"/>
        <v>-8000</v>
      </c>
      <c r="S4049" s="24">
        <v>202303</v>
      </c>
      <c r="T4049" s="127" t="s">
        <v>5423</v>
      </c>
      <c r="U4049" s="97"/>
      <c r="V4049" s="128"/>
      <c r="W4049" s="128"/>
      <c r="X4049" s="106">
        <v>44378</v>
      </c>
      <c r="Y4049" s="106">
        <v>44742</v>
      </c>
    </row>
    <row r="4050" s="9" customFormat="1" customHeight="1" spans="1:25">
      <c r="A4050" s="104" t="s">
        <v>25</v>
      </c>
      <c r="B4050" s="95" t="s">
        <v>4074</v>
      </c>
      <c r="C4050" s="94" t="s">
        <v>44</v>
      </c>
      <c r="D4050" s="94" t="s">
        <v>4178</v>
      </c>
      <c r="E4050" s="105" t="s">
        <v>119</v>
      </c>
      <c r="F4050" s="96" t="s">
        <v>120</v>
      </c>
      <c r="G4050" s="96" t="s">
        <v>88</v>
      </c>
      <c r="H4050" s="19" t="s">
        <v>5419</v>
      </c>
      <c r="I4050" s="23" t="e">
        <f>VLOOKUP(H4050,'合同综合查询数据（3月返）'!$A:$A,1,FALSE)</f>
        <v>#N/A</v>
      </c>
      <c r="J4050" s="24" t="s">
        <v>126</v>
      </c>
      <c r="K4050" s="96" t="s">
        <v>5252</v>
      </c>
      <c r="L4050" s="114" t="s">
        <v>5420</v>
      </c>
      <c r="M4050" s="26" t="s">
        <v>5421</v>
      </c>
      <c r="N4050" s="106">
        <v>44378</v>
      </c>
      <c r="O4050" s="94" t="s">
        <v>1424</v>
      </c>
      <c r="P4050" s="268">
        <v>3750</v>
      </c>
      <c r="Q4050" s="273">
        <v>4</v>
      </c>
      <c r="R4050" s="268">
        <f t="shared" si="92"/>
        <v>15000</v>
      </c>
      <c r="S4050" s="24">
        <v>202303</v>
      </c>
      <c r="T4050" s="127" t="s">
        <v>5424</v>
      </c>
      <c r="U4050" s="97"/>
      <c r="V4050" s="128"/>
      <c r="W4050" s="128"/>
      <c r="X4050" s="106">
        <v>44378</v>
      </c>
      <c r="Y4050" s="106">
        <v>44742</v>
      </c>
    </row>
    <row r="4051" s="9" customFormat="1" customHeight="1" spans="1:25">
      <c r="A4051" s="104" t="s">
        <v>25</v>
      </c>
      <c r="B4051" s="95" t="s">
        <v>4074</v>
      </c>
      <c r="C4051" s="94" t="s">
        <v>44</v>
      </c>
      <c r="D4051" s="94" t="s">
        <v>4178</v>
      </c>
      <c r="E4051" s="105" t="s">
        <v>119</v>
      </c>
      <c r="F4051" s="96" t="s">
        <v>120</v>
      </c>
      <c r="G4051" s="96" t="s">
        <v>88</v>
      </c>
      <c r="H4051" s="19" t="s">
        <v>5419</v>
      </c>
      <c r="I4051" s="23" t="e">
        <f>VLOOKUP(H4051,'合同综合查询数据（3月返）'!$A:$A,1,FALSE)</f>
        <v>#N/A</v>
      </c>
      <c r="J4051" s="24" t="s">
        <v>126</v>
      </c>
      <c r="K4051" s="96" t="s">
        <v>5252</v>
      </c>
      <c r="L4051" s="114" t="s">
        <v>5420</v>
      </c>
      <c r="M4051" s="26" t="s">
        <v>5421</v>
      </c>
      <c r="N4051" s="106">
        <v>44394</v>
      </c>
      <c r="O4051" s="106" t="s">
        <v>1424</v>
      </c>
      <c r="P4051" s="297">
        <v>3750</v>
      </c>
      <c r="Q4051" s="297">
        <v>1</v>
      </c>
      <c r="R4051" s="268">
        <f t="shared" si="92"/>
        <v>3750</v>
      </c>
      <c r="S4051" s="24">
        <v>202303</v>
      </c>
      <c r="T4051" s="127" t="s">
        <v>5425</v>
      </c>
      <c r="U4051" s="97"/>
      <c r="V4051" s="128"/>
      <c r="W4051" s="128"/>
      <c r="X4051" s="106">
        <v>44378</v>
      </c>
      <c r="Y4051" s="106">
        <v>44742</v>
      </c>
    </row>
    <row r="4052" s="9" customFormat="1" customHeight="1" spans="1:25">
      <c r="A4052" s="104" t="s">
        <v>25</v>
      </c>
      <c r="B4052" s="95" t="s">
        <v>4074</v>
      </c>
      <c r="C4052" s="94" t="s">
        <v>44</v>
      </c>
      <c r="D4052" s="94" t="s">
        <v>4178</v>
      </c>
      <c r="E4052" s="105" t="s">
        <v>119</v>
      </c>
      <c r="F4052" s="96" t="s">
        <v>120</v>
      </c>
      <c r="G4052" s="96" t="s">
        <v>88</v>
      </c>
      <c r="H4052" s="19" t="s">
        <v>5419</v>
      </c>
      <c r="I4052" s="23" t="e">
        <f>VLOOKUP(H4052,'合同综合查询数据（3月返）'!$A:$A,1,FALSE)</f>
        <v>#N/A</v>
      </c>
      <c r="J4052" s="24" t="s">
        <v>126</v>
      </c>
      <c r="K4052" s="96" t="s">
        <v>5252</v>
      </c>
      <c r="L4052" s="114" t="s">
        <v>5420</v>
      </c>
      <c r="M4052" s="26" t="s">
        <v>5421</v>
      </c>
      <c r="N4052" s="106">
        <v>44561</v>
      </c>
      <c r="O4052" s="106" t="s">
        <v>1424</v>
      </c>
      <c r="P4052" s="297">
        <v>3750</v>
      </c>
      <c r="Q4052" s="297">
        <v>-5</v>
      </c>
      <c r="R4052" s="268">
        <f t="shared" si="92"/>
        <v>-18750</v>
      </c>
      <c r="S4052" s="24">
        <v>202303</v>
      </c>
      <c r="T4052" s="127" t="s">
        <v>5426</v>
      </c>
      <c r="U4052" s="97"/>
      <c r="V4052" s="128"/>
      <c r="W4052" s="128"/>
      <c r="X4052" s="106">
        <v>44378</v>
      </c>
      <c r="Y4052" s="106">
        <v>44742</v>
      </c>
    </row>
    <row r="4053" s="9" customFormat="1" customHeight="1" spans="1:25">
      <c r="A4053" s="104" t="s">
        <v>25</v>
      </c>
      <c r="B4053" s="95" t="s">
        <v>4074</v>
      </c>
      <c r="C4053" s="94" t="s">
        <v>1854</v>
      </c>
      <c r="D4053" s="94" t="s">
        <v>4178</v>
      </c>
      <c r="E4053" s="105" t="s">
        <v>5427</v>
      </c>
      <c r="F4053" s="96" t="s">
        <v>5428</v>
      </c>
      <c r="G4053" s="96" t="s">
        <v>31</v>
      </c>
      <c r="H4053" s="19" t="s">
        <v>5429</v>
      </c>
      <c r="I4053" s="23" t="e">
        <f>VLOOKUP(H4053,'合同综合查询数据（3月返）'!$A:$A,1,FALSE)</f>
        <v>#N/A</v>
      </c>
      <c r="J4053" s="24" t="s">
        <v>33</v>
      </c>
      <c r="K4053" s="96" t="s">
        <v>5430</v>
      </c>
      <c r="L4053" s="114" t="s">
        <v>5431</v>
      </c>
      <c r="M4053" s="26" t="s">
        <v>5432</v>
      </c>
      <c r="N4053" s="106">
        <v>44411</v>
      </c>
      <c r="O4053" s="94" t="s">
        <v>37</v>
      </c>
      <c r="P4053" s="268">
        <v>0</v>
      </c>
      <c r="Q4053" s="273">
        <v>288</v>
      </c>
      <c r="R4053" s="268">
        <f t="shared" si="92"/>
        <v>0</v>
      </c>
      <c r="S4053" s="24">
        <v>202303</v>
      </c>
      <c r="T4053" s="127" t="s">
        <v>5433</v>
      </c>
      <c r="U4053" s="97"/>
      <c r="V4053" s="128"/>
      <c r="W4053" s="128"/>
      <c r="X4053" s="106">
        <v>44774</v>
      </c>
      <c r="Y4053" s="106">
        <v>44834</v>
      </c>
    </row>
    <row r="4054" s="9" customFormat="1" customHeight="1" spans="1:25">
      <c r="A4054" s="104" t="s">
        <v>25</v>
      </c>
      <c r="B4054" s="95" t="s">
        <v>4074</v>
      </c>
      <c r="C4054" s="94" t="s">
        <v>1854</v>
      </c>
      <c r="D4054" s="94" t="s">
        <v>4178</v>
      </c>
      <c r="E4054" s="105" t="s">
        <v>5427</v>
      </c>
      <c r="F4054" s="96" t="s">
        <v>5428</v>
      </c>
      <c r="G4054" s="96" t="s">
        <v>31</v>
      </c>
      <c r="H4054" s="19" t="s">
        <v>5429</v>
      </c>
      <c r="I4054" s="23" t="e">
        <f>VLOOKUP(H4054,'合同综合查询数据（3月返）'!$A:$A,1,FALSE)</f>
        <v>#N/A</v>
      </c>
      <c r="J4054" s="24" t="s">
        <v>33</v>
      </c>
      <c r="K4054" s="96" t="s">
        <v>5430</v>
      </c>
      <c r="L4054" s="114" t="s">
        <v>5431</v>
      </c>
      <c r="M4054" s="26" t="s">
        <v>5432</v>
      </c>
      <c r="N4054" s="106">
        <v>44834</v>
      </c>
      <c r="O4054" s="94" t="s">
        <v>37</v>
      </c>
      <c r="P4054" s="268">
        <v>0</v>
      </c>
      <c r="Q4054" s="273">
        <v>-288</v>
      </c>
      <c r="R4054" s="268">
        <f t="shared" si="92"/>
        <v>0</v>
      </c>
      <c r="S4054" s="24">
        <v>202303</v>
      </c>
      <c r="T4054" s="127" t="s">
        <v>3506</v>
      </c>
      <c r="U4054" s="97"/>
      <c r="V4054" s="128"/>
      <c r="W4054" s="128"/>
      <c r="X4054" s="106">
        <v>44774</v>
      </c>
      <c r="Y4054" s="106">
        <v>44834</v>
      </c>
    </row>
    <row r="4055" s="9" customFormat="1" customHeight="1" spans="1:25">
      <c r="A4055" s="104" t="s">
        <v>25</v>
      </c>
      <c r="B4055" s="95" t="s">
        <v>4074</v>
      </c>
      <c r="C4055" s="94" t="s">
        <v>1854</v>
      </c>
      <c r="D4055" s="94" t="s">
        <v>4178</v>
      </c>
      <c r="E4055" s="105" t="s">
        <v>5427</v>
      </c>
      <c r="F4055" s="96" t="s">
        <v>5428</v>
      </c>
      <c r="G4055" s="96" t="s">
        <v>31</v>
      </c>
      <c r="H4055" s="19" t="s">
        <v>5429</v>
      </c>
      <c r="I4055" s="23" t="e">
        <f>VLOOKUP(H4055,'合同综合查询数据（3月返）'!$A:$A,1,FALSE)</f>
        <v>#N/A</v>
      </c>
      <c r="J4055" s="24" t="s">
        <v>33</v>
      </c>
      <c r="K4055" s="96" t="s">
        <v>5430</v>
      </c>
      <c r="L4055" s="114" t="s">
        <v>5431</v>
      </c>
      <c r="M4055" s="26" t="s">
        <v>5432</v>
      </c>
      <c r="N4055" s="106"/>
      <c r="O4055" s="94" t="s">
        <v>152</v>
      </c>
      <c r="P4055" s="268">
        <v>0</v>
      </c>
      <c r="Q4055" s="268">
        <v>0</v>
      </c>
      <c r="R4055" s="268">
        <f t="shared" si="92"/>
        <v>0</v>
      </c>
      <c r="S4055" s="24">
        <v>202303</v>
      </c>
      <c r="T4055" s="127" t="s">
        <v>5434</v>
      </c>
      <c r="U4055" s="97"/>
      <c r="V4055" s="128"/>
      <c r="W4055" s="128"/>
      <c r="X4055" s="106">
        <v>44774</v>
      </c>
      <c r="Y4055" s="106">
        <v>44834</v>
      </c>
    </row>
    <row r="4056" s="9" customFormat="1" customHeight="1" spans="1:25">
      <c r="A4056" s="104" t="s">
        <v>25</v>
      </c>
      <c r="B4056" s="95" t="s">
        <v>4074</v>
      </c>
      <c r="C4056" s="94" t="s">
        <v>1854</v>
      </c>
      <c r="D4056" s="94" t="s">
        <v>4178</v>
      </c>
      <c r="E4056" s="105" t="s">
        <v>5427</v>
      </c>
      <c r="F4056" s="96" t="s">
        <v>5428</v>
      </c>
      <c r="G4056" s="96" t="s">
        <v>88</v>
      </c>
      <c r="H4056" s="19" t="s">
        <v>5429</v>
      </c>
      <c r="I4056" s="23" t="e">
        <f>VLOOKUP(H4056,'合同综合查询数据（3月返）'!$A:$A,1,FALSE)</f>
        <v>#N/A</v>
      </c>
      <c r="J4056" s="24" t="s">
        <v>126</v>
      </c>
      <c r="K4056" s="96" t="s">
        <v>5430</v>
      </c>
      <c r="L4056" s="114" t="s">
        <v>5431</v>
      </c>
      <c r="M4056" s="26" t="s">
        <v>5432</v>
      </c>
      <c r="N4056" s="106">
        <v>44411</v>
      </c>
      <c r="O4056" s="94" t="s">
        <v>127</v>
      </c>
      <c r="P4056" s="268">
        <v>0</v>
      </c>
      <c r="Q4056" s="273">
        <v>3</v>
      </c>
      <c r="R4056" s="268">
        <f t="shared" si="92"/>
        <v>0</v>
      </c>
      <c r="S4056" s="24">
        <v>202303</v>
      </c>
      <c r="T4056" s="127" t="s">
        <v>5435</v>
      </c>
      <c r="U4056" s="97"/>
      <c r="V4056" s="128"/>
      <c r="W4056" s="128"/>
      <c r="X4056" s="106">
        <v>44774</v>
      </c>
      <c r="Y4056" s="106">
        <v>44834</v>
      </c>
    </row>
    <row r="4057" s="9" customFormat="1" customHeight="1" spans="1:25">
      <c r="A4057" s="104" t="s">
        <v>25</v>
      </c>
      <c r="B4057" s="95" t="s">
        <v>4074</v>
      </c>
      <c r="C4057" s="94" t="s">
        <v>1854</v>
      </c>
      <c r="D4057" s="94" t="s">
        <v>4178</v>
      </c>
      <c r="E4057" s="105" t="s">
        <v>5427</v>
      </c>
      <c r="F4057" s="96" t="s">
        <v>5428</v>
      </c>
      <c r="G4057" s="96" t="s">
        <v>88</v>
      </c>
      <c r="H4057" s="19" t="s">
        <v>5429</v>
      </c>
      <c r="I4057" s="23" t="e">
        <f>VLOOKUP(H4057,'合同综合查询数据（3月返）'!$A:$A,1,FALSE)</f>
        <v>#N/A</v>
      </c>
      <c r="J4057" s="24" t="s">
        <v>126</v>
      </c>
      <c r="K4057" s="96" t="s">
        <v>5430</v>
      </c>
      <c r="L4057" s="114" t="s">
        <v>5431</v>
      </c>
      <c r="M4057" s="26" t="s">
        <v>5432</v>
      </c>
      <c r="N4057" s="106">
        <v>44834</v>
      </c>
      <c r="O4057" s="94" t="s">
        <v>127</v>
      </c>
      <c r="P4057" s="268">
        <v>0</v>
      </c>
      <c r="Q4057" s="273">
        <v>-3</v>
      </c>
      <c r="R4057" s="268">
        <f t="shared" si="92"/>
        <v>0</v>
      </c>
      <c r="S4057" s="24">
        <v>202303</v>
      </c>
      <c r="T4057" s="127" t="s">
        <v>5436</v>
      </c>
      <c r="U4057" s="97"/>
      <c r="V4057" s="128"/>
      <c r="W4057" s="128"/>
      <c r="X4057" s="106">
        <v>44774</v>
      </c>
      <c r="Y4057" s="106">
        <v>44834</v>
      </c>
    </row>
    <row r="4058" s="9" customFormat="1" customHeight="1" spans="1:25">
      <c r="A4058" s="104" t="s">
        <v>25</v>
      </c>
      <c r="B4058" s="95" t="s">
        <v>4074</v>
      </c>
      <c r="C4058" s="94" t="s">
        <v>1854</v>
      </c>
      <c r="D4058" s="94" t="s">
        <v>4178</v>
      </c>
      <c r="E4058" s="105" t="s">
        <v>5427</v>
      </c>
      <c r="F4058" s="96" t="s">
        <v>5428</v>
      </c>
      <c r="G4058" s="96" t="s">
        <v>31</v>
      </c>
      <c r="H4058" s="19" t="s">
        <v>5437</v>
      </c>
      <c r="I4058" s="23" t="e">
        <f>VLOOKUP(H4058,'合同综合查询数据（3月返）'!$A:$A,1,FALSE)</f>
        <v>#N/A</v>
      </c>
      <c r="J4058" s="24" t="s">
        <v>33</v>
      </c>
      <c r="K4058" s="96" t="s">
        <v>4631</v>
      </c>
      <c r="L4058" s="114" t="s">
        <v>5438</v>
      </c>
      <c r="M4058" s="26" t="s">
        <v>5439</v>
      </c>
      <c r="N4058" s="106">
        <v>44470</v>
      </c>
      <c r="O4058" s="94" t="s">
        <v>37</v>
      </c>
      <c r="P4058" s="268">
        <v>0</v>
      </c>
      <c r="Q4058" s="273">
        <v>288</v>
      </c>
      <c r="R4058" s="268">
        <f t="shared" si="92"/>
        <v>0</v>
      </c>
      <c r="S4058" s="24">
        <v>202303</v>
      </c>
      <c r="T4058" s="127" t="s">
        <v>5440</v>
      </c>
      <c r="U4058" s="97"/>
      <c r="V4058" s="128"/>
      <c r="W4058" s="128"/>
      <c r="X4058" s="106">
        <v>44470</v>
      </c>
      <c r="Y4058" s="106">
        <v>44834</v>
      </c>
    </row>
    <row r="4059" s="9" customFormat="1" customHeight="1" spans="1:25">
      <c r="A4059" s="104" t="s">
        <v>25</v>
      </c>
      <c r="B4059" s="95" t="s">
        <v>4074</v>
      </c>
      <c r="C4059" s="94" t="s">
        <v>1854</v>
      </c>
      <c r="D4059" s="94" t="s">
        <v>4178</v>
      </c>
      <c r="E4059" s="105" t="s">
        <v>5427</v>
      </c>
      <c r="F4059" s="96" t="s">
        <v>5428</v>
      </c>
      <c r="G4059" s="96" t="s">
        <v>31</v>
      </c>
      <c r="H4059" s="19" t="s">
        <v>5437</v>
      </c>
      <c r="I4059" s="23" t="e">
        <f>VLOOKUP(H4059,'合同综合查询数据（3月返）'!$A:$A,1,FALSE)</f>
        <v>#N/A</v>
      </c>
      <c r="J4059" s="24" t="s">
        <v>33</v>
      </c>
      <c r="K4059" s="96" t="s">
        <v>4631</v>
      </c>
      <c r="L4059" s="114" t="s">
        <v>5438</v>
      </c>
      <c r="M4059" s="26" t="s">
        <v>5439</v>
      </c>
      <c r="N4059" s="106">
        <v>44834</v>
      </c>
      <c r="O4059" s="94" t="s">
        <v>37</v>
      </c>
      <c r="P4059" s="268">
        <v>0</v>
      </c>
      <c r="Q4059" s="273">
        <v>-288</v>
      </c>
      <c r="R4059" s="268">
        <f t="shared" si="92"/>
        <v>0</v>
      </c>
      <c r="S4059" s="24">
        <v>202303</v>
      </c>
      <c r="T4059" s="127" t="s">
        <v>3506</v>
      </c>
      <c r="U4059" s="97"/>
      <c r="V4059" s="128"/>
      <c r="W4059" s="128"/>
      <c r="X4059" s="106">
        <v>44470</v>
      </c>
      <c r="Y4059" s="106">
        <v>44834</v>
      </c>
    </row>
    <row r="4060" s="9" customFormat="1" customHeight="1" spans="1:25">
      <c r="A4060" s="104" t="s">
        <v>25</v>
      </c>
      <c r="B4060" s="95" t="s">
        <v>4074</v>
      </c>
      <c r="C4060" s="94" t="s">
        <v>1854</v>
      </c>
      <c r="D4060" s="94" t="s">
        <v>4178</v>
      </c>
      <c r="E4060" s="105" t="s">
        <v>5427</v>
      </c>
      <c r="F4060" s="96" t="s">
        <v>5428</v>
      </c>
      <c r="G4060" s="96" t="s">
        <v>31</v>
      </c>
      <c r="H4060" s="19" t="s">
        <v>5437</v>
      </c>
      <c r="I4060" s="23" t="e">
        <f>VLOOKUP(H4060,'合同综合查询数据（3月返）'!$A:$A,1,FALSE)</f>
        <v>#N/A</v>
      </c>
      <c r="J4060" s="24" t="s">
        <v>33</v>
      </c>
      <c r="K4060" s="96" t="s">
        <v>4631</v>
      </c>
      <c r="L4060" s="114" t="s">
        <v>5438</v>
      </c>
      <c r="M4060" s="26" t="s">
        <v>5439</v>
      </c>
      <c r="N4060" s="106"/>
      <c r="O4060" s="94" t="s">
        <v>152</v>
      </c>
      <c r="P4060" s="268">
        <v>0</v>
      </c>
      <c r="Q4060" s="268">
        <v>0</v>
      </c>
      <c r="R4060" s="268">
        <f t="shared" si="92"/>
        <v>0</v>
      </c>
      <c r="S4060" s="24">
        <v>202303</v>
      </c>
      <c r="T4060" s="127" t="s">
        <v>5441</v>
      </c>
      <c r="U4060" s="97"/>
      <c r="V4060" s="128"/>
      <c r="W4060" s="128"/>
      <c r="X4060" s="106">
        <v>44470</v>
      </c>
      <c r="Y4060" s="106">
        <v>44834</v>
      </c>
    </row>
    <row r="4061" s="9" customFormat="1" customHeight="1" spans="1:25">
      <c r="A4061" s="104" t="s">
        <v>25</v>
      </c>
      <c r="B4061" s="95" t="s">
        <v>4074</v>
      </c>
      <c r="C4061" s="94" t="s">
        <v>1854</v>
      </c>
      <c r="D4061" s="94" t="s">
        <v>4178</v>
      </c>
      <c r="E4061" s="105" t="s">
        <v>5427</v>
      </c>
      <c r="F4061" s="96" t="s">
        <v>5428</v>
      </c>
      <c r="G4061" s="96" t="s">
        <v>88</v>
      </c>
      <c r="H4061" s="19" t="s">
        <v>5437</v>
      </c>
      <c r="I4061" s="23" t="e">
        <f>VLOOKUP(H4061,'合同综合查询数据（3月返）'!$A:$A,1,FALSE)</f>
        <v>#N/A</v>
      </c>
      <c r="J4061" s="24" t="s">
        <v>126</v>
      </c>
      <c r="K4061" s="96" t="s">
        <v>4631</v>
      </c>
      <c r="L4061" s="114" t="s">
        <v>5438</v>
      </c>
      <c r="M4061" s="26" t="s">
        <v>5439</v>
      </c>
      <c r="N4061" s="106">
        <v>44470</v>
      </c>
      <c r="O4061" s="94" t="s">
        <v>127</v>
      </c>
      <c r="P4061" s="268">
        <v>0</v>
      </c>
      <c r="Q4061" s="273">
        <v>4</v>
      </c>
      <c r="R4061" s="268">
        <f t="shared" si="92"/>
        <v>0</v>
      </c>
      <c r="S4061" s="24">
        <v>202303</v>
      </c>
      <c r="T4061" s="127" t="s">
        <v>5442</v>
      </c>
      <c r="U4061" s="97"/>
      <c r="V4061" s="128"/>
      <c r="W4061" s="128"/>
      <c r="X4061" s="106">
        <v>44470</v>
      </c>
      <c r="Y4061" s="106">
        <v>44834</v>
      </c>
    </row>
    <row r="4062" s="9" customFormat="1" customHeight="1" spans="1:25">
      <c r="A4062" s="104" t="s">
        <v>25</v>
      </c>
      <c r="B4062" s="95" t="s">
        <v>4074</v>
      </c>
      <c r="C4062" s="94" t="s">
        <v>1854</v>
      </c>
      <c r="D4062" s="94" t="s">
        <v>4178</v>
      </c>
      <c r="E4062" s="105" t="s">
        <v>5427</v>
      </c>
      <c r="F4062" s="96" t="s">
        <v>5428</v>
      </c>
      <c r="G4062" s="96" t="s">
        <v>88</v>
      </c>
      <c r="H4062" s="19" t="s">
        <v>5437</v>
      </c>
      <c r="I4062" s="23" t="e">
        <f>VLOOKUP(H4062,'合同综合查询数据（3月返）'!$A:$A,1,FALSE)</f>
        <v>#N/A</v>
      </c>
      <c r="J4062" s="24" t="s">
        <v>126</v>
      </c>
      <c r="K4062" s="96" t="s">
        <v>4631</v>
      </c>
      <c r="L4062" s="114" t="s">
        <v>5438</v>
      </c>
      <c r="M4062" s="26" t="s">
        <v>5439</v>
      </c>
      <c r="N4062" s="106">
        <v>44834</v>
      </c>
      <c r="O4062" s="94" t="s">
        <v>127</v>
      </c>
      <c r="P4062" s="268">
        <v>0</v>
      </c>
      <c r="Q4062" s="273">
        <v>-4</v>
      </c>
      <c r="R4062" s="268">
        <f t="shared" si="92"/>
        <v>0</v>
      </c>
      <c r="S4062" s="24">
        <v>202303</v>
      </c>
      <c r="T4062" s="127" t="s">
        <v>5443</v>
      </c>
      <c r="U4062" s="97"/>
      <c r="V4062" s="128"/>
      <c r="W4062" s="128"/>
      <c r="X4062" s="106">
        <v>44470</v>
      </c>
      <c r="Y4062" s="106">
        <v>44834</v>
      </c>
    </row>
    <row r="4063" s="9" customFormat="1" customHeight="1" spans="1:25">
      <c r="A4063" s="104" t="s">
        <v>109</v>
      </c>
      <c r="B4063" s="95" t="s">
        <v>4074</v>
      </c>
      <c r="C4063" s="94" t="s">
        <v>2998</v>
      </c>
      <c r="D4063" s="94" t="s">
        <v>4178</v>
      </c>
      <c r="E4063" s="105" t="s">
        <v>5444</v>
      </c>
      <c r="F4063" s="96" t="s">
        <v>5445</v>
      </c>
      <c r="G4063" s="96" t="s">
        <v>31</v>
      </c>
      <c r="H4063" s="19" t="s">
        <v>5446</v>
      </c>
      <c r="I4063" s="23" t="e">
        <f>VLOOKUP(H4063,'合同综合查询数据（3月返）'!$A:$A,1,FALSE)</f>
        <v>#N/A</v>
      </c>
      <c r="J4063" s="24" t="s">
        <v>33</v>
      </c>
      <c r="K4063" s="96" t="s">
        <v>4216</v>
      </c>
      <c r="L4063" s="114" t="s">
        <v>5447</v>
      </c>
      <c r="M4063" s="26" t="s">
        <v>5448</v>
      </c>
      <c r="N4063" s="106">
        <v>44409</v>
      </c>
      <c r="O4063" s="94" t="s">
        <v>37</v>
      </c>
      <c r="P4063" s="268">
        <v>0</v>
      </c>
      <c r="Q4063" s="273">
        <v>128</v>
      </c>
      <c r="R4063" s="268">
        <f t="shared" si="92"/>
        <v>0</v>
      </c>
      <c r="S4063" s="24">
        <v>202303</v>
      </c>
      <c r="T4063" s="127" t="s">
        <v>5449</v>
      </c>
      <c r="U4063" s="97"/>
      <c r="V4063" s="128"/>
      <c r="W4063" s="128"/>
      <c r="X4063" s="106">
        <v>44409</v>
      </c>
      <c r="Y4063" s="106">
        <v>44773</v>
      </c>
    </row>
    <row r="4064" s="9" customFormat="1" customHeight="1" spans="1:25">
      <c r="A4064" s="104" t="s">
        <v>109</v>
      </c>
      <c r="B4064" s="95" t="s">
        <v>4074</v>
      </c>
      <c r="C4064" s="94" t="s">
        <v>2998</v>
      </c>
      <c r="D4064" s="94" t="s">
        <v>4178</v>
      </c>
      <c r="E4064" s="105" t="s">
        <v>5444</v>
      </c>
      <c r="F4064" s="96" t="s">
        <v>5445</v>
      </c>
      <c r="G4064" s="96" t="s">
        <v>31</v>
      </c>
      <c r="H4064" s="19" t="s">
        <v>5446</v>
      </c>
      <c r="I4064" s="23" t="e">
        <f>VLOOKUP(H4064,'合同综合查询数据（3月返）'!$A:$A,1,FALSE)</f>
        <v>#N/A</v>
      </c>
      <c r="J4064" s="24" t="s">
        <v>33</v>
      </c>
      <c r="K4064" s="96" t="s">
        <v>4216</v>
      </c>
      <c r="L4064" s="114" t="s">
        <v>5447</v>
      </c>
      <c r="M4064" s="26" t="s">
        <v>5448</v>
      </c>
      <c r="N4064" s="106">
        <v>44409</v>
      </c>
      <c r="O4064" s="94" t="s">
        <v>37</v>
      </c>
      <c r="P4064" s="268">
        <v>50</v>
      </c>
      <c r="Q4064" s="273">
        <v>160</v>
      </c>
      <c r="R4064" s="268">
        <f t="shared" si="92"/>
        <v>8000</v>
      </c>
      <c r="S4064" s="24">
        <v>202303</v>
      </c>
      <c r="T4064" s="127" t="s">
        <v>5449</v>
      </c>
      <c r="U4064" s="97"/>
      <c r="V4064" s="128"/>
      <c r="W4064" s="128"/>
      <c r="X4064" s="106">
        <v>44409</v>
      </c>
      <c r="Y4064" s="106">
        <v>44773</v>
      </c>
    </row>
    <row r="4065" s="9" customFormat="1" customHeight="1" spans="1:25">
      <c r="A4065" s="104" t="s">
        <v>109</v>
      </c>
      <c r="B4065" s="95" t="s">
        <v>4074</v>
      </c>
      <c r="C4065" s="94" t="s">
        <v>2998</v>
      </c>
      <c r="D4065" s="94" t="s">
        <v>4178</v>
      </c>
      <c r="E4065" s="105" t="s">
        <v>5444</v>
      </c>
      <c r="F4065" s="96" t="s">
        <v>5445</v>
      </c>
      <c r="G4065" s="96" t="s">
        <v>31</v>
      </c>
      <c r="H4065" s="19" t="s">
        <v>5446</v>
      </c>
      <c r="I4065" s="23" t="e">
        <f>VLOOKUP(H4065,'合同综合查询数据（3月返）'!$A:$A,1,FALSE)</f>
        <v>#N/A</v>
      </c>
      <c r="J4065" s="24" t="s">
        <v>33</v>
      </c>
      <c r="K4065" s="96" t="s">
        <v>4216</v>
      </c>
      <c r="L4065" s="114" t="s">
        <v>5447</v>
      </c>
      <c r="M4065" s="26" t="s">
        <v>5448</v>
      </c>
      <c r="N4065" s="106">
        <v>44561</v>
      </c>
      <c r="O4065" s="94" t="s">
        <v>37</v>
      </c>
      <c r="P4065" s="268">
        <v>0</v>
      </c>
      <c r="Q4065" s="273">
        <v>-128</v>
      </c>
      <c r="R4065" s="268">
        <f t="shared" si="92"/>
        <v>0</v>
      </c>
      <c r="S4065" s="24">
        <v>202303</v>
      </c>
      <c r="T4065" s="127" t="s">
        <v>4356</v>
      </c>
      <c r="U4065" s="97"/>
      <c r="V4065" s="128"/>
      <c r="W4065" s="128"/>
      <c r="X4065" s="106">
        <v>44409</v>
      </c>
      <c r="Y4065" s="106">
        <v>44773</v>
      </c>
    </row>
    <row r="4066" s="9" customFormat="1" customHeight="1" spans="1:25">
      <c r="A4066" s="104" t="s">
        <v>109</v>
      </c>
      <c r="B4066" s="95" t="s">
        <v>4074</v>
      </c>
      <c r="C4066" s="94" t="s">
        <v>2998</v>
      </c>
      <c r="D4066" s="94" t="s">
        <v>4178</v>
      </c>
      <c r="E4066" s="105" t="s">
        <v>5444</v>
      </c>
      <c r="F4066" s="96" t="s">
        <v>5445</v>
      </c>
      <c r="G4066" s="96" t="s">
        <v>31</v>
      </c>
      <c r="H4066" s="19" t="s">
        <v>5446</v>
      </c>
      <c r="I4066" s="23" t="e">
        <f>VLOOKUP(H4066,'合同综合查询数据（3月返）'!$A:$A,1,FALSE)</f>
        <v>#N/A</v>
      </c>
      <c r="J4066" s="24" t="s">
        <v>33</v>
      </c>
      <c r="K4066" s="96" t="s">
        <v>4216</v>
      </c>
      <c r="L4066" s="114" t="s">
        <v>5447</v>
      </c>
      <c r="M4066" s="26" t="s">
        <v>5448</v>
      </c>
      <c r="N4066" s="106">
        <v>44561</v>
      </c>
      <c r="O4066" s="94" t="s">
        <v>37</v>
      </c>
      <c r="P4066" s="268">
        <v>50</v>
      </c>
      <c r="Q4066" s="273">
        <v>-160</v>
      </c>
      <c r="R4066" s="268">
        <f t="shared" si="92"/>
        <v>-8000</v>
      </c>
      <c r="S4066" s="24">
        <v>202303</v>
      </c>
      <c r="T4066" s="127" t="s">
        <v>4356</v>
      </c>
      <c r="U4066" s="97"/>
      <c r="V4066" s="128"/>
      <c r="W4066" s="128"/>
      <c r="X4066" s="106">
        <v>44409</v>
      </c>
      <c r="Y4066" s="106">
        <v>44773</v>
      </c>
    </row>
    <row r="4067" s="9" customFormat="1" customHeight="1" spans="1:25">
      <c r="A4067" s="104" t="s">
        <v>109</v>
      </c>
      <c r="B4067" s="95" t="s">
        <v>4074</v>
      </c>
      <c r="C4067" s="94" t="s">
        <v>2998</v>
      </c>
      <c r="D4067" s="94" t="s">
        <v>4178</v>
      </c>
      <c r="E4067" s="105" t="s">
        <v>5444</v>
      </c>
      <c r="F4067" s="96" t="s">
        <v>5445</v>
      </c>
      <c r="G4067" s="96" t="s">
        <v>31</v>
      </c>
      <c r="H4067" s="19" t="s">
        <v>5446</v>
      </c>
      <c r="I4067" s="23" t="e">
        <f>VLOOKUP(H4067,'合同综合查询数据（3月返）'!$A:$A,1,FALSE)</f>
        <v>#N/A</v>
      </c>
      <c r="J4067" s="24" t="s">
        <v>33</v>
      </c>
      <c r="K4067" s="96" t="s">
        <v>4216</v>
      </c>
      <c r="L4067" s="114" t="s">
        <v>5447</v>
      </c>
      <c r="M4067" s="26" t="s">
        <v>5448</v>
      </c>
      <c r="N4067" s="106"/>
      <c r="O4067" s="94" t="s">
        <v>152</v>
      </c>
      <c r="P4067" s="268">
        <v>0</v>
      </c>
      <c r="Q4067" s="268">
        <v>0</v>
      </c>
      <c r="R4067" s="268">
        <f t="shared" si="92"/>
        <v>0</v>
      </c>
      <c r="S4067" s="24">
        <v>202303</v>
      </c>
      <c r="T4067" s="127" t="s">
        <v>5450</v>
      </c>
      <c r="U4067" s="97"/>
      <c r="V4067" s="128"/>
      <c r="W4067" s="128"/>
      <c r="X4067" s="106">
        <v>44409</v>
      </c>
      <c r="Y4067" s="106">
        <v>44773</v>
      </c>
    </row>
    <row r="4068" s="9" customFormat="1" customHeight="1" spans="1:25">
      <c r="A4068" s="104" t="s">
        <v>109</v>
      </c>
      <c r="B4068" s="95" t="s">
        <v>4074</v>
      </c>
      <c r="C4068" s="94" t="s">
        <v>2998</v>
      </c>
      <c r="D4068" s="94" t="s">
        <v>4178</v>
      </c>
      <c r="E4068" s="105" t="s">
        <v>5444</v>
      </c>
      <c r="F4068" s="96" t="s">
        <v>5445</v>
      </c>
      <c r="G4068" s="96" t="s">
        <v>88</v>
      </c>
      <c r="H4068" s="19" t="s">
        <v>5446</v>
      </c>
      <c r="I4068" s="23" t="e">
        <f>VLOOKUP(H4068,'合同综合查询数据（3月返）'!$A:$A,1,FALSE)</f>
        <v>#N/A</v>
      </c>
      <c r="J4068" s="24" t="s">
        <v>126</v>
      </c>
      <c r="K4068" s="96" t="s">
        <v>4216</v>
      </c>
      <c r="L4068" s="114" t="s">
        <v>5447</v>
      </c>
      <c r="M4068" s="26" t="s">
        <v>5448</v>
      </c>
      <c r="N4068" s="106">
        <v>44409</v>
      </c>
      <c r="O4068" s="94" t="s">
        <v>1424</v>
      </c>
      <c r="P4068" s="268">
        <v>4500</v>
      </c>
      <c r="Q4068" s="273">
        <v>4</v>
      </c>
      <c r="R4068" s="268">
        <f t="shared" ref="R4068:R4131" si="93">ROUND(P4068*Q4068,2)</f>
        <v>18000</v>
      </c>
      <c r="S4068" s="24">
        <v>202303</v>
      </c>
      <c r="T4068" s="127" t="s">
        <v>5451</v>
      </c>
      <c r="U4068" s="97"/>
      <c r="V4068" s="128"/>
      <c r="W4068" s="128"/>
      <c r="X4068" s="106">
        <v>44409</v>
      </c>
      <c r="Y4068" s="106">
        <v>44773</v>
      </c>
    </row>
    <row r="4069" s="9" customFormat="1" customHeight="1" spans="1:25">
      <c r="A4069" s="104" t="s">
        <v>109</v>
      </c>
      <c r="B4069" s="95" t="s">
        <v>4074</v>
      </c>
      <c r="C4069" s="94" t="s">
        <v>2998</v>
      </c>
      <c r="D4069" s="94" t="s">
        <v>4178</v>
      </c>
      <c r="E4069" s="105" t="s">
        <v>5444</v>
      </c>
      <c r="F4069" s="96" t="s">
        <v>5445</v>
      </c>
      <c r="G4069" s="96" t="s">
        <v>88</v>
      </c>
      <c r="H4069" s="19" t="s">
        <v>5446</v>
      </c>
      <c r="I4069" s="23" t="e">
        <f>VLOOKUP(H4069,'合同综合查询数据（3月返）'!$A:$A,1,FALSE)</f>
        <v>#N/A</v>
      </c>
      <c r="J4069" s="24" t="s">
        <v>126</v>
      </c>
      <c r="K4069" s="96" t="s">
        <v>4216</v>
      </c>
      <c r="L4069" s="114" t="s">
        <v>5447</v>
      </c>
      <c r="M4069" s="26" t="s">
        <v>5448</v>
      </c>
      <c r="N4069" s="106">
        <v>44561</v>
      </c>
      <c r="O4069" s="94" t="s">
        <v>1424</v>
      </c>
      <c r="P4069" s="268">
        <v>4500</v>
      </c>
      <c r="Q4069" s="273">
        <v>-4</v>
      </c>
      <c r="R4069" s="268">
        <f t="shared" si="93"/>
        <v>-18000</v>
      </c>
      <c r="S4069" s="24">
        <v>202303</v>
      </c>
      <c r="T4069" s="127" t="s">
        <v>5452</v>
      </c>
      <c r="U4069" s="97"/>
      <c r="V4069" s="128"/>
      <c r="W4069" s="128"/>
      <c r="X4069" s="106">
        <v>44409</v>
      </c>
      <c r="Y4069" s="106">
        <v>44773</v>
      </c>
    </row>
    <row r="4070" s="9" customFormat="1" customHeight="1" spans="1:25">
      <c r="A4070" s="96" t="s">
        <v>109</v>
      </c>
      <c r="B4070" s="95" t="s">
        <v>4074</v>
      </c>
      <c r="C4070" s="94" t="s">
        <v>3134</v>
      </c>
      <c r="D4070" s="94" t="s">
        <v>4250</v>
      </c>
      <c r="E4070" s="105" t="s">
        <v>5453</v>
      </c>
      <c r="F4070" s="96" t="s">
        <v>5454</v>
      </c>
      <c r="G4070" s="96" t="s">
        <v>31</v>
      </c>
      <c r="H4070" s="19" t="s">
        <v>5455</v>
      </c>
      <c r="I4070" s="23" t="e">
        <f>VLOOKUP(H4070,'合同综合查询数据（3月返）'!$A:$A,1,FALSE)</f>
        <v>#N/A</v>
      </c>
      <c r="J4070" s="24" t="s">
        <v>33</v>
      </c>
      <c r="K4070" s="96" t="s">
        <v>3155</v>
      </c>
      <c r="L4070" s="114" t="s">
        <v>5456</v>
      </c>
      <c r="M4070" s="26" t="s">
        <v>5184</v>
      </c>
      <c r="N4070" s="106">
        <v>44409</v>
      </c>
      <c r="O4070" s="94" t="s">
        <v>37</v>
      </c>
      <c r="P4070" s="268">
        <v>0</v>
      </c>
      <c r="Q4070" s="273">
        <v>1000</v>
      </c>
      <c r="R4070" s="268">
        <f t="shared" si="93"/>
        <v>0</v>
      </c>
      <c r="S4070" s="24">
        <v>202303</v>
      </c>
      <c r="T4070" s="127" t="s">
        <v>5457</v>
      </c>
      <c r="U4070" s="97"/>
      <c r="V4070" s="128"/>
      <c r="W4070" s="128"/>
      <c r="X4070" s="106">
        <v>44409</v>
      </c>
      <c r="Y4070" s="106">
        <v>44773</v>
      </c>
    </row>
    <row r="4071" s="9" customFormat="1" customHeight="1" spans="1:25">
      <c r="A4071" s="96" t="s">
        <v>109</v>
      </c>
      <c r="B4071" s="95" t="s">
        <v>4074</v>
      </c>
      <c r="C4071" s="94" t="s">
        <v>3134</v>
      </c>
      <c r="D4071" s="94" t="s">
        <v>4250</v>
      </c>
      <c r="E4071" s="105" t="s">
        <v>5453</v>
      </c>
      <c r="F4071" s="96" t="s">
        <v>5454</v>
      </c>
      <c r="G4071" s="96" t="s">
        <v>31</v>
      </c>
      <c r="H4071" s="19" t="s">
        <v>5455</v>
      </c>
      <c r="I4071" s="23" t="e">
        <f>VLOOKUP(H4071,'合同综合查询数据（3月返）'!$A:$A,1,FALSE)</f>
        <v>#N/A</v>
      </c>
      <c r="J4071" s="24" t="s">
        <v>33</v>
      </c>
      <c r="K4071" s="96" t="s">
        <v>3155</v>
      </c>
      <c r="L4071" s="114" t="s">
        <v>5456</v>
      </c>
      <c r="M4071" s="26" t="s">
        <v>5184</v>
      </c>
      <c r="N4071" s="106"/>
      <c r="O4071" s="94" t="s">
        <v>152</v>
      </c>
      <c r="P4071" s="268">
        <v>0</v>
      </c>
      <c r="Q4071" s="268">
        <v>0</v>
      </c>
      <c r="R4071" s="268">
        <f t="shared" si="93"/>
        <v>0</v>
      </c>
      <c r="S4071" s="24">
        <v>202303</v>
      </c>
      <c r="T4071" s="127" t="s">
        <v>5458</v>
      </c>
      <c r="U4071" s="97"/>
      <c r="V4071" s="128"/>
      <c r="W4071" s="128"/>
      <c r="X4071" s="106">
        <v>44409</v>
      </c>
      <c r="Y4071" s="106">
        <v>44773</v>
      </c>
    </row>
    <row r="4072" s="9" customFormat="1" customHeight="1" spans="1:25">
      <c r="A4072" s="96" t="s">
        <v>109</v>
      </c>
      <c r="B4072" s="95" t="s">
        <v>4074</v>
      </c>
      <c r="C4072" s="94" t="s">
        <v>3134</v>
      </c>
      <c r="D4072" s="94" t="s">
        <v>4250</v>
      </c>
      <c r="E4072" s="105" t="s">
        <v>5453</v>
      </c>
      <c r="F4072" s="96" t="s">
        <v>5454</v>
      </c>
      <c r="G4072" s="96" t="s">
        <v>88</v>
      </c>
      <c r="H4072" s="19" t="s">
        <v>5455</v>
      </c>
      <c r="I4072" s="23" t="e">
        <f>VLOOKUP(H4072,'合同综合查询数据（3月返）'!$A:$A,1,FALSE)</f>
        <v>#N/A</v>
      </c>
      <c r="J4072" s="24" t="s">
        <v>126</v>
      </c>
      <c r="K4072" s="96" t="s">
        <v>3155</v>
      </c>
      <c r="L4072" s="114" t="s">
        <v>5456</v>
      </c>
      <c r="M4072" s="26" t="s">
        <v>5184</v>
      </c>
      <c r="N4072" s="106">
        <v>44409</v>
      </c>
      <c r="O4072" s="94" t="s">
        <v>92</v>
      </c>
      <c r="P4072" s="268">
        <v>5500</v>
      </c>
      <c r="Q4072" s="273">
        <v>10</v>
      </c>
      <c r="R4072" s="268">
        <f t="shared" si="93"/>
        <v>55000</v>
      </c>
      <c r="S4072" s="24">
        <v>202303</v>
      </c>
      <c r="T4072" s="127" t="s">
        <v>5459</v>
      </c>
      <c r="U4072" s="97"/>
      <c r="V4072" s="128"/>
      <c r="W4072" s="128"/>
      <c r="X4072" s="106">
        <v>44409</v>
      </c>
      <c r="Y4072" s="106">
        <v>44773</v>
      </c>
    </row>
    <row r="4073" s="9" customFormat="1" customHeight="1" spans="1:25">
      <c r="A4073" s="96" t="s">
        <v>109</v>
      </c>
      <c r="B4073" s="95" t="s">
        <v>4074</v>
      </c>
      <c r="C4073" s="94" t="s">
        <v>3134</v>
      </c>
      <c r="D4073" s="94" t="s">
        <v>4250</v>
      </c>
      <c r="E4073" s="105" t="s">
        <v>5453</v>
      </c>
      <c r="F4073" s="96" t="s">
        <v>5454</v>
      </c>
      <c r="G4073" s="96" t="s">
        <v>88</v>
      </c>
      <c r="H4073" s="19" t="s">
        <v>5455</v>
      </c>
      <c r="I4073" s="23" t="e">
        <f>VLOOKUP(H4073,'合同综合查询数据（3月返）'!$A:$A,1,FALSE)</f>
        <v>#N/A</v>
      </c>
      <c r="J4073" s="24" t="s">
        <v>126</v>
      </c>
      <c r="K4073" s="96" t="s">
        <v>3155</v>
      </c>
      <c r="L4073" s="114" t="s">
        <v>5456</v>
      </c>
      <c r="M4073" s="26" t="s">
        <v>5184</v>
      </c>
      <c r="N4073" s="106">
        <v>44712</v>
      </c>
      <c r="O4073" s="94" t="s">
        <v>92</v>
      </c>
      <c r="P4073" s="268">
        <v>5500</v>
      </c>
      <c r="Q4073" s="273">
        <v>-10</v>
      </c>
      <c r="R4073" s="268">
        <f t="shared" si="93"/>
        <v>-55000</v>
      </c>
      <c r="S4073" s="24">
        <v>202303</v>
      </c>
      <c r="T4073" s="127" t="s">
        <v>5460</v>
      </c>
      <c r="U4073" s="97"/>
      <c r="V4073" s="128"/>
      <c r="W4073" s="128"/>
      <c r="X4073" s="106">
        <v>44409</v>
      </c>
      <c r="Y4073" s="106">
        <v>44773</v>
      </c>
    </row>
    <row r="4074" s="9" customFormat="1" customHeight="1" spans="1:25">
      <c r="A4074" s="96" t="s">
        <v>109</v>
      </c>
      <c r="B4074" s="95" t="s">
        <v>4074</v>
      </c>
      <c r="C4074" s="95" t="s">
        <v>3134</v>
      </c>
      <c r="D4074" s="94" t="s">
        <v>4250</v>
      </c>
      <c r="E4074" s="105" t="s">
        <v>5453</v>
      </c>
      <c r="F4074" s="96" t="s">
        <v>5454</v>
      </c>
      <c r="G4074" s="96" t="s">
        <v>31</v>
      </c>
      <c r="H4074" s="19" t="s">
        <v>5455</v>
      </c>
      <c r="I4074" s="23" t="e">
        <f>VLOOKUP(H4074,'合同综合查询数据（3月返）'!$A:$A,1,FALSE)</f>
        <v>#N/A</v>
      </c>
      <c r="J4074" s="24" t="s">
        <v>33</v>
      </c>
      <c r="K4074" s="96" t="s">
        <v>3155</v>
      </c>
      <c r="L4074" s="114" t="s">
        <v>5461</v>
      </c>
      <c r="M4074" s="26" t="s">
        <v>5462</v>
      </c>
      <c r="N4074" s="106">
        <v>44440</v>
      </c>
      <c r="O4074" s="94" t="s">
        <v>37</v>
      </c>
      <c r="P4074" s="268">
        <v>0</v>
      </c>
      <c r="Q4074" s="273">
        <v>1000</v>
      </c>
      <c r="R4074" s="268">
        <f t="shared" si="93"/>
        <v>0</v>
      </c>
      <c r="S4074" s="24">
        <v>202303</v>
      </c>
      <c r="T4074" s="127" t="s">
        <v>5463</v>
      </c>
      <c r="U4074" s="97"/>
      <c r="V4074" s="128"/>
      <c r="W4074" s="128"/>
      <c r="X4074" s="106">
        <v>44409</v>
      </c>
      <c r="Y4074" s="106">
        <v>44773</v>
      </c>
    </row>
    <row r="4075" s="9" customFormat="1" customHeight="1" spans="1:25">
      <c r="A4075" s="96" t="s">
        <v>109</v>
      </c>
      <c r="B4075" s="95" t="s">
        <v>4074</v>
      </c>
      <c r="C4075" s="95" t="s">
        <v>3134</v>
      </c>
      <c r="D4075" s="94" t="s">
        <v>4250</v>
      </c>
      <c r="E4075" s="105" t="s">
        <v>5453</v>
      </c>
      <c r="F4075" s="96" t="s">
        <v>5454</v>
      </c>
      <c r="G4075" s="96" t="s">
        <v>31</v>
      </c>
      <c r="H4075" s="19" t="s">
        <v>5455</v>
      </c>
      <c r="I4075" s="23" t="e">
        <f>VLOOKUP(H4075,'合同综合查询数据（3月返）'!$A:$A,1,FALSE)</f>
        <v>#N/A</v>
      </c>
      <c r="J4075" s="24" t="s">
        <v>33</v>
      </c>
      <c r="K4075" s="96" t="s">
        <v>3155</v>
      </c>
      <c r="L4075" s="114" t="s">
        <v>5461</v>
      </c>
      <c r="M4075" s="26" t="s">
        <v>5462</v>
      </c>
      <c r="N4075" s="106"/>
      <c r="O4075" s="94" t="s">
        <v>152</v>
      </c>
      <c r="P4075" s="268">
        <v>0</v>
      </c>
      <c r="Q4075" s="268">
        <v>0</v>
      </c>
      <c r="R4075" s="268">
        <f t="shared" si="93"/>
        <v>0</v>
      </c>
      <c r="S4075" s="24">
        <v>202303</v>
      </c>
      <c r="T4075" s="127" t="s">
        <v>5458</v>
      </c>
      <c r="U4075" s="97"/>
      <c r="V4075" s="128"/>
      <c r="W4075" s="128"/>
      <c r="X4075" s="106">
        <v>44409</v>
      </c>
      <c r="Y4075" s="106">
        <v>44773</v>
      </c>
    </row>
    <row r="4076" s="9" customFormat="1" customHeight="1" spans="1:25">
      <c r="A4076" s="96" t="s">
        <v>109</v>
      </c>
      <c r="B4076" s="95" t="s">
        <v>4074</v>
      </c>
      <c r="C4076" s="95" t="s">
        <v>3134</v>
      </c>
      <c r="D4076" s="94" t="s">
        <v>4250</v>
      </c>
      <c r="E4076" s="105" t="s">
        <v>5453</v>
      </c>
      <c r="F4076" s="96" t="s">
        <v>5454</v>
      </c>
      <c r="G4076" s="96" t="s">
        <v>88</v>
      </c>
      <c r="H4076" s="19" t="s">
        <v>5455</v>
      </c>
      <c r="I4076" s="23" t="e">
        <f>VLOOKUP(H4076,'合同综合查询数据（3月返）'!$A:$A,1,FALSE)</f>
        <v>#N/A</v>
      </c>
      <c r="J4076" s="24" t="s">
        <v>126</v>
      </c>
      <c r="K4076" s="96" t="s">
        <v>3155</v>
      </c>
      <c r="L4076" s="114" t="s">
        <v>5461</v>
      </c>
      <c r="M4076" s="26" t="s">
        <v>5462</v>
      </c>
      <c r="N4076" s="106">
        <v>44440</v>
      </c>
      <c r="O4076" s="94" t="s">
        <v>92</v>
      </c>
      <c r="P4076" s="268">
        <v>5500</v>
      </c>
      <c r="Q4076" s="273">
        <v>6</v>
      </c>
      <c r="R4076" s="268">
        <f t="shared" si="93"/>
        <v>33000</v>
      </c>
      <c r="S4076" s="24">
        <v>202303</v>
      </c>
      <c r="T4076" s="127" t="s">
        <v>5464</v>
      </c>
      <c r="U4076" s="97"/>
      <c r="V4076" s="128"/>
      <c r="W4076" s="128"/>
      <c r="X4076" s="106">
        <v>44409</v>
      </c>
      <c r="Y4076" s="106">
        <v>44773</v>
      </c>
    </row>
    <row r="4077" s="9" customFormat="1" customHeight="1" spans="1:25">
      <c r="A4077" s="96" t="s">
        <v>109</v>
      </c>
      <c r="B4077" s="95" t="s">
        <v>4074</v>
      </c>
      <c r="C4077" s="95" t="s">
        <v>3134</v>
      </c>
      <c r="D4077" s="94" t="s">
        <v>4250</v>
      </c>
      <c r="E4077" s="105" t="s">
        <v>5453</v>
      </c>
      <c r="F4077" s="96" t="s">
        <v>5454</v>
      </c>
      <c r="G4077" s="96" t="s">
        <v>88</v>
      </c>
      <c r="H4077" s="19" t="s">
        <v>5455</v>
      </c>
      <c r="I4077" s="23" t="e">
        <f>VLOOKUP(H4077,'合同综合查询数据（3月返）'!$A:$A,1,FALSE)</f>
        <v>#N/A</v>
      </c>
      <c r="J4077" s="24" t="s">
        <v>126</v>
      </c>
      <c r="K4077" s="96" t="s">
        <v>3155</v>
      </c>
      <c r="L4077" s="114" t="s">
        <v>5461</v>
      </c>
      <c r="M4077" s="26" t="s">
        <v>5462</v>
      </c>
      <c r="N4077" s="106">
        <v>44440</v>
      </c>
      <c r="O4077" s="94" t="s">
        <v>92</v>
      </c>
      <c r="P4077" s="268">
        <v>5500</v>
      </c>
      <c r="Q4077" s="273">
        <v>-6</v>
      </c>
      <c r="R4077" s="268">
        <f t="shared" si="93"/>
        <v>-33000</v>
      </c>
      <c r="S4077" s="24">
        <v>202303</v>
      </c>
      <c r="T4077" s="127" t="s">
        <v>5465</v>
      </c>
      <c r="U4077" s="97"/>
      <c r="V4077" s="128"/>
      <c r="W4077" s="128"/>
      <c r="X4077" s="106">
        <v>44409</v>
      </c>
      <c r="Y4077" s="106">
        <v>44773</v>
      </c>
    </row>
    <row r="4078" s="9" customFormat="1" customHeight="1" spans="1:25">
      <c r="A4078" s="96" t="s">
        <v>109</v>
      </c>
      <c r="B4078" s="95" t="s">
        <v>4074</v>
      </c>
      <c r="C4078" s="95" t="s">
        <v>3134</v>
      </c>
      <c r="D4078" s="94" t="s">
        <v>4250</v>
      </c>
      <c r="E4078" s="105" t="s">
        <v>5453</v>
      </c>
      <c r="F4078" s="96" t="s">
        <v>5454</v>
      </c>
      <c r="G4078" s="96" t="s">
        <v>88</v>
      </c>
      <c r="H4078" s="19" t="s">
        <v>5455</v>
      </c>
      <c r="I4078" s="23" t="e">
        <f>VLOOKUP(H4078,'合同综合查询数据（3月返）'!$A:$A,1,FALSE)</f>
        <v>#N/A</v>
      </c>
      <c r="J4078" s="24" t="s">
        <v>126</v>
      </c>
      <c r="K4078" s="96" t="s">
        <v>3155</v>
      </c>
      <c r="L4078" s="114" t="s">
        <v>5461</v>
      </c>
      <c r="M4078" s="26" t="s">
        <v>5462</v>
      </c>
      <c r="N4078" s="106">
        <v>44440</v>
      </c>
      <c r="O4078" s="94" t="s">
        <v>92</v>
      </c>
      <c r="P4078" s="268">
        <v>5500</v>
      </c>
      <c r="Q4078" s="273">
        <v>5</v>
      </c>
      <c r="R4078" s="268">
        <f t="shared" si="93"/>
        <v>27500</v>
      </c>
      <c r="S4078" s="24">
        <v>202303</v>
      </c>
      <c r="T4078" s="127" t="s">
        <v>5466</v>
      </c>
      <c r="U4078" s="97"/>
      <c r="V4078" s="128"/>
      <c r="W4078" s="128"/>
      <c r="X4078" s="106">
        <v>44409</v>
      </c>
      <c r="Y4078" s="106">
        <v>44773</v>
      </c>
    </row>
    <row r="4079" s="9" customFormat="1" customHeight="1" spans="1:25">
      <c r="A4079" s="96" t="s">
        <v>109</v>
      </c>
      <c r="B4079" s="95" t="s">
        <v>4074</v>
      </c>
      <c r="C4079" s="95" t="s">
        <v>3134</v>
      </c>
      <c r="D4079" s="94" t="s">
        <v>4250</v>
      </c>
      <c r="E4079" s="105" t="s">
        <v>5453</v>
      </c>
      <c r="F4079" s="96" t="s">
        <v>5454</v>
      </c>
      <c r="G4079" s="96" t="s">
        <v>88</v>
      </c>
      <c r="H4079" s="19" t="s">
        <v>5455</v>
      </c>
      <c r="I4079" s="23" t="e">
        <f>VLOOKUP(H4079,'合同综合查询数据（3月返）'!$A:$A,1,FALSE)</f>
        <v>#N/A</v>
      </c>
      <c r="J4079" s="24" t="s">
        <v>126</v>
      </c>
      <c r="K4079" s="96" t="s">
        <v>3155</v>
      </c>
      <c r="L4079" s="114" t="s">
        <v>5461</v>
      </c>
      <c r="M4079" s="26" t="s">
        <v>5462</v>
      </c>
      <c r="N4079" s="106">
        <v>44712</v>
      </c>
      <c r="O4079" s="94" t="s">
        <v>92</v>
      </c>
      <c r="P4079" s="268">
        <v>5500</v>
      </c>
      <c r="Q4079" s="273">
        <v>-5</v>
      </c>
      <c r="R4079" s="268">
        <f t="shared" si="93"/>
        <v>-27500</v>
      </c>
      <c r="S4079" s="24">
        <v>202303</v>
      </c>
      <c r="T4079" s="127" t="s">
        <v>5467</v>
      </c>
      <c r="U4079" s="97"/>
      <c r="V4079" s="128"/>
      <c r="W4079" s="128"/>
      <c r="X4079" s="106">
        <v>44409</v>
      </c>
      <c r="Y4079" s="28">
        <v>44773</v>
      </c>
    </row>
    <row r="4080" s="9" customFormat="1" customHeight="1" spans="1:25">
      <c r="A4080" s="96" t="s">
        <v>129</v>
      </c>
      <c r="B4080" s="94" t="s">
        <v>4074</v>
      </c>
      <c r="C4080" s="94" t="s">
        <v>3134</v>
      </c>
      <c r="D4080" s="94" t="s">
        <v>4250</v>
      </c>
      <c r="E4080" s="105" t="s">
        <v>5468</v>
      </c>
      <c r="F4080" s="96" t="s">
        <v>5469</v>
      </c>
      <c r="G4080" s="96" t="s">
        <v>31</v>
      </c>
      <c r="H4080" s="19" t="s">
        <v>5470</v>
      </c>
      <c r="I4080" s="23" t="e">
        <f>VLOOKUP(H4080,'合同综合查询数据（3月返）'!$A:$A,1,FALSE)</f>
        <v>#N/A</v>
      </c>
      <c r="J4080" s="24" t="s">
        <v>33</v>
      </c>
      <c r="K4080" s="96" t="s">
        <v>5471</v>
      </c>
      <c r="L4080" s="114" t="s">
        <v>5472</v>
      </c>
      <c r="M4080" s="26" t="s">
        <v>5473</v>
      </c>
      <c r="N4080" s="106">
        <v>44440</v>
      </c>
      <c r="O4080" s="94" t="s">
        <v>37</v>
      </c>
      <c r="P4080" s="268">
        <v>0</v>
      </c>
      <c r="Q4080" s="273">
        <v>128</v>
      </c>
      <c r="R4080" s="268">
        <f t="shared" si="93"/>
        <v>0</v>
      </c>
      <c r="S4080" s="24">
        <v>202303</v>
      </c>
      <c r="T4080" s="127" t="s">
        <v>5474</v>
      </c>
      <c r="U4080" s="97"/>
      <c r="V4080" s="128"/>
      <c r="W4080" s="128"/>
      <c r="X4080" s="227">
        <v>44440</v>
      </c>
      <c r="Y4080" s="227">
        <v>44804</v>
      </c>
    </row>
    <row r="4081" s="9" customFormat="1" customHeight="1" spans="1:25">
      <c r="A4081" s="96" t="s">
        <v>129</v>
      </c>
      <c r="B4081" s="94" t="s">
        <v>4074</v>
      </c>
      <c r="C4081" s="94" t="s">
        <v>3134</v>
      </c>
      <c r="D4081" s="94" t="s">
        <v>4250</v>
      </c>
      <c r="E4081" s="105" t="s">
        <v>5468</v>
      </c>
      <c r="F4081" s="96" t="s">
        <v>5469</v>
      </c>
      <c r="G4081" s="96" t="s">
        <v>31</v>
      </c>
      <c r="H4081" s="19" t="s">
        <v>5470</v>
      </c>
      <c r="I4081" s="23" t="e">
        <f>VLOOKUP(H4081,'合同综合查询数据（3月返）'!$A:$A,1,FALSE)</f>
        <v>#N/A</v>
      </c>
      <c r="J4081" s="24" t="s">
        <v>33</v>
      </c>
      <c r="K4081" s="96" t="s">
        <v>5471</v>
      </c>
      <c r="L4081" s="114" t="s">
        <v>5472</v>
      </c>
      <c r="M4081" s="26" t="s">
        <v>5473</v>
      </c>
      <c r="N4081" s="106">
        <v>44651</v>
      </c>
      <c r="O4081" s="94" t="s">
        <v>37</v>
      </c>
      <c r="P4081" s="268">
        <v>0</v>
      </c>
      <c r="Q4081" s="273">
        <v>-128</v>
      </c>
      <c r="R4081" s="268">
        <f t="shared" si="93"/>
        <v>0</v>
      </c>
      <c r="S4081" s="24">
        <v>202303</v>
      </c>
      <c r="T4081" s="127" t="s">
        <v>5475</v>
      </c>
      <c r="U4081" s="97"/>
      <c r="V4081" s="128"/>
      <c r="W4081" s="128"/>
      <c r="X4081" s="227">
        <v>44440</v>
      </c>
      <c r="Y4081" s="227">
        <v>44804</v>
      </c>
    </row>
    <row r="4082" s="9" customFormat="1" customHeight="1" spans="1:25">
      <c r="A4082" s="96" t="s">
        <v>129</v>
      </c>
      <c r="B4082" s="94" t="s">
        <v>4074</v>
      </c>
      <c r="C4082" s="94" t="s">
        <v>3134</v>
      </c>
      <c r="D4082" s="94" t="s">
        <v>4250</v>
      </c>
      <c r="E4082" s="105" t="s">
        <v>5468</v>
      </c>
      <c r="F4082" s="96" t="s">
        <v>5469</v>
      </c>
      <c r="G4082" s="96" t="s">
        <v>88</v>
      </c>
      <c r="H4082" s="19" t="s">
        <v>5470</v>
      </c>
      <c r="I4082" s="23" t="e">
        <f>VLOOKUP(H4082,'合同综合查询数据（3月返）'!$A:$A,1,FALSE)</f>
        <v>#N/A</v>
      </c>
      <c r="J4082" s="24" t="s">
        <v>126</v>
      </c>
      <c r="K4082" s="96" t="s">
        <v>5471</v>
      </c>
      <c r="L4082" s="114" t="s">
        <v>5472</v>
      </c>
      <c r="M4082" s="26" t="s">
        <v>5473</v>
      </c>
      <c r="N4082" s="106">
        <v>44440</v>
      </c>
      <c r="O4082" s="94" t="s">
        <v>92</v>
      </c>
      <c r="P4082" s="268">
        <v>4000</v>
      </c>
      <c r="Q4082" s="273">
        <v>2</v>
      </c>
      <c r="R4082" s="268">
        <f t="shared" si="93"/>
        <v>8000</v>
      </c>
      <c r="S4082" s="24">
        <v>202303</v>
      </c>
      <c r="T4082" s="127" t="s">
        <v>5476</v>
      </c>
      <c r="U4082" s="97"/>
      <c r="V4082" s="128"/>
      <c r="W4082" s="128"/>
      <c r="X4082" s="227">
        <v>44440</v>
      </c>
      <c r="Y4082" s="227">
        <v>44804</v>
      </c>
    </row>
    <row r="4083" s="9" customFormat="1" customHeight="1" spans="1:25">
      <c r="A4083" s="96" t="s">
        <v>129</v>
      </c>
      <c r="B4083" s="94" t="s">
        <v>4074</v>
      </c>
      <c r="C4083" s="94" t="s">
        <v>3134</v>
      </c>
      <c r="D4083" s="94" t="s">
        <v>4250</v>
      </c>
      <c r="E4083" s="105" t="s">
        <v>5468</v>
      </c>
      <c r="F4083" s="96" t="s">
        <v>5469</v>
      </c>
      <c r="G4083" s="96" t="s">
        <v>88</v>
      </c>
      <c r="H4083" s="19" t="s">
        <v>5470</v>
      </c>
      <c r="I4083" s="23" t="e">
        <f>VLOOKUP(H4083,'合同综合查询数据（3月返）'!$A:$A,1,FALSE)</f>
        <v>#N/A</v>
      </c>
      <c r="J4083" s="24" t="s">
        <v>126</v>
      </c>
      <c r="K4083" s="96" t="s">
        <v>5471</v>
      </c>
      <c r="L4083" s="114" t="s">
        <v>5472</v>
      </c>
      <c r="M4083" s="26" t="s">
        <v>5473</v>
      </c>
      <c r="N4083" s="106">
        <v>44651</v>
      </c>
      <c r="O4083" s="94" t="s">
        <v>92</v>
      </c>
      <c r="P4083" s="268">
        <v>4000</v>
      </c>
      <c r="Q4083" s="273">
        <v>-2</v>
      </c>
      <c r="R4083" s="268">
        <f t="shared" si="93"/>
        <v>-8000</v>
      </c>
      <c r="S4083" s="24">
        <v>202303</v>
      </c>
      <c r="T4083" s="127" t="s">
        <v>5475</v>
      </c>
      <c r="U4083" s="97"/>
      <c r="V4083" s="128"/>
      <c r="W4083" s="128"/>
      <c r="X4083" s="227">
        <v>44440</v>
      </c>
      <c r="Y4083" s="227">
        <v>44804</v>
      </c>
    </row>
    <row r="4084" s="9" customFormat="1" customHeight="1" spans="1:25">
      <c r="A4084" s="96" t="s">
        <v>129</v>
      </c>
      <c r="B4084" s="94" t="s">
        <v>4074</v>
      </c>
      <c r="C4084" s="94" t="s">
        <v>2833</v>
      </c>
      <c r="D4084" s="94" t="s">
        <v>4250</v>
      </c>
      <c r="E4084" s="105" t="s">
        <v>5477</v>
      </c>
      <c r="F4084" s="96" t="s">
        <v>5478</v>
      </c>
      <c r="G4084" s="96" t="s">
        <v>31</v>
      </c>
      <c r="H4084" s="19" t="s">
        <v>5479</v>
      </c>
      <c r="I4084" s="23" t="e">
        <f>VLOOKUP(H4084,'合同综合查询数据（3月返）'!$A:$A,1,FALSE)</f>
        <v>#N/A</v>
      </c>
      <c r="J4084" s="24" t="s">
        <v>33</v>
      </c>
      <c r="K4084" s="96" t="s">
        <v>5480</v>
      </c>
      <c r="L4084" s="114" t="s">
        <v>5481</v>
      </c>
      <c r="M4084" s="26" t="s">
        <v>5482</v>
      </c>
      <c r="N4084" s="106">
        <v>44470</v>
      </c>
      <c r="O4084" s="94" t="s">
        <v>37</v>
      </c>
      <c r="P4084" s="268">
        <v>0</v>
      </c>
      <c r="Q4084" s="273">
        <v>224</v>
      </c>
      <c r="R4084" s="268">
        <f t="shared" si="93"/>
        <v>0</v>
      </c>
      <c r="S4084" s="24">
        <v>202303</v>
      </c>
      <c r="T4084" s="127" t="s">
        <v>5483</v>
      </c>
      <c r="U4084" s="97"/>
      <c r="V4084" s="128"/>
      <c r="W4084" s="128"/>
      <c r="X4084" s="106">
        <v>44593</v>
      </c>
      <c r="Y4084" s="106">
        <v>44957</v>
      </c>
    </row>
    <row r="4085" s="9" customFormat="1" customHeight="1" spans="1:25">
      <c r="A4085" s="96" t="s">
        <v>129</v>
      </c>
      <c r="B4085" s="94" t="s">
        <v>4074</v>
      </c>
      <c r="C4085" s="94" t="s">
        <v>2833</v>
      </c>
      <c r="D4085" s="94" t="s">
        <v>4250</v>
      </c>
      <c r="E4085" s="105" t="s">
        <v>5477</v>
      </c>
      <c r="F4085" s="96" t="s">
        <v>5478</v>
      </c>
      <c r="G4085" s="96" t="s">
        <v>31</v>
      </c>
      <c r="H4085" s="19" t="s">
        <v>5479</v>
      </c>
      <c r="I4085" s="23" t="e">
        <f>VLOOKUP(H4085,'合同综合查询数据（3月返）'!$A:$A,1,FALSE)</f>
        <v>#N/A</v>
      </c>
      <c r="J4085" s="24" t="s">
        <v>33</v>
      </c>
      <c r="K4085" s="96" t="s">
        <v>5480</v>
      </c>
      <c r="L4085" s="114" t="s">
        <v>5481</v>
      </c>
      <c r="M4085" s="26" t="s">
        <v>5482</v>
      </c>
      <c r="N4085" s="106">
        <v>44470</v>
      </c>
      <c r="O4085" s="94" t="s">
        <v>37</v>
      </c>
      <c r="P4085" s="268">
        <v>50</v>
      </c>
      <c r="Q4085" s="273">
        <v>64</v>
      </c>
      <c r="R4085" s="268">
        <f t="shared" si="93"/>
        <v>3200</v>
      </c>
      <c r="S4085" s="24">
        <v>202303</v>
      </c>
      <c r="T4085" s="127" t="s">
        <v>5483</v>
      </c>
      <c r="U4085" s="97"/>
      <c r="V4085" s="128"/>
      <c r="W4085" s="128"/>
      <c r="X4085" s="106">
        <v>44593</v>
      </c>
      <c r="Y4085" s="106">
        <v>44957</v>
      </c>
    </row>
    <row r="4086" s="9" customFormat="1" customHeight="1" spans="1:25">
      <c r="A4086" s="96" t="s">
        <v>129</v>
      </c>
      <c r="B4086" s="94" t="s">
        <v>4074</v>
      </c>
      <c r="C4086" s="94" t="s">
        <v>2833</v>
      </c>
      <c r="D4086" s="94" t="s">
        <v>4250</v>
      </c>
      <c r="E4086" s="105" t="s">
        <v>5477</v>
      </c>
      <c r="F4086" s="96" t="s">
        <v>5478</v>
      </c>
      <c r="G4086" s="96" t="s">
        <v>31</v>
      </c>
      <c r="H4086" s="19" t="s">
        <v>5479</v>
      </c>
      <c r="I4086" s="23" t="e">
        <f>VLOOKUP(H4086,'合同综合查询数据（3月返）'!$A:$A,1,FALSE)</f>
        <v>#N/A</v>
      </c>
      <c r="J4086" s="24" t="s">
        <v>33</v>
      </c>
      <c r="K4086" s="96" t="s">
        <v>5480</v>
      </c>
      <c r="L4086" s="114" t="s">
        <v>5481</v>
      </c>
      <c r="M4086" s="26" t="s">
        <v>5482</v>
      </c>
      <c r="N4086" s="106">
        <v>44712</v>
      </c>
      <c r="O4086" s="94" t="s">
        <v>37</v>
      </c>
      <c r="P4086" s="268">
        <v>0</v>
      </c>
      <c r="Q4086" s="273">
        <v>-224</v>
      </c>
      <c r="R4086" s="268">
        <f t="shared" si="93"/>
        <v>0</v>
      </c>
      <c r="S4086" s="24">
        <v>202303</v>
      </c>
      <c r="T4086" s="127" t="s">
        <v>5484</v>
      </c>
      <c r="U4086" s="97"/>
      <c r="V4086" s="128"/>
      <c r="W4086" s="128"/>
      <c r="X4086" s="106">
        <v>44593</v>
      </c>
      <c r="Y4086" s="106">
        <v>44957</v>
      </c>
    </row>
    <row r="4087" s="9" customFormat="1" customHeight="1" spans="1:25">
      <c r="A4087" s="96" t="s">
        <v>129</v>
      </c>
      <c r="B4087" s="94" t="s">
        <v>4074</v>
      </c>
      <c r="C4087" s="94" t="s">
        <v>2833</v>
      </c>
      <c r="D4087" s="94" t="s">
        <v>4250</v>
      </c>
      <c r="E4087" s="105" t="s">
        <v>5477</v>
      </c>
      <c r="F4087" s="96" t="s">
        <v>5478</v>
      </c>
      <c r="G4087" s="96" t="s">
        <v>31</v>
      </c>
      <c r="H4087" s="19" t="s">
        <v>5479</v>
      </c>
      <c r="I4087" s="23" t="e">
        <f>VLOOKUP(H4087,'合同综合查询数据（3月返）'!$A:$A,1,FALSE)</f>
        <v>#N/A</v>
      </c>
      <c r="J4087" s="24" t="s">
        <v>33</v>
      </c>
      <c r="K4087" s="96" t="s">
        <v>5480</v>
      </c>
      <c r="L4087" s="114" t="s">
        <v>5481</v>
      </c>
      <c r="M4087" s="26" t="s">
        <v>5482</v>
      </c>
      <c r="N4087" s="106">
        <v>44712</v>
      </c>
      <c r="O4087" s="94" t="s">
        <v>37</v>
      </c>
      <c r="P4087" s="268">
        <v>50</v>
      </c>
      <c r="Q4087" s="273">
        <v>-64</v>
      </c>
      <c r="R4087" s="268">
        <f t="shared" si="93"/>
        <v>-3200</v>
      </c>
      <c r="S4087" s="24">
        <v>202303</v>
      </c>
      <c r="T4087" s="127" t="s">
        <v>5484</v>
      </c>
      <c r="U4087" s="97"/>
      <c r="V4087" s="128"/>
      <c r="W4087" s="128"/>
      <c r="X4087" s="106">
        <v>44593</v>
      </c>
      <c r="Y4087" s="106">
        <v>44957</v>
      </c>
    </row>
    <row r="4088" s="9" customFormat="1" customHeight="1" spans="1:25">
      <c r="A4088" s="96" t="s">
        <v>129</v>
      </c>
      <c r="B4088" s="94" t="s">
        <v>4074</v>
      </c>
      <c r="C4088" s="94" t="s">
        <v>2833</v>
      </c>
      <c r="D4088" s="94" t="s">
        <v>4250</v>
      </c>
      <c r="E4088" s="105" t="s">
        <v>5477</v>
      </c>
      <c r="F4088" s="96" t="s">
        <v>5478</v>
      </c>
      <c r="G4088" s="96" t="s">
        <v>31</v>
      </c>
      <c r="H4088" s="19" t="s">
        <v>5479</v>
      </c>
      <c r="I4088" s="23" t="e">
        <f>VLOOKUP(H4088,'合同综合查询数据（3月返）'!$A:$A,1,FALSE)</f>
        <v>#N/A</v>
      </c>
      <c r="J4088" s="24" t="s">
        <v>33</v>
      </c>
      <c r="K4088" s="96" t="s">
        <v>5480</v>
      </c>
      <c r="L4088" s="114" t="s">
        <v>5481</v>
      </c>
      <c r="M4088" s="26" t="s">
        <v>5482</v>
      </c>
      <c r="N4088" s="106"/>
      <c r="O4088" s="94" t="s">
        <v>152</v>
      </c>
      <c r="P4088" s="268">
        <v>0</v>
      </c>
      <c r="Q4088" s="273">
        <v>0</v>
      </c>
      <c r="R4088" s="268">
        <f t="shared" si="93"/>
        <v>0</v>
      </c>
      <c r="S4088" s="24">
        <v>202303</v>
      </c>
      <c r="T4088" s="127" t="s">
        <v>5485</v>
      </c>
      <c r="U4088" s="97"/>
      <c r="V4088" s="128"/>
      <c r="W4088" s="128"/>
      <c r="X4088" s="106">
        <v>44593</v>
      </c>
      <c r="Y4088" s="106">
        <v>44957</v>
      </c>
    </row>
    <row r="4089" s="9" customFormat="1" customHeight="1" spans="1:25">
      <c r="A4089" s="96" t="s">
        <v>129</v>
      </c>
      <c r="B4089" s="94" t="s">
        <v>4074</v>
      </c>
      <c r="C4089" s="94" t="s">
        <v>2833</v>
      </c>
      <c r="D4089" s="94" t="s">
        <v>4250</v>
      </c>
      <c r="E4089" s="105" t="s">
        <v>5477</v>
      </c>
      <c r="F4089" s="96" t="s">
        <v>5478</v>
      </c>
      <c r="G4089" s="96" t="s">
        <v>88</v>
      </c>
      <c r="H4089" s="19" t="s">
        <v>5479</v>
      </c>
      <c r="I4089" s="23" t="e">
        <f>VLOOKUP(H4089,'合同综合查询数据（3月返）'!$A:$A,1,FALSE)</f>
        <v>#N/A</v>
      </c>
      <c r="J4089" s="24" t="s">
        <v>126</v>
      </c>
      <c r="K4089" s="96" t="s">
        <v>5480</v>
      </c>
      <c r="L4089" s="114" t="s">
        <v>5481</v>
      </c>
      <c r="M4089" s="26" t="s">
        <v>5482</v>
      </c>
      <c r="N4089" s="106">
        <v>44470</v>
      </c>
      <c r="O4089" s="94" t="s">
        <v>3267</v>
      </c>
      <c r="P4089" s="268">
        <v>5000</v>
      </c>
      <c r="Q4089" s="273">
        <v>3</v>
      </c>
      <c r="R4089" s="268">
        <f t="shared" si="93"/>
        <v>15000</v>
      </c>
      <c r="S4089" s="24">
        <v>202303</v>
      </c>
      <c r="T4089" s="127" t="s">
        <v>5486</v>
      </c>
      <c r="U4089" s="97"/>
      <c r="V4089" s="128"/>
      <c r="W4089" s="128"/>
      <c r="X4089" s="106">
        <v>44593</v>
      </c>
      <c r="Y4089" s="106">
        <v>44957</v>
      </c>
    </row>
    <row r="4090" s="9" customFormat="1" customHeight="1" spans="1:25">
      <c r="A4090" s="96" t="s">
        <v>129</v>
      </c>
      <c r="B4090" s="94" t="s">
        <v>4074</v>
      </c>
      <c r="C4090" s="94" t="s">
        <v>2833</v>
      </c>
      <c r="D4090" s="94" t="s">
        <v>4250</v>
      </c>
      <c r="E4090" s="105" t="s">
        <v>5477</v>
      </c>
      <c r="F4090" s="96" t="s">
        <v>5478</v>
      </c>
      <c r="G4090" s="96" t="s">
        <v>88</v>
      </c>
      <c r="H4090" s="19" t="s">
        <v>5479</v>
      </c>
      <c r="I4090" s="23" t="e">
        <f>VLOOKUP(H4090,'合同综合查询数据（3月返）'!$A:$A,1,FALSE)</f>
        <v>#N/A</v>
      </c>
      <c r="J4090" s="24" t="s">
        <v>126</v>
      </c>
      <c r="K4090" s="96" t="s">
        <v>5480</v>
      </c>
      <c r="L4090" s="114" t="s">
        <v>5481</v>
      </c>
      <c r="M4090" s="26" t="s">
        <v>5482</v>
      </c>
      <c r="N4090" s="106">
        <v>44712</v>
      </c>
      <c r="O4090" s="94" t="s">
        <v>3267</v>
      </c>
      <c r="P4090" s="268">
        <v>5000</v>
      </c>
      <c r="Q4090" s="273">
        <v>-3</v>
      </c>
      <c r="R4090" s="268">
        <f t="shared" si="93"/>
        <v>-15000</v>
      </c>
      <c r="S4090" s="24">
        <v>202303</v>
      </c>
      <c r="T4090" s="127" t="s">
        <v>5487</v>
      </c>
      <c r="U4090" s="97"/>
      <c r="V4090" s="128"/>
      <c r="W4090" s="128"/>
      <c r="X4090" s="106">
        <v>44593</v>
      </c>
      <c r="Y4090" s="106">
        <v>44957</v>
      </c>
    </row>
    <row r="4091" s="9" customFormat="1" customHeight="1" spans="1:25">
      <c r="A4091" s="96" t="s">
        <v>109</v>
      </c>
      <c r="B4091" s="94" t="s">
        <v>4074</v>
      </c>
      <c r="C4091" s="94" t="s">
        <v>217</v>
      </c>
      <c r="D4091" s="94" t="s">
        <v>4178</v>
      </c>
      <c r="E4091" s="105" t="s">
        <v>5488</v>
      </c>
      <c r="F4091" s="96" t="s">
        <v>5489</v>
      </c>
      <c r="G4091" s="96" t="s">
        <v>31</v>
      </c>
      <c r="H4091" s="19" t="s">
        <v>5490</v>
      </c>
      <c r="I4091" s="23" t="e">
        <f>VLOOKUP(H4091,'合同综合查询数据（3月返）'!$A:$A,1,FALSE)</f>
        <v>#N/A</v>
      </c>
      <c r="J4091" s="24" t="s">
        <v>33</v>
      </c>
      <c r="K4091" s="96" t="s">
        <v>1054</v>
      </c>
      <c r="L4091" s="94" t="s">
        <v>2069</v>
      </c>
      <c r="M4091" s="26" t="s">
        <v>5491</v>
      </c>
      <c r="N4091" s="106">
        <v>44470</v>
      </c>
      <c r="O4091" s="94" t="s">
        <v>37</v>
      </c>
      <c r="P4091" s="268">
        <v>0</v>
      </c>
      <c r="Q4091" s="273">
        <v>288</v>
      </c>
      <c r="R4091" s="268">
        <f t="shared" si="93"/>
        <v>0</v>
      </c>
      <c r="S4091" s="24">
        <v>202303</v>
      </c>
      <c r="T4091" s="127" t="s">
        <v>5492</v>
      </c>
      <c r="U4091" s="97"/>
      <c r="V4091" s="128"/>
      <c r="W4091" s="128"/>
      <c r="X4091" s="106">
        <v>44835</v>
      </c>
      <c r="Y4091" s="106">
        <v>45199</v>
      </c>
    </row>
    <row r="4092" s="9" customFormat="1" customHeight="1" spans="1:25">
      <c r="A4092" s="96" t="s">
        <v>109</v>
      </c>
      <c r="B4092" s="94" t="s">
        <v>4074</v>
      </c>
      <c r="C4092" s="94" t="s">
        <v>217</v>
      </c>
      <c r="D4092" s="94" t="s">
        <v>4178</v>
      </c>
      <c r="E4092" s="105" t="s">
        <v>5488</v>
      </c>
      <c r="F4092" s="96" t="s">
        <v>5489</v>
      </c>
      <c r="G4092" s="96" t="s">
        <v>31</v>
      </c>
      <c r="H4092" s="19" t="s">
        <v>5490</v>
      </c>
      <c r="I4092" s="23" t="e">
        <f>VLOOKUP(H4092,'合同综合查询数据（3月返）'!$A:$A,1,FALSE)</f>
        <v>#N/A</v>
      </c>
      <c r="J4092" s="24" t="s">
        <v>33</v>
      </c>
      <c r="K4092" s="96" t="s">
        <v>1054</v>
      </c>
      <c r="L4092" s="94" t="s">
        <v>5493</v>
      </c>
      <c r="M4092" s="26" t="s">
        <v>5491</v>
      </c>
      <c r="N4092" s="106">
        <v>44805</v>
      </c>
      <c r="O4092" s="94" t="s">
        <v>37</v>
      </c>
      <c r="P4092" s="268">
        <v>0</v>
      </c>
      <c r="Q4092" s="273">
        <v>160</v>
      </c>
      <c r="R4092" s="268">
        <f t="shared" si="93"/>
        <v>0</v>
      </c>
      <c r="S4092" s="24">
        <v>202303</v>
      </c>
      <c r="T4092" s="127" t="s">
        <v>5494</v>
      </c>
      <c r="U4092" s="97"/>
      <c r="V4092" s="128"/>
      <c r="W4092" s="128"/>
      <c r="X4092" s="106">
        <v>44835</v>
      </c>
      <c r="Y4092" s="106">
        <v>45199</v>
      </c>
    </row>
    <row r="4093" s="9" customFormat="1" customHeight="1" spans="1:25">
      <c r="A4093" s="96" t="s">
        <v>109</v>
      </c>
      <c r="B4093" s="94" t="s">
        <v>4074</v>
      </c>
      <c r="C4093" s="94" t="s">
        <v>217</v>
      </c>
      <c r="D4093" s="94" t="s">
        <v>4178</v>
      </c>
      <c r="E4093" s="105" t="s">
        <v>5488</v>
      </c>
      <c r="F4093" s="96" t="s">
        <v>5489</v>
      </c>
      <c r="G4093" s="96" t="s">
        <v>31</v>
      </c>
      <c r="H4093" s="19" t="s">
        <v>5490</v>
      </c>
      <c r="I4093" s="23" t="e">
        <f>VLOOKUP(H4093,'合同综合查询数据（3月返）'!$A:$A,1,FALSE)</f>
        <v>#N/A</v>
      </c>
      <c r="J4093" s="24" t="s">
        <v>33</v>
      </c>
      <c r="K4093" s="96" t="s">
        <v>1054</v>
      </c>
      <c r="L4093" s="94" t="s">
        <v>5493</v>
      </c>
      <c r="M4093" s="26" t="s">
        <v>5491</v>
      </c>
      <c r="N4093" s="106"/>
      <c r="O4093" s="94" t="s">
        <v>152</v>
      </c>
      <c r="P4093" s="268">
        <v>0</v>
      </c>
      <c r="Q4093" s="273">
        <v>0</v>
      </c>
      <c r="R4093" s="268">
        <f t="shared" si="93"/>
        <v>0</v>
      </c>
      <c r="S4093" s="24">
        <v>202303</v>
      </c>
      <c r="T4093" s="127" t="s">
        <v>4386</v>
      </c>
      <c r="U4093" s="97"/>
      <c r="V4093" s="128"/>
      <c r="W4093" s="128"/>
      <c r="X4093" s="106">
        <v>44835</v>
      </c>
      <c r="Y4093" s="106">
        <v>45199</v>
      </c>
    </row>
    <row r="4094" s="9" customFormat="1" customHeight="1" spans="1:25">
      <c r="A4094" s="96" t="s">
        <v>109</v>
      </c>
      <c r="B4094" s="94" t="s">
        <v>4074</v>
      </c>
      <c r="C4094" s="94" t="s">
        <v>217</v>
      </c>
      <c r="D4094" s="94" t="s">
        <v>4178</v>
      </c>
      <c r="E4094" s="105" t="s">
        <v>5488</v>
      </c>
      <c r="F4094" s="96" t="s">
        <v>5489</v>
      </c>
      <c r="G4094" s="96" t="s">
        <v>88</v>
      </c>
      <c r="H4094" s="19" t="s">
        <v>5490</v>
      </c>
      <c r="I4094" s="23" t="e">
        <f>VLOOKUP(H4094,'合同综合查询数据（3月返）'!$A:$A,1,FALSE)</f>
        <v>#N/A</v>
      </c>
      <c r="J4094" s="24" t="s">
        <v>126</v>
      </c>
      <c r="K4094" s="96" t="s">
        <v>1054</v>
      </c>
      <c r="L4094" s="94" t="s">
        <v>5495</v>
      </c>
      <c r="M4094" s="26" t="s">
        <v>5491</v>
      </c>
      <c r="N4094" s="106">
        <v>44470</v>
      </c>
      <c r="O4094" s="94" t="s">
        <v>457</v>
      </c>
      <c r="P4094" s="268">
        <v>3750</v>
      </c>
      <c r="Q4094" s="273">
        <v>4</v>
      </c>
      <c r="R4094" s="268">
        <f t="shared" si="93"/>
        <v>15000</v>
      </c>
      <c r="S4094" s="24">
        <v>202303</v>
      </c>
      <c r="T4094" s="127" t="s">
        <v>5496</v>
      </c>
      <c r="U4094" s="97"/>
      <c r="V4094" s="128"/>
      <c r="W4094" s="128"/>
      <c r="X4094" s="106">
        <v>44835</v>
      </c>
      <c r="Y4094" s="106">
        <v>45199</v>
      </c>
    </row>
    <row r="4095" s="9" customFormat="1" customHeight="1" spans="1:25">
      <c r="A4095" s="96" t="s">
        <v>109</v>
      </c>
      <c r="B4095" s="94" t="s">
        <v>4074</v>
      </c>
      <c r="C4095" s="94" t="s">
        <v>217</v>
      </c>
      <c r="D4095" s="94" t="s">
        <v>4178</v>
      </c>
      <c r="E4095" s="105" t="s">
        <v>5488</v>
      </c>
      <c r="F4095" s="96" t="s">
        <v>5489</v>
      </c>
      <c r="G4095" s="96" t="s">
        <v>88</v>
      </c>
      <c r="H4095" s="19" t="s">
        <v>5490</v>
      </c>
      <c r="I4095" s="23" t="e">
        <f>VLOOKUP(H4095,'合同综合查询数据（3月返）'!$A:$A,1,FALSE)</f>
        <v>#N/A</v>
      </c>
      <c r="J4095" s="24" t="s">
        <v>126</v>
      </c>
      <c r="K4095" s="96" t="s">
        <v>1054</v>
      </c>
      <c r="L4095" s="94" t="s">
        <v>5495</v>
      </c>
      <c r="M4095" s="26" t="s">
        <v>5491</v>
      </c>
      <c r="N4095" s="106">
        <v>44501</v>
      </c>
      <c r="O4095" s="94" t="s">
        <v>457</v>
      </c>
      <c r="P4095" s="268">
        <v>3750</v>
      </c>
      <c r="Q4095" s="273">
        <v>2</v>
      </c>
      <c r="R4095" s="268">
        <f t="shared" si="93"/>
        <v>7500</v>
      </c>
      <c r="S4095" s="24">
        <v>202303</v>
      </c>
      <c r="T4095" s="127" t="s">
        <v>5497</v>
      </c>
      <c r="U4095" s="97"/>
      <c r="V4095" s="128"/>
      <c r="W4095" s="128"/>
      <c r="X4095" s="106">
        <v>44835</v>
      </c>
      <c r="Y4095" s="106">
        <v>45199</v>
      </c>
    </row>
    <row r="4096" s="9" customFormat="1" customHeight="1" spans="1:25">
      <c r="A4096" s="96" t="s">
        <v>109</v>
      </c>
      <c r="B4096" s="94" t="s">
        <v>4074</v>
      </c>
      <c r="C4096" s="94" t="s">
        <v>217</v>
      </c>
      <c r="D4096" s="94" t="s">
        <v>4178</v>
      </c>
      <c r="E4096" s="105" t="s">
        <v>5488</v>
      </c>
      <c r="F4096" s="96" t="s">
        <v>5489</v>
      </c>
      <c r="G4096" s="96" t="s">
        <v>31</v>
      </c>
      <c r="H4096" s="19" t="s">
        <v>5498</v>
      </c>
      <c r="I4096" s="23" t="e">
        <f>VLOOKUP(H4096,'合同综合查询数据（3月返）'!$A:$A,1,FALSE)</f>
        <v>#N/A</v>
      </c>
      <c r="J4096" s="24" t="s">
        <v>33</v>
      </c>
      <c r="K4096" s="96" t="s">
        <v>1054</v>
      </c>
      <c r="L4096" s="94" t="s">
        <v>5499</v>
      </c>
      <c r="M4096" s="26" t="s">
        <v>5491</v>
      </c>
      <c r="N4096" s="106">
        <v>44682</v>
      </c>
      <c r="O4096" s="94" t="s">
        <v>37</v>
      </c>
      <c r="P4096" s="268">
        <v>0</v>
      </c>
      <c r="Q4096" s="273">
        <v>288</v>
      </c>
      <c r="R4096" s="268">
        <f t="shared" si="93"/>
        <v>0</v>
      </c>
      <c r="S4096" s="24">
        <v>202303</v>
      </c>
      <c r="T4096" s="127" t="s">
        <v>5500</v>
      </c>
      <c r="U4096" s="97"/>
      <c r="V4096" s="128"/>
      <c r="W4096" s="128"/>
      <c r="X4096" s="106">
        <v>44682</v>
      </c>
      <c r="Y4096" s="106">
        <v>45046</v>
      </c>
    </row>
    <row r="4097" s="9" customFormat="1" customHeight="1" spans="1:25">
      <c r="A4097" s="96" t="s">
        <v>109</v>
      </c>
      <c r="B4097" s="94" t="s">
        <v>4074</v>
      </c>
      <c r="C4097" s="94" t="s">
        <v>217</v>
      </c>
      <c r="D4097" s="94" t="s">
        <v>4178</v>
      </c>
      <c r="E4097" s="105" t="s">
        <v>5488</v>
      </c>
      <c r="F4097" s="96" t="s">
        <v>5489</v>
      </c>
      <c r="G4097" s="96" t="s">
        <v>31</v>
      </c>
      <c r="H4097" s="19" t="s">
        <v>5498</v>
      </c>
      <c r="I4097" s="23" t="e">
        <f>VLOOKUP(H4097,'合同综合查询数据（3月返）'!$A:$A,1,FALSE)</f>
        <v>#N/A</v>
      </c>
      <c r="J4097" s="24" t="s">
        <v>33</v>
      </c>
      <c r="K4097" s="96" t="s">
        <v>1054</v>
      </c>
      <c r="L4097" s="94" t="s">
        <v>5499</v>
      </c>
      <c r="M4097" s="26" t="s">
        <v>5491</v>
      </c>
      <c r="N4097" s="106"/>
      <c r="O4097" s="94" t="s">
        <v>152</v>
      </c>
      <c r="P4097" s="268">
        <v>0</v>
      </c>
      <c r="Q4097" s="273">
        <v>0</v>
      </c>
      <c r="R4097" s="268">
        <f t="shared" si="93"/>
        <v>0</v>
      </c>
      <c r="S4097" s="24">
        <v>202303</v>
      </c>
      <c r="T4097" s="127" t="s">
        <v>5501</v>
      </c>
      <c r="U4097" s="97"/>
      <c r="V4097" s="128"/>
      <c r="W4097" s="128"/>
      <c r="X4097" s="106">
        <v>44682</v>
      </c>
      <c r="Y4097" s="106">
        <v>45046</v>
      </c>
    </row>
    <row r="4098" s="9" customFormat="1" customHeight="1" spans="1:25">
      <c r="A4098" s="96" t="s">
        <v>109</v>
      </c>
      <c r="B4098" s="94" t="s">
        <v>4074</v>
      </c>
      <c r="C4098" s="94" t="s">
        <v>217</v>
      </c>
      <c r="D4098" s="94" t="s">
        <v>4178</v>
      </c>
      <c r="E4098" s="105" t="s">
        <v>5488</v>
      </c>
      <c r="F4098" s="96" t="s">
        <v>5489</v>
      </c>
      <c r="G4098" s="96" t="s">
        <v>88</v>
      </c>
      <c r="H4098" s="19" t="s">
        <v>5498</v>
      </c>
      <c r="I4098" s="23" t="e">
        <f>VLOOKUP(H4098,'合同综合查询数据（3月返）'!$A:$A,1,FALSE)</f>
        <v>#N/A</v>
      </c>
      <c r="J4098" s="24" t="s">
        <v>126</v>
      </c>
      <c r="K4098" s="96" t="s">
        <v>1054</v>
      </c>
      <c r="L4098" s="94" t="s">
        <v>5499</v>
      </c>
      <c r="M4098" s="26" t="s">
        <v>5491</v>
      </c>
      <c r="N4098" s="106">
        <v>44682</v>
      </c>
      <c r="O4098" s="94" t="s">
        <v>457</v>
      </c>
      <c r="P4098" s="268">
        <v>3750</v>
      </c>
      <c r="Q4098" s="273">
        <v>4</v>
      </c>
      <c r="R4098" s="268">
        <f t="shared" si="93"/>
        <v>15000</v>
      </c>
      <c r="S4098" s="24">
        <v>202303</v>
      </c>
      <c r="T4098" s="127" t="s">
        <v>5502</v>
      </c>
      <c r="U4098" s="97"/>
      <c r="V4098" s="128"/>
      <c r="W4098" s="128"/>
      <c r="X4098" s="106">
        <v>44682</v>
      </c>
      <c r="Y4098" s="106">
        <v>45046</v>
      </c>
    </row>
    <row r="4099" s="9" customFormat="1" customHeight="1" spans="1:25">
      <c r="A4099" s="96" t="s">
        <v>129</v>
      </c>
      <c r="B4099" s="94" t="s">
        <v>4074</v>
      </c>
      <c r="C4099" s="94" t="s">
        <v>210</v>
      </c>
      <c r="D4099" s="94" t="s">
        <v>28</v>
      </c>
      <c r="E4099" s="105" t="s">
        <v>5503</v>
      </c>
      <c r="F4099" s="96" t="s">
        <v>5504</v>
      </c>
      <c r="G4099" s="96" t="s">
        <v>31</v>
      </c>
      <c r="H4099" s="19" t="s">
        <v>5505</v>
      </c>
      <c r="I4099" s="23" t="e">
        <f>VLOOKUP(H4099,'合同综合查询数据（3月返）'!$A:$A,1,FALSE)</f>
        <v>#N/A</v>
      </c>
      <c r="J4099" s="24" t="s">
        <v>33</v>
      </c>
      <c r="K4099" s="96" t="s">
        <v>5506</v>
      </c>
      <c r="L4099" s="114" t="s">
        <v>5507</v>
      </c>
      <c r="M4099" s="26" t="s">
        <v>5508</v>
      </c>
      <c r="N4099" s="106">
        <v>44470</v>
      </c>
      <c r="O4099" s="94" t="s">
        <v>37</v>
      </c>
      <c r="P4099" s="268">
        <v>0</v>
      </c>
      <c r="Q4099" s="273">
        <v>320</v>
      </c>
      <c r="R4099" s="268">
        <f t="shared" si="93"/>
        <v>0</v>
      </c>
      <c r="S4099" s="24">
        <v>202303</v>
      </c>
      <c r="T4099" s="127" t="s">
        <v>5509</v>
      </c>
      <c r="U4099" s="97"/>
      <c r="V4099" s="128"/>
      <c r="W4099" s="128"/>
      <c r="X4099" s="106">
        <v>44470</v>
      </c>
      <c r="Y4099" s="106">
        <v>45199</v>
      </c>
    </row>
    <row r="4100" s="9" customFormat="1" customHeight="1" spans="1:25">
      <c r="A4100" s="96" t="s">
        <v>129</v>
      </c>
      <c r="B4100" s="94" t="s">
        <v>4074</v>
      </c>
      <c r="C4100" s="94" t="s">
        <v>210</v>
      </c>
      <c r="D4100" s="94" t="s">
        <v>28</v>
      </c>
      <c r="E4100" s="105" t="s">
        <v>5503</v>
      </c>
      <c r="F4100" s="96" t="s">
        <v>5504</v>
      </c>
      <c r="G4100" s="96" t="s">
        <v>31</v>
      </c>
      <c r="H4100" s="19" t="s">
        <v>5505</v>
      </c>
      <c r="I4100" s="23" t="e">
        <f>VLOOKUP(H4100,'合同综合查询数据（3月返）'!$A:$A,1,FALSE)</f>
        <v>#N/A</v>
      </c>
      <c r="J4100" s="24" t="s">
        <v>33</v>
      </c>
      <c r="K4100" s="96" t="s">
        <v>5506</v>
      </c>
      <c r="L4100" s="114" t="s">
        <v>5507</v>
      </c>
      <c r="M4100" s="26" t="s">
        <v>5508</v>
      </c>
      <c r="N4100" s="106"/>
      <c r="O4100" s="94" t="s">
        <v>152</v>
      </c>
      <c r="P4100" s="268">
        <v>0</v>
      </c>
      <c r="Q4100" s="273">
        <v>0</v>
      </c>
      <c r="R4100" s="268">
        <f t="shared" si="93"/>
        <v>0</v>
      </c>
      <c r="S4100" s="24">
        <v>202303</v>
      </c>
      <c r="T4100" s="127" t="s">
        <v>5510</v>
      </c>
      <c r="U4100" s="97"/>
      <c r="V4100" s="128"/>
      <c r="W4100" s="128"/>
      <c r="X4100" s="106">
        <v>44470</v>
      </c>
      <c r="Y4100" s="106">
        <v>45199</v>
      </c>
    </row>
    <row r="4101" s="9" customFormat="1" customHeight="1" spans="1:25">
      <c r="A4101" s="96" t="s">
        <v>129</v>
      </c>
      <c r="B4101" s="94" t="s">
        <v>4074</v>
      </c>
      <c r="C4101" s="94" t="s">
        <v>210</v>
      </c>
      <c r="D4101" s="94" t="s">
        <v>28</v>
      </c>
      <c r="E4101" s="105" t="s">
        <v>5503</v>
      </c>
      <c r="F4101" s="96" t="s">
        <v>5504</v>
      </c>
      <c r="G4101" s="96" t="s">
        <v>88</v>
      </c>
      <c r="H4101" s="19" t="s">
        <v>5505</v>
      </c>
      <c r="I4101" s="23" t="e">
        <f>VLOOKUP(H4101,'合同综合查询数据（3月返）'!$A:$A,1,FALSE)</f>
        <v>#N/A</v>
      </c>
      <c r="J4101" s="24" t="s">
        <v>126</v>
      </c>
      <c r="K4101" s="96" t="s">
        <v>5506</v>
      </c>
      <c r="L4101" s="114" t="s">
        <v>5507</v>
      </c>
      <c r="M4101" s="26" t="s">
        <v>5508</v>
      </c>
      <c r="N4101" s="106">
        <v>44470</v>
      </c>
      <c r="O4101" s="94" t="s">
        <v>127</v>
      </c>
      <c r="P4101" s="268">
        <v>0</v>
      </c>
      <c r="Q4101" s="273">
        <v>5</v>
      </c>
      <c r="R4101" s="268">
        <f t="shared" si="93"/>
        <v>0</v>
      </c>
      <c r="S4101" s="24">
        <v>202303</v>
      </c>
      <c r="T4101" s="127" t="s">
        <v>5511</v>
      </c>
      <c r="U4101" s="97"/>
      <c r="V4101" s="128"/>
      <c r="W4101" s="128"/>
      <c r="X4101" s="106">
        <v>44470</v>
      </c>
      <c r="Y4101" s="106">
        <v>45199</v>
      </c>
    </row>
    <row r="4102" s="9" customFormat="1" customHeight="1" spans="1:25">
      <c r="A4102" s="96" t="s">
        <v>109</v>
      </c>
      <c r="B4102" s="94" t="s">
        <v>4074</v>
      </c>
      <c r="C4102" s="94" t="s">
        <v>110</v>
      </c>
      <c r="D4102" s="94" t="s">
        <v>28</v>
      </c>
      <c r="E4102" s="105" t="s">
        <v>5512</v>
      </c>
      <c r="F4102" s="96" t="s">
        <v>5513</v>
      </c>
      <c r="G4102" s="96" t="s">
        <v>31</v>
      </c>
      <c r="H4102" s="19" t="s">
        <v>5514</v>
      </c>
      <c r="I4102" s="23" t="e">
        <f>VLOOKUP(H4102,'合同综合查询数据（3月返）'!$A:$A,1,FALSE)</f>
        <v>#N/A</v>
      </c>
      <c r="J4102" s="24" t="s">
        <v>33</v>
      </c>
      <c r="K4102" s="96" t="s">
        <v>5515</v>
      </c>
      <c r="L4102" s="114" t="s">
        <v>5516</v>
      </c>
      <c r="M4102" s="26" t="s">
        <v>5517</v>
      </c>
      <c r="N4102" s="106">
        <v>44470</v>
      </c>
      <c r="O4102" s="94" t="s">
        <v>37</v>
      </c>
      <c r="P4102" s="268">
        <v>0</v>
      </c>
      <c r="Q4102" s="273">
        <v>288</v>
      </c>
      <c r="R4102" s="268">
        <f t="shared" si="93"/>
        <v>0</v>
      </c>
      <c r="S4102" s="24">
        <v>202303</v>
      </c>
      <c r="T4102" s="127" t="s">
        <v>5518</v>
      </c>
      <c r="U4102" s="97"/>
      <c r="V4102" s="128"/>
      <c r="W4102" s="128"/>
      <c r="X4102" s="106">
        <v>44470</v>
      </c>
      <c r="Y4102" s="106">
        <v>44834</v>
      </c>
    </row>
    <row r="4103" s="9" customFormat="1" customHeight="1" spans="1:25">
      <c r="A4103" s="96" t="s">
        <v>109</v>
      </c>
      <c r="B4103" s="94" t="s">
        <v>4074</v>
      </c>
      <c r="C4103" s="94" t="s">
        <v>110</v>
      </c>
      <c r="D4103" s="94" t="s">
        <v>28</v>
      </c>
      <c r="E4103" s="105" t="s">
        <v>5512</v>
      </c>
      <c r="F4103" s="96" t="s">
        <v>5513</v>
      </c>
      <c r="G4103" s="96" t="s">
        <v>31</v>
      </c>
      <c r="H4103" s="19" t="s">
        <v>5514</v>
      </c>
      <c r="I4103" s="23" t="e">
        <f>VLOOKUP(H4103,'合同综合查询数据（3月返）'!$A:$A,1,FALSE)</f>
        <v>#N/A</v>
      </c>
      <c r="J4103" s="24" t="s">
        <v>33</v>
      </c>
      <c r="K4103" s="96" t="s">
        <v>5515</v>
      </c>
      <c r="L4103" s="114" t="s">
        <v>5516</v>
      </c>
      <c r="M4103" s="26" t="s">
        <v>5517</v>
      </c>
      <c r="N4103" s="106">
        <v>44526</v>
      </c>
      <c r="O4103" s="94" t="s">
        <v>37</v>
      </c>
      <c r="P4103" s="268">
        <v>0</v>
      </c>
      <c r="Q4103" s="273">
        <v>-288</v>
      </c>
      <c r="R4103" s="268">
        <f t="shared" si="93"/>
        <v>0</v>
      </c>
      <c r="S4103" s="24">
        <v>202303</v>
      </c>
      <c r="T4103" s="127" t="s">
        <v>5519</v>
      </c>
      <c r="U4103" s="97"/>
      <c r="V4103" s="128"/>
      <c r="W4103" s="128"/>
      <c r="X4103" s="106">
        <v>44470</v>
      </c>
      <c r="Y4103" s="106">
        <v>44834</v>
      </c>
    </row>
    <row r="4104" s="9" customFormat="1" customHeight="1" spans="1:25">
      <c r="A4104" s="96" t="s">
        <v>109</v>
      </c>
      <c r="B4104" s="94" t="s">
        <v>4074</v>
      </c>
      <c r="C4104" s="94" t="s">
        <v>110</v>
      </c>
      <c r="D4104" s="94" t="s">
        <v>28</v>
      </c>
      <c r="E4104" s="105" t="s">
        <v>5512</v>
      </c>
      <c r="F4104" s="96" t="s">
        <v>5513</v>
      </c>
      <c r="G4104" s="96" t="s">
        <v>88</v>
      </c>
      <c r="H4104" s="19" t="s">
        <v>5514</v>
      </c>
      <c r="I4104" s="23" t="e">
        <f>VLOOKUP(H4104,'合同综合查询数据（3月返）'!$A:$A,1,FALSE)</f>
        <v>#N/A</v>
      </c>
      <c r="J4104" s="24" t="s">
        <v>126</v>
      </c>
      <c r="K4104" s="96" t="s">
        <v>5515</v>
      </c>
      <c r="L4104" s="114" t="s">
        <v>5516</v>
      </c>
      <c r="M4104" s="26" t="s">
        <v>5517</v>
      </c>
      <c r="N4104" s="106">
        <v>44470</v>
      </c>
      <c r="O4104" s="94" t="s">
        <v>127</v>
      </c>
      <c r="P4104" s="268">
        <v>4000</v>
      </c>
      <c r="Q4104" s="273">
        <v>3</v>
      </c>
      <c r="R4104" s="268">
        <f t="shared" si="93"/>
        <v>12000</v>
      </c>
      <c r="S4104" s="24">
        <v>202303</v>
      </c>
      <c r="T4104" s="127" t="s">
        <v>5520</v>
      </c>
      <c r="U4104" s="97"/>
      <c r="V4104" s="128"/>
      <c r="W4104" s="128"/>
      <c r="X4104" s="106">
        <v>44470</v>
      </c>
      <c r="Y4104" s="106">
        <v>44834</v>
      </c>
    </row>
    <row r="4105" s="9" customFormat="1" customHeight="1" spans="1:25">
      <c r="A4105" s="96" t="s">
        <v>109</v>
      </c>
      <c r="B4105" s="94" t="s">
        <v>4074</v>
      </c>
      <c r="C4105" s="94" t="s">
        <v>110</v>
      </c>
      <c r="D4105" s="94" t="s">
        <v>28</v>
      </c>
      <c r="E4105" s="105" t="s">
        <v>5512</v>
      </c>
      <c r="F4105" s="96" t="s">
        <v>5513</v>
      </c>
      <c r="G4105" s="96" t="s">
        <v>88</v>
      </c>
      <c r="H4105" s="19" t="s">
        <v>5514</v>
      </c>
      <c r="I4105" s="23" t="e">
        <f>VLOOKUP(H4105,'合同综合查询数据（3月返）'!$A:$A,1,FALSE)</f>
        <v>#N/A</v>
      </c>
      <c r="J4105" s="24" t="s">
        <v>126</v>
      </c>
      <c r="K4105" s="96" t="s">
        <v>5515</v>
      </c>
      <c r="L4105" s="114" t="s">
        <v>5516</v>
      </c>
      <c r="M4105" s="26" t="s">
        <v>5517</v>
      </c>
      <c r="N4105" s="106">
        <v>44526</v>
      </c>
      <c r="O4105" s="94" t="s">
        <v>127</v>
      </c>
      <c r="P4105" s="268">
        <v>4000</v>
      </c>
      <c r="Q4105" s="273">
        <v>-3</v>
      </c>
      <c r="R4105" s="268">
        <f t="shared" si="93"/>
        <v>-12000</v>
      </c>
      <c r="S4105" s="24">
        <v>202303</v>
      </c>
      <c r="T4105" s="127" t="s">
        <v>5521</v>
      </c>
      <c r="U4105" s="97"/>
      <c r="V4105" s="128"/>
      <c r="W4105" s="128"/>
      <c r="X4105" s="106">
        <v>44470</v>
      </c>
      <c r="Y4105" s="106">
        <v>44834</v>
      </c>
    </row>
    <row r="4106" s="9" customFormat="1" customHeight="1" spans="1:25">
      <c r="A4106" s="96" t="s">
        <v>109</v>
      </c>
      <c r="B4106" s="94" t="s">
        <v>4074</v>
      </c>
      <c r="C4106" s="94" t="s">
        <v>110</v>
      </c>
      <c r="D4106" s="94" t="s">
        <v>28</v>
      </c>
      <c r="E4106" s="105" t="s">
        <v>5512</v>
      </c>
      <c r="F4106" s="96" t="s">
        <v>5513</v>
      </c>
      <c r="G4106" s="96" t="s">
        <v>31</v>
      </c>
      <c r="H4106" s="19" t="s">
        <v>5522</v>
      </c>
      <c r="I4106" s="23" t="e">
        <f>VLOOKUP(H4106,'合同综合查询数据（3月返）'!$A:$A,1,FALSE)</f>
        <v>#N/A</v>
      </c>
      <c r="J4106" s="24" t="s">
        <v>33</v>
      </c>
      <c r="K4106" s="96" t="s">
        <v>5515</v>
      </c>
      <c r="L4106" s="114" t="s">
        <v>5523</v>
      </c>
      <c r="M4106" s="26" t="s">
        <v>5517</v>
      </c>
      <c r="N4106" s="106">
        <v>44713</v>
      </c>
      <c r="O4106" s="94" t="s">
        <v>37</v>
      </c>
      <c r="P4106" s="268">
        <v>0</v>
      </c>
      <c r="Q4106" s="273">
        <v>288</v>
      </c>
      <c r="R4106" s="268">
        <f t="shared" si="93"/>
        <v>0</v>
      </c>
      <c r="S4106" s="24">
        <v>202303</v>
      </c>
      <c r="T4106" s="127" t="s">
        <v>5524</v>
      </c>
      <c r="U4106" s="97"/>
      <c r="V4106" s="128"/>
      <c r="W4106" s="128"/>
      <c r="X4106" s="106">
        <v>44713</v>
      </c>
      <c r="Y4106" s="106">
        <v>45077</v>
      </c>
    </row>
    <row r="4107" s="9" customFormat="1" customHeight="1" spans="1:25">
      <c r="A4107" s="96" t="s">
        <v>109</v>
      </c>
      <c r="B4107" s="94" t="s">
        <v>4074</v>
      </c>
      <c r="C4107" s="94" t="s">
        <v>110</v>
      </c>
      <c r="D4107" s="94" t="s">
        <v>28</v>
      </c>
      <c r="E4107" s="105" t="s">
        <v>5512</v>
      </c>
      <c r="F4107" s="96" t="s">
        <v>5513</v>
      </c>
      <c r="G4107" s="96" t="s">
        <v>31</v>
      </c>
      <c r="H4107" s="19" t="s">
        <v>5522</v>
      </c>
      <c r="I4107" s="23" t="e">
        <f>VLOOKUP(H4107,'合同综合查询数据（3月返）'!$A:$A,1,FALSE)</f>
        <v>#N/A</v>
      </c>
      <c r="J4107" s="24" t="s">
        <v>33</v>
      </c>
      <c r="K4107" s="96" t="s">
        <v>5515</v>
      </c>
      <c r="L4107" s="114" t="s">
        <v>5523</v>
      </c>
      <c r="M4107" s="26" t="s">
        <v>5517</v>
      </c>
      <c r="N4107" s="106">
        <v>44776</v>
      </c>
      <c r="O4107" s="94" t="s">
        <v>37</v>
      </c>
      <c r="P4107" s="268">
        <v>0</v>
      </c>
      <c r="Q4107" s="273">
        <v>-128</v>
      </c>
      <c r="R4107" s="268">
        <f t="shared" si="93"/>
        <v>0</v>
      </c>
      <c r="S4107" s="24">
        <v>202303</v>
      </c>
      <c r="T4107" s="127" t="s">
        <v>5525</v>
      </c>
      <c r="U4107" s="97"/>
      <c r="V4107" s="128"/>
      <c r="W4107" s="128"/>
      <c r="X4107" s="106">
        <v>44713</v>
      </c>
      <c r="Y4107" s="106">
        <v>45077</v>
      </c>
    </row>
    <row r="4108" s="9" customFormat="1" customHeight="1" spans="1:25">
      <c r="A4108" s="96" t="s">
        <v>109</v>
      </c>
      <c r="B4108" s="94" t="s">
        <v>4074</v>
      </c>
      <c r="C4108" s="94" t="s">
        <v>110</v>
      </c>
      <c r="D4108" s="94" t="s">
        <v>28</v>
      </c>
      <c r="E4108" s="105" t="s">
        <v>5512</v>
      </c>
      <c r="F4108" s="96" t="s">
        <v>5513</v>
      </c>
      <c r="G4108" s="96" t="s">
        <v>31</v>
      </c>
      <c r="H4108" s="19" t="s">
        <v>5522</v>
      </c>
      <c r="I4108" s="23" t="e">
        <f>VLOOKUP(H4108,'合同综合查询数据（3月返）'!$A:$A,1,FALSE)</f>
        <v>#N/A</v>
      </c>
      <c r="J4108" s="24" t="s">
        <v>33</v>
      </c>
      <c r="K4108" s="96" t="s">
        <v>5515</v>
      </c>
      <c r="L4108" s="114" t="s">
        <v>5523</v>
      </c>
      <c r="M4108" s="26" t="s">
        <v>5517</v>
      </c>
      <c r="N4108" s="106"/>
      <c r="O4108" s="94" t="s">
        <v>152</v>
      </c>
      <c r="P4108" s="268">
        <v>0</v>
      </c>
      <c r="Q4108" s="273">
        <v>0</v>
      </c>
      <c r="R4108" s="268">
        <f t="shared" si="93"/>
        <v>0</v>
      </c>
      <c r="S4108" s="24">
        <v>202303</v>
      </c>
      <c r="T4108" s="127" t="s">
        <v>5526</v>
      </c>
      <c r="U4108" s="97"/>
      <c r="V4108" s="128"/>
      <c r="W4108" s="128"/>
      <c r="X4108" s="311">
        <v>44713</v>
      </c>
      <c r="Y4108" s="311">
        <v>45077</v>
      </c>
    </row>
    <row r="4109" s="9" customFormat="1" customHeight="1" spans="1:25">
      <c r="A4109" s="96" t="s">
        <v>109</v>
      </c>
      <c r="B4109" s="94" t="s">
        <v>4074</v>
      </c>
      <c r="C4109" s="94" t="s">
        <v>110</v>
      </c>
      <c r="D4109" s="94" t="s">
        <v>28</v>
      </c>
      <c r="E4109" s="105" t="s">
        <v>5512</v>
      </c>
      <c r="F4109" s="96" t="s">
        <v>5513</v>
      </c>
      <c r="G4109" s="96" t="s">
        <v>88</v>
      </c>
      <c r="H4109" s="19" t="s">
        <v>5522</v>
      </c>
      <c r="I4109" s="23" t="e">
        <f>VLOOKUP(H4109,'合同综合查询数据（3月返）'!$A:$A,1,FALSE)</f>
        <v>#N/A</v>
      </c>
      <c r="J4109" s="24" t="s">
        <v>126</v>
      </c>
      <c r="K4109" s="96" t="s">
        <v>5515</v>
      </c>
      <c r="L4109" s="114" t="s">
        <v>5523</v>
      </c>
      <c r="M4109" s="26" t="s">
        <v>5517</v>
      </c>
      <c r="N4109" s="106">
        <v>44713</v>
      </c>
      <c r="O4109" s="94" t="s">
        <v>127</v>
      </c>
      <c r="P4109" s="268">
        <v>4000</v>
      </c>
      <c r="Q4109" s="273">
        <v>3</v>
      </c>
      <c r="R4109" s="268">
        <f t="shared" si="93"/>
        <v>12000</v>
      </c>
      <c r="S4109" s="24">
        <v>202303</v>
      </c>
      <c r="T4109" s="127" t="s">
        <v>5527</v>
      </c>
      <c r="U4109" s="97"/>
      <c r="V4109" s="128"/>
      <c r="W4109" s="128"/>
      <c r="X4109" s="106">
        <v>44713</v>
      </c>
      <c r="Y4109" s="106">
        <v>45077</v>
      </c>
    </row>
    <row r="4110" s="9" customFormat="1" customHeight="1" spans="1:25">
      <c r="A4110" s="96" t="s">
        <v>129</v>
      </c>
      <c r="B4110" s="94" t="s">
        <v>4074</v>
      </c>
      <c r="C4110" s="94" t="s">
        <v>161</v>
      </c>
      <c r="D4110" s="94" t="s">
        <v>28</v>
      </c>
      <c r="E4110" s="105" t="s">
        <v>5528</v>
      </c>
      <c r="F4110" s="96" t="s">
        <v>5529</v>
      </c>
      <c r="G4110" s="96" t="s">
        <v>31</v>
      </c>
      <c r="H4110" s="19" t="s">
        <v>5530</v>
      </c>
      <c r="I4110" s="23" t="e">
        <f>VLOOKUP(H4110,'合同综合查询数据（3月返）'!$A:$A,1,FALSE)</f>
        <v>#N/A</v>
      </c>
      <c r="J4110" s="24" t="s">
        <v>33</v>
      </c>
      <c r="K4110" s="96" t="s">
        <v>4475</v>
      </c>
      <c r="L4110" s="114" t="s">
        <v>5531</v>
      </c>
      <c r="M4110" s="26" t="s">
        <v>5532</v>
      </c>
      <c r="N4110" s="106">
        <v>44501</v>
      </c>
      <c r="O4110" s="94" t="s">
        <v>37</v>
      </c>
      <c r="P4110" s="268">
        <v>0</v>
      </c>
      <c r="Q4110" s="273">
        <v>288</v>
      </c>
      <c r="R4110" s="268">
        <f t="shared" si="93"/>
        <v>0</v>
      </c>
      <c r="S4110" s="24">
        <v>202303</v>
      </c>
      <c r="T4110" s="127" t="s">
        <v>5533</v>
      </c>
      <c r="U4110" s="97"/>
      <c r="V4110" s="128"/>
      <c r="W4110" s="128"/>
      <c r="X4110" s="106">
        <v>44713</v>
      </c>
      <c r="Y4110" s="106">
        <v>45016</v>
      </c>
    </row>
    <row r="4111" s="9" customFormat="1" customHeight="1" spans="1:25">
      <c r="A4111" s="96" t="s">
        <v>129</v>
      </c>
      <c r="B4111" s="94" t="s">
        <v>4074</v>
      </c>
      <c r="C4111" s="94" t="s">
        <v>161</v>
      </c>
      <c r="D4111" s="94" t="s">
        <v>28</v>
      </c>
      <c r="E4111" s="105" t="s">
        <v>5528</v>
      </c>
      <c r="F4111" s="96" t="s">
        <v>5529</v>
      </c>
      <c r="G4111" s="96" t="s">
        <v>31</v>
      </c>
      <c r="H4111" s="19" t="s">
        <v>5530</v>
      </c>
      <c r="I4111" s="23" t="e">
        <f>VLOOKUP(H4111,'合同综合查询数据（3月返）'!$A:$A,1,FALSE)</f>
        <v>#N/A</v>
      </c>
      <c r="J4111" s="24" t="s">
        <v>33</v>
      </c>
      <c r="K4111" s="96" t="s">
        <v>4475</v>
      </c>
      <c r="L4111" s="114" t="s">
        <v>5531</v>
      </c>
      <c r="M4111" s="26" t="s">
        <v>5532</v>
      </c>
      <c r="N4111" s="106">
        <v>44936</v>
      </c>
      <c r="O4111" s="94" t="s">
        <v>37</v>
      </c>
      <c r="P4111" s="268">
        <v>0</v>
      </c>
      <c r="Q4111" s="273">
        <v>-288</v>
      </c>
      <c r="R4111" s="268">
        <f t="shared" si="93"/>
        <v>0</v>
      </c>
      <c r="S4111" s="24">
        <v>202303</v>
      </c>
      <c r="T4111" s="127" t="s">
        <v>5534</v>
      </c>
      <c r="U4111" s="97"/>
      <c r="V4111" s="128"/>
      <c r="W4111" s="128"/>
      <c r="X4111" s="106">
        <v>44713</v>
      </c>
      <c r="Y4111" s="106">
        <v>45016</v>
      </c>
    </row>
    <row r="4112" s="9" customFormat="1" customHeight="1" spans="1:25">
      <c r="A4112" s="96" t="s">
        <v>129</v>
      </c>
      <c r="B4112" s="94" t="s">
        <v>4074</v>
      </c>
      <c r="C4112" s="94" t="s">
        <v>161</v>
      </c>
      <c r="D4112" s="94" t="s">
        <v>28</v>
      </c>
      <c r="E4112" s="105" t="s">
        <v>5528</v>
      </c>
      <c r="F4112" s="96" t="s">
        <v>5529</v>
      </c>
      <c r="G4112" s="96" t="s">
        <v>31</v>
      </c>
      <c r="H4112" s="19" t="s">
        <v>5530</v>
      </c>
      <c r="I4112" s="23" t="e">
        <f>VLOOKUP(H4112,'合同综合查询数据（3月返）'!$A:$A,1,FALSE)</f>
        <v>#N/A</v>
      </c>
      <c r="J4112" s="24" t="s">
        <v>33</v>
      </c>
      <c r="K4112" s="96" t="s">
        <v>4475</v>
      </c>
      <c r="L4112" s="114" t="s">
        <v>5531</v>
      </c>
      <c r="M4112" s="26" t="s">
        <v>5532</v>
      </c>
      <c r="N4112" s="106">
        <v>44937</v>
      </c>
      <c r="O4112" s="94" t="s">
        <v>37</v>
      </c>
      <c r="P4112" s="268">
        <v>0</v>
      </c>
      <c r="Q4112" s="273">
        <v>160</v>
      </c>
      <c r="R4112" s="268">
        <f t="shared" si="93"/>
        <v>0</v>
      </c>
      <c r="S4112" s="24">
        <v>202303</v>
      </c>
      <c r="T4112" s="127" t="s">
        <v>5534</v>
      </c>
      <c r="U4112" s="97"/>
      <c r="V4112" s="128"/>
      <c r="W4112" s="128"/>
      <c r="X4112" s="106">
        <v>44713</v>
      </c>
      <c r="Y4112" s="106">
        <v>45016</v>
      </c>
    </row>
    <row r="4113" s="9" customFormat="1" customHeight="1" spans="1:25">
      <c r="A4113" s="96" t="s">
        <v>129</v>
      </c>
      <c r="B4113" s="94" t="s">
        <v>4074</v>
      </c>
      <c r="C4113" s="94" t="s">
        <v>161</v>
      </c>
      <c r="D4113" s="94" t="s">
        <v>28</v>
      </c>
      <c r="E4113" s="105" t="s">
        <v>5528</v>
      </c>
      <c r="F4113" s="96" t="s">
        <v>5529</v>
      </c>
      <c r="G4113" s="96" t="s">
        <v>31</v>
      </c>
      <c r="H4113" s="19" t="s">
        <v>5530</v>
      </c>
      <c r="I4113" s="23" t="e">
        <f>VLOOKUP(H4113,'合同综合查询数据（3月返）'!$A:$A,1,FALSE)</f>
        <v>#N/A</v>
      </c>
      <c r="J4113" s="24" t="s">
        <v>33</v>
      </c>
      <c r="K4113" s="96" t="s">
        <v>4475</v>
      </c>
      <c r="L4113" s="114" t="s">
        <v>5531</v>
      </c>
      <c r="M4113" s="26" t="s">
        <v>5532</v>
      </c>
      <c r="N4113" s="106"/>
      <c r="O4113" s="94" t="s">
        <v>152</v>
      </c>
      <c r="P4113" s="268">
        <v>0</v>
      </c>
      <c r="Q4113" s="273">
        <v>0</v>
      </c>
      <c r="R4113" s="268">
        <f t="shared" si="93"/>
        <v>0</v>
      </c>
      <c r="S4113" s="24">
        <v>202303</v>
      </c>
      <c r="T4113" s="127" t="s">
        <v>4288</v>
      </c>
      <c r="U4113" s="97"/>
      <c r="V4113" s="128"/>
      <c r="W4113" s="128"/>
      <c r="X4113" s="106">
        <v>44713</v>
      </c>
      <c r="Y4113" s="106">
        <v>45016</v>
      </c>
    </row>
    <row r="4114" s="9" customFormat="1" customHeight="1" spans="1:25">
      <c r="A4114" s="96" t="s">
        <v>129</v>
      </c>
      <c r="B4114" s="94" t="s">
        <v>4074</v>
      </c>
      <c r="C4114" s="94" t="s">
        <v>161</v>
      </c>
      <c r="D4114" s="94" t="s">
        <v>28</v>
      </c>
      <c r="E4114" s="105" t="s">
        <v>5528</v>
      </c>
      <c r="F4114" s="96" t="s">
        <v>5529</v>
      </c>
      <c r="G4114" s="96" t="s">
        <v>88</v>
      </c>
      <c r="H4114" s="19" t="s">
        <v>5530</v>
      </c>
      <c r="I4114" s="23" t="e">
        <f>VLOOKUP(H4114,'合同综合查询数据（3月返）'!$A:$A,1,FALSE)</f>
        <v>#N/A</v>
      </c>
      <c r="J4114" s="24" t="s">
        <v>126</v>
      </c>
      <c r="K4114" s="96" t="s">
        <v>4475</v>
      </c>
      <c r="L4114" s="114" t="s">
        <v>5531</v>
      </c>
      <c r="M4114" s="26" t="s">
        <v>5532</v>
      </c>
      <c r="N4114" s="106">
        <v>44501</v>
      </c>
      <c r="O4114" s="94" t="s">
        <v>127</v>
      </c>
      <c r="P4114" s="268">
        <v>4000</v>
      </c>
      <c r="Q4114" s="273">
        <v>4</v>
      </c>
      <c r="R4114" s="268">
        <f t="shared" si="93"/>
        <v>16000</v>
      </c>
      <c r="S4114" s="24">
        <v>202303</v>
      </c>
      <c r="T4114" s="127" t="s">
        <v>5535</v>
      </c>
      <c r="U4114" s="97"/>
      <c r="V4114" s="128"/>
      <c r="W4114" s="128"/>
      <c r="X4114" s="106">
        <v>44713</v>
      </c>
      <c r="Y4114" s="106">
        <v>45016</v>
      </c>
    </row>
    <row r="4115" s="9" customFormat="1" customHeight="1" spans="1:25">
      <c r="A4115" s="96" t="s">
        <v>129</v>
      </c>
      <c r="B4115" s="94" t="s">
        <v>4074</v>
      </c>
      <c r="C4115" s="94" t="s">
        <v>161</v>
      </c>
      <c r="D4115" s="94" t="s">
        <v>28</v>
      </c>
      <c r="E4115" s="105" t="s">
        <v>5528</v>
      </c>
      <c r="F4115" s="96" t="s">
        <v>5529</v>
      </c>
      <c r="G4115" s="96" t="s">
        <v>88</v>
      </c>
      <c r="H4115" s="19" t="s">
        <v>5530</v>
      </c>
      <c r="I4115" s="23" t="e">
        <f>VLOOKUP(H4115,'合同综合查询数据（3月返）'!$A:$A,1,FALSE)</f>
        <v>#N/A</v>
      </c>
      <c r="J4115" s="24" t="s">
        <v>126</v>
      </c>
      <c r="K4115" s="96" t="s">
        <v>4475</v>
      </c>
      <c r="L4115" s="114" t="s">
        <v>5531</v>
      </c>
      <c r="M4115" s="26" t="s">
        <v>5532</v>
      </c>
      <c r="N4115" s="106">
        <v>44936</v>
      </c>
      <c r="O4115" s="94" t="s">
        <v>127</v>
      </c>
      <c r="P4115" s="268">
        <v>4000</v>
      </c>
      <c r="Q4115" s="273">
        <v>-4</v>
      </c>
      <c r="R4115" s="268">
        <f t="shared" si="93"/>
        <v>-16000</v>
      </c>
      <c r="S4115" s="24">
        <v>202303</v>
      </c>
      <c r="T4115" s="127" t="s">
        <v>5536</v>
      </c>
      <c r="U4115" s="97"/>
      <c r="V4115" s="128"/>
      <c r="W4115" s="128"/>
      <c r="X4115" s="106">
        <v>44713</v>
      </c>
      <c r="Y4115" s="106">
        <v>45016</v>
      </c>
    </row>
    <row r="4116" s="9" customFormat="1" customHeight="1" spans="1:25">
      <c r="A4116" s="96" t="s">
        <v>129</v>
      </c>
      <c r="B4116" s="94" t="s">
        <v>4074</v>
      </c>
      <c r="C4116" s="94" t="s">
        <v>161</v>
      </c>
      <c r="D4116" s="94" t="s">
        <v>28</v>
      </c>
      <c r="E4116" s="105" t="s">
        <v>5528</v>
      </c>
      <c r="F4116" s="96" t="s">
        <v>5529</v>
      </c>
      <c r="G4116" s="96" t="s">
        <v>88</v>
      </c>
      <c r="H4116" s="19" t="s">
        <v>5530</v>
      </c>
      <c r="I4116" s="23" t="e">
        <f>VLOOKUP(H4116,'合同综合查询数据（3月返）'!$A:$A,1,FALSE)</f>
        <v>#N/A</v>
      </c>
      <c r="J4116" s="24" t="s">
        <v>126</v>
      </c>
      <c r="K4116" s="96" t="s">
        <v>4475</v>
      </c>
      <c r="L4116" s="114" t="s">
        <v>5531</v>
      </c>
      <c r="M4116" s="26" t="s">
        <v>5532</v>
      </c>
      <c r="N4116" s="106">
        <v>44937</v>
      </c>
      <c r="O4116" s="94" t="s">
        <v>127</v>
      </c>
      <c r="P4116" s="268">
        <v>4000</v>
      </c>
      <c r="Q4116" s="273">
        <v>4</v>
      </c>
      <c r="R4116" s="268">
        <f t="shared" si="93"/>
        <v>16000</v>
      </c>
      <c r="S4116" s="24">
        <v>202303</v>
      </c>
      <c r="T4116" s="127" t="s">
        <v>5536</v>
      </c>
      <c r="U4116" s="97"/>
      <c r="V4116" s="128"/>
      <c r="W4116" s="128"/>
      <c r="X4116" s="106">
        <v>44713</v>
      </c>
      <c r="Y4116" s="106">
        <v>45016</v>
      </c>
    </row>
    <row r="4117" s="9" customFormat="1" customHeight="1" spans="1:25">
      <c r="A4117" s="96" t="s">
        <v>129</v>
      </c>
      <c r="B4117" s="94" t="s">
        <v>4074</v>
      </c>
      <c r="C4117" s="94" t="s">
        <v>161</v>
      </c>
      <c r="D4117" s="94" t="s">
        <v>28</v>
      </c>
      <c r="E4117" s="23" t="s">
        <v>5528</v>
      </c>
      <c r="F4117" s="94" t="s">
        <v>5529</v>
      </c>
      <c r="G4117" s="96" t="s">
        <v>31</v>
      </c>
      <c r="H4117" s="19" t="s">
        <v>5530</v>
      </c>
      <c r="I4117" s="23" t="e">
        <f>VLOOKUP(H4117,'合同综合查询数据（3月返）'!$A:$A,1,FALSE)</f>
        <v>#N/A</v>
      </c>
      <c r="J4117" s="24" t="s">
        <v>33</v>
      </c>
      <c r="K4117" s="96" t="s">
        <v>4475</v>
      </c>
      <c r="L4117" s="94" t="s">
        <v>5537</v>
      </c>
      <c r="M4117" s="94" t="s">
        <v>5532</v>
      </c>
      <c r="N4117" s="106">
        <v>44593</v>
      </c>
      <c r="O4117" s="94" t="s">
        <v>37</v>
      </c>
      <c r="P4117" s="297">
        <v>0</v>
      </c>
      <c r="Q4117" s="297">
        <v>288</v>
      </c>
      <c r="R4117" s="268">
        <f t="shared" si="93"/>
        <v>0</v>
      </c>
      <c r="S4117" s="24">
        <v>202303</v>
      </c>
      <c r="T4117" s="23" t="s">
        <v>5538</v>
      </c>
      <c r="U4117" s="94"/>
      <c r="V4117" s="321"/>
      <c r="W4117" s="94"/>
      <c r="X4117" s="106">
        <v>44713</v>
      </c>
      <c r="Y4117" s="106">
        <v>45016</v>
      </c>
    </row>
    <row r="4118" s="9" customFormat="1" customHeight="1" spans="1:25">
      <c r="A4118" s="96" t="s">
        <v>129</v>
      </c>
      <c r="B4118" s="94" t="s">
        <v>4074</v>
      </c>
      <c r="C4118" s="94" t="s">
        <v>161</v>
      </c>
      <c r="D4118" s="94" t="s">
        <v>28</v>
      </c>
      <c r="E4118" s="23" t="s">
        <v>5528</v>
      </c>
      <c r="F4118" s="94" t="s">
        <v>5529</v>
      </c>
      <c r="G4118" s="96" t="s">
        <v>31</v>
      </c>
      <c r="H4118" s="19" t="s">
        <v>5530</v>
      </c>
      <c r="I4118" s="23" t="e">
        <f>VLOOKUP(H4118,'合同综合查询数据（3月返）'!$A:$A,1,FALSE)</f>
        <v>#N/A</v>
      </c>
      <c r="J4118" s="24" t="s">
        <v>33</v>
      </c>
      <c r="K4118" s="96" t="s">
        <v>4475</v>
      </c>
      <c r="L4118" s="94" t="s">
        <v>5537</v>
      </c>
      <c r="M4118" s="94" t="s">
        <v>5532</v>
      </c>
      <c r="N4118" s="106">
        <v>44868</v>
      </c>
      <c r="O4118" s="94" t="s">
        <v>37</v>
      </c>
      <c r="P4118" s="297">
        <v>0</v>
      </c>
      <c r="Q4118" s="297">
        <v>-128</v>
      </c>
      <c r="R4118" s="268">
        <f t="shared" si="93"/>
        <v>0</v>
      </c>
      <c r="S4118" s="24">
        <v>202303</v>
      </c>
      <c r="T4118" s="23" t="s">
        <v>5539</v>
      </c>
      <c r="U4118" s="94"/>
      <c r="V4118" s="321"/>
      <c r="W4118" s="94"/>
      <c r="X4118" s="106">
        <v>44713</v>
      </c>
      <c r="Y4118" s="106">
        <v>45016</v>
      </c>
    </row>
    <row r="4119" s="9" customFormat="1" customHeight="1" spans="1:25">
      <c r="A4119" s="96" t="s">
        <v>129</v>
      </c>
      <c r="B4119" s="94" t="s">
        <v>4074</v>
      </c>
      <c r="C4119" s="94" t="s">
        <v>161</v>
      </c>
      <c r="D4119" s="94" t="s">
        <v>28</v>
      </c>
      <c r="E4119" s="23" t="s">
        <v>5528</v>
      </c>
      <c r="F4119" s="94" t="s">
        <v>5529</v>
      </c>
      <c r="G4119" s="96" t="s">
        <v>31</v>
      </c>
      <c r="H4119" s="117" t="s">
        <v>5540</v>
      </c>
      <c r="I4119" s="23" t="e">
        <f>VLOOKUP(H4119,'合同综合查询数据（3月返）'!$A:$A,1,FALSE)</f>
        <v>#N/A</v>
      </c>
      <c r="J4119" s="24" t="s">
        <v>33</v>
      </c>
      <c r="K4119" s="96" t="s">
        <v>4475</v>
      </c>
      <c r="L4119" s="94" t="s">
        <v>5537</v>
      </c>
      <c r="M4119" s="94" t="s">
        <v>5532</v>
      </c>
      <c r="N4119" s="106">
        <v>44733</v>
      </c>
      <c r="O4119" s="94" t="s">
        <v>37</v>
      </c>
      <c r="P4119" s="297">
        <v>0</v>
      </c>
      <c r="Q4119" s="297">
        <v>128</v>
      </c>
      <c r="R4119" s="268">
        <f t="shared" si="93"/>
        <v>0</v>
      </c>
      <c r="S4119" s="24">
        <v>202303</v>
      </c>
      <c r="T4119" s="23" t="s">
        <v>5541</v>
      </c>
      <c r="U4119" s="94"/>
      <c r="V4119" s="321"/>
      <c r="W4119" s="94"/>
      <c r="X4119" s="106">
        <v>44743</v>
      </c>
      <c r="Y4119" s="106">
        <v>45016</v>
      </c>
    </row>
    <row r="4120" s="9" customFormat="1" customHeight="1" spans="1:25">
      <c r="A4120" s="96" t="s">
        <v>129</v>
      </c>
      <c r="B4120" s="94" t="s">
        <v>4074</v>
      </c>
      <c r="C4120" s="94" t="s">
        <v>161</v>
      </c>
      <c r="D4120" s="94" t="s">
        <v>28</v>
      </c>
      <c r="E4120" s="23" t="s">
        <v>5528</v>
      </c>
      <c r="F4120" s="94" t="s">
        <v>5529</v>
      </c>
      <c r="G4120" s="96" t="s">
        <v>31</v>
      </c>
      <c r="H4120" s="19" t="s">
        <v>5530</v>
      </c>
      <c r="I4120" s="23" t="e">
        <f>VLOOKUP(H4120,'合同综合查询数据（3月返）'!$A:$A,1,FALSE)</f>
        <v>#N/A</v>
      </c>
      <c r="J4120" s="24" t="s">
        <v>33</v>
      </c>
      <c r="K4120" s="96" t="s">
        <v>4475</v>
      </c>
      <c r="L4120" s="94" t="s">
        <v>5537</v>
      </c>
      <c r="M4120" s="94" t="s">
        <v>5532</v>
      </c>
      <c r="N4120" s="106">
        <v>44937</v>
      </c>
      <c r="O4120" s="94" t="s">
        <v>37</v>
      </c>
      <c r="P4120" s="297">
        <v>0</v>
      </c>
      <c r="Q4120" s="297">
        <v>-128</v>
      </c>
      <c r="R4120" s="268">
        <f t="shared" si="93"/>
        <v>0</v>
      </c>
      <c r="S4120" s="24">
        <v>202303</v>
      </c>
      <c r="T4120" s="23" t="s">
        <v>5542</v>
      </c>
      <c r="U4120" s="94"/>
      <c r="V4120" s="321"/>
      <c r="W4120" s="94"/>
      <c r="X4120" s="106">
        <v>44713</v>
      </c>
      <c r="Y4120" s="106">
        <v>45016</v>
      </c>
    </row>
    <row r="4121" s="9" customFormat="1" customHeight="1" spans="1:25">
      <c r="A4121" s="96" t="s">
        <v>129</v>
      </c>
      <c r="B4121" s="94" t="s">
        <v>4074</v>
      </c>
      <c r="C4121" s="94" t="s">
        <v>161</v>
      </c>
      <c r="D4121" s="94" t="s">
        <v>28</v>
      </c>
      <c r="E4121" s="23" t="s">
        <v>5528</v>
      </c>
      <c r="F4121" s="94" t="s">
        <v>5529</v>
      </c>
      <c r="G4121" s="96" t="s">
        <v>31</v>
      </c>
      <c r="H4121" s="19" t="s">
        <v>5530</v>
      </c>
      <c r="I4121" s="23" t="e">
        <f>VLOOKUP(H4121,'合同综合查询数据（3月返）'!$A:$A,1,FALSE)</f>
        <v>#N/A</v>
      </c>
      <c r="J4121" s="24" t="s">
        <v>33</v>
      </c>
      <c r="K4121" s="96" t="s">
        <v>4475</v>
      </c>
      <c r="L4121" s="94" t="s">
        <v>5537</v>
      </c>
      <c r="M4121" s="94" t="s">
        <v>5532</v>
      </c>
      <c r="N4121" s="106">
        <v>44938</v>
      </c>
      <c r="O4121" s="94" t="s">
        <v>37</v>
      </c>
      <c r="P4121" s="297">
        <v>0</v>
      </c>
      <c r="Q4121" s="297">
        <v>128</v>
      </c>
      <c r="R4121" s="268">
        <f t="shared" si="93"/>
        <v>0</v>
      </c>
      <c r="S4121" s="24">
        <v>202303</v>
      </c>
      <c r="T4121" s="23" t="s">
        <v>5542</v>
      </c>
      <c r="U4121" s="94"/>
      <c r="V4121" s="321"/>
      <c r="W4121" s="94"/>
      <c r="X4121" s="106">
        <v>44713</v>
      </c>
      <c r="Y4121" s="106">
        <v>45016</v>
      </c>
    </row>
    <row r="4122" s="9" customFormat="1" customHeight="1" spans="1:25">
      <c r="A4122" s="96" t="s">
        <v>129</v>
      </c>
      <c r="B4122" s="94" t="s">
        <v>4074</v>
      </c>
      <c r="C4122" s="94" t="s">
        <v>161</v>
      </c>
      <c r="D4122" s="94" t="s">
        <v>28</v>
      </c>
      <c r="E4122" s="23" t="s">
        <v>5528</v>
      </c>
      <c r="F4122" s="94" t="s">
        <v>5529</v>
      </c>
      <c r="G4122" s="96" t="s">
        <v>31</v>
      </c>
      <c r="H4122" s="117" t="s">
        <v>5540</v>
      </c>
      <c r="I4122" s="23" t="e">
        <f>VLOOKUP(H4122,'合同综合查询数据（3月返）'!$A:$A,1,FALSE)</f>
        <v>#N/A</v>
      </c>
      <c r="J4122" s="24" t="s">
        <v>33</v>
      </c>
      <c r="K4122" s="96" t="s">
        <v>4475</v>
      </c>
      <c r="L4122" s="94" t="s">
        <v>5537</v>
      </c>
      <c r="M4122" s="94" t="s">
        <v>5532</v>
      </c>
      <c r="N4122" s="106">
        <v>44957</v>
      </c>
      <c r="O4122" s="94" t="s">
        <v>37</v>
      </c>
      <c r="P4122" s="297">
        <v>0</v>
      </c>
      <c r="Q4122" s="297">
        <v>-128</v>
      </c>
      <c r="R4122" s="268">
        <f t="shared" si="93"/>
        <v>0</v>
      </c>
      <c r="S4122" s="24">
        <v>202303</v>
      </c>
      <c r="T4122" s="23" t="s">
        <v>5543</v>
      </c>
      <c r="U4122" s="94"/>
      <c r="V4122" s="321"/>
      <c r="W4122" s="94"/>
      <c r="X4122" s="106">
        <v>44743</v>
      </c>
      <c r="Y4122" s="106">
        <v>45016</v>
      </c>
    </row>
    <row r="4123" s="9" customFormat="1" customHeight="1" spans="1:25">
      <c r="A4123" s="96" t="s">
        <v>129</v>
      </c>
      <c r="B4123" s="94" t="s">
        <v>4074</v>
      </c>
      <c r="C4123" s="94" t="s">
        <v>161</v>
      </c>
      <c r="D4123" s="94" t="s">
        <v>28</v>
      </c>
      <c r="E4123" s="23" t="s">
        <v>5528</v>
      </c>
      <c r="F4123" s="94" t="s">
        <v>5529</v>
      </c>
      <c r="G4123" s="96" t="s">
        <v>31</v>
      </c>
      <c r="H4123" s="19" t="s">
        <v>5530</v>
      </c>
      <c r="I4123" s="23" t="e">
        <f>VLOOKUP(H4123,'合同综合查询数据（3月返）'!$A:$A,1,FALSE)</f>
        <v>#N/A</v>
      </c>
      <c r="J4123" s="24" t="s">
        <v>33</v>
      </c>
      <c r="K4123" s="96" t="s">
        <v>4475</v>
      </c>
      <c r="L4123" s="94" t="s">
        <v>5537</v>
      </c>
      <c r="M4123" s="94" t="s">
        <v>5532</v>
      </c>
      <c r="N4123" s="106"/>
      <c r="O4123" s="94" t="s">
        <v>152</v>
      </c>
      <c r="P4123" s="297">
        <v>0</v>
      </c>
      <c r="Q4123" s="297">
        <v>0</v>
      </c>
      <c r="R4123" s="268">
        <f t="shared" si="93"/>
        <v>0</v>
      </c>
      <c r="S4123" s="24">
        <v>202303</v>
      </c>
      <c r="T4123" s="23" t="s">
        <v>5544</v>
      </c>
      <c r="U4123" s="94"/>
      <c r="V4123" s="321"/>
      <c r="W4123" s="94"/>
      <c r="X4123" s="106">
        <v>44713</v>
      </c>
      <c r="Y4123" s="106">
        <v>45016</v>
      </c>
    </row>
    <row r="4124" s="9" customFormat="1" customHeight="1" spans="1:25">
      <c r="A4124" s="96" t="s">
        <v>129</v>
      </c>
      <c r="B4124" s="94" t="s">
        <v>4074</v>
      </c>
      <c r="C4124" s="94" t="s">
        <v>161</v>
      </c>
      <c r="D4124" s="94" t="s">
        <v>28</v>
      </c>
      <c r="E4124" s="23" t="s">
        <v>5528</v>
      </c>
      <c r="F4124" s="94" t="s">
        <v>5529</v>
      </c>
      <c r="G4124" s="96" t="s">
        <v>88</v>
      </c>
      <c r="H4124" s="19" t="s">
        <v>5530</v>
      </c>
      <c r="I4124" s="23" t="e">
        <f>VLOOKUP(H4124,'合同综合查询数据（3月返）'!$A:$A,1,FALSE)</f>
        <v>#N/A</v>
      </c>
      <c r="J4124" s="24" t="s">
        <v>126</v>
      </c>
      <c r="K4124" s="96" t="s">
        <v>4475</v>
      </c>
      <c r="L4124" s="94" t="s">
        <v>5537</v>
      </c>
      <c r="M4124" s="94" t="s">
        <v>5532</v>
      </c>
      <c r="N4124" s="106">
        <v>44593</v>
      </c>
      <c r="O4124" s="94" t="s">
        <v>127</v>
      </c>
      <c r="P4124" s="297">
        <v>4000</v>
      </c>
      <c r="Q4124" s="297">
        <v>4</v>
      </c>
      <c r="R4124" s="268">
        <f t="shared" si="93"/>
        <v>16000</v>
      </c>
      <c r="S4124" s="24">
        <v>202303</v>
      </c>
      <c r="T4124" s="23" t="s">
        <v>5545</v>
      </c>
      <c r="U4124" s="94"/>
      <c r="V4124" s="321"/>
      <c r="W4124" s="94"/>
      <c r="X4124" s="106">
        <v>44713</v>
      </c>
      <c r="Y4124" s="106">
        <v>45016</v>
      </c>
    </row>
    <row r="4125" s="9" customFormat="1" customHeight="1" spans="1:25">
      <c r="A4125" s="96" t="s">
        <v>129</v>
      </c>
      <c r="B4125" s="94" t="s">
        <v>4074</v>
      </c>
      <c r="C4125" s="94" t="s">
        <v>161</v>
      </c>
      <c r="D4125" s="94" t="s">
        <v>28</v>
      </c>
      <c r="E4125" s="23" t="s">
        <v>5528</v>
      </c>
      <c r="F4125" s="94" t="s">
        <v>5529</v>
      </c>
      <c r="G4125" s="96" t="s">
        <v>88</v>
      </c>
      <c r="H4125" s="117" t="s">
        <v>5540</v>
      </c>
      <c r="I4125" s="23" t="e">
        <f>VLOOKUP(H4125,'合同综合查询数据（3月返）'!$A:$A,1,FALSE)</f>
        <v>#N/A</v>
      </c>
      <c r="J4125" s="24" t="s">
        <v>126</v>
      </c>
      <c r="K4125" s="96" t="s">
        <v>4475</v>
      </c>
      <c r="L4125" s="94" t="s">
        <v>5537</v>
      </c>
      <c r="M4125" s="94" t="s">
        <v>5532</v>
      </c>
      <c r="N4125" s="106">
        <v>44733</v>
      </c>
      <c r="O4125" s="94" t="s">
        <v>127</v>
      </c>
      <c r="P4125" s="297">
        <v>4000</v>
      </c>
      <c r="Q4125" s="297">
        <v>2</v>
      </c>
      <c r="R4125" s="268">
        <f t="shared" si="93"/>
        <v>8000</v>
      </c>
      <c r="S4125" s="24">
        <v>202303</v>
      </c>
      <c r="T4125" s="23" t="s">
        <v>5546</v>
      </c>
      <c r="U4125" s="94"/>
      <c r="V4125" s="321"/>
      <c r="W4125" s="94"/>
      <c r="X4125" s="106">
        <v>44743</v>
      </c>
      <c r="Y4125" s="106">
        <v>45016</v>
      </c>
    </row>
    <row r="4126" s="9" customFormat="1" customHeight="1" spans="1:25">
      <c r="A4126" s="96" t="s">
        <v>129</v>
      </c>
      <c r="B4126" s="94" t="s">
        <v>4074</v>
      </c>
      <c r="C4126" s="94" t="s">
        <v>161</v>
      </c>
      <c r="D4126" s="94" t="s">
        <v>28</v>
      </c>
      <c r="E4126" s="23" t="s">
        <v>5528</v>
      </c>
      <c r="F4126" s="94" t="s">
        <v>5529</v>
      </c>
      <c r="G4126" s="96" t="s">
        <v>88</v>
      </c>
      <c r="H4126" s="19" t="s">
        <v>5530</v>
      </c>
      <c r="I4126" s="23" t="e">
        <f>VLOOKUP(H4126,'合同综合查询数据（3月返）'!$A:$A,1,FALSE)</f>
        <v>#N/A</v>
      </c>
      <c r="J4126" s="24" t="s">
        <v>126</v>
      </c>
      <c r="K4126" s="96" t="s">
        <v>4475</v>
      </c>
      <c r="L4126" s="94" t="s">
        <v>5537</v>
      </c>
      <c r="M4126" s="94" t="s">
        <v>5532</v>
      </c>
      <c r="N4126" s="106">
        <v>44937</v>
      </c>
      <c r="O4126" s="94" t="s">
        <v>127</v>
      </c>
      <c r="P4126" s="297">
        <v>4000</v>
      </c>
      <c r="Q4126" s="297">
        <v>-4</v>
      </c>
      <c r="R4126" s="268">
        <f t="shared" si="93"/>
        <v>-16000</v>
      </c>
      <c r="S4126" s="24">
        <v>202303</v>
      </c>
      <c r="T4126" s="23" t="s">
        <v>5547</v>
      </c>
      <c r="U4126" s="94"/>
      <c r="V4126" s="321"/>
      <c r="W4126" s="94"/>
      <c r="X4126" s="106">
        <v>44713</v>
      </c>
      <c r="Y4126" s="106">
        <v>45016</v>
      </c>
    </row>
    <row r="4127" s="9" customFormat="1" customHeight="1" spans="1:25">
      <c r="A4127" s="96" t="s">
        <v>129</v>
      </c>
      <c r="B4127" s="94" t="s">
        <v>4074</v>
      </c>
      <c r="C4127" s="94" t="s">
        <v>161</v>
      </c>
      <c r="D4127" s="94" t="s">
        <v>28</v>
      </c>
      <c r="E4127" s="23" t="s">
        <v>5528</v>
      </c>
      <c r="F4127" s="94" t="s">
        <v>5529</v>
      </c>
      <c r="G4127" s="96" t="s">
        <v>88</v>
      </c>
      <c r="H4127" s="19" t="s">
        <v>5530</v>
      </c>
      <c r="I4127" s="23" t="e">
        <f>VLOOKUP(H4127,'合同综合查询数据（3月返）'!$A:$A,1,FALSE)</f>
        <v>#N/A</v>
      </c>
      <c r="J4127" s="24" t="s">
        <v>126</v>
      </c>
      <c r="K4127" s="96" t="s">
        <v>4475</v>
      </c>
      <c r="L4127" s="94" t="s">
        <v>5537</v>
      </c>
      <c r="M4127" s="94" t="s">
        <v>5532</v>
      </c>
      <c r="N4127" s="106">
        <v>44938</v>
      </c>
      <c r="O4127" s="94" t="s">
        <v>127</v>
      </c>
      <c r="P4127" s="297">
        <v>4000</v>
      </c>
      <c r="Q4127" s="297">
        <v>4</v>
      </c>
      <c r="R4127" s="268">
        <f t="shared" si="93"/>
        <v>16000</v>
      </c>
      <c r="S4127" s="24">
        <v>202303</v>
      </c>
      <c r="T4127" s="23" t="s">
        <v>5547</v>
      </c>
      <c r="U4127" s="94"/>
      <c r="V4127" s="321"/>
      <c r="W4127" s="94"/>
      <c r="X4127" s="106">
        <v>44713</v>
      </c>
      <c r="Y4127" s="106">
        <v>45016</v>
      </c>
    </row>
    <row r="4128" s="9" customFormat="1" customHeight="1" spans="1:25">
      <c r="A4128" s="96" t="s">
        <v>129</v>
      </c>
      <c r="B4128" s="94" t="s">
        <v>4074</v>
      </c>
      <c r="C4128" s="94" t="s">
        <v>161</v>
      </c>
      <c r="D4128" s="94" t="s">
        <v>28</v>
      </c>
      <c r="E4128" s="23" t="s">
        <v>5528</v>
      </c>
      <c r="F4128" s="94" t="s">
        <v>5529</v>
      </c>
      <c r="G4128" s="96" t="s">
        <v>88</v>
      </c>
      <c r="H4128" s="19" t="s">
        <v>5548</v>
      </c>
      <c r="I4128" s="23" t="e">
        <f>VLOOKUP(H4128,'合同综合查询数据（3月返）'!$A:$A,1,FALSE)</f>
        <v>#N/A</v>
      </c>
      <c r="J4128" s="24" t="s">
        <v>126</v>
      </c>
      <c r="K4128" s="96" t="s">
        <v>4475</v>
      </c>
      <c r="L4128" s="94" t="s">
        <v>5537</v>
      </c>
      <c r="M4128" s="94" t="s">
        <v>5532</v>
      </c>
      <c r="N4128" s="106">
        <v>44957</v>
      </c>
      <c r="O4128" s="94" t="s">
        <v>127</v>
      </c>
      <c r="P4128" s="297">
        <v>4000</v>
      </c>
      <c r="Q4128" s="297">
        <v>-2</v>
      </c>
      <c r="R4128" s="268">
        <f t="shared" si="93"/>
        <v>-8000</v>
      </c>
      <c r="S4128" s="24">
        <v>202303</v>
      </c>
      <c r="T4128" s="23" t="s">
        <v>5549</v>
      </c>
      <c r="U4128" s="94"/>
      <c r="V4128" s="321"/>
      <c r="W4128" s="94"/>
      <c r="X4128" s="106">
        <v>44743</v>
      </c>
      <c r="Y4128" s="106">
        <v>45016</v>
      </c>
    </row>
    <row r="4129" s="9" customFormat="1" customHeight="1" spans="1:25">
      <c r="A4129" s="96" t="s">
        <v>129</v>
      </c>
      <c r="B4129" s="94" t="s">
        <v>4074</v>
      </c>
      <c r="C4129" s="94" t="s">
        <v>161</v>
      </c>
      <c r="D4129" s="94" t="s">
        <v>28</v>
      </c>
      <c r="E4129" s="23" t="s">
        <v>5528</v>
      </c>
      <c r="F4129" s="94" t="s">
        <v>5529</v>
      </c>
      <c r="G4129" s="96" t="s">
        <v>31</v>
      </c>
      <c r="H4129" s="117" t="s">
        <v>5550</v>
      </c>
      <c r="I4129" s="23" t="e">
        <f>VLOOKUP(H4129,'合同综合查询数据（3月返）'!$A:$A,1,FALSE)</f>
        <v>#N/A</v>
      </c>
      <c r="J4129" s="24" t="s">
        <v>33</v>
      </c>
      <c r="K4129" s="96" t="s">
        <v>4169</v>
      </c>
      <c r="L4129" s="94" t="s">
        <v>5551</v>
      </c>
      <c r="M4129" s="94" t="s">
        <v>4171</v>
      </c>
      <c r="N4129" s="106">
        <v>44654</v>
      </c>
      <c r="O4129" s="94" t="s">
        <v>37</v>
      </c>
      <c r="P4129" s="297">
        <v>0</v>
      </c>
      <c r="Q4129" s="297">
        <v>288</v>
      </c>
      <c r="R4129" s="268">
        <f t="shared" si="93"/>
        <v>0</v>
      </c>
      <c r="S4129" s="24">
        <v>202303</v>
      </c>
      <c r="T4129" s="23" t="s">
        <v>5552</v>
      </c>
      <c r="U4129" s="94"/>
      <c r="V4129" s="321"/>
      <c r="W4129" s="94"/>
      <c r="X4129" s="106">
        <v>44654</v>
      </c>
      <c r="Y4129" s="106">
        <v>45016</v>
      </c>
    </row>
    <row r="4130" s="9" customFormat="1" customHeight="1" spans="1:25">
      <c r="A4130" s="96" t="s">
        <v>129</v>
      </c>
      <c r="B4130" s="94" t="s">
        <v>4074</v>
      </c>
      <c r="C4130" s="94" t="s">
        <v>161</v>
      </c>
      <c r="D4130" s="94" t="s">
        <v>28</v>
      </c>
      <c r="E4130" s="23" t="s">
        <v>5528</v>
      </c>
      <c r="F4130" s="94" t="s">
        <v>5529</v>
      </c>
      <c r="G4130" s="96" t="s">
        <v>31</v>
      </c>
      <c r="H4130" s="117" t="s">
        <v>5550</v>
      </c>
      <c r="I4130" s="23" t="e">
        <f>VLOOKUP(H4130,'合同综合查询数据（3月返）'!$A:$A,1,FALSE)</f>
        <v>#N/A</v>
      </c>
      <c r="J4130" s="24" t="s">
        <v>33</v>
      </c>
      <c r="K4130" s="96" t="s">
        <v>4169</v>
      </c>
      <c r="L4130" s="94" t="s">
        <v>5551</v>
      </c>
      <c r="M4130" s="94" t="s">
        <v>4171</v>
      </c>
      <c r="N4130" s="106"/>
      <c r="O4130" s="94" t="s">
        <v>152</v>
      </c>
      <c r="P4130" s="297">
        <v>0</v>
      </c>
      <c r="Q4130" s="297">
        <v>0</v>
      </c>
      <c r="R4130" s="268">
        <f t="shared" si="93"/>
        <v>0</v>
      </c>
      <c r="S4130" s="24">
        <v>202303</v>
      </c>
      <c r="T4130" s="23" t="s">
        <v>5553</v>
      </c>
      <c r="U4130" s="94"/>
      <c r="V4130" s="321"/>
      <c r="W4130" s="94"/>
      <c r="X4130" s="106">
        <v>44654</v>
      </c>
      <c r="Y4130" s="106">
        <v>45016</v>
      </c>
    </row>
    <row r="4131" s="9" customFormat="1" customHeight="1" spans="1:25">
      <c r="A4131" s="96" t="s">
        <v>129</v>
      </c>
      <c r="B4131" s="94" t="s">
        <v>4074</v>
      </c>
      <c r="C4131" s="94" t="s">
        <v>161</v>
      </c>
      <c r="D4131" s="94" t="s">
        <v>28</v>
      </c>
      <c r="E4131" s="23" t="s">
        <v>5528</v>
      </c>
      <c r="F4131" s="94" t="s">
        <v>5529</v>
      </c>
      <c r="G4131" s="96" t="s">
        <v>88</v>
      </c>
      <c r="H4131" s="117" t="s">
        <v>5550</v>
      </c>
      <c r="I4131" s="23" t="e">
        <f>VLOOKUP(H4131,'合同综合查询数据（3月返）'!$A:$A,1,FALSE)</f>
        <v>#N/A</v>
      </c>
      <c r="J4131" s="24" t="s">
        <v>126</v>
      </c>
      <c r="K4131" s="96" t="s">
        <v>4169</v>
      </c>
      <c r="L4131" s="94" t="s">
        <v>5551</v>
      </c>
      <c r="M4131" s="94" t="s">
        <v>4171</v>
      </c>
      <c r="N4131" s="106">
        <v>44654</v>
      </c>
      <c r="O4131" s="94" t="s">
        <v>457</v>
      </c>
      <c r="P4131" s="297">
        <v>4000</v>
      </c>
      <c r="Q4131" s="297">
        <v>3</v>
      </c>
      <c r="R4131" s="268">
        <f t="shared" si="93"/>
        <v>12000</v>
      </c>
      <c r="S4131" s="24">
        <v>202303</v>
      </c>
      <c r="T4131" s="23" t="s">
        <v>5554</v>
      </c>
      <c r="U4131" s="94"/>
      <c r="V4131" s="321"/>
      <c r="W4131" s="94"/>
      <c r="X4131" s="106">
        <v>44654</v>
      </c>
      <c r="Y4131" s="106">
        <v>45016</v>
      </c>
    </row>
    <row r="4132" s="9" customFormat="1" customHeight="1" spans="1:25">
      <c r="A4132" s="96" t="s">
        <v>129</v>
      </c>
      <c r="B4132" s="94" t="s">
        <v>4074</v>
      </c>
      <c r="C4132" s="94" t="s">
        <v>161</v>
      </c>
      <c r="D4132" s="94" t="s">
        <v>28</v>
      </c>
      <c r="E4132" s="23" t="s">
        <v>5528</v>
      </c>
      <c r="F4132" s="94" t="s">
        <v>5529</v>
      </c>
      <c r="G4132" s="96" t="s">
        <v>88</v>
      </c>
      <c r="H4132" s="117" t="s">
        <v>5550</v>
      </c>
      <c r="I4132" s="23" t="e">
        <f>VLOOKUP(H4132,'合同综合查询数据（3月返）'!$A:$A,1,FALSE)</f>
        <v>#N/A</v>
      </c>
      <c r="J4132" s="24" t="s">
        <v>126</v>
      </c>
      <c r="K4132" s="96" t="s">
        <v>4169</v>
      </c>
      <c r="L4132" s="94" t="s">
        <v>5551</v>
      </c>
      <c r="M4132" s="94" t="s">
        <v>4171</v>
      </c>
      <c r="N4132" s="106">
        <v>44757</v>
      </c>
      <c r="O4132" s="94" t="s">
        <v>457</v>
      </c>
      <c r="P4132" s="297">
        <v>4000</v>
      </c>
      <c r="Q4132" s="297">
        <v>-3</v>
      </c>
      <c r="R4132" s="268">
        <f t="shared" ref="R4132:R4195" si="94">ROUND(P4132*Q4132,2)</f>
        <v>-12000</v>
      </c>
      <c r="S4132" s="24">
        <v>202303</v>
      </c>
      <c r="T4132" s="23" t="s">
        <v>5555</v>
      </c>
      <c r="U4132" s="94"/>
      <c r="V4132" s="321"/>
      <c r="W4132" s="94"/>
      <c r="X4132" s="106">
        <v>44654</v>
      </c>
      <c r="Y4132" s="106">
        <v>45016</v>
      </c>
    </row>
    <row r="4133" s="9" customFormat="1" customHeight="1" spans="1:25">
      <c r="A4133" s="96" t="s">
        <v>25</v>
      </c>
      <c r="B4133" s="94" t="s">
        <v>4074</v>
      </c>
      <c r="C4133" s="94" t="s">
        <v>161</v>
      </c>
      <c r="D4133" s="94" t="s">
        <v>28</v>
      </c>
      <c r="E4133" s="23" t="s">
        <v>5528</v>
      </c>
      <c r="F4133" s="94" t="s">
        <v>5529</v>
      </c>
      <c r="G4133" s="96" t="s">
        <v>31</v>
      </c>
      <c r="H4133" s="117" t="s">
        <v>5556</v>
      </c>
      <c r="I4133" s="23" t="e">
        <f>VLOOKUP(H4133,'合同综合查询数据（3月返）'!$A:$A,1,FALSE)</f>
        <v>#N/A</v>
      </c>
      <c r="J4133" s="24" t="s">
        <v>33</v>
      </c>
      <c r="K4133" s="96" t="s">
        <v>5557</v>
      </c>
      <c r="L4133" s="94" t="s">
        <v>5558</v>
      </c>
      <c r="M4133" s="94" t="s">
        <v>5559</v>
      </c>
      <c r="N4133" s="106">
        <v>44744</v>
      </c>
      <c r="O4133" s="94" t="s">
        <v>37</v>
      </c>
      <c r="P4133" s="297">
        <v>0</v>
      </c>
      <c r="Q4133" s="297">
        <v>288</v>
      </c>
      <c r="R4133" s="268">
        <f t="shared" si="94"/>
        <v>0</v>
      </c>
      <c r="S4133" s="24">
        <v>202303</v>
      </c>
      <c r="T4133" s="23" t="s">
        <v>5560</v>
      </c>
      <c r="U4133" s="94"/>
      <c r="V4133" s="321"/>
      <c r="W4133" s="94"/>
      <c r="X4133" s="106">
        <v>44744</v>
      </c>
      <c r="Y4133" s="106">
        <v>45016</v>
      </c>
    </row>
    <row r="4134" s="9" customFormat="1" customHeight="1" spans="1:25">
      <c r="A4134" s="96" t="s">
        <v>25</v>
      </c>
      <c r="B4134" s="94" t="s">
        <v>4074</v>
      </c>
      <c r="C4134" s="94" t="s">
        <v>161</v>
      </c>
      <c r="D4134" s="94" t="s">
        <v>28</v>
      </c>
      <c r="E4134" s="23" t="s">
        <v>5528</v>
      </c>
      <c r="F4134" s="94" t="s">
        <v>5529</v>
      </c>
      <c r="G4134" s="96" t="s">
        <v>31</v>
      </c>
      <c r="H4134" s="117" t="s">
        <v>5556</v>
      </c>
      <c r="I4134" s="23" t="e">
        <f>VLOOKUP(H4134,'合同综合查询数据（3月返）'!$A:$A,1,FALSE)</f>
        <v>#N/A</v>
      </c>
      <c r="J4134" s="24" t="s">
        <v>33</v>
      </c>
      <c r="K4134" s="96" t="s">
        <v>5557</v>
      </c>
      <c r="L4134" s="94" t="s">
        <v>5558</v>
      </c>
      <c r="M4134" s="94" t="s">
        <v>5559</v>
      </c>
      <c r="N4134" s="106"/>
      <c r="O4134" s="94"/>
      <c r="P4134" s="297">
        <v>0</v>
      </c>
      <c r="Q4134" s="297">
        <v>0</v>
      </c>
      <c r="R4134" s="268">
        <f t="shared" si="94"/>
        <v>0</v>
      </c>
      <c r="S4134" s="24">
        <v>202303</v>
      </c>
      <c r="T4134" s="23" t="s">
        <v>5561</v>
      </c>
      <c r="U4134" s="94"/>
      <c r="V4134" s="321"/>
      <c r="W4134" s="94"/>
      <c r="X4134" s="106">
        <v>44744</v>
      </c>
      <c r="Y4134" s="106">
        <v>45016</v>
      </c>
    </row>
    <row r="4135" s="9" customFormat="1" customHeight="1" spans="1:25">
      <c r="A4135" s="96" t="s">
        <v>25</v>
      </c>
      <c r="B4135" s="94" t="s">
        <v>4074</v>
      </c>
      <c r="C4135" s="94" t="s">
        <v>161</v>
      </c>
      <c r="D4135" s="94" t="s">
        <v>28</v>
      </c>
      <c r="E4135" s="23" t="s">
        <v>5528</v>
      </c>
      <c r="F4135" s="94" t="s">
        <v>5529</v>
      </c>
      <c r="G4135" s="96" t="s">
        <v>88</v>
      </c>
      <c r="H4135" s="117" t="s">
        <v>5556</v>
      </c>
      <c r="I4135" s="23" t="e">
        <f>VLOOKUP(H4135,'合同综合查询数据（3月返）'!$A:$A,1,FALSE)</f>
        <v>#N/A</v>
      </c>
      <c r="J4135" s="24" t="s">
        <v>126</v>
      </c>
      <c r="K4135" s="96" t="s">
        <v>5557</v>
      </c>
      <c r="L4135" s="94" t="s">
        <v>5558</v>
      </c>
      <c r="M4135" s="94" t="s">
        <v>5559</v>
      </c>
      <c r="N4135" s="106">
        <v>44744</v>
      </c>
      <c r="O4135" s="94" t="s">
        <v>92</v>
      </c>
      <c r="P4135" s="297">
        <v>4500</v>
      </c>
      <c r="Q4135" s="297">
        <v>5</v>
      </c>
      <c r="R4135" s="268">
        <f t="shared" si="94"/>
        <v>22500</v>
      </c>
      <c r="S4135" s="24">
        <v>202303</v>
      </c>
      <c r="T4135" s="23" t="s">
        <v>5562</v>
      </c>
      <c r="U4135" s="94"/>
      <c r="V4135" s="321"/>
      <c r="W4135" s="94"/>
      <c r="X4135" s="106">
        <v>44744</v>
      </c>
      <c r="Y4135" s="106">
        <v>45016</v>
      </c>
    </row>
    <row r="4136" s="9" customFormat="1" customHeight="1" spans="1:25">
      <c r="A4136" s="96" t="s">
        <v>25</v>
      </c>
      <c r="B4136" s="94" t="s">
        <v>4074</v>
      </c>
      <c r="C4136" s="94" t="s">
        <v>161</v>
      </c>
      <c r="D4136" s="94" t="s">
        <v>28</v>
      </c>
      <c r="E4136" s="23" t="s">
        <v>5528</v>
      </c>
      <c r="F4136" s="94" t="s">
        <v>5529</v>
      </c>
      <c r="G4136" s="96" t="s">
        <v>88</v>
      </c>
      <c r="H4136" s="117" t="s">
        <v>5556</v>
      </c>
      <c r="I4136" s="23" t="e">
        <f>VLOOKUP(H4136,'合同综合查询数据（3月返）'!$A:$A,1,FALSE)</f>
        <v>#N/A</v>
      </c>
      <c r="J4136" s="24" t="s">
        <v>126</v>
      </c>
      <c r="K4136" s="96" t="s">
        <v>5557</v>
      </c>
      <c r="L4136" s="94" t="s">
        <v>5558</v>
      </c>
      <c r="M4136" s="94" t="s">
        <v>5559</v>
      </c>
      <c r="N4136" s="106">
        <v>44795</v>
      </c>
      <c r="O4136" s="94" t="s">
        <v>92</v>
      </c>
      <c r="P4136" s="297">
        <v>4500</v>
      </c>
      <c r="Q4136" s="297">
        <v>-1</v>
      </c>
      <c r="R4136" s="268">
        <f t="shared" si="94"/>
        <v>-4500</v>
      </c>
      <c r="S4136" s="24">
        <v>202303</v>
      </c>
      <c r="T4136" s="23" t="s">
        <v>5563</v>
      </c>
      <c r="U4136" s="94"/>
      <c r="V4136" s="321"/>
      <c r="W4136" s="94"/>
      <c r="X4136" s="106">
        <v>44744</v>
      </c>
      <c r="Y4136" s="106">
        <v>45016</v>
      </c>
    </row>
    <row r="4137" s="9" customFormat="1" customHeight="1" spans="1:25">
      <c r="A4137" s="96" t="s">
        <v>25</v>
      </c>
      <c r="B4137" s="94" t="s">
        <v>4074</v>
      </c>
      <c r="C4137" s="94" t="s">
        <v>161</v>
      </c>
      <c r="D4137" s="94" t="s">
        <v>28</v>
      </c>
      <c r="E4137" s="23" t="s">
        <v>5528</v>
      </c>
      <c r="F4137" s="94" t="s">
        <v>5529</v>
      </c>
      <c r="G4137" s="96" t="s">
        <v>88</v>
      </c>
      <c r="H4137" s="117" t="s">
        <v>5556</v>
      </c>
      <c r="I4137" s="23" t="e">
        <f>VLOOKUP(H4137,'合同综合查询数据（3月返）'!$A:$A,1,FALSE)</f>
        <v>#N/A</v>
      </c>
      <c r="J4137" s="24" t="s">
        <v>126</v>
      </c>
      <c r="K4137" s="96" t="s">
        <v>5557</v>
      </c>
      <c r="L4137" s="94" t="s">
        <v>5558</v>
      </c>
      <c r="M4137" s="94" t="s">
        <v>5559</v>
      </c>
      <c r="N4137" s="106">
        <v>44985</v>
      </c>
      <c r="O4137" s="94" t="s">
        <v>92</v>
      </c>
      <c r="P4137" s="297">
        <v>4500</v>
      </c>
      <c r="Q4137" s="297">
        <v>-4</v>
      </c>
      <c r="R4137" s="268">
        <f t="shared" si="94"/>
        <v>-18000</v>
      </c>
      <c r="S4137" s="24">
        <v>202303</v>
      </c>
      <c r="T4137" s="23" t="s">
        <v>5564</v>
      </c>
      <c r="U4137" s="94"/>
      <c r="V4137" s="321"/>
      <c r="W4137" s="94"/>
      <c r="X4137" s="106">
        <v>44744</v>
      </c>
      <c r="Y4137" s="106">
        <v>45016</v>
      </c>
    </row>
    <row r="4138" s="9" customFormat="1" customHeight="1" spans="1:25">
      <c r="A4138" s="96" t="s">
        <v>129</v>
      </c>
      <c r="B4138" s="94" t="s">
        <v>4074</v>
      </c>
      <c r="C4138" s="94" t="s">
        <v>161</v>
      </c>
      <c r="D4138" s="94" t="s">
        <v>28</v>
      </c>
      <c r="E4138" s="23" t="s">
        <v>5528</v>
      </c>
      <c r="F4138" s="94" t="s">
        <v>5529</v>
      </c>
      <c r="G4138" s="96" t="s">
        <v>31</v>
      </c>
      <c r="H4138" s="117" t="s">
        <v>5565</v>
      </c>
      <c r="I4138" s="23" t="e">
        <f>VLOOKUP(H4138,'合同综合查询数据（3月返）'!$A:$A,1,FALSE)</f>
        <v>#N/A</v>
      </c>
      <c r="J4138" s="24" t="s">
        <v>33</v>
      </c>
      <c r="K4138" s="96" t="s">
        <v>5566</v>
      </c>
      <c r="L4138" s="94" t="s">
        <v>5567</v>
      </c>
      <c r="M4138" s="94" t="s">
        <v>5568</v>
      </c>
      <c r="N4138" s="106">
        <v>44806</v>
      </c>
      <c r="O4138" s="94" t="s">
        <v>37</v>
      </c>
      <c r="P4138" s="297">
        <v>0</v>
      </c>
      <c r="Q4138" s="297">
        <v>288</v>
      </c>
      <c r="R4138" s="268">
        <f t="shared" si="94"/>
        <v>0</v>
      </c>
      <c r="S4138" s="24">
        <v>202303</v>
      </c>
      <c r="T4138" s="23" t="s">
        <v>5569</v>
      </c>
      <c r="U4138" s="94"/>
      <c r="V4138" s="321"/>
      <c r="W4138" s="94"/>
      <c r="X4138" s="106">
        <v>44806</v>
      </c>
      <c r="Y4138" s="106">
        <v>45016</v>
      </c>
    </row>
    <row r="4139" s="9" customFormat="1" customHeight="1" spans="1:25">
      <c r="A4139" s="96" t="s">
        <v>129</v>
      </c>
      <c r="B4139" s="94" t="s">
        <v>4074</v>
      </c>
      <c r="C4139" s="94" t="s">
        <v>161</v>
      </c>
      <c r="D4139" s="94" t="s">
        <v>28</v>
      </c>
      <c r="E4139" s="23" t="s">
        <v>5528</v>
      </c>
      <c r="F4139" s="94" t="s">
        <v>5529</v>
      </c>
      <c r="G4139" s="96" t="s">
        <v>31</v>
      </c>
      <c r="H4139" s="117" t="s">
        <v>5565</v>
      </c>
      <c r="I4139" s="23" t="e">
        <f>VLOOKUP(H4139,'合同综合查询数据（3月返）'!$A:$A,1,FALSE)</f>
        <v>#N/A</v>
      </c>
      <c r="J4139" s="24" t="s">
        <v>33</v>
      </c>
      <c r="K4139" s="96" t="s">
        <v>5566</v>
      </c>
      <c r="L4139" s="94" t="s">
        <v>5567</v>
      </c>
      <c r="M4139" s="94" t="s">
        <v>5568</v>
      </c>
      <c r="N4139" s="106"/>
      <c r="O4139" s="94" t="s">
        <v>152</v>
      </c>
      <c r="P4139" s="297">
        <v>0</v>
      </c>
      <c r="Q4139" s="297">
        <v>0</v>
      </c>
      <c r="R4139" s="268">
        <f t="shared" si="94"/>
        <v>0</v>
      </c>
      <c r="S4139" s="24">
        <v>202303</v>
      </c>
      <c r="T4139" s="23" t="s">
        <v>5570</v>
      </c>
      <c r="U4139" s="94"/>
      <c r="V4139" s="321"/>
      <c r="W4139" s="94"/>
      <c r="X4139" s="106">
        <v>44806</v>
      </c>
      <c r="Y4139" s="106">
        <v>45016</v>
      </c>
    </row>
    <row r="4140" s="9" customFormat="1" customHeight="1" spans="1:25">
      <c r="A4140" s="96" t="s">
        <v>129</v>
      </c>
      <c r="B4140" s="94" t="s">
        <v>4074</v>
      </c>
      <c r="C4140" s="94" t="s">
        <v>161</v>
      </c>
      <c r="D4140" s="94" t="s">
        <v>28</v>
      </c>
      <c r="E4140" s="23" t="s">
        <v>5528</v>
      </c>
      <c r="F4140" s="94" t="s">
        <v>5529</v>
      </c>
      <c r="G4140" s="96" t="s">
        <v>88</v>
      </c>
      <c r="H4140" s="117" t="s">
        <v>5565</v>
      </c>
      <c r="I4140" s="23" t="e">
        <f>VLOOKUP(H4140,'合同综合查询数据（3月返）'!$A:$A,1,FALSE)</f>
        <v>#N/A</v>
      </c>
      <c r="J4140" s="24" t="s">
        <v>126</v>
      </c>
      <c r="K4140" s="96" t="s">
        <v>5566</v>
      </c>
      <c r="L4140" s="94" t="s">
        <v>5567</v>
      </c>
      <c r="M4140" s="94" t="s">
        <v>5568</v>
      </c>
      <c r="N4140" s="106">
        <v>44806</v>
      </c>
      <c r="O4140" s="94" t="s">
        <v>92</v>
      </c>
      <c r="P4140" s="297">
        <v>4500</v>
      </c>
      <c r="Q4140" s="297">
        <v>3</v>
      </c>
      <c r="R4140" s="268">
        <f t="shared" si="94"/>
        <v>13500</v>
      </c>
      <c r="S4140" s="24">
        <v>202303</v>
      </c>
      <c r="T4140" s="23" t="s">
        <v>5571</v>
      </c>
      <c r="U4140" s="94"/>
      <c r="V4140" s="321"/>
      <c r="W4140" s="94"/>
      <c r="X4140" s="106">
        <v>44806</v>
      </c>
      <c r="Y4140" s="106">
        <v>45016</v>
      </c>
    </row>
    <row r="4141" s="9" customFormat="1" customHeight="1" spans="1:25">
      <c r="A4141" s="96" t="s">
        <v>25</v>
      </c>
      <c r="B4141" s="94" t="s">
        <v>4074</v>
      </c>
      <c r="C4141" s="94" t="s">
        <v>161</v>
      </c>
      <c r="D4141" s="94" t="s">
        <v>28</v>
      </c>
      <c r="E4141" s="23" t="s">
        <v>5528</v>
      </c>
      <c r="F4141" s="94" t="s">
        <v>5529</v>
      </c>
      <c r="G4141" s="96" t="s">
        <v>31</v>
      </c>
      <c r="H4141" s="117" t="s">
        <v>5572</v>
      </c>
      <c r="I4141" s="23" t="e">
        <f>VLOOKUP(H4141,'合同综合查询数据（3月返）'!$A:$A,1,FALSE)</f>
        <v>#N/A</v>
      </c>
      <c r="J4141" s="24" t="s">
        <v>33</v>
      </c>
      <c r="K4141" s="96" t="s">
        <v>5566</v>
      </c>
      <c r="L4141" s="94" t="s">
        <v>5573</v>
      </c>
      <c r="M4141" s="94" t="s">
        <v>5574</v>
      </c>
      <c r="N4141" s="106">
        <v>44805</v>
      </c>
      <c r="O4141" s="321" t="s">
        <v>37</v>
      </c>
      <c r="P4141" s="297">
        <v>0</v>
      </c>
      <c r="Q4141" s="297">
        <v>288</v>
      </c>
      <c r="R4141" s="268">
        <f t="shared" si="94"/>
        <v>0</v>
      </c>
      <c r="S4141" s="24">
        <v>202303</v>
      </c>
      <c r="T4141" s="23" t="s">
        <v>5575</v>
      </c>
      <c r="U4141" s="94"/>
      <c r="V4141" s="321"/>
      <c r="W4141" s="94"/>
      <c r="X4141" s="106">
        <v>44805</v>
      </c>
      <c r="Y4141" s="106">
        <v>45016</v>
      </c>
    </row>
    <row r="4142" s="9" customFormat="1" customHeight="1" spans="1:25">
      <c r="A4142" s="96" t="s">
        <v>25</v>
      </c>
      <c r="B4142" s="94" t="s">
        <v>4074</v>
      </c>
      <c r="C4142" s="94" t="s">
        <v>161</v>
      </c>
      <c r="D4142" s="94" t="s">
        <v>28</v>
      </c>
      <c r="E4142" s="23" t="s">
        <v>5528</v>
      </c>
      <c r="F4142" s="94" t="s">
        <v>5529</v>
      </c>
      <c r="G4142" s="96" t="s">
        <v>31</v>
      </c>
      <c r="H4142" s="117" t="s">
        <v>5572</v>
      </c>
      <c r="I4142" s="23" t="e">
        <f>VLOOKUP(H4142,'合同综合查询数据（3月返）'!$A:$A,1,FALSE)</f>
        <v>#N/A</v>
      </c>
      <c r="J4142" s="24" t="s">
        <v>33</v>
      </c>
      <c r="K4142" s="96" t="s">
        <v>5566</v>
      </c>
      <c r="L4142" s="94" t="s">
        <v>5573</v>
      </c>
      <c r="M4142" s="94" t="s">
        <v>5574</v>
      </c>
      <c r="N4142" s="106"/>
      <c r="O4142" s="94" t="s">
        <v>152</v>
      </c>
      <c r="P4142" s="297">
        <v>0</v>
      </c>
      <c r="Q4142" s="297">
        <v>0</v>
      </c>
      <c r="R4142" s="268">
        <f t="shared" si="94"/>
        <v>0</v>
      </c>
      <c r="S4142" s="24">
        <v>202303</v>
      </c>
      <c r="T4142" s="23" t="s">
        <v>5576</v>
      </c>
      <c r="U4142" s="94"/>
      <c r="V4142" s="321"/>
      <c r="W4142" s="94"/>
      <c r="X4142" s="106">
        <v>44805</v>
      </c>
      <c r="Y4142" s="106">
        <v>45016</v>
      </c>
    </row>
    <row r="4143" s="9" customFormat="1" customHeight="1" spans="1:25">
      <c r="A4143" s="96" t="s">
        <v>25</v>
      </c>
      <c r="B4143" s="94" t="s">
        <v>4074</v>
      </c>
      <c r="C4143" s="94" t="s">
        <v>161</v>
      </c>
      <c r="D4143" s="94" t="s">
        <v>28</v>
      </c>
      <c r="E4143" s="23" t="s">
        <v>5528</v>
      </c>
      <c r="F4143" s="94" t="s">
        <v>5529</v>
      </c>
      <c r="G4143" s="96" t="s">
        <v>88</v>
      </c>
      <c r="H4143" s="117" t="s">
        <v>5572</v>
      </c>
      <c r="I4143" s="23" t="e">
        <f>VLOOKUP(H4143,'合同综合查询数据（3月返）'!$A:$A,1,FALSE)</f>
        <v>#N/A</v>
      </c>
      <c r="J4143" s="24" t="s">
        <v>126</v>
      </c>
      <c r="K4143" s="96" t="s">
        <v>5566</v>
      </c>
      <c r="L4143" s="94" t="s">
        <v>5573</v>
      </c>
      <c r="M4143" s="94" t="s">
        <v>5574</v>
      </c>
      <c r="N4143" s="106">
        <v>44805</v>
      </c>
      <c r="O4143" s="321" t="s">
        <v>92</v>
      </c>
      <c r="P4143" s="297">
        <v>4500</v>
      </c>
      <c r="Q4143" s="297">
        <v>3</v>
      </c>
      <c r="R4143" s="268">
        <f t="shared" si="94"/>
        <v>13500</v>
      </c>
      <c r="S4143" s="24">
        <v>202303</v>
      </c>
      <c r="T4143" s="23" t="s">
        <v>5577</v>
      </c>
      <c r="U4143" s="94"/>
      <c r="V4143" s="321"/>
      <c r="W4143" s="94"/>
      <c r="X4143" s="106">
        <v>44805</v>
      </c>
      <c r="Y4143" s="106">
        <v>45016</v>
      </c>
    </row>
    <row r="4144" s="9" customFormat="1" customHeight="1" spans="1:25">
      <c r="A4144" s="96" t="s">
        <v>25</v>
      </c>
      <c r="B4144" s="94" t="s">
        <v>4074</v>
      </c>
      <c r="C4144" s="94" t="s">
        <v>2998</v>
      </c>
      <c r="D4144" s="94" t="s">
        <v>4178</v>
      </c>
      <c r="E4144" s="105" t="s">
        <v>5578</v>
      </c>
      <c r="F4144" s="96" t="s">
        <v>5579</v>
      </c>
      <c r="G4144" s="96" t="s">
        <v>31</v>
      </c>
      <c r="H4144" s="19" t="s">
        <v>5580</v>
      </c>
      <c r="I4144" s="23" t="e">
        <f>VLOOKUP(H4144,'合同综合查询数据（3月返）'!$A:$A,1,FALSE)</f>
        <v>#N/A</v>
      </c>
      <c r="J4144" s="24" t="s">
        <v>33</v>
      </c>
      <c r="K4144" s="94" t="s">
        <v>4216</v>
      </c>
      <c r="L4144" s="94" t="s">
        <v>4537</v>
      </c>
      <c r="M4144" s="94" t="s">
        <v>4538</v>
      </c>
      <c r="N4144" s="106">
        <v>44470</v>
      </c>
      <c r="O4144" s="94" t="s">
        <v>37</v>
      </c>
      <c r="P4144" s="297">
        <v>0</v>
      </c>
      <c r="Q4144" s="297">
        <v>288</v>
      </c>
      <c r="R4144" s="268">
        <f t="shared" si="94"/>
        <v>0</v>
      </c>
      <c r="S4144" s="24">
        <v>202303</v>
      </c>
      <c r="T4144" s="127" t="s">
        <v>5581</v>
      </c>
      <c r="U4144" s="97"/>
      <c r="V4144" s="128"/>
      <c r="W4144" s="128"/>
      <c r="X4144" s="106">
        <v>44470</v>
      </c>
      <c r="Y4144" s="106">
        <v>44834</v>
      </c>
    </row>
    <row r="4145" s="9" customFormat="1" customHeight="1" spans="1:25">
      <c r="A4145" s="96" t="s">
        <v>25</v>
      </c>
      <c r="B4145" s="94" t="s">
        <v>4074</v>
      </c>
      <c r="C4145" s="94" t="s">
        <v>2998</v>
      </c>
      <c r="D4145" s="94" t="s">
        <v>4178</v>
      </c>
      <c r="E4145" s="105" t="s">
        <v>5578</v>
      </c>
      <c r="F4145" s="96" t="s">
        <v>5579</v>
      </c>
      <c r="G4145" s="96" t="s">
        <v>31</v>
      </c>
      <c r="H4145" s="19" t="s">
        <v>5580</v>
      </c>
      <c r="I4145" s="23" t="e">
        <f>VLOOKUP(H4145,'合同综合查询数据（3月返）'!$A:$A,1,FALSE)</f>
        <v>#N/A</v>
      </c>
      <c r="J4145" s="24" t="s">
        <v>33</v>
      </c>
      <c r="K4145" s="94" t="s">
        <v>4216</v>
      </c>
      <c r="L4145" s="94" t="s">
        <v>4537</v>
      </c>
      <c r="M4145" s="94" t="s">
        <v>4538</v>
      </c>
      <c r="N4145" s="106">
        <v>44712</v>
      </c>
      <c r="O4145" s="94" t="s">
        <v>37</v>
      </c>
      <c r="P4145" s="268">
        <v>0</v>
      </c>
      <c r="Q4145" s="273">
        <v>-288</v>
      </c>
      <c r="R4145" s="268">
        <f t="shared" si="94"/>
        <v>0</v>
      </c>
      <c r="S4145" s="24">
        <v>202303</v>
      </c>
      <c r="T4145" s="127" t="s">
        <v>5582</v>
      </c>
      <c r="U4145" s="97"/>
      <c r="V4145" s="128"/>
      <c r="W4145" s="128"/>
      <c r="X4145" s="106">
        <v>44470</v>
      </c>
      <c r="Y4145" s="28">
        <v>44834</v>
      </c>
    </row>
    <row r="4146" s="9" customFormat="1" customHeight="1" spans="1:25">
      <c r="A4146" s="96" t="s">
        <v>25</v>
      </c>
      <c r="B4146" s="94" t="s">
        <v>4074</v>
      </c>
      <c r="C4146" s="94" t="s">
        <v>2998</v>
      </c>
      <c r="D4146" s="94" t="s">
        <v>4178</v>
      </c>
      <c r="E4146" s="105" t="s">
        <v>5578</v>
      </c>
      <c r="F4146" s="96" t="s">
        <v>5579</v>
      </c>
      <c r="G4146" s="96" t="s">
        <v>31</v>
      </c>
      <c r="H4146" s="19" t="s">
        <v>5580</v>
      </c>
      <c r="I4146" s="23" t="e">
        <f>VLOOKUP(H4146,'合同综合查询数据（3月返）'!$A:$A,1,FALSE)</f>
        <v>#N/A</v>
      </c>
      <c r="J4146" s="24" t="s">
        <v>33</v>
      </c>
      <c r="K4146" s="96" t="s">
        <v>4216</v>
      </c>
      <c r="L4146" s="114" t="s">
        <v>4541</v>
      </c>
      <c r="M4146" s="26" t="s">
        <v>4542</v>
      </c>
      <c r="N4146" s="106">
        <v>44470</v>
      </c>
      <c r="O4146" s="94" t="s">
        <v>37</v>
      </c>
      <c r="P4146" s="268">
        <v>0</v>
      </c>
      <c r="Q4146" s="273">
        <v>288</v>
      </c>
      <c r="R4146" s="268">
        <f t="shared" si="94"/>
        <v>0</v>
      </c>
      <c r="S4146" s="24">
        <v>202303</v>
      </c>
      <c r="T4146" s="127" t="s">
        <v>5583</v>
      </c>
      <c r="U4146" s="97"/>
      <c r="V4146" s="128"/>
      <c r="W4146" s="128"/>
      <c r="X4146" s="106">
        <v>44470</v>
      </c>
      <c r="Y4146" s="106">
        <v>44834</v>
      </c>
    </row>
    <row r="4147" s="9" customFormat="1" customHeight="1" spans="1:25">
      <c r="A4147" s="96" t="s">
        <v>25</v>
      </c>
      <c r="B4147" s="94" t="s">
        <v>4074</v>
      </c>
      <c r="C4147" s="94" t="s">
        <v>2998</v>
      </c>
      <c r="D4147" s="94" t="s">
        <v>4178</v>
      </c>
      <c r="E4147" s="105" t="s">
        <v>5578</v>
      </c>
      <c r="F4147" s="96" t="s">
        <v>5579</v>
      </c>
      <c r="G4147" s="96" t="s">
        <v>31</v>
      </c>
      <c r="H4147" s="19" t="s">
        <v>5580</v>
      </c>
      <c r="I4147" s="23" t="e">
        <f>VLOOKUP(H4147,'合同综合查询数据（3月返）'!$A:$A,1,FALSE)</f>
        <v>#N/A</v>
      </c>
      <c r="J4147" s="24" t="s">
        <v>33</v>
      </c>
      <c r="K4147" s="96" t="s">
        <v>4216</v>
      </c>
      <c r="L4147" s="114" t="s">
        <v>4541</v>
      </c>
      <c r="M4147" s="26" t="s">
        <v>4542</v>
      </c>
      <c r="N4147" s="106">
        <v>44712</v>
      </c>
      <c r="O4147" s="94" t="s">
        <v>37</v>
      </c>
      <c r="P4147" s="268">
        <v>0</v>
      </c>
      <c r="Q4147" s="273">
        <v>-288</v>
      </c>
      <c r="R4147" s="268">
        <f t="shared" si="94"/>
        <v>0</v>
      </c>
      <c r="S4147" s="24">
        <v>202303</v>
      </c>
      <c r="T4147" s="127" t="s">
        <v>5584</v>
      </c>
      <c r="U4147" s="97"/>
      <c r="V4147" s="128"/>
      <c r="W4147" s="128"/>
      <c r="X4147" s="106">
        <v>44470</v>
      </c>
      <c r="Y4147" s="28">
        <v>44834</v>
      </c>
    </row>
    <row r="4148" s="9" customFormat="1" customHeight="1" spans="1:25">
      <c r="A4148" s="96" t="s">
        <v>25</v>
      </c>
      <c r="B4148" s="94" t="s">
        <v>4074</v>
      </c>
      <c r="C4148" s="94" t="s">
        <v>2998</v>
      </c>
      <c r="D4148" s="94" t="s">
        <v>4178</v>
      </c>
      <c r="E4148" s="105" t="s">
        <v>5578</v>
      </c>
      <c r="F4148" s="96" t="s">
        <v>5579</v>
      </c>
      <c r="G4148" s="96" t="s">
        <v>31</v>
      </c>
      <c r="H4148" s="19" t="s">
        <v>5580</v>
      </c>
      <c r="I4148" s="23" t="e">
        <f>VLOOKUP(H4148,'合同综合查询数据（3月返）'!$A:$A,1,FALSE)</f>
        <v>#N/A</v>
      </c>
      <c r="J4148" s="24" t="s">
        <v>33</v>
      </c>
      <c r="K4148" s="96" t="s">
        <v>4216</v>
      </c>
      <c r="L4148" s="114" t="s">
        <v>5585</v>
      </c>
      <c r="M4148" s="94" t="s">
        <v>4542</v>
      </c>
      <c r="N4148" s="106"/>
      <c r="O4148" s="94" t="s">
        <v>152</v>
      </c>
      <c r="P4148" s="268">
        <v>0</v>
      </c>
      <c r="Q4148" s="273">
        <v>0</v>
      </c>
      <c r="R4148" s="268">
        <f t="shared" si="94"/>
        <v>0</v>
      </c>
      <c r="S4148" s="24">
        <v>202303</v>
      </c>
      <c r="T4148" s="127" t="s">
        <v>5586</v>
      </c>
      <c r="U4148" s="97"/>
      <c r="V4148" s="128"/>
      <c r="W4148" s="128"/>
      <c r="X4148" s="106">
        <v>44470</v>
      </c>
      <c r="Y4148" s="106">
        <v>44834</v>
      </c>
    </row>
    <row r="4149" s="9" customFormat="1" customHeight="1" spans="1:25">
      <c r="A4149" s="96" t="s">
        <v>25</v>
      </c>
      <c r="B4149" s="94" t="s">
        <v>4074</v>
      </c>
      <c r="C4149" s="94" t="s">
        <v>2998</v>
      </c>
      <c r="D4149" s="94" t="s">
        <v>4178</v>
      </c>
      <c r="E4149" s="105" t="s">
        <v>5578</v>
      </c>
      <c r="F4149" s="96" t="s">
        <v>5579</v>
      </c>
      <c r="G4149" s="96" t="s">
        <v>88</v>
      </c>
      <c r="H4149" s="19" t="s">
        <v>5580</v>
      </c>
      <c r="I4149" s="23" t="e">
        <f>VLOOKUP(H4149,'合同综合查询数据（3月返）'!$A:$A,1,FALSE)</f>
        <v>#N/A</v>
      </c>
      <c r="J4149" s="24" t="s">
        <v>126</v>
      </c>
      <c r="K4149" s="94" t="s">
        <v>4216</v>
      </c>
      <c r="L4149" s="94" t="s">
        <v>4537</v>
      </c>
      <c r="M4149" s="94" t="s">
        <v>4542</v>
      </c>
      <c r="N4149" s="106">
        <v>44470</v>
      </c>
      <c r="O4149" s="94" t="s">
        <v>624</v>
      </c>
      <c r="P4149" s="297">
        <v>4500</v>
      </c>
      <c r="Q4149" s="297">
        <v>7</v>
      </c>
      <c r="R4149" s="268">
        <f t="shared" si="94"/>
        <v>31500</v>
      </c>
      <c r="S4149" s="24">
        <v>202303</v>
      </c>
      <c r="T4149" s="127" t="s">
        <v>5587</v>
      </c>
      <c r="U4149" s="97"/>
      <c r="V4149" s="128"/>
      <c r="W4149" s="128"/>
      <c r="X4149" s="106">
        <v>44470</v>
      </c>
      <c r="Y4149" s="106">
        <v>44834</v>
      </c>
    </row>
    <row r="4150" s="9" customFormat="1" customHeight="1" spans="1:25">
      <c r="A4150" s="96" t="s">
        <v>25</v>
      </c>
      <c r="B4150" s="94" t="s">
        <v>4074</v>
      </c>
      <c r="C4150" s="94" t="s">
        <v>2998</v>
      </c>
      <c r="D4150" s="94" t="s">
        <v>4178</v>
      </c>
      <c r="E4150" s="105" t="s">
        <v>5578</v>
      </c>
      <c r="F4150" s="96" t="s">
        <v>5579</v>
      </c>
      <c r="G4150" s="96" t="s">
        <v>88</v>
      </c>
      <c r="H4150" s="19" t="s">
        <v>5580</v>
      </c>
      <c r="I4150" s="23" t="e">
        <f>VLOOKUP(H4150,'合同综合查询数据（3月返）'!$A:$A,1,FALSE)</f>
        <v>#N/A</v>
      </c>
      <c r="J4150" s="24" t="s">
        <v>126</v>
      </c>
      <c r="K4150" s="94" t="s">
        <v>4216</v>
      </c>
      <c r="L4150" s="94" t="s">
        <v>4537</v>
      </c>
      <c r="M4150" s="94" t="s">
        <v>4542</v>
      </c>
      <c r="N4150" s="106">
        <v>44712</v>
      </c>
      <c r="O4150" s="94" t="s">
        <v>624</v>
      </c>
      <c r="P4150" s="297">
        <v>4500</v>
      </c>
      <c r="Q4150" s="297">
        <v>-7</v>
      </c>
      <c r="R4150" s="268">
        <f t="shared" si="94"/>
        <v>-31500</v>
      </c>
      <c r="S4150" s="24">
        <v>202303</v>
      </c>
      <c r="T4150" s="127" t="s">
        <v>5588</v>
      </c>
      <c r="U4150" s="97"/>
      <c r="V4150" s="128"/>
      <c r="W4150" s="128"/>
      <c r="X4150" s="106">
        <v>44470</v>
      </c>
      <c r="Y4150" s="28">
        <v>44834</v>
      </c>
    </row>
    <row r="4151" s="9" customFormat="1" customHeight="1" spans="1:25">
      <c r="A4151" s="96" t="s">
        <v>25</v>
      </c>
      <c r="B4151" s="94" t="s">
        <v>4074</v>
      </c>
      <c r="C4151" s="94" t="s">
        <v>2998</v>
      </c>
      <c r="D4151" s="94" t="s">
        <v>4178</v>
      </c>
      <c r="E4151" s="105" t="s">
        <v>5578</v>
      </c>
      <c r="F4151" s="96" t="s">
        <v>5579</v>
      </c>
      <c r="G4151" s="96" t="s">
        <v>88</v>
      </c>
      <c r="H4151" s="19" t="s">
        <v>5580</v>
      </c>
      <c r="I4151" s="23" t="e">
        <f>VLOOKUP(H4151,'合同综合查询数据（3月返）'!$A:$A,1,FALSE)</f>
        <v>#N/A</v>
      </c>
      <c r="J4151" s="24" t="s">
        <v>126</v>
      </c>
      <c r="K4151" s="96" t="s">
        <v>4216</v>
      </c>
      <c r="L4151" s="114" t="s">
        <v>4541</v>
      </c>
      <c r="M4151" s="26" t="s">
        <v>4542</v>
      </c>
      <c r="N4151" s="106">
        <v>44470</v>
      </c>
      <c r="O4151" s="94" t="s">
        <v>624</v>
      </c>
      <c r="P4151" s="268">
        <v>4500</v>
      </c>
      <c r="Q4151" s="273">
        <v>4</v>
      </c>
      <c r="R4151" s="268">
        <f t="shared" si="94"/>
        <v>18000</v>
      </c>
      <c r="S4151" s="24">
        <v>202303</v>
      </c>
      <c r="T4151" s="127" t="s">
        <v>5589</v>
      </c>
      <c r="U4151" s="97"/>
      <c r="V4151" s="128"/>
      <c r="W4151" s="128"/>
      <c r="X4151" s="106">
        <v>44470</v>
      </c>
      <c r="Y4151" s="106">
        <v>44834</v>
      </c>
    </row>
    <row r="4152" s="9" customFormat="1" customHeight="1" spans="1:25">
      <c r="A4152" s="96" t="s">
        <v>25</v>
      </c>
      <c r="B4152" s="94" t="s">
        <v>4074</v>
      </c>
      <c r="C4152" s="94" t="s">
        <v>2998</v>
      </c>
      <c r="D4152" s="94" t="s">
        <v>4178</v>
      </c>
      <c r="E4152" s="105" t="s">
        <v>5578</v>
      </c>
      <c r="F4152" s="96" t="s">
        <v>5579</v>
      </c>
      <c r="G4152" s="96" t="s">
        <v>88</v>
      </c>
      <c r="H4152" s="19" t="s">
        <v>5580</v>
      </c>
      <c r="I4152" s="23" t="e">
        <f>VLOOKUP(H4152,'合同综合查询数据（3月返）'!$A:$A,1,FALSE)</f>
        <v>#N/A</v>
      </c>
      <c r="J4152" s="24" t="s">
        <v>126</v>
      </c>
      <c r="K4152" s="96" t="s">
        <v>4216</v>
      </c>
      <c r="L4152" s="114" t="s">
        <v>4541</v>
      </c>
      <c r="M4152" s="26" t="s">
        <v>4542</v>
      </c>
      <c r="N4152" s="106">
        <v>44712</v>
      </c>
      <c r="O4152" s="94" t="s">
        <v>624</v>
      </c>
      <c r="P4152" s="297">
        <v>4500</v>
      </c>
      <c r="Q4152" s="273">
        <v>-4</v>
      </c>
      <c r="R4152" s="268">
        <f t="shared" si="94"/>
        <v>-18000</v>
      </c>
      <c r="S4152" s="24">
        <v>202303</v>
      </c>
      <c r="T4152" s="127" t="s">
        <v>5590</v>
      </c>
      <c r="U4152" s="97"/>
      <c r="V4152" s="128"/>
      <c r="W4152" s="128"/>
      <c r="X4152" s="106">
        <v>44470</v>
      </c>
      <c r="Y4152" s="28">
        <v>44834</v>
      </c>
    </row>
    <row r="4153" s="10" customFormat="1" customHeight="1" spans="1:25">
      <c r="A4153" s="60" t="s">
        <v>25</v>
      </c>
      <c r="B4153" s="62" t="s">
        <v>4074</v>
      </c>
      <c r="C4153" s="62" t="s">
        <v>2998</v>
      </c>
      <c r="D4153" s="62" t="s">
        <v>4178</v>
      </c>
      <c r="E4153" s="63" t="s">
        <v>5578</v>
      </c>
      <c r="F4153" s="60" t="s">
        <v>5579</v>
      </c>
      <c r="G4153" s="61" t="s">
        <v>31</v>
      </c>
      <c r="H4153" s="45" t="s">
        <v>5591</v>
      </c>
      <c r="I4153" s="47" t="e">
        <f>VLOOKUP(H4153,'合同综合查询数据（3月返）'!$A:$A,1,FALSE)</f>
        <v>#N/A</v>
      </c>
      <c r="J4153" s="48" t="s">
        <v>33</v>
      </c>
      <c r="K4153" s="61" t="s">
        <v>3042</v>
      </c>
      <c r="L4153" s="338" t="s">
        <v>4591</v>
      </c>
      <c r="M4153" s="50" t="s">
        <v>4592</v>
      </c>
      <c r="N4153" s="111">
        <v>44470</v>
      </c>
      <c r="O4153" s="135" t="s">
        <v>37</v>
      </c>
      <c r="P4153" s="266">
        <v>0</v>
      </c>
      <c r="Q4153" s="270">
        <v>144</v>
      </c>
      <c r="R4153" s="266">
        <f t="shared" si="94"/>
        <v>0</v>
      </c>
      <c r="S4153" s="48">
        <v>202303</v>
      </c>
      <c r="T4153" s="339" t="s">
        <v>5592</v>
      </c>
      <c r="U4153" s="102"/>
      <c r="V4153" s="126"/>
      <c r="W4153" s="126"/>
      <c r="X4153" s="111"/>
      <c r="Y4153" s="111"/>
    </row>
    <row r="4154" s="10" customFormat="1" customHeight="1" spans="1:25">
      <c r="A4154" s="60" t="s">
        <v>25</v>
      </c>
      <c r="B4154" s="62" t="s">
        <v>4074</v>
      </c>
      <c r="C4154" s="62" t="s">
        <v>2998</v>
      </c>
      <c r="D4154" s="62" t="s">
        <v>4178</v>
      </c>
      <c r="E4154" s="63" t="s">
        <v>5578</v>
      </c>
      <c r="F4154" s="60" t="s">
        <v>5579</v>
      </c>
      <c r="G4154" s="61" t="s">
        <v>31</v>
      </c>
      <c r="H4154" s="45" t="s">
        <v>5591</v>
      </c>
      <c r="I4154" s="47" t="e">
        <f>VLOOKUP(H4154,'合同综合查询数据（3月返）'!$A:$A,1,FALSE)</f>
        <v>#N/A</v>
      </c>
      <c r="J4154" s="48" t="s">
        <v>33</v>
      </c>
      <c r="K4154" s="61" t="s">
        <v>3042</v>
      </c>
      <c r="L4154" s="338" t="s">
        <v>4591</v>
      </c>
      <c r="M4154" s="50" t="s">
        <v>4592</v>
      </c>
      <c r="N4154" s="111">
        <v>44470</v>
      </c>
      <c r="O4154" s="135" t="s">
        <v>37</v>
      </c>
      <c r="P4154" s="266">
        <v>50</v>
      </c>
      <c r="Q4154" s="270">
        <v>144</v>
      </c>
      <c r="R4154" s="266">
        <f t="shared" si="94"/>
        <v>7200</v>
      </c>
      <c r="S4154" s="48">
        <v>202303</v>
      </c>
      <c r="T4154" s="339" t="s">
        <v>5592</v>
      </c>
      <c r="U4154" s="102"/>
      <c r="V4154" s="126"/>
      <c r="W4154" s="126"/>
      <c r="X4154" s="111"/>
      <c r="Y4154" s="111"/>
    </row>
    <row r="4155" s="10" customFormat="1" customHeight="1" spans="1:25">
      <c r="A4155" s="60" t="s">
        <v>25</v>
      </c>
      <c r="B4155" s="62" t="s">
        <v>4074</v>
      </c>
      <c r="C4155" s="62" t="s">
        <v>2998</v>
      </c>
      <c r="D4155" s="62" t="s">
        <v>4178</v>
      </c>
      <c r="E4155" s="63" t="s">
        <v>5578</v>
      </c>
      <c r="F4155" s="60" t="s">
        <v>5579</v>
      </c>
      <c r="G4155" s="61" t="s">
        <v>31</v>
      </c>
      <c r="H4155" s="45" t="s">
        <v>5591</v>
      </c>
      <c r="I4155" s="47" t="e">
        <f>VLOOKUP(H4155,'合同综合查询数据（3月返）'!$A:$A,1,FALSE)</f>
        <v>#N/A</v>
      </c>
      <c r="J4155" s="48" t="s">
        <v>33</v>
      </c>
      <c r="K4155" s="61" t="s">
        <v>3042</v>
      </c>
      <c r="L4155" s="338" t="s">
        <v>4591</v>
      </c>
      <c r="M4155" s="50" t="s">
        <v>4592</v>
      </c>
      <c r="N4155" s="111">
        <v>44742</v>
      </c>
      <c r="O4155" s="135" t="s">
        <v>37</v>
      </c>
      <c r="P4155" s="266">
        <v>0</v>
      </c>
      <c r="Q4155" s="270">
        <v>-144</v>
      </c>
      <c r="R4155" s="266">
        <f t="shared" si="94"/>
        <v>0</v>
      </c>
      <c r="S4155" s="48">
        <v>202303</v>
      </c>
      <c r="T4155" s="339" t="s">
        <v>5593</v>
      </c>
      <c r="U4155" s="102"/>
      <c r="V4155" s="126"/>
      <c r="W4155" s="126"/>
      <c r="X4155" s="111"/>
      <c r="Y4155" s="111"/>
    </row>
    <row r="4156" s="10" customFormat="1" customHeight="1" spans="1:25">
      <c r="A4156" s="60" t="s">
        <v>25</v>
      </c>
      <c r="B4156" s="62" t="s">
        <v>4074</v>
      </c>
      <c r="C4156" s="62" t="s">
        <v>2998</v>
      </c>
      <c r="D4156" s="62" t="s">
        <v>4178</v>
      </c>
      <c r="E4156" s="63" t="s">
        <v>5578</v>
      </c>
      <c r="F4156" s="60" t="s">
        <v>5579</v>
      </c>
      <c r="G4156" s="61" t="s">
        <v>31</v>
      </c>
      <c r="H4156" s="45" t="s">
        <v>5591</v>
      </c>
      <c r="I4156" s="47" t="e">
        <f>VLOOKUP(H4156,'合同综合查询数据（3月返）'!$A:$A,1,FALSE)</f>
        <v>#N/A</v>
      </c>
      <c r="J4156" s="48" t="s">
        <v>33</v>
      </c>
      <c r="K4156" s="61" t="s">
        <v>3042</v>
      </c>
      <c r="L4156" s="338" t="s">
        <v>4591</v>
      </c>
      <c r="M4156" s="50" t="s">
        <v>4592</v>
      </c>
      <c r="N4156" s="111">
        <v>44742</v>
      </c>
      <c r="O4156" s="135" t="s">
        <v>37</v>
      </c>
      <c r="P4156" s="266">
        <v>50</v>
      </c>
      <c r="Q4156" s="270">
        <v>-144</v>
      </c>
      <c r="R4156" s="266">
        <f t="shared" si="94"/>
        <v>-7200</v>
      </c>
      <c r="S4156" s="48">
        <v>202303</v>
      </c>
      <c r="T4156" s="339" t="s">
        <v>5593</v>
      </c>
      <c r="U4156" s="102"/>
      <c r="V4156" s="126"/>
      <c r="W4156" s="126"/>
      <c r="X4156" s="111"/>
      <c r="Y4156" s="111"/>
    </row>
    <row r="4157" s="9" customFormat="1" customHeight="1" spans="1:25">
      <c r="A4157" s="96" t="s">
        <v>25</v>
      </c>
      <c r="B4157" s="94" t="s">
        <v>4074</v>
      </c>
      <c r="C4157" s="94" t="s">
        <v>2998</v>
      </c>
      <c r="D4157" s="94" t="s">
        <v>4178</v>
      </c>
      <c r="E4157" s="105" t="s">
        <v>5578</v>
      </c>
      <c r="F4157" s="96" t="s">
        <v>5579</v>
      </c>
      <c r="G4157" s="98" t="s">
        <v>31</v>
      </c>
      <c r="H4157" s="19" t="s">
        <v>5594</v>
      </c>
      <c r="I4157" s="23" t="e">
        <f>VLOOKUP(H4157,'合同综合查询数据（3月返）'!$A:$A,1,FALSE)</f>
        <v>#N/A</v>
      </c>
      <c r="J4157" s="24" t="s">
        <v>33</v>
      </c>
      <c r="K4157" s="98" t="s">
        <v>3042</v>
      </c>
      <c r="L4157" s="148" t="s">
        <v>4591</v>
      </c>
      <c r="M4157" s="26" t="s">
        <v>4592</v>
      </c>
      <c r="N4157" s="106"/>
      <c r="O4157" s="94" t="s">
        <v>152</v>
      </c>
      <c r="P4157" s="268">
        <v>0</v>
      </c>
      <c r="Q4157" s="268">
        <v>0</v>
      </c>
      <c r="R4157" s="268">
        <f t="shared" si="94"/>
        <v>0</v>
      </c>
      <c r="S4157" s="24">
        <v>202303</v>
      </c>
      <c r="T4157" s="327" t="s">
        <v>5595</v>
      </c>
      <c r="U4157" s="97"/>
      <c r="V4157" s="128"/>
      <c r="W4157" s="128"/>
      <c r="X4157" s="106">
        <v>44593</v>
      </c>
      <c r="Y4157" s="106">
        <v>44834</v>
      </c>
    </row>
    <row r="4158" s="9" customFormat="1" customHeight="1" spans="1:25">
      <c r="A4158" s="96" t="s">
        <v>25</v>
      </c>
      <c r="B4158" s="94" t="s">
        <v>4074</v>
      </c>
      <c r="C4158" s="94" t="s">
        <v>2998</v>
      </c>
      <c r="D4158" s="94" t="s">
        <v>4178</v>
      </c>
      <c r="E4158" s="105" t="s">
        <v>5578</v>
      </c>
      <c r="F4158" s="96" t="s">
        <v>5579</v>
      </c>
      <c r="G4158" s="96" t="s">
        <v>88</v>
      </c>
      <c r="H4158" s="19" t="s">
        <v>5594</v>
      </c>
      <c r="I4158" s="23" t="e">
        <f>VLOOKUP(H4158,'合同综合查询数据（3月返）'!$A:$A,1,FALSE)</f>
        <v>#N/A</v>
      </c>
      <c r="J4158" s="24" t="s">
        <v>126</v>
      </c>
      <c r="K4158" s="98" t="s">
        <v>3042</v>
      </c>
      <c r="L4158" s="148" t="s">
        <v>4591</v>
      </c>
      <c r="M4158" s="26" t="s">
        <v>4592</v>
      </c>
      <c r="N4158" s="106">
        <v>44470</v>
      </c>
      <c r="O4158" s="129" t="s">
        <v>92</v>
      </c>
      <c r="P4158" s="268">
        <v>4500</v>
      </c>
      <c r="Q4158" s="273">
        <v>3</v>
      </c>
      <c r="R4158" s="268">
        <f t="shared" si="94"/>
        <v>13500</v>
      </c>
      <c r="S4158" s="24">
        <v>202303</v>
      </c>
      <c r="T4158" s="327" t="s">
        <v>5596</v>
      </c>
      <c r="U4158" s="97"/>
      <c r="V4158" s="128"/>
      <c r="W4158" s="128"/>
      <c r="X4158" s="106">
        <v>44593</v>
      </c>
      <c r="Y4158" s="106">
        <v>44834</v>
      </c>
    </row>
    <row r="4159" s="9" customFormat="1" customHeight="1" spans="1:25">
      <c r="A4159" s="96" t="s">
        <v>25</v>
      </c>
      <c r="B4159" s="94" t="s">
        <v>4074</v>
      </c>
      <c r="C4159" s="94" t="s">
        <v>2998</v>
      </c>
      <c r="D4159" s="94" t="s">
        <v>4178</v>
      </c>
      <c r="E4159" s="105" t="s">
        <v>5578</v>
      </c>
      <c r="F4159" s="96" t="s">
        <v>5579</v>
      </c>
      <c r="G4159" s="96" t="s">
        <v>88</v>
      </c>
      <c r="H4159" s="19" t="s">
        <v>5594</v>
      </c>
      <c r="I4159" s="23" t="e">
        <f>VLOOKUP(H4159,'合同综合查询数据（3月返）'!$A:$A,1,FALSE)</f>
        <v>#N/A</v>
      </c>
      <c r="J4159" s="24" t="s">
        <v>126</v>
      </c>
      <c r="K4159" s="98" t="s">
        <v>3042</v>
      </c>
      <c r="L4159" s="148" t="s">
        <v>4591</v>
      </c>
      <c r="M4159" s="26" t="s">
        <v>4592</v>
      </c>
      <c r="N4159" s="106">
        <v>44742</v>
      </c>
      <c r="O4159" s="129" t="s">
        <v>92</v>
      </c>
      <c r="P4159" s="268">
        <v>4500</v>
      </c>
      <c r="Q4159" s="273">
        <v>-3</v>
      </c>
      <c r="R4159" s="268">
        <f t="shared" si="94"/>
        <v>-13500</v>
      </c>
      <c r="S4159" s="24">
        <v>202303</v>
      </c>
      <c r="T4159" s="327" t="s">
        <v>5597</v>
      </c>
      <c r="U4159" s="97"/>
      <c r="V4159" s="128"/>
      <c r="W4159" s="128"/>
      <c r="X4159" s="106">
        <v>44593</v>
      </c>
      <c r="Y4159" s="106">
        <v>44834</v>
      </c>
    </row>
    <row r="4160" s="10" customFormat="1" customHeight="1" spans="1:25">
      <c r="A4160" s="103" t="s">
        <v>25</v>
      </c>
      <c r="B4160" s="62" t="s">
        <v>4074</v>
      </c>
      <c r="C4160" s="62" t="s">
        <v>1854</v>
      </c>
      <c r="D4160" s="62" t="s">
        <v>4178</v>
      </c>
      <c r="E4160" s="63" t="s">
        <v>5578</v>
      </c>
      <c r="F4160" s="60" t="s">
        <v>5579</v>
      </c>
      <c r="G4160" s="60" t="s">
        <v>31</v>
      </c>
      <c r="H4160" s="45" t="s">
        <v>5598</v>
      </c>
      <c r="I4160" s="47" t="e">
        <f>VLOOKUP(H4160,'合同综合查询数据（3月返）'!$A:$A,1,FALSE)</f>
        <v>#N/A</v>
      </c>
      <c r="J4160" s="48" t="s">
        <v>33</v>
      </c>
      <c r="K4160" s="60" t="s">
        <v>4631</v>
      </c>
      <c r="L4160" s="113" t="s">
        <v>4632</v>
      </c>
      <c r="M4160" s="50" t="s">
        <v>4633</v>
      </c>
      <c r="N4160" s="111">
        <v>44958</v>
      </c>
      <c r="O4160" s="62" t="s">
        <v>37</v>
      </c>
      <c r="P4160" s="266">
        <v>0</v>
      </c>
      <c r="Q4160" s="270">
        <v>288</v>
      </c>
      <c r="R4160" s="266">
        <f t="shared" si="94"/>
        <v>0</v>
      </c>
      <c r="S4160" s="48">
        <v>202303</v>
      </c>
      <c r="T4160" s="125" t="s">
        <v>4634</v>
      </c>
      <c r="U4160" s="102"/>
      <c r="V4160" s="126"/>
      <c r="W4160" s="126"/>
      <c r="X4160" s="111"/>
      <c r="Y4160" s="111"/>
    </row>
    <row r="4161" s="10" customFormat="1" customHeight="1" spans="1:25">
      <c r="A4161" s="103" t="s">
        <v>25</v>
      </c>
      <c r="B4161" s="62" t="s">
        <v>4074</v>
      </c>
      <c r="C4161" s="62" t="s">
        <v>1854</v>
      </c>
      <c r="D4161" s="62" t="s">
        <v>4178</v>
      </c>
      <c r="E4161" s="63" t="s">
        <v>5578</v>
      </c>
      <c r="F4161" s="60" t="s">
        <v>5579</v>
      </c>
      <c r="G4161" s="60" t="s">
        <v>31</v>
      </c>
      <c r="H4161" s="45" t="s">
        <v>5598</v>
      </c>
      <c r="I4161" s="47" t="e">
        <f>VLOOKUP(H4161,'合同综合查询数据（3月返）'!$A:$A,1,FALSE)</f>
        <v>#N/A</v>
      </c>
      <c r="J4161" s="48" t="s">
        <v>33</v>
      </c>
      <c r="K4161" s="60" t="s">
        <v>4631</v>
      </c>
      <c r="L4161" s="113" t="s">
        <v>4632</v>
      </c>
      <c r="M4161" s="50" t="s">
        <v>4633</v>
      </c>
      <c r="N4161" s="111"/>
      <c r="O4161" s="62" t="s">
        <v>152</v>
      </c>
      <c r="P4161" s="266">
        <v>0</v>
      </c>
      <c r="Q4161" s="270">
        <v>0</v>
      </c>
      <c r="R4161" s="266">
        <f t="shared" si="94"/>
        <v>0</v>
      </c>
      <c r="S4161" s="48">
        <v>202303</v>
      </c>
      <c r="T4161" s="125" t="s">
        <v>4636</v>
      </c>
      <c r="U4161" s="102"/>
      <c r="V4161" s="126"/>
      <c r="W4161" s="126"/>
      <c r="X4161" s="111"/>
      <c r="Y4161" s="111"/>
    </row>
    <row r="4162" s="10" customFormat="1" customHeight="1" spans="1:25">
      <c r="A4162" s="103" t="s">
        <v>25</v>
      </c>
      <c r="B4162" s="62" t="s">
        <v>4074</v>
      </c>
      <c r="C4162" s="62" t="s">
        <v>1854</v>
      </c>
      <c r="D4162" s="62" t="s">
        <v>4178</v>
      </c>
      <c r="E4162" s="63" t="s">
        <v>5578</v>
      </c>
      <c r="F4162" s="60" t="s">
        <v>5579</v>
      </c>
      <c r="G4162" s="60" t="s">
        <v>88</v>
      </c>
      <c r="H4162" s="45" t="s">
        <v>5598</v>
      </c>
      <c r="I4162" s="47" t="e">
        <f>VLOOKUP(H4162,'合同综合查询数据（3月返）'!$A:$A,1,FALSE)</f>
        <v>#N/A</v>
      </c>
      <c r="J4162" s="48" t="s">
        <v>126</v>
      </c>
      <c r="K4162" s="60" t="s">
        <v>4631</v>
      </c>
      <c r="L4162" s="113" t="s">
        <v>4632</v>
      </c>
      <c r="M4162" s="50" t="s">
        <v>4633</v>
      </c>
      <c r="N4162" s="111">
        <v>44958</v>
      </c>
      <c r="O4162" s="62" t="s">
        <v>92</v>
      </c>
      <c r="P4162" s="266">
        <v>4000</v>
      </c>
      <c r="Q4162" s="270">
        <v>4</v>
      </c>
      <c r="R4162" s="266">
        <f t="shared" si="94"/>
        <v>16000</v>
      </c>
      <c r="S4162" s="48">
        <v>202303</v>
      </c>
      <c r="T4162" s="125" t="s">
        <v>4637</v>
      </c>
      <c r="U4162" s="102"/>
      <c r="V4162" s="126"/>
      <c r="W4162" s="126"/>
      <c r="X4162" s="111"/>
      <c r="Y4162" s="111"/>
    </row>
    <row r="4163" s="10" customFormat="1" customHeight="1" spans="1:25">
      <c r="A4163" s="103" t="s">
        <v>25</v>
      </c>
      <c r="B4163" s="62" t="s">
        <v>4074</v>
      </c>
      <c r="C4163" s="62" t="s">
        <v>44</v>
      </c>
      <c r="D4163" s="62" t="s">
        <v>4178</v>
      </c>
      <c r="E4163" s="63" t="s">
        <v>5578</v>
      </c>
      <c r="F4163" s="60" t="s">
        <v>5579</v>
      </c>
      <c r="G4163" s="60" t="s">
        <v>31</v>
      </c>
      <c r="H4163" s="45" t="s">
        <v>5598</v>
      </c>
      <c r="I4163" s="47" t="e">
        <f>VLOOKUP(H4163,'合同综合查询数据（3月返）'!$A:$A,1,FALSE)</f>
        <v>#N/A</v>
      </c>
      <c r="J4163" s="48" t="s">
        <v>33</v>
      </c>
      <c r="K4163" s="60" t="s">
        <v>264</v>
      </c>
      <c r="L4163" s="113" t="s">
        <v>4639</v>
      </c>
      <c r="M4163" s="50" t="s">
        <v>4640</v>
      </c>
      <c r="N4163" s="111">
        <v>44958</v>
      </c>
      <c r="O4163" s="62" t="s">
        <v>37</v>
      </c>
      <c r="P4163" s="299">
        <v>0</v>
      </c>
      <c r="Q4163" s="270">
        <v>288</v>
      </c>
      <c r="R4163" s="266">
        <f t="shared" si="94"/>
        <v>0</v>
      </c>
      <c r="S4163" s="48">
        <v>202303</v>
      </c>
      <c r="T4163" s="125" t="s">
        <v>4641</v>
      </c>
      <c r="U4163" s="102"/>
      <c r="V4163" s="126"/>
      <c r="W4163" s="126"/>
      <c r="X4163" s="111"/>
      <c r="Y4163" s="111"/>
    </row>
    <row r="4164" s="10" customFormat="1" customHeight="1" spans="1:25">
      <c r="A4164" s="103" t="s">
        <v>25</v>
      </c>
      <c r="B4164" s="62" t="s">
        <v>4074</v>
      </c>
      <c r="C4164" s="62" t="s">
        <v>44</v>
      </c>
      <c r="D4164" s="62" t="s">
        <v>4178</v>
      </c>
      <c r="E4164" s="63" t="s">
        <v>5578</v>
      </c>
      <c r="F4164" s="60" t="s">
        <v>5579</v>
      </c>
      <c r="G4164" s="60" t="s">
        <v>31</v>
      </c>
      <c r="H4164" s="45" t="s">
        <v>5598</v>
      </c>
      <c r="I4164" s="47" t="e">
        <f>VLOOKUP(H4164,'合同综合查询数据（3月返）'!$A:$A,1,FALSE)</f>
        <v>#N/A</v>
      </c>
      <c r="J4164" s="48" t="s">
        <v>33</v>
      </c>
      <c r="K4164" s="60" t="s">
        <v>264</v>
      </c>
      <c r="L4164" s="113" t="s">
        <v>4639</v>
      </c>
      <c r="M4164" s="50" t="s">
        <v>4640</v>
      </c>
      <c r="N4164" s="111"/>
      <c r="O4164" s="62" t="s">
        <v>152</v>
      </c>
      <c r="P4164" s="299">
        <v>0</v>
      </c>
      <c r="Q4164" s="270">
        <v>0</v>
      </c>
      <c r="R4164" s="266">
        <f t="shared" si="94"/>
        <v>0</v>
      </c>
      <c r="S4164" s="48">
        <v>202303</v>
      </c>
      <c r="T4164" s="125" t="s">
        <v>4642</v>
      </c>
      <c r="U4164" s="102"/>
      <c r="V4164" s="126"/>
      <c r="W4164" s="126"/>
      <c r="X4164" s="111"/>
      <c r="Y4164" s="111"/>
    </row>
    <row r="4165" s="10" customFormat="1" customHeight="1" spans="1:25">
      <c r="A4165" s="103" t="s">
        <v>25</v>
      </c>
      <c r="B4165" s="62" t="s">
        <v>4074</v>
      </c>
      <c r="C4165" s="62" t="s">
        <v>44</v>
      </c>
      <c r="D4165" s="62" t="s">
        <v>4178</v>
      </c>
      <c r="E4165" s="63" t="s">
        <v>5578</v>
      </c>
      <c r="F4165" s="60" t="s">
        <v>5579</v>
      </c>
      <c r="G4165" s="60" t="s">
        <v>88</v>
      </c>
      <c r="H4165" s="45" t="s">
        <v>5598</v>
      </c>
      <c r="I4165" s="47" t="e">
        <f>VLOOKUP(H4165,'合同综合查询数据（3月返）'!$A:$A,1,FALSE)</f>
        <v>#N/A</v>
      </c>
      <c r="J4165" s="48" t="s">
        <v>126</v>
      </c>
      <c r="K4165" s="60" t="s">
        <v>264</v>
      </c>
      <c r="L4165" s="113" t="s">
        <v>4639</v>
      </c>
      <c r="M4165" s="50" t="s">
        <v>4640</v>
      </c>
      <c r="N4165" s="111">
        <v>44958</v>
      </c>
      <c r="O4165" s="62" t="s">
        <v>92</v>
      </c>
      <c r="P4165" s="266">
        <v>4000</v>
      </c>
      <c r="Q4165" s="270">
        <v>5</v>
      </c>
      <c r="R4165" s="266">
        <f t="shared" si="94"/>
        <v>20000</v>
      </c>
      <c r="S4165" s="48">
        <v>202303</v>
      </c>
      <c r="T4165" s="125" t="s">
        <v>4643</v>
      </c>
      <c r="U4165" s="102"/>
      <c r="V4165" s="126"/>
      <c r="W4165" s="126"/>
      <c r="X4165" s="111"/>
      <c r="Y4165" s="111"/>
    </row>
    <row r="4166" s="10" customFormat="1" customHeight="1" spans="1:25">
      <c r="A4166" s="103" t="s">
        <v>25</v>
      </c>
      <c r="B4166" s="62" t="s">
        <v>4074</v>
      </c>
      <c r="C4166" s="62" t="s">
        <v>44</v>
      </c>
      <c r="D4166" s="62" t="s">
        <v>4178</v>
      </c>
      <c r="E4166" s="63" t="s">
        <v>5578</v>
      </c>
      <c r="F4166" s="60" t="s">
        <v>5579</v>
      </c>
      <c r="G4166" s="60" t="s">
        <v>88</v>
      </c>
      <c r="H4166" s="45" t="s">
        <v>5598</v>
      </c>
      <c r="I4166" s="47" t="e">
        <f>VLOOKUP(H4166,'合同综合查询数据（3月返）'!$A:$A,1,FALSE)</f>
        <v>#N/A</v>
      </c>
      <c r="J4166" s="48" t="s">
        <v>126</v>
      </c>
      <c r="K4166" s="60" t="s">
        <v>264</v>
      </c>
      <c r="L4166" s="113" t="s">
        <v>4639</v>
      </c>
      <c r="M4166" s="50" t="s">
        <v>4640</v>
      </c>
      <c r="N4166" s="111">
        <v>44958</v>
      </c>
      <c r="O4166" s="62" t="s">
        <v>92</v>
      </c>
      <c r="P4166" s="266">
        <v>4000</v>
      </c>
      <c r="Q4166" s="270">
        <v>1</v>
      </c>
      <c r="R4166" s="266">
        <f t="shared" si="94"/>
        <v>4000</v>
      </c>
      <c r="S4166" s="48">
        <v>202303</v>
      </c>
      <c r="T4166" s="125" t="s">
        <v>4645</v>
      </c>
      <c r="U4166" s="102"/>
      <c r="V4166" s="126"/>
      <c r="W4166" s="126"/>
      <c r="X4166" s="111"/>
      <c r="Y4166" s="111"/>
    </row>
    <row r="4167" s="10" customFormat="1" customHeight="1" spans="1:25">
      <c r="A4167" s="103" t="s">
        <v>25</v>
      </c>
      <c r="B4167" s="62" t="s">
        <v>4074</v>
      </c>
      <c r="C4167" s="62" t="s">
        <v>2998</v>
      </c>
      <c r="D4167" s="62" t="s">
        <v>4178</v>
      </c>
      <c r="E4167" s="63" t="s">
        <v>5578</v>
      </c>
      <c r="F4167" s="60" t="s">
        <v>5579</v>
      </c>
      <c r="G4167" s="60" t="s">
        <v>31</v>
      </c>
      <c r="H4167" s="45" t="s">
        <v>5598</v>
      </c>
      <c r="I4167" s="47" t="e">
        <f>VLOOKUP(H4167,'合同综合查询数据（3月返）'!$A:$A,1,FALSE)</f>
        <v>#N/A</v>
      </c>
      <c r="J4167" s="48" t="s">
        <v>33</v>
      </c>
      <c r="K4167" s="60" t="s">
        <v>3042</v>
      </c>
      <c r="L4167" s="113" t="s">
        <v>4655</v>
      </c>
      <c r="M4167" s="50" t="s">
        <v>4656</v>
      </c>
      <c r="N4167" s="111">
        <v>44958</v>
      </c>
      <c r="O4167" s="62" t="s">
        <v>37</v>
      </c>
      <c r="P4167" s="266">
        <v>0</v>
      </c>
      <c r="Q4167" s="270">
        <v>288</v>
      </c>
      <c r="R4167" s="266">
        <f t="shared" si="94"/>
        <v>0</v>
      </c>
      <c r="S4167" s="48">
        <v>202303</v>
      </c>
      <c r="T4167" s="125" t="s">
        <v>4657</v>
      </c>
      <c r="U4167" s="102"/>
      <c r="V4167" s="126"/>
      <c r="W4167" s="126"/>
      <c r="X4167" s="111"/>
      <c r="Y4167" s="111"/>
    </row>
    <row r="4168" s="10" customFormat="1" customHeight="1" spans="1:25">
      <c r="A4168" s="103" t="s">
        <v>25</v>
      </c>
      <c r="B4168" s="62" t="s">
        <v>4074</v>
      </c>
      <c r="C4168" s="62" t="s">
        <v>2998</v>
      </c>
      <c r="D4168" s="62" t="s">
        <v>4178</v>
      </c>
      <c r="E4168" s="63" t="s">
        <v>5578</v>
      </c>
      <c r="F4168" s="60" t="s">
        <v>5579</v>
      </c>
      <c r="G4168" s="60" t="s">
        <v>31</v>
      </c>
      <c r="H4168" s="45" t="s">
        <v>5598</v>
      </c>
      <c r="I4168" s="47" t="e">
        <f>VLOOKUP(H4168,'合同综合查询数据（3月返）'!$A:$A,1,FALSE)</f>
        <v>#N/A</v>
      </c>
      <c r="J4168" s="48" t="s">
        <v>33</v>
      </c>
      <c r="K4168" s="60" t="s">
        <v>3042</v>
      </c>
      <c r="L4168" s="113" t="s">
        <v>4655</v>
      </c>
      <c r="M4168" s="50" t="s">
        <v>4656</v>
      </c>
      <c r="N4168" s="111">
        <v>44958</v>
      </c>
      <c r="O4168" s="62" t="s">
        <v>37</v>
      </c>
      <c r="P4168" s="266">
        <v>0</v>
      </c>
      <c r="Q4168" s="270">
        <v>-128</v>
      </c>
      <c r="R4168" s="266">
        <f t="shared" si="94"/>
        <v>0</v>
      </c>
      <c r="S4168" s="48">
        <v>202303</v>
      </c>
      <c r="T4168" s="125" t="s">
        <v>4658</v>
      </c>
      <c r="U4168" s="102"/>
      <c r="V4168" s="126"/>
      <c r="W4168" s="126"/>
      <c r="X4168" s="111"/>
      <c r="Y4168" s="111"/>
    </row>
    <row r="4169" s="10" customFormat="1" customHeight="1" spans="1:25">
      <c r="A4169" s="103" t="s">
        <v>25</v>
      </c>
      <c r="B4169" s="62" t="s">
        <v>4074</v>
      </c>
      <c r="C4169" s="62" t="s">
        <v>2998</v>
      </c>
      <c r="D4169" s="62" t="s">
        <v>4178</v>
      </c>
      <c r="E4169" s="63" t="s">
        <v>5578</v>
      </c>
      <c r="F4169" s="60" t="s">
        <v>5579</v>
      </c>
      <c r="G4169" s="60" t="s">
        <v>88</v>
      </c>
      <c r="H4169" s="45" t="s">
        <v>5598</v>
      </c>
      <c r="I4169" s="47" t="e">
        <f>VLOOKUP(H4169,'合同综合查询数据（3月返）'!$A:$A,1,FALSE)</f>
        <v>#N/A</v>
      </c>
      <c r="J4169" s="48" t="s">
        <v>126</v>
      </c>
      <c r="K4169" s="60" t="s">
        <v>3042</v>
      </c>
      <c r="L4169" s="113" t="s">
        <v>4655</v>
      </c>
      <c r="M4169" s="50" t="s">
        <v>4656</v>
      </c>
      <c r="N4169" s="111">
        <v>44958</v>
      </c>
      <c r="O4169" s="62" t="s">
        <v>92</v>
      </c>
      <c r="P4169" s="266">
        <v>4000</v>
      </c>
      <c r="Q4169" s="270">
        <v>5</v>
      </c>
      <c r="R4169" s="266">
        <f t="shared" si="94"/>
        <v>20000</v>
      </c>
      <c r="S4169" s="48">
        <v>202303</v>
      </c>
      <c r="T4169" s="125" t="s">
        <v>4660</v>
      </c>
      <c r="U4169" s="102"/>
      <c r="V4169" s="126"/>
      <c r="W4169" s="126"/>
      <c r="X4169" s="111"/>
      <c r="Y4169" s="111"/>
    </row>
    <row r="4170" s="10" customFormat="1" customHeight="1" spans="1:25">
      <c r="A4170" s="103" t="s">
        <v>25</v>
      </c>
      <c r="B4170" s="62" t="s">
        <v>4074</v>
      </c>
      <c r="C4170" s="62" t="s">
        <v>2998</v>
      </c>
      <c r="D4170" s="62" t="s">
        <v>4178</v>
      </c>
      <c r="E4170" s="63" t="s">
        <v>5578</v>
      </c>
      <c r="F4170" s="60" t="s">
        <v>5579</v>
      </c>
      <c r="G4170" s="60" t="s">
        <v>88</v>
      </c>
      <c r="H4170" s="45" t="s">
        <v>5598</v>
      </c>
      <c r="I4170" s="47" t="e">
        <f>VLOOKUP(H4170,'合同综合查询数据（3月返）'!$A:$A,1,FALSE)</f>
        <v>#N/A</v>
      </c>
      <c r="J4170" s="48" t="s">
        <v>126</v>
      </c>
      <c r="K4170" s="60" t="s">
        <v>3042</v>
      </c>
      <c r="L4170" s="113" t="s">
        <v>4655</v>
      </c>
      <c r="M4170" s="50" t="s">
        <v>4656</v>
      </c>
      <c r="N4170" s="111">
        <v>44958</v>
      </c>
      <c r="O4170" s="62" t="s">
        <v>92</v>
      </c>
      <c r="P4170" s="266">
        <v>4000</v>
      </c>
      <c r="Q4170" s="270">
        <v>-2</v>
      </c>
      <c r="R4170" s="266">
        <f t="shared" si="94"/>
        <v>-8000</v>
      </c>
      <c r="S4170" s="48">
        <v>202303</v>
      </c>
      <c r="T4170" s="125" t="s">
        <v>4661</v>
      </c>
      <c r="U4170" s="102"/>
      <c r="V4170" s="126"/>
      <c r="W4170" s="126"/>
      <c r="X4170" s="111"/>
      <c r="Y4170" s="111"/>
    </row>
    <row r="4171" s="9" customFormat="1" customHeight="1" spans="1:25">
      <c r="A4171" s="96" t="s">
        <v>25</v>
      </c>
      <c r="B4171" s="94" t="s">
        <v>4074</v>
      </c>
      <c r="C4171" s="94" t="s">
        <v>110</v>
      </c>
      <c r="D4171" s="94" t="s">
        <v>28</v>
      </c>
      <c r="E4171" s="105" t="s">
        <v>5599</v>
      </c>
      <c r="F4171" s="96" t="s">
        <v>5600</v>
      </c>
      <c r="G4171" s="98" t="s">
        <v>31</v>
      </c>
      <c r="H4171" s="19" t="s">
        <v>5601</v>
      </c>
      <c r="I4171" s="23" t="e">
        <f>VLOOKUP(H4171,'合同综合查询数据（3月返）'!$A:$A,1,FALSE)</f>
        <v>#N/A</v>
      </c>
      <c r="J4171" s="24" t="s">
        <v>33</v>
      </c>
      <c r="K4171" s="98" t="s">
        <v>5602</v>
      </c>
      <c r="L4171" s="148" t="s">
        <v>5603</v>
      </c>
      <c r="M4171" s="26" t="s">
        <v>5604</v>
      </c>
      <c r="N4171" s="106">
        <v>44531</v>
      </c>
      <c r="O4171" s="129" t="s">
        <v>37</v>
      </c>
      <c r="P4171" s="268">
        <v>0</v>
      </c>
      <c r="Q4171" s="273">
        <v>160</v>
      </c>
      <c r="R4171" s="268">
        <f t="shared" si="94"/>
        <v>0</v>
      </c>
      <c r="S4171" s="24">
        <v>202303</v>
      </c>
      <c r="T4171" s="327" t="s">
        <v>5605</v>
      </c>
      <c r="U4171" s="97"/>
      <c r="V4171" s="128"/>
      <c r="W4171" s="128"/>
      <c r="X4171" s="106">
        <v>44531</v>
      </c>
      <c r="Y4171" s="106">
        <v>45260</v>
      </c>
    </row>
    <row r="4172" s="9" customFormat="1" customHeight="1" spans="1:25">
      <c r="A4172" s="96" t="s">
        <v>25</v>
      </c>
      <c r="B4172" s="94" t="s">
        <v>4074</v>
      </c>
      <c r="C4172" s="94" t="s">
        <v>110</v>
      </c>
      <c r="D4172" s="94" t="s">
        <v>28</v>
      </c>
      <c r="E4172" s="105" t="s">
        <v>5599</v>
      </c>
      <c r="F4172" s="96" t="s">
        <v>5600</v>
      </c>
      <c r="G4172" s="98" t="s">
        <v>31</v>
      </c>
      <c r="H4172" s="19" t="s">
        <v>5601</v>
      </c>
      <c r="I4172" s="23" t="e">
        <f>VLOOKUP(H4172,'合同综合查询数据（3月返）'!$A:$A,1,FALSE)</f>
        <v>#N/A</v>
      </c>
      <c r="J4172" s="24" t="s">
        <v>33</v>
      </c>
      <c r="K4172" s="98" t="s">
        <v>5602</v>
      </c>
      <c r="L4172" s="148" t="s">
        <v>5603</v>
      </c>
      <c r="M4172" s="26" t="s">
        <v>5604</v>
      </c>
      <c r="N4172" s="106">
        <v>44531</v>
      </c>
      <c r="O4172" s="129" t="s">
        <v>37</v>
      </c>
      <c r="P4172" s="268">
        <v>45</v>
      </c>
      <c r="Q4172" s="273">
        <v>128</v>
      </c>
      <c r="R4172" s="268">
        <f t="shared" si="94"/>
        <v>5760</v>
      </c>
      <c r="S4172" s="24">
        <v>202303</v>
      </c>
      <c r="T4172" s="327" t="s">
        <v>5605</v>
      </c>
      <c r="U4172" s="97"/>
      <c r="V4172" s="128"/>
      <c r="W4172" s="128"/>
      <c r="X4172" s="106">
        <v>44531</v>
      </c>
      <c r="Y4172" s="106">
        <v>45260</v>
      </c>
    </row>
    <row r="4173" s="9" customFormat="1" customHeight="1" spans="1:25">
      <c r="A4173" s="96" t="s">
        <v>25</v>
      </c>
      <c r="B4173" s="94" t="s">
        <v>4074</v>
      </c>
      <c r="C4173" s="94" t="s">
        <v>110</v>
      </c>
      <c r="D4173" s="94" t="s">
        <v>28</v>
      </c>
      <c r="E4173" s="105" t="s">
        <v>5599</v>
      </c>
      <c r="F4173" s="96" t="s">
        <v>5600</v>
      </c>
      <c r="G4173" s="98" t="s">
        <v>31</v>
      </c>
      <c r="H4173" s="19" t="s">
        <v>5601</v>
      </c>
      <c r="I4173" s="23" t="e">
        <f>VLOOKUP(H4173,'合同综合查询数据（3月返）'!$A:$A,1,FALSE)</f>
        <v>#N/A</v>
      </c>
      <c r="J4173" s="24" t="s">
        <v>33</v>
      </c>
      <c r="K4173" s="98" t="s">
        <v>5602</v>
      </c>
      <c r="L4173" s="148" t="s">
        <v>5603</v>
      </c>
      <c r="M4173" s="26" t="s">
        <v>5604</v>
      </c>
      <c r="N4173" s="106">
        <v>44874</v>
      </c>
      <c r="O4173" s="129" t="s">
        <v>37</v>
      </c>
      <c r="P4173" s="268">
        <v>45</v>
      </c>
      <c r="Q4173" s="273">
        <v>-128</v>
      </c>
      <c r="R4173" s="268">
        <f t="shared" si="94"/>
        <v>-5760</v>
      </c>
      <c r="S4173" s="24">
        <v>202303</v>
      </c>
      <c r="T4173" s="327" t="s">
        <v>5606</v>
      </c>
      <c r="U4173" s="97"/>
      <c r="V4173" s="128"/>
      <c r="W4173" s="128"/>
      <c r="X4173" s="106">
        <v>44531</v>
      </c>
      <c r="Y4173" s="106">
        <v>45260</v>
      </c>
    </row>
    <row r="4174" s="9" customFormat="1" customHeight="1" spans="1:25">
      <c r="A4174" s="96" t="s">
        <v>25</v>
      </c>
      <c r="B4174" s="94" t="s">
        <v>4074</v>
      </c>
      <c r="C4174" s="94" t="s">
        <v>110</v>
      </c>
      <c r="D4174" s="94" t="s">
        <v>28</v>
      </c>
      <c r="E4174" s="105" t="s">
        <v>5599</v>
      </c>
      <c r="F4174" s="96" t="s">
        <v>5600</v>
      </c>
      <c r="G4174" s="98" t="s">
        <v>31</v>
      </c>
      <c r="H4174" s="19" t="s">
        <v>5601</v>
      </c>
      <c r="I4174" s="23" t="e">
        <f>VLOOKUP(H4174,'合同综合查询数据（3月返）'!$A:$A,1,FALSE)</f>
        <v>#N/A</v>
      </c>
      <c r="J4174" s="24" t="s">
        <v>33</v>
      </c>
      <c r="K4174" s="98" t="s">
        <v>5602</v>
      </c>
      <c r="L4174" s="148" t="s">
        <v>5603</v>
      </c>
      <c r="M4174" s="26" t="s">
        <v>5604</v>
      </c>
      <c r="N4174" s="106"/>
      <c r="O4174" s="129" t="s">
        <v>152</v>
      </c>
      <c r="P4174" s="268">
        <v>0</v>
      </c>
      <c r="Q4174" s="268">
        <v>0</v>
      </c>
      <c r="R4174" s="268">
        <f t="shared" si="94"/>
        <v>0</v>
      </c>
      <c r="S4174" s="24">
        <v>202303</v>
      </c>
      <c r="T4174" s="327" t="s">
        <v>5607</v>
      </c>
      <c r="U4174" s="97"/>
      <c r="V4174" s="128"/>
      <c r="W4174" s="128"/>
      <c r="X4174" s="106">
        <v>44531</v>
      </c>
      <c r="Y4174" s="106">
        <v>45260</v>
      </c>
    </row>
    <row r="4175" s="9" customFormat="1" customHeight="1" spans="1:25">
      <c r="A4175" s="96" t="s">
        <v>25</v>
      </c>
      <c r="B4175" s="94" t="s">
        <v>4074</v>
      </c>
      <c r="C4175" s="94" t="s">
        <v>110</v>
      </c>
      <c r="D4175" s="94" t="s">
        <v>28</v>
      </c>
      <c r="E4175" s="105" t="s">
        <v>5599</v>
      </c>
      <c r="F4175" s="96" t="s">
        <v>5600</v>
      </c>
      <c r="G4175" s="96" t="s">
        <v>88</v>
      </c>
      <c r="H4175" s="19" t="s">
        <v>5601</v>
      </c>
      <c r="I4175" s="23" t="e">
        <f>VLOOKUP(H4175,'合同综合查询数据（3月返）'!$A:$A,1,FALSE)</f>
        <v>#N/A</v>
      </c>
      <c r="J4175" s="24" t="s">
        <v>126</v>
      </c>
      <c r="K4175" s="98" t="s">
        <v>5602</v>
      </c>
      <c r="L4175" s="148" t="s">
        <v>5603</v>
      </c>
      <c r="M4175" s="26" t="s">
        <v>5604</v>
      </c>
      <c r="N4175" s="106">
        <v>44531</v>
      </c>
      <c r="O4175" s="129" t="s">
        <v>92</v>
      </c>
      <c r="P4175" s="268">
        <v>3750</v>
      </c>
      <c r="Q4175" s="273">
        <v>3</v>
      </c>
      <c r="R4175" s="268">
        <f t="shared" si="94"/>
        <v>11250</v>
      </c>
      <c r="S4175" s="24">
        <v>202303</v>
      </c>
      <c r="T4175" s="327" t="s">
        <v>5608</v>
      </c>
      <c r="U4175" s="97"/>
      <c r="V4175" s="128"/>
      <c r="W4175" s="128"/>
      <c r="X4175" s="106">
        <v>44531</v>
      </c>
      <c r="Y4175" s="106">
        <v>45260</v>
      </c>
    </row>
    <row r="4176" s="10" customFormat="1" customHeight="1" spans="1:25">
      <c r="A4176" s="60" t="s">
        <v>25</v>
      </c>
      <c r="B4176" s="62" t="s">
        <v>4074</v>
      </c>
      <c r="C4176" s="62" t="s">
        <v>39</v>
      </c>
      <c r="D4176" s="62" t="s">
        <v>4178</v>
      </c>
      <c r="E4176" s="63" t="s">
        <v>5609</v>
      </c>
      <c r="F4176" s="60" t="s">
        <v>5610</v>
      </c>
      <c r="G4176" s="61" t="s">
        <v>31</v>
      </c>
      <c r="H4176" s="45" t="s">
        <v>5611</v>
      </c>
      <c r="I4176" s="47" t="e">
        <f>VLOOKUP(H4176,'合同综合查询数据（3月返）'!$A:$A,1,FALSE)</f>
        <v>#N/A</v>
      </c>
      <c r="J4176" s="48" t="s">
        <v>451</v>
      </c>
      <c r="K4176" s="61" t="s">
        <v>40</v>
      </c>
      <c r="L4176" s="338" t="s">
        <v>5612</v>
      </c>
      <c r="M4176" s="50" t="s">
        <v>5613</v>
      </c>
      <c r="N4176" s="111">
        <v>44545</v>
      </c>
      <c r="O4176" s="135" t="s">
        <v>37</v>
      </c>
      <c r="P4176" s="266">
        <v>50</v>
      </c>
      <c r="Q4176" s="270">
        <v>512</v>
      </c>
      <c r="R4176" s="266">
        <f t="shared" si="94"/>
        <v>25600</v>
      </c>
      <c r="S4176" s="48">
        <v>202303</v>
      </c>
      <c r="T4176" s="339" t="s">
        <v>5614</v>
      </c>
      <c r="U4176" s="102"/>
      <c r="V4176" s="126"/>
      <c r="W4176" s="126"/>
      <c r="X4176" s="111"/>
      <c r="Y4176" s="111"/>
    </row>
    <row r="4177" s="10" customFormat="1" customHeight="1" spans="1:25">
      <c r="A4177" s="60" t="s">
        <v>25</v>
      </c>
      <c r="B4177" s="62" t="s">
        <v>4074</v>
      </c>
      <c r="C4177" s="62" t="s">
        <v>39</v>
      </c>
      <c r="D4177" s="62" t="s">
        <v>4178</v>
      </c>
      <c r="E4177" s="63" t="s">
        <v>5609</v>
      </c>
      <c r="F4177" s="60" t="s">
        <v>5610</v>
      </c>
      <c r="G4177" s="61" t="s">
        <v>31</v>
      </c>
      <c r="H4177" s="45" t="s">
        <v>5611</v>
      </c>
      <c r="I4177" s="47" t="e">
        <f>VLOOKUP(H4177,'合同综合查询数据（3月返）'!$A:$A,1,FALSE)</f>
        <v>#N/A</v>
      </c>
      <c r="J4177" s="48" t="s">
        <v>451</v>
      </c>
      <c r="K4177" s="61" t="s">
        <v>40</v>
      </c>
      <c r="L4177" s="338" t="s">
        <v>5612</v>
      </c>
      <c r="M4177" s="50" t="s">
        <v>5613</v>
      </c>
      <c r="N4177" s="111">
        <v>44620</v>
      </c>
      <c r="O4177" s="135" t="s">
        <v>37</v>
      </c>
      <c r="P4177" s="266">
        <v>50</v>
      </c>
      <c r="Q4177" s="270">
        <v>-256</v>
      </c>
      <c r="R4177" s="266">
        <f t="shared" si="94"/>
        <v>-12800</v>
      </c>
      <c r="S4177" s="48">
        <v>202303</v>
      </c>
      <c r="T4177" s="339" t="s">
        <v>5615</v>
      </c>
      <c r="U4177" s="102"/>
      <c r="V4177" s="126"/>
      <c r="W4177" s="126"/>
      <c r="X4177" s="111"/>
      <c r="Y4177" s="111"/>
    </row>
    <row r="4178" s="10" customFormat="1" customHeight="1" spans="1:25">
      <c r="A4178" s="60" t="s">
        <v>25</v>
      </c>
      <c r="B4178" s="62" t="s">
        <v>4074</v>
      </c>
      <c r="C4178" s="62" t="s">
        <v>39</v>
      </c>
      <c r="D4178" s="62" t="s">
        <v>4178</v>
      </c>
      <c r="E4178" s="63" t="s">
        <v>5609</v>
      </c>
      <c r="F4178" s="60" t="s">
        <v>5610</v>
      </c>
      <c r="G4178" s="61" t="s">
        <v>31</v>
      </c>
      <c r="H4178" s="45" t="s">
        <v>5611</v>
      </c>
      <c r="I4178" s="47" t="e">
        <f>VLOOKUP(H4178,'合同综合查询数据（3月返）'!$A:$A,1,FALSE)</f>
        <v>#N/A</v>
      </c>
      <c r="J4178" s="48" t="s">
        <v>33</v>
      </c>
      <c r="K4178" s="61" t="s">
        <v>40</v>
      </c>
      <c r="L4178" s="338" t="s">
        <v>5612</v>
      </c>
      <c r="M4178" s="50" t="s">
        <v>5616</v>
      </c>
      <c r="N4178" s="111">
        <v>44621</v>
      </c>
      <c r="O4178" s="135" t="s">
        <v>37</v>
      </c>
      <c r="P4178" s="266">
        <v>50</v>
      </c>
      <c r="Q4178" s="270">
        <v>256</v>
      </c>
      <c r="R4178" s="266">
        <f t="shared" si="94"/>
        <v>12800</v>
      </c>
      <c r="S4178" s="48">
        <v>202303</v>
      </c>
      <c r="T4178" s="339" t="s">
        <v>5617</v>
      </c>
      <c r="U4178" s="102"/>
      <c r="V4178" s="126"/>
      <c r="W4178" s="126"/>
      <c r="X4178" s="111"/>
      <c r="Y4178" s="111"/>
    </row>
    <row r="4179" s="10" customFormat="1" customHeight="1" spans="1:25">
      <c r="A4179" s="60" t="s">
        <v>25</v>
      </c>
      <c r="B4179" s="62" t="s">
        <v>4074</v>
      </c>
      <c r="C4179" s="62" t="s">
        <v>39</v>
      </c>
      <c r="D4179" s="62" t="s">
        <v>4178</v>
      </c>
      <c r="E4179" s="63" t="s">
        <v>5609</v>
      </c>
      <c r="F4179" s="60" t="s">
        <v>5610</v>
      </c>
      <c r="G4179" s="61" t="s">
        <v>31</v>
      </c>
      <c r="H4179" s="45" t="s">
        <v>5611</v>
      </c>
      <c r="I4179" s="47" t="e">
        <f>VLOOKUP(H4179,'合同综合查询数据（3月返）'!$A:$A,1,FALSE)</f>
        <v>#N/A</v>
      </c>
      <c r="J4179" s="48" t="s">
        <v>33</v>
      </c>
      <c r="K4179" s="61" t="s">
        <v>40</v>
      </c>
      <c r="L4179" s="338" t="s">
        <v>5612</v>
      </c>
      <c r="M4179" s="50" t="s">
        <v>5616</v>
      </c>
      <c r="N4179" s="111">
        <v>44762</v>
      </c>
      <c r="O4179" s="135" t="s">
        <v>37</v>
      </c>
      <c r="P4179" s="266">
        <v>50</v>
      </c>
      <c r="Q4179" s="270">
        <v>-128</v>
      </c>
      <c r="R4179" s="266">
        <f t="shared" si="94"/>
        <v>-6400</v>
      </c>
      <c r="S4179" s="48">
        <v>202303</v>
      </c>
      <c r="T4179" s="339" t="s">
        <v>5618</v>
      </c>
      <c r="U4179" s="102"/>
      <c r="V4179" s="126"/>
      <c r="W4179" s="126"/>
      <c r="X4179" s="111"/>
      <c r="Y4179" s="111"/>
    </row>
    <row r="4180" s="10" customFormat="1" customHeight="1" spans="1:25">
      <c r="A4180" s="60" t="s">
        <v>25</v>
      </c>
      <c r="B4180" s="62" t="s">
        <v>4074</v>
      </c>
      <c r="C4180" s="62" t="s">
        <v>39</v>
      </c>
      <c r="D4180" s="62" t="s">
        <v>4178</v>
      </c>
      <c r="E4180" s="63" t="s">
        <v>5609</v>
      </c>
      <c r="F4180" s="60" t="s">
        <v>5610</v>
      </c>
      <c r="G4180" s="61" t="s">
        <v>31</v>
      </c>
      <c r="H4180" s="45" t="s">
        <v>5611</v>
      </c>
      <c r="I4180" s="47" t="e">
        <f>VLOOKUP(H4180,'合同综合查询数据（3月返）'!$A:$A,1,FALSE)</f>
        <v>#N/A</v>
      </c>
      <c r="J4180" s="48" t="s">
        <v>451</v>
      </c>
      <c r="K4180" s="61" t="s">
        <v>40</v>
      </c>
      <c r="L4180" s="338" t="s">
        <v>5612</v>
      </c>
      <c r="M4180" s="50" t="s">
        <v>5613</v>
      </c>
      <c r="N4180" s="111">
        <v>44763</v>
      </c>
      <c r="O4180" s="135" t="s">
        <v>37</v>
      </c>
      <c r="P4180" s="266">
        <v>50</v>
      </c>
      <c r="Q4180" s="270">
        <v>128</v>
      </c>
      <c r="R4180" s="266">
        <f t="shared" si="94"/>
        <v>6400</v>
      </c>
      <c r="S4180" s="48">
        <v>202303</v>
      </c>
      <c r="T4180" s="339" t="s">
        <v>5619</v>
      </c>
      <c r="U4180" s="102"/>
      <c r="V4180" s="126"/>
      <c r="W4180" s="126"/>
      <c r="X4180" s="111"/>
      <c r="Y4180" s="111"/>
    </row>
    <row r="4181" s="10" customFormat="1" customHeight="1" spans="1:25">
      <c r="A4181" s="60" t="s">
        <v>25</v>
      </c>
      <c r="B4181" s="62" t="s">
        <v>4074</v>
      </c>
      <c r="C4181" s="62" t="s">
        <v>39</v>
      </c>
      <c r="D4181" s="62" t="s">
        <v>4178</v>
      </c>
      <c r="E4181" s="63" t="s">
        <v>5609</v>
      </c>
      <c r="F4181" s="60" t="s">
        <v>5610</v>
      </c>
      <c r="G4181" s="61" t="s">
        <v>31</v>
      </c>
      <c r="H4181" s="45" t="s">
        <v>5611</v>
      </c>
      <c r="I4181" s="47" t="e">
        <f>VLOOKUP(H4181,'合同综合查询数据（3月返）'!$A:$A,1,FALSE)</f>
        <v>#N/A</v>
      </c>
      <c r="J4181" s="48" t="s">
        <v>451</v>
      </c>
      <c r="K4181" s="61" t="s">
        <v>40</v>
      </c>
      <c r="L4181" s="338" t="s">
        <v>5612</v>
      </c>
      <c r="M4181" s="50" t="s">
        <v>5613</v>
      </c>
      <c r="N4181" s="111">
        <v>44545</v>
      </c>
      <c r="O4181" s="135" t="s">
        <v>152</v>
      </c>
      <c r="P4181" s="266">
        <v>0</v>
      </c>
      <c r="Q4181" s="270">
        <v>1</v>
      </c>
      <c r="R4181" s="266">
        <f t="shared" si="94"/>
        <v>0</v>
      </c>
      <c r="S4181" s="48">
        <v>202303</v>
      </c>
      <c r="T4181" s="339" t="s">
        <v>5620</v>
      </c>
      <c r="U4181" s="102"/>
      <c r="V4181" s="126"/>
      <c r="W4181" s="126"/>
      <c r="X4181" s="111"/>
      <c r="Y4181" s="111"/>
    </row>
    <row r="4182" s="10" customFormat="1" customHeight="1" spans="1:25">
      <c r="A4182" s="60" t="s">
        <v>129</v>
      </c>
      <c r="B4182" s="62" t="s">
        <v>4074</v>
      </c>
      <c r="C4182" s="62" t="s">
        <v>39</v>
      </c>
      <c r="D4182" s="62" t="s">
        <v>4178</v>
      </c>
      <c r="E4182" s="63" t="s">
        <v>5609</v>
      </c>
      <c r="F4182" s="60" t="s">
        <v>5610</v>
      </c>
      <c r="G4182" s="61" t="s">
        <v>31</v>
      </c>
      <c r="H4182" s="45" t="s">
        <v>5611</v>
      </c>
      <c r="I4182" s="47" t="e">
        <f>VLOOKUP(H4182,'合同综合查询数据（3月返）'!$A:$A,1,FALSE)</f>
        <v>#N/A</v>
      </c>
      <c r="J4182" s="48" t="s">
        <v>451</v>
      </c>
      <c r="K4182" s="61" t="s">
        <v>40</v>
      </c>
      <c r="L4182" s="338" t="s">
        <v>5621</v>
      </c>
      <c r="M4182" s="50" t="s">
        <v>5613</v>
      </c>
      <c r="N4182" s="111">
        <v>44545</v>
      </c>
      <c r="O4182" s="135" t="s">
        <v>37</v>
      </c>
      <c r="P4182" s="266">
        <v>50</v>
      </c>
      <c r="Q4182" s="270">
        <v>512</v>
      </c>
      <c r="R4182" s="266">
        <f t="shared" si="94"/>
        <v>25600</v>
      </c>
      <c r="S4182" s="48">
        <v>202303</v>
      </c>
      <c r="T4182" s="339" t="s">
        <v>5622</v>
      </c>
      <c r="U4182" s="102"/>
      <c r="V4182" s="126"/>
      <c r="W4182" s="126"/>
      <c r="X4182" s="111"/>
      <c r="Y4182" s="111"/>
    </row>
    <row r="4183" s="10" customFormat="1" customHeight="1" spans="1:25">
      <c r="A4183" s="60" t="s">
        <v>129</v>
      </c>
      <c r="B4183" s="62" t="s">
        <v>4074</v>
      </c>
      <c r="C4183" s="62" t="s">
        <v>39</v>
      </c>
      <c r="D4183" s="62" t="s">
        <v>4178</v>
      </c>
      <c r="E4183" s="63" t="s">
        <v>5609</v>
      </c>
      <c r="F4183" s="60" t="s">
        <v>5610</v>
      </c>
      <c r="G4183" s="61" t="s">
        <v>31</v>
      </c>
      <c r="H4183" s="45" t="s">
        <v>5611</v>
      </c>
      <c r="I4183" s="47" t="e">
        <f>VLOOKUP(H4183,'合同综合查询数据（3月返）'!$A:$A,1,FALSE)</f>
        <v>#N/A</v>
      </c>
      <c r="J4183" s="48" t="s">
        <v>451</v>
      </c>
      <c r="K4183" s="61" t="s">
        <v>40</v>
      </c>
      <c r="L4183" s="338" t="s">
        <v>5621</v>
      </c>
      <c r="M4183" s="50" t="s">
        <v>5613</v>
      </c>
      <c r="N4183" s="111">
        <v>44742</v>
      </c>
      <c r="O4183" s="135" t="s">
        <v>37</v>
      </c>
      <c r="P4183" s="266">
        <v>50</v>
      </c>
      <c r="Q4183" s="270">
        <v>-256</v>
      </c>
      <c r="R4183" s="266">
        <f t="shared" si="94"/>
        <v>-12800</v>
      </c>
      <c r="S4183" s="48">
        <v>202303</v>
      </c>
      <c r="T4183" s="339" t="s">
        <v>5623</v>
      </c>
      <c r="U4183" s="102"/>
      <c r="V4183" s="126"/>
      <c r="W4183" s="126"/>
      <c r="X4183" s="111"/>
      <c r="Y4183" s="111"/>
    </row>
    <row r="4184" s="10" customFormat="1" customHeight="1" spans="1:25">
      <c r="A4184" s="60" t="s">
        <v>129</v>
      </c>
      <c r="B4184" s="62" t="s">
        <v>4074</v>
      </c>
      <c r="C4184" s="62" t="s">
        <v>39</v>
      </c>
      <c r="D4184" s="62" t="s">
        <v>4178</v>
      </c>
      <c r="E4184" s="63" t="s">
        <v>5609</v>
      </c>
      <c r="F4184" s="60" t="s">
        <v>5610</v>
      </c>
      <c r="G4184" s="61" t="s">
        <v>31</v>
      </c>
      <c r="H4184" s="45" t="s">
        <v>5611</v>
      </c>
      <c r="I4184" s="47" t="e">
        <f>VLOOKUP(H4184,'合同综合查询数据（3月返）'!$A:$A,1,FALSE)</f>
        <v>#N/A</v>
      </c>
      <c r="J4184" s="48" t="s">
        <v>33</v>
      </c>
      <c r="K4184" s="61" t="s">
        <v>40</v>
      </c>
      <c r="L4184" s="338" t="s">
        <v>5621</v>
      </c>
      <c r="M4184" s="50" t="s">
        <v>5616</v>
      </c>
      <c r="N4184" s="111">
        <v>44743</v>
      </c>
      <c r="O4184" s="135" t="s">
        <v>37</v>
      </c>
      <c r="P4184" s="266">
        <v>50</v>
      </c>
      <c r="Q4184" s="270">
        <v>256</v>
      </c>
      <c r="R4184" s="266">
        <f t="shared" si="94"/>
        <v>12800</v>
      </c>
      <c r="S4184" s="48">
        <v>202303</v>
      </c>
      <c r="T4184" s="339" t="s">
        <v>5624</v>
      </c>
      <c r="U4184" s="102"/>
      <c r="V4184" s="126"/>
      <c r="W4184" s="126"/>
      <c r="X4184" s="111"/>
      <c r="Y4184" s="111"/>
    </row>
    <row r="4185" s="10" customFormat="1" customHeight="1" spans="1:25">
      <c r="A4185" s="60" t="s">
        <v>129</v>
      </c>
      <c r="B4185" s="62" t="s">
        <v>4074</v>
      </c>
      <c r="C4185" s="62" t="s">
        <v>39</v>
      </c>
      <c r="D4185" s="62" t="s">
        <v>4178</v>
      </c>
      <c r="E4185" s="63" t="s">
        <v>5609</v>
      </c>
      <c r="F4185" s="60" t="s">
        <v>5610</v>
      </c>
      <c r="G4185" s="61" t="s">
        <v>31</v>
      </c>
      <c r="H4185" s="45" t="s">
        <v>5611</v>
      </c>
      <c r="I4185" s="47" t="e">
        <f>VLOOKUP(H4185,'合同综合查询数据（3月返）'!$A:$A,1,FALSE)</f>
        <v>#N/A</v>
      </c>
      <c r="J4185" s="48" t="s">
        <v>33</v>
      </c>
      <c r="K4185" s="61" t="s">
        <v>40</v>
      </c>
      <c r="L4185" s="338" t="s">
        <v>5621</v>
      </c>
      <c r="M4185" s="50" t="s">
        <v>5616</v>
      </c>
      <c r="N4185" s="111">
        <v>44762</v>
      </c>
      <c r="O4185" s="135" t="s">
        <v>37</v>
      </c>
      <c r="P4185" s="266">
        <v>50</v>
      </c>
      <c r="Q4185" s="270">
        <v>-128</v>
      </c>
      <c r="R4185" s="266">
        <f t="shared" si="94"/>
        <v>-6400</v>
      </c>
      <c r="S4185" s="48">
        <v>202303</v>
      </c>
      <c r="T4185" s="339" t="s">
        <v>5625</v>
      </c>
      <c r="U4185" s="102"/>
      <c r="V4185" s="126"/>
      <c r="W4185" s="126"/>
      <c r="X4185" s="111"/>
      <c r="Y4185" s="111"/>
    </row>
    <row r="4186" s="10" customFormat="1" customHeight="1" spans="1:25">
      <c r="A4186" s="60" t="s">
        <v>129</v>
      </c>
      <c r="B4186" s="62" t="s">
        <v>4074</v>
      </c>
      <c r="C4186" s="62" t="s">
        <v>39</v>
      </c>
      <c r="D4186" s="62" t="s">
        <v>4178</v>
      </c>
      <c r="E4186" s="63" t="s">
        <v>5609</v>
      </c>
      <c r="F4186" s="60" t="s">
        <v>5610</v>
      </c>
      <c r="G4186" s="61" t="s">
        <v>31</v>
      </c>
      <c r="H4186" s="45" t="s">
        <v>5611</v>
      </c>
      <c r="I4186" s="47" t="e">
        <f>VLOOKUP(H4186,'合同综合查询数据（3月返）'!$A:$A,1,FALSE)</f>
        <v>#N/A</v>
      </c>
      <c r="J4186" s="48" t="s">
        <v>451</v>
      </c>
      <c r="K4186" s="61" t="s">
        <v>40</v>
      </c>
      <c r="L4186" s="338" t="s">
        <v>5621</v>
      </c>
      <c r="M4186" s="50" t="s">
        <v>5613</v>
      </c>
      <c r="N4186" s="111">
        <v>44763</v>
      </c>
      <c r="O4186" s="135" t="s">
        <v>37</v>
      </c>
      <c r="P4186" s="266">
        <v>50</v>
      </c>
      <c r="Q4186" s="270">
        <v>128</v>
      </c>
      <c r="R4186" s="266">
        <f t="shared" si="94"/>
        <v>6400</v>
      </c>
      <c r="S4186" s="48">
        <v>202303</v>
      </c>
      <c r="T4186" s="339" t="s">
        <v>5626</v>
      </c>
      <c r="U4186" s="102"/>
      <c r="V4186" s="126"/>
      <c r="W4186" s="126"/>
      <c r="X4186" s="111"/>
      <c r="Y4186" s="111"/>
    </row>
    <row r="4187" s="10" customFormat="1" customHeight="1" spans="1:25">
      <c r="A4187" s="60" t="s">
        <v>129</v>
      </c>
      <c r="B4187" s="62" t="s">
        <v>4074</v>
      </c>
      <c r="C4187" s="62" t="s">
        <v>39</v>
      </c>
      <c r="D4187" s="62" t="s">
        <v>4178</v>
      </c>
      <c r="E4187" s="63" t="s">
        <v>5609</v>
      </c>
      <c r="F4187" s="60" t="s">
        <v>5610</v>
      </c>
      <c r="G4187" s="61" t="s">
        <v>31</v>
      </c>
      <c r="H4187" s="45" t="s">
        <v>5611</v>
      </c>
      <c r="I4187" s="47" t="e">
        <f>VLOOKUP(H4187,'合同综合查询数据（3月返）'!$A:$A,1,FALSE)</f>
        <v>#N/A</v>
      </c>
      <c r="J4187" s="48" t="s">
        <v>451</v>
      </c>
      <c r="K4187" s="61" t="s">
        <v>40</v>
      </c>
      <c r="L4187" s="338" t="s">
        <v>5621</v>
      </c>
      <c r="M4187" s="50" t="s">
        <v>5613</v>
      </c>
      <c r="N4187" s="111">
        <v>44545</v>
      </c>
      <c r="O4187" s="135" t="s">
        <v>152</v>
      </c>
      <c r="P4187" s="266">
        <v>0</v>
      </c>
      <c r="Q4187" s="270">
        <v>1</v>
      </c>
      <c r="R4187" s="266">
        <f t="shared" si="94"/>
        <v>0</v>
      </c>
      <c r="S4187" s="48">
        <v>202303</v>
      </c>
      <c r="T4187" s="339" t="s">
        <v>5627</v>
      </c>
      <c r="U4187" s="102"/>
      <c r="V4187" s="126"/>
      <c r="W4187" s="126"/>
      <c r="X4187" s="111"/>
      <c r="Y4187" s="111"/>
    </row>
    <row r="4188" s="10" customFormat="1" customHeight="1" spans="1:25">
      <c r="A4188" s="60" t="s">
        <v>109</v>
      </c>
      <c r="B4188" s="62" t="s">
        <v>4074</v>
      </c>
      <c r="C4188" s="62" t="s">
        <v>39</v>
      </c>
      <c r="D4188" s="62" t="s">
        <v>4178</v>
      </c>
      <c r="E4188" s="63" t="s">
        <v>5609</v>
      </c>
      <c r="F4188" s="60" t="s">
        <v>5610</v>
      </c>
      <c r="G4188" s="61" t="s">
        <v>31</v>
      </c>
      <c r="H4188" s="45" t="s">
        <v>5611</v>
      </c>
      <c r="I4188" s="47" t="e">
        <f>VLOOKUP(H4188,'合同综合查询数据（3月返）'!$A:$A,1,FALSE)</f>
        <v>#N/A</v>
      </c>
      <c r="J4188" s="48" t="s">
        <v>451</v>
      </c>
      <c r="K4188" s="61" t="s">
        <v>40</v>
      </c>
      <c r="L4188" s="338" t="s">
        <v>5628</v>
      </c>
      <c r="M4188" s="50" t="s">
        <v>5613</v>
      </c>
      <c r="N4188" s="111">
        <v>44545</v>
      </c>
      <c r="O4188" s="135" t="s">
        <v>37</v>
      </c>
      <c r="P4188" s="266">
        <v>50</v>
      </c>
      <c r="Q4188" s="270">
        <v>512</v>
      </c>
      <c r="R4188" s="266">
        <f t="shared" si="94"/>
        <v>25600</v>
      </c>
      <c r="S4188" s="48">
        <v>202303</v>
      </c>
      <c r="T4188" s="339" t="s">
        <v>5629</v>
      </c>
      <c r="U4188" s="102"/>
      <c r="V4188" s="126"/>
      <c r="W4188" s="126"/>
      <c r="X4188" s="111"/>
      <c r="Y4188" s="111"/>
    </row>
    <row r="4189" s="10" customFormat="1" customHeight="1" spans="1:25">
      <c r="A4189" s="60" t="s">
        <v>109</v>
      </c>
      <c r="B4189" s="62" t="s">
        <v>4074</v>
      </c>
      <c r="C4189" s="62" t="s">
        <v>39</v>
      </c>
      <c r="D4189" s="62" t="s">
        <v>4178</v>
      </c>
      <c r="E4189" s="63" t="s">
        <v>5609</v>
      </c>
      <c r="F4189" s="60" t="s">
        <v>5610</v>
      </c>
      <c r="G4189" s="61" t="s">
        <v>31</v>
      </c>
      <c r="H4189" s="45" t="s">
        <v>5611</v>
      </c>
      <c r="I4189" s="47" t="e">
        <f>VLOOKUP(H4189,'合同综合查询数据（3月返）'!$A:$A,1,FALSE)</f>
        <v>#N/A</v>
      </c>
      <c r="J4189" s="48" t="s">
        <v>451</v>
      </c>
      <c r="K4189" s="61" t="s">
        <v>40</v>
      </c>
      <c r="L4189" s="338" t="s">
        <v>5628</v>
      </c>
      <c r="M4189" s="50" t="s">
        <v>5613</v>
      </c>
      <c r="N4189" s="111">
        <v>44620</v>
      </c>
      <c r="O4189" s="135" t="s">
        <v>37</v>
      </c>
      <c r="P4189" s="266">
        <v>50</v>
      </c>
      <c r="Q4189" s="270">
        <v>-256</v>
      </c>
      <c r="R4189" s="266">
        <f t="shared" si="94"/>
        <v>-12800</v>
      </c>
      <c r="S4189" s="48">
        <v>202303</v>
      </c>
      <c r="T4189" s="339" t="s">
        <v>5630</v>
      </c>
      <c r="U4189" s="102"/>
      <c r="V4189" s="126"/>
      <c r="W4189" s="126"/>
      <c r="X4189" s="111"/>
      <c r="Y4189" s="111"/>
    </row>
    <row r="4190" s="10" customFormat="1" customHeight="1" spans="1:25">
      <c r="A4190" s="60" t="s">
        <v>109</v>
      </c>
      <c r="B4190" s="62" t="s">
        <v>4074</v>
      </c>
      <c r="C4190" s="62" t="s">
        <v>39</v>
      </c>
      <c r="D4190" s="62" t="s">
        <v>4178</v>
      </c>
      <c r="E4190" s="63" t="s">
        <v>5609</v>
      </c>
      <c r="F4190" s="60" t="s">
        <v>5610</v>
      </c>
      <c r="G4190" s="61" t="s">
        <v>31</v>
      </c>
      <c r="H4190" s="45" t="s">
        <v>5611</v>
      </c>
      <c r="I4190" s="47" t="e">
        <f>VLOOKUP(H4190,'合同综合查询数据（3月返）'!$A:$A,1,FALSE)</f>
        <v>#N/A</v>
      </c>
      <c r="J4190" s="48" t="s">
        <v>33</v>
      </c>
      <c r="K4190" s="61" t="s">
        <v>40</v>
      </c>
      <c r="L4190" s="338" t="s">
        <v>5628</v>
      </c>
      <c r="M4190" s="50" t="s">
        <v>5616</v>
      </c>
      <c r="N4190" s="111">
        <v>44621</v>
      </c>
      <c r="O4190" s="135" t="s">
        <v>37</v>
      </c>
      <c r="P4190" s="266">
        <v>50</v>
      </c>
      <c r="Q4190" s="270">
        <v>256</v>
      </c>
      <c r="R4190" s="266">
        <f t="shared" si="94"/>
        <v>12800</v>
      </c>
      <c r="S4190" s="48">
        <v>202303</v>
      </c>
      <c r="T4190" s="339" t="s">
        <v>5631</v>
      </c>
      <c r="U4190" s="102"/>
      <c r="V4190" s="126"/>
      <c r="W4190" s="126"/>
      <c r="X4190" s="111"/>
      <c r="Y4190" s="111"/>
    </row>
    <row r="4191" s="10" customFormat="1" customHeight="1" spans="1:25">
      <c r="A4191" s="60" t="s">
        <v>109</v>
      </c>
      <c r="B4191" s="62" t="s">
        <v>4074</v>
      </c>
      <c r="C4191" s="62" t="s">
        <v>39</v>
      </c>
      <c r="D4191" s="62" t="s">
        <v>4178</v>
      </c>
      <c r="E4191" s="63" t="s">
        <v>5609</v>
      </c>
      <c r="F4191" s="60" t="s">
        <v>5610</v>
      </c>
      <c r="G4191" s="61" t="s">
        <v>31</v>
      </c>
      <c r="H4191" s="45" t="s">
        <v>5611</v>
      </c>
      <c r="I4191" s="47" t="e">
        <f>VLOOKUP(H4191,'合同综合查询数据（3月返）'!$A:$A,1,FALSE)</f>
        <v>#N/A</v>
      </c>
      <c r="J4191" s="48" t="s">
        <v>33</v>
      </c>
      <c r="K4191" s="61" t="s">
        <v>40</v>
      </c>
      <c r="L4191" s="338" t="s">
        <v>5628</v>
      </c>
      <c r="M4191" s="50" t="s">
        <v>5616</v>
      </c>
      <c r="N4191" s="111">
        <v>44762</v>
      </c>
      <c r="O4191" s="135" t="s">
        <v>37</v>
      </c>
      <c r="P4191" s="266">
        <v>50</v>
      </c>
      <c r="Q4191" s="270">
        <v>-128</v>
      </c>
      <c r="R4191" s="266">
        <f t="shared" si="94"/>
        <v>-6400</v>
      </c>
      <c r="S4191" s="48">
        <v>202303</v>
      </c>
      <c r="T4191" s="339" t="s">
        <v>5632</v>
      </c>
      <c r="U4191" s="102"/>
      <c r="V4191" s="126"/>
      <c r="W4191" s="126"/>
      <c r="X4191" s="111"/>
      <c r="Y4191" s="111"/>
    </row>
    <row r="4192" s="10" customFormat="1" customHeight="1" spans="1:25">
      <c r="A4192" s="60" t="s">
        <v>109</v>
      </c>
      <c r="B4192" s="62" t="s">
        <v>4074</v>
      </c>
      <c r="C4192" s="62" t="s">
        <v>39</v>
      </c>
      <c r="D4192" s="62" t="s">
        <v>4178</v>
      </c>
      <c r="E4192" s="63" t="s">
        <v>5609</v>
      </c>
      <c r="F4192" s="60" t="s">
        <v>5610</v>
      </c>
      <c r="G4192" s="61" t="s">
        <v>31</v>
      </c>
      <c r="H4192" s="45" t="s">
        <v>5611</v>
      </c>
      <c r="I4192" s="47" t="e">
        <f>VLOOKUP(H4192,'合同综合查询数据（3月返）'!$A:$A,1,FALSE)</f>
        <v>#N/A</v>
      </c>
      <c r="J4192" s="48" t="s">
        <v>451</v>
      </c>
      <c r="K4192" s="61" t="s">
        <v>40</v>
      </c>
      <c r="L4192" s="338" t="s">
        <v>5628</v>
      </c>
      <c r="M4192" s="50" t="s">
        <v>5613</v>
      </c>
      <c r="N4192" s="111">
        <v>44763</v>
      </c>
      <c r="O4192" s="135" t="s">
        <v>37</v>
      </c>
      <c r="P4192" s="266">
        <v>50</v>
      </c>
      <c r="Q4192" s="270">
        <v>128</v>
      </c>
      <c r="R4192" s="266">
        <f t="shared" si="94"/>
        <v>6400</v>
      </c>
      <c r="S4192" s="48">
        <v>202303</v>
      </c>
      <c r="T4192" s="339" t="s">
        <v>5633</v>
      </c>
      <c r="U4192" s="102"/>
      <c r="V4192" s="126"/>
      <c r="W4192" s="126"/>
      <c r="X4192" s="111"/>
      <c r="Y4192" s="111"/>
    </row>
    <row r="4193" s="10" customFormat="1" customHeight="1" spans="1:25">
      <c r="A4193" s="60" t="s">
        <v>109</v>
      </c>
      <c r="B4193" s="62" t="s">
        <v>4074</v>
      </c>
      <c r="C4193" s="62" t="s">
        <v>39</v>
      </c>
      <c r="D4193" s="62" t="s">
        <v>4178</v>
      </c>
      <c r="E4193" s="63" t="s">
        <v>5609</v>
      </c>
      <c r="F4193" s="60" t="s">
        <v>5610</v>
      </c>
      <c r="G4193" s="61" t="s">
        <v>31</v>
      </c>
      <c r="H4193" s="45" t="s">
        <v>5611</v>
      </c>
      <c r="I4193" s="47" t="e">
        <f>VLOOKUP(H4193,'合同综合查询数据（3月返）'!$A:$A,1,FALSE)</f>
        <v>#N/A</v>
      </c>
      <c r="J4193" s="48" t="s">
        <v>451</v>
      </c>
      <c r="K4193" s="61" t="s">
        <v>40</v>
      </c>
      <c r="L4193" s="338" t="s">
        <v>5628</v>
      </c>
      <c r="M4193" s="50" t="s">
        <v>5613</v>
      </c>
      <c r="N4193" s="111">
        <v>44545</v>
      </c>
      <c r="O4193" s="135" t="s">
        <v>152</v>
      </c>
      <c r="P4193" s="266">
        <v>0</v>
      </c>
      <c r="Q4193" s="270">
        <v>1</v>
      </c>
      <c r="R4193" s="266">
        <f t="shared" si="94"/>
        <v>0</v>
      </c>
      <c r="S4193" s="48">
        <v>202303</v>
      </c>
      <c r="T4193" s="339" t="s">
        <v>5634</v>
      </c>
      <c r="U4193" s="102"/>
      <c r="V4193" s="126"/>
      <c r="W4193" s="126"/>
      <c r="X4193" s="111"/>
      <c r="Y4193" s="111"/>
    </row>
    <row r="4194" s="10" customFormat="1" customHeight="1" spans="1:25">
      <c r="A4194" s="60" t="s">
        <v>109</v>
      </c>
      <c r="B4194" s="62" t="s">
        <v>4074</v>
      </c>
      <c r="C4194" s="62" t="s">
        <v>39</v>
      </c>
      <c r="D4194" s="62" t="s">
        <v>4178</v>
      </c>
      <c r="E4194" s="63" t="s">
        <v>5609</v>
      </c>
      <c r="F4194" s="60" t="s">
        <v>5610</v>
      </c>
      <c r="G4194" s="61" t="s">
        <v>88</v>
      </c>
      <c r="H4194" s="45" t="s">
        <v>5635</v>
      </c>
      <c r="I4194" s="47" t="e">
        <f>VLOOKUP(H4194,'合同综合查询数据（3月返）'!$A:$A,1,FALSE)</f>
        <v>#N/A</v>
      </c>
      <c r="J4194" s="48" t="s">
        <v>126</v>
      </c>
      <c r="K4194" s="61" t="s">
        <v>40</v>
      </c>
      <c r="L4194" s="338" t="s">
        <v>5636</v>
      </c>
      <c r="M4194" s="50" t="s">
        <v>5616</v>
      </c>
      <c r="N4194" s="111">
        <v>44621</v>
      </c>
      <c r="O4194" s="135" t="s">
        <v>457</v>
      </c>
      <c r="P4194" s="266">
        <v>5000</v>
      </c>
      <c r="Q4194" s="270">
        <v>4</v>
      </c>
      <c r="R4194" s="266">
        <f t="shared" si="94"/>
        <v>20000</v>
      </c>
      <c r="S4194" s="48">
        <v>202303</v>
      </c>
      <c r="T4194" s="339" t="s">
        <v>5637</v>
      </c>
      <c r="U4194" s="102"/>
      <c r="V4194" s="126"/>
      <c r="W4194" s="126"/>
      <c r="X4194" s="111"/>
      <c r="Y4194" s="111"/>
    </row>
    <row r="4195" s="9" customFormat="1" customHeight="1" spans="1:25">
      <c r="A4195" s="96" t="s">
        <v>129</v>
      </c>
      <c r="B4195" s="94" t="s">
        <v>4074</v>
      </c>
      <c r="C4195" s="94" t="s">
        <v>130</v>
      </c>
      <c r="D4195" s="94" t="s">
        <v>4178</v>
      </c>
      <c r="E4195" s="105" t="s">
        <v>4128</v>
      </c>
      <c r="F4195" s="96" t="s">
        <v>4129</v>
      </c>
      <c r="G4195" s="98" t="s">
        <v>31</v>
      </c>
      <c r="H4195" s="19" t="s">
        <v>5638</v>
      </c>
      <c r="I4195" s="23" t="e">
        <f>VLOOKUP(H4195,'合同综合查询数据（3月返）'!$A:$A,1,FALSE)</f>
        <v>#N/A</v>
      </c>
      <c r="J4195" s="24" t="s">
        <v>33</v>
      </c>
      <c r="K4195" s="98" t="s">
        <v>132</v>
      </c>
      <c r="L4195" s="148" t="s">
        <v>5639</v>
      </c>
      <c r="M4195" s="26" t="s">
        <v>5640</v>
      </c>
      <c r="N4195" s="106">
        <v>44562</v>
      </c>
      <c r="O4195" s="129" t="s">
        <v>37</v>
      </c>
      <c r="P4195" s="268">
        <v>0</v>
      </c>
      <c r="Q4195" s="273">
        <v>320</v>
      </c>
      <c r="R4195" s="268">
        <f t="shared" si="94"/>
        <v>0</v>
      </c>
      <c r="S4195" s="24">
        <v>202303</v>
      </c>
      <c r="T4195" s="327" t="s">
        <v>5641</v>
      </c>
      <c r="U4195" s="97"/>
      <c r="V4195" s="128"/>
      <c r="W4195" s="128"/>
      <c r="X4195" s="106">
        <v>44652</v>
      </c>
      <c r="Y4195" s="106">
        <v>44681</v>
      </c>
    </row>
    <row r="4196" s="9" customFormat="1" customHeight="1" spans="1:25">
      <c r="A4196" s="96" t="s">
        <v>129</v>
      </c>
      <c r="B4196" s="94" t="s">
        <v>4074</v>
      </c>
      <c r="C4196" s="94" t="s">
        <v>130</v>
      </c>
      <c r="D4196" s="94" t="s">
        <v>4178</v>
      </c>
      <c r="E4196" s="105" t="s">
        <v>4128</v>
      </c>
      <c r="F4196" s="96" t="s">
        <v>4129</v>
      </c>
      <c r="G4196" s="98" t="s">
        <v>31</v>
      </c>
      <c r="H4196" s="19" t="s">
        <v>5638</v>
      </c>
      <c r="I4196" s="23" t="e">
        <f>VLOOKUP(H4196,'合同综合查询数据（3月返）'!$A:$A,1,FALSE)</f>
        <v>#N/A</v>
      </c>
      <c r="J4196" s="24" t="s">
        <v>33</v>
      </c>
      <c r="K4196" s="98" t="s">
        <v>132</v>
      </c>
      <c r="L4196" s="148" t="s">
        <v>5639</v>
      </c>
      <c r="M4196" s="26" t="s">
        <v>5640</v>
      </c>
      <c r="N4196" s="106"/>
      <c r="O4196" s="129" t="s">
        <v>152</v>
      </c>
      <c r="P4196" s="268">
        <v>0</v>
      </c>
      <c r="Q4196" s="268">
        <v>0</v>
      </c>
      <c r="R4196" s="268">
        <f t="shared" ref="R4196:R4239" si="95">ROUND(P4196*Q4196,2)</f>
        <v>0</v>
      </c>
      <c r="S4196" s="24">
        <v>202303</v>
      </c>
      <c r="T4196" s="327" t="s">
        <v>5642</v>
      </c>
      <c r="U4196" s="97"/>
      <c r="V4196" s="128"/>
      <c r="W4196" s="128"/>
      <c r="X4196" s="106">
        <v>44652</v>
      </c>
      <c r="Y4196" s="106">
        <v>44681</v>
      </c>
    </row>
    <row r="4197" s="9" customFormat="1" customHeight="1" spans="1:25">
      <c r="A4197" s="96" t="s">
        <v>129</v>
      </c>
      <c r="B4197" s="94" t="s">
        <v>4074</v>
      </c>
      <c r="C4197" s="94" t="s">
        <v>130</v>
      </c>
      <c r="D4197" s="94" t="s">
        <v>4178</v>
      </c>
      <c r="E4197" s="105" t="s">
        <v>4128</v>
      </c>
      <c r="F4197" s="96" t="s">
        <v>4129</v>
      </c>
      <c r="G4197" s="96" t="s">
        <v>88</v>
      </c>
      <c r="H4197" s="19" t="s">
        <v>5638</v>
      </c>
      <c r="I4197" s="23" t="e">
        <f>VLOOKUP(H4197,'合同综合查询数据（3月返）'!$A:$A,1,FALSE)</f>
        <v>#N/A</v>
      </c>
      <c r="J4197" s="24" t="s">
        <v>126</v>
      </c>
      <c r="K4197" s="98" t="s">
        <v>132</v>
      </c>
      <c r="L4197" s="148" t="s">
        <v>5639</v>
      </c>
      <c r="M4197" s="26" t="s">
        <v>5640</v>
      </c>
      <c r="N4197" s="106">
        <v>44562</v>
      </c>
      <c r="O4197" s="129" t="s">
        <v>127</v>
      </c>
      <c r="P4197" s="268">
        <v>4000</v>
      </c>
      <c r="Q4197" s="273">
        <v>3</v>
      </c>
      <c r="R4197" s="268">
        <f t="shared" si="95"/>
        <v>12000</v>
      </c>
      <c r="S4197" s="24">
        <v>202303</v>
      </c>
      <c r="T4197" s="327" t="s">
        <v>5643</v>
      </c>
      <c r="U4197" s="97"/>
      <c r="V4197" s="128"/>
      <c r="W4197" s="128"/>
      <c r="X4197" s="106">
        <v>44652</v>
      </c>
      <c r="Y4197" s="106">
        <v>44681</v>
      </c>
    </row>
    <row r="4198" s="9" customFormat="1" customHeight="1" spans="1:25">
      <c r="A4198" s="96" t="s">
        <v>129</v>
      </c>
      <c r="B4198" s="94" t="s">
        <v>4074</v>
      </c>
      <c r="C4198" s="94" t="s">
        <v>130</v>
      </c>
      <c r="D4198" s="94" t="s">
        <v>4178</v>
      </c>
      <c r="E4198" s="105" t="s">
        <v>4128</v>
      </c>
      <c r="F4198" s="96" t="s">
        <v>4129</v>
      </c>
      <c r="G4198" s="96" t="s">
        <v>88</v>
      </c>
      <c r="H4198" s="19" t="s">
        <v>5638</v>
      </c>
      <c r="I4198" s="23" t="e">
        <f>VLOOKUP(H4198,'合同综合查询数据（3月返）'!$A:$A,1,FALSE)</f>
        <v>#N/A</v>
      </c>
      <c r="J4198" s="24" t="s">
        <v>126</v>
      </c>
      <c r="K4198" s="98" t="s">
        <v>132</v>
      </c>
      <c r="L4198" s="148" t="s">
        <v>5639</v>
      </c>
      <c r="M4198" s="26" t="s">
        <v>5640</v>
      </c>
      <c r="N4198" s="106">
        <v>44669</v>
      </c>
      <c r="O4198" s="129" t="s">
        <v>127</v>
      </c>
      <c r="P4198" s="268">
        <v>4000</v>
      </c>
      <c r="Q4198" s="273">
        <v>-3</v>
      </c>
      <c r="R4198" s="268">
        <f t="shared" si="95"/>
        <v>-12000</v>
      </c>
      <c r="S4198" s="24">
        <v>202303</v>
      </c>
      <c r="T4198" s="327" t="s">
        <v>5644</v>
      </c>
      <c r="U4198" s="97"/>
      <c r="V4198" s="128"/>
      <c r="W4198" s="128"/>
      <c r="X4198" s="106">
        <v>44652</v>
      </c>
      <c r="Y4198" s="106">
        <v>44681</v>
      </c>
    </row>
    <row r="4199" s="9" customFormat="1" customHeight="1" spans="1:25">
      <c r="A4199" s="96" t="s">
        <v>109</v>
      </c>
      <c r="B4199" s="94" t="s">
        <v>4074</v>
      </c>
      <c r="C4199" s="94" t="s">
        <v>169</v>
      </c>
      <c r="D4199" s="94" t="s">
        <v>4250</v>
      </c>
      <c r="E4199" s="105" t="s">
        <v>5645</v>
      </c>
      <c r="F4199" s="96" t="s">
        <v>5646</v>
      </c>
      <c r="G4199" s="98" t="s">
        <v>31</v>
      </c>
      <c r="H4199" s="19" t="s">
        <v>5647</v>
      </c>
      <c r="I4199" s="23" t="e">
        <f>VLOOKUP(H4199,'合同综合查询数据（3月返）'!$A:$A,1,FALSE)</f>
        <v>#N/A</v>
      </c>
      <c r="J4199" s="24" t="s">
        <v>33</v>
      </c>
      <c r="K4199" s="98" t="s">
        <v>171</v>
      </c>
      <c r="L4199" s="148" t="s">
        <v>5648</v>
      </c>
      <c r="M4199" s="26" t="s">
        <v>5649</v>
      </c>
      <c r="N4199" s="106">
        <v>44562</v>
      </c>
      <c r="O4199" s="129" t="s">
        <v>37</v>
      </c>
      <c r="P4199" s="268">
        <v>0</v>
      </c>
      <c r="Q4199" s="273">
        <v>288</v>
      </c>
      <c r="R4199" s="268">
        <f t="shared" si="95"/>
        <v>0</v>
      </c>
      <c r="S4199" s="24">
        <v>202303</v>
      </c>
      <c r="T4199" s="327" t="s">
        <v>5650</v>
      </c>
      <c r="U4199" s="97"/>
      <c r="V4199" s="128"/>
      <c r="W4199" s="128"/>
      <c r="X4199" s="106">
        <v>44562</v>
      </c>
      <c r="Y4199" s="106">
        <v>44592</v>
      </c>
    </row>
    <row r="4200" s="9" customFormat="1" customHeight="1" spans="1:25">
      <c r="A4200" s="96" t="s">
        <v>109</v>
      </c>
      <c r="B4200" s="94" t="s">
        <v>4074</v>
      </c>
      <c r="C4200" s="94" t="s">
        <v>169</v>
      </c>
      <c r="D4200" s="94" t="s">
        <v>4250</v>
      </c>
      <c r="E4200" s="105" t="s">
        <v>5645</v>
      </c>
      <c r="F4200" s="96" t="s">
        <v>5646</v>
      </c>
      <c r="G4200" s="98" t="s">
        <v>31</v>
      </c>
      <c r="H4200" s="19" t="s">
        <v>5647</v>
      </c>
      <c r="I4200" s="23" t="e">
        <f>VLOOKUP(H4200,'合同综合查询数据（3月返）'!$A:$A,1,FALSE)</f>
        <v>#N/A</v>
      </c>
      <c r="J4200" s="24" t="s">
        <v>33</v>
      </c>
      <c r="K4200" s="98" t="s">
        <v>171</v>
      </c>
      <c r="L4200" s="148" t="s">
        <v>5648</v>
      </c>
      <c r="M4200" s="26" t="s">
        <v>5649</v>
      </c>
      <c r="N4200" s="106">
        <v>44592</v>
      </c>
      <c r="O4200" s="129" t="s">
        <v>37</v>
      </c>
      <c r="P4200" s="268">
        <v>0</v>
      </c>
      <c r="Q4200" s="273">
        <v>-288</v>
      </c>
      <c r="R4200" s="268">
        <f t="shared" si="95"/>
        <v>0</v>
      </c>
      <c r="S4200" s="24">
        <v>202303</v>
      </c>
      <c r="T4200" s="327" t="s">
        <v>4369</v>
      </c>
      <c r="U4200" s="97"/>
      <c r="V4200" s="128"/>
      <c r="W4200" s="128"/>
      <c r="X4200" s="106">
        <v>44562</v>
      </c>
      <c r="Y4200" s="106">
        <v>44592</v>
      </c>
    </row>
    <row r="4201" s="9" customFormat="1" customHeight="1" spans="1:25">
      <c r="A4201" s="96" t="s">
        <v>109</v>
      </c>
      <c r="B4201" s="94" t="s">
        <v>4074</v>
      </c>
      <c r="C4201" s="94" t="s">
        <v>169</v>
      </c>
      <c r="D4201" s="94" t="s">
        <v>4250</v>
      </c>
      <c r="E4201" s="105" t="s">
        <v>5645</v>
      </c>
      <c r="F4201" s="96" t="s">
        <v>5646</v>
      </c>
      <c r="G4201" s="98" t="s">
        <v>31</v>
      </c>
      <c r="H4201" s="19" t="s">
        <v>5647</v>
      </c>
      <c r="I4201" s="23" t="e">
        <f>VLOOKUP(H4201,'合同综合查询数据（3月返）'!$A:$A,1,FALSE)</f>
        <v>#N/A</v>
      </c>
      <c r="J4201" s="24" t="s">
        <v>33</v>
      </c>
      <c r="K4201" s="98" t="s">
        <v>171</v>
      </c>
      <c r="L4201" s="148" t="s">
        <v>5648</v>
      </c>
      <c r="M4201" s="26" t="s">
        <v>5649</v>
      </c>
      <c r="N4201" s="106">
        <v>44562</v>
      </c>
      <c r="O4201" s="129" t="s">
        <v>152</v>
      </c>
      <c r="P4201" s="268">
        <v>0</v>
      </c>
      <c r="Q4201" s="268">
        <v>0</v>
      </c>
      <c r="R4201" s="268">
        <f t="shared" si="95"/>
        <v>0</v>
      </c>
      <c r="S4201" s="24">
        <v>202303</v>
      </c>
      <c r="T4201" s="327" t="s">
        <v>5651</v>
      </c>
      <c r="U4201" s="97"/>
      <c r="V4201" s="128"/>
      <c r="W4201" s="128"/>
      <c r="X4201" s="106">
        <v>44562</v>
      </c>
      <c r="Y4201" s="106">
        <v>44592</v>
      </c>
    </row>
    <row r="4202" s="9" customFormat="1" customHeight="1" spans="1:25">
      <c r="A4202" s="96" t="s">
        <v>109</v>
      </c>
      <c r="B4202" s="94" t="s">
        <v>4074</v>
      </c>
      <c r="C4202" s="94" t="s">
        <v>169</v>
      </c>
      <c r="D4202" s="94" t="s">
        <v>4250</v>
      </c>
      <c r="E4202" s="105" t="s">
        <v>5645</v>
      </c>
      <c r="F4202" s="96" t="s">
        <v>5646</v>
      </c>
      <c r="G4202" s="96" t="s">
        <v>88</v>
      </c>
      <c r="H4202" s="19" t="s">
        <v>5647</v>
      </c>
      <c r="I4202" s="23" t="e">
        <f>VLOOKUP(H4202,'合同综合查询数据（3月返）'!$A:$A,1,FALSE)</f>
        <v>#N/A</v>
      </c>
      <c r="J4202" s="24" t="s">
        <v>126</v>
      </c>
      <c r="K4202" s="98" t="s">
        <v>171</v>
      </c>
      <c r="L4202" s="148" t="s">
        <v>5648</v>
      </c>
      <c r="M4202" s="26" t="s">
        <v>5649</v>
      </c>
      <c r="N4202" s="106">
        <v>44562</v>
      </c>
      <c r="O4202" s="129" t="s">
        <v>506</v>
      </c>
      <c r="P4202" s="268">
        <v>5800</v>
      </c>
      <c r="Q4202" s="273">
        <v>3</v>
      </c>
      <c r="R4202" s="268">
        <f t="shared" si="95"/>
        <v>17400</v>
      </c>
      <c r="S4202" s="24">
        <v>202303</v>
      </c>
      <c r="T4202" s="327" t="s">
        <v>5652</v>
      </c>
      <c r="U4202" s="97"/>
      <c r="V4202" s="128"/>
      <c r="W4202" s="128"/>
      <c r="X4202" s="106">
        <v>44562</v>
      </c>
      <c r="Y4202" s="106">
        <v>44592</v>
      </c>
    </row>
    <row r="4203" s="9" customFormat="1" customHeight="1" spans="1:25">
      <c r="A4203" s="96" t="s">
        <v>109</v>
      </c>
      <c r="B4203" s="94" t="s">
        <v>4074</v>
      </c>
      <c r="C4203" s="94" t="s">
        <v>169</v>
      </c>
      <c r="D4203" s="94" t="s">
        <v>4250</v>
      </c>
      <c r="E4203" s="105" t="s">
        <v>5645</v>
      </c>
      <c r="F4203" s="96" t="s">
        <v>5646</v>
      </c>
      <c r="G4203" s="96" t="s">
        <v>88</v>
      </c>
      <c r="H4203" s="19" t="s">
        <v>5647</v>
      </c>
      <c r="I4203" s="23" t="e">
        <f>VLOOKUP(H4203,'合同综合查询数据（3月返）'!$A:$A,1,FALSE)</f>
        <v>#N/A</v>
      </c>
      <c r="J4203" s="24" t="s">
        <v>126</v>
      </c>
      <c r="K4203" s="98" t="s">
        <v>171</v>
      </c>
      <c r="L4203" s="148" t="s">
        <v>5648</v>
      </c>
      <c r="M4203" s="26" t="s">
        <v>5649</v>
      </c>
      <c r="N4203" s="106">
        <v>44592</v>
      </c>
      <c r="O4203" s="129" t="s">
        <v>506</v>
      </c>
      <c r="P4203" s="268">
        <v>5800</v>
      </c>
      <c r="Q4203" s="273">
        <v>-3</v>
      </c>
      <c r="R4203" s="268">
        <f t="shared" si="95"/>
        <v>-17400</v>
      </c>
      <c r="S4203" s="24">
        <v>202303</v>
      </c>
      <c r="T4203" s="327" t="s">
        <v>4369</v>
      </c>
      <c r="U4203" s="97"/>
      <c r="V4203" s="128"/>
      <c r="W4203" s="128"/>
      <c r="X4203" s="106">
        <v>44562</v>
      </c>
      <c r="Y4203" s="106">
        <v>44592</v>
      </c>
    </row>
    <row r="4204" s="9" customFormat="1" customHeight="1" spans="1:25">
      <c r="A4204" s="96" t="s">
        <v>25</v>
      </c>
      <c r="B4204" s="94" t="s">
        <v>4074</v>
      </c>
      <c r="C4204" s="94" t="s">
        <v>2998</v>
      </c>
      <c r="D4204" s="94" t="s">
        <v>4178</v>
      </c>
      <c r="E4204" s="105" t="s">
        <v>5653</v>
      </c>
      <c r="F4204" s="96" t="s">
        <v>5654</v>
      </c>
      <c r="G4204" s="98" t="s">
        <v>31</v>
      </c>
      <c r="H4204" s="19" t="s">
        <v>5655</v>
      </c>
      <c r="I4204" s="23" t="e">
        <f>VLOOKUP(H4204,'合同综合查询数据（3月返）'!$A:$A,1,FALSE)</f>
        <v>#N/A</v>
      </c>
      <c r="J4204" s="24" t="s">
        <v>33</v>
      </c>
      <c r="K4204" s="98" t="s">
        <v>3335</v>
      </c>
      <c r="L4204" s="148" t="s">
        <v>5656</v>
      </c>
      <c r="M4204" s="26" t="s">
        <v>5657</v>
      </c>
      <c r="N4204" s="106">
        <v>44593</v>
      </c>
      <c r="O4204" s="129" t="s">
        <v>37</v>
      </c>
      <c r="P4204" s="268">
        <v>0</v>
      </c>
      <c r="Q4204" s="273">
        <v>512</v>
      </c>
      <c r="R4204" s="268">
        <f t="shared" si="95"/>
        <v>0</v>
      </c>
      <c r="S4204" s="24">
        <v>202303</v>
      </c>
      <c r="T4204" s="327" t="s">
        <v>5658</v>
      </c>
      <c r="U4204" s="97"/>
      <c r="V4204" s="128"/>
      <c r="W4204" s="128"/>
      <c r="X4204" s="106">
        <v>44593</v>
      </c>
      <c r="Y4204" s="106">
        <v>44773</v>
      </c>
    </row>
    <row r="4205" s="9" customFormat="1" customHeight="1" spans="1:25">
      <c r="A4205" s="96" t="s">
        <v>25</v>
      </c>
      <c r="B4205" s="94" t="s">
        <v>4074</v>
      </c>
      <c r="C4205" s="94" t="s">
        <v>2998</v>
      </c>
      <c r="D4205" s="94" t="s">
        <v>4178</v>
      </c>
      <c r="E4205" s="105" t="s">
        <v>5653</v>
      </c>
      <c r="F4205" s="96" t="s">
        <v>5654</v>
      </c>
      <c r="G4205" s="98" t="s">
        <v>31</v>
      </c>
      <c r="H4205" s="19" t="s">
        <v>5655</v>
      </c>
      <c r="I4205" s="23" t="e">
        <f>VLOOKUP(H4205,'合同综合查询数据（3月返）'!$A:$A,1,FALSE)</f>
        <v>#N/A</v>
      </c>
      <c r="J4205" s="24" t="s">
        <v>33</v>
      </c>
      <c r="K4205" s="98" t="s">
        <v>3335</v>
      </c>
      <c r="L4205" s="148" t="s">
        <v>5656</v>
      </c>
      <c r="M4205" s="26" t="s">
        <v>5657</v>
      </c>
      <c r="N4205" s="106"/>
      <c r="O4205" s="129" t="s">
        <v>152</v>
      </c>
      <c r="P4205" s="268">
        <v>0</v>
      </c>
      <c r="Q4205" s="268">
        <v>0</v>
      </c>
      <c r="R4205" s="268">
        <f t="shared" si="95"/>
        <v>0</v>
      </c>
      <c r="S4205" s="24">
        <v>202303</v>
      </c>
      <c r="T4205" s="327" t="s">
        <v>5659</v>
      </c>
      <c r="U4205" s="97"/>
      <c r="V4205" s="128"/>
      <c r="W4205" s="128"/>
      <c r="X4205" s="106">
        <v>44593</v>
      </c>
      <c r="Y4205" s="106">
        <v>44773</v>
      </c>
    </row>
    <row r="4206" s="9" customFormat="1" customHeight="1" spans="1:25">
      <c r="A4206" s="96" t="s">
        <v>25</v>
      </c>
      <c r="B4206" s="94" t="s">
        <v>4074</v>
      </c>
      <c r="C4206" s="94" t="s">
        <v>2998</v>
      </c>
      <c r="D4206" s="94" t="s">
        <v>4178</v>
      </c>
      <c r="E4206" s="105" t="s">
        <v>5653</v>
      </c>
      <c r="F4206" s="96" t="s">
        <v>5654</v>
      </c>
      <c r="G4206" s="96" t="s">
        <v>88</v>
      </c>
      <c r="H4206" s="19" t="s">
        <v>5655</v>
      </c>
      <c r="I4206" s="23" t="e">
        <f>VLOOKUP(H4206,'合同综合查询数据（3月返）'!$A:$A,1,FALSE)</f>
        <v>#N/A</v>
      </c>
      <c r="J4206" s="24" t="s">
        <v>126</v>
      </c>
      <c r="K4206" s="98" t="s">
        <v>3335</v>
      </c>
      <c r="L4206" s="148" t="s">
        <v>5656</v>
      </c>
      <c r="M4206" s="26" t="s">
        <v>5657</v>
      </c>
      <c r="N4206" s="106">
        <v>44593</v>
      </c>
      <c r="O4206" s="129" t="s">
        <v>1424</v>
      </c>
      <c r="P4206" s="268">
        <v>5000</v>
      </c>
      <c r="Q4206" s="273">
        <v>4</v>
      </c>
      <c r="R4206" s="268">
        <f t="shared" si="95"/>
        <v>20000</v>
      </c>
      <c r="S4206" s="24">
        <v>202303</v>
      </c>
      <c r="T4206" s="327" t="s">
        <v>5660</v>
      </c>
      <c r="U4206" s="97"/>
      <c r="V4206" s="128"/>
      <c r="W4206" s="128"/>
      <c r="X4206" s="106">
        <v>44593</v>
      </c>
      <c r="Y4206" s="106">
        <v>44773</v>
      </c>
    </row>
    <row r="4207" s="9" customFormat="1" customHeight="1" spans="1:25">
      <c r="A4207" s="96" t="s">
        <v>25</v>
      </c>
      <c r="B4207" s="94" t="s">
        <v>4074</v>
      </c>
      <c r="C4207" s="94" t="s">
        <v>2998</v>
      </c>
      <c r="D4207" s="94" t="s">
        <v>4178</v>
      </c>
      <c r="E4207" s="105" t="s">
        <v>5653</v>
      </c>
      <c r="F4207" s="96" t="s">
        <v>5654</v>
      </c>
      <c r="G4207" s="96" t="s">
        <v>88</v>
      </c>
      <c r="H4207" s="19" t="s">
        <v>5655</v>
      </c>
      <c r="I4207" s="23" t="e">
        <f>VLOOKUP(H4207,'合同综合查询数据（3月返）'!$A:$A,1,FALSE)</f>
        <v>#N/A</v>
      </c>
      <c r="J4207" s="24" t="s">
        <v>126</v>
      </c>
      <c r="K4207" s="98" t="s">
        <v>3335</v>
      </c>
      <c r="L4207" s="148" t="s">
        <v>5656</v>
      </c>
      <c r="M4207" s="26" t="s">
        <v>5657</v>
      </c>
      <c r="N4207" s="106">
        <v>44773</v>
      </c>
      <c r="O4207" s="129" t="s">
        <v>1424</v>
      </c>
      <c r="P4207" s="268">
        <v>5000</v>
      </c>
      <c r="Q4207" s="273">
        <v>-4</v>
      </c>
      <c r="R4207" s="268">
        <f t="shared" si="95"/>
        <v>-20000</v>
      </c>
      <c r="S4207" s="24">
        <v>202303</v>
      </c>
      <c r="T4207" s="327" t="s">
        <v>5661</v>
      </c>
      <c r="U4207" s="97"/>
      <c r="V4207" s="128"/>
      <c r="W4207" s="128"/>
      <c r="X4207" s="106">
        <v>44593</v>
      </c>
      <c r="Y4207" s="106">
        <v>44773</v>
      </c>
    </row>
    <row r="4208" s="9" customFormat="1" customHeight="1" spans="1:25">
      <c r="A4208" s="96" t="s">
        <v>109</v>
      </c>
      <c r="B4208" s="94" t="s">
        <v>4074</v>
      </c>
      <c r="C4208" s="94" t="s">
        <v>27</v>
      </c>
      <c r="D4208" s="94" t="s">
        <v>4178</v>
      </c>
      <c r="E4208" s="23" t="s">
        <v>5662</v>
      </c>
      <c r="F4208" s="94" t="s">
        <v>5663</v>
      </c>
      <c r="G4208" s="96" t="s">
        <v>31</v>
      </c>
      <c r="H4208" s="117" t="s">
        <v>5664</v>
      </c>
      <c r="I4208" s="23" t="str">
        <f>VLOOKUP(H4208,'合同综合查询数据（3月返）'!$A:$A,1,FALSE)</f>
        <v>182315IDC00060</v>
      </c>
      <c r="J4208" s="24" t="s">
        <v>33</v>
      </c>
      <c r="K4208" s="94" t="s">
        <v>34</v>
      </c>
      <c r="L4208" s="94" t="s">
        <v>5665</v>
      </c>
      <c r="M4208" s="94" t="s">
        <v>5666</v>
      </c>
      <c r="N4208" s="106">
        <v>44593</v>
      </c>
      <c r="O4208" s="94" t="s">
        <v>37</v>
      </c>
      <c r="P4208" s="297">
        <v>0</v>
      </c>
      <c r="Q4208" s="297">
        <v>128</v>
      </c>
      <c r="R4208" s="297">
        <f t="shared" si="95"/>
        <v>0</v>
      </c>
      <c r="S4208" s="24">
        <v>202303</v>
      </c>
      <c r="T4208" s="23" t="s">
        <v>5667</v>
      </c>
      <c r="U4208" s="94"/>
      <c r="V4208" s="321"/>
      <c r="W4208" s="94"/>
      <c r="X4208" s="106">
        <v>44958</v>
      </c>
      <c r="Y4208" s="106">
        <v>45322</v>
      </c>
    </row>
    <row r="4209" s="9" customFormat="1" customHeight="1" spans="1:25">
      <c r="A4209" s="96" t="s">
        <v>109</v>
      </c>
      <c r="B4209" s="94" t="s">
        <v>4074</v>
      </c>
      <c r="C4209" s="94" t="s">
        <v>27</v>
      </c>
      <c r="D4209" s="94" t="s">
        <v>4178</v>
      </c>
      <c r="E4209" s="23" t="s">
        <v>5662</v>
      </c>
      <c r="F4209" s="94" t="s">
        <v>5663</v>
      </c>
      <c r="G4209" s="96" t="s">
        <v>31</v>
      </c>
      <c r="H4209" s="117" t="s">
        <v>5664</v>
      </c>
      <c r="I4209" s="23" t="str">
        <f>VLOOKUP(H4209,'合同综合查询数据（3月返）'!$A:$A,1,FALSE)</f>
        <v>182315IDC00060</v>
      </c>
      <c r="J4209" s="24" t="s">
        <v>33</v>
      </c>
      <c r="K4209" s="94" t="s">
        <v>34</v>
      </c>
      <c r="L4209" s="94" t="s">
        <v>5665</v>
      </c>
      <c r="M4209" s="94" t="s">
        <v>5666</v>
      </c>
      <c r="N4209" s="106"/>
      <c r="O4209" s="94" t="s">
        <v>152</v>
      </c>
      <c r="P4209" s="297">
        <v>0</v>
      </c>
      <c r="Q4209" s="297">
        <v>0</v>
      </c>
      <c r="R4209" s="297">
        <f t="shared" si="95"/>
        <v>0</v>
      </c>
      <c r="S4209" s="24">
        <v>202303</v>
      </c>
      <c r="T4209" s="23" t="s">
        <v>5668</v>
      </c>
      <c r="U4209" s="94"/>
      <c r="V4209" s="321"/>
      <c r="W4209" s="94"/>
      <c r="X4209" s="106">
        <v>44958</v>
      </c>
      <c r="Y4209" s="106">
        <v>45322</v>
      </c>
    </row>
    <row r="4210" s="9" customFormat="1" customHeight="1" spans="1:25">
      <c r="A4210" s="96" t="s">
        <v>109</v>
      </c>
      <c r="B4210" s="94" t="s">
        <v>4074</v>
      </c>
      <c r="C4210" s="94" t="s">
        <v>27</v>
      </c>
      <c r="D4210" s="94" t="s">
        <v>4178</v>
      </c>
      <c r="E4210" s="23" t="s">
        <v>5662</v>
      </c>
      <c r="F4210" s="94" t="s">
        <v>5663</v>
      </c>
      <c r="G4210" s="96" t="s">
        <v>88</v>
      </c>
      <c r="H4210" s="117" t="s">
        <v>5664</v>
      </c>
      <c r="I4210" s="23" t="str">
        <f>VLOOKUP(H4210,'合同综合查询数据（3月返）'!$A:$A,1,FALSE)</f>
        <v>182315IDC00060</v>
      </c>
      <c r="J4210" s="24" t="s">
        <v>126</v>
      </c>
      <c r="K4210" s="94" t="s">
        <v>34</v>
      </c>
      <c r="L4210" s="94" t="s">
        <v>5665</v>
      </c>
      <c r="M4210" s="94" t="s">
        <v>5666</v>
      </c>
      <c r="N4210" s="106">
        <v>44593</v>
      </c>
      <c r="O4210" s="94" t="s">
        <v>127</v>
      </c>
      <c r="P4210" s="297">
        <v>4200</v>
      </c>
      <c r="Q4210" s="297">
        <v>2</v>
      </c>
      <c r="R4210" s="297">
        <f t="shared" si="95"/>
        <v>8400</v>
      </c>
      <c r="S4210" s="24">
        <v>202303</v>
      </c>
      <c r="T4210" s="23" t="s">
        <v>5669</v>
      </c>
      <c r="U4210" s="94"/>
      <c r="V4210" s="321"/>
      <c r="W4210" s="94"/>
      <c r="X4210" s="106">
        <v>44958</v>
      </c>
      <c r="Y4210" s="106">
        <v>45322</v>
      </c>
    </row>
    <row r="4211" s="9" customFormat="1" customHeight="1" spans="1:25">
      <c r="A4211" s="96" t="s">
        <v>129</v>
      </c>
      <c r="B4211" s="94" t="s">
        <v>4074</v>
      </c>
      <c r="C4211" s="94" t="s">
        <v>744</v>
      </c>
      <c r="D4211" s="94" t="s">
        <v>4178</v>
      </c>
      <c r="E4211" s="23" t="s">
        <v>5670</v>
      </c>
      <c r="F4211" s="94" t="s">
        <v>5671</v>
      </c>
      <c r="G4211" s="96" t="s">
        <v>31</v>
      </c>
      <c r="H4211" s="97" t="s">
        <v>5672</v>
      </c>
      <c r="I4211" s="23" t="str">
        <f>VLOOKUP(H4211,'合同综合查询数据（3月返）'!$A:$A,1,FALSE)</f>
        <v>182315IDC00095</v>
      </c>
      <c r="J4211" s="24" t="s">
        <v>33</v>
      </c>
      <c r="K4211" s="94" t="s">
        <v>744</v>
      </c>
      <c r="L4211" s="94" t="s">
        <v>5673</v>
      </c>
      <c r="M4211" s="94" t="s">
        <v>5674</v>
      </c>
      <c r="N4211" s="106">
        <v>44593</v>
      </c>
      <c r="O4211" s="94" t="s">
        <v>37</v>
      </c>
      <c r="P4211" s="297">
        <v>0</v>
      </c>
      <c r="Q4211" s="297">
        <v>256</v>
      </c>
      <c r="R4211" s="297">
        <f t="shared" si="95"/>
        <v>0</v>
      </c>
      <c r="S4211" s="24">
        <v>202303</v>
      </c>
      <c r="T4211" s="23" t="s">
        <v>5675</v>
      </c>
      <c r="U4211" s="94"/>
      <c r="V4211" s="321"/>
      <c r="W4211" s="94"/>
      <c r="X4211" s="106">
        <v>44958</v>
      </c>
      <c r="Y4211" s="106">
        <v>45322</v>
      </c>
    </row>
    <row r="4212" s="9" customFormat="1" customHeight="1" spans="1:25">
      <c r="A4212" s="96" t="s">
        <v>129</v>
      </c>
      <c r="B4212" s="94" t="s">
        <v>4074</v>
      </c>
      <c r="C4212" s="94" t="s">
        <v>744</v>
      </c>
      <c r="D4212" s="94" t="s">
        <v>4178</v>
      </c>
      <c r="E4212" s="23" t="s">
        <v>5670</v>
      </c>
      <c r="F4212" s="94" t="s">
        <v>5671</v>
      </c>
      <c r="G4212" s="96" t="s">
        <v>31</v>
      </c>
      <c r="H4212" s="97" t="s">
        <v>5672</v>
      </c>
      <c r="I4212" s="23" t="str">
        <f>VLOOKUP(H4212,'合同综合查询数据（3月返）'!$A:$A,1,FALSE)</f>
        <v>182315IDC00095</v>
      </c>
      <c r="J4212" s="24" t="s">
        <v>33</v>
      </c>
      <c r="K4212" s="94" t="s">
        <v>744</v>
      </c>
      <c r="L4212" s="94" t="s">
        <v>5673</v>
      </c>
      <c r="M4212" s="94" t="s">
        <v>5674</v>
      </c>
      <c r="N4212" s="106">
        <v>44593</v>
      </c>
      <c r="O4212" s="94" t="s">
        <v>37</v>
      </c>
      <c r="P4212" s="297">
        <v>50</v>
      </c>
      <c r="Q4212" s="297">
        <v>32</v>
      </c>
      <c r="R4212" s="297">
        <f t="shared" si="95"/>
        <v>1600</v>
      </c>
      <c r="S4212" s="24">
        <v>202303</v>
      </c>
      <c r="T4212" s="23" t="s">
        <v>5675</v>
      </c>
      <c r="U4212" s="94"/>
      <c r="V4212" s="321"/>
      <c r="W4212" s="94"/>
      <c r="X4212" s="106">
        <v>44958</v>
      </c>
      <c r="Y4212" s="106">
        <v>45322</v>
      </c>
    </row>
    <row r="4213" s="9" customFormat="1" customHeight="1" spans="1:25">
      <c r="A4213" s="96" t="s">
        <v>129</v>
      </c>
      <c r="B4213" s="94" t="s">
        <v>4074</v>
      </c>
      <c r="C4213" s="94" t="s">
        <v>744</v>
      </c>
      <c r="D4213" s="94" t="s">
        <v>4178</v>
      </c>
      <c r="E4213" s="23" t="s">
        <v>5670</v>
      </c>
      <c r="F4213" s="94" t="s">
        <v>5671</v>
      </c>
      <c r="G4213" s="96" t="s">
        <v>31</v>
      </c>
      <c r="H4213" s="97" t="s">
        <v>5672</v>
      </c>
      <c r="I4213" s="23" t="str">
        <f>VLOOKUP(H4213,'合同综合查询数据（3月返）'!$A:$A,1,FALSE)</f>
        <v>182315IDC00095</v>
      </c>
      <c r="J4213" s="24" t="s">
        <v>33</v>
      </c>
      <c r="K4213" s="94" t="s">
        <v>744</v>
      </c>
      <c r="L4213" s="94" t="s">
        <v>5673</v>
      </c>
      <c r="M4213" s="94" t="s">
        <v>5674</v>
      </c>
      <c r="N4213" s="106">
        <v>44889</v>
      </c>
      <c r="O4213" s="94" t="s">
        <v>37</v>
      </c>
      <c r="P4213" s="297">
        <v>50</v>
      </c>
      <c r="Q4213" s="297">
        <v>-32</v>
      </c>
      <c r="R4213" s="297">
        <f t="shared" si="95"/>
        <v>-1600</v>
      </c>
      <c r="S4213" s="24">
        <v>202303</v>
      </c>
      <c r="T4213" s="23" t="s">
        <v>5676</v>
      </c>
      <c r="U4213" s="94"/>
      <c r="V4213" s="321"/>
      <c r="W4213" s="94"/>
      <c r="X4213" s="106">
        <v>44958</v>
      </c>
      <c r="Y4213" s="106">
        <v>45322</v>
      </c>
    </row>
    <row r="4214" s="9" customFormat="1" customHeight="1" spans="1:25">
      <c r="A4214" s="96" t="s">
        <v>129</v>
      </c>
      <c r="B4214" s="94" t="s">
        <v>4074</v>
      </c>
      <c r="C4214" s="94" t="s">
        <v>744</v>
      </c>
      <c r="D4214" s="94" t="s">
        <v>4178</v>
      </c>
      <c r="E4214" s="23" t="s">
        <v>5670</v>
      </c>
      <c r="F4214" s="94" t="s">
        <v>5671</v>
      </c>
      <c r="G4214" s="96" t="s">
        <v>31</v>
      </c>
      <c r="H4214" s="97" t="s">
        <v>5672</v>
      </c>
      <c r="I4214" s="23" t="str">
        <f>VLOOKUP(H4214,'合同综合查询数据（3月返）'!$A:$A,1,FALSE)</f>
        <v>182315IDC00095</v>
      </c>
      <c r="J4214" s="24" t="s">
        <v>33</v>
      </c>
      <c r="K4214" s="94" t="s">
        <v>744</v>
      </c>
      <c r="L4214" s="94" t="s">
        <v>5673</v>
      </c>
      <c r="M4214" s="94" t="s">
        <v>5674</v>
      </c>
      <c r="N4214" s="106">
        <v>44889</v>
      </c>
      <c r="O4214" s="94" t="s">
        <v>37</v>
      </c>
      <c r="P4214" s="297">
        <v>0</v>
      </c>
      <c r="Q4214" s="297">
        <v>-96</v>
      </c>
      <c r="R4214" s="297">
        <f t="shared" si="95"/>
        <v>0</v>
      </c>
      <c r="S4214" s="24">
        <v>202303</v>
      </c>
      <c r="T4214" s="23" t="s">
        <v>5676</v>
      </c>
      <c r="U4214" s="94"/>
      <c r="V4214" s="321"/>
      <c r="W4214" s="94"/>
      <c r="X4214" s="106">
        <v>44958</v>
      </c>
      <c r="Y4214" s="106">
        <v>45322</v>
      </c>
    </row>
    <row r="4215" s="9" customFormat="1" customHeight="1" spans="1:25">
      <c r="A4215" s="96" t="s">
        <v>129</v>
      </c>
      <c r="B4215" s="94" t="s">
        <v>4074</v>
      </c>
      <c r="C4215" s="94" t="s">
        <v>744</v>
      </c>
      <c r="D4215" s="94" t="s">
        <v>4178</v>
      </c>
      <c r="E4215" s="23" t="s">
        <v>5670</v>
      </c>
      <c r="F4215" s="94" t="s">
        <v>5671</v>
      </c>
      <c r="G4215" s="96" t="s">
        <v>31</v>
      </c>
      <c r="H4215" s="97" t="s">
        <v>5672</v>
      </c>
      <c r="I4215" s="23" t="str">
        <f>VLOOKUP(H4215,'合同综合查询数据（3月返）'!$A:$A,1,FALSE)</f>
        <v>182315IDC00095</v>
      </c>
      <c r="J4215" s="24" t="s">
        <v>33</v>
      </c>
      <c r="K4215" s="94" t="s">
        <v>744</v>
      </c>
      <c r="L4215" s="94" t="s">
        <v>5673</v>
      </c>
      <c r="M4215" s="94" t="s">
        <v>5674</v>
      </c>
      <c r="N4215" s="106"/>
      <c r="O4215" s="94" t="s">
        <v>152</v>
      </c>
      <c r="P4215" s="297">
        <v>0</v>
      </c>
      <c r="Q4215" s="297">
        <v>0</v>
      </c>
      <c r="R4215" s="297">
        <f t="shared" si="95"/>
        <v>0</v>
      </c>
      <c r="S4215" s="24">
        <v>202303</v>
      </c>
      <c r="T4215" s="23" t="s">
        <v>5677</v>
      </c>
      <c r="U4215" s="94"/>
      <c r="V4215" s="321"/>
      <c r="W4215" s="94"/>
      <c r="X4215" s="106">
        <v>44958</v>
      </c>
      <c r="Y4215" s="106">
        <v>45322</v>
      </c>
    </row>
    <row r="4216" s="9" customFormat="1" customHeight="1" spans="1:25">
      <c r="A4216" s="96" t="s">
        <v>129</v>
      </c>
      <c r="B4216" s="94" t="s">
        <v>4074</v>
      </c>
      <c r="C4216" s="94" t="s">
        <v>744</v>
      </c>
      <c r="D4216" s="94" t="s">
        <v>4178</v>
      </c>
      <c r="E4216" s="23" t="s">
        <v>5670</v>
      </c>
      <c r="F4216" s="94" t="s">
        <v>5671</v>
      </c>
      <c r="G4216" s="96" t="s">
        <v>88</v>
      </c>
      <c r="H4216" s="97" t="s">
        <v>5672</v>
      </c>
      <c r="I4216" s="23" t="str">
        <f>VLOOKUP(H4216,'合同综合查询数据（3月返）'!$A:$A,1,FALSE)</f>
        <v>182315IDC00095</v>
      </c>
      <c r="J4216" s="24" t="s">
        <v>126</v>
      </c>
      <c r="K4216" s="94" t="s">
        <v>744</v>
      </c>
      <c r="L4216" s="94" t="s">
        <v>5673</v>
      </c>
      <c r="M4216" s="94" t="s">
        <v>5674</v>
      </c>
      <c r="N4216" s="106">
        <v>44593</v>
      </c>
      <c r="O4216" s="94" t="s">
        <v>457</v>
      </c>
      <c r="P4216" s="297">
        <v>6150</v>
      </c>
      <c r="Q4216" s="297">
        <v>2</v>
      </c>
      <c r="R4216" s="297">
        <f t="shared" si="95"/>
        <v>12300</v>
      </c>
      <c r="S4216" s="24">
        <v>202303</v>
      </c>
      <c r="T4216" s="23" t="s">
        <v>5678</v>
      </c>
      <c r="U4216" s="94"/>
      <c r="V4216" s="321"/>
      <c r="W4216" s="94"/>
      <c r="X4216" s="106">
        <v>44958</v>
      </c>
      <c r="Y4216" s="106">
        <v>45322</v>
      </c>
    </row>
    <row r="4217" s="9" customFormat="1" customHeight="1" spans="1:25">
      <c r="A4217" s="104" t="s">
        <v>25</v>
      </c>
      <c r="B4217" s="94" t="s">
        <v>4074</v>
      </c>
      <c r="C4217" s="94" t="s">
        <v>39</v>
      </c>
      <c r="D4217" s="94" t="s">
        <v>4178</v>
      </c>
      <c r="E4217" s="23" t="s">
        <v>5679</v>
      </c>
      <c r="F4217" s="94" t="s">
        <v>5680</v>
      </c>
      <c r="G4217" s="96" t="s">
        <v>31</v>
      </c>
      <c r="H4217" s="97" t="s">
        <v>5681</v>
      </c>
      <c r="I4217" s="23" t="e">
        <f>VLOOKUP(H4217,'合同综合查询数据（3月返）'!$A:$A,1,FALSE)</f>
        <v>#N/A</v>
      </c>
      <c r="J4217" s="24" t="s">
        <v>33</v>
      </c>
      <c r="K4217" s="94" t="s">
        <v>40</v>
      </c>
      <c r="L4217" s="94" t="s">
        <v>5682</v>
      </c>
      <c r="M4217" s="94" t="s">
        <v>5683</v>
      </c>
      <c r="N4217" s="106">
        <v>44652</v>
      </c>
      <c r="O4217" s="94" t="s">
        <v>37</v>
      </c>
      <c r="P4217" s="297">
        <v>0</v>
      </c>
      <c r="Q4217" s="297">
        <v>288</v>
      </c>
      <c r="R4217" s="268">
        <f t="shared" si="95"/>
        <v>0</v>
      </c>
      <c r="S4217" s="24">
        <v>202303</v>
      </c>
      <c r="T4217" s="23" t="s">
        <v>5684</v>
      </c>
      <c r="U4217" s="94"/>
      <c r="V4217" s="321"/>
      <c r="W4217" s="94"/>
      <c r="X4217" s="106">
        <v>44652</v>
      </c>
      <c r="Y4217" s="106">
        <v>45016</v>
      </c>
    </row>
    <row r="4218" s="9" customFormat="1" customHeight="1" spans="1:25">
      <c r="A4218" s="104" t="s">
        <v>25</v>
      </c>
      <c r="B4218" s="94" t="s">
        <v>4074</v>
      </c>
      <c r="C4218" s="94" t="s">
        <v>39</v>
      </c>
      <c r="D4218" s="94" t="s">
        <v>4178</v>
      </c>
      <c r="E4218" s="23" t="s">
        <v>5679</v>
      </c>
      <c r="F4218" s="94" t="s">
        <v>5680</v>
      </c>
      <c r="G4218" s="96" t="s">
        <v>31</v>
      </c>
      <c r="H4218" s="97" t="s">
        <v>5681</v>
      </c>
      <c r="I4218" s="23" t="e">
        <f>VLOOKUP(H4218,'合同综合查询数据（3月返）'!$A:$A,1,FALSE)</f>
        <v>#N/A</v>
      </c>
      <c r="J4218" s="24" t="s">
        <v>33</v>
      </c>
      <c r="K4218" s="94" t="s">
        <v>40</v>
      </c>
      <c r="L4218" s="94" t="s">
        <v>5682</v>
      </c>
      <c r="M4218" s="94" t="s">
        <v>5683</v>
      </c>
      <c r="N4218" s="106"/>
      <c r="O4218" s="94" t="s">
        <v>152</v>
      </c>
      <c r="P4218" s="297">
        <v>0</v>
      </c>
      <c r="Q4218" s="297">
        <v>0</v>
      </c>
      <c r="R4218" s="268">
        <f t="shared" si="95"/>
        <v>0</v>
      </c>
      <c r="S4218" s="24">
        <v>202303</v>
      </c>
      <c r="T4218" s="23" t="s">
        <v>5685</v>
      </c>
      <c r="U4218" s="94"/>
      <c r="V4218" s="321"/>
      <c r="W4218" s="94"/>
      <c r="X4218" s="106">
        <v>44652</v>
      </c>
      <c r="Y4218" s="106">
        <v>45016</v>
      </c>
    </row>
    <row r="4219" s="9" customFormat="1" customHeight="1" spans="1:25">
      <c r="A4219" s="104" t="s">
        <v>25</v>
      </c>
      <c r="B4219" s="94" t="s">
        <v>4074</v>
      </c>
      <c r="C4219" s="94" t="s">
        <v>39</v>
      </c>
      <c r="D4219" s="94" t="s">
        <v>4178</v>
      </c>
      <c r="E4219" s="23" t="s">
        <v>5679</v>
      </c>
      <c r="F4219" s="94" t="s">
        <v>5680</v>
      </c>
      <c r="G4219" s="96" t="s">
        <v>88</v>
      </c>
      <c r="H4219" s="97" t="s">
        <v>5681</v>
      </c>
      <c r="I4219" s="23" t="e">
        <f>VLOOKUP(H4219,'合同综合查询数据（3月返）'!$A:$A,1,FALSE)</f>
        <v>#N/A</v>
      </c>
      <c r="J4219" s="24" t="s">
        <v>126</v>
      </c>
      <c r="K4219" s="94" t="s">
        <v>40</v>
      </c>
      <c r="L4219" s="94" t="s">
        <v>5682</v>
      </c>
      <c r="M4219" s="94" t="s">
        <v>5683</v>
      </c>
      <c r="N4219" s="106">
        <v>44652</v>
      </c>
      <c r="O4219" s="94" t="s">
        <v>3267</v>
      </c>
      <c r="P4219" s="297">
        <v>5000</v>
      </c>
      <c r="Q4219" s="297">
        <v>4</v>
      </c>
      <c r="R4219" s="268">
        <f t="shared" si="95"/>
        <v>20000</v>
      </c>
      <c r="S4219" s="24">
        <v>202303</v>
      </c>
      <c r="T4219" s="23" t="s">
        <v>5686</v>
      </c>
      <c r="U4219" s="94"/>
      <c r="V4219" s="321"/>
      <c r="W4219" s="94"/>
      <c r="X4219" s="106">
        <v>44652</v>
      </c>
      <c r="Y4219" s="106">
        <v>45016</v>
      </c>
    </row>
    <row r="4220" s="9" customFormat="1" customHeight="1" spans="1:25">
      <c r="A4220" s="104" t="s">
        <v>25</v>
      </c>
      <c r="B4220" s="94" t="s">
        <v>4074</v>
      </c>
      <c r="C4220" s="94" t="s">
        <v>4743</v>
      </c>
      <c r="D4220" s="94" t="s">
        <v>28</v>
      </c>
      <c r="E4220" s="23" t="s">
        <v>5679</v>
      </c>
      <c r="F4220" s="94" t="s">
        <v>5680</v>
      </c>
      <c r="G4220" s="96" t="s">
        <v>31</v>
      </c>
      <c r="H4220" s="97" t="s">
        <v>5687</v>
      </c>
      <c r="I4220" s="23" t="e">
        <f>VLOOKUP(H4220,'合同综合查询数据（3月返）'!$A:$A,1,FALSE)</f>
        <v>#N/A</v>
      </c>
      <c r="J4220" s="24" t="s">
        <v>33</v>
      </c>
      <c r="K4220" s="94" t="s">
        <v>4743</v>
      </c>
      <c r="L4220" s="94" t="s">
        <v>5688</v>
      </c>
      <c r="M4220" s="94" t="s">
        <v>5689</v>
      </c>
      <c r="N4220" s="106">
        <v>44835</v>
      </c>
      <c r="O4220" s="94" t="s">
        <v>37</v>
      </c>
      <c r="P4220" s="297">
        <v>0</v>
      </c>
      <c r="Q4220" s="297">
        <v>288</v>
      </c>
      <c r="R4220" s="268">
        <f t="shared" si="95"/>
        <v>0</v>
      </c>
      <c r="S4220" s="24">
        <v>202303</v>
      </c>
      <c r="T4220" s="23" t="s">
        <v>5690</v>
      </c>
      <c r="U4220" s="94"/>
      <c r="V4220" s="321"/>
      <c r="W4220" s="94"/>
      <c r="X4220" s="106">
        <v>44835</v>
      </c>
      <c r="Y4220" s="106">
        <v>45199</v>
      </c>
    </row>
    <row r="4221" s="9" customFormat="1" customHeight="1" spans="1:25">
      <c r="A4221" s="104" t="s">
        <v>25</v>
      </c>
      <c r="B4221" s="94" t="s">
        <v>4074</v>
      </c>
      <c r="C4221" s="94" t="s">
        <v>4743</v>
      </c>
      <c r="D4221" s="94" t="s">
        <v>28</v>
      </c>
      <c r="E4221" s="23" t="s">
        <v>5679</v>
      </c>
      <c r="F4221" s="94" t="s">
        <v>5680</v>
      </c>
      <c r="G4221" s="96" t="s">
        <v>31</v>
      </c>
      <c r="H4221" s="97" t="s">
        <v>5687</v>
      </c>
      <c r="I4221" s="23" t="e">
        <f>VLOOKUP(H4221,'合同综合查询数据（3月返）'!$A:$A,1,FALSE)</f>
        <v>#N/A</v>
      </c>
      <c r="J4221" s="24" t="s">
        <v>33</v>
      </c>
      <c r="K4221" s="94" t="s">
        <v>4743</v>
      </c>
      <c r="L4221" s="94" t="s">
        <v>5688</v>
      </c>
      <c r="M4221" s="94" t="s">
        <v>5689</v>
      </c>
      <c r="N4221" s="106"/>
      <c r="O4221" s="94" t="s">
        <v>152</v>
      </c>
      <c r="P4221" s="297">
        <v>0</v>
      </c>
      <c r="Q4221" s="297">
        <v>0</v>
      </c>
      <c r="R4221" s="268">
        <f t="shared" si="95"/>
        <v>0</v>
      </c>
      <c r="S4221" s="24">
        <v>202303</v>
      </c>
      <c r="T4221" s="23" t="s">
        <v>5691</v>
      </c>
      <c r="U4221" s="94"/>
      <c r="V4221" s="321"/>
      <c r="W4221" s="94"/>
      <c r="X4221" s="106">
        <v>44835</v>
      </c>
      <c r="Y4221" s="106">
        <v>45199</v>
      </c>
    </row>
    <row r="4222" s="9" customFormat="1" customHeight="1" spans="1:25">
      <c r="A4222" s="104" t="s">
        <v>25</v>
      </c>
      <c r="B4222" s="94" t="s">
        <v>4074</v>
      </c>
      <c r="C4222" s="94" t="s">
        <v>4743</v>
      </c>
      <c r="D4222" s="94" t="s">
        <v>28</v>
      </c>
      <c r="E4222" s="23" t="s">
        <v>5679</v>
      </c>
      <c r="F4222" s="94" t="s">
        <v>5680</v>
      </c>
      <c r="G4222" s="96" t="s">
        <v>88</v>
      </c>
      <c r="H4222" s="97" t="s">
        <v>5687</v>
      </c>
      <c r="I4222" s="23" t="e">
        <f>VLOOKUP(H4222,'合同综合查询数据（3月返）'!$A:$A,1,FALSE)</f>
        <v>#N/A</v>
      </c>
      <c r="J4222" s="24" t="s">
        <v>126</v>
      </c>
      <c r="K4222" s="94" t="s">
        <v>4743</v>
      </c>
      <c r="L4222" s="94" t="s">
        <v>5688</v>
      </c>
      <c r="M4222" s="94" t="s">
        <v>5689</v>
      </c>
      <c r="N4222" s="106">
        <v>44835</v>
      </c>
      <c r="O4222" s="94" t="s">
        <v>92</v>
      </c>
      <c r="P4222" s="297">
        <v>4000</v>
      </c>
      <c r="Q4222" s="297">
        <v>3</v>
      </c>
      <c r="R4222" s="268">
        <f t="shared" si="95"/>
        <v>12000</v>
      </c>
      <c r="S4222" s="24">
        <v>202303</v>
      </c>
      <c r="T4222" s="23" t="s">
        <v>5692</v>
      </c>
      <c r="U4222" s="94"/>
      <c r="V4222" s="321"/>
      <c r="W4222" s="94"/>
      <c r="X4222" s="106">
        <v>44835</v>
      </c>
      <c r="Y4222" s="106">
        <v>45199</v>
      </c>
    </row>
    <row r="4223" s="9" customFormat="1" customHeight="1" spans="1:25">
      <c r="A4223" s="96" t="s">
        <v>129</v>
      </c>
      <c r="B4223" s="94" t="s">
        <v>4074</v>
      </c>
      <c r="C4223" s="94" t="s">
        <v>2833</v>
      </c>
      <c r="D4223" s="94" t="s">
        <v>4250</v>
      </c>
      <c r="E4223" s="23" t="s">
        <v>5693</v>
      </c>
      <c r="F4223" s="94" t="s">
        <v>5694</v>
      </c>
      <c r="G4223" s="96" t="s">
        <v>31</v>
      </c>
      <c r="H4223" s="97" t="s">
        <v>5695</v>
      </c>
      <c r="I4223" s="23" t="e">
        <f>VLOOKUP(H4223,'合同综合查询数据（3月返）'!$A:$A,1,FALSE)</f>
        <v>#N/A</v>
      </c>
      <c r="J4223" s="24" t="s">
        <v>33</v>
      </c>
      <c r="K4223" s="94" t="s">
        <v>5696</v>
      </c>
      <c r="L4223" s="94" t="s">
        <v>5697</v>
      </c>
      <c r="M4223" s="94" t="s">
        <v>5698</v>
      </c>
      <c r="N4223" s="106">
        <v>44714</v>
      </c>
      <c r="O4223" s="94" t="s">
        <v>37</v>
      </c>
      <c r="P4223" s="297">
        <v>0</v>
      </c>
      <c r="Q4223" s="297">
        <v>160</v>
      </c>
      <c r="R4223" s="268">
        <f t="shared" si="95"/>
        <v>0</v>
      </c>
      <c r="S4223" s="24">
        <v>202303</v>
      </c>
      <c r="T4223" s="23" t="s">
        <v>5699</v>
      </c>
      <c r="U4223" s="94"/>
      <c r="V4223" s="321"/>
      <c r="W4223" s="94"/>
      <c r="X4223" s="106">
        <v>44714</v>
      </c>
      <c r="Y4223" s="106">
        <v>45077</v>
      </c>
    </row>
    <row r="4224" s="9" customFormat="1" customHeight="1" spans="1:25">
      <c r="A4224" s="96" t="s">
        <v>129</v>
      </c>
      <c r="B4224" s="94" t="s">
        <v>4074</v>
      </c>
      <c r="C4224" s="94" t="s">
        <v>2833</v>
      </c>
      <c r="D4224" s="94" t="s">
        <v>4250</v>
      </c>
      <c r="E4224" s="23" t="s">
        <v>5693</v>
      </c>
      <c r="F4224" s="94" t="s">
        <v>5694</v>
      </c>
      <c r="G4224" s="96" t="s">
        <v>31</v>
      </c>
      <c r="H4224" s="97" t="s">
        <v>5695</v>
      </c>
      <c r="I4224" s="23" t="e">
        <f>VLOOKUP(H4224,'合同综合查询数据（3月返）'!$A:$A,1,FALSE)</f>
        <v>#N/A</v>
      </c>
      <c r="J4224" s="24" t="s">
        <v>33</v>
      </c>
      <c r="K4224" s="94" t="s">
        <v>5696</v>
      </c>
      <c r="L4224" s="94" t="s">
        <v>5697</v>
      </c>
      <c r="M4224" s="94" t="s">
        <v>5698</v>
      </c>
      <c r="N4224" s="106"/>
      <c r="O4224" s="94" t="s">
        <v>152</v>
      </c>
      <c r="P4224" s="297">
        <v>0</v>
      </c>
      <c r="Q4224" s="297">
        <v>0</v>
      </c>
      <c r="R4224" s="268">
        <f t="shared" si="95"/>
        <v>0</v>
      </c>
      <c r="S4224" s="24">
        <v>202303</v>
      </c>
      <c r="T4224" s="23" t="s">
        <v>5700</v>
      </c>
      <c r="U4224" s="94"/>
      <c r="V4224" s="321"/>
      <c r="W4224" s="94"/>
      <c r="X4224" s="106">
        <v>44714</v>
      </c>
      <c r="Y4224" s="106">
        <v>45077</v>
      </c>
    </row>
    <row r="4225" s="9" customFormat="1" customHeight="1" spans="1:25">
      <c r="A4225" s="96" t="s">
        <v>129</v>
      </c>
      <c r="B4225" s="94" t="s">
        <v>4074</v>
      </c>
      <c r="C4225" s="94" t="s">
        <v>2833</v>
      </c>
      <c r="D4225" s="94" t="s">
        <v>4250</v>
      </c>
      <c r="E4225" s="23" t="s">
        <v>5693</v>
      </c>
      <c r="F4225" s="94" t="s">
        <v>5694</v>
      </c>
      <c r="G4225" s="96" t="s">
        <v>88</v>
      </c>
      <c r="H4225" s="97" t="s">
        <v>5695</v>
      </c>
      <c r="I4225" s="23" t="e">
        <f>VLOOKUP(H4225,'合同综合查询数据（3月返）'!$A:$A,1,FALSE)</f>
        <v>#N/A</v>
      </c>
      <c r="J4225" s="24" t="s">
        <v>126</v>
      </c>
      <c r="K4225" s="94" t="s">
        <v>5696</v>
      </c>
      <c r="L4225" s="94" t="s">
        <v>5697</v>
      </c>
      <c r="M4225" s="94" t="s">
        <v>5698</v>
      </c>
      <c r="N4225" s="106">
        <v>44714</v>
      </c>
      <c r="O4225" s="94" t="s">
        <v>127</v>
      </c>
      <c r="P4225" s="297">
        <v>4500</v>
      </c>
      <c r="Q4225" s="297">
        <v>2</v>
      </c>
      <c r="R4225" s="268">
        <f t="shared" si="95"/>
        <v>9000</v>
      </c>
      <c r="S4225" s="24">
        <v>202303</v>
      </c>
      <c r="T4225" s="23" t="s">
        <v>5701</v>
      </c>
      <c r="U4225" s="94"/>
      <c r="V4225" s="321"/>
      <c r="W4225" s="94"/>
      <c r="X4225" s="106">
        <v>44714</v>
      </c>
      <c r="Y4225" s="106">
        <v>45077</v>
      </c>
    </row>
    <row r="4226" s="9" customFormat="1" customHeight="1" spans="1:25">
      <c r="A4226" s="96" t="s">
        <v>109</v>
      </c>
      <c r="B4226" s="94" t="s">
        <v>4074</v>
      </c>
      <c r="C4226" s="94" t="s">
        <v>3134</v>
      </c>
      <c r="D4226" s="94" t="s">
        <v>4250</v>
      </c>
      <c r="E4226" s="23" t="s">
        <v>5702</v>
      </c>
      <c r="F4226" s="94" t="s">
        <v>5703</v>
      </c>
      <c r="G4226" s="96" t="s">
        <v>31</v>
      </c>
      <c r="H4226" s="97" t="s">
        <v>5704</v>
      </c>
      <c r="I4226" s="23" t="e">
        <f>VLOOKUP(H4226,'合同综合查询数据（3月返）'!$A:$A,1,FALSE)</f>
        <v>#N/A</v>
      </c>
      <c r="J4226" s="24" t="s">
        <v>33</v>
      </c>
      <c r="K4226" s="94" t="s">
        <v>3155</v>
      </c>
      <c r="L4226" s="94" t="s">
        <v>5705</v>
      </c>
      <c r="M4226" s="94" t="s">
        <v>5706</v>
      </c>
      <c r="N4226" s="106">
        <v>44713</v>
      </c>
      <c r="O4226" s="94" t="s">
        <v>37</v>
      </c>
      <c r="P4226" s="297">
        <v>0</v>
      </c>
      <c r="Q4226" s="297">
        <v>160</v>
      </c>
      <c r="R4226" s="268">
        <f t="shared" si="95"/>
        <v>0</v>
      </c>
      <c r="S4226" s="24">
        <v>202303</v>
      </c>
      <c r="T4226" s="23" t="s">
        <v>5707</v>
      </c>
      <c r="U4226" s="94"/>
      <c r="V4226" s="321"/>
      <c r="W4226" s="94"/>
      <c r="X4226" s="106">
        <v>44713</v>
      </c>
      <c r="Y4226" s="106">
        <v>45077</v>
      </c>
    </row>
    <row r="4227" s="9" customFormat="1" customHeight="1" spans="1:25">
      <c r="A4227" s="96" t="s">
        <v>109</v>
      </c>
      <c r="B4227" s="94" t="s">
        <v>4074</v>
      </c>
      <c r="C4227" s="94" t="s">
        <v>3134</v>
      </c>
      <c r="D4227" s="94" t="s">
        <v>4250</v>
      </c>
      <c r="E4227" s="23" t="s">
        <v>5702</v>
      </c>
      <c r="F4227" s="94" t="s">
        <v>5703</v>
      </c>
      <c r="G4227" s="96" t="s">
        <v>31</v>
      </c>
      <c r="H4227" s="97" t="s">
        <v>5704</v>
      </c>
      <c r="I4227" s="23" t="e">
        <f>VLOOKUP(H4227,'合同综合查询数据（3月返）'!$A:$A,1,FALSE)</f>
        <v>#N/A</v>
      </c>
      <c r="J4227" s="24" t="s">
        <v>33</v>
      </c>
      <c r="K4227" s="94" t="s">
        <v>3155</v>
      </c>
      <c r="L4227" s="94" t="s">
        <v>5705</v>
      </c>
      <c r="M4227" s="94" t="s">
        <v>5706</v>
      </c>
      <c r="N4227" s="106"/>
      <c r="O4227" s="94" t="s">
        <v>152</v>
      </c>
      <c r="P4227" s="297">
        <v>0</v>
      </c>
      <c r="Q4227" s="297">
        <v>0</v>
      </c>
      <c r="R4227" s="268">
        <f t="shared" si="95"/>
        <v>0</v>
      </c>
      <c r="S4227" s="24">
        <v>202303</v>
      </c>
      <c r="T4227" s="23" t="s">
        <v>5708</v>
      </c>
      <c r="U4227" s="94"/>
      <c r="V4227" s="321"/>
      <c r="W4227" s="94"/>
      <c r="X4227" s="106">
        <v>44713</v>
      </c>
      <c r="Y4227" s="106">
        <v>45077</v>
      </c>
    </row>
    <row r="4228" s="9" customFormat="1" customHeight="1" spans="1:25">
      <c r="A4228" s="96" t="s">
        <v>109</v>
      </c>
      <c r="B4228" s="94" t="s">
        <v>4074</v>
      </c>
      <c r="C4228" s="94" t="s">
        <v>3134</v>
      </c>
      <c r="D4228" s="94" t="s">
        <v>4250</v>
      </c>
      <c r="E4228" s="23" t="s">
        <v>5702</v>
      </c>
      <c r="F4228" s="94" t="s">
        <v>5703</v>
      </c>
      <c r="G4228" s="96" t="s">
        <v>88</v>
      </c>
      <c r="H4228" s="97" t="s">
        <v>5704</v>
      </c>
      <c r="I4228" s="23" t="e">
        <f>VLOOKUP(H4228,'合同综合查询数据（3月返）'!$A:$A,1,FALSE)</f>
        <v>#N/A</v>
      </c>
      <c r="J4228" s="24" t="s">
        <v>126</v>
      </c>
      <c r="K4228" s="94" t="s">
        <v>3155</v>
      </c>
      <c r="L4228" s="94" t="s">
        <v>5705</v>
      </c>
      <c r="M4228" s="94" t="s">
        <v>5706</v>
      </c>
      <c r="N4228" s="106">
        <v>44713</v>
      </c>
      <c r="O4228" s="94" t="s">
        <v>127</v>
      </c>
      <c r="P4228" s="297">
        <v>5000</v>
      </c>
      <c r="Q4228" s="297">
        <v>2</v>
      </c>
      <c r="R4228" s="268">
        <f t="shared" si="95"/>
        <v>10000</v>
      </c>
      <c r="S4228" s="24">
        <v>202303</v>
      </c>
      <c r="T4228" s="23" t="s">
        <v>5709</v>
      </c>
      <c r="U4228" s="94"/>
      <c r="V4228" s="321"/>
      <c r="W4228" s="94"/>
      <c r="X4228" s="106">
        <v>44713</v>
      </c>
      <c r="Y4228" s="106">
        <v>45077</v>
      </c>
    </row>
    <row r="4229" s="9" customFormat="1" customHeight="1" spans="1:25">
      <c r="A4229" s="104" t="s">
        <v>25</v>
      </c>
      <c r="B4229" s="94" t="s">
        <v>4074</v>
      </c>
      <c r="C4229" s="94" t="s">
        <v>217</v>
      </c>
      <c r="D4229" s="94" t="s">
        <v>4178</v>
      </c>
      <c r="E4229" s="23" t="s">
        <v>5710</v>
      </c>
      <c r="F4229" s="94" t="s">
        <v>5711</v>
      </c>
      <c r="G4229" s="96" t="s">
        <v>31</v>
      </c>
      <c r="H4229" s="97" t="s">
        <v>5712</v>
      </c>
      <c r="I4229" s="23" t="e">
        <f>VLOOKUP(H4229,'合同综合查询数据（3月返）'!$A:$A,1,FALSE)</f>
        <v>#N/A</v>
      </c>
      <c r="J4229" s="24" t="s">
        <v>33</v>
      </c>
      <c r="K4229" s="94" t="s">
        <v>2852</v>
      </c>
      <c r="L4229" s="94" t="s">
        <v>5713</v>
      </c>
      <c r="M4229" s="94" t="s">
        <v>5714</v>
      </c>
      <c r="N4229" s="106">
        <v>44774</v>
      </c>
      <c r="O4229" s="94" t="s">
        <v>37</v>
      </c>
      <c r="P4229" s="297">
        <v>30</v>
      </c>
      <c r="Q4229" s="297">
        <v>288</v>
      </c>
      <c r="R4229" s="268">
        <f t="shared" si="95"/>
        <v>8640</v>
      </c>
      <c r="S4229" s="24">
        <v>202303</v>
      </c>
      <c r="T4229" s="23" t="s">
        <v>5715</v>
      </c>
      <c r="U4229" s="94"/>
      <c r="V4229" s="321"/>
      <c r="W4229" s="94"/>
      <c r="X4229" s="106">
        <v>44774</v>
      </c>
      <c r="Y4229" s="106">
        <v>45138</v>
      </c>
    </row>
    <row r="4230" s="9" customFormat="1" customHeight="1" spans="1:25">
      <c r="A4230" s="104" t="s">
        <v>25</v>
      </c>
      <c r="B4230" s="94" t="s">
        <v>4074</v>
      </c>
      <c r="C4230" s="94" t="s">
        <v>217</v>
      </c>
      <c r="D4230" s="94" t="s">
        <v>4178</v>
      </c>
      <c r="E4230" s="23" t="s">
        <v>5710</v>
      </c>
      <c r="F4230" s="94" t="s">
        <v>5711</v>
      </c>
      <c r="G4230" s="96" t="s">
        <v>31</v>
      </c>
      <c r="H4230" s="97" t="s">
        <v>5712</v>
      </c>
      <c r="I4230" s="23" t="e">
        <f>VLOOKUP(H4230,'合同综合查询数据（3月返）'!$A:$A,1,FALSE)</f>
        <v>#N/A</v>
      </c>
      <c r="J4230" s="24" t="s">
        <v>33</v>
      </c>
      <c r="K4230" s="94" t="s">
        <v>2852</v>
      </c>
      <c r="L4230" s="94" t="s">
        <v>5713</v>
      </c>
      <c r="M4230" s="94" t="s">
        <v>5714</v>
      </c>
      <c r="N4230" s="106">
        <v>44908</v>
      </c>
      <c r="O4230" s="94" t="s">
        <v>37</v>
      </c>
      <c r="P4230" s="297">
        <v>30</v>
      </c>
      <c r="Q4230" s="297">
        <v>-128</v>
      </c>
      <c r="R4230" s="268">
        <f t="shared" si="95"/>
        <v>-3840</v>
      </c>
      <c r="S4230" s="24">
        <v>202303</v>
      </c>
      <c r="T4230" s="23" t="s">
        <v>5716</v>
      </c>
      <c r="U4230" s="94"/>
      <c r="V4230" s="321"/>
      <c r="W4230" s="94"/>
      <c r="X4230" s="106">
        <v>44774</v>
      </c>
      <c r="Y4230" s="106">
        <v>45138</v>
      </c>
    </row>
    <row r="4231" s="9" customFormat="1" customHeight="1" spans="1:25">
      <c r="A4231" s="104" t="s">
        <v>25</v>
      </c>
      <c r="B4231" s="94" t="s">
        <v>4074</v>
      </c>
      <c r="C4231" s="94" t="s">
        <v>217</v>
      </c>
      <c r="D4231" s="94" t="s">
        <v>4178</v>
      </c>
      <c r="E4231" s="23" t="s">
        <v>5710</v>
      </c>
      <c r="F4231" s="94" t="s">
        <v>5711</v>
      </c>
      <c r="G4231" s="96" t="s">
        <v>31</v>
      </c>
      <c r="H4231" s="97" t="s">
        <v>5712</v>
      </c>
      <c r="I4231" s="23" t="e">
        <f>VLOOKUP(H4231,'合同综合查询数据（3月返）'!$A:$A,1,FALSE)</f>
        <v>#N/A</v>
      </c>
      <c r="J4231" s="24" t="s">
        <v>33</v>
      </c>
      <c r="K4231" s="94" t="s">
        <v>2852</v>
      </c>
      <c r="L4231" s="94" t="s">
        <v>5713</v>
      </c>
      <c r="M4231" s="94" t="s">
        <v>5714</v>
      </c>
      <c r="N4231" s="106"/>
      <c r="O4231" s="94" t="s">
        <v>152</v>
      </c>
      <c r="P4231" s="297">
        <v>0</v>
      </c>
      <c r="Q4231" s="297">
        <v>0</v>
      </c>
      <c r="R4231" s="268">
        <f t="shared" si="95"/>
        <v>0</v>
      </c>
      <c r="S4231" s="24">
        <v>202303</v>
      </c>
      <c r="T4231" s="23" t="s">
        <v>5717</v>
      </c>
      <c r="U4231" s="94"/>
      <c r="V4231" s="321"/>
      <c r="W4231" s="94"/>
      <c r="X4231" s="106">
        <v>44774</v>
      </c>
      <c r="Y4231" s="106">
        <v>45138</v>
      </c>
    </row>
    <row r="4232" s="9" customFormat="1" customHeight="1" spans="1:25">
      <c r="A4232" s="104" t="s">
        <v>25</v>
      </c>
      <c r="B4232" s="94" t="s">
        <v>4074</v>
      </c>
      <c r="C4232" s="94" t="s">
        <v>217</v>
      </c>
      <c r="D4232" s="94" t="s">
        <v>4178</v>
      </c>
      <c r="E4232" s="23" t="s">
        <v>5710</v>
      </c>
      <c r="F4232" s="94" t="s">
        <v>5711</v>
      </c>
      <c r="G4232" s="96" t="s">
        <v>88</v>
      </c>
      <c r="H4232" s="97" t="s">
        <v>5712</v>
      </c>
      <c r="I4232" s="23" t="e">
        <f>VLOOKUP(H4232,'合同综合查询数据（3月返）'!$A:$A,1,FALSE)</f>
        <v>#N/A</v>
      </c>
      <c r="J4232" s="24" t="s">
        <v>126</v>
      </c>
      <c r="K4232" s="94" t="s">
        <v>2852</v>
      </c>
      <c r="L4232" s="94" t="s">
        <v>5713</v>
      </c>
      <c r="M4232" s="94" t="s">
        <v>5714</v>
      </c>
      <c r="N4232" s="106">
        <v>44774</v>
      </c>
      <c r="O4232" s="94" t="s">
        <v>624</v>
      </c>
      <c r="P4232" s="297">
        <v>3500</v>
      </c>
      <c r="Q4232" s="297">
        <v>5</v>
      </c>
      <c r="R4232" s="268">
        <f t="shared" si="95"/>
        <v>17500</v>
      </c>
      <c r="S4232" s="24">
        <v>202303</v>
      </c>
      <c r="T4232" s="23" t="s">
        <v>5718</v>
      </c>
      <c r="U4232" s="94"/>
      <c r="V4232" s="321"/>
      <c r="W4232" s="94"/>
      <c r="X4232" s="106">
        <v>44774</v>
      </c>
      <c r="Y4232" s="106">
        <v>45138</v>
      </c>
    </row>
    <row r="4233" s="9" customFormat="1" customHeight="1" spans="1:25">
      <c r="A4233" s="104" t="s">
        <v>25</v>
      </c>
      <c r="B4233" s="94" t="s">
        <v>4074</v>
      </c>
      <c r="C4233" s="94" t="s">
        <v>217</v>
      </c>
      <c r="D4233" s="94" t="s">
        <v>4178</v>
      </c>
      <c r="E4233" s="23" t="s">
        <v>5710</v>
      </c>
      <c r="F4233" s="94" t="s">
        <v>5711</v>
      </c>
      <c r="G4233" s="96" t="s">
        <v>88</v>
      </c>
      <c r="H4233" s="97" t="s">
        <v>5719</v>
      </c>
      <c r="I4233" s="23" t="str">
        <f>VLOOKUP(H4233,'合同综合查询数据（3月返）'!$A:$A,1,FALSE)</f>
        <v>182315IDC00092</v>
      </c>
      <c r="J4233" s="24" t="s">
        <v>126</v>
      </c>
      <c r="K4233" s="94" t="s">
        <v>2852</v>
      </c>
      <c r="L4233" s="94" t="s">
        <v>5713</v>
      </c>
      <c r="M4233" s="94" t="s">
        <v>5714</v>
      </c>
      <c r="N4233" s="106">
        <v>44939</v>
      </c>
      <c r="O4233" s="94" t="s">
        <v>127</v>
      </c>
      <c r="P4233" s="297">
        <v>3500</v>
      </c>
      <c r="Q4233" s="297">
        <v>2</v>
      </c>
      <c r="R4233" s="268">
        <f t="shared" si="95"/>
        <v>7000</v>
      </c>
      <c r="S4233" s="24">
        <v>202303</v>
      </c>
      <c r="T4233" s="23" t="s">
        <v>5720</v>
      </c>
      <c r="U4233" s="94"/>
      <c r="V4233" s="321"/>
      <c r="W4233" s="94"/>
      <c r="X4233" s="106">
        <v>44939</v>
      </c>
      <c r="Y4233" s="106">
        <v>45138</v>
      </c>
    </row>
    <row r="4234" s="9" customFormat="1" customHeight="1" spans="1:25">
      <c r="A4234" s="104" t="s">
        <v>25</v>
      </c>
      <c r="B4234" s="94" t="s">
        <v>4074</v>
      </c>
      <c r="C4234" s="94" t="s">
        <v>217</v>
      </c>
      <c r="D4234" s="94" t="s">
        <v>4178</v>
      </c>
      <c r="E4234" s="105" t="s">
        <v>5721</v>
      </c>
      <c r="F4234" s="96" t="s">
        <v>5722</v>
      </c>
      <c r="G4234" s="96" t="s">
        <v>31</v>
      </c>
      <c r="H4234" s="19" t="s">
        <v>5723</v>
      </c>
      <c r="I4234" s="23" t="e">
        <f>VLOOKUP(H4234,'合同综合查询数据（3月返）'!$A:$A,1,FALSE)</f>
        <v>#N/A</v>
      </c>
      <c r="J4234" s="24" t="s">
        <v>33</v>
      </c>
      <c r="K4234" s="96" t="s">
        <v>4518</v>
      </c>
      <c r="L4234" s="114" t="s">
        <v>5724</v>
      </c>
      <c r="M4234" s="26" t="s">
        <v>5725</v>
      </c>
      <c r="N4234" s="106">
        <v>44835</v>
      </c>
      <c r="O4234" s="94" t="s">
        <v>37</v>
      </c>
      <c r="P4234" s="268">
        <v>0</v>
      </c>
      <c r="Q4234" s="273">
        <v>160</v>
      </c>
      <c r="R4234" s="268">
        <f t="shared" si="95"/>
        <v>0</v>
      </c>
      <c r="S4234" s="24">
        <v>202303</v>
      </c>
      <c r="T4234" s="127" t="s">
        <v>5726</v>
      </c>
      <c r="U4234" s="97"/>
      <c r="V4234" s="345"/>
      <c r="W4234" s="128"/>
      <c r="X4234" s="106">
        <v>44835</v>
      </c>
      <c r="Y4234" s="106">
        <v>45199</v>
      </c>
    </row>
    <row r="4235" s="9" customFormat="1" customHeight="1" spans="1:25">
      <c r="A4235" s="104" t="s">
        <v>25</v>
      </c>
      <c r="B4235" s="94" t="s">
        <v>4074</v>
      </c>
      <c r="C4235" s="94" t="s">
        <v>217</v>
      </c>
      <c r="D4235" s="94" t="s">
        <v>4178</v>
      </c>
      <c r="E4235" s="105" t="s">
        <v>5721</v>
      </c>
      <c r="F4235" s="96" t="s">
        <v>5722</v>
      </c>
      <c r="G4235" s="96" t="s">
        <v>31</v>
      </c>
      <c r="H4235" s="19" t="s">
        <v>5723</v>
      </c>
      <c r="I4235" s="23" t="e">
        <f>VLOOKUP(H4235,'合同综合查询数据（3月返）'!$A:$A,1,FALSE)</f>
        <v>#N/A</v>
      </c>
      <c r="J4235" s="24" t="s">
        <v>33</v>
      </c>
      <c r="K4235" s="96" t="s">
        <v>4518</v>
      </c>
      <c r="L4235" s="114" t="s">
        <v>5724</v>
      </c>
      <c r="M4235" s="26" t="s">
        <v>5725</v>
      </c>
      <c r="N4235" s="106">
        <v>44835</v>
      </c>
      <c r="O4235" s="94" t="s">
        <v>37</v>
      </c>
      <c r="P4235" s="268">
        <v>50</v>
      </c>
      <c r="Q4235" s="273">
        <v>128</v>
      </c>
      <c r="R4235" s="268">
        <f t="shared" si="95"/>
        <v>6400</v>
      </c>
      <c r="S4235" s="24">
        <v>202303</v>
      </c>
      <c r="T4235" s="127" t="s">
        <v>5726</v>
      </c>
      <c r="U4235" s="97"/>
      <c r="V4235" s="345"/>
      <c r="W4235" s="128"/>
      <c r="X4235" s="106">
        <v>44835</v>
      </c>
      <c r="Y4235" s="106">
        <v>45199</v>
      </c>
    </row>
    <row r="4236" s="9" customFormat="1" customHeight="1" spans="1:25">
      <c r="A4236" s="104" t="s">
        <v>25</v>
      </c>
      <c r="B4236" s="94" t="s">
        <v>4074</v>
      </c>
      <c r="C4236" s="94" t="s">
        <v>217</v>
      </c>
      <c r="D4236" s="94" t="s">
        <v>4178</v>
      </c>
      <c r="E4236" s="105" t="s">
        <v>5721</v>
      </c>
      <c r="F4236" s="96" t="s">
        <v>5722</v>
      </c>
      <c r="G4236" s="96" t="s">
        <v>31</v>
      </c>
      <c r="H4236" s="19" t="s">
        <v>5723</v>
      </c>
      <c r="I4236" s="23" t="e">
        <f>VLOOKUP(H4236,'合同综合查询数据（3月返）'!$A:$A,1,FALSE)</f>
        <v>#N/A</v>
      </c>
      <c r="J4236" s="24" t="s">
        <v>33</v>
      </c>
      <c r="K4236" s="96" t="s">
        <v>4518</v>
      </c>
      <c r="L4236" s="114" t="s">
        <v>5724</v>
      </c>
      <c r="M4236" s="26" t="s">
        <v>5725</v>
      </c>
      <c r="N4236" s="106">
        <v>44861</v>
      </c>
      <c r="O4236" s="94" t="s">
        <v>37</v>
      </c>
      <c r="P4236" s="268">
        <v>50</v>
      </c>
      <c r="Q4236" s="273">
        <v>-128</v>
      </c>
      <c r="R4236" s="268">
        <f t="shared" si="95"/>
        <v>-6400</v>
      </c>
      <c r="S4236" s="24">
        <v>202303</v>
      </c>
      <c r="T4236" s="127" t="s">
        <v>5727</v>
      </c>
      <c r="U4236" s="97"/>
      <c r="V4236" s="345"/>
      <c r="W4236" s="128"/>
      <c r="X4236" s="106">
        <v>44835</v>
      </c>
      <c r="Y4236" s="106">
        <v>45199</v>
      </c>
    </row>
    <row r="4237" s="9" customFormat="1" customHeight="1" spans="1:25">
      <c r="A4237" s="104" t="s">
        <v>25</v>
      </c>
      <c r="B4237" s="94" t="s">
        <v>4074</v>
      </c>
      <c r="C4237" s="94" t="s">
        <v>217</v>
      </c>
      <c r="D4237" s="94" t="s">
        <v>4178</v>
      </c>
      <c r="E4237" s="105" t="s">
        <v>5721</v>
      </c>
      <c r="F4237" s="96" t="s">
        <v>5722</v>
      </c>
      <c r="G4237" s="96" t="s">
        <v>31</v>
      </c>
      <c r="H4237" s="19" t="s">
        <v>5723</v>
      </c>
      <c r="I4237" s="23" t="e">
        <f>VLOOKUP(H4237,'合同综合查询数据（3月返）'!$A:$A,1,FALSE)</f>
        <v>#N/A</v>
      </c>
      <c r="J4237" s="24" t="s">
        <v>33</v>
      </c>
      <c r="K4237" s="96" t="s">
        <v>4518</v>
      </c>
      <c r="L4237" s="114" t="s">
        <v>5724</v>
      </c>
      <c r="M4237" s="26" t="s">
        <v>5725</v>
      </c>
      <c r="N4237" s="106"/>
      <c r="O4237" s="94" t="s">
        <v>152</v>
      </c>
      <c r="P4237" s="268">
        <v>0</v>
      </c>
      <c r="Q4237" s="273">
        <v>0</v>
      </c>
      <c r="R4237" s="268">
        <f t="shared" si="95"/>
        <v>0</v>
      </c>
      <c r="S4237" s="24">
        <v>202303</v>
      </c>
      <c r="T4237" s="127" t="s">
        <v>5728</v>
      </c>
      <c r="U4237" s="97"/>
      <c r="V4237" s="345"/>
      <c r="W4237" s="128"/>
      <c r="X4237" s="106">
        <v>44835</v>
      </c>
      <c r="Y4237" s="106">
        <v>45199</v>
      </c>
    </row>
    <row r="4238" s="9" customFormat="1" customHeight="1" spans="1:25">
      <c r="A4238" s="104" t="s">
        <v>25</v>
      </c>
      <c r="B4238" s="94" t="s">
        <v>4074</v>
      </c>
      <c r="C4238" s="94" t="s">
        <v>217</v>
      </c>
      <c r="D4238" s="94" t="s">
        <v>4178</v>
      </c>
      <c r="E4238" s="105" t="s">
        <v>5721</v>
      </c>
      <c r="F4238" s="96" t="s">
        <v>5722</v>
      </c>
      <c r="G4238" s="96" t="s">
        <v>88</v>
      </c>
      <c r="H4238" s="19" t="s">
        <v>5723</v>
      </c>
      <c r="I4238" s="23" t="e">
        <f>VLOOKUP(H4238,'合同综合查询数据（3月返）'!$A:$A,1,FALSE)</f>
        <v>#N/A</v>
      </c>
      <c r="J4238" s="24" t="s">
        <v>126</v>
      </c>
      <c r="K4238" s="96" t="s">
        <v>4518</v>
      </c>
      <c r="L4238" s="114" t="s">
        <v>5724</v>
      </c>
      <c r="M4238" s="26" t="s">
        <v>5725</v>
      </c>
      <c r="N4238" s="106">
        <v>44835</v>
      </c>
      <c r="O4238" s="94" t="s">
        <v>92</v>
      </c>
      <c r="P4238" s="268">
        <v>4000</v>
      </c>
      <c r="Q4238" s="273">
        <v>4</v>
      </c>
      <c r="R4238" s="268">
        <f t="shared" si="95"/>
        <v>16000</v>
      </c>
      <c r="S4238" s="24">
        <v>202303</v>
      </c>
      <c r="T4238" s="127" t="s">
        <v>5729</v>
      </c>
      <c r="U4238" s="97"/>
      <c r="V4238" s="345"/>
      <c r="W4238" s="128"/>
      <c r="X4238" s="106">
        <v>44835</v>
      </c>
      <c r="Y4238" s="106">
        <v>45199</v>
      </c>
    </row>
    <row r="4239" s="9" customFormat="1" customHeight="1" spans="1:25">
      <c r="A4239" s="104" t="s">
        <v>109</v>
      </c>
      <c r="B4239" s="94" t="s">
        <v>4074</v>
      </c>
      <c r="C4239" s="94" t="s">
        <v>217</v>
      </c>
      <c r="D4239" s="94" t="s">
        <v>4178</v>
      </c>
      <c r="E4239" s="105" t="s">
        <v>5721</v>
      </c>
      <c r="F4239" s="96" t="s">
        <v>5722</v>
      </c>
      <c r="G4239" s="96" t="s">
        <v>31</v>
      </c>
      <c r="H4239" s="19" t="s">
        <v>5730</v>
      </c>
      <c r="I4239" s="23" t="e">
        <f>VLOOKUP(H4239,'合同综合查询数据（3月返）'!$A:$A,1,FALSE)</f>
        <v>#N/A</v>
      </c>
      <c r="J4239" s="24" t="s">
        <v>33</v>
      </c>
      <c r="K4239" s="96" t="s">
        <v>4518</v>
      </c>
      <c r="L4239" s="114" t="s">
        <v>5731</v>
      </c>
      <c r="M4239" s="94" t="s">
        <v>5732</v>
      </c>
      <c r="N4239" s="106">
        <v>44835</v>
      </c>
      <c r="O4239" s="94" t="s">
        <v>37</v>
      </c>
      <c r="P4239" s="268">
        <v>0</v>
      </c>
      <c r="Q4239" s="273">
        <v>160</v>
      </c>
      <c r="R4239" s="268">
        <f t="shared" si="95"/>
        <v>0</v>
      </c>
      <c r="S4239" s="24">
        <v>202303</v>
      </c>
      <c r="T4239" s="127" t="s">
        <v>5733</v>
      </c>
      <c r="U4239" s="97"/>
      <c r="V4239" s="345"/>
      <c r="W4239" s="128"/>
      <c r="X4239" s="106">
        <v>44835</v>
      </c>
      <c r="Y4239" s="106">
        <v>45199</v>
      </c>
    </row>
    <row r="4240" s="9" customFormat="1" customHeight="1" spans="1:25">
      <c r="A4240" s="104" t="s">
        <v>109</v>
      </c>
      <c r="B4240" s="94" t="s">
        <v>4074</v>
      </c>
      <c r="C4240" s="94" t="s">
        <v>217</v>
      </c>
      <c r="D4240" s="94" t="s">
        <v>4178</v>
      </c>
      <c r="E4240" s="105" t="s">
        <v>5721</v>
      </c>
      <c r="F4240" s="96" t="s">
        <v>5722</v>
      </c>
      <c r="G4240" s="96" t="s">
        <v>31</v>
      </c>
      <c r="H4240" s="19" t="s">
        <v>5730</v>
      </c>
      <c r="I4240" s="23" t="e">
        <f>VLOOKUP(H4240,'合同综合查询数据（3月返）'!$A:$A,1,FALSE)</f>
        <v>#N/A</v>
      </c>
      <c r="J4240" s="24" t="s">
        <v>33</v>
      </c>
      <c r="K4240" s="96" t="s">
        <v>4518</v>
      </c>
      <c r="L4240" s="114" t="s">
        <v>5731</v>
      </c>
      <c r="M4240" s="94" t="s">
        <v>5732</v>
      </c>
      <c r="N4240" s="106">
        <v>44835</v>
      </c>
      <c r="O4240" s="94" t="s">
        <v>152</v>
      </c>
      <c r="P4240" s="297">
        <v>0</v>
      </c>
      <c r="Q4240" s="297">
        <v>0</v>
      </c>
      <c r="R4240" s="268"/>
      <c r="S4240" s="24">
        <v>202303</v>
      </c>
      <c r="T4240" s="127" t="s">
        <v>5734</v>
      </c>
      <c r="U4240" s="97"/>
      <c r="V4240" s="345"/>
      <c r="W4240" s="128"/>
      <c r="X4240" s="106">
        <v>44835</v>
      </c>
      <c r="Y4240" s="106">
        <v>45199</v>
      </c>
    </row>
    <row r="4241" s="9" customFormat="1" customHeight="1" spans="1:25">
      <c r="A4241" s="104" t="s">
        <v>109</v>
      </c>
      <c r="B4241" s="94" t="s">
        <v>4074</v>
      </c>
      <c r="C4241" s="94" t="s">
        <v>217</v>
      </c>
      <c r="D4241" s="94" t="s">
        <v>4178</v>
      </c>
      <c r="E4241" s="105" t="s">
        <v>5721</v>
      </c>
      <c r="F4241" s="96" t="s">
        <v>5722</v>
      </c>
      <c r="G4241" s="96" t="s">
        <v>88</v>
      </c>
      <c r="H4241" s="19" t="s">
        <v>5730</v>
      </c>
      <c r="I4241" s="23" t="e">
        <f>VLOOKUP(H4241,'合同综合查询数据（3月返）'!$A:$A,1,FALSE)</f>
        <v>#N/A</v>
      </c>
      <c r="J4241" s="24" t="s">
        <v>126</v>
      </c>
      <c r="K4241" s="96" t="s">
        <v>4518</v>
      </c>
      <c r="L4241" s="114" t="s">
        <v>5731</v>
      </c>
      <c r="M4241" s="94" t="s">
        <v>5732</v>
      </c>
      <c r="N4241" s="106">
        <v>44835</v>
      </c>
      <c r="O4241" s="94" t="s">
        <v>92</v>
      </c>
      <c r="P4241" s="268">
        <v>4000</v>
      </c>
      <c r="Q4241" s="273">
        <v>1</v>
      </c>
      <c r="R4241" s="268">
        <f>ROUND(P4241*Q4241,2)</f>
        <v>4000</v>
      </c>
      <c r="S4241" s="24">
        <v>202303</v>
      </c>
      <c r="T4241" s="127" t="s">
        <v>5735</v>
      </c>
      <c r="U4241" s="97"/>
      <c r="V4241" s="345"/>
      <c r="W4241" s="128"/>
      <c r="X4241" s="106">
        <v>44835</v>
      </c>
      <c r="Y4241" s="106">
        <v>45199</v>
      </c>
    </row>
    <row r="4242" s="9" customFormat="1" customHeight="1" spans="1:25">
      <c r="A4242" s="104" t="s">
        <v>129</v>
      </c>
      <c r="B4242" s="94" t="s">
        <v>4074</v>
      </c>
      <c r="C4242" s="94" t="s">
        <v>217</v>
      </c>
      <c r="D4242" s="94" t="s">
        <v>4178</v>
      </c>
      <c r="E4242" s="105" t="s">
        <v>5721</v>
      </c>
      <c r="F4242" s="96" t="s">
        <v>5722</v>
      </c>
      <c r="G4242" s="96" t="s">
        <v>31</v>
      </c>
      <c r="H4242" s="19" t="s">
        <v>5736</v>
      </c>
      <c r="I4242" s="23" t="e">
        <f>VLOOKUP(H4242,'合同综合查询数据（3月返）'!$A:$A,1,FALSE)</f>
        <v>#N/A</v>
      </c>
      <c r="J4242" s="24" t="s">
        <v>33</v>
      </c>
      <c r="K4242" s="96" t="s">
        <v>4518</v>
      </c>
      <c r="L4242" s="114" t="s">
        <v>732</v>
      </c>
      <c r="M4242" s="94" t="s">
        <v>5737</v>
      </c>
      <c r="N4242" s="106">
        <v>44835</v>
      </c>
      <c r="O4242" s="94" t="s">
        <v>37</v>
      </c>
      <c r="P4242" s="268">
        <v>0</v>
      </c>
      <c r="Q4242" s="273">
        <v>64</v>
      </c>
      <c r="R4242" s="268">
        <f>ROUND(P4242*Q4242,2)</f>
        <v>0</v>
      </c>
      <c r="S4242" s="24">
        <v>202303</v>
      </c>
      <c r="T4242" s="127" t="s">
        <v>5738</v>
      </c>
      <c r="U4242" s="97"/>
      <c r="V4242" s="345"/>
      <c r="W4242" s="128"/>
      <c r="X4242" s="106">
        <v>44835</v>
      </c>
      <c r="Y4242" s="106">
        <v>45199</v>
      </c>
    </row>
    <row r="4243" s="9" customFormat="1" customHeight="1" spans="1:25">
      <c r="A4243" s="104" t="s">
        <v>129</v>
      </c>
      <c r="B4243" s="94" t="s">
        <v>4074</v>
      </c>
      <c r="C4243" s="94" t="s">
        <v>217</v>
      </c>
      <c r="D4243" s="94" t="s">
        <v>4178</v>
      </c>
      <c r="E4243" s="105" t="s">
        <v>5721</v>
      </c>
      <c r="F4243" s="96" t="s">
        <v>5722</v>
      </c>
      <c r="G4243" s="96" t="s">
        <v>31</v>
      </c>
      <c r="H4243" s="19" t="s">
        <v>5736</v>
      </c>
      <c r="I4243" s="23" t="e">
        <f>VLOOKUP(H4243,'合同综合查询数据（3月返）'!$A:$A,1,FALSE)</f>
        <v>#N/A</v>
      </c>
      <c r="J4243" s="24" t="s">
        <v>33</v>
      </c>
      <c r="K4243" s="96" t="s">
        <v>4518</v>
      </c>
      <c r="L4243" s="114" t="s">
        <v>732</v>
      </c>
      <c r="M4243" s="94" t="s">
        <v>5737</v>
      </c>
      <c r="N4243" s="106">
        <v>44835</v>
      </c>
      <c r="O4243" s="94" t="s">
        <v>152</v>
      </c>
      <c r="P4243" s="297">
        <v>0</v>
      </c>
      <c r="Q4243" s="297">
        <v>0</v>
      </c>
      <c r="R4243" s="268"/>
      <c r="S4243" s="24">
        <v>202303</v>
      </c>
      <c r="T4243" s="127" t="s">
        <v>5739</v>
      </c>
      <c r="U4243" s="97"/>
      <c r="V4243" s="345"/>
      <c r="W4243" s="128"/>
      <c r="X4243" s="106">
        <v>44835</v>
      </c>
      <c r="Y4243" s="106">
        <v>45199</v>
      </c>
    </row>
    <row r="4244" s="9" customFormat="1" customHeight="1" spans="1:25">
      <c r="A4244" s="104" t="s">
        <v>129</v>
      </c>
      <c r="B4244" s="94" t="s">
        <v>4074</v>
      </c>
      <c r="C4244" s="94" t="s">
        <v>217</v>
      </c>
      <c r="D4244" s="94" t="s">
        <v>4178</v>
      </c>
      <c r="E4244" s="105" t="s">
        <v>5721</v>
      </c>
      <c r="F4244" s="96" t="s">
        <v>5722</v>
      </c>
      <c r="G4244" s="96" t="s">
        <v>88</v>
      </c>
      <c r="H4244" s="19" t="s">
        <v>5736</v>
      </c>
      <c r="I4244" s="23" t="e">
        <f>VLOOKUP(H4244,'合同综合查询数据（3月返）'!$A:$A,1,FALSE)</f>
        <v>#N/A</v>
      </c>
      <c r="J4244" s="24" t="s">
        <v>126</v>
      </c>
      <c r="K4244" s="96" t="s">
        <v>4518</v>
      </c>
      <c r="L4244" s="114" t="s">
        <v>732</v>
      </c>
      <c r="M4244" s="94" t="s">
        <v>5737</v>
      </c>
      <c r="N4244" s="106">
        <v>44835</v>
      </c>
      <c r="O4244" s="94" t="s">
        <v>92</v>
      </c>
      <c r="P4244" s="268">
        <v>4000</v>
      </c>
      <c r="Q4244" s="273">
        <v>1</v>
      </c>
      <c r="R4244" s="268">
        <f t="shared" ref="R4244:R4307" si="96">ROUND(P4244*Q4244,2)</f>
        <v>4000</v>
      </c>
      <c r="S4244" s="24">
        <v>202303</v>
      </c>
      <c r="T4244" s="127" t="s">
        <v>5740</v>
      </c>
      <c r="U4244" s="97"/>
      <c r="V4244" s="345"/>
      <c r="W4244" s="128"/>
      <c r="X4244" s="106">
        <v>44835</v>
      </c>
      <c r="Y4244" s="106">
        <v>45199</v>
      </c>
    </row>
    <row r="4245" s="10" customFormat="1" customHeight="1" spans="1:25">
      <c r="A4245" s="60" t="s">
        <v>109</v>
      </c>
      <c r="B4245" s="62" t="s">
        <v>4074</v>
      </c>
      <c r="C4245" s="62" t="s">
        <v>217</v>
      </c>
      <c r="D4245" s="62" t="s">
        <v>4178</v>
      </c>
      <c r="E4245" s="63" t="s">
        <v>5741</v>
      </c>
      <c r="F4245" s="60" t="s">
        <v>5742</v>
      </c>
      <c r="G4245" s="60" t="s">
        <v>31</v>
      </c>
      <c r="H4245" s="45" t="s">
        <v>5743</v>
      </c>
      <c r="I4245" s="47" t="e">
        <f>VLOOKUP(H4245,'合同综合查询数据（3月返）'!$A:$A,1,FALSE)</f>
        <v>#N/A</v>
      </c>
      <c r="J4245" s="48" t="s">
        <v>33</v>
      </c>
      <c r="K4245" s="60" t="s">
        <v>5744</v>
      </c>
      <c r="L4245" s="58" t="s">
        <v>5745</v>
      </c>
      <c r="M4245" s="50" t="s">
        <v>2216</v>
      </c>
      <c r="N4245" s="111">
        <v>44835</v>
      </c>
      <c r="O4245" s="62" t="s">
        <v>37</v>
      </c>
      <c r="P4245" s="266">
        <v>0</v>
      </c>
      <c r="Q4245" s="270">
        <v>288</v>
      </c>
      <c r="R4245" s="266">
        <f t="shared" si="96"/>
        <v>0</v>
      </c>
      <c r="S4245" s="48">
        <v>202303</v>
      </c>
      <c r="T4245" s="125" t="s">
        <v>5746</v>
      </c>
      <c r="U4245" s="102"/>
      <c r="V4245" s="346"/>
      <c r="W4245" s="126"/>
      <c r="X4245" s="111">
        <v>44835</v>
      </c>
      <c r="Y4245" s="111">
        <v>45199</v>
      </c>
    </row>
    <row r="4246" s="10" customFormat="1" customHeight="1" spans="1:25">
      <c r="A4246" s="60" t="s">
        <v>109</v>
      </c>
      <c r="B4246" s="62" t="s">
        <v>4074</v>
      </c>
      <c r="C4246" s="62" t="s">
        <v>217</v>
      </c>
      <c r="D4246" s="62" t="s">
        <v>4178</v>
      </c>
      <c r="E4246" s="63" t="s">
        <v>5741</v>
      </c>
      <c r="F4246" s="60" t="s">
        <v>5742</v>
      </c>
      <c r="G4246" s="60" t="s">
        <v>31</v>
      </c>
      <c r="H4246" s="45" t="s">
        <v>5743</v>
      </c>
      <c r="I4246" s="47" t="e">
        <f>VLOOKUP(H4246,'合同综合查询数据（3月返）'!$A:$A,1,FALSE)</f>
        <v>#N/A</v>
      </c>
      <c r="J4246" s="48" t="s">
        <v>33</v>
      </c>
      <c r="K4246" s="60" t="s">
        <v>5744</v>
      </c>
      <c r="L4246" s="58" t="s">
        <v>5745</v>
      </c>
      <c r="M4246" s="50" t="s">
        <v>2216</v>
      </c>
      <c r="N4246" s="111">
        <v>45007</v>
      </c>
      <c r="O4246" s="62" t="s">
        <v>37</v>
      </c>
      <c r="P4246" s="266">
        <v>0</v>
      </c>
      <c r="Q4246" s="270">
        <v>-128</v>
      </c>
      <c r="R4246" s="266">
        <f t="shared" si="96"/>
        <v>0</v>
      </c>
      <c r="S4246" s="48">
        <v>202303</v>
      </c>
      <c r="T4246" s="125" t="s">
        <v>5747</v>
      </c>
      <c r="U4246" s="102"/>
      <c r="V4246" s="346"/>
      <c r="W4246" s="126"/>
      <c r="X4246" s="111">
        <v>44835</v>
      </c>
      <c r="Y4246" s="111">
        <v>45199</v>
      </c>
    </row>
    <row r="4247" s="10" customFormat="1" customHeight="1" spans="1:25">
      <c r="A4247" s="60" t="s">
        <v>109</v>
      </c>
      <c r="B4247" s="62" t="s">
        <v>4074</v>
      </c>
      <c r="C4247" s="62" t="s">
        <v>217</v>
      </c>
      <c r="D4247" s="62" t="s">
        <v>4178</v>
      </c>
      <c r="E4247" s="63" t="s">
        <v>5741</v>
      </c>
      <c r="F4247" s="60" t="s">
        <v>5742</v>
      </c>
      <c r="G4247" s="60" t="s">
        <v>31</v>
      </c>
      <c r="H4247" s="45" t="s">
        <v>5743</v>
      </c>
      <c r="I4247" s="47" t="e">
        <f>VLOOKUP(H4247,'合同综合查询数据（3月返）'!$A:$A,1,FALSE)</f>
        <v>#N/A</v>
      </c>
      <c r="J4247" s="48" t="s">
        <v>33</v>
      </c>
      <c r="K4247" s="60" t="s">
        <v>5744</v>
      </c>
      <c r="L4247" s="58" t="s">
        <v>5745</v>
      </c>
      <c r="M4247" s="50" t="s">
        <v>2216</v>
      </c>
      <c r="N4247" s="111">
        <v>45008</v>
      </c>
      <c r="O4247" s="62" t="s">
        <v>37</v>
      </c>
      <c r="P4247" s="266">
        <v>0</v>
      </c>
      <c r="Q4247" s="270">
        <v>128</v>
      </c>
      <c r="R4247" s="266">
        <f t="shared" si="96"/>
        <v>0</v>
      </c>
      <c r="S4247" s="48">
        <v>202303</v>
      </c>
      <c r="T4247" s="125" t="s">
        <v>5748</v>
      </c>
      <c r="U4247" s="102"/>
      <c r="V4247" s="346"/>
      <c r="W4247" s="126"/>
      <c r="X4247" s="111">
        <v>44835</v>
      </c>
      <c r="Y4247" s="111">
        <v>45199</v>
      </c>
    </row>
    <row r="4248" s="10" customFormat="1" customHeight="1" spans="1:25">
      <c r="A4248" s="60" t="s">
        <v>109</v>
      </c>
      <c r="B4248" s="62" t="s">
        <v>4074</v>
      </c>
      <c r="C4248" s="62" t="s">
        <v>217</v>
      </c>
      <c r="D4248" s="62" t="s">
        <v>4178</v>
      </c>
      <c r="E4248" s="63" t="s">
        <v>5741</v>
      </c>
      <c r="F4248" s="60" t="s">
        <v>5742</v>
      </c>
      <c r="G4248" s="60" t="s">
        <v>31</v>
      </c>
      <c r="H4248" s="45" t="s">
        <v>5743</v>
      </c>
      <c r="I4248" s="47" t="e">
        <f>VLOOKUP(H4248,'合同综合查询数据（3月返）'!$A:$A,1,FALSE)</f>
        <v>#N/A</v>
      </c>
      <c r="J4248" s="48" t="s">
        <v>33</v>
      </c>
      <c r="K4248" s="60" t="s">
        <v>5744</v>
      </c>
      <c r="L4248" s="58" t="s">
        <v>5745</v>
      </c>
      <c r="M4248" s="50" t="s">
        <v>2216</v>
      </c>
      <c r="N4248" s="111"/>
      <c r="O4248" s="62" t="s">
        <v>152</v>
      </c>
      <c r="P4248" s="266">
        <v>0</v>
      </c>
      <c r="Q4248" s="270">
        <v>0</v>
      </c>
      <c r="R4248" s="266">
        <f t="shared" si="96"/>
        <v>0</v>
      </c>
      <c r="S4248" s="48">
        <v>202303</v>
      </c>
      <c r="T4248" s="125" t="s">
        <v>5749</v>
      </c>
      <c r="U4248" s="102"/>
      <c r="V4248" s="346"/>
      <c r="W4248" s="126"/>
      <c r="X4248" s="111">
        <v>44835</v>
      </c>
      <c r="Y4248" s="111">
        <v>45199</v>
      </c>
    </row>
    <row r="4249" s="10" customFormat="1" customHeight="1" spans="1:25">
      <c r="A4249" s="60" t="s">
        <v>109</v>
      </c>
      <c r="B4249" s="62" t="s">
        <v>4074</v>
      </c>
      <c r="C4249" s="62" t="s">
        <v>217</v>
      </c>
      <c r="D4249" s="62" t="s">
        <v>4178</v>
      </c>
      <c r="E4249" s="63" t="s">
        <v>5741</v>
      </c>
      <c r="F4249" s="60" t="s">
        <v>5742</v>
      </c>
      <c r="G4249" s="60" t="s">
        <v>88</v>
      </c>
      <c r="H4249" s="45" t="s">
        <v>5743</v>
      </c>
      <c r="I4249" s="47" t="e">
        <f>VLOOKUP(H4249,'合同综合查询数据（3月返）'!$A:$A,1,FALSE)</f>
        <v>#N/A</v>
      </c>
      <c r="J4249" s="48" t="s">
        <v>126</v>
      </c>
      <c r="K4249" s="60" t="s">
        <v>5744</v>
      </c>
      <c r="L4249" s="58" t="s">
        <v>5745</v>
      </c>
      <c r="M4249" s="50" t="s">
        <v>2216</v>
      </c>
      <c r="N4249" s="111">
        <v>44835</v>
      </c>
      <c r="O4249" s="62" t="s">
        <v>92</v>
      </c>
      <c r="P4249" s="266">
        <v>4500</v>
      </c>
      <c r="Q4249" s="270">
        <v>2</v>
      </c>
      <c r="R4249" s="266">
        <f t="shared" si="96"/>
        <v>9000</v>
      </c>
      <c r="S4249" s="48">
        <v>202303</v>
      </c>
      <c r="T4249" s="125" t="s">
        <v>5750</v>
      </c>
      <c r="U4249" s="102"/>
      <c r="V4249" s="346"/>
      <c r="W4249" s="126"/>
      <c r="X4249" s="111">
        <v>44835</v>
      </c>
      <c r="Y4249" s="111">
        <v>45199</v>
      </c>
    </row>
    <row r="4250" s="10" customFormat="1" customHeight="1" spans="1:25">
      <c r="A4250" s="103" t="s">
        <v>109</v>
      </c>
      <c r="B4250" s="62" t="s">
        <v>4074</v>
      </c>
      <c r="C4250" s="62" t="s">
        <v>130</v>
      </c>
      <c r="D4250" s="62" t="s">
        <v>4178</v>
      </c>
      <c r="E4250" s="63" t="s">
        <v>5751</v>
      </c>
      <c r="F4250" s="60" t="s">
        <v>5752</v>
      </c>
      <c r="G4250" s="60" t="s">
        <v>31</v>
      </c>
      <c r="H4250" s="45" t="s">
        <v>5753</v>
      </c>
      <c r="I4250" s="47" t="e">
        <f>VLOOKUP(H4250,'合同综合查询数据（3月返）'!$A:$A,1,FALSE)</f>
        <v>#N/A</v>
      </c>
      <c r="J4250" s="48" t="s">
        <v>33</v>
      </c>
      <c r="K4250" s="60" t="s">
        <v>132</v>
      </c>
      <c r="L4250" s="58" t="s">
        <v>5754</v>
      </c>
      <c r="M4250" s="50" t="s">
        <v>5755</v>
      </c>
      <c r="N4250" s="111">
        <v>44927</v>
      </c>
      <c r="O4250" s="62" t="s">
        <v>37</v>
      </c>
      <c r="P4250" s="266">
        <v>50</v>
      </c>
      <c r="Q4250" s="270">
        <v>512</v>
      </c>
      <c r="R4250" s="266">
        <f t="shared" si="96"/>
        <v>25600</v>
      </c>
      <c r="S4250" s="48">
        <v>202303</v>
      </c>
      <c r="T4250" s="125" t="s">
        <v>5756</v>
      </c>
      <c r="U4250" s="102"/>
      <c r="V4250" s="346"/>
      <c r="W4250" s="126"/>
      <c r="X4250" s="62"/>
      <c r="Y4250" s="62"/>
    </row>
    <row r="4251" s="10" customFormat="1" customHeight="1" spans="1:25">
      <c r="A4251" s="103" t="s">
        <v>109</v>
      </c>
      <c r="B4251" s="62" t="s">
        <v>4074</v>
      </c>
      <c r="C4251" s="62" t="s">
        <v>130</v>
      </c>
      <c r="D4251" s="62" t="s">
        <v>4178</v>
      </c>
      <c r="E4251" s="63" t="s">
        <v>5751</v>
      </c>
      <c r="F4251" s="60" t="s">
        <v>5752</v>
      </c>
      <c r="G4251" s="60" t="s">
        <v>88</v>
      </c>
      <c r="H4251" s="45" t="s">
        <v>5753</v>
      </c>
      <c r="I4251" s="47" t="e">
        <f>VLOOKUP(H4251,'合同综合查询数据（3月返）'!$A:$A,1,FALSE)</f>
        <v>#N/A</v>
      </c>
      <c r="J4251" s="48" t="s">
        <v>126</v>
      </c>
      <c r="K4251" s="60" t="s">
        <v>132</v>
      </c>
      <c r="L4251" s="58" t="s">
        <v>5754</v>
      </c>
      <c r="M4251" s="50" t="s">
        <v>5755</v>
      </c>
      <c r="N4251" s="111">
        <v>44927</v>
      </c>
      <c r="O4251" s="62" t="s">
        <v>506</v>
      </c>
      <c r="P4251" s="266">
        <v>0</v>
      </c>
      <c r="Q4251" s="270">
        <v>19</v>
      </c>
      <c r="R4251" s="266">
        <f t="shared" si="96"/>
        <v>0</v>
      </c>
      <c r="S4251" s="48">
        <v>202303</v>
      </c>
      <c r="T4251" s="125" t="s">
        <v>5757</v>
      </c>
      <c r="U4251" s="102"/>
      <c r="V4251" s="346"/>
      <c r="W4251" s="126"/>
      <c r="X4251" s="62"/>
      <c r="Y4251" s="62"/>
    </row>
    <row r="4252" s="10" customFormat="1" customHeight="1" spans="1:25">
      <c r="A4252" s="103" t="s">
        <v>25</v>
      </c>
      <c r="B4252" s="101" t="s">
        <v>5758</v>
      </c>
      <c r="C4252" s="62" t="s">
        <v>44</v>
      </c>
      <c r="D4252" s="62" t="s">
        <v>4178</v>
      </c>
      <c r="E4252" s="63" t="s">
        <v>5759</v>
      </c>
      <c r="F4252" s="60" t="s">
        <v>5760</v>
      </c>
      <c r="G4252" s="60" t="s">
        <v>31</v>
      </c>
      <c r="H4252" s="45" t="s">
        <v>5761</v>
      </c>
      <c r="I4252" s="47" t="e">
        <f>VLOOKUP(H4252,'合同综合查询数据（3月返）'!$A:$A,1,FALSE)</f>
        <v>#N/A</v>
      </c>
      <c r="J4252" s="48" t="s">
        <v>33</v>
      </c>
      <c r="K4252" s="60" t="s">
        <v>176</v>
      </c>
      <c r="L4252" s="113" t="s">
        <v>5762</v>
      </c>
      <c r="M4252" s="50" t="s">
        <v>5763</v>
      </c>
      <c r="N4252" s="111">
        <v>44623</v>
      </c>
      <c r="O4252" s="62" t="s">
        <v>37</v>
      </c>
      <c r="P4252" s="340">
        <v>0</v>
      </c>
      <c r="Q4252" s="347">
        <v>128</v>
      </c>
      <c r="R4252" s="340">
        <f t="shared" si="96"/>
        <v>0</v>
      </c>
      <c r="S4252" s="70">
        <v>202303</v>
      </c>
      <c r="T4252" s="125" t="s">
        <v>5764</v>
      </c>
      <c r="U4252" s="102"/>
      <c r="V4252" s="102"/>
      <c r="W4252" s="126"/>
      <c r="X4252" s="73">
        <v>44623</v>
      </c>
      <c r="Y4252" s="73">
        <v>44985</v>
      </c>
    </row>
    <row r="4253" s="10" customFormat="1" customHeight="1" spans="1:25">
      <c r="A4253" s="103" t="s">
        <v>25</v>
      </c>
      <c r="B4253" s="101" t="s">
        <v>5758</v>
      </c>
      <c r="C4253" s="62" t="s">
        <v>44</v>
      </c>
      <c r="D4253" s="62" t="s">
        <v>4178</v>
      </c>
      <c r="E4253" s="63" t="s">
        <v>5759</v>
      </c>
      <c r="F4253" s="60" t="s">
        <v>5760</v>
      </c>
      <c r="G4253" s="60" t="s">
        <v>88</v>
      </c>
      <c r="H4253" s="45" t="s">
        <v>5761</v>
      </c>
      <c r="I4253" s="47" t="e">
        <f>VLOOKUP(H4253,'合同综合查询数据（3月返）'!$A:$A,1,FALSE)</f>
        <v>#N/A</v>
      </c>
      <c r="J4253" s="48" t="s">
        <v>126</v>
      </c>
      <c r="K4253" s="60" t="s">
        <v>176</v>
      </c>
      <c r="L4253" s="113" t="s">
        <v>5762</v>
      </c>
      <c r="M4253" s="50" t="s">
        <v>5763</v>
      </c>
      <c r="N4253" s="111">
        <v>44623</v>
      </c>
      <c r="O4253" s="62" t="s">
        <v>457</v>
      </c>
      <c r="P4253" s="340">
        <v>0</v>
      </c>
      <c r="Q4253" s="347">
        <v>2</v>
      </c>
      <c r="R4253" s="340">
        <f t="shared" si="96"/>
        <v>0</v>
      </c>
      <c r="S4253" s="70">
        <v>202303</v>
      </c>
      <c r="T4253" s="125" t="s">
        <v>5765</v>
      </c>
      <c r="U4253" s="102"/>
      <c r="V4253" s="102"/>
      <c r="W4253" s="126"/>
      <c r="X4253" s="73">
        <v>44623</v>
      </c>
      <c r="Y4253" s="73">
        <v>44985</v>
      </c>
    </row>
    <row r="4254" s="9" customFormat="1" customHeight="1" spans="1:25">
      <c r="A4254" s="104" t="s">
        <v>25</v>
      </c>
      <c r="B4254" s="95" t="s">
        <v>5758</v>
      </c>
      <c r="C4254" s="94" t="s">
        <v>44</v>
      </c>
      <c r="D4254" s="94" t="s">
        <v>4178</v>
      </c>
      <c r="E4254" s="105" t="s">
        <v>5759</v>
      </c>
      <c r="F4254" s="96" t="s">
        <v>5760</v>
      </c>
      <c r="G4254" s="96" t="s">
        <v>31</v>
      </c>
      <c r="H4254" s="19" t="s">
        <v>5766</v>
      </c>
      <c r="I4254" s="23" t="e">
        <f>VLOOKUP(H4254,'合同综合查询数据（3月返）'!$A:$A,1,FALSE)</f>
        <v>#N/A</v>
      </c>
      <c r="J4254" s="24" t="s">
        <v>33</v>
      </c>
      <c r="K4254" s="96" t="s">
        <v>176</v>
      </c>
      <c r="L4254" s="114" t="s">
        <v>5767</v>
      </c>
      <c r="M4254" s="26" t="s">
        <v>5768</v>
      </c>
      <c r="N4254" s="106">
        <v>44448</v>
      </c>
      <c r="O4254" s="94" t="s">
        <v>37</v>
      </c>
      <c r="P4254" s="341">
        <v>0</v>
      </c>
      <c r="Q4254" s="348">
        <v>128</v>
      </c>
      <c r="R4254" s="341">
        <f t="shared" si="96"/>
        <v>0</v>
      </c>
      <c r="S4254" s="117">
        <v>202303</v>
      </c>
      <c r="T4254" s="127" t="s">
        <v>5769</v>
      </c>
      <c r="U4254" s="97"/>
      <c r="V4254" s="97"/>
      <c r="W4254" s="128"/>
      <c r="X4254" s="118">
        <v>44805</v>
      </c>
      <c r="Y4254" s="118">
        <v>45169</v>
      </c>
    </row>
    <row r="4255" s="9" customFormat="1" customHeight="1" spans="1:25">
      <c r="A4255" s="104" t="s">
        <v>25</v>
      </c>
      <c r="B4255" s="95" t="s">
        <v>5758</v>
      </c>
      <c r="C4255" s="94" t="s">
        <v>44</v>
      </c>
      <c r="D4255" s="94" t="s">
        <v>4178</v>
      </c>
      <c r="E4255" s="105" t="s">
        <v>5759</v>
      </c>
      <c r="F4255" s="96" t="s">
        <v>5760</v>
      </c>
      <c r="G4255" s="96" t="s">
        <v>31</v>
      </c>
      <c r="H4255" s="19" t="s">
        <v>5766</v>
      </c>
      <c r="I4255" s="23" t="e">
        <f>VLOOKUP(H4255,'合同综合查询数据（3月返）'!$A:$A,1,FALSE)</f>
        <v>#N/A</v>
      </c>
      <c r="J4255" s="24" t="s">
        <v>33</v>
      </c>
      <c r="K4255" s="96" t="s">
        <v>176</v>
      </c>
      <c r="L4255" s="114" t="s">
        <v>5767</v>
      </c>
      <c r="M4255" s="26" t="s">
        <v>5768</v>
      </c>
      <c r="N4255" s="106">
        <v>44448</v>
      </c>
      <c r="O4255" s="94" t="s">
        <v>37</v>
      </c>
      <c r="P4255" s="341">
        <v>100</v>
      </c>
      <c r="Q4255" s="348">
        <v>32</v>
      </c>
      <c r="R4255" s="341">
        <f t="shared" si="96"/>
        <v>3200</v>
      </c>
      <c r="S4255" s="117">
        <v>202303</v>
      </c>
      <c r="T4255" s="127" t="s">
        <v>5769</v>
      </c>
      <c r="U4255" s="97"/>
      <c r="V4255" s="97"/>
      <c r="W4255" s="128"/>
      <c r="X4255" s="118">
        <v>44805</v>
      </c>
      <c r="Y4255" s="118">
        <v>45169</v>
      </c>
    </row>
    <row r="4256" s="9" customFormat="1" customHeight="1" spans="1:25">
      <c r="A4256" s="104" t="s">
        <v>25</v>
      </c>
      <c r="B4256" s="95" t="s">
        <v>5758</v>
      </c>
      <c r="C4256" s="94" t="s">
        <v>44</v>
      </c>
      <c r="D4256" s="94" t="s">
        <v>4178</v>
      </c>
      <c r="E4256" s="105" t="s">
        <v>5759</v>
      </c>
      <c r="F4256" s="96" t="s">
        <v>5760</v>
      </c>
      <c r="G4256" s="96" t="s">
        <v>88</v>
      </c>
      <c r="H4256" s="19" t="s">
        <v>5766</v>
      </c>
      <c r="I4256" s="23" t="e">
        <f>VLOOKUP(H4256,'合同综合查询数据（3月返）'!$A:$A,1,FALSE)</f>
        <v>#N/A</v>
      </c>
      <c r="J4256" s="24" t="s">
        <v>126</v>
      </c>
      <c r="K4256" s="96" t="s">
        <v>176</v>
      </c>
      <c r="L4256" s="114" t="s">
        <v>5767</v>
      </c>
      <c r="M4256" s="26" t="s">
        <v>5768</v>
      </c>
      <c r="N4256" s="106">
        <v>44448</v>
      </c>
      <c r="O4256" s="94" t="s">
        <v>127</v>
      </c>
      <c r="P4256" s="341">
        <v>0</v>
      </c>
      <c r="Q4256" s="348">
        <v>2</v>
      </c>
      <c r="R4256" s="341">
        <f t="shared" si="96"/>
        <v>0</v>
      </c>
      <c r="S4256" s="117">
        <v>202303</v>
      </c>
      <c r="T4256" s="127" t="s">
        <v>5770</v>
      </c>
      <c r="U4256" s="97"/>
      <c r="V4256" s="97"/>
      <c r="W4256" s="128"/>
      <c r="X4256" s="118">
        <v>44805</v>
      </c>
      <c r="Y4256" s="118">
        <v>45169</v>
      </c>
    </row>
    <row r="4257" s="10" customFormat="1" customHeight="1" spans="1:25">
      <c r="A4257" s="62" t="s">
        <v>61</v>
      </c>
      <c r="B4257" s="62" t="s">
        <v>5771</v>
      </c>
      <c r="C4257" s="62" t="s">
        <v>84</v>
      </c>
      <c r="D4257" s="62" t="s">
        <v>85</v>
      </c>
      <c r="E4257" s="47" t="s">
        <v>5772</v>
      </c>
      <c r="F4257" s="62" t="s">
        <v>5773</v>
      </c>
      <c r="G4257" s="62" t="s">
        <v>78</v>
      </c>
      <c r="H4257" s="102" t="s">
        <v>5774</v>
      </c>
      <c r="I4257" s="47" t="e">
        <f>VLOOKUP(H4257,'合同综合查询数据（3月返）'!$A:$A,1,FALSE)</f>
        <v>#N/A</v>
      </c>
      <c r="J4257" s="62" t="s">
        <v>5775</v>
      </c>
      <c r="K4257" s="342" t="s">
        <v>5776</v>
      </c>
      <c r="L4257" s="62"/>
      <c r="M4257" s="62"/>
      <c r="N4257" s="111">
        <v>44593</v>
      </c>
      <c r="O4257" s="62"/>
      <c r="P4257" s="124">
        <v>74900</v>
      </c>
      <c r="Q4257" s="112">
        <v>1</v>
      </c>
      <c r="R4257" s="124">
        <f t="shared" si="96"/>
        <v>74900</v>
      </c>
      <c r="S4257" s="349">
        <v>202303</v>
      </c>
      <c r="T4257" s="47" t="s">
        <v>5777</v>
      </c>
      <c r="U4257" s="350"/>
      <c r="V4257" s="102"/>
      <c r="W4257" s="351"/>
      <c r="X4257" s="111"/>
      <c r="Y4257" s="111"/>
    </row>
    <row r="4258" s="10" customFormat="1" customHeight="1" spans="1:25">
      <c r="A4258" s="62" t="s">
        <v>61</v>
      </c>
      <c r="B4258" s="62" t="s">
        <v>5771</v>
      </c>
      <c r="C4258" s="62" t="s">
        <v>84</v>
      </c>
      <c r="D4258" s="62" t="s">
        <v>85</v>
      </c>
      <c r="E4258" s="47" t="s">
        <v>5778</v>
      </c>
      <c r="F4258" s="62" t="s">
        <v>5779</v>
      </c>
      <c r="G4258" s="62" t="s">
        <v>31</v>
      </c>
      <c r="H4258" s="102" t="s">
        <v>5780</v>
      </c>
      <c r="I4258" s="47" t="e">
        <f>VLOOKUP(H4258,'合同综合查询数据（3月返）'!$A:$A,1,FALSE)</f>
        <v>#N/A</v>
      </c>
      <c r="J4258" s="48" t="s">
        <v>33</v>
      </c>
      <c r="K4258" s="62" t="s">
        <v>63</v>
      </c>
      <c r="L4258" s="329" t="s">
        <v>5781</v>
      </c>
      <c r="M4258" s="62" t="s">
        <v>5782</v>
      </c>
      <c r="N4258" s="111" t="s">
        <v>1225</v>
      </c>
      <c r="O4258" s="62" t="s">
        <v>37</v>
      </c>
      <c r="P4258" s="343">
        <v>0</v>
      </c>
      <c r="Q4258" s="270">
        <v>512</v>
      </c>
      <c r="R4258" s="124">
        <f t="shared" si="96"/>
        <v>0</v>
      </c>
      <c r="S4258" s="349">
        <v>202303</v>
      </c>
      <c r="T4258" s="352" t="s">
        <v>5783</v>
      </c>
      <c r="U4258" s="352"/>
      <c r="V4258" s="58"/>
      <c r="W4258" s="310"/>
      <c r="X4258" s="111"/>
      <c r="Y4258" s="111"/>
    </row>
    <row r="4259" s="10" customFormat="1" customHeight="1" spans="1:25">
      <c r="A4259" s="62" t="s">
        <v>61</v>
      </c>
      <c r="B4259" s="62" t="s">
        <v>5771</v>
      </c>
      <c r="C4259" s="62" t="s">
        <v>84</v>
      </c>
      <c r="D4259" s="62" t="s">
        <v>85</v>
      </c>
      <c r="E4259" s="47" t="s">
        <v>5778</v>
      </c>
      <c r="F4259" s="62" t="s">
        <v>5779</v>
      </c>
      <c r="G4259" s="62" t="s">
        <v>31</v>
      </c>
      <c r="H4259" s="102" t="s">
        <v>5780</v>
      </c>
      <c r="I4259" s="47" t="e">
        <f>VLOOKUP(H4259,'合同综合查询数据（3月返）'!$A:$A,1,FALSE)</f>
        <v>#N/A</v>
      </c>
      <c r="J4259" s="48" t="s">
        <v>33</v>
      </c>
      <c r="K4259" s="62" t="s">
        <v>744</v>
      </c>
      <c r="L4259" s="329" t="s">
        <v>746</v>
      </c>
      <c r="M4259" s="62" t="s">
        <v>5784</v>
      </c>
      <c r="N4259" s="111" t="s">
        <v>1225</v>
      </c>
      <c r="O4259" s="62" t="s">
        <v>37</v>
      </c>
      <c r="P4259" s="343">
        <v>0</v>
      </c>
      <c r="Q4259" s="270">
        <v>128</v>
      </c>
      <c r="R4259" s="124">
        <f t="shared" si="96"/>
        <v>0</v>
      </c>
      <c r="S4259" s="349">
        <v>202303</v>
      </c>
      <c r="T4259" s="352" t="s">
        <v>5785</v>
      </c>
      <c r="U4259" s="352"/>
      <c r="V4259" s="58"/>
      <c r="W4259" s="310"/>
      <c r="X4259" s="111"/>
      <c r="Y4259" s="111"/>
    </row>
    <row r="4260" s="10" customFormat="1" customHeight="1" spans="1:25">
      <c r="A4260" s="62" t="s">
        <v>61</v>
      </c>
      <c r="B4260" s="62" t="s">
        <v>5771</v>
      </c>
      <c r="C4260" s="62" t="s">
        <v>84</v>
      </c>
      <c r="D4260" s="62" t="s">
        <v>85</v>
      </c>
      <c r="E4260" s="47" t="s">
        <v>5778</v>
      </c>
      <c r="F4260" s="62" t="s">
        <v>5779</v>
      </c>
      <c r="G4260" s="62" t="s">
        <v>31</v>
      </c>
      <c r="H4260" s="102" t="s">
        <v>5780</v>
      </c>
      <c r="I4260" s="47" t="e">
        <f>VLOOKUP(H4260,'合同综合查询数据（3月返）'!$A:$A,1,FALSE)</f>
        <v>#N/A</v>
      </c>
      <c r="J4260" s="48" t="s">
        <v>33</v>
      </c>
      <c r="K4260" s="62" t="s">
        <v>40</v>
      </c>
      <c r="L4260" s="329" t="s">
        <v>5786</v>
      </c>
      <c r="M4260" s="62" t="s">
        <v>5787</v>
      </c>
      <c r="N4260" s="111" t="s">
        <v>1225</v>
      </c>
      <c r="O4260" s="62" t="s">
        <v>37</v>
      </c>
      <c r="P4260" s="343">
        <v>0</v>
      </c>
      <c r="Q4260" s="270">
        <v>128</v>
      </c>
      <c r="R4260" s="124">
        <f t="shared" si="96"/>
        <v>0</v>
      </c>
      <c r="S4260" s="349">
        <v>202303</v>
      </c>
      <c r="T4260" s="352" t="s">
        <v>5788</v>
      </c>
      <c r="U4260" s="352"/>
      <c r="V4260" s="58"/>
      <c r="W4260" s="310"/>
      <c r="X4260" s="111"/>
      <c r="Y4260" s="111"/>
    </row>
    <row r="4261" s="10" customFormat="1" customHeight="1" spans="1:25">
      <c r="A4261" s="62" t="s">
        <v>61</v>
      </c>
      <c r="B4261" s="62" t="s">
        <v>5771</v>
      </c>
      <c r="C4261" s="62" t="s">
        <v>84</v>
      </c>
      <c r="D4261" s="62" t="s">
        <v>85</v>
      </c>
      <c r="E4261" s="47" t="s">
        <v>5778</v>
      </c>
      <c r="F4261" s="62" t="s">
        <v>5779</v>
      </c>
      <c r="G4261" s="62" t="s">
        <v>31</v>
      </c>
      <c r="H4261" s="102" t="s">
        <v>5780</v>
      </c>
      <c r="I4261" s="47" t="e">
        <f>VLOOKUP(H4261,'合同综合查询数据（3月返）'!$A:$A,1,FALSE)</f>
        <v>#N/A</v>
      </c>
      <c r="J4261" s="48" t="s">
        <v>33</v>
      </c>
      <c r="K4261" s="62" t="s">
        <v>3042</v>
      </c>
      <c r="L4261" s="329" t="s">
        <v>5789</v>
      </c>
      <c r="M4261" s="62" t="s">
        <v>5790</v>
      </c>
      <c r="N4261" s="111" t="s">
        <v>1225</v>
      </c>
      <c r="O4261" s="62" t="s">
        <v>37</v>
      </c>
      <c r="P4261" s="343">
        <v>0</v>
      </c>
      <c r="Q4261" s="270">
        <v>288</v>
      </c>
      <c r="R4261" s="124">
        <f t="shared" si="96"/>
        <v>0</v>
      </c>
      <c r="S4261" s="349">
        <v>202303</v>
      </c>
      <c r="T4261" s="352" t="s">
        <v>5791</v>
      </c>
      <c r="U4261" s="352"/>
      <c r="V4261" s="58"/>
      <c r="W4261" s="310"/>
      <c r="X4261" s="111"/>
      <c r="Y4261" s="111"/>
    </row>
    <row r="4262" s="10" customFormat="1" customHeight="1" spans="1:25">
      <c r="A4262" s="62" t="s">
        <v>61</v>
      </c>
      <c r="B4262" s="62" t="s">
        <v>5771</v>
      </c>
      <c r="C4262" s="62" t="s">
        <v>84</v>
      </c>
      <c r="D4262" s="62" t="s">
        <v>85</v>
      </c>
      <c r="E4262" s="47" t="s">
        <v>5778</v>
      </c>
      <c r="F4262" s="62" t="s">
        <v>5779</v>
      </c>
      <c r="G4262" s="62" t="s">
        <v>31</v>
      </c>
      <c r="H4262" s="102" t="s">
        <v>5780</v>
      </c>
      <c r="I4262" s="47" t="e">
        <f>VLOOKUP(H4262,'合同综合查询数据（3月返）'!$A:$A,1,FALSE)</f>
        <v>#N/A</v>
      </c>
      <c r="J4262" s="48" t="s">
        <v>33</v>
      </c>
      <c r="K4262" s="62" t="s">
        <v>3155</v>
      </c>
      <c r="L4262" s="329" t="s">
        <v>5792</v>
      </c>
      <c r="M4262" s="62" t="s">
        <v>5793</v>
      </c>
      <c r="N4262" s="111" t="s">
        <v>1225</v>
      </c>
      <c r="O4262" s="62" t="s">
        <v>37</v>
      </c>
      <c r="P4262" s="343">
        <v>0</v>
      </c>
      <c r="Q4262" s="270">
        <v>256</v>
      </c>
      <c r="R4262" s="124">
        <f t="shared" si="96"/>
        <v>0</v>
      </c>
      <c r="S4262" s="349">
        <v>202303</v>
      </c>
      <c r="T4262" s="352" t="s">
        <v>5794</v>
      </c>
      <c r="U4262" s="352"/>
      <c r="V4262" s="58"/>
      <c r="W4262" s="310"/>
      <c r="X4262" s="111"/>
      <c r="Y4262" s="111"/>
    </row>
    <row r="4263" s="10" customFormat="1" customHeight="1" spans="1:25">
      <c r="A4263" s="62" t="s">
        <v>61</v>
      </c>
      <c r="B4263" s="62" t="s">
        <v>5771</v>
      </c>
      <c r="C4263" s="62" t="s">
        <v>84</v>
      </c>
      <c r="D4263" s="62" t="s">
        <v>85</v>
      </c>
      <c r="E4263" s="47" t="s">
        <v>5778</v>
      </c>
      <c r="F4263" s="62" t="s">
        <v>5779</v>
      </c>
      <c r="G4263" s="62" t="s">
        <v>31</v>
      </c>
      <c r="H4263" s="102" t="s">
        <v>5780</v>
      </c>
      <c r="I4263" s="47" t="e">
        <f>VLOOKUP(H4263,'合同综合查询数据（3月返）'!$A:$A,1,FALSE)</f>
        <v>#N/A</v>
      </c>
      <c r="J4263" s="48" t="s">
        <v>33</v>
      </c>
      <c r="K4263" s="62" t="s">
        <v>2912</v>
      </c>
      <c r="L4263" s="329" t="s">
        <v>5795</v>
      </c>
      <c r="M4263" s="62" t="s">
        <v>5796</v>
      </c>
      <c r="N4263" s="111" t="s">
        <v>1225</v>
      </c>
      <c r="O4263" s="62" t="s">
        <v>37</v>
      </c>
      <c r="P4263" s="343">
        <v>0</v>
      </c>
      <c r="Q4263" s="270">
        <v>128</v>
      </c>
      <c r="R4263" s="124">
        <f t="shared" si="96"/>
        <v>0</v>
      </c>
      <c r="S4263" s="349">
        <v>202303</v>
      </c>
      <c r="T4263" s="352" t="s">
        <v>5797</v>
      </c>
      <c r="U4263" s="352"/>
      <c r="V4263" s="58"/>
      <c r="W4263" s="310"/>
      <c r="X4263" s="111"/>
      <c r="Y4263" s="111"/>
    </row>
    <row r="4264" s="10" customFormat="1" customHeight="1" spans="1:25">
      <c r="A4264" s="62" t="s">
        <v>61</v>
      </c>
      <c r="B4264" s="62" t="s">
        <v>5771</v>
      </c>
      <c r="C4264" s="62" t="s">
        <v>84</v>
      </c>
      <c r="D4264" s="62" t="s">
        <v>85</v>
      </c>
      <c r="E4264" s="47" t="s">
        <v>5778</v>
      </c>
      <c r="F4264" s="62" t="s">
        <v>5779</v>
      </c>
      <c r="G4264" s="62" t="s">
        <v>31</v>
      </c>
      <c r="H4264" s="102" t="s">
        <v>5780</v>
      </c>
      <c r="I4264" s="47" t="e">
        <f>VLOOKUP(H4264,'合同综合查询数据（3月返）'!$A:$A,1,FALSE)</f>
        <v>#N/A</v>
      </c>
      <c r="J4264" s="48" t="s">
        <v>33</v>
      </c>
      <c r="K4264" s="62" t="s">
        <v>4868</v>
      </c>
      <c r="L4264" s="329" t="s">
        <v>5798</v>
      </c>
      <c r="M4264" s="62" t="s">
        <v>5799</v>
      </c>
      <c r="N4264" s="111" t="s">
        <v>1225</v>
      </c>
      <c r="O4264" s="62" t="s">
        <v>37</v>
      </c>
      <c r="P4264" s="343">
        <v>0</v>
      </c>
      <c r="Q4264" s="270">
        <v>256</v>
      </c>
      <c r="R4264" s="124">
        <f t="shared" si="96"/>
        <v>0</v>
      </c>
      <c r="S4264" s="349">
        <v>202303</v>
      </c>
      <c r="T4264" s="352" t="s">
        <v>5800</v>
      </c>
      <c r="U4264" s="352"/>
      <c r="V4264" s="58"/>
      <c r="W4264" s="310"/>
      <c r="X4264" s="111"/>
      <c r="Y4264" s="111"/>
    </row>
    <row r="4265" s="10" customFormat="1" customHeight="1" spans="1:25">
      <c r="A4265" s="62" t="s">
        <v>61</v>
      </c>
      <c r="B4265" s="62" t="s">
        <v>5771</v>
      </c>
      <c r="C4265" s="62" t="s">
        <v>84</v>
      </c>
      <c r="D4265" s="62" t="s">
        <v>85</v>
      </c>
      <c r="E4265" s="47" t="s">
        <v>5778</v>
      </c>
      <c r="F4265" s="62" t="s">
        <v>5779</v>
      </c>
      <c r="G4265" s="62" t="s">
        <v>88</v>
      </c>
      <c r="H4265" s="102" t="s">
        <v>5801</v>
      </c>
      <c r="I4265" s="47" t="e">
        <f>VLOOKUP(H4265,'合同综合查询数据（3月返）'!$A:$A,1,FALSE)</f>
        <v>#N/A</v>
      </c>
      <c r="J4265" s="62" t="s">
        <v>126</v>
      </c>
      <c r="K4265" s="342" t="s">
        <v>3980</v>
      </c>
      <c r="L4265" s="329" t="s">
        <v>5802</v>
      </c>
      <c r="M4265" s="62" t="s">
        <v>5803</v>
      </c>
      <c r="N4265" s="111">
        <v>42948</v>
      </c>
      <c r="O4265" s="62" t="s">
        <v>1424</v>
      </c>
      <c r="P4265" s="124">
        <v>4450</v>
      </c>
      <c r="Q4265" s="112">
        <v>8</v>
      </c>
      <c r="R4265" s="124">
        <f t="shared" si="96"/>
        <v>35600</v>
      </c>
      <c r="S4265" s="349">
        <v>202303</v>
      </c>
      <c r="T4265" s="353" t="s">
        <v>5804</v>
      </c>
      <c r="U4265" s="353"/>
      <c r="V4265" s="102"/>
      <c r="W4265" s="102"/>
      <c r="X4265" s="111"/>
      <c r="Y4265" s="111"/>
    </row>
    <row r="4266" s="10" customFormat="1" customHeight="1" spans="1:25">
      <c r="A4266" s="62" t="s">
        <v>61</v>
      </c>
      <c r="B4266" s="62" t="s">
        <v>5771</v>
      </c>
      <c r="C4266" s="62" t="s">
        <v>84</v>
      </c>
      <c r="D4266" s="62" t="s">
        <v>85</v>
      </c>
      <c r="E4266" s="47" t="s">
        <v>5778</v>
      </c>
      <c r="F4266" s="62" t="s">
        <v>5779</v>
      </c>
      <c r="G4266" s="62" t="s">
        <v>88</v>
      </c>
      <c r="H4266" s="102" t="s">
        <v>5801</v>
      </c>
      <c r="I4266" s="47" t="e">
        <f>VLOOKUP(H4266,'合同综合查询数据（3月返）'!$A:$A,1,FALSE)</f>
        <v>#N/A</v>
      </c>
      <c r="J4266" s="62" t="s">
        <v>126</v>
      </c>
      <c r="K4266" s="342" t="s">
        <v>3980</v>
      </c>
      <c r="L4266" s="329" t="s">
        <v>5802</v>
      </c>
      <c r="M4266" s="62" t="s">
        <v>5803</v>
      </c>
      <c r="N4266" s="111">
        <v>44146</v>
      </c>
      <c r="O4266" s="62" t="s">
        <v>1424</v>
      </c>
      <c r="P4266" s="124">
        <v>4450</v>
      </c>
      <c r="Q4266" s="112">
        <v>-4</v>
      </c>
      <c r="R4266" s="124">
        <f t="shared" si="96"/>
        <v>-17800</v>
      </c>
      <c r="S4266" s="349">
        <v>202303</v>
      </c>
      <c r="T4266" s="353" t="s">
        <v>5805</v>
      </c>
      <c r="U4266" s="353"/>
      <c r="V4266" s="102"/>
      <c r="W4266" s="102"/>
      <c r="X4266" s="111"/>
      <c r="Y4266" s="111"/>
    </row>
    <row r="4267" s="10" customFormat="1" customHeight="1" spans="1:25">
      <c r="A4267" s="62" t="s">
        <v>61</v>
      </c>
      <c r="B4267" s="62" t="s">
        <v>5771</v>
      </c>
      <c r="C4267" s="62" t="s">
        <v>84</v>
      </c>
      <c r="D4267" s="62" t="s">
        <v>85</v>
      </c>
      <c r="E4267" s="47" t="s">
        <v>5778</v>
      </c>
      <c r="F4267" s="62" t="s">
        <v>5779</v>
      </c>
      <c r="G4267" s="62" t="s">
        <v>88</v>
      </c>
      <c r="H4267" s="102" t="s">
        <v>5801</v>
      </c>
      <c r="I4267" s="47" t="e">
        <f>VLOOKUP(H4267,'合同综合查询数据（3月返）'!$A:$A,1,FALSE)</f>
        <v>#N/A</v>
      </c>
      <c r="J4267" s="62" t="s">
        <v>126</v>
      </c>
      <c r="K4267" s="342" t="s">
        <v>3980</v>
      </c>
      <c r="L4267" s="329" t="s">
        <v>5802</v>
      </c>
      <c r="M4267" s="62" t="s">
        <v>5803</v>
      </c>
      <c r="N4267" s="111">
        <v>44316</v>
      </c>
      <c r="O4267" s="62" t="s">
        <v>1424</v>
      </c>
      <c r="P4267" s="124">
        <v>4450</v>
      </c>
      <c r="Q4267" s="112">
        <v>-4</v>
      </c>
      <c r="R4267" s="124">
        <f t="shared" si="96"/>
        <v>-17800</v>
      </c>
      <c r="S4267" s="349">
        <v>202303</v>
      </c>
      <c r="T4267" s="353" t="s">
        <v>5806</v>
      </c>
      <c r="U4267" s="353"/>
      <c r="V4267" s="102"/>
      <c r="W4267" s="102"/>
      <c r="X4267" s="111"/>
      <c r="Y4267" s="111"/>
    </row>
    <row r="4268" s="10" customFormat="1" customHeight="1" spans="1:25">
      <c r="A4268" s="62" t="s">
        <v>61</v>
      </c>
      <c r="B4268" s="62" t="s">
        <v>5771</v>
      </c>
      <c r="C4268" s="62" t="s">
        <v>84</v>
      </c>
      <c r="D4268" s="62" t="s">
        <v>85</v>
      </c>
      <c r="E4268" s="47" t="s">
        <v>5778</v>
      </c>
      <c r="F4268" s="62" t="s">
        <v>5779</v>
      </c>
      <c r="G4268" s="62" t="s">
        <v>88</v>
      </c>
      <c r="H4268" s="102" t="s">
        <v>5801</v>
      </c>
      <c r="I4268" s="47" t="e">
        <f>VLOOKUP(H4268,'合同综合查询数据（3月返）'!$A:$A,1,FALSE)</f>
        <v>#N/A</v>
      </c>
      <c r="J4268" s="62" t="s">
        <v>126</v>
      </c>
      <c r="K4268" s="342" t="s">
        <v>744</v>
      </c>
      <c r="L4268" s="329" t="s">
        <v>746</v>
      </c>
      <c r="M4268" s="62" t="s">
        <v>5784</v>
      </c>
      <c r="N4268" s="111">
        <v>43210</v>
      </c>
      <c r="O4268" s="62" t="s">
        <v>1424</v>
      </c>
      <c r="P4268" s="124">
        <v>4450</v>
      </c>
      <c r="Q4268" s="112">
        <v>2</v>
      </c>
      <c r="R4268" s="124">
        <f t="shared" si="96"/>
        <v>8900</v>
      </c>
      <c r="S4268" s="349">
        <v>202303</v>
      </c>
      <c r="T4268" s="353" t="s">
        <v>5807</v>
      </c>
      <c r="U4268" s="353"/>
      <c r="V4268" s="102"/>
      <c r="W4268" s="102"/>
      <c r="X4268" s="111"/>
      <c r="Y4268" s="111"/>
    </row>
    <row r="4269" s="10" customFormat="1" customHeight="1" spans="1:25">
      <c r="A4269" s="62" t="s">
        <v>61</v>
      </c>
      <c r="B4269" s="62" t="s">
        <v>5771</v>
      </c>
      <c r="C4269" s="62" t="s">
        <v>84</v>
      </c>
      <c r="D4269" s="62" t="s">
        <v>85</v>
      </c>
      <c r="E4269" s="47" t="s">
        <v>5778</v>
      </c>
      <c r="F4269" s="62" t="s">
        <v>5779</v>
      </c>
      <c r="G4269" s="62" t="s">
        <v>88</v>
      </c>
      <c r="H4269" s="102" t="s">
        <v>5808</v>
      </c>
      <c r="I4269" s="47" t="e">
        <f>VLOOKUP(H4269,'合同综合查询数据（3月返）'!$A:$A,1,FALSE)</f>
        <v>#N/A</v>
      </c>
      <c r="J4269" s="62" t="s">
        <v>126</v>
      </c>
      <c r="K4269" s="342" t="s">
        <v>744</v>
      </c>
      <c r="L4269" s="329" t="s">
        <v>746</v>
      </c>
      <c r="M4269" s="62" t="s">
        <v>5784</v>
      </c>
      <c r="N4269" s="111">
        <v>44579</v>
      </c>
      <c r="O4269" s="62" t="s">
        <v>1424</v>
      </c>
      <c r="P4269" s="124">
        <v>4450</v>
      </c>
      <c r="Q4269" s="112">
        <v>1</v>
      </c>
      <c r="R4269" s="124">
        <f t="shared" si="96"/>
        <v>4450</v>
      </c>
      <c r="S4269" s="349">
        <v>202303</v>
      </c>
      <c r="T4269" s="353" t="s">
        <v>5809</v>
      </c>
      <c r="U4269" s="353"/>
      <c r="V4269" s="102"/>
      <c r="W4269" s="102"/>
      <c r="X4269" s="111"/>
      <c r="Y4269" s="111"/>
    </row>
    <row r="4270" s="10" customFormat="1" customHeight="1" spans="1:25">
      <c r="A4270" s="62" t="s">
        <v>61</v>
      </c>
      <c r="B4270" s="62" t="s">
        <v>5771</v>
      </c>
      <c r="C4270" s="62" t="s">
        <v>84</v>
      </c>
      <c r="D4270" s="62" t="s">
        <v>85</v>
      </c>
      <c r="E4270" s="47" t="s">
        <v>5778</v>
      </c>
      <c r="F4270" s="62" t="s">
        <v>5779</v>
      </c>
      <c r="G4270" s="62" t="s">
        <v>88</v>
      </c>
      <c r="H4270" s="102" t="s">
        <v>5801</v>
      </c>
      <c r="I4270" s="47" t="e">
        <f>VLOOKUP(H4270,'合同综合查询数据（3月返）'!$A:$A,1,FALSE)</f>
        <v>#N/A</v>
      </c>
      <c r="J4270" s="62" t="s">
        <v>126</v>
      </c>
      <c r="K4270" s="342" t="s">
        <v>40</v>
      </c>
      <c r="L4270" s="329" t="s">
        <v>5786</v>
      </c>
      <c r="M4270" s="62" t="s">
        <v>5787</v>
      </c>
      <c r="N4270" s="111">
        <v>43259</v>
      </c>
      <c r="O4270" s="62" t="s">
        <v>1424</v>
      </c>
      <c r="P4270" s="124">
        <v>4450</v>
      </c>
      <c r="Q4270" s="112">
        <v>2</v>
      </c>
      <c r="R4270" s="124">
        <f t="shared" si="96"/>
        <v>8900</v>
      </c>
      <c r="S4270" s="349">
        <v>202303</v>
      </c>
      <c r="T4270" s="353" t="s">
        <v>5810</v>
      </c>
      <c r="U4270" s="353"/>
      <c r="V4270" s="102"/>
      <c r="W4270" s="102"/>
      <c r="X4270" s="111"/>
      <c r="Y4270" s="111"/>
    </row>
    <row r="4271" s="10" customFormat="1" customHeight="1" spans="1:25">
      <c r="A4271" s="62" t="s">
        <v>61</v>
      </c>
      <c r="B4271" s="62" t="s">
        <v>5771</v>
      </c>
      <c r="C4271" s="62" t="s">
        <v>84</v>
      </c>
      <c r="D4271" s="62" t="s">
        <v>85</v>
      </c>
      <c r="E4271" s="47" t="s">
        <v>5778</v>
      </c>
      <c r="F4271" s="62" t="s">
        <v>5779</v>
      </c>
      <c r="G4271" s="62" t="s">
        <v>88</v>
      </c>
      <c r="H4271" s="102" t="s">
        <v>5801</v>
      </c>
      <c r="I4271" s="47" t="e">
        <f>VLOOKUP(H4271,'合同综合查询数据（3月返）'!$A:$A,1,FALSE)</f>
        <v>#N/A</v>
      </c>
      <c r="J4271" s="62" t="s">
        <v>126</v>
      </c>
      <c r="K4271" s="342" t="s">
        <v>4868</v>
      </c>
      <c r="L4271" s="329" t="s">
        <v>5798</v>
      </c>
      <c r="M4271" s="62" t="s">
        <v>5799</v>
      </c>
      <c r="N4271" s="111">
        <v>43432</v>
      </c>
      <c r="O4271" s="62" t="s">
        <v>1424</v>
      </c>
      <c r="P4271" s="124">
        <v>4450</v>
      </c>
      <c r="Q4271" s="112">
        <v>5</v>
      </c>
      <c r="R4271" s="124">
        <f t="shared" si="96"/>
        <v>22250</v>
      </c>
      <c r="S4271" s="349">
        <v>202303</v>
      </c>
      <c r="T4271" s="353" t="s">
        <v>5811</v>
      </c>
      <c r="U4271" s="353"/>
      <c r="V4271" s="102"/>
      <c r="W4271" s="102"/>
      <c r="X4271" s="111"/>
      <c r="Y4271" s="111"/>
    </row>
    <row r="4272" s="10" customFormat="1" customHeight="1" spans="1:25">
      <c r="A4272" s="62" t="s">
        <v>61</v>
      </c>
      <c r="B4272" s="62" t="s">
        <v>5771</v>
      </c>
      <c r="C4272" s="62" t="s">
        <v>84</v>
      </c>
      <c r="D4272" s="62" t="s">
        <v>85</v>
      </c>
      <c r="E4272" s="47" t="s">
        <v>5778</v>
      </c>
      <c r="F4272" s="62" t="s">
        <v>5779</v>
      </c>
      <c r="G4272" s="62" t="s">
        <v>88</v>
      </c>
      <c r="H4272" s="102" t="s">
        <v>5801</v>
      </c>
      <c r="I4272" s="47" t="e">
        <f>VLOOKUP(H4272,'合同综合查询数据（3月返）'!$A:$A,1,FALSE)</f>
        <v>#N/A</v>
      </c>
      <c r="J4272" s="62" t="s">
        <v>126</v>
      </c>
      <c r="K4272" s="342" t="s">
        <v>4868</v>
      </c>
      <c r="L4272" s="329" t="s">
        <v>5798</v>
      </c>
      <c r="M4272" s="62" t="s">
        <v>5799</v>
      </c>
      <c r="N4272" s="111">
        <v>44326</v>
      </c>
      <c r="O4272" s="62" t="s">
        <v>1424</v>
      </c>
      <c r="P4272" s="124">
        <v>4450</v>
      </c>
      <c r="Q4272" s="112">
        <v>-3</v>
      </c>
      <c r="R4272" s="124">
        <f t="shared" si="96"/>
        <v>-13350</v>
      </c>
      <c r="S4272" s="349">
        <v>202303</v>
      </c>
      <c r="T4272" s="353" t="s">
        <v>5812</v>
      </c>
      <c r="U4272" s="353"/>
      <c r="V4272" s="102"/>
      <c r="W4272" s="102"/>
      <c r="X4272" s="111"/>
      <c r="Y4272" s="111"/>
    </row>
    <row r="4273" s="10" customFormat="1" customHeight="1" spans="1:25">
      <c r="A4273" s="62" t="s">
        <v>61</v>
      </c>
      <c r="B4273" s="62" t="s">
        <v>5771</v>
      </c>
      <c r="C4273" s="62" t="s">
        <v>84</v>
      </c>
      <c r="D4273" s="62" t="s">
        <v>85</v>
      </c>
      <c r="E4273" s="47" t="s">
        <v>5778</v>
      </c>
      <c r="F4273" s="62" t="s">
        <v>5779</v>
      </c>
      <c r="G4273" s="62" t="s">
        <v>88</v>
      </c>
      <c r="H4273" s="102" t="s">
        <v>5808</v>
      </c>
      <c r="I4273" s="47" t="e">
        <f>VLOOKUP(H4273,'合同综合查询数据（3月返）'!$A:$A,1,FALSE)</f>
        <v>#N/A</v>
      </c>
      <c r="J4273" s="62" t="s">
        <v>126</v>
      </c>
      <c r="K4273" s="342" t="s">
        <v>4868</v>
      </c>
      <c r="L4273" s="329" t="s">
        <v>5798</v>
      </c>
      <c r="M4273" s="62" t="s">
        <v>5799</v>
      </c>
      <c r="N4273" s="111">
        <v>44575</v>
      </c>
      <c r="O4273" s="62" t="s">
        <v>1424</v>
      </c>
      <c r="P4273" s="124">
        <v>4450</v>
      </c>
      <c r="Q4273" s="112">
        <v>1</v>
      </c>
      <c r="R4273" s="124">
        <f t="shared" si="96"/>
        <v>4450</v>
      </c>
      <c r="S4273" s="349">
        <v>202303</v>
      </c>
      <c r="T4273" s="353" t="s">
        <v>5813</v>
      </c>
      <c r="U4273" s="353"/>
      <c r="V4273" s="102"/>
      <c r="W4273" s="102"/>
      <c r="X4273" s="111"/>
      <c r="Y4273" s="111"/>
    </row>
    <row r="4274" s="10" customFormat="1" customHeight="1" spans="1:25">
      <c r="A4274" s="62" t="s">
        <v>61</v>
      </c>
      <c r="B4274" s="62" t="s">
        <v>5771</v>
      </c>
      <c r="C4274" s="62" t="s">
        <v>84</v>
      </c>
      <c r="D4274" s="62" t="s">
        <v>85</v>
      </c>
      <c r="E4274" s="47" t="s">
        <v>5778</v>
      </c>
      <c r="F4274" s="62" t="s">
        <v>5779</v>
      </c>
      <c r="G4274" s="62" t="s">
        <v>88</v>
      </c>
      <c r="H4274" s="102" t="s">
        <v>5801</v>
      </c>
      <c r="I4274" s="47" t="e">
        <f>VLOOKUP(H4274,'合同综合查询数据（3月返）'!$A:$A,1,FALSE)</f>
        <v>#N/A</v>
      </c>
      <c r="J4274" s="62" t="s">
        <v>126</v>
      </c>
      <c r="K4274" s="342" t="s">
        <v>2912</v>
      </c>
      <c r="L4274" s="329" t="s">
        <v>5795</v>
      </c>
      <c r="M4274" s="62" t="s">
        <v>5796</v>
      </c>
      <c r="N4274" s="111">
        <v>43425</v>
      </c>
      <c r="O4274" s="62" t="s">
        <v>1424</v>
      </c>
      <c r="P4274" s="124">
        <v>4450</v>
      </c>
      <c r="Q4274" s="112">
        <v>1</v>
      </c>
      <c r="R4274" s="124">
        <f t="shared" si="96"/>
        <v>4450</v>
      </c>
      <c r="S4274" s="349">
        <v>202303</v>
      </c>
      <c r="T4274" s="353" t="s">
        <v>5814</v>
      </c>
      <c r="U4274" s="353"/>
      <c r="V4274" s="102"/>
      <c r="W4274" s="102"/>
      <c r="X4274" s="111"/>
      <c r="Y4274" s="111"/>
    </row>
    <row r="4275" s="10" customFormat="1" customHeight="1" spans="1:25">
      <c r="A4275" s="62" t="s">
        <v>61</v>
      </c>
      <c r="B4275" s="62" t="s">
        <v>5771</v>
      </c>
      <c r="C4275" s="62" t="s">
        <v>84</v>
      </c>
      <c r="D4275" s="62" t="s">
        <v>85</v>
      </c>
      <c r="E4275" s="47" t="s">
        <v>5778</v>
      </c>
      <c r="F4275" s="62" t="s">
        <v>5779</v>
      </c>
      <c r="G4275" s="62" t="s">
        <v>88</v>
      </c>
      <c r="H4275" s="102" t="s">
        <v>5801</v>
      </c>
      <c r="I4275" s="47" t="e">
        <f>VLOOKUP(H4275,'合同综合查询数据（3月返）'!$A:$A,1,FALSE)</f>
        <v>#N/A</v>
      </c>
      <c r="J4275" s="62" t="s">
        <v>126</v>
      </c>
      <c r="K4275" s="342" t="s">
        <v>3155</v>
      </c>
      <c r="L4275" s="329" t="s">
        <v>5792</v>
      </c>
      <c r="M4275" s="62" t="s">
        <v>5793</v>
      </c>
      <c r="N4275" s="111">
        <v>43496</v>
      </c>
      <c r="O4275" s="62" t="s">
        <v>1424</v>
      </c>
      <c r="P4275" s="124">
        <v>4450</v>
      </c>
      <c r="Q4275" s="112">
        <v>5</v>
      </c>
      <c r="R4275" s="124">
        <f t="shared" si="96"/>
        <v>22250</v>
      </c>
      <c r="S4275" s="349">
        <v>202303</v>
      </c>
      <c r="T4275" s="353" t="s">
        <v>5815</v>
      </c>
      <c r="U4275" s="353"/>
      <c r="V4275" s="102"/>
      <c r="W4275" s="102"/>
      <c r="X4275" s="111"/>
      <c r="Y4275" s="111"/>
    </row>
    <row r="4276" s="10" customFormat="1" customHeight="1" spans="1:25">
      <c r="A4276" s="62" t="s">
        <v>61</v>
      </c>
      <c r="B4276" s="62" t="s">
        <v>5771</v>
      </c>
      <c r="C4276" s="62" t="s">
        <v>84</v>
      </c>
      <c r="D4276" s="62" t="s">
        <v>85</v>
      </c>
      <c r="E4276" s="47" t="s">
        <v>5778</v>
      </c>
      <c r="F4276" s="62" t="s">
        <v>5779</v>
      </c>
      <c r="G4276" s="62" t="s">
        <v>88</v>
      </c>
      <c r="H4276" s="102" t="s">
        <v>5801</v>
      </c>
      <c r="I4276" s="47" t="e">
        <f>VLOOKUP(H4276,'合同综合查询数据（3月返）'!$A:$A,1,FALSE)</f>
        <v>#N/A</v>
      </c>
      <c r="J4276" s="62" t="s">
        <v>126</v>
      </c>
      <c r="K4276" s="342" t="s">
        <v>3155</v>
      </c>
      <c r="L4276" s="329" t="s">
        <v>5792</v>
      </c>
      <c r="M4276" s="62" t="s">
        <v>5793</v>
      </c>
      <c r="N4276" s="111">
        <v>44326</v>
      </c>
      <c r="O4276" s="62" t="s">
        <v>1424</v>
      </c>
      <c r="P4276" s="124">
        <v>4450</v>
      </c>
      <c r="Q4276" s="112">
        <v>-3</v>
      </c>
      <c r="R4276" s="124">
        <f t="shared" si="96"/>
        <v>-13350</v>
      </c>
      <c r="S4276" s="349">
        <v>202303</v>
      </c>
      <c r="T4276" s="353" t="s">
        <v>5816</v>
      </c>
      <c r="U4276" s="353"/>
      <c r="V4276" s="102"/>
      <c r="W4276" s="102"/>
      <c r="X4276" s="111"/>
      <c r="Y4276" s="111"/>
    </row>
    <row r="4277" s="10" customFormat="1" customHeight="1" spans="1:25">
      <c r="A4277" s="62" t="s">
        <v>61</v>
      </c>
      <c r="B4277" s="62" t="s">
        <v>5771</v>
      </c>
      <c r="C4277" s="62" t="s">
        <v>84</v>
      </c>
      <c r="D4277" s="62" t="s">
        <v>85</v>
      </c>
      <c r="E4277" s="47" t="s">
        <v>5778</v>
      </c>
      <c r="F4277" s="62" t="s">
        <v>5779</v>
      </c>
      <c r="G4277" s="62" t="s">
        <v>88</v>
      </c>
      <c r="H4277" s="102" t="s">
        <v>5801</v>
      </c>
      <c r="I4277" s="47" t="e">
        <f>VLOOKUP(H4277,'合同综合查询数据（3月返）'!$A:$A,1,FALSE)</f>
        <v>#N/A</v>
      </c>
      <c r="J4277" s="62" t="s">
        <v>126</v>
      </c>
      <c r="K4277" s="342" t="s">
        <v>3042</v>
      </c>
      <c r="L4277" s="329" t="s">
        <v>5789</v>
      </c>
      <c r="M4277" s="62" t="s">
        <v>5790</v>
      </c>
      <c r="N4277" s="111">
        <v>43496</v>
      </c>
      <c r="O4277" s="62" t="s">
        <v>1424</v>
      </c>
      <c r="P4277" s="124">
        <v>4450</v>
      </c>
      <c r="Q4277" s="112">
        <v>4</v>
      </c>
      <c r="R4277" s="124">
        <f t="shared" si="96"/>
        <v>17800</v>
      </c>
      <c r="S4277" s="349">
        <v>202303</v>
      </c>
      <c r="T4277" s="353" t="s">
        <v>5817</v>
      </c>
      <c r="U4277" s="353"/>
      <c r="V4277" s="102"/>
      <c r="W4277" s="102"/>
      <c r="X4277" s="111"/>
      <c r="Y4277" s="111"/>
    </row>
    <row r="4278" s="10" customFormat="1" customHeight="1" spans="1:25">
      <c r="A4278" s="62" t="s">
        <v>61</v>
      </c>
      <c r="B4278" s="62" t="s">
        <v>5771</v>
      </c>
      <c r="C4278" s="62" t="s">
        <v>84</v>
      </c>
      <c r="D4278" s="62" t="s">
        <v>85</v>
      </c>
      <c r="E4278" s="47" t="s">
        <v>5778</v>
      </c>
      <c r="F4278" s="62" t="s">
        <v>5779</v>
      </c>
      <c r="G4278" s="62" t="s">
        <v>88</v>
      </c>
      <c r="H4278" s="102" t="s">
        <v>5801</v>
      </c>
      <c r="I4278" s="47" t="e">
        <f>VLOOKUP(H4278,'合同综合查询数据（3月返）'!$A:$A,1,FALSE)</f>
        <v>#N/A</v>
      </c>
      <c r="J4278" s="62" t="s">
        <v>126</v>
      </c>
      <c r="K4278" s="342" t="s">
        <v>3042</v>
      </c>
      <c r="L4278" s="329" t="s">
        <v>5789</v>
      </c>
      <c r="M4278" s="62" t="s">
        <v>5790</v>
      </c>
      <c r="N4278" s="111">
        <v>44154</v>
      </c>
      <c r="O4278" s="62" t="s">
        <v>1424</v>
      </c>
      <c r="P4278" s="124">
        <v>4450</v>
      </c>
      <c r="Q4278" s="112">
        <v>-4</v>
      </c>
      <c r="R4278" s="124">
        <f t="shared" si="96"/>
        <v>-17800</v>
      </c>
      <c r="S4278" s="349">
        <v>202303</v>
      </c>
      <c r="T4278" s="353" t="s">
        <v>5818</v>
      </c>
      <c r="U4278" s="353"/>
      <c r="V4278" s="102"/>
      <c r="W4278" s="102"/>
      <c r="X4278" s="111"/>
      <c r="Y4278" s="111"/>
    </row>
    <row r="4279" s="10" customFormat="1" customHeight="1" spans="1:25">
      <c r="A4279" s="62" t="s">
        <v>61</v>
      </c>
      <c r="B4279" s="62" t="s">
        <v>5771</v>
      </c>
      <c r="C4279" s="62" t="s">
        <v>84</v>
      </c>
      <c r="D4279" s="62" t="s">
        <v>85</v>
      </c>
      <c r="E4279" s="47" t="s">
        <v>5778</v>
      </c>
      <c r="F4279" s="62" t="s">
        <v>5779</v>
      </c>
      <c r="G4279" s="62" t="s">
        <v>88</v>
      </c>
      <c r="H4279" s="102" t="s">
        <v>5801</v>
      </c>
      <c r="I4279" s="47" t="e">
        <f>VLOOKUP(H4279,'合同综合查询数据（3月返）'!$A:$A,1,FALSE)</f>
        <v>#N/A</v>
      </c>
      <c r="J4279" s="62" t="s">
        <v>126</v>
      </c>
      <c r="K4279" s="342" t="s">
        <v>3042</v>
      </c>
      <c r="L4279" s="329" t="s">
        <v>5789</v>
      </c>
      <c r="M4279" s="62" t="s">
        <v>5790</v>
      </c>
      <c r="N4279" s="111">
        <v>44154</v>
      </c>
      <c r="O4279" s="62" t="s">
        <v>1424</v>
      </c>
      <c r="P4279" s="124">
        <v>4450</v>
      </c>
      <c r="Q4279" s="112">
        <v>2</v>
      </c>
      <c r="R4279" s="124">
        <f t="shared" si="96"/>
        <v>8900</v>
      </c>
      <c r="S4279" s="349">
        <v>202303</v>
      </c>
      <c r="T4279" s="353" t="s">
        <v>5819</v>
      </c>
      <c r="U4279" s="353"/>
      <c r="V4279" s="102"/>
      <c r="W4279" s="102"/>
      <c r="X4279" s="111"/>
      <c r="Y4279" s="111"/>
    </row>
    <row r="4280" s="10" customFormat="1" customHeight="1" spans="1:25">
      <c r="A4280" s="62" t="s">
        <v>61</v>
      </c>
      <c r="B4280" s="62" t="s">
        <v>5771</v>
      </c>
      <c r="C4280" s="62" t="s">
        <v>84</v>
      </c>
      <c r="D4280" s="62" t="s">
        <v>85</v>
      </c>
      <c r="E4280" s="47" t="s">
        <v>5778</v>
      </c>
      <c r="F4280" s="62" t="s">
        <v>5779</v>
      </c>
      <c r="G4280" s="62" t="s">
        <v>88</v>
      </c>
      <c r="H4280" s="102" t="s">
        <v>5808</v>
      </c>
      <c r="I4280" s="47" t="e">
        <f>VLOOKUP(H4280,'合同综合查询数据（3月返）'!$A:$A,1,FALSE)</f>
        <v>#N/A</v>
      </c>
      <c r="J4280" s="62" t="s">
        <v>126</v>
      </c>
      <c r="K4280" s="342" t="s">
        <v>3042</v>
      </c>
      <c r="L4280" s="329" t="s">
        <v>5789</v>
      </c>
      <c r="M4280" s="62" t="s">
        <v>5790</v>
      </c>
      <c r="N4280" s="111">
        <v>44579</v>
      </c>
      <c r="O4280" s="62" t="s">
        <v>1424</v>
      </c>
      <c r="P4280" s="124">
        <v>4450</v>
      </c>
      <c r="Q4280" s="112">
        <v>1</v>
      </c>
      <c r="R4280" s="124">
        <f t="shared" si="96"/>
        <v>4450</v>
      </c>
      <c r="S4280" s="349">
        <v>202303</v>
      </c>
      <c r="T4280" s="353" t="s">
        <v>5820</v>
      </c>
      <c r="U4280" s="353"/>
      <c r="V4280" s="102"/>
      <c r="W4280" s="102"/>
      <c r="X4280" s="111"/>
      <c r="Y4280" s="111"/>
    </row>
    <row r="4281" s="10" customFormat="1" customHeight="1" spans="1:25">
      <c r="A4281" s="62" t="s">
        <v>61</v>
      </c>
      <c r="B4281" s="62" t="s">
        <v>5771</v>
      </c>
      <c r="C4281" s="62" t="s">
        <v>84</v>
      </c>
      <c r="D4281" s="62" t="s">
        <v>85</v>
      </c>
      <c r="E4281" s="47" t="s">
        <v>5778</v>
      </c>
      <c r="F4281" s="62" t="s">
        <v>5779</v>
      </c>
      <c r="G4281" s="62" t="s">
        <v>88</v>
      </c>
      <c r="H4281" s="102" t="s">
        <v>5801</v>
      </c>
      <c r="I4281" s="47" t="e">
        <f>VLOOKUP(H4281,'合同综合查询数据（3月返）'!$A:$A,1,FALSE)</f>
        <v>#N/A</v>
      </c>
      <c r="J4281" s="62" t="s">
        <v>126</v>
      </c>
      <c r="K4281" s="342" t="s">
        <v>63</v>
      </c>
      <c r="L4281" s="329" t="s">
        <v>5781</v>
      </c>
      <c r="M4281" s="62" t="s">
        <v>5782</v>
      </c>
      <c r="N4281" s="111">
        <v>43777</v>
      </c>
      <c r="O4281" s="62" t="s">
        <v>1424</v>
      </c>
      <c r="P4281" s="124">
        <v>4450</v>
      </c>
      <c r="Q4281" s="112">
        <v>8</v>
      </c>
      <c r="R4281" s="124">
        <f t="shared" si="96"/>
        <v>35600</v>
      </c>
      <c r="S4281" s="349">
        <v>202303</v>
      </c>
      <c r="T4281" s="353" t="s">
        <v>5821</v>
      </c>
      <c r="U4281" s="353"/>
      <c r="V4281" s="102"/>
      <c r="W4281" s="102"/>
      <c r="X4281" s="111"/>
      <c r="Y4281" s="111"/>
    </row>
    <row r="4282" s="10" customFormat="1" customHeight="1" spans="1:25">
      <c r="A4282" s="62" t="s">
        <v>61</v>
      </c>
      <c r="B4282" s="62" t="s">
        <v>5771</v>
      </c>
      <c r="C4282" s="62" t="s">
        <v>84</v>
      </c>
      <c r="D4282" s="62" t="s">
        <v>85</v>
      </c>
      <c r="E4282" s="47" t="s">
        <v>5778</v>
      </c>
      <c r="F4282" s="62" t="s">
        <v>5779</v>
      </c>
      <c r="G4282" s="62" t="s">
        <v>88</v>
      </c>
      <c r="H4282" s="102" t="s">
        <v>5801</v>
      </c>
      <c r="I4282" s="47" t="e">
        <f>VLOOKUP(H4282,'合同综合查询数据（3月返）'!$A:$A,1,FALSE)</f>
        <v>#N/A</v>
      </c>
      <c r="J4282" s="62" t="s">
        <v>126</v>
      </c>
      <c r="K4282" s="342" t="s">
        <v>63</v>
      </c>
      <c r="L4282" s="329" t="s">
        <v>5781</v>
      </c>
      <c r="M4282" s="62" t="s">
        <v>5782</v>
      </c>
      <c r="N4282" s="111">
        <v>44326</v>
      </c>
      <c r="O4282" s="62" t="s">
        <v>1424</v>
      </c>
      <c r="P4282" s="124">
        <v>4450</v>
      </c>
      <c r="Q4282" s="112">
        <v>-4</v>
      </c>
      <c r="R4282" s="124">
        <f t="shared" si="96"/>
        <v>-17800</v>
      </c>
      <c r="S4282" s="349">
        <v>202303</v>
      </c>
      <c r="T4282" s="353" t="s">
        <v>5822</v>
      </c>
      <c r="U4282" s="353"/>
      <c r="V4282" s="102"/>
      <c r="W4282" s="102"/>
      <c r="X4282" s="111"/>
      <c r="Y4282" s="111"/>
    </row>
    <row r="4283" s="10" customFormat="1" customHeight="1" spans="1:25">
      <c r="A4283" s="62" t="s">
        <v>61</v>
      </c>
      <c r="B4283" s="62" t="s">
        <v>5771</v>
      </c>
      <c r="C4283" s="62" t="s">
        <v>84</v>
      </c>
      <c r="D4283" s="62" t="s">
        <v>85</v>
      </c>
      <c r="E4283" s="47" t="s">
        <v>5778</v>
      </c>
      <c r="F4283" s="62" t="s">
        <v>5779</v>
      </c>
      <c r="G4283" s="62" t="s">
        <v>88</v>
      </c>
      <c r="H4283" s="102" t="s">
        <v>5801</v>
      </c>
      <c r="I4283" s="47" t="e">
        <f>VLOOKUP(H4283,'合同综合查询数据（3月返）'!$A:$A,1,FALSE)</f>
        <v>#N/A</v>
      </c>
      <c r="J4283" s="62" t="s">
        <v>126</v>
      </c>
      <c r="K4283" s="342" t="s">
        <v>63</v>
      </c>
      <c r="L4283" s="329" t="s">
        <v>5781</v>
      </c>
      <c r="M4283" s="62" t="s">
        <v>5782</v>
      </c>
      <c r="N4283" s="111">
        <v>44574</v>
      </c>
      <c r="O4283" s="62" t="s">
        <v>1424</v>
      </c>
      <c r="P4283" s="124">
        <v>4450</v>
      </c>
      <c r="Q4283" s="112">
        <v>-1</v>
      </c>
      <c r="R4283" s="124">
        <f t="shared" si="96"/>
        <v>-4450</v>
      </c>
      <c r="S4283" s="349">
        <v>202303</v>
      </c>
      <c r="T4283" s="353" t="s">
        <v>5823</v>
      </c>
      <c r="U4283" s="353"/>
      <c r="V4283" s="102"/>
      <c r="W4283" s="102"/>
      <c r="X4283" s="111"/>
      <c r="Y4283" s="111"/>
    </row>
    <row r="4284" s="9" customFormat="1" customHeight="1" spans="1:25">
      <c r="A4284" s="94" t="s">
        <v>61</v>
      </c>
      <c r="B4284" s="94" t="s">
        <v>5771</v>
      </c>
      <c r="C4284" s="94" t="s">
        <v>63</v>
      </c>
      <c r="D4284" s="94" t="s">
        <v>85</v>
      </c>
      <c r="E4284" s="23" t="s">
        <v>5824</v>
      </c>
      <c r="F4284" s="94" t="s">
        <v>5825</v>
      </c>
      <c r="G4284" s="94" t="s">
        <v>67</v>
      </c>
      <c r="H4284" s="97" t="s">
        <v>5826</v>
      </c>
      <c r="I4284" s="23" t="e">
        <f>VLOOKUP(H4284,'合同综合查询数据（3月返）'!$A:$A,1,FALSE)</f>
        <v>#N/A</v>
      </c>
      <c r="J4284" s="94" t="s">
        <v>69</v>
      </c>
      <c r="K4284" s="344" t="s">
        <v>5827</v>
      </c>
      <c r="L4284" s="94"/>
      <c r="M4284" s="94"/>
      <c r="N4284" s="106">
        <v>43444</v>
      </c>
      <c r="O4284" s="94" t="s">
        <v>71</v>
      </c>
      <c r="P4284" s="116">
        <v>1200</v>
      </c>
      <c r="Q4284" s="107">
        <v>5.8</v>
      </c>
      <c r="R4284" s="116">
        <f t="shared" si="96"/>
        <v>6960</v>
      </c>
      <c r="S4284" s="298">
        <v>202303</v>
      </c>
      <c r="T4284" s="354" t="s">
        <v>5828</v>
      </c>
      <c r="U4284" s="354"/>
      <c r="V4284" s="97"/>
      <c r="W4284" s="97"/>
      <c r="X4284" s="106">
        <v>44166</v>
      </c>
      <c r="Y4284" s="106">
        <v>45260</v>
      </c>
    </row>
    <row r="4285" s="9" customFormat="1" customHeight="1" spans="1:25">
      <c r="A4285" s="94" t="s">
        <v>61</v>
      </c>
      <c r="B4285" s="94" t="s">
        <v>5771</v>
      </c>
      <c r="C4285" s="94" t="s">
        <v>63</v>
      </c>
      <c r="D4285" s="94" t="s">
        <v>85</v>
      </c>
      <c r="E4285" s="23" t="s">
        <v>5824</v>
      </c>
      <c r="F4285" s="94" t="s">
        <v>5825</v>
      </c>
      <c r="G4285" s="94" t="s">
        <v>67</v>
      </c>
      <c r="H4285" s="97" t="s">
        <v>5826</v>
      </c>
      <c r="I4285" s="23" t="e">
        <f>VLOOKUP(H4285,'合同综合查询数据（3月返）'!$A:$A,1,FALSE)</f>
        <v>#N/A</v>
      </c>
      <c r="J4285" s="94" t="s">
        <v>69</v>
      </c>
      <c r="K4285" s="344" t="s">
        <v>5827</v>
      </c>
      <c r="L4285" s="94"/>
      <c r="M4285" s="94"/>
      <c r="N4285" s="106">
        <v>43503</v>
      </c>
      <c r="O4285" s="94" t="s">
        <v>71</v>
      </c>
      <c r="P4285" s="116">
        <v>1200</v>
      </c>
      <c r="Q4285" s="107">
        <v>5.8</v>
      </c>
      <c r="R4285" s="116">
        <f t="shared" si="96"/>
        <v>6960</v>
      </c>
      <c r="S4285" s="298">
        <v>202303</v>
      </c>
      <c r="T4285" s="354" t="s">
        <v>5828</v>
      </c>
      <c r="U4285" s="354"/>
      <c r="V4285" s="97"/>
      <c r="W4285" s="97"/>
      <c r="X4285" s="106">
        <v>44166</v>
      </c>
      <c r="Y4285" s="106">
        <v>45260</v>
      </c>
    </row>
    <row r="4286" s="9" customFormat="1" customHeight="1" spans="1:25">
      <c r="A4286" s="94" t="s">
        <v>61</v>
      </c>
      <c r="B4286" s="94" t="s">
        <v>5771</v>
      </c>
      <c r="C4286" s="94" t="s">
        <v>63</v>
      </c>
      <c r="D4286" s="94" t="s">
        <v>85</v>
      </c>
      <c r="E4286" s="23" t="s">
        <v>5824</v>
      </c>
      <c r="F4286" s="94" t="s">
        <v>5825</v>
      </c>
      <c r="G4286" s="94" t="s">
        <v>67</v>
      </c>
      <c r="H4286" s="97" t="s">
        <v>5826</v>
      </c>
      <c r="I4286" s="23" t="e">
        <f>VLOOKUP(H4286,'合同综合查询数据（3月返）'!$A:$A,1,FALSE)</f>
        <v>#N/A</v>
      </c>
      <c r="J4286" s="94" t="s">
        <v>69</v>
      </c>
      <c r="K4286" s="344" t="s">
        <v>5827</v>
      </c>
      <c r="L4286" s="94"/>
      <c r="M4286" s="94"/>
      <c r="N4286" s="106">
        <v>43623</v>
      </c>
      <c r="O4286" s="94" t="s">
        <v>71</v>
      </c>
      <c r="P4286" s="116">
        <v>1200</v>
      </c>
      <c r="Q4286" s="107">
        <v>5.8</v>
      </c>
      <c r="R4286" s="116">
        <f t="shared" si="96"/>
        <v>6960</v>
      </c>
      <c r="S4286" s="298">
        <v>202303</v>
      </c>
      <c r="T4286" s="354" t="s">
        <v>5828</v>
      </c>
      <c r="U4286" s="354"/>
      <c r="V4286" s="97"/>
      <c r="W4286" s="97"/>
      <c r="X4286" s="106">
        <v>44166</v>
      </c>
      <c r="Y4286" s="106">
        <v>45260</v>
      </c>
    </row>
    <row r="4287" s="10" customFormat="1" customHeight="1" spans="1:25">
      <c r="A4287" s="62" t="s">
        <v>129</v>
      </c>
      <c r="B4287" s="62" t="s">
        <v>5829</v>
      </c>
      <c r="C4287" s="62" t="s">
        <v>3134</v>
      </c>
      <c r="D4287" s="62" t="s">
        <v>85</v>
      </c>
      <c r="E4287" s="47" t="s">
        <v>5830</v>
      </c>
      <c r="F4287" s="62" t="s">
        <v>5831</v>
      </c>
      <c r="G4287" s="62" t="s">
        <v>31</v>
      </c>
      <c r="H4287" s="102" t="s">
        <v>5832</v>
      </c>
      <c r="I4287" s="47" t="e">
        <f>VLOOKUP(H4287,'合同综合查询数据（3月返）'!$A:$A,1,FALSE)</f>
        <v>#N/A</v>
      </c>
      <c r="J4287" s="62" t="s">
        <v>33</v>
      </c>
      <c r="K4287" s="329" t="s">
        <v>5833</v>
      </c>
      <c r="L4287" s="329" t="s">
        <v>5833</v>
      </c>
      <c r="M4287" s="62" t="s">
        <v>5834</v>
      </c>
      <c r="N4287" s="111">
        <v>44621</v>
      </c>
      <c r="O4287" s="62" t="s">
        <v>37</v>
      </c>
      <c r="P4287" s="124">
        <v>0</v>
      </c>
      <c r="Q4287" s="299">
        <v>128</v>
      </c>
      <c r="R4287" s="124">
        <f t="shared" si="96"/>
        <v>0</v>
      </c>
      <c r="S4287" s="349">
        <v>202303</v>
      </c>
      <c r="T4287" s="352" t="s">
        <v>5835</v>
      </c>
      <c r="U4287" s="352"/>
      <c r="V4287" s="355"/>
      <c r="W4287" s="356"/>
      <c r="X4287" s="111"/>
      <c r="Y4287" s="111"/>
    </row>
    <row r="4288" s="10" customFormat="1" customHeight="1" spans="1:25">
      <c r="A4288" s="62" t="s">
        <v>129</v>
      </c>
      <c r="B4288" s="62" t="s">
        <v>5829</v>
      </c>
      <c r="C4288" s="62" t="s">
        <v>3134</v>
      </c>
      <c r="D4288" s="62" t="s">
        <v>85</v>
      </c>
      <c r="E4288" s="47" t="s">
        <v>5830</v>
      </c>
      <c r="F4288" s="62" t="s">
        <v>5831</v>
      </c>
      <c r="G4288" s="62" t="s">
        <v>31</v>
      </c>
      <c r="H4288" s="102" t="s">
        <v>5832</v>
      </c>
      <c r="I4288" s="47" t="e">
        <f>VLOOKUP(H4288,'合同综合查询数据（3月返）'!$A:$A,1,FALSE)</f>
        <v>#N/A</v>
      </c>
      <c r="J4288" s="62" t="s">
        <v>33</v>
      </c>
      <c r="K4288" s="329" t="s">
        <v>5833</v>
      </c>
      <c r="L4288" s="329" t="s">
        <v>5833</v>
      </c>
      <c r="M4288" s="62" t="s">
        <v>5834</v>
      </c>
      <c r="N4288" s="111">
        <v>44621</v>
      </c>
      <c r="O4288" s="62" t="s">
        <v>37</v>
      </c>
      <c r="P4288" s="124">
        <v>50</v>
      </c>
      <c r="Q4288" s="299">
        <v>256</v>
      </c>
      <c r="R4288" s="124">
        <f t="shared" si="96"/>
        <v>12800</v>
      </c>
      <c r="S4288" s="349">
        <v>202303</v>
      </c>
      <c r="T4288" s="352" t="s">
        <v>5836</v>
      </c>
      <c r="U4288" s="352"/>
      <c r="V4288" s="355"/>
      <c r="W4288" s="356"/>
      <c r="X4288" s="111"/>
      <c r="Y4288" s="111"/>
    </row>
    <row r="4289" s="10" customFormat="1" customHeight="1" spans="1:25">
      <c r="A4289" s="62" t="s">
        <v>129</v>
      </c>
      <c r="B4289" s="62" t="s">
        <v>5829</v>
      </c>
      <c r="C4289" s="62" t="s">
        <v>3134</v>
      </c>
      <c r="D4289" s="62" t="s">
        <v>85</v>
      </c>
      <c r="E4289" s="47" t="s">
        <v>5830</v>
      </c>
      <c r="F4289" s="62" t="s">
        <v>5831</v>
      </c>
      <c r="G4289" s="62" t="s">
        <v>31</v>
      </c>
      <c r="H4289" s="102" t="s">
        <v>5832</v>
      </c>
      <c r="I4289" s="47" t="e">
        <f>VLOOKUP(H4289,'合同综合查询数据（3月返）'!$A:$A,1,FALSE)</f>
        <v>#N/A</v>
      </c>
      <c r="J4289" s="62" t="s">
        <v>33</v>
      </c>
      <c r="K4289" s="329" t="s">
        <v>5833</v>
      </c>
      <c r="L4289" s="329" t="s">
        <v>5833</v>
      </c>
      <c r="M4289" s="62" t="s">
        <v>5834</v>
      </c>
      <c r="N4289" s="111">
        <v>44652</v>
      </c>
      <c r="O4289" s="62" t="s">
        <v>37</v>
      </c>
      <c r="P4289" s="124">
        <v>50</v>
      </c>
      <c r="Q4289" s="299">
        <v>128</v>
      </c>
      <c r="R4289" s="124">
        <f t="shared" si="96"/>
        <v>6400</v>
      </c>
      <c r="S4289" s="349">
        <v>202303</v>
      </c>
      <c r="T4289" s="352" t="s">
        <v>5837</v>
      </c>
      <c r="U4289" s="352"/>
      <c r="V4289" s="355"/>
      <c r="W4289" s="356"/>
      <c r="X4289" s="111"/>
      <c r="Y4289" s="111"/>
    </row>
    <row r="4290" s="10" customFormat="1" customHeight="1" spans="1:25">
      <c r="A4290" s="62" t="s">
        <v>129</v>
      </c>
      <c r="B4290" s="62" t="s">
        <v>5829</v>
      </c>
      <c r="C4290" s="62" t="s">
        <v>3134</v>
      </c>
      <c r="D4290" s="62" t="s">
        <v>85</v>
      </c>
      <c r="E4290" s="47" t="s">
        <v>5830</v>
      </c>
      <c r="F4290" s="62" t="s">
        <v>5831</v>
      </c>
      <c r="G4290" s="62" t="s">
        <v>31</v>
      </c>
      <c r="H4290" s="102" t="s">
        <v>5832</v>
      </c>
      <c r="I4290" s="47" t="e">
        <f>VLOOKUP(H4290,'合同综合查询数据（3月返）'!$A:$A,1,FALSE)</f>
        <v>#N/A</v>
      </c>
      <c r="J4290" s="62" t="s">
        <v>33</v>
      </c>
      <c r="K4290" s="329" t="s">
        <v>5833</v>
      </c>
      <c r="L4290" s="329" t="s">
        <v>5833</v>
      </c>
      <c r="M4290" s="62" t="s">
        <v>5834</v>
      </c>
      <c r="N4290" s="111">
        <v>44652</v>
      </c>
      <c r="O4290" s="111" t="s">
        <v>152</v>
      </c>
      <c r="P4290" s="124">
        <v>100</v>
      </c>
      <c r="Q4290" s="299">
        <v>1</v>
      </c>
      <c r="R4290" s="124">
        <f t="shared" si="96"/>
        <v>100</v>
      </c>
      <c r="S4290" s="349">
        <v>202303</v>
      </c>
      <c r="T4290" s="352" t="s">
        <v>5838</v>
      </c>
      <c r="U4290" s="102"/>
      <c r="V4290" s="102"/>
      <c r="W4290" s="102"/>
      <c r="X4290" s="111"/>
      <c r="Y4290" s="111"/>
    </row>
    <row r="4291" s="10" customFormat="1" customHeight="1" spans="1:25">
      <c r="A4291" s="62" t="s">
        <v>129</v>
      </c>
      <c r="B4291" s="62" t="s">
        <v>5829</v>
      </c>
      <c r="C4291" s="62" t="s">
        <v>3134</v>
      </c>
      <c r="D4291" s="62" t="s">
        <v>85</v>
      </c>
      <c r="E4291" s="47" t="s">
        <v>5830</v>
      </c>
      <c r="F4291" s="62" t="s">
        <v>5831</v>
      </c>
      <c r="G4291" s="62" t="s">
        <v>31</v>
      </c>
      <c r="H4291" s="102" t="s">
        <v>5832</v>
      </c>
      <c r="I4291" s="47" t="e">
        <f>VLOOKUP(H4291,'合同综合查询数据（3月返）'!$A:$A,1,FALSE)</f>
        <v>#N/A</v>
      </c>
      <c r="J4291" s="62" t="s">
        <v>33</v>
      </c>
      <c r="K4291" s="329" t="s">
        <v>5833</v>
      </c>
      <c r="L4291" s="329" t="s">
        <v>5833</v>
      </c>
      <c r="M4291" s="62" t="s">
        <v>5834</v>
      </c>
      <c r="N4291" s="111">
        <v>44652</v>
      </c>
      <c r="O4291" s="111" t="s">
        <v>152</v>
      </c>
      <c r="P4291" s="124"/>
      <c r="Q4291" s="299">
        <v>1</v>
      </c>
      <c r="R4291" s="124">
        <f t="shared" si="96"/>
        <v>0</v>
      </c>
      <c r="S4291" s="349">
        <v>202303</v>
      </c>
      <c r="T4291" s="352" t="s">
        <v>5839</v>
      </c>
      <c r="U4291" s="102"/>
      <c r="V4291" s="102"/>
      <c r="W4291" s="102"/>
      <c r="X4291" s="111"/>
      <c r="Y4291" s="111"/>
    </row>
    <row r="4292" s="10" customFormat="1" customHeight="1" spans="1:25">
      <c r="A4292" s="62" t="s">
        <v>129</v>
      </c>
      <c r="B4292" s="62" t="s">
        <v>5829</v>
      </c>
      <c r="C4292" s="62" t="s">
        <v>3134</v>
      </c>
      <c r="D4292" s="62" t="s">
        <v>85</v>
      </c>
      <c r="E4292" s="47" t="s">
        <v>5830</v>
      </c>
      <c r="F4292" s="62" t="s">
        <v>5831</v>
      </c>
      <c r="G4292" s="62" t="s">
        <v>88</v>
      </c>
      <c r="H4292" s="102" t="s">
        <v>5832</v>
      </c>
      <c r="I4292" s="47" t="e">
        <f>VLOOKUP(H4292,'合同综合查询数据（3月返）'!$A:$A,1,FALSE)</f>
        <v>#N/A</v>
      </c>
      <c r="J4292" s="62" t="s">
        <v>126</v>
      </c>
      <c r="K4292" s="329" t="s">
        <v>5833</v>
      </c>
      <c r="L4292" s="329" t="s">
        <v>5833</v>
      </c>
      <c r="M4292" s="62" t="s">
        <v>5834</v>
      </c>
      <c r="N4292" s="111">
        <v>44621</v>
      </c>
      <c r="O4292" s="62" t="s">
        <v>461</v>
      </c>
      <c r="P4292" s="124">
        <v>5000</v>
      </c>
      <c r="Q4292" s="112">
        <v>25</v>
      </c>
      <c r="R4292" s="124">
        <f t="shared" si="96"/>
        <v>125000</v>
      </c>
      <c r="S4292" s="349">
        <v>202303</v>
      </c>
      <c r="T4292" s="352" t="s">
        <v>5840</v>
      </c>
      <c r="U4292" s="352"/>
      <c r="V4292" s="355"/>
      <c r="W4292" s="356"/>
      <c r="X4292" s="111"/>
      <c r="Y4292" s="111"/>
    </row>
    <row r="4293" s="10" customFormat="1" customHeight="1" spans="1:25">
      <c r="A4293" s="62" t="s">
        <v>129</v>
      </c>
      <c r="B4293" s="62" t="s">
        <v>5829</v>
      </c>
      <c r="C4293" s="62" t="s">
        <v>3134</v>
      </c>
      <c r="D4293" s="62" t="s">
        <v>85</v>
      </c>
      <c r="E4293" s="47" t="s">
        <v>5830</v>
      </c>
      <c r="F4293" s="62" t="s">
        <v>5831</v>
      </c>
      <c r="G4293" s="62" t="s">
        <v>88</v>
      </c>
      <c r="H4293" s="102" t="s">
        <v>5832</v>
      </c>
      <c r="I4293" s="47" t="e">
        <f>VLOOKUP(H4293,'合同综合查询数据（3月返）'!$A:$A,1,FALSE)</f>
        <v>#N/A</v>
      </c>
      <c r="J4293" s="62" t="s">
        <v>126</v>
      </c>
      <c r="K4293" s="329" t="s">
        <v>5833</v>
      </c>
      <c r="L4293" s="329" t="s">
        <v>5833</v>
      </c>
      <c r="M4293" s="62" t="s">
        <v>5834</v>
      </c>
      <c r="N4293" s="111">
        <v>44652</v>
      </c>
      <c r="O4293" s="62" t="s">
        <v>461</v>
      </c>
      <c r="P4293" s="124">
        <v>5000</v>
      </c>
      <c r="Q4293" s="112">
        <v>1</v>
      </c>
      <c r="R4293" s="124">
        <f t="shared" si="96"/>
        <v>5000</v>
      </c>
      <c r="S4293" s="349">
        <v>202303</v>
      </c>
      <c r="T4293" s="352" t="s">
        <v>5841</v>
      </c>
      <c r="U4293" s="352"/>
      <c r="V4293" s="355"/>
      <c r="W4293" s="356"/>
      <c r="X4293" s="111"/>
      <c r="Y4293" s="111"/>
    </row>
    <row r="4294" s="10" customFormat="1" customHeight="1" spans="1:25">
      <c r="A4294" s="62" t="s">
        <v>129</v>
      </c>
      <c r="B4294" s="62" t="s">
        <v>5829</v>
      </c>
      <c r="C4294" s="62" t="s">
        <v>3134</v>
      </c>
      <c r="D4294" s="62" t="s">
        <v>85</v>
      </c>
      <c r="E4294" s="47" t="s">
        <v>5830</v>
      </c>
      <c r="F4294" s="62" t="s">
        <v>5831</v>
      </c>
      <c r="G4294" s="62" t="s">
        <v>88</v>
      </c>
      <c r="H4294" s="102" t="s">
        <v>5832</v>
      </c>
      <c r="I4294" s="47" t="e">
        <f>VLOOKUP(H4294,'合同综合查询数据（3月返）'!$A:$A,1,FALSE)</f>
        <v>#N/A</v>
      </c>
      <c r="J4294" s="62" t="s">
        <v>126</v>
      </c>
      <c r="K4294" s="329" t="s">
        <v>5833</v>
      </c>
      <c r="L4294" s="329" t="s">
        <v>5833</v>
      </c>
      <c r="M4294" s="62" t="s">
        <v>5834</v>
      </c>
      <c r="N4294" s="111">
        <v>44675</v>
      </c>
      <c r="O4294" s="62" t="s">
        <v>461</v>
      </c>
      <c r="P4294" s="124">
        <v>5000</v>
      </c>
      <c r="Q4294" s="112">
        <v>9</v>
      </c>
      <c r="R4294" s="124">
        <f t="shared" si="96"/>
        <v>45000</v>
      </c>
      <c r="S4294" s="349">
        <v>202303</v>
      </c>
      <c r="T4294" s="352" t="s">
        <v>5842</v>
      </c>
      <c r="U4294" s="352"/>
      <c r="V4294" s="355"/>
      <c r="W4294" s="356"/>
      <c r="X4294" s="111"/>
      <c r="Y4294" s="111"/>
    </row>
    <row r="4295" s="10" customFormat="1" customHeight="1" spans="1:25">
      <c r="A4295" s="62" t="s">
        <v>61</v>
      </c>
      <c r="B4295" s="62" t="s">
        <v>5771</v>
      </c>
      <c r="C4295" s="62" t="s">
        <v>84</v>
      </c>
      <c r="D4295" s="62" t="s">
        <v>85</v>
      </c>
      <c r="E4295" s="47" t="s">
        <v>5843</v>
      </c>
      <c r="F4295" s="62" t="s">
        <v>5844</v>
      </c>
      <c r="G4295" s="62" t="s">
        <v>67</v>
      </c>
      <c r="H4295" s="102" t="s">
        <v>5845</v>
      </c>
      <c r="I4295" s="47" t="e">
        <f>VLOOKUP(H4295,'合同综合查询数据（3月返）'!$A:$A,1,FALSE)</f>
        <v>#N/A</v>
      </c>
      <c r="J4295" s="62" t="s">
        <v>69</v>
      </c>
      <c r="K4295" s="342" t="s">
        <v>5776</v>
      </c>
      <c r="L4295" s="62"/>
      <c r="M4295" s="62"/>
      <c r="N4295" s="111">
        <v>44317</v>
      </c>
      <c r="O4295" s="62" t="s">
        <v>71</v>
      </c>
      <c r="P4295" s="124">
        <v>180000</v>
      </c>
      <c r="Q4295" s="112">
        <v>1</v>
      </c>
      <c r="R4295" s="124">
        <f t="shared" si="96"/>
        <v>180000</v>
      </c>
      <c r="S4295" s="349">
        <v>202303</v>
      </c>
      <c r="T4295" s="353" t="s">
        <v>5846</v>
      </c>
      <c r="U4295" s="353"/>
      <c r="V4295" s="102"/>
      <c r="W4295" s="102"/>
      <c r="X4295" s="111"/>
      <c r="Y4295" s="62"/>
    </row>
    <row r="4296" s="10" customFormat="1" customHeight="1" spans="1:25">
      <c r="A4296" s="62" t="s">
        <v>61</v>
      </c>
      <c r="B4296" s="62" t="s">
        <v>5771</v>
      </c>
      <c r="C4296" s="62" t="s">
        <v>84</v>
      </c>
      <c r="D4296" s="62" t="s">
        <v>85</v>
      </c>
      <c r="E4296" s="47" t="s">
        <v>5843</v>
      </c>
      <c r="F4296" s="62" t="s">
        <v>5844</v>
      </c>
      <c r="G4296" s="62" t="s">
        <v>67</v>
      </c>
      <c r="H4296" s="102" t="s">
        <v>5845</v>
      </c>
      <c r="I4296" s="47" t="e">
        <f>VLOOKUP(H4296,'合同综合查询数据（3月返）'!$A:$A,1,FALSE)</f>
        <v>#N/A</v>
      </c>
      <c r="J4296" s="62" t="s">
        <v>69</v>
      </c>
      <c r="K4296" s="342" t="s">
        <v>5776</v>
      </c>
      <c r="L4296" s="62"/>
      <c r="M4296" s="62"/>
      <c r="N4296" s="111">
        <v>44592</v>
      </c>
      <c r="O4296" s="62" t="s">
        <v>71</v>
      </c>
      <c r="P4296" s="124">
        <v>180000</v>
      </c>
      <c r="Q4296" s="112">
        <v>-1</v>
      </c>
      <c r="R4296" s="124">
        <f t="shared" si="96"/>
        <v>-180000</v>
      </c>
      <c r="S4296" s="349">
        <v>202303</v>
      </c>
      <c r="T4296" s="353" t="s">
        <v>5847</v>
      </c>
      <c r="U4296" s="353"/>
      <c r="V4296" s="102"/>
      <c r="W4296" s="102"/>
      <c r="X4296" s="111"/>
      <c r="Y4296" s="62"/>
    </row>
    <row r="4297" s="10" customFormat="1" customHeight="1" spans="1:25">
      <c r="A4297" s="62" t="s">
        <v>61</v>
      </c>
      <c r="B4297" s="62" t="s">
        <v>5771</v>
      </c>
      <c r="C4297" s="62" t="s">
        <v>84</v>
      </c>
      <c r="D4297" s="62" t="s">
        <v>85</v>
      </c>
      <c r="E4297" s="47" t="s">
        <v>5848</v>
      </c>
      <c r="F4297" s="62" t="s">
        <v>5849</v>
      </c>
      <c r="G4297" s="62" t="s">
        <v>31</v>
      </c>
      <c r="H4297" s="102" t="s">
        <v>5850</v>
      </c>
      <c r="I4297" s="47" t="e">
        <f>VLOOKUP(H4297,'合同综合查询数据（3月返）'!$A:$A,1,FALSE)</f>
        <v>#N/A</v>
      </c>
      <c r="J4297" s="62" t="s">
        <v>33</v>
      </c>
      <c r="K4297" s="62" t="s">
        <v>63</v>
      </c>
      <c r="L4297" s="329" t="s">
        <v>5851</v>
      </c>
      <c r="M4297" s="62" t="s">
        <v>5852</v>
      </c>
      <c r="N4297" s="111" t="s">
        <v>1225</v>
      </c>
      <c r="O4297" s="62" t="s">
        <v>37</v>
      </c>
      <c r="P4297" s="343">
        <v>0</v>
      </c>
      <c r="Q4297" s="270">
        <v>256</v>
      </c>
      <c r="R4297" s="124">
        <f t="shared" si="96"/>
        <v>0</v>
      </c>
      <c r="S4297" s="349">
        <v>202303</v>
      </c>
      <c r="T4297" s="352" t="s">
        <v>5853</v>
      </c>
      <c r="U4297" s="352"/>
      <c r="V4297" s="58"/>
      <c r="W4297" s="126"/>
      <c r="X4297" s="111"/>
      <c r="Y4297" s="111"/>
    </row>
    <row r="4298" s="10" customFormat="1" customHeight="1" spans="1:25">
      <c r="A4298" s="62" t="s">
        <v>61</v>
      </c>
      <c r="B4298" s="62" t="s">
        <v>5771</v>
      </c>
      <c r="C4298" s="62" t="s">
        <v>84</v>
      </c>
      <c r="D4298" s="62" t="s">
        <v>85</v>
      </c>
      <c r="E4298" s="47" t="s">
        <v>5848</v>
      </c>
      <c r="F4298" s="62" t="s">
        <v>5849</v>
      </c>
      <c r="G4298" s="62" t="s">
        <v>31</v>
      </c>
      <c r="H4298" s="102" t="s">
        <v>5850</v>
      </c>
      <c r="I4298" s="47" t="e">
        <f>VLOOKUP(H4298,'合同综合查询数据（3月返）'!$A:$A,1,FALSE)</f>
        <v>#N/A</v>
      </c>
      <c r="J4298" s="62" t="s">
        <v>33</v>
      </c>
      <c r="K4298" s="62" t="s">
        <v>40</v>
      </c>
      <c r="L4298" s="329" t="s">
        <v>5854</v>
      </c>
      <c r="M4298" s="62" t="s">
        <v>5855</v>
      </c>
      <c r="N4298" s="111" t="s">
        <v>1225</v>
      </c>
      <c r="O4298" s="62" t="s">
        <v>37</v>
      </c>
      <c r="P4298" s="343">
        <v>0</v>
      </c>
      <c r="Q4298" s="270">
        <v>128</v>
      </c>
      <c r="R4298" s="124">
        <f t="shared" si="96"/>
        <v>0</v>
      </c>
      <c r="S4298" s="349">
        <v>202303</v>
      </c>
      <c r="T4298" s="352" t="s">
        <v>5856</v>
      </c>
      <c r="U4298" s="352"/>
      <c r="V4298" s="58"/>
      <c r="W4298" s="126"/>
      <c r="X4298" s="111"/>
      <c r="Y4298" s="111"/>
    </row>
    <row r="4299" s="10" customFormat="1" customHeight="1" spans="1:25">
      <c r="A4299" s="62" t="s">
        <v>61</v>
      </c>
      <c r="B4299" s="62" t="s">
        <v>5771</v>
      </c>
      <c r="C4299" s="62" t="s">
        <v>84</v>
      </c>
      <c r="D4299" s="62" t="s">
        <v>85</v>
      </c>
      <c r="E4299" s="47" t="s">
        <v>5848</v>
      </c>
      <c r="F4299" s="62" t="s">
        <v>5849</v>
      </c>
      <c r="G4299" s="62" t="s">
        <v>31</v>
      </c>
      <c r="H4299" s="102" t="s">
        <v>5850</v>
      </c>
      <c r="I4299" s="47" t="e">
        <f>VLOOKUP(H4299,'合同综合查询数据（3月返）'!$A:$A,1,FALSE)</f>
        <v>#N/A</v>
      </c>
      <c r="J4299" s="62" t="s">
        <v>33</v>
      </c>
      <c r="K4299" s="62" t="s">
        <v>744</v>
      </c>
      <c r="L4299" s="329" t="s">
        <v>5857</v>
      </c>
      <c r="M4299" s="62" t="s">
        <v>5858</v>
      </c>
      <c r="N4299" s="111" t="s">
        <v>1225</v>
      </c>
      <c r="O4299" s="62" t="s">
        <v>37</v>
      </c>
      <c r="P4299" s="343">
        <v>0</v>
      </c>
      <c r="Q4299" s="270">
        <v>128</v>
      </c>
      <c r="R4299" s="124">
        <f t="shared" si="96"/>
        <v>0</v>
      </c>
      <c r="S4299" s="349">
        <v>202303</v>
      </c>
      <c r="T4299" s="352" t="s">
        <v>5859</v>
      </c>
      <c r="U4299" s="352"/>
      <c r="V4299" s="58"/>
      <c r="W4299" s="126"/>
      <c r="X4299" s="111"/>
      <c r="Y4299" s="111"/>
    </row>
    <row r="4300" s="9" customFormat="1" customHeight="1" spans="1:25">
      <c r="A4300" s="94" t="s">
        <v>61</v>
      </c>
      <c r="B4300" s="94" t="s">
        <v>5771</v>
      </c>
      <c r="C4300" s="94" t="s">
        <v>84</v>
      </c>
      <c r="D4300" s="94" t="s">
        <v>85</v>
      </c>
      <c r="E4300" s="23" t="s">
        <v>5848</v>
      </c>
      <c r="F4300" s="94" t="s">
        <v>5849</v>
      </c>
      <c r="G4300" s="94" t="s">
        <v>88</v>
      </c>
      <c r="H4300" s="97" t="s">
        <v>5860</v>
      </c>
      <c r="I4300" s="23" t="e">
        <f>VLOOKUP(H4300,'合同综合查询数据（3月返）'!$A:$A,1,FALSE)</f>
        <v>#N/A</v>
      </c>
      <c r="J4300" s="94" t="s">
        <v>126</v>
      </c>
      <c r="K4300" s="94" t="s">
        <v>63</v>
      </c>
      <c r="L4300" s="281" t="s">
        <v>5851</v>
      </c>
      <c r="M4300" s="94" t="s">
        <v>5852</v>
      </c>
      <c r="N4300" s="106">
        <v>41640</v>
      </c>
      <c r="O4300" s="106" t="s">
        <v>457</v>
      </c>
      <c r="P4300" s="116">
        <v>6000</v>
      </c>
      <c r="Q4300" s="107">
        <v>2</v>
      </c>
      <c r="R4300" s="116">
        <f t="shared" si="96"/>
        <v>12000</v>
      </c>
      <c r="S4300" s="298">
        <v>202303</v>
      </c>
      <c r="T4300" s="357" t="s">
        <v>5861</v>
      </c>
      <c r="U4300" s="357"/>
      <c r="V4300" s="358"/>
      <c r="W4300" s="358"/>
      <c r="X4300" s="106">
        <v>44317</v>
      </c>
      <c r="Y4300" s="106">
        <v>45046</v>
      </c>
    </row>
    <row r="4301" s="9" customFormat="1" customHeight="1" spans="1:25">
      <c r="A4301" s="94" t="s">
        <v>61</v>
      </c>
      <c r="B4301" s="94" t="s">
        <v>5771</v>
      </c>
      <c r="C4301" s="94" t="s">
        <v>84</v>
      </c>
      <c r="D4301" s="94" t="s">
        <v>85</v>
      </c>
      <c r="E4301" s="23" t="s">
        <v>5848</v>
      </c>
      <c r="F4301" s="94" t="s">
        <v>5849</v>
      </c>
      <c r="G4301" s="94" t="s">
        <v>88</v>
      </c>
      <c r="H4301" s="97" t="s">
        <v>5860</v>
      </c>
      <c r="I4301" s="23" t="e">
        <f>VLOOKUP(H4301,'合同综合查询数据（3月返）'!$A:$A,1,FALSE)</f>
        <v>#N/A</v>
      </c>
      <c r="J4301" s="94" t="s">
        <v>126</v>
      </c>
      <c r="K4301" s="94" t="s">
        <v>63</v>
      </c>
      <c r="L4301" s="281" t="s">
        <v>5851</v>
      </c>
      <c r="M4301" s="94" t="s">
        <v>5852</v>
      </c>
      <c r="N4301" s="106">
        <v>44531</v>
      </c>
      <c r="O4301" s="106" t="s">
        <v>457</v>
      </c>
      <c r="P4301" s="116">
        <v>6000</v>
      </c>
      <c r="Q4301" s="107">
        <v>1</v>
      </c>
      <c r="R4301" s="116">
        <f t="shared" si="96"/>
        <v>6000</v>
      </c>
      <c r="S4301" s="298">
        <v>202303</v>
      </c>
      <c r="T4301" s="357" t="s">
        <v>5862</v>
      </c>
      <c r="U4301" s="357"/>
      <c r="V4301" s="358"/>
      <c r="W4301" s="358"/>
      <c r="X4301" s="106">
        <v>44317</v>
      </c>
      <c r="Y4301" s="106">
        <v>45046</v>
      </c>
    </row>
    <row r="4302" s="9" customFormat="1" customHeight="1" spans="1:25">
      <c r="A4302" s="94" t="s">
        <v>61</v>
      </c>
      <c r="B4302" s="94" t="s">
        <v>5771</v>
      </c>
      <c r="C4302" s="94" t="s">
        <v>84</v>
      </c>
      <c r="D4302" s="94" t="s">
        <v>85</v>
      </c>
      <c r="E4302" s="23" t="s">
        <v>5848</v>
      </c>
      <c r="F4302" s="94" t="s">
        <v>5849</v>
      </c>
      <c r="G4302" s="94" t="s">
        <v>88</v>
      </c>
      <c r="H4302" s="97" t="s">
        <v>5860</v>
      </c>
      <c r="I4302" s="23" t="e">
        <f>VLOOKUP(H4302,'合同综合查询数据（3月返）'!$A:$A,1,FALSE)</f>
        <v>#N/A</v>
      </c>
      <c r="J4302" s="94" t="s">
        <v>126</v>
      </c>
      <c r="K4302" s="94" t="s">
        <v>744</v>
      </c>
      <c r="L4302" s="281" t="s">
        <v>5857</v>
      </c>
      <c r="M4302" s="94" t="s">
        <v>5858</v>
      </c>
      <c r="N4302" s="106">
        <v>43333</v>
      </c>
      <c r="O4302" s="106" t="s">
        <v>624</v>
      </c>
      <c r="P4302" s="116">
        <v>6000</v>
      </c>
      <c r="Q4302" s="107">
        <v>1</v>
      </c>
      <c r="R4302" s="116">
        <f t="shared" si="96"/>
        <v>6000</v>
      </c>
      <c r="S4302" s="298">
        <v>202303</v>
      </c>
      <c r="T4302" s="357" t="s">
        <v>5863</v>
      </c>
      <c r="U4302" s="357"/>
      <c r="V4302" s="358"/>
      <c r="W4302" s="358"/>
      <c r="X4302" s="106">
        <v>44317</v>
      </c>
      <c r="Y4302" s="106">
        <v>45046</v>
      </c>
    </row>
    <row r="4303" s="9" customFormat="1" customHeight="1" spans="1:25">
      <c r="A4303" s="94" t="s">
        <v>61</v>
      </c>
      <c r="B4303" s="94" t="s">
        <v>5771</v>
      </c>
      <c r="C4303" s="94" t="s">
        <v>84</v>
      </c>
      <c r="D4303" s="94" t="s">
        <v>85</v>
      </c>
      <c r="E4303" s="23" t="s">
        <v>5848</v>
      </c>
      <c r="F4303" s="94" t="s">
        <v>5849</v>
      </c>
      <c r="G4303" s="94" t="s">
        <v>88</v>
      </c>
      <c r="H4303" s="97" t="s">
        <v>5860</v>
      </c>
      <c r="I4303" s="23" t="e">
        <f>VLOOKUP(H4303,'合同综合查询数据（3月返）'!$A:$A,1,FALSE)</f>
        <v>#N/A</v>
      </c>
      <c r="J4303" s="94" t="s">
        <v>126</v>
      </c>
      <c r="K4303" s="94" t="s">
        <v>40</v>
      </c>
      <c r="L4303" s="281" t="s">
        <v>5854</v>
      </c>
      <c r="M4303" s="94" t="s">
        <v>5855</v>
      </c>
      <c r="N4303" s="106">
        <v>43330</v>
      </c>
      <c r="O4303" s="106" t="s">
        <v>624</v>
      </c>
      <c r="P4303" s="116">
        <v>6000</v>
      </c>
      <c r="Q4303" s="107">
        <v>1</v>
      </c>
      <c r="R4303" s="116">
        <f t="shared" si="96"/>
        <v>6000</v>
      </c>
      <c r="S4303" s="298">
        <v>202303</v>
      </c>
      <c r="T4303" s="357" t="s">
        <v>5864</v>
      </c>
      <c r="U4303" s="357"/>
      <c r="V4303" s="358"/>
      <c r="W4303" s="358"/>
      <c r="X4303" s="106">
        <v>44317</v>
      </c>
      <c r="Y4303" s="106">
        <v>45046</v>
      </c>
    </row>
    <row r="4304" s="10" customFormat="1" customHeight="1" spans="1:25">
      <c r="A4304" s="62" t="s">
        <v>61</v>
      </c>
      <c r="B4304" s="62" t="s">
        <v>5771</v>
      </c>
      <c r="C4304" s="62" t="s">
        <v>84</v>
      </c>
      <c r="D4304" s="62" t="s">
        <v>85</v>
      </c>
      <c r="E4304" s="47" t="s">
        <v>5848</v>
      </c>
      <c r="F4304" s="62" t="s">
        <v>5849</v>
      </c>
      <c r="G4304" s="62" t="s">
        <v>67</v>
      </c>
      <c r="H4304" s="102" t="s">
        <v>5865</v>
      </c>
      <c r="I4304" s="47" t="e">
        <f>VLOOKUP(H4304,'合同综合查询数据（3月返）'!$A:$A,1,FALSE)</f>
        <v>#N/A</v>
      </c>
      <c r="J4304" s="62" t="s">
        <v>69</v>
      </c>
      <c r="K4304" s="62" t="s">
        <v>5866</v>
      </c>
      <c r="L4304" s="329"/>
      <c r="M4304" s="62"/>
      <c r="N4304" s="111">
        <v>42347</v>
      </c>
      <c r="O4304" s="111" t="s">
        <v>71</v>
      </c>
      <c r="P4304" s="124">
        <v>89200</v>
      </c>
      <c r="Q4304" s="112">
        <v>1</v>
      </c>
      <c r="R4304" s="124">
        <f t="shared" si="96"/>
        <v>89200</v>
      </c>
      <c r="S4304" s="349">
        <v>202303</v>
      </c>
      <c r="T4304" s="352" t="s">
        <v>5867</v>
      </c>
      <c r="U4304" s="352"/>
      <c r="V4304" s="356"/>
      <c r="W4304" s="356"/>
      <c r="X4304" s="111"/>
      <c r="Y4304" s="62"/>
    </row>
    <row r="4305" s="10" customFormat="1" customHeight="1" spans="1:25">
      <c r="A4305" s="62" t="s">
        <v>61</v>
      </c>
      <c r="B4305" s="62" t="s">
        <v>5771</v>
      </c>
      <c r="C4305" s="62" t="s">
        <v>84</v>
      </c>
      <c r="D4305" s="62" t="s">
        <v>85</v>
      </c>
      <c r="E4305" s="47" t="s">
        <v>5848</v>
      </c>
      <c r="F4305" s="62" t="s">
        <v>5849</v>
      </c>
      <c r="G4305" s="62" t="s">
        <v>67</v>
      </c>
      <c r="H4305" s="102" t="s">
        <v>5865</v>
      </c>
      <c r="I4305" s="47" t="e">
        <f>VLOOKUP(H4305,'合同综合查询数据（3月返）'!$A:$A,1,FALSE)</f>
        <v>#N/A</v>
      </c>
      <c r="J4305" s="62" t="s">
        <v>69</v>
      </c>
      <c r="K4305" s="62" t="s">
        <v>5866</v>
      </c>
      <c r="L4305" s="329"/>
      <c r="M4305" s="62"/>
      <c r="N4305" s="111">
        <v>44316</v>
      </c>
      <c r="O4305" s="111" t="s">
        <v>71</v>
      </c>
      <c r="P4305" s="124">
        <v>89200</v>
      </c>
      <c r="Q4305" s="112">
        <v>-1</v>
      </c>
      <c r="R4305" s="124">
        <f t="shared" si="96"/>
        <v>-89200</v>
      </c>
      <c r="S4305" s="349">
        <v>202303</v>
      </c>
      <c r="T4305" s="352" t="s">
        <v>5868</v>
      </c>
      <c r="U4305" s="352"/>
      <c r="V4305" s="356"/>
      <c r="W4305" s="356"/>
      <c r="X4305" s="111"/>
      <c r="Y4305" s="62"/>
    </row>
    <row r="4306" s="10" customFormat="1" customHeight="1" spans="1:25">
      <c r="A4306" s="62" t="s">
        <v>61</v>
      </c>
      <c r="B4306" s="62" t="s">
        <v>5771</v>
      </c>
      <c r="C4306" s="62" t="s">
        <v>63</v>
      </c>
      <c r="D4306" s="62" t="s">
        <v>85</v>
      </c>
      <c r="E4306" s="47" t="s">
        <v>5848</v>
      </c>
      <c r="F4306" s="62" t="s">
        <v>5849</v>
      </c>
      <c r="G4306" s="62" t="s">
        <v>31</v>
      </c>
      <c r="H4306" s="102" t="s">
        <v>5869</v>
      </c>
      <c r="I4306" s="47" t="e">
        <f>VLOOKUP(H4306,'合同综合查询数据（3月返）'!$A:$A,1,FALSE)</f>
        <v>#N/A</v>
      </c>
      <c r="J4306" s="62" t="s">
        <v>33</v>
      </c>
      <c r="K4306" s="62"/>
      <c r="L4306" s="329" t="s">
        <v>5870</v>
      </c>
      <c r="M4306" s="62" t="s">
        <v>5871</v>
      </c>
      <c r="N4306" s="111">
        <v>44652</v>
      </c>
      <c r="O4306" s="62" t="s">
        <v>37</v>
      </c>
      <c r="P4306" s="124">
        <v>0</v>
      </c>
      <c r="Q4306" s="299">
        <v>160</v>
      </c>
      <c r="R4306" s="124">
        <f t="shared" si="96"/>
        <v>0</v>
      </c>
      <c r="S4306" s="349">
        <v>202303</v>
      </c>
      <c r="T4306" s="352" t="s">
        <v>5872</v>
      </c>
      <c r="U4306" s="352"/>
      <c r="V4306" s="355"/>
      <c r="W4306" s="356"/>
      <c r="X4306" s="111"/>
      <c r="Y4306" s="62"/>
    </row>
    <row r="4307" s="10" customFormat="1" customHeight="1" spans="1:25">
      <c r="A4307" s="62" t="s">
        <v>61</v>
      </c>
      <c r="B4307" s="62" t="s">
        <v>5771</v>
      </c>
      <c r="C4307" s="62" t="s">
        <v>63</v>
      </c>
      <c r="D4307" s="62" t="s">
        <v>85</v>
      </c>
      <c r="E4307" s="47" t="s">
        <v>5848</v>
      </c>
      <c r="F4307" s="62" t="s">
        <v>5849</v>
      </c>
      <c r="G4307" s="62" t="s">
        <v>31</v>
      </c>
      <c r="H4307" s="102" t="s">
        <v>5869</v>
      </c>
      <c r="I4307" s="47" t="e">
        <f>VLOOKUP(H4307,'合同综合查询数据（3月返）'!$A:$A,1,FALSE)</f>
        <v>#N/A</v>
      </c>
      <c r="J4307" s="62" t="s">
        <v>33</v>
      </c>
      <c r="K4307" s="62"/>
      <c r="L4307" s="329" t="s">
        <v>5870</v>
      </c>
      <c r="M4307" s="62" t="s">
        <v>5871</v>
      </c>
      <c r="N4307" s="111">
        <v>44681</v>
      </c>
      <c r="O4307" s="62" t="s">
        <v>37</v>
      </c>
      <c r="P4307" s="124">
        <v>0</v>
      </c>
      <c r="Q4307" s="299">
        <v>-160</v>
      </c>
      <c r="R4307" s="124">
        <f t="shared" si="96"/>
        <v>0</v>
      </c>
      <c r="S4307" s="349">
        <v>202303</v>
      </c>
      <c r="T4307" s="352"/>
      <c r="U4307" s="352"/>
      <c r="V4307" s="355"/>
      <c r="W4307" s="356"/>
      <c r="X4307" s="111"/>
      <c r="Y4307" s="62"/>
    </row>
    <row r="4308" s="10" customFormat="1" customHeight="1" spans="1:25">
      <c r="A4308" s="62" t="s">
        <v>61</v>
      </c>
      <c r="B4308" s="62" t="s">
        <v>5771</v>
      </c>
      <c r="C4308" s="62" t="s">
        <v>84</v>
      </c>
      <c r="D4308" s="62" t="s">
        <v>85</v>
      </c>
      <c r="E4308" s="47" t="s">
        <v>5848</v>
      </c>
      <c r="F4308" s="62" t="s">
        <v>5849</v>
      </c>
      <c r="G4308" s="62" t="s">
        <v>88</v>
      </c>
      <c r="H4308" s="102" t="s">
        <v>5869</v>
      </c>
      <c r="I4308" s="47" t="e">
        <f>VLOOKUP(H4308,'合同综合查询数据（3月返）'!$A:$A,1,FALSE)</f>
        <v>#N/A</v>
      </c>
      <c r="J4308" s="62" t="s">
        <v>126</v>
      </c>
      <c r="K4308" s="62" t="s">
        <v>3335</v>
      </c>
      <c r="L4308" s="329" t="s">
        <v>5873</v>
      </c>
      <c r="M4308" s="62" t="s">
        <v>5871</v>
      </c>
      <c r="N4308" s="111">
        <v>44652</v>
      </c>
      <c r="O4308" s="111" t="s">
        <v>127</v>
      </c>
      <c r="P4308" s="124">
        <v>0</v>
      </c>
      <c r="Q4308" s="112">
        <v>1</v>
      </c>
      <c r="R4308" s="124">
        <f t="shared" ref="R4308:R4371" si="97">ROUND(P4308*Q4308,2)</f>
        <v>0</v>
      </c>
      <c r="S4308" s="349">
        <v>202303</v>
      </c>
      <c r="T4308" s="352" t="s">
        <v>5874</v>
      </c>
      <c r="U4308" s="352"/>
      <c r="V4308" s="356"/>
      <c r="W4308" s="356"/>
      <c r="X4308" s="111"/>
      <c r="Y4308" s="62"/>
    </row>
    <row r="4309" s="10" customFormat="1" customHeight="1" spans="1:25">
      <c r="A4309" s="62" t="s">
        <v>61</v>
      </c>
      <c r="B4309" s="62" t="s">
        <v>5771</v>
      </c>
      <c r="C4309" s="62" t="s">
        <v>84</v>
      </c>
      <c r="D4309" s="62" t="s">
        <v>85</v>
      </c>
      <c r="E4309" s="47" t="s">
        <v>5848</v>
      </c>
      <c r="F4309" s="62" t="s">
        <v>5849</v>
      </c>
      <c r="G4309" s="62" t="s">
        <v>88</v>
      </c>
      <c r="H4309" s="102" t="s">
        <v>5869</v>
      </c>
      <c r="I4309" s="47" t="e">
        <f>VLOOKUP(H4309,'合同综合查询数据（3月返）'!$A:$A,1,FALSE)</f>
        <v>#N/A</v>
      </c>
      <c r="J4309" s="62" t="s">
        <v>126</v>
      </c>
      <c r="K4309" s="62" t="s">
        <v>3335</v>
      </c>
      <c r="L4309" s="329" t="s">
        <v>5873</v>
      </c>
      <c r="M4309" s="62" t="s">
        <v>5871</v>
      </c>
      <c r="N4309" s="111">
        <v>44681</v>
      </c>
      <c r="O4309" s="111" t="s">
        <v>127</v>
      </c>
      <c r="P4309" s="124">
        <v>0</v>
      </c>
      <c r="Q4309" s="112">
        <v>-1</v>
      </c>
      <c r="R4309" s="124">
        <f t="shared" si="97"/>
        <v>0</v>
      </c>
      <c r="S4309" s="349">
        <v>202303</v>
      </c>
      <c r="T4309" s="352"/>
      <c r="U4309" s="352"/>
      <c r="V4309" s="356"/>
      <c r="W4309" s="356"/>
      <c r="X4309" s="111"/>
      <c r="Y4309" s="62"/>
    </row>
    <row r="4310" s="9" customFormat="1" customHeight="1" spans="1:25">
      <c r="A4310" s="94" t="s">
        <v>61</v>
      </c>
      <c r="B4310" s="94" t="s">
        <v>5875</v>
      </c>
      <c r="C4310" s="94" t="s">
        <v>44</v>
      </c>
      <c r="D4310" s="94" t="s">
        <v>85</v>
      </c>
      <c r="E4310" s="23" t="s">
        <v>5876</v>
      </c>
      <c r="F4310" s="94" t="s">
        <v>5877</v>
      </c>
      <c r="G4310" s="94" t="s">
        <v>31</v>
      </c>
      <c r="H4310" s="97" t="s">
        <v>5878</v>
      </c>
      <c r="I4310" s="23" t="e">
        <f>VLOOKUP(H4310,'合同综合查询数据（3月返）'!$A:$A,1,FALSE)</f>
        <v>#N/A</v>
      </c>
      <c r="J4310" s="94" t="s">
        <v>33</v>
      </c>
      <c r="K4310" s="94" t="s">
        <v>5879</v>
      </c>
      <c r="L4310" s="281" t="s">
        <v>5880</v>
      </c>
      <c r="M4310" s="94" t="s">
        <v>5881</v>
      </c>
      <c r="N4310" s="106">
        <v>44819</v>
      </c>
      <c r="O4310" s="94" t="s">
        <v>37</v>
      </c>
      <c r="P4310" s="116">
        <v>0</v>
      </c>
      <c r="Q4310" s="297">
        <v>128</v>
      </c>
      <c r="R4310" s="116">
        <f t="shared" si="97"/>
        <v>0</v>
      </c>
      <c r="S4310" s="298">
        <v>202303</v>
      </c>
      <c r="T4310" s="357" t="s">
        <v>5882</v>
      </c>
      <c r="U4310" s="97"/>
      <c r="V4310" s="97"/>
      <c r="W4310" s="97"/>
      <c r="X4310" s="106">
        <v>44774</v>
      </c>
      <c r="Y4310" s="106">
        <v>45138</v>
      </c>
    </row>
    <row r="4311" s="9" customFormat="1" customHeight="1" spans="1:25">
      <c r="A4311" s="94" t="s">
        <v>61</v>
      </c>
      <c r="B4311" s="94" t="s">
        <v>5875</v>
      </c>
      <c r="C4311" s="94" t="s">
        <v>44</v>
      </c>
      <c r="D4311" s="94" t="s">
        <v>85</v>
      </c>
      <c r="E4311" s="23" t="s">
        <v>5876</v>
      </c>
      <c r="F4311" s="94" t="s">
        <v>5877</v>
      </c>
      <c r="G4311" s="94" t="s">
        <v>88</v>
      </c>
      <c r="H4311" s="97" t="s">
        <v>5878</v>
      </c>
      <c r="I4311" s="23" t="e">
        <f>VLOOKUP(H4311,'合同综合查询数据（3月返）'!$A:$A,1,FALSE)</f>
        <v>#N/A</v>
      </c>
      <c r="J4311" s="94" t="s">
        <v>126</v>
      </c>
      <c r="K4311" s="94" t="s">
        <v>5879</v>
      </c>
      <c r="L4311" s="281" t="s">
        <v>5880</v>
      </c>
      <c r="M4311" s="94" t="s">
        <v>5881</v>
      </c>
      <c r="N4311" s="106">
        <v>44819</v>
      </c>
      <c r="O4311" s="94" t="s">
        <v>92</v>
      </c>
      <c r="P4311" s="116">
        <v>0</v>
      </c>
      <c r="Q4311" s="107">
        <v>2</v>
      </c>
      <c r="R4311" s="116">
        <f t="shared" si="97"/>
        <v>0</v>
      </c>
      <c r="S4311" s="298">
        <v>202303</v>
      </c>
      <c r="T4311" s="357" t="s">
        <v>5883</v>
      </c>
      <c r="U4311" s="97"/>
      <c r="V4311" s="97"/>
      <c r="W4311" s="97"/>
      <c r="X4311" s="106">
        <v>44774</v>
      </c>
      <c r="Y4311" s="106">
        <v>45138</v>
      </c>
    </row>
    <row r="4312" s="9" customFormat="1" customHeight="1" spans="1:25">
      <c r="A4312" s="94" t="s">
        <v>25</v>
      </c>
      <c r="B4312" s="94" t="s">
        <v>5875</v>
      </c>
      <c r="C4312" s="94" t="s">
        <v>44</v>
      </c>
      <c r="D4312" s="94" t="s">
        <v>566</v>
      </c>
      <c r="E4312" s="23" t="s">
        <v>5240</v>
      </c>
      <c r="F4312" s="94" t="s">
        <v>5884</v>
      </c>
      <c r="G4312" s="94" t="s">
        <v>31</v>
      </c>
      <c r="H4312" s="97" t="s">
        <v>5885</v>
      </c>
      <c r="I4312" s="23" t="e">
        <f>VLOOKUP(H4312,'合同综合查询数据（3月返）'!$A:$A,1,FALSE)</f>
        <v>#N/A</v>
      </c>
      <c r="J4312" s="94" t="s">
        <v>33</v>
      </c>
      <c r="K4312" s="94" t="s">
        <v>5886</v>
      </c>
      <c r="L4312" s="281" t="s">
        <v>5887</v>
      </c>
      <c r="M4312" s="94" t="s">
        <v>5888</v>
      </c>
      <c r="N4312" s="106">
        <v>44713</v>
      </c>
      <c r="O4312" s="94" t="s">
        <v>37</v>
      </c>
      <c r="P4312" s="116">
        <v>0</v>
      </c>
      <c r="Q4312" s="297">
        <v>288</v>
      </c>
      <c r="R4312" s="116">
        <f t="shared" si="97"/>
        <v>0</v>
      </c>
      <c r="S4312" s="298">
        <v>202303</v>
      </c>
      <c r="T4312" s="357" t="s">
        <v>5889</v>
      </c>
      <c r="U4312" s="357"/>
      <c r="V4312" s="330"/>
      <c r="W4312" s="358"/>
      <c r="X4312" s="106">
        <v>44713</v>
      </c>
      <c r="Y4312" s="106">
        <v>45077</v>
      </c>
    </row>
    <row r="4313" s="9" customFormat="1" customHeight="1" spans="1:25">
      <c r="A4313" s="94" t="s">
        <v>25</v>
      </c>
      <c r="B4313" s="94" t="s">
        <v>5875</v>
      </c>
      <c r="C4313" s="94" t="s">
        <v>44</v>
      </c>
      <c r="D4313" s="94" t="s">
        <v>566</v>
      </c>
      <c r="E4313" s="23" t="s">
        <v>5240</v>
      </c>
      <c r="F4313" s="94" t="s">
        <v>5884</v>
      </c>
      <c r="G4313" s="94" t="s">
        <v>88</v>
      </c>
      <c r="H4313" s="97" t="s">
        <v>5885</v>
      </c>
      <c r="I4313" s="23" t="e">
        <f>VLOOKUP(H4313,'合同综合查询数据（3月返）'!$A:$A,1,FALSE)</f>
        <v>#N/A</v>
      </c>
      <c r="J4313" s="94" t="s">
        <v>126</v>
      </c>
      <c r="K4313" s="94" t="s">
        <v>5886</v>
      </c>
      <c r="L4313" s="281" t="s">
        <v>5887</v>
      </c>
      <c r="M4313" s="94" t="s">
        <v>5888</v>
      </c>
      <c r="N4313" s="106">
        <v>44713</v>
      </c>
      <c r="O4313" s="94" t="s">
        <v>92</v>
      </c>
      <c r="P4313" s="116">
        <v>4000</v>
      </c>
      <c r="Q4313" s="107">
        <v>6</v>
      </c>
      <c r="R4313" s="116">
        <f t="shared" si="97"/>
        <v>24000</v>
      </c>
      <c r="S4313" s="298">
        <v>202303</v>
      </c>
      <c r="T4313" s="357" t="s">
        <v>5890</v>
      </c>
      <c r="U4313" s="357"/>
      <c r="V4313" s="330"/>
      <c r="W4313" s="358"/>
      <c r="X4313" s="106">
        <v>44713</v>
      </c>
      <c r="Y4313" s="106">
        <v>45077</v>
      </c>
    </row>
    <row r="4314" s="9" customFormat="1" customHeight="1" spans="1:25">
      <c r="A4314" s="94" t="s">
        <v>25</v>
      </c>
      <c r="B4314" s="94" t="s">
        <v>5875</v>
      </c>
      <c r="C4314" s="94" t="s">
        <v>44</v>
      </c>
      <c r="D4314" s="94" t="s">
        <v>566</v>
      </c>
      <c r="E4314" s="23" t="s">
        <v>5240</v>
      </c>
      <c r="F4314" s="94" t="s">
        <v>5884</v>
      </c>
      <c r="G4314" s="94" t="s">
        <v>67</v>
      </c>
      <c r="H4314" s="97" t="s">
        <v>5885</v>
      </c>
      <c r="I4314" s="23" t="e">
        <f>VLOOKUP(H4314,'合同综合查询数据（3月返）'!$A:$A,1,FALSE)</f>
        <v>#N/A</v>
      </c>
      <c r="J4314" s="94" t="s">
        <v>69</v>
      </c>
      <c r="K4314" s="94" t="s">
        <v>5886</v>
      </c>
      <c r="L4314" s="281" t="s">
        <v>5887</v>
      </c>
      <c r="M4314" s="94" t="s">
        <v>5888</v>
      </c>
      <c r="N4314" s="106">
        <v>44713</v>
      </c>
      <c r="O4314" s="94" t="s">
        <v>5891</v>
      </c>
      <c r="P4314" s="116">
        <v>1250</v>
      </c>
      <c r="Q4314" s="107">
        <v>2</v>
      </c>
      <c r="R4314" s="116">
        <f t="shared" si="97"/>
        <v>2500</v>
      </c>
      <c r="S4314" s="298">
        <v>202303</v>
      </c>
      <c r="T4314" s="357" t="s">
        <v>5892</v>
      </c>
      <c r="U4314" s="357"/>
      <c r="V4314" s="330"/>
      <c r="W4314" s="358"/>
      <c r="X4314" s="106">
        <v>44713</v>
      </c>
      <c r="Y4314" s="106">
        <v>45077</v>
      </c>
    </row>
    <row r="4315" s="9" customFormat="1" customHeight="1" spans="1:25">
      <c r="A4315" s="94" t="s">
        <v>129</v>
      </c>
      <c r="B4315" s="94" t="s">
        <v>5875</v>
      </c>
      <c r="C4315" s="94" t="s">
        <v>44</v>
      </c>
      <c r="D4315" s="94" t="s">
        <v>566</v>
      </c>
      <c r="E4315" s="23" t="s">
        <v>5240</v>
      </c>
      <c r="F4315" s="94" t="s">
        <v>5893</v>
      </c>
      <c r="G4315" s="94" t="s">
        <v>31</v>
      </c>
      <c r="H4315" s="97" t="s">
        <v>5894</v>
      </c>
      <c r="I4315" s="23" t="e">
        <f>VLOOKUP(H4315,'合同综合查询数据（3月返）'!$A:$A,1,FALSE)</f>
        <v>#N/A</v>
      </c>
      <c r="J4315" s="94" t="s">
        <v>33</v>
      </c>
      <c r="K4315" s="94" t="s">
        <v>5886</v>
      </c>
      <c r="L4315" s="281" t="s">
        <v>5895</v>
      </c>
      <c r="M4315" s="94" t="s">
        <v>5888</v>
      </c>
      <c r="N4315" s="106">
        <v>44713</v>
      </c>
      <c r="O4315" s="94" t="s">
        <v>37</v>
      </c>
      <c r="P4315" s="116">
        <v>0</v>
      </c>
      <c r="Q4315" s="297">
        <v>288</v>
      </c>
      <c r="R4315" s="116">
        <f t="shared" si="97"/>
        <v>0</v>
      </c>
      <c r="S4315" s="298">
        <v>202303</v>
      </c>
      <c r="T4315" s="357" t="s">
        <v>5896</v>
      </c>
      <c r="U4315" s="357"/>
      <c r="V4315" s="330"/>
      <c r="W4315" s="358"/>
      <c r="X4315" s="106">
        <v>44713</v>
      </c>
      <c r="Y4315" s="106">
        <v>45077</v>
      </c>
    </row>
    <row r="4316" s="9" customFormat="1" customHeight="1" spans="1:25">
      <c r="A4316" s="94" t="s">
        <v>129</v>
      </c>
      <c r="B4316" s="94" t="s">
        <v>5875</v>
      </c>
      <c r="C4316" s="94" t="s">
        <v>44</v>
      </c>
      <c r="D4316" s="94" t="s">
        <v>566</v>
      </c>
      <c r="E4316" s="23" t="s">
        <v>5240</v>
      </c>
      <c r="F4316" s="94" t="s">
        <v>5893</v>
      </c>
      <c r="G4316" s="94" t="s">
        <v>88</v>
      </c>
      <c r="H4316" s="97" t="s">
        <v>5894</v>
      </c>
      <c r="I4316" s="23" t="e">
        <f>VLOOKUP(H4316,'合同综合查询数据（3月返）'!$A:$A,1,FALSE)</f>
        <v>#N/A</v>
      </c>
      <c r="J4316" s="94" t="s">
        <v>126</v>
      </c>
      <c r="K4316" s="94" t="s">
        <v>5886</v>
      </c>
      <c r="L4316" s="281" t="s">
        <v>5895</v>
      </c>
      <c r="M4316" s="94" t="s">
        <v>5888</v>
      </c>
      <c r="N4316" s="106">
        <v>44713</v>
      </c>
      <c r="O4316" s="94" t="s">
        <v>92</v>
      </c>
      <c r="P4316" s="116">
        <v>4000</v>
      </c>
      <c r="Q4316" s="107">
        <v>6</v>
      </c>
      <c r="R4316" s="116">
        <f t="shared" si="97"/>
        <v>24000</v>
      </c>
      <c r="S4316" s="298">
        <v>202303</v>
      </c>
      <c r="T4316" s="357" t="s">
        <v>5897</v>
      </c>
      <c r="U4316" s="357"/>
      <c r="V4316" s="330"/>
      <c r="W4316" s="358"/>
      <c r="X4316" s="106">
        <v>44713</v>
      </c>
      <c r="Y4316" s="106">
        <v>45077</v>
      </c>
    </row>
    <row r="4317" s="9" customFormat="1" customHeight="1" spans="1:25">
      <c r="A4317" s="94" t="s">
        <v>109</v>
      </c>
      <c r="B4317" s="94" t="s">
        <v>5875</v>
      </c>
      <c r="C4317" s="94" t="s">
        <v>44</v>
      </c>
      <c r="D4317" s="94" t="s">
        <v>566</v>
      </c>
      <c r="E4317" s="23" t="s">
        <v>5240</v>
      </c>
      <c r="F4317" s="94" t="s">
        <v>5898</v>
      </c>
      <c r="G4317" s="94" t="s">
        <v>31</v>
      </c>
      <c r="H4317" s="97" t="s">
        <v>5899</v>
      </c>
      <c r="I4317" s="23" t="e">
        <f>VLOOKUP(H4317,'合同综合查询数据（3月返）'!$A:$A,1,FALSE)</f>
        <v>#N/A</v>
      </c>
      <c r="J4317" s="94" t="s">
        <v>33</v>
      </c>
      <c r="K4317" s="94" t="s">
        <v>5886</v>
      </c>
      <c r="L4317" s="281" t="s">
        <v>5900</v>
      </c>
      <c r="M4317" s="94" t="s">
        <v>5888</v>
      </c>
      <c r="N4317" s="106">
        <v>44713</v>
      </c>
      <c r="O4317" s="94" t="s">
        <v>37</v>
      </c>
      <c r="P4317" s="116">
        <v>0</v>
      </c>
      <c r="Q4317" s="297">
        <v>288</v>
      </c>
      <c r="R4317" s="116">
        <f t="shared" si="97"/>
        <v>0</v>
      </c>
      <c r="S4317" s="298">
        <v>202303</v>
      </c>
      <c r="T4317" s="357" t="s">
        <v>5901</v>
      </c>
      <c r="U4317" s="357"/>
      <c r="V4317" s="330"/>
      <c r="W4317" s="358"/>
      <c r="X4317" s="106">
        <v>44713</v>
      </c>
      <c r="Y4317" s="106">
        <v>45077</v>
      </c>
    </row>
    <row r="4318" s="9" customFormat="1" customHeight="1" spans="1:25">
      <c r="A4318" s="94" t="s">
        <v>109</v>
      </c>
      <c r="B4318" s="94" t="s">
        <v>5875</v>
      </c>
      <c r="C4318" s="94" t="s">
        <v>44</v>
      </c>
      <c r="D4318" s="94" t="s">
        <v>566</v>
      </c>
      <c r="E4318" s="23" t="s">
        <v>5240</v>
      </c>
      <c r="F4318" s="94" t="s">
        <v>5898</v>
      </c>
      <c r="G4318" s="94" t="s">
        <v>88</v>
      </c>
      <c r="H4318" s="97" t="s">
        <v>5899</v>
      </c>
      <c r="I4318" s="23" t="e">
        <f>VLOOKUP(H4318,'合同综合查询数据（3月返）'!$A:$A,1,FALSE)</f>
        <v>#N/A</v>
      </c>
      <c r="J4318" s="94" t="s">
        <v>126</v>
      </c>
      <c r="K4318" s="94" t="s">
        <v>5886</v>
      </c>
      <c r="L4318" s="281" t="s">
        <v>5900</v>
      </c>
      <c r="M4318" s="94" t="s">
        <v>5888</v>
      </c>
      <c r="N4318" s="106">
        <v>44713</v>
      </c>
      <c r="O4318" s="94" t="s">
        <v>92</v>
      </c>
      <c r="P4318" s="116">
        <v>4000</v>
      </c>
      <c r="Q4318" s="107">
        <v>6</v>
      </c>
      <c r="R4318" s="116">
        <f t="shared" si="97"/>
        <v>24000</v>
      </c>
      <c r="S4318" s="298">
        <v>202303</v>
      </c>
      <c r="T4318" s="357" t="s">
        <v>5902</v>
      </c>
      <c r="U4318" s="357"/>
      <c r="V4318" s="330"/>
      <c r="W4318" s="358"/>
      <c r="X4318" s="106">
        <v>44713</v>
      </c>
      <c r="Y4318" s="106">
        <v>45077</v>
      </c>
    </row>
    <row r="4319" s="9" customFormat="1" customHeight="1" spans="1:25">
      <c r="A4319" s="94" t="s">
        <v>403</v>
      </c>
      <c r="B4319" s="94" t="s">
        <v>5875</v>
      </c>
      <c r="C4319" s="94" t="s">
        <v>1854</v>
      </c>
      <c r="D4319" s="94" t="s">
        <v>881</v>
      </c>
      <c r="E4319" s="23" t="s">
        <v>5903</v>
      </c>
      <c r="F4319" s="94" t="s">
        <v>5904</v>
      </c>
      <c r="G4319" s="94" t="s">
        <v>31</v>
      </c>
      <c r="H4319" s="97" t="s">
        <v>5905</v>
      </c>
      <c r="I4319" s="23" t="e">
        <f>VLOOKUP(H4319,'合同综合查询数据（3月返）'!$A:$A,1,FALSE)</f>
        <v>#N/A</v>
      </c>
      <c r="J4319" s="94" t="s">
        <v>33</v>
      </c>
      <c r="K4319" s="94" t="s">
        <v>5906</v>
      </c>
      <c r="L4319" s="281" t="s">
        <v>5907</v>
      </c>
      <c r="M4319" s="94" t="s">
        <v>5908</v>
      </c>
      <c r="N4319" s="106">
        <v>44178</v>
      </c>
      <c r="O4319" s="94" t="s">
        <v>37</v>
      </c>
      <c r="P4319" s="116">
        <v>0</v>
      </c>
      <c r="Q4319" s="297">
        <v>32</v>
      </c>
      <c r="R4319" s="116">
        <f t="shared" si="97"/>
        <v>0</v>
      </c>
      <c r="S4319" s="298">
        <v>202303</v>
      </c>
      <c r="T4319" s="354" t="s">
        <v>5909</v>
      </c>
      <c r="U4319" s="344"/>
      <c r="V4319" s="358"/>
      <c r="W4319" s="358"/>
      <c r="X4319" s="106">
        <v>44652</v>
      </c>
      <c r="Y4319" s="106">
        <v>45016</v>
      </c>
    </row>
    <row r="4320" s="9" customFormat="1" customHeight="1" spans="1:25">
      <c r="A4320" s="94" t="s">
        <v>403</v>
      </c>
      <c r="B4320" s="94" t="s">
        <v>5875</v>
      </c>
      <c r="C4320" s="94" t="s">
        <v>1854</v>
      </c>
      <c r="D4320" s="94" t="s">
        <v>881</v>
      </c>
      <c r="E4320" s="23" t="s">
        <v>5903</v>
      </c>
      <c r="F4320" s="94" t="s">
        <v>5904</v>
      </c>
      <c r="G4320" s="94" t="s">
        <v>31</v>
      </c>
      <c r="H4320" s="97" t="s">
        <v>5905</v>
      </c>
      <c r="I4320" s="23" t="e">
        <f>VLOOKUP(H4320,'合同综合查询数据（3月返）'!$A:$A,1,FALSE)</f>
        <v>#N/A</v>
      </c>
      <c r="J4320" s="94" t="s">
        <v>33</v>
      </c>
      <c r="K4320" s="94" t="s">
        <v>5910</v>
      </c>
      <c r="L4320" s="281" t="s">
        <v>5907</v>
      </c>
      <c r="M4320" s="94" t="s">
        <v>5908</v>
      </c>
      <c r="N4320" s="106"/>
      <c r="O4320" s="94" t="s">
        <v>37</v>
      </c>
      <c r="P4320" s="116">
        <v>0</v>
      </c>
      <c r="Q4320" s="297">
        <v>512</v>
      </c>
      <c r="R4320" s="116">
        <f t="shared" si="97"/>
        <v>0</v>
      </c>
      <c r="S4320" s="298">
        <v>202303</v>
      </c>
      <c r="T4320" s="354" t="s">
        <v>5911</v>
      </c>
      <c r="U4320" s="344"/>
      <c r="V4320" s="358"/>
      <c r="W4320" s="358"/>
      <c r="X4320" s="106">
        <v>44652</v>
      </c>
      <c r="Y4320" s="106">
        <v>45016</v>
      </c>
    </row>
    <row r="4321" s="9" customFormat="1" customHeight="1" spans="1:25">
      <c r="A4321" s="94" t="s">
        <v>403</v>
      </c>
      <c r="B4321" s="94" t="s">
        <v>5875</v>
      </c>
      <c r="C4321" s="94" t="s">
        <v>1854</v>
      </c>
      <c r="D4321" s="94" t="s">
        <v>881</v>
      </c>
      <c r="E4321" s="23" t="s">
        <v>5903</v>
      </c>
      <c r="F4321" s="94" t="s">
        <v>5904</v>
      </c>
      <c r="G4321" s="94" t="s">
        <v>31</v>
      </c>
      <c r="H4321" s="97" t="s">
        <v>5905</v>
      </c>
      <c r="I4321" s="23" t="e">
        <f>VLOOKUP(H4321,'合同综合查询数据（3月返）'!$A:$A,1,FALSE)</f>
        <v>#N/A</v>
      </c>
      <c r="J4321" s="94" t="s">
        <v>33</v>
      </c>
      <c r="K4321" s="281" t="s">
        <v>5907</v>
      </c>
      <c r="L4321" s="281" t="s">
        <v>5907</v>
      </c>
      <c r="M4321" s="94" t="s">
        <v>5908</v>
      </c>
      <c r="N4321" s="106">
        <v>44348</v>
      </c>
      <c r="O4321" s="94" t="s">
        <v>37</v>
      </c>
      <c r="P4321" s="116">
        <v>30</v>
      </c>
      <c r="Q4321" s="297">
        <v>128</v>
      </c>
      <c r="R4321" s="116">
        <f t="shared" si="97"/>
        <v>3840</v>
      </c>
      <c r="S4321" s="298">
        <v>202303</v>
      </c>
      <c r="T4321" s="354" t="s">
        <v>5912</v>
      </c>
      <c r="U4321" s="344"/>
      <c r="V4321" s="358"/>
      <c r="W4321" s="358"/>
      <c r="X4321" s="106">
        <v>44652</v>
      </c>
      <c r="Y4321" s="106">
        <v>45016</v>
      </c>
    </row>
    <row r="4322" s="9" customFormat="1" customHeight="1" spans="1:25">
      <c r="A4322" s="94" t="s">
        <v>403</v>
      </c>
      <c r="B4322" s="98" t="s">
        <v>5875</v>
      </c>
      <c r="C4322" s="94" t="s">
        <v>1854</v>
      </c>
      <c r="D4322" s="94" t="s">
        <v>881</v>
      </c>
      <c r="E4322" s="23" t="s">
        <v>5903</v>
      </c>
      <c r="F4322" s="94" t="s">
        <v>5904</v>
      </c>
      <c r="G4322" s="109" t="s">
        <v>31</v>
      </c>
      <c r="H4322" s="100" t="s">
        <v>5905</v>
      </c>
      <c r="I4322" s="23" t="e">
        <f>VLOOKUP(H4322,'合同综合查询数据（3月返）'!$A:$A,1,FALSE)</f>
        <v>#N/A</v>
      </c>
      <c r="J4322" s="152" t="s">
        <v>33</v>
      </c>
      <c r="K4322" s="281" t="s">
        <v>5907</v>
      </c>
      <c r="L4322" s="153" t="s">
        <v>5907</v>
      </c>
      <c r="M4322" s="26" t="s">
        <v>5908</v>
      </c>
      <c r="N4322" s="28">
        <v>44888</v>
      </c>
      <c r="O4322" s="109" t="s">
        <v>37</v>
      </c>
      <c r="P4322" s="120">
        <v>30</v>
      </c>
      <c r="Q4322" s="273">
        <v>-128</v>
      </c>
      <c r="R4322" s="116">
        <f t="shared" si="97"/>
        <v>-3840</v>
      </c>
      <c r="S4322" s="24">
        <v>202303</v>
      </c>
      <c r="T4322" s="121" t="s">
        <v>5913</v>
      </c>
      <c r="U4322" s="108"/>
      <c r="V4322" s="122"/>
      <c r="W4322" s="122"/>
      <c r="X4322" s="106">
        <v>44652</v>
      </c>
      <c r="Y4322" s="106">
        <v>45016</v>
      </c>
    </row>
    <row r="4323" s="9" customFormat="1" customHeight="1" spans="1:25">
      <c r="A4323" s="94" t="s">
        <v>403</v>
      </c>
      <c r="B4323" s="94" t="s">
        <v>5875</v>
      </c>
      <c r="C4323" s="94" t="s">
        <v>1854</v>
      </c>
      <c r="D4323" s="94" t="s">
        <v>881</v>
      </c>
      <c r="E4323" s="23" t="s">
        <v>5903</v>
      </c>
      <c r="F4323" s="94" t="s">
        <v>5904</v>
      </c>
      <c r="G4323" s="94" t="s">
        <v>88</v>
      </c>
      <c r="H4323" s="97" t="s">
        <v>5905</v>
      </c>
      <c r="I4323" s="23" t="e">
        <f>VLOOKUP(H4323,'合同综合查询数据（3月返）'!$A:$A,1,FALSE)</f>
        <v>#N/A</v>
      </c>
      <c r="J4323" s="94" t="s">
        <v>126</v>
      </c>
      <c r="K4323" s="281" t="s">
        <v>5907</v>
      </c>
      <c r="L4323" s="281" t="s">
        <v>5907</v>
      </c>
      <c r="M4323" s="94" t="s">
        <v>5908</v>
      </c>
      <c r="N4323" s="106">
        <v>43471</v>
      </c>
      <c r="O4323" s="94" t="s">
        <v>127</v>
      </c>
      <c r="P4323" s="116">
        <v>0</v>
      </c>
      <c r="Q4323" s="107">
        <v>5</v>
      </c>
      <c r="R4323" s="116">
        <f t="shared" si="97"/>
        <v>0</v>
      </c>
      <c r="S4323" s="298">
        <v>202303</v>
      </c>
      <c r="T4323" s="354" t="s">
        <v>5914</v>
      </c>
      <c r="U4323" s="344"/>
      <c r="V4323" s="358"/>
      <c r="W4323" s="358"/>
      <c r="X4323" s="106">
        <v>44652</v>
      </c>
      <c r="Y4323" s="106">
        <v>45016</v>
      </c>
    </row>
    <row r="4324" s="9" customFormat="1" customHeight="1" spans="1:25">
      <c r="A4324" s="94" t="s">
        <v>403</v>
      </c>
      <c r="B4324" s="94" t="s">
        <v>5875</v>
      </c>
      <c r="C4324" s="94" t="s">
        <v>1854</v>
      </c>
      <c r="D4324" s="94" t="s">
        <v>881</v>
      </c>
      <c r="E4324" s="23" t="s">
        <v>5903</v>
      </c>
      <c r="F4324" s="94" t="s">
        <v>5904</v>
      </c>
      <c r="G4324" s="94" t="s">
        <v>88</v>
      </c>
      <c r="H4324" s="97" t="s">
        <v>5905</v>
      </c>
      <c r="I4324" s="23" t="e">
        <f>VLOOKUP(H4324,'合同综合查询数据（3月返）'!$A:$A,1,FALSE)</f>
        <v>#N/A</v>
      </c>
      <c r="J4324" s="94" t="s">
        <v>126</v>
      </c>
      <c r="K4324" s="94" t="s">
        <v>5915</v>
      </c>
      <c r="L4324" s="281" t="s">
        <v>5907</v>
      </c>
      <c r="M4324" s="94" t="s">
        <v>5908</v>
      </c>
      <c r="N4324" s="106">
        <v>43671</v>
      </c>
      <c r="O4324" s="94" t="s">
        <v>127</v>
      </c>
      <c r="P4324" s="116">
        <v>0</v>
      </c>
      <c r="Q4324" s="107">
        <v>7</v>
      </c>
      <c r="R4324" s="116">
        <f t="shared" si="97"/>
        <v>0</v>
      </c>
      <c r="S4324" s="298">
        <v>202303</v>
      </c>
      <c r="T4324" s="354" t="s">
        <v>5916</v>
      </c>
      <c r="U4324" s="344"/>
      <c r="V4324" s="358"/>
      <c r="W4324" s="358"/>
      <c r="X4324" s="106">
        <v>44652</v>
      </c>
      <c r="Y4324" s="106">
        <v>45016</v>
      </c>
    </row>
    <row r="4325" s="9" customFormat="1" customHeight="1" spans="1:25">
      <c r="A4325" s="94" t="s">
        <v>403</v>
      </c>
      <c r="B4325" s="94" t="s">
        <v>5875</v>
      </c>
      <c r="C4325" s="94" t="s">
        <v>1854</v>
      </c>
      <c r="D4325" s="94" t="s">
        <v>881</v>
      </c>
      <c r="E4325" s="23" t="s">
        <v>5903</v>
      </c>
      <c r="F4325" s="94" t="s">
        <v>5904</v>
      </c>
      <c r="G4325" s="94" t="s">
        <v>88</v>
      </c>
      <c r="H4325" s="97" t="s">
        <v>5905</v>
      </c>
      <c r="I4325" s="23" t="e">
        <f>VLOOKUP(H4325,'合同综合查询数据（3月返）'!$A:$A,1,FALSE)</f>
        <v>#N/A</v>
      </c>
      <c r="J4325" s="94" t="s">
        <v>126</v>
      </c>
      <c r="K4325" s="94" t="s">
        <v>5915</v>
      </c>
      <c r="L4325" s="281" t="s">
        <v>5907</v>
      </c>
      <c r="M4325" s="94" t="s">
        <v>5908</v>
      </c>
      <c r="N4325" s="106">
        <v>44012</v>
      </c>
      <c r="O4325" s="94" t="s">
        <v>127</v>
      </c>
      <c r="P4325" s="116">
        <v>0</v>
      </c>
      <c r="Q4325" s="107">
        <v>-3</v>
      </c>
      <c r="R4325" s="116">
        <f t="shared" si="97"/>
        <v>0</v>
      </c>
      <c r="S4325" s="298">
        <v>202303</v>
      </c>
      <c r="T4325" s="354" t="s">
        <v>5917</v>
      </c>
      <c r="U4325" s="344"/>
      <c r="V4325" s="358"/>
      <c r="W4325" s="358"/>
      <c r="X4325" s="106">
        <v>44652</v>
      </c>
      <c r="Y4325" s="106">
        <v>45016</v>
      </c>
    </row>
    <row r="4326" s="9" customFormat="1" customHeight="1" spans="1:25">
      <c r="A4326" s="94" t="s">
        <v>403</v>
      </c>
      <c r="B4326" s="94" t="s">
        <v>5875</v>
      </c>
      <c r="C4326" s="94" t="s">
        <v>1854</v>
      </c>
      <c r="D4326" s="94" t="s">
        <v>881</v>
      </c>
      <c r="E4326" s="23" t="s">
        <v>5903</v>
      </c>
      <c r="F4326" s="94" t="s">
        <v>5904</v>
      </c>
      <c r="G4326" s="94" t="s">
        <v>88</v>
      </c>
      <c r="H4326" s="97" t="s">
        <v>5905</v>
      </c>
      <c r="I4326" s="23" t="e">
        <f>VLOOKUP(H4326,'合同综合查询数据（3月返）'!$A:$A,1,FALSE)</f>
        <v>#N/A</v>
      </c>
      <c r="J4326" s="94" t="s">
        <v>126</v>
      </c>
      <c r="K4326" s="94" t="s">
        <v>5906</v>
      </c>
      <c r="L4326" s="281" t="s">
        <v>5907</v>
      </c>
      <c r="M4326" s="94" t="s">
        <v>5908</v>
      </c>
      <c r="N4326" s="106">
        <v>44178</v>
      </c>
      <c r="O4326" s="94" t="s">
        <v>127</v>
      </c>
      <c r="P4326" s="116">
        <v>0</v>
      </c>
      <c r="Q4326" s="107">
        <v>1</v>
      </c>
      <c r="R4326" s="116">
        <f t="shared" si="97"/>
        <v>0</v>
      </c>
      <c r="S4326" s="298">
        <v>202303</v>
      </c>
      <c r="T4326" s="354" t="s">
        <v>5918</v>
      </c>
      <c r="U4326" s="344"/>
      <c r="V4326" s="358"/>
      <c r="W4326" s="358"/>
      <c r="X4326" s="106">
        <v>44652</v>
      </c>
      <c r="Y4326" s="106">
        <v>45016</v>
      </c>
    </row>
    <row r="4327" s="9" customFormat="1" customHeight="1" spans="1:25">
      <c r="A4327" s="94" t="s">
        <v>403</v>
      </c>
      <c r="B4327" s="94" t="s">
        <v>5875</v>
      </c>
      <c r="C4327" s="94" t="s">
        <v>1854</v>
      </c>
      <c r="D4327" s="94" t="s">
        <v>881</v>
      </c>
      <c r="E4327" s="23" t="s">
        <v>5903</v>
      </c>
      <c r="F4327" s="94" t="s">
        <v>5904</v>
      </c>
      <c r="G4327" s="94" t="s">
        <v>88</v>
      </c>
      <c r="H4327" s="97" t="s">
        <v>5905</v>
      </c>
      <c r="I4327" s="23" t="e">
        <f>VLOOKUP(H4327,'合同综合查询数据（3月返）'!$A:$A,1,FALSE)</f>
        <v>#N/A</v>
      </c>
      <c r="J4327" s="94" t="s">
        <v>126</v>
      </c>
      <c r="K4327" s="281" t="s">
        <v>5907</v>
      </c>
      <c r="L4327" s="281" t="s">
        <v>5907</v>
      </c>
      <c r="M4327" s="94" t="s">
        <v>5908</v>
      </c>
      <c r="N4327" s="106">
        <v>44348</v>
      </c>
      <c r="O4327" s="94" t="s">
        <v>92</v>
      </c>
      <c r="P4327" s="116">
        <v>0</v>
      </c>
      <c r="Q4327" s="107">
        <v>1</v>
      </c>
      <c r="R4327" s="116">
        <f t="shared" si="97"/>
        <v>0</v>
      </c>
      <c r="S4327" s="298">
        <v>202303</v>
      </c>
      <c r="T4327" s="354" t="s">
        <v>5919</v>
      </c>
      <c r="U4327" s="344"/>
      <c r="V4327" s="358"/>
      <c r="W4327" s="358"/>
      <c r="X4327" s="106">
        <v>44652</v>
      </c>
      <c r="Y4327" s="106">
        <v>45016</v>
      </c>
    </row>
    <row r="4328" s="9" customFormat="1" customHeight="1" spans="1:25">
      <c r="A4328" s="94" t="s">
        <v>403</v>
      </c>
      <c r="B4328" s="94" t="s">
        <v>5875</v>
      </c>
      <c r="C4328" s="94" t="s">
        <v>1854</v>
      </c>
      <c r="D4328" s="94" t="s">
        <v>881</v>
      </c>
      <c r="E4328" s="23" t="s">
        <v>5903</v>
      </c>
      <c r="F4328" s="94" t="s">
        <v>5904</v>
      </c>
      <c r="G4328" s="94" t="s">
        <v>88</v>
      </c>
      <c r="H4328" s="97" t="s">
        <v>5905</v>
      </c>
      <c r="I4328" s="23" t="e">
        <f>VLOOKUP(H4328,'合同综合查询数据（3月返）'!$A:$A,1,FALSE)</f>
        <v>#N/A</v>
      </c>
      <c r="J4328" s="94" t="s">
        <v>126</v>
      </c>
      <c r="K4328" s="281" t="s">
        <v>5907</v>
      </c>
      <c r="L4328" s="281" t="s">
        <v>5907</v>
      </c>
      <c r="M4328" s="94" t="s">
        <v>5908</v>
      </c>
      <c r="N4328" s="106">
        <v>44348</v>
      </c>
      <c r="O4328" s="94" t="s">
        <v>92</v>
      </c>
      <c r="P4328" s="116">
        <v>4000</v>
      </c>
      <c r="Q4328" s="107">
        <v>1</v>
      </c>
      <c r="R4328" s="116">
        <f t="shared" si="97"/>
        <v>4000</v>
      </c>
      <c r="S4328" s="298">
        <v>202303</v>
      </c>
      <c r="T4328" s="354" t="s">
        <v>5919</v>
      </c>
      <c r="U4328" s="344"/>
      <c r="V4328" s="358"/>
      <c r="W4328" s="358"/>
      <c r="X4328" s="106">
        <v>44652</v>
      </c>
      <c r="Y4328" s="106">
        <v>45016</v>
      </c>
    </row>
    <row r="4329" s="9" customFormat="1" customHeight="1" spans="1:25">
      <c r="A4329" s="94" t="s">
        <v>403</v>
      </c>
      <c r="B4329" s="94" t="s">
        <v>5875</v>
      </c>
      <c r="C4329" s="94" t="s">
        <v>1854</v>
      </c>
      <c r="D4329" s="94" t="s">
        <v>881</v>
      </c>
      <c r="E4329" s="23" t="s">
        <v>5903</v>
      </c>
      <c r="F4329" s="94" t="s">
        <v>5904</v>
      </c>
      <c r="G4329" s="94" t="s">
        <v>88</v>
      </c>
      <c r="H4329" s="97" t="s">
        <v>5905</v>
      </c>
      <c r="I4329" s="23" t="e">
        <f>VLOOKUP(H4329,'合同综合查询数据（3月返）'!$A:$A,1,FALSE)</f>
        <v>#N/A</v>
      </c>
      <c r="J4329" s="94" t="s">
        <v>126</v>
      </c>
      <c r="K4329" s="94" t="s">
        <v>5915</v>
      </c>
      <c r="L4329" s="281" t="s">
        <v>5907</v>
      </c>
      <c r="M4329" s="94" t="s">
        <v>5908</v>
      </c>
      <c r="N4329" s="106">
        <v>44501</v>
      </c>
      <c r="O4329" s="94" t="s">
        <v>127</v>
      </c>
      <c r="P4329" s="116">
        <v>0</v>
      </c>
      <c r="Q4329" s="107">
        <v>-6</v>
      </c>
      <c r="R4329" s="116">
        <f t="shared" si="97"/>
        <v>0</v>
      </c>
      <c r="S4329" s="298">
        <v>202303</v>
      </c>
      <c r="T4329" s="354" t="s">
        <v>5920</v>
      </c>
      <c r="U4329" s="344"/>
      <c r="V4329" s="358"/>
      <c r="W4329" s="358"/>
      <c r="X4329" s="106">
        <v>44652</v>
      </c>
      <c r="Y4329" s="106">
        <v>45016</v>
      </c>
    </row>
    <row r="4330" s="9" customFormat="1" customHeight="1" spans="1:25">
      <c r="A4330" s="94" t="s">
        <v>403</v>
      </c>
      <c r="B4330" s="94" t="s">
        <v>5875</v>
      </c>
      <c r="C4330" s="94" t="s">
        <v>1854</v>
      </c>
      <c r="D4330" s="94" t="s">
        <v>881</v>
      </c>
      <c r="E4330" s="23" t="s">
        <v>5903</v>
      </c>
      <c r="F4330" s="94" t="s">
        <v>5904</v>
      </c>
      <c r="G4330" s="94" t="s">
        <v>88</v>
      </c>
      <c r="H4330" s="97" t="s">
        <v>5905</v>
      </c>
      <c r="I4330" s="23" t="e">
        <f>VLOOKUP(H4330,'合同综合查询数据（3月返）'!$A:$A,1,FALSE)</f>
        <v>#N/A</v>
      </c>
      <c r="J4330" s="94" t="s">
        <v>126</v>
      </c>
      <c r="K4330" s="94" t="s">
        <v>5915</v>
      </c>
      <c r="L4330" s="281" t="s">
        <v>5907</v>
      </c>
      <c r="M4330" s="94" t="s">
        <v>5908</v>
      </c>
      <c r="N4330" s="106">
        <v>44534</v>
      </c>
      <c r="O4330" s="94" t="s">
        <v>127</v>
      </c>
      <c r="P4330" s="116">
        <v>0</v>
      </c>
      <c r="Q4330" s="107">
        <v>6</v>
      </c>
      <c r="R4330" s="116">
        <f t="shared" si="97"/>
        <v>0</v>
      </c>
      <c r="S4330" s="298">
        <v>202303</v>
      </c>
      <c r="T4330" s="354" t="s">
        <v>5921</v>
      </c>
      <c r="U4330" s="344"/>
      <c r="V4330" s="358"/>
      <c r="W4330" s="358"/>
      <c r="X4330" s="106">
        <v>44652</v>
      </c>
      <c r="Y4330" s="106">
        <v>45016</v>
      </c>
    </row>
    <row r="4331" s="9" customFormat="1" customHeight="1" spans="1:25">
      <c r="A4331" s="94" t="s">
        <v>403</v>
      </c>
      <c r="B4331" s="94" t="s">
        <v>5875</v>
      </c>
      <c r="C4331" s="94" t="s">
        <v>1854</v>
      </c>
      <c r="D4331" s="94" t="s">
        <v>881</v>
      </c>
      <c r="E4331" s="23" t="s">
        <v>5903</v>
      </c>
      <c r="F4331" s="94" t="s">
        <v>5904</v>
      </c>
      <c r="G4331" s="94" t="s">
        <v>88</v>
      </c>
      <c r="H4331" s="97" t="s">
        <v>5905</v>
      </c>
      <c r="I4331" s="23" t="e">
        <f>VLOOKUP(H4331,'合同综合查询数据（3月返）'!$A:$A,1,FALSE)</f>
        <v>#N/A</v>
      </c>
      <c r="J4331" s="94" t="s">
        <v>126</v>
      </c>
      <c r="K4331" s="94" t="s">
        <v>5915</v>
      </c>
      <c r="L4331" s="281" t="s">
        <v>5922</v>
      </c>
      <c r="M4331" s="94" t="s">
        <v>5908</v>
      </c>
      <c r="N4331" s="106">
        <v>44501</v>
      </c>
      <c r="O4331" s="94" t="s">
        <v>127</v>
      </c>
      <c r="P4331" s="116">
        <v>0</v>
      </c>
      <c r="Q4331" s="107">
        <v>6</v>
      </c>
      <c r="R4331" s="116">
        <f t="shared" si="97"/>
        <v>0</v>
      </c>
      <c r="S4331" s="298">
        <v>202303</v>
      </c>
      <c r="T4331" s="354" t="s">
        <v>5920</v>
      </c>
      <c r="U4331" s="344"/>
      <c r="V4331" s="358"/>
      <c r="W4331" s="358"/>
      <c r="X4331" s="106">
        <v>44652</v>
      </c>
      <c r="Y4331" s="106">
        <v>45016</v>
      </c>
    </row>
    <row r="4332" s="9" customFormat="1" customHeight="1" spans="1:25">
      <c r="A4332" s="94" t="s">
        <v>403</v>
      </c>
      <c r="B4332" s="94" t="s">
        <v>5875</v>
      </c>
      <c r="C4332" s="94" t="s">
        <v>1854</v>
      </c>
      <c r="D4332" s="94" t="s">
        <v>881</v>
      </c>
      <c r="E4332" s="23" t="s">
        <v>5903</v>
      </c>
      <c r="F4332" s="94" t="s">
        <v>5904</v>
      </c>
      <c r="G4332" s="94" t="s">
        <v>88</v>
      </c>
      <c r="H4332" s="97" t="s">
        <v>5905</v>
      </c>
      <c r="I4332" s="23" t="e">
        <f>VLOOKUP(H4332,'合同综合查询数据（3月返）'!$A:$A,1,FALSE)</f>
        <v>#N/A</v>
      </c>
      <c r="J4332" s="94" t="s">
        <v>126</v>
      </c>
      <c r="K4332" s="94" t="s">
        <v>5915</v>
      </c>
      <c r="L4332" s="281" t="s">
        <v>5922</v>
      </c>
      <c r="M4332" s="94" t="s">
        <v>5908</v>
      </c>
      <c r="N4332" s="106">
        <v>44533</v>
      </c>
      <c r="O4332" s="94" t="s">
        <v>127</v>
      </c>
      <c r="P4332" s="116">
        <v>0</v>
      </c>
      <c r="Q4332" s="107">
        <v>-6</v>
      </c>
      <c r="R4332" s="116">
        <f t="shared" si="97"/>
        <v>0</v>
      </c>
      <c r="S4332" s="298">
        <v>202303</v>
      </c>
      <c r="T4332" s="354" t="s">
        <v>5923</v>
      </c>
      <c r="U4332" s="344"/>
      <c r="V4332" s="358"/>
      <c r="W4332" s="358"/>
      <c r="X4332" s="106">
        <v>44652</v>
      </c>
      <c r="Y4332" s="106">
        <v>45016</v>
      </c>
    </row>
    <row r="4333" s="9" customFormat="1" customHeight="1" spans="1:25">
      <c r="A4333" s="94" t="s">
        <v>403</v>
      </c>
      <c r="B4333" s="94" t="s">
        <v>5875</v>
      </c>
      <c r="C4333" s="94" t="s">
        <v>1854</v>
      </c>
      <c r="D4333" s="94" t="s">
        <v>881</v>
      </c>
      <c r="E4333" s="23" t="s">
        <v>5903</v>
      </c>
      <c r="F4333" s="94" t="s">
        <v>5904</v>
      </c>
      <c r="G4333" s="94" t="s">
        <v>88</v>
      </c>
      <c r="H4333" s="97" t="s">
        <v>5905</v>
      </c>
      <c r="I4333" s="23" t="e">
        <f>VLOOKUP(H4333,'合同综合查询数据（3月返）'!$A:$A,1,FALSE)</f>
        <v>#N/A</v>
      </c>
      <c r="J4333" s="94" t="s">
        <v>126</v>
      </c>
      <c r="K4333" s="281" t="s">
        <v>5907</v>
      </c>
      <c r="L4333" s="281" t="s">
        <v>5907</v>
      </c>
      <c r="M4333" s="94" t="s">
        <v>5908</v>
      </c>
      <c r="N4333" s="106">
        <v>44834</v>
      </c>
      <c r="O4333" s="94" t="s">
        <v>92</v>
      </c>
      <c r="P4333" s="116">
        <v>4000</v>
      </c>
      <c r="Q4333" s="107">
        <v>-1</v>
      </c>
      <c r="R4333" s="116">
        <f t="shared" si="97"/>
        <v>-4000</v>
      </c>
      <c r="S4333" s="298">
        <v>202303</v>
      </c>
      <c r="T4333" s="354" t="s">
        <v>5924</v>
      </c>
      <c r="U4333" s="344"/>
      <c r="V4333" s="358"/>
      <c r="W4333" s="358"/>
      <c r="X4333" s="106">
        <v>44652</v>
      </c>
      <c r="Y4333" s="106">
        <v>45016</v>
      </c>
    </row>
    <row r="4334" s="10" customFormat="1" customHeight="1" spans="1:25">
      <c r="A4334" s="62" t="s">
        <v>403</v>
      </c>
      <c r="B4334" s="62" t="s">
        <v>5875</v>
      </c>
      <c r="C4334" s="62" t="s">
        <v>1854</v>
      </c>
      <c r="D4334" s="62" t="s">
        <v>881</v>
      </c>
      <c r="E4334" s="47" t="s">
        <v>5903</v>
      </c>
      <c r="F4334" s="62" t="s">
        <v>5904</v>
      </c>
      <c r="G4334" s="138" t="s">
        <v>31</v>
      </c>
      <c r="H4334" s="102" t="s">
        <v>5925</v>
      </c>
      <c r="I4334" s="47" t="e">
        <f>VLOOKUP(H4334,'合同综合查询数据（3月返）'!$A:$A,1,FALSE)</f>
        <v>#N/A</v>
      </c>
      <c r="J4334" s="62" t="s">
        <v>33</v>
      </c>
      <c r="K4334" s="62" t="s">
        <v>5351</v>
      </c>
      <c r="L4334" s="329" t="s">
        <v>5926</v>
      </c>
      <c r="M4334" s="62" t="s">
        <v>5927</v>
      </c>
      <c r="N4334" s="111">
        <v>44866</v>
      </c>
      <c r="O4334" s="62" t="s">
        <v>37</v>
      </c>
      <c r="P4334" s="124">
        <v>0</v>
      </c>
      <c r="Q4334" s="299">
        <v>288</v>
      </c>
      <c r="R4334" s="124">
        <f t="shared" si="97"/>
        <v>0</v>
      </c>
      <c r="S4334" s="349">
        <v>202303</v>
      </c>
      <c r="T4334" s="353" t="s">
        <v>5928</v>
      </c>
      <c r="U4334" s="342"/>
      <c r="V4334" s="356"/>
      <c r="W4334" s="356"/>
      <c r="X4334" s="111"/>
      <c r="Y4334" s="111"/>
    </row>
    <row r="4335" s="10" customFormat="1" customHeight="1" spans="1:25">
      <c r="A4335" s="62" t="s">
        <v>403</v>
      </c>
      <c r="B4335" s="62" t="s">
        <v>5875</v>
      </c>
      <c r="C4335" s="62" t="s">
        <v>1854</v>
      </c>
      <c r="D4335" s="62" t="s">
        <v>881</v>
      </c>
      <c r="E4335" s="47" t="s">
        <v>5903</v>
      </c>
      <c r="F4335" s="62" t="s">
        <v>5904</v>
      </c>
      <c r="G4335" s="138" t="s">
        <v>31</v>
      </c>
      <c r="H4335" s="102" t="s">
        <v>5925</v>
      </c>
      <c r="I4335" s="47" t="e">
        <f>VLOOKUP(H4335,'合同综合查询数据（3月返）'!$A:$A,1,FALSE)</f>
        <v>#N/A</v>
      </c>
      <c r="J4335" s="62" t="s">
        <v>33</v>
      </c>
      <c r="K4335" s="62" t="s">
        <v>5351</v>
      </c>
      <c r="L4335" s="329" t="s">
        <v>5926</v>
      </c>
      <c r="M4335" s="62" t="s">
        <v>5927</v>
      </c>
      <c r="N4335" s="111">
        <v>44926</v>
      </c>
      <c r="O4335" s="62" t="s">
        <v>37</v>
      </c>
      <c r="P4335" s="124">
        <v>0</v>
      </c>
      <c r="Q4335" s="299">
        <v>-288</v>
      </c>
      <c r="R4335" s="124">
        <f t="shared" si="97"/>
        <v>0</v>
      </c>
      <c r="S4335" s="349">
        <v>202303</v>
      </c>
      <c r="T4335" s="353" t="s">
        <v>5929</v>
      </c>
      <c r="U4335" s="342"/>
      <c r="V4335" s="356"/>
      <c r="W4335" s="356"/>
      <c r="X4335" s="111"/>
      <c r="Y4335" s="111"/>
    </row>
    <row r="4336" s="10" customFormat="1" customHeight="1" spans="1:25">
      <c r="A4336" s="62" t="s">
        <v>403</v>
      </c>
      <c r="B4336" s="62" t="s">
        <v>5875</v>
      </c>
      <c r="C4336" s="62" t="s">
        <v>1854</v>
      </c>
      <c r="D4336" s="62" t="s">
        <v>881</v>
      </c>
      <c r="E4336" s="47" t="s">
        <v>5903</v>
      </c>
      <c r="F4336" s="62" t="s">
        <v>5904</v>
      </c>
      <c r="G4336" s="62" t="s">
        <v>88</v>
      </c>
      <c r="H4336" s="102" t="s">
        <v>5925</v>
      </c>
      <c r="I4336" s="47" t="e">
        <f>VLOOKUP(H4336,'合同综合查询数据（3月返）'!$A:$A,1,FALSE)</f>
        <v>#N/A</v>
      </c>
      <c r="J4336" s="62" t="s">
        <v>126</v>
      </c>
      <c r="K4336" s="62" t="s">
        <v>5351</v>
      </c>
      <c r="L4336" s="329" t="s">
        <v>5926</v>
      </c>
      <c r="M4336" s="62" t="s">
        <v>5927</v>
      </c>
      <c r="N4336" s="111">
        <v>44866</v>
      </c>
      <c r="O4336" s="62" t="s">
        <v>127</v>
      </c>
      <c r="P4336" s="124">
        <v>0</v>
      </c>
      <c r="Q4336" s="299">
        <v>6</v>
      </c>
      <c r="R4336" s="124">
        <f t="shared" si="97"/>
        <v>0</v>
      </c>
      <c r="S4336" s="349">
        <v>202303</v>
      </c>
      <c r="T4336" s="353" t="s">
        <v>5930</v>
      </c>
      <c r="U4336" s="342"/>
      <c r="V4336" s="356"/>
      <c r="W4336" s="356"/>
      <c r="X4336" s="111"/>
      <c r="Y4336" s="111"/>
    </row>
    <row r="4337" s="10" customFormat="1" customHeight="1" spans="1:25">
      <c r="A4337" s="62" t="s">
        <v>403</v>
      </c>
      <c r="B4337" s="62" t="s">
        <v>5875</v>
      </c>
      <c r="C4337" s="62" t="s">
        <v>1854</v>
      </c>
      <c r="D4337" s="62" t="s">
        <v>881</v>
      </c>
      <c r="E4337" s="47" t="s">
        <v>5903</v>
      </c>
      <c r="F4337" s="62" t="s">
        <v>5904</v>
      </c>
      <c r="G4337" s="62" t="s">
        <v>88</v>
      </c>
      <c r="H4337" s="102" t="s">
        <v>5925</v>
      </c>
      <c r="I4337" s="47" t="e">
        <f>VLOOKUP(H4337,'合同综合查询数据（3月返）'!$A:$A,1,FALSE)</f>
        <v>#N/A</v>
      </c>
      <c r="J4337" s="62" t="s">
        <v>126</v>
      </c>
      <c r="K4337" s="62" t="s">
        <v>5351</v>
      </c>
      <c r="L4337" s="329" t="s">
        <v>5926</v>
      </c>
      <c r="M4337" s="62" t="s">
        <v>5927</v>
      </c>
      <c r="N4337" s="111">
        <v>44926</v>
      </c>
      <c r="O4337" s="62" t="s">
        <v>127</v>
      </c>
      <c r="P4337" s="124">
        <v>0</v>
      </c>
      <c r="Q4337" s="299">
        <v>-6</v>
      </c>
      <c r="R4337" s="124">
        <f t="shared" si="97"/>
        <v>0</v>
      </c>
      <c r="S4337" s="349">
        <v>202303</v>
      </c>
      <c r="T4337" s="353" t="s">
        <v>4739</v>
      </c>
      <c r="U4337" s="342"/>
      <c r="V4337" s="356"/>
      <c r="W4337" s="356"/>
      <c r="X4337" s="111"/>
      <c r="Y4337" s="111"/>
    </row>
    <row r="4338" s="9" customFormat="1" customHeight="1" spans="1:25">
      <c r="A4338" s="94" t="s">
        <v>403</v>
      </c>
      <c r="B4338" s="94" t="s">
        <v>5875</v>
      </c>
      <c r="C4338" s="94" t="s">
        <v>44</v>
      </c>
      <c r="D4338" s="94" t="s">
        <v>566</v>
      </c>
      <c r="E4338" s="23" t="s">
        <v>5931</v>
      </c>
      <c r="F4338" s="94" t="s">
        <v>5932</v>
      </c>
      <c r="G4338" s="94" t="s">
        <v>31</v>
      </c>
      <c r="H4338" s="97" t="s">
        <v>5933</v>
      </c>
      <c r="I4338" s="23" t="e">
        <f>VLOOKUP(H4338,'合同综合查询数据（3月返）'!$A:$A,1,FALSE)</f>
        <v>#N/A</v>
      </c>
      <c r="J4338" s="94" t="s">
        <v>1019</v>
      </c>
      <c r="K4338" s="281" t="s">
        <v>5934</v>
      </c>
      <c r="L4338" s="281" t="s">
        <v>5934</v>
      </c>
      <c r="M4338" s="94" t="s">
        <v>5935</v>
      </c>
      <c r="N4338" s="106"/>
      <c r="O4338" s="94" t="s">
        <v>37</v>
      </c>
      <c r="P4338" s="116">
        <v>0</v>
      </c>
      <c r="Q4338" s="297">
        <v>780</v>
      </c>
      <c r="R4338" s="116">
        <f t="shared" si="97"/>
        <v>0</v>
      </c>
      <c r="S4338" s="298">
        <v>202303</v>
      </c>
      <c r="T4338" s="354" t="s">
        <v>5936</v>
      </c>
      <c r="U4338" s="344"/>
      <c r="V4338" s="358"/>
      <c r="W4338" s="358"/>
      <c r="X4338" s="106">
        <v>44652</v>
      </c>
      <c r="Y4338" s="106">
        <v>45016</v>
      </c>
    </row>
    <row r="4339" s="9" customFormat="1" customHeight="1" spans="1:25">
      <c r="A4339" s="94" t="s">
        <v>403</v>
      </c>
      <c r="B4339" s="94" t="s">
        <v>5875</v>
      </c>
      <c r="C4339" s="94" t="s">
        <v>44</v>
      </c>
      <c r="D4339" s="94" t="s">
        <v>566</v>
      </c>
      <c r="E4339" s="23" t="s">
        <v>5931</v>
      </c>
      <c r="F4339" s="94" t="s">
        <v>5932</v>
      </c>
      <c r="G4339" s="94" t="s">
        <v>31</v>
      </c>
      <c r="H4339" s="97" t="s">
        <v>5933</v>
      </c>
      <c r="I4339" s="23" t="e">
        <f>VLOOKUP(H4339,'合同综合查询数据（3月返）'!$A:$A,1,FALSE)</f>
        <v>#N/A</v>
      </c>
      <c r="J4339" s="94" t="s">
        <v>33</v>
      </c>
      <c r="K4339" s="94" t="s">
        <v>5937</v>
      </c>
      <c r="L4339" s="94" t="s">
        <v>5937</v>
      </c>
      <c r="M4339" s="94"/>
      <c r="N4339" s="106">
        <v>43811</v>
      </c>
      <c r="O4339" s="94" t="s">
        <v>37</v>
      </c>
      <c r="P4339" s="116">
        <v>0</v>
      </c>
      <c r="Q4339" s="297">
        <v>128</v>
      </c>
      <c r="R4339" s="116">
        <f t="shared" si="97"/>
        <v>0</v>
      </c>
      <c r="S4339" s="298">
        <v>202303</v>
      </c>
      <c r="T4339" s="354" t="s">
        <v>5938</v>
      </c>
      <c r="U4339" s="344"/>
      <c r="V4339" s="358"/>
      <c r="W4339" s="358"/>
      <c r="X4339" s="106">
        <v>44652</v>
      </c>
      <c r="Y4339" s="106">
        <v>45016</v>
      </c>
    </row>
    <row r="4340" s="9" customFormat="1" customHeight="1" spans="1:25">
      <c r="A4340" s="94" t="s">
        <v>403</v>
      </c>
      <c r="B4340" s="94" t="s">
        <v>5875</v>
      </c>
      <c r="C4340" s="94" t="s">
        <v>44</v>
      </c>
      <c r="D4340" s="94" t="s">
        <v>566</v>
      </c>
      <c r="E4340" s="23" t="s">
        <v>5931</v>
      </c>
      <c r="F4340" s="94" t="s">
        <v>5932</v>
      </c>
      <c r="G4340" s="94" t="s">
        <v>31</v>
      </c>
      <c r="H4340" s="97" t="s">
        <v>5933</v>
      </c>
      <c r="I4340" s="23" t="e">
        <f>VLOOKUP(H4340,'合同综合查询数据（3月返）'!$A:$A,1,FALSE)</f>
        <v>#N/A</v>
      </c>
      <c r="J4340" s="94" t="s">
        <v>33</v>
      </c>
      <c r="K4340" s="94" t="s">
        <v>5939</v>
      </c>
      <c r="L4340" s="94" t="s">
        <v>5939</v>
      </c>
      <c r="M4340" s="94"/>
      <c r="N4340" s="106">
        <v>44090</v>
      </c>
      <c r="O4340" s="94" t="s">
        <v>37</v>
      </c>
      <c r="P4340" s="116">
        <v>0</v>
      </c>
      <c r="Q4340" s="297">
        <v>288</v>
      </c>
      <c r="R4340" s="116">
        <f t="shared" si="97"/>
        <v>0</v>
      </c>
      <c r="S4340" s="298">
        <v>202303</v>
      </c>
      <c r="T4340" s="354" t="s">
        <v>5938</v>
      </c>
      <c r="U4340" s="344"/>
      <c r="V4340" s="358"/>
      <c r="W4340" s="358"/>
      <c r="X4340" s="106">
        <v>44652</v>
      </c>
      <c r="Y4340" s="106">
        <v>45016</v>
      </c>
    </row>
    <row r="4341" s="9" customFormat="1" customHeight="1" spans="1:25">
      <c r="A4341" s="94" t="s">
        <v>403</v>
      </c>
      <c r="B4341" s="94" t="s">
        <v>5875</v>
      </c>
      <c r="C4341" s="94" t="s">
        <v>44</v>
      </c>
      <c r="D4341" s="94" t="s">
        <v>566</v>
      </c>
      <c r="E4341" s="23" t="s">
        <v>5931</v>
      </c>
      <c r="F4341" s="94" t="s">
        <v>5932</v>
      </c>
      <c r="G4341" s="94" t="s">
        <v>31</v>
      </c>
      <c r="H4341" s="97" t="s">
        <v>5933</v>
      </c>
      <c r="I4341" s="23" t="e">
        <f>VLOOKUP(H4341,'合同综合查询数据（3月返）'!$A:$A,1,FALSE)</f>
        <v>#N/A</v>
      </c>
      <c r="J4341" s="94" t="s">
        <v>33</v>
      </c>
      <c r="K4341" s="94" t="s">
        <v>5939</v>
      </c>
      <c r="L4341" s="94" t="s">
        <v>5939</v>
      </c>
      <c r="M4341" s="94"/>
      <c r="N4341" s="106">
        <v>44742</v>
      </c>
      <c r="O4341" s="94" t="s">
        <v>37</v>
      </c>
      <c r="P4341" s="116">
        <v>0</v>
      </c>
      <c r="Q4341" s="297">
        <v>-288</v>
      </c>
      <c r="R4341" s="116">
        <f t="shared" si="97"/>
        <v>0</v>
      </c>
      <c r="S4341" s="298">
        <v>202303</v>
      </c>
      <c r="T4341" s="354" t="s">
        <v>5940</v>
      </c>
      <c r="U4341" s="344"/>
      <c r="V4341" s="358"/>
      <c r="W4341" s="358"/>
      <c r="X4341" s="106">
        <v>44652</v>
      </c>
      <c r="Y4341" s="106">
        <v>45016</v>
      </c>
    </row>
    <row r="4342" s="9" customFormat="1" customHeight="1" spans="1:25">
      <c r="A4342" s="94" t="s">
        <v>403</v>
      </c>
      <c r="B4342" s="94" t="s">
        <v>5875</v>
      </c>
      <c r="C4342" s="94" t="s">
        <v>44</v>
      </c>
      <c r="D4342" s="94" t="s">
        <v>566</v>
      </c>
      <c r="E4342" s="23" t="s">
        <v>5931</v>
      </c>
      <c r="F4342" s="94" t="s">
        <v>5932</v>
      </c>
      <c r="G4342" s="94" t="s">
        <v>31</v>
      </c>
      <c r="H4342" s="97" t="s">
        <v>5933</v>
      </c>
      <c r="I4342" s="23" t="e">
        <f>VLOOKUP(H4342,'合同综合查询数据（3月返）'!$A:$A,1,FALSE)</f>
        <v>#N/A</v>
      </c>
      <c r="J4342" s="94" t="s">
        <v>33</v>
      </c>
      <c r="K4342" s="94" t="s">
        <v>5941</v>
      </c>
      <c r="L4342" s="94" t="s">
        <v>5942</v>
      </c>
      <c r="M4342" s="94"/>
      <c r="N4342" s="106">
        <v>44090</v>
      </c>
      <c r="O4342" s="94" t="s">
        <v>37</v>
      </c>
      <c r="P4342" s="116">
        <v>0</v>
      </c>
      <c r="Q4342" s="297">
        <v>544</v>
      </c>
      <c r="R4342" s="116">
        <f t="shared" si="97"/>
        <v>0</v>
      </c>
      <c r="S4342" s="298">
        <v>202303</v>
      </c>
      <c r="T4342" s="354" t="s">
        <v>5938</v>
      </c>
      <c r="U4342" s="344"/>
      <c r="V4342" s="358"/>
      <c r="W4342" s="358"/>
      <c r="X4342" s="106">
        <v>44652</v>
      </c>
      <c r="Y4342" s="106">
        <v>45016</v>
      </c>
    </row>
    <row r="4343" s="9" customFormat="1" customHeight="1" spans="1:25">
      <c r="A4343" s="94" t="s">
        <v>403</v>
      </c>
      <c r="B4343" s="94" t="s">
        <v>5875</v>
      </c>
      <c r="C4343" s="94" t="s">
        <v>44</v>
      </c>
      <c r="D4343" s="94" t="s">
        <v>566</v>
      </c>
      <c r="E4343" s="23" t="s">
        <v>5931</v>
      </c>
      <c r="F4343" s="94" t="s">
        <v>5932</v>
      </c>
      <c r="G4343" s="94" t="s">
        <v>31</v>
      </c>
      <c r="H4343" s="97" t="s">
        <v>5933</v>
      </c>
      <c r="I4343" s="23" t="e">
        <f>VLOOKUP(H4343,'合同综合查询数据（3月返）'!$A:$A,1,FALSE)</f>
        <v>#N/A</v>
      </c>
      <c r="J4343" s="94" t="s">
        <v>33</v>
      </c>
      <c r="K4343" s="94" t="s">
        <v>5937</v>
      </c>
      <c r="L4343" s="94" t="s">
        <v>5937</v>
      </c>
      <c r="M4343" s="94"/>
      <c r="N4343" s="106"/>
      <c r="O4343" s="94" t="s">
        <v>37</v>
      </c>
      <c r="P4343" s="116">
        <v>0</v>
      </c>
      <c r="Q4343" s="297">
        <f>1776+640-Q4339-Q4341-Q4342</f>
        <v>2032</v>
      </c>
      <c r="R4343" s="116">
        <f t="shared" si="97"/>
        <v>0</v>
      </c>
      <c r="S4343" s="298">
        <v>202303</v>
      </c>
      <c r="T4343" s="354" t="s">
        <v>5938</v>
      </c>
      <c r="U4343" s="344"/>
      <c r="V4343" s="358"/>
      <c r="W4343" s="358"/>
      <c r="X4343" s="106">
        <v>44652</v>
      </c>
      <c r="Y4343" s="106">
        <v>45016</v>
      </c>
    </row>
    <row r="4344" s="9" customFormat="1" customHeight="1" spans="1:25">
      <c r="A4344" s="94" t="s">
        <v>403</v>
      </c>
      <c r="B4344" s="94" t="s">
        <v>5875</v>
      </c>
      <c r="C4344" s="94" t="s">
        <v>44</v>
      </c>
      <c r="D4344" s="94" t="s">
        <v>566</v>
      </c>
      <c r="E4344" s="23" t="s">
        <v>5931</v>
      </c>
      <c r="F4344" s="94" t="s">
        <v>5932</v>
      </c>
      <c r="G4344" s="94" t="s">
        <v>31</v>
      </c>
      <c r="H4344" s="97" t="s">
        <v>5933</v>
      </c>
      <c r="I4344" s="23" t="e">
        <f>VLOOKUP(H4344,'合同综合查询数据（3月返）'!$A:$A,1,FALSE)</f>
        <v>#N/A</v>
      </c>
      <c r="J4344" s="94" t="s">
        <v>33</v>
      </c>
      <c r="K4344" s="94" t="s">
        <v>5937</v>
      </c>
      <c r="L4344" s="94" t="s">
        <v>5937</v>
      </c>
      <c r="M4344" s="94"/>
      <c r="N4344" s="106">
        <v>44773</v>
      </c>
      <c r="O4344" s="94" t="s">
        <v>37</v>
      </c>
      <c r="P4344" s="116">
        <v>0</v>
      </c>
      <c r="Q4344" s="297">
        <v>-768</v>
      </c>
      <c r="R4344" s="116">
        <f t="shared" si="97"/>
        <v>0</v>
      </c>
      <c r="S4344" s="298">
        <v>202303</v>
      </c>
      <c r="T4344" s="354" t="s">
        <v>5943</v>
      </c>
      <c r="U4344" s="344"/>
      <c r="V4344" s="358"/>
      <c r="W4344" s="358"/>
      <c r="X4344" s="106">
        <v>44652</v>
      </c>
      <c r="Y4344" s="106">
        <v>45016</v>
      </c>
    </row>
    <row r="4345" s="9" customFormat="1" customHeight="1" spans="1:25">
      <c r="A4345" s="94" t="s">
        <v>403</v>
      </c>
      <c r="B4345" s="94" t="s">
        <v>5875</v>
      </c>
      <c r="C4345" s="94" t="s">
        <v>44</v>
      </c>
      <c r="D4345" s="94" t="s">
        <v>566</v>
      </c>
      <c r="E4345" s="23" t="s">
        <v>5931</v>
      </c>
      <c r="F4345" s="94" t="s">
        <v>5932</v>
      </c>
      <c r="G4345" s="94" t="s">
        <v>88</v>
      </c>
      <c r="H4345" s="97" t="s">
        <v>5933</v>
      </c>
      <c r="I4345" s="23" t="e">
        <f>VLOOKUP(H4345,'合同综合查询数据（3月返）'!$A:$A,1,FALSE)</f>
        <v>#N/A</v>
      </c>
      <c r="J4345" s="94" t="s">
        <v>126</v>
      </c>
      <c r="K4345" s="94" t="s">
        <v>176</v>
      </c>
      <c r="L4345" s="94" t="s">
        <v>5939</v>
      </c>
      <c r="M4345" s="94" t="s">
        <v>5944</v>
      </c>
      <c r="N4345" s="106" t="s">
        <v>503</v>
      </c>
      <c r="O4345" s="94" t="s">
        <v>127</v>
      </c>
      <c r="P4345" s="116">
        <v>0</v>
      </c>
      <c r="Q4345" s="107">
        <v>4</v>
      </c>
      <c r="R4345" s="116">
        <f t="shared" si="97"/>
        <v>0</v>
      </c>
      <c r="S4345" s="298">
        <v>202303</v>
      </c>
      <c r="T4345" s="354" t="s">
        <v>5945</v>
      </c>
      <c r="U4345" s="344"/>
      <c r="V4345" s="358"/>
      <c r="W4345" s="358"/>
      <c r="X4345" s="106">
        <v>44652</v>
      </c>
      <c r="Y4345" s="106">
        <v>45016</v>
      </c>
    </row>
    <row r="4346" s="9" customFormat="1" customHeight="1" spans="1:25">
      <c r="A4346" s="94" t="s">
        <v>403</v>
      </c>
      <c r="B4346" s="94" t="s">
        <v>5875</v>
      </c>
      <c r="C4346" s="94" t="s">
        <v>44</v>
      </c>
      <c r="D4346" s="94" t="s">
        <v>566</v>
      </c>
      <c r="E4346" s="23" t="s">
        <v>5931</v>
      </c>
      <c r="F4346" s="94" t="s">
        <v>5932</v>
      </c>
      <c r="G4346" s="94" t="s">
        <v>88</v>
      </c>
      <c r="H4346" s="97" t="s">
        <v>5933</v>
      </c>
      <c r="I4346" s="23" t="e">
        <f>VLOOKUP(H4346,'合同综合查询数据（3月返）'!$A:$A,1,FALSE)</f>
        <v>#N/A</v>
      </c>
      <c r="J4346" s="94" t="s">
        <v>126</v>
      </c>
      <c r="K4346" s="94" t="s">
        <v>176</v>
      </c>
      <c r="L4346" s="94" t="s">
        <v>5937</v>
      </c>
      <c r="M4346" s="94" t="s">
        <v>5944</v>
      </c>
      <c r="N4346" s="106" t="s">
        <v>503</v>
      </c>
      <c r="O4346" s="94" t="s">
        <v>127</v>
      </c>
      <c r="P4346" s="116">
        <v>0</v>
      </c>
      <c r="Q4346" s="107">
        <v>8</v>
      </c>
      <c r="R4346" s="116">
        <f t="shared" si="97"/>
        <v>0</v>
      </c>
      <c r="S4346" s="298">
        <v>202303</v>
      </c>
      <c r="T4346" s="354" t="s">
        <v>5946</v>
      </c>
      <c r="U4346" s="344"/>
      <c r="V4346" s="358"/>
      <c r="W4346" s="358"/>
      <c r="X4346" s="106">
        <v>44652</v>
      </c>
      <c r="Y4346" s="106">
        <v>45016</v>
      </c>
    </row>
    <row r="4347" s="10" customFormat="1" customHeight="1" spans="1:25">
      <c r="A4347" s="62" t="s">
        <v>403</v>
      </c>
      <c r="B4347" s="62" t="s">
        <v>5875</v>
      </c>
      <c r="C4347" s="62" t="s">
        <v>44</v>
      </c>
      <c r="D4347" s="62" t="s">
        <v>566</v>
      </c>
      <c r="E4347" s="47" t="s">
        <v>5931</v>
      </c>
      <c r="F4347" s="62" t="s">
        <v>5932</v>
      </c>
      <c r="G4347" s="62" t="s">
        <v>88</v>
      </c>
      <c r="H4347" s="102" t="s">
        <v>5947</v>
      </c>
      <c r="I4347" s="47" t="e">
        <f>VLOOKUP(H4347,'合同综合查询数据（3月返）'!$A:$A,1,FALSE)</f>
        <v>#N/A</v>
      </c>
      <c r="J4347" s="62" t="s">
        <v>126</v>
      </c>
      <c r="K4347" s="62" t="s">
        <v>176</v>
      </c>
      <c r="L4347" s="62" t="s">
        <v>5932</v>
      </c>
      <c r="M4347" s="62" t="s">
        <v>5948</v>
      </c>
      <c r="N4347" s="111" t="s">
        <v>503</v>
      </c>
      <c r="O4347" s="62" t="s">
        <v>127</v>
      </c>
      <c r="P4347" s="124">
        <v>0</v>
      </c>
      <c r="Q4347" s="112">
        <v>11</v>
      </c>
      <c r="R4347" s="124">
        <f t="shared" si="97"/>
        <v>0</v>
      </c>
      <c r="S4347" s="349">
        <v>202303</v>
      </c>
      <c r="T4347" s="353" t="s">
        <v>5949</v>
      </c>
      <c r="U4347" s="342"/>
      <c r="V4347" s="356"/>
      <c r="W4347" s="356"/>
      <c r="X4347" s="111"/>
      <c r="Y4347" s="62"/>
    </row>
    <row r="4348" s="9" customFormat="1" customHeight="1" spans="1:25">
      <c r="A4348" s="94" t="s">
        <v>403</v>
      </c>
      <c r="B4348" s="94" t="s">
        <v>5875</v>
      </c>
      <c r="C4348" s="94" t="s">
        <v>44</v>
      </c>
      <c r="D4348" s="94" t="s">
        <v>566</v>
      </c>
      <c r="E4348" s="23" t="s">
        <v>5931</v>
      </c>
      <c r="F4348" s="94" t="s">
        <v>5932</v>
      </c>
      <c r="G4348" s="94" t="s">
        <v>88</v>
      </c>
      <c r="H4348" s="97" t="s">
        <v>5933</v>
      </c>
      <c r="I4348" s="23" t="e">
        <f>VLOOKUP(H4348,'合同综合查询数据（3月返）'!$A:$A,1,FALSE)</f>
        <v>#N/A</v>
      </c>
      <c r="J4348" s="94" t="s">
        <v>126</v>
      </c>
      <c r="K4348" s="94" t="s">
        <v>176</v>
      </c>
      <c r="L4348" s="94" t="s">
        <v>5939</v>
      </c>
      <c r="M4348" s="94" t="s">
        <v>5944</v>
      </c>
      <c r="N4348" s="106">
        <v>44012</v>
      </c>
      <c r="O4348" s="94" t="s">
        <v>127</v>
      </c>
      <c r="P4348" s="116">
        <v>0</v>
      </c>
      <c r="Q4348" s="107">
        <v>-4</v>
      </c>
      <c r="R4348" s="116">
        <f t="shared" si="97"/>
        <v>0</v>
      </c>
      <c r="S4348" s="298">
        <v>202303</v>
      </c>
      <c r="T4348" s="354" t="s">
        <v>5950</v>
      </c>
      <c r="U4348" s="344"/>
      <c r="V4348" s="358"/>
      <c r="W4348" s="358"/>
      <c r="X4348" s="106">
        <v>44652</v>
      </c>
      <c r="Y4348" s="106">
        <v>45016</v>
      </c>
    </row>
    <row r="4349" s="10" customFormat="1" customHeight="1" spans="1:25">
      <c r="A4349" s="62" t="s">
        <v>403</v>
      </c>
      <c r="B4349" s="62" t="s">
        <v>5875</v>
      </c>
      <c r="C4349" s="62" t="s">
        <v>44</v>
      </c>
      <c r="D4349" s="62" t="s">
        <v>566</v>
      </c>
      <c r="E4349" s="47" t="s">
        <v>5931</v>
      </c>
      <c r="F4349" s="62" t="s">
        <v>5932</v>
      </c>
      <c r="G4349" s="62" t="s">
        <v>88</v>
      </c>
      <c r="H4349" s="102" t="s">
        <v>5947</v>
      </c>
      <c r="I4349" s="47" t="e">
        <f>VLOOKUP(H4349,'合同综合查询数据（3月返）'!$A:$A,1,FALSE)</f>
        <v>#N/A</v>
      </c>
      <c r="J4349" s="62" t="s">
        <v>126</v>
      </c>
      <c r="K4349" s="62" t="s">
        <v>176</v>
      </c>
      <c r="L4349" s="62" t="s">
        <v>5932</v>
      </c>
      <c r="M4349" s="62" t="s">
        <v>5948</v>
      </c>
      <c r="N4349" s="111">
        <v>44012</v>
      </c>
      <c r="O4349" s="62" t="s">
        <v>127</v>
      </c>
      <c r="P4349" s="124">
        <v>0</v>
      </c>
      <c r="Q4349" s="112">
        <v>-11</v>
      </c>
      <c r="R4349" s="124">
        <f t="shared" si="97"/>
        <v>0</v>
      </c>
      <c r="S4349" s="349">
        <v>202303</v>
      </c>
      <c r="T4349" s="353" t="s">
        <v>5951</v>
      </c>
      <c r="U4349" s="342"/>
      <c r="V4349" s="356"/>
      <c r="W4349" s="356"/>
      <c r="X4349" s="111"/>
      <c r="Y4349" s="62"/>
    </row>
    <row r="4350" s="9" customFormat="1" customHeight="1" spans="1:25">
      <c r="A4350" s="94" t="s">
        <v>403</v>
      </c>
      <c r="B4350" s="94" t="s">
        <v>5875</v>
      </c>
      <c r="C4350" s="94" t="s">
        <v>44</v>
      </c>
      <c r="D4350" s="94" t="s">
        <v>566</v>
      </c>
      <c r="E4350" s="23" t="s">
        <v>5931</v>
      </c>
      <c r="F4350" s="94" t="s">
        <v>5932</v>
      </c>
      <c r="G4350" s="94" t="s">
        <v>88</v>
      </c>
      <c r="H4350" s="97" t="s">
        <v>5933</v>
      </c>
      <c r="I4350" s="23" t="e">
        <f>VLOOKUP(H4350,'合同综合查询数据（3月返）'!$A:$A,1,FALSE)</f>
        <v>#N/A</v>
      </c>
      <c r="J4350" s="94" t="s">
        <v>126</v>
      </c>
      <c r="K4350" s="94" t="s">
        <v>176</v>
      </c>
      <c r="L4350" s="94" t="s">
        <v>5939</v>
      </c>
      <c r="M4350" s="94" t="s">
        <v>5944</v>
      </c>
      <c r="N4350" s="106">
        <v>44090</v>
      </c>
      <c r="O4350" s="94" t="s">
        <v>127</v>
      </c>
      <c r="P4350" s="116">
        <v>0</v>
      </c>
      <c r="Q4350" s="107">
        <v>4</v>
      </c>
      <c r="R4350" s="116">
        <f t="shared" si="97"/>
        <v>0</v>
      </c>
      <c r="S4350" s="298">
        <v>202303</v>
      </c>
      <c r="T4350" s="354" t="s">
        <v>5952</v>
      </c>
      <c r="U4350" s="344"/>
      <c r="V4350" s="358"/>
      <c r="W4350" s="358"/>
      <c r="X4350" s="106">
        <v>44652</v>
      </c>
      <c r="Y4350" s="106">
        <v>45016</v>
      </c>
    </row>
    <row r="4351" s="9" customFormat="1" customHeight="1" spans="1:25">
      <c r="A4351" s="94" t="s">
        <v>403</v>
      </c>
      <c r="B4351" s="94" t="s">
        <v>5875</v>
      </c>
      <c r="C4351" s="94" t="s">
        <v>44</v>
      </c>
      <c r="D4351" s="94" t="s">
        <v>566</v>
      </c>
      <c r="E4351" s="23" t="s">
        <v>5931</v>
      </c>
      <c r="F4351" s="94" t="s">
        <v>5932</v>
      </c>
      <c r="G4351" s="94" t="s">
        <v>88</v>
      </c>
      <c r="H4351" s="97" t="s">
        <v>5933</v>
      </c>
      <c r="I4351" s="23" t="e">
        <f>VLOOKUP(H4351,'合同综合查询数据（3月返）'!$A:$A,1,FALSE)</f>
        <v>#N/A</v>
      </c>
      <c r="J4351" s="94" t="s">
        <v>126</v>
      </c>
      <c r="K4351" s="94" t="s">
        <v>176</v>
      </c>
      <c r="L4351" s="94" t="s">
        <v>5939</v>
      </c>
      <c r="M4351" s="94" t="s">
        <v>5944</v>
      </c>
      <c r="N4351" s="106">
        <v>44742</v>
      </c>
      <c r="O4351" s="94" t="s">
        <v>127</v>
      </c>
      <c r="P4351" s="116">
        <v>4700</v>
      </c>
      <c r="Q4351" s="107">
        <v>-4</v>
      </c>
      <c r="R4351" s="116">
        <f t="shared" si="97"/>
        <v>-18800</v>
      </c>
      <c r="S4351" s="298">
        <v>202303</v>
      </c>
      <c r="T4351" s="354" t="s">
        <v>5953</v>
      </c>
      <c r="U4351" s="344"/>
      <c r="V4351" s="358"/>
      <c r="W4351" s="358"/>
      <c r="X4351" s="106">
        <v>44652</v>
      </c>
      <c r="Y4351" s="106">
        <v>45016</v>
      </c>
    </row>
    <row r="4352" s="9" customFormat="1" customHeight="1" spans="1:25">
      <c r="A4352" s="94" t="s">
        <v>403</v>
      </c>
      <c r="B4352" s="94" t="s">
        <v>5875</v>
      </c>
      <c r="C4352" s="94" t="s">
        <v>44</v>
      </c>
      <c r="D4352" s="94" t="s">
        <v>566</v>
      </c>
      <c r="E4352" s="23" t="s">
        <v>5931</v>
      </c>
      <c r="F4352" s="94" t="s">
        <v>5932</v>
      </c>
      <c r="G4352" s="94" t="s">
        <v>88</v>
      </c>
      <c r="H4352" s="97" t="s">
        <v>5933</v>
      </c>
      <c r="I4352" s="23" t="e">
        <f>VLOOKUP(H4352,'合同综合查询数据（3月返）'!$A:$A,1,FALSE)</f>
        <v>#N/A</v>
      </c>
      <c r="J4352" s="94" t="s">
        <v>126</v>
      </c>
      <c r="K4352" s="94" t="s">
        <v>176</v>
      </c>
      <c r="L4352" s="94" t="s">
        <v>5942</v>
      </c>
      <c r="M4352" s="94" t="s">
        <v>5948</v>
      </c>
      <c r="N4352" s="106">
        <v>44090</v>
      </c>
      <c r="O4352" s="94" t="s">
        <v>127</v>
      </c>
      <c r="P4352" s="116">
        <v>0</v>
      </c>
      <c r="Q4352" s="107">
        <v>8</v>
      </c>
      <c r="R4352" s="116">
        <f t="shared" si="97"/>
        <v>0</v>
      </c>
      <c r="S4352" s="298">
        <v>202303</v>
      </c>
      <c r="T4352" s="354" t="s">
        <v>5954</v>
      </c>
      <c r="U4352" s="344"/>
      <c r="V4352" s="358"/>
      <c r="W4352" s="358"/>
      <c r="X4352" s="106">
        <v>44652</v>
      </c>
      <c r="Y4352" s="106">
        <v>45016</v>
      </c>
    </row>
    <row r="4353" s="9" customFormat="1" customHeight="1" spans="1:25">
      <c r="A4353" s="94" t="s">
        <v>403</v>
      </c>
      <c r="B4353" s="94" t="s">
        <v>5875</v>
      </c>
      <c r="C4353" s="94" t="s">
        <v>44</v>
      </c>
      <c r="D4353" s="94" t="s">
        <v>566</v>
      </c>
      <c r="E4353" s="23" t="s">
        <v>5931</v>
      </c>
      <c r="F4353" s="94" t="s">
        <v>5932</v>
      </c>
      <c r="G4353" s="94" t="s">
        <v>88</v>
      </c>
      <c r="H4353" s="97" t="s">
        <v>5933</v>
      </c>
      <c r="I4353" s="23" t="e">
        <f>VLOOKUP(H4353,'合同综合查询数据（3月返）'!$A:$A,1,FALSE)</f>
        <v>#N/A</v>
      </c>
      <c r="J4353" s="94" t="s">
        <v>126</v>
      </c>
      <c r="K4353" s="94" t="s">
        <v>176</v>
      </c>
      <c r="L4353" s="94" t="s">
        <v>5942</v>
      </c>
      <c r="M4353" s="94" t="s">
        <v>5935</v>
      </c>
      <c r="N4353" s="106">
        <v>44090</v>
      </c>
      <c r="O4353" s="94" t="s">
        <v>127</v>
      </c>
      <c r="P4353" s="116">
        <v>4700</v>
      </c>
      <c r="Q4353" s="107">
        <v>3</v>
      </c>
      <c r="R4353" s="116">
        <f t="shared" si="97"/>
        <v>14100</v>
      </c>
      <c r="S4353" s="298">
        <v>202303</v>
      </c>
      <c r="T4353" s="354" t="s">
        <v>5955</v>
      </c>
      <c r="U4353" s="344"/>
      <c r="V4353" s="358"/>
      <c r="W4353" s="358"/>
      <c r="X4353" s="106">
        <v>44652</v>
      </c>
      <c r="Y4353" s="106">
        <v>45016</v>
      </c>
    </row>
    <row r="4354" s="9" customFormat="1" customHeight="1" spans="1:25">
      <c r="A4354" s="94" t="s">
        <v>403</v>
      </c>
      <c r="B4354" s="94" t="s">
        <v>5875</v>
      </c>
      <c r="C4354" s="94" t="s">
        <v>44</v>
      </c>
      <c r="D4354" s="94" t="s">
        <v>566</v>
      </c>
      <c r="E4354" s="23" t="s">
        <v>5931</v>
      </c>
      <c r="F4354" s="94" t="s">
        <v>5932</v>
      </c>
      <c r="G4354" s="94" t="s">
        <v>88</v>
      </c>
      <c r="H4354" s="97" t="s">
        <v>5933</v>
      </c>
      <c r="I4354" s="23" t="e">
        <f>VLOOKUP(H4354,'合同综合查询数据（3月返）'!$A:$A,1,FALSE)</f>
        <v>#N/A</v>
      </c>
      <c r="J4354" s="94" t="s">
        <v>126</v>
      </c>
      <c r="K4354" s="94" t="s">
        <v>176</v>
      </c>
      <c r="L4354" s="94" t="s">
        <v>5937</v>
      </c>
      <c r="M4354" s="94" t="s">
        <v>5944</v>
      </c>
      <c r="N4354" s="106">
        <v>44347</v>
      </c>
      <c r="O4354" s="94" t="s">
        <v>127</v>
      </c>
      <c r="P4354" s="116">
        <v>4700</v>
      </c>
      <c r="Q4354" s="107">
        <v>-3</v>
      </c>
      <c r="R4354" s="116">
        <f t="shared" si="97"/>
        <v>-14100</v>
      </c>
      <c r="S4354" s="298">
        <v>202303</v>
      </c>
      <c r="T4354" s="354" t="s">
        <v>5956</v>
      </c>
      <c r="U4354" s="344"/>
      <c r="V4354" s="358"/>
      <c r="W4354" s="358"/>
      <c r="X4354" s="106">
        <v>44652</v>
      </c>
      <c r="Y4354" s="106">
        <v>45016</v>
      </c>
    </row>
    <row r="4355" s="9" customFormat="1" customHeight="1" spans="1:25">
      <c r="A4355" s="94" t="s">
        <v>403</v>
      </c>
      <c r="B4355" s="94" t="s">
        <v>5875</v>
      </c>
      <c r="C4355" s="94" t="s">
        <v>44</v>
      </c>
      <c r="D4355" s="94" t="s">
        <v>566</v>
      </c>
      <c r="E4355" s="23" t="s">
        <v>5931</v>
      </c>
      <c r="F4355" s="94" t="s">
        <v>5932</v>
      </c>
      <c r="G4355" s="94" t="s">
        <v>88</v>
      </c>
      <c r="H4355" s="97" t="s">
        <v>5933</v>
      </c>
      <c r="I4355" s="23" t="e">
        <f>VLOOKUP(H4355,'合同综合查询数据（3月返）'!$A:$A,1,FALSE)</f>
        <v>#N/A</v>
      </c>
      <c r="J4355" s="94" t="s">
        <v>126</v>
      </c>
      <c r="K4355" s="94" t="s">
        <v>176</v>
      </c>
      <c r="L4355" s="94" t="s">
        <v>5937</v>
      </c>
      <c r="M4355" s="94" t="s">
        <v>5944</v>
      </c>
      <c r="N4355" s="106">
        <v>43811</v>
      </c>
      <c r="O4355" s="94" t="s">
        <v>127</v>
      </c>
      <c r="P4355" s="116">
        <v>0</v>
      </c>
      <c r="Q4355" s="107">
        <v>2</v>
      </c>
      <c r="R4355" s="116">
        <f t="shared" si="97"/>
        <v>0</v>
      </c>
      <c r="S4355" s="298">
        <v>202303</v>
      </c>
      <c r="T4355" s="354" t="s">
        <v>5957</v>
      </c>
      <c r="U4355" s="344"/>
      <c r="V4355" s="358"/>
      <c r="W4355" s="358"/>
      <c r="X4355" s="106">
        <v>44652</v>
      </c>
      <c r="Y4355" s="106">
        <v>45016</v>
      </c>
    </row>
    <row r="4356" s="9" customFormat="1" customHeight="1" spans="1:25">
      <c r="A4356" s="94" t="s">
        <v>403</v>
      </c>
      <c r="B4356" s="94" t="s">
        <v>5875</v>
      </c>
      <c r="C4356" s="94" t="s">
        <v>44</v>
      </c>
      <c r="D4356" s="94" t="s">
        <v>566</v>
      </c>
      <c r="E4356" s="23" t="s">
        <v>5931</v>
      </c>
      <c r="F4356" s="94" t="s">
        <v>5932</v>
      </c>
      <c r="G4356" s="94" t="s">
        <v>88</v>
      </c>
      <c r="H4356" s="97" t="s">
        <v>5933</v>
      </c>
      <c r="I4356" s="23" t="e">
        <f>VLOOKUP(H4356,'合同综合查询数据（3月返）'!$A:$A,1,FALSE)</f>
        <v>#N/A</v>
      </c>
      <c r="J4356" s="94" t="s">
        <v>126</v>
      </c>
      <c r="K4356" s="94" t="s">
        <v>176</v>
      </c>
      <c r="L4356" s="94" t="s">
        <v>5942</v>
      </c>
      <c r="M4356" s="94" t="s">
        <v>5944</v>
      </c>
      <c r="N4356" s="106">
        <v>44439</v>
      </c>
      <c r="O4356" s="94" t="s">
        <v>127</v>
      </c>
      <c r="P4356" s="116">
        <v>0</v>
      </c>
      <c r="Q4356" s="107">
        <v>-7</v>
      </c>
      <c r="R4356" s="116">
        <f t="shared" si="97"/>
        <v>0</v>
      </c>
      <c r="S4356" s="298">
        <v>202303</v>
      </c>
      <c r="T4356" s="354" t="s">
        <v>5958</v>
      </c>
      <c r="U4356" s="344"/>
      <c r="V4356" s="358"/>
      <c r="W4356" s="358"/>
      <c r="X4356" s="106">
        <v>44652</v>
      </c>
      <c r="Y4356" s="106">
        <v>45016</v>
      </c>
    </row>
    <row r="4357" s="9" customFormat="1" customHeight="1" spans="1:25">
      <c r="A4357" s="94" t="s">
        <v>403</v>
      </c>
      <c r="B4357" s="94" t="s">
        <v>5875</v>
      </c>
      <c r="C4357" s="94" t="s">
        <v>44</v>
      </c>
      <c r="D4357" s="94" t="s">
        <v>566</v>
      </c>
      <c r="E4357" s="23" t="s">
        <v>5931</v>
      </c>
      <c r="F4357" s="94" t="s">
        <v>5932</v>
      </c>
      <c r="G4357" s="94" t="s">
        <v>88</v>
      </c>
      <c r="H4357" s="97" t="s">
        <v>5933</v>
      </c>
      <c r="I4357" s="23" t="e">
        <f>VLOOKUP(H4357,'合同综合查询数据（3月返）'!$A:$A,1,FALSE)</f>
        <v>#N/A</v>
      </c>
      <c r="J4357" s="94" t="s">
        <v>126</v>
      </c>
      <c r="K4357" s="94" t="s">
        <v>176</v>
      </c>
      <c r="L4357" s="94" t="s">
        <v>5942</v>
      </c>
      <c r="M4357" s="94" t="s">
        <v>5944</v>
      </c>
      <c r="N4357" s="106">
        <v>44439</v>
      </c>
      <c r="O4357" s="94" t="s">
        <v>127</v>
      </c>
      <c r="P4357" s="116">
        <v>4700</v>
      </c>
      <c r="Q4357" s="107">
        <v>-1</v>
      </c>
      <c r="R4357" s="116">
        <f t="shared" si="97"/>
        <v>-4700</v>
      </c>
      <c r="S4357" s="298">
        <v>202303</v>
      </c>
      <c r="T4357" s="354" t="s">
        <v>5959</v>
      </c>
      <c r="U4357" s="344"/>
      <c r="V4357" s="358"/>
      <c r="W4357" s="358"/>
      <c r="X4357" s="106">
        <v>44652</v>
      </c>
      <c r="Y4357" s="106">
        <v>45016</v>
      </c>
    </row>
    <row r="4358" s="9" customFormat="1" customHeight="1" spans="1:25">
      <c r="A4358" s="94" t="s">
        <v>403</v>
      </c>
      <c r="B4358" s="94" t="s">
        <v>5875</v>
      </c>
      <c r="C4358" s="94" t="s">
        <v>44</v>
      </c>
      <c r="D4358" s="94" t="s">
        <v>566</v>
      </c>
      <c r="E4358" s="23" t="s">
        <v>5931</v>
      </c>
      <c r="F4358" s="94" t="s">
        <v>5932</v>
      </c>
      <c r="G4358" s="94" t="s">
        <v>88</v>
      </c>
      <c r="H4358" s="97" t="s">
        <v>5933</v>
      </c>
      <c r="I4358" s="23" t="e">
        <f>VLOOKUP(H4358,'合同综合查询数据（3月返）'!$A:$A,1,FALSE)</f>
        <v>#N/A</v>
      </c>
      <c r="J4358" s="94" t="s">
        <v>126</v>
      </c>
      <c r="K4358" s="94" t="s">
        <v>176</v>
      </c>
      <c r="L4358" s="94" t="s">
        <v>5942</v>
      </c>
      <c r="M4358" s="94" t="s">
        <v>5944</v>
      </c>
      <c r="N4358" s="106">
        <v>44774</v>
      </c>
      <c r="O4358" s="94" t="s">
        <v>127</v>
      </c>
      <c r="P4358" s="116">
        <v>4700</v>
      </c>
      <c r="Q4358" s="107">
        <v>2</v>
      </c>
      <c r="R4358" s="116">
        <f t="shared" si="97"/>
        <v>9400</v>
      </c>
      <c r="S4358" s="298">
        <v>202303</v>
      </c>
      <c r="T4358" s="354" t="s">
        <v>5960</v>
      </c>
      <c r="U4358" s="344"/>
      <c r="V4358" s="358"/>
      <c r="W4358" s="358"/>
      <c r="X4358" s="106">
        <v>44652</v>
      </c>
      <c r="Y4358" s="106">
        <v>45016</v>
      </c>
    </row>
    <row r="4359" s="9" customFormat="1" customHeight="1" spans="1:25">
      <c r="A4359" s="94" t="s">
        <v>403</v>
      </c>
      <c r="B4359" s="94" t="s">
        <v>5875</v>
      </c>
      <c r="C4359" s="94" t="s">
        <v>44</v>
      </c>
      <c r="D4359" s="94" t="s">
        <v>566</v>
      </c>
      <c r="E4359" s="23" t="s">
        <v>5931</v>
      </c>
      <c r="F4359" s="94" t="s">
        <v>5932</v>
      </c>
      <c r="G4359" s="94" t="s">
        <v>88</v>
      </c>
      <c r="H4359" s="97" t="s">
        <v>5933</v>
      </c>
      <c r="I4359" s="23" t="e">
        <f>VLOOKUP(H4359,'合同综合查询数据（3月返）'!$A:$A,1,FALSE)</f>
        <v>#N/A</v>
      </c>
      <c r="J4359" s="94" t="s">
        <v>1033</v>
      </c>
      <c r="K4359" s="94" t="s">
        <v>176</v>
      </c>
      <c r="L4359" s="281" t="s">
        <v>5934</v>
      </c>
      <c r="M4359" s="94" t="s">
        <v>5935</v>
      </c>
      <c r="N4359" s="106"/>
      <c r="O4359" s="94" t="s">
        <v>127</v>
      </c>
      <c r="P4359" s="116">
        <v>4700</v>
      </c>
      <c r="Q4359" s="107">
        <v>6</v>
      </c>
      <c r="R4359" s="116">
        <f t="shared" si="97"/>
        <v>28200</v>
      </c>
      <c r="S4359" s="298">
        <v>202303</v>
      </c>
      <c r="T4359" s="354" t="s">
        <v>5961</v>
      </c>
      <c r="U4359" s="344"/>
      <c r="V4359" s="358"/>
      <c r="W4359" s="358"/>
      <c r="X4359" s="106">
        <v>44652</v>
      </c>
      <c r="Y4359" s="106">
        <v>45016</v>
      </c>
    </row>
    <row r="4360" s="9" customFormat="1" customHeight="1" spans="1:25">
      <c r="A4360" s="94" t="s">
        <v>403</v>
      </c>
      <c r="B4360" s="94" t="s">
        <v>5875</v>
      </c>
      <c r="C4360" s="94" t="s">
        <v>44</v>
      </c>
      <c r="D4360" s="94" t="s">
        <v>566</v>
      </c>
      <c r="E4360" s="23" t="s">
        <v>5931</v>
      </c>
      <c r="F4360" s="94" t="s">
        <v>5932</v>
      </c>
      <c r="G4360" s="94" t="s">
        <v>88</v>
      </c>
      <c r="H4360" s="97" t="s">
        <v>5933</v>
      </c>
      <c r="I4360" s="23" t="e">
        <f>VLOOKUP(H4360,'合同综合查询数据（3月返）'!$A:$A,1,FALSE)</f>
        <v>#N/A</v>
      </c>
      <c r="J4360" s="94" t="s">
        <v>1033</v>
      </c>
      <c r="K4360" s="94" t="s">
        <v>176</v>
      </c>
      <c r="L4360" s="281" t="s">
        <v>5934</v>
      </c>
      <c r="M4360" s="94" t="s">
        <v>5935</v>
      </c>
      <c r="N4360" s="106">
        <v>44645</v>
      </c>
      <c r="O4360" s="94" t="s">
        <v>127</v>
      </c>
      <c r="P4360" s="116">
        <v>4700</v>
      </c>
      <c r="Q4360" s="107">
        <v>-1</v>
      </c>
      <c r="R4360" s="116">
        <f t="shared" si="97"/>
        <v>-4700</v>
      </c>
      <c r="S4360" s="298">
        <v>202303</v>
      </c>
      <c r="T4360" s="354" t="s">
        <v>5962</v>
      </c>
      <c r="U4360" s="344"/>
      <c r="V4360" s="358"/>
      <c r="W4360" s="358"/>
      <c r="X4360" s="106">
        <v>44652</v>
      </c>
      <c r="Y4360" s="106">
        <v>45016</v>
      </c>
    </row>
    <row r="4361" s="9" customFormat="1" customHeight="1" spans="1:25">
      <c r="A4361" s="94" t="s">
        <v>403</v>
      </c>
      <c r="B4361" s="94" t="s">
        <v>5875</v>
      </c>
      <c r="C4361" s="94" t="s">
        <v>44</v>
      </c>
      <c r="D4361" s="94" t="s">
        <v>566</v>
      </c>
      <c r="E4361" s="23" t="s">
        <v>5931</v>
      </c>
      <c r="F4361" s="94" t="s">
        <v>5932</v>
      </c>
      <c r="G4361" s="94" t="s">
        <v>88</v>
      </c>
      <c r="H4361" s="97" t="s">
        <v>5933</v>
      </c>
      <c r="I4361" s="23" t="e">
        <f>VLOOKUP(H4361,'合同综合查询数据（3月返）'!$A:$A,1,FALSE)</f>
        <v>#N/A</v>
      </c>
      <c r="J4361" s="94" t="s">
        <v>126</v>
      </c>
      <c r="K4361" s="94" t="s">
        <v>5937</v>
      </c>
      <c r="L4361" s="94" t="s">
        <v>5937</v>
      </c>
      <c r="M4361" s="94" t="s">
        <v>5944</v>
      </c>
      <c r="N4361" s="106">
        <v>44332</v>
      </c>
      <c r="O4361" s="94" t="s">
        <v>127</v>
      </c>
      <c r="P4361" s="116">
        <v>4700</v>
      </c>
      <c r="Q4361" s="107">
        <v>1</v>
      </c>
      <c r="R4361" s="116">
        <f t="shared" si="97"/>
        <v>4700</v>
      </c>
      <c r="S4361" s="298">
        <v>202303</v>
      </c>
      <c r="T4361" s="354" t="s">
        <v>5963</v>
      </c>
      <c r="U4361" s="344"/>
      <c r="V4361" s="358"/>
      <c r="W4361" s="358"/>
      <c r="X4361" s="106">
        <v>44652</v>
      </c>
      <c r="Y4361" s="106">
        <v>45016</v>
      </c>
    </row>
    <row r="4362" s="9" customFormat="1" customHeight="1" spans="1:25">
      <c r="A4362" s="94" t="s">
        <v>403</v>
      </c>
      <c r="B4362" s="94" t="s">
        <v>5875</v>
      </c>
      <c r="C4362" s="94" t="s">
        <v>44</v>
      </c>
      <c r="D4362" s="94" t="s">
        <v>566</v>
      </c>
      <c r="E4362" s="23" t="s">
        <v>5931</v>
      </c>
      <c r="F4362" s="94" t="s">
        <v>5932</v>
      </c>
      <c r="G4362" s="94" t="s">
        <v>88</v>
      </c>
      <c r="H4362" s="97" t="s">
        <v>5933</v>
      </c>
      <c r="I4362" s="23" t="e">
        <f>VLOOKUP(H4362,'合同综合查询数据（3月返）'!$A:$A,1,FALSE)</f>
        <v>#N/A</v>
      </c>
      <c r="J4362" s="94" t="s">
        <v>126</v>
      </c>
      <c r="K4362" s="94" t="s">
        <v>5937</v>
      </c>
      <c r="L4362" s="94" t="s">
        <v>5937</v>
      </c>
      <c r="M4362" s="94" t="s">
        <v>5944</v>
      </c>
      <c r="N4362" s="106">
        <v>44470</v>
      </c>
      <c r="O4362" s="94" t="s">
        <v>127</v>
      </c>
      <c r="P4362" s="116">
        <v>4700</v>
      </c>
      <c r="Q4362" s="107">
        <v>5</v>
      </c>
      <c r="R4362" s="116">
        <f t="shared" si="97"/>
        <v>23500</v>
      </c>
      <c r="S4362" s="298">
        <v>202303</v>
      </c>
      <c r="T4362" s="354" t="s">
        <v>5964</v>
      </c>
      <c r="U4362" s="344"/>
      <c r="V4362" s="358"/>
      <c r="W4362" s="358"/>
      <c r="X4362" s="106">
        <v>44652</v>
      </c>
      <c r="Y4362" s="106">
        <v>45016</v>
      </c>
    </row>
    <row r="4363" s="9" customFormat="1" customHeight="1" spans="1:25">
      <c r="A4363" s="94" t="s">
        <v>403</v>
      </c>
      <c r="B4363" s="94" t="s">
        <v>5875</v>
      </c>
      <c r="C4363" s="94" t="s">
        <v>44</v>
      </c>
      <c r="D4363" s="94" t="s">
        <v>566</v>
      </c>
      <c r="E4363" s="23" t="s">
        <v>5931</v>
      </c>
      <c r="F4363" s="94" t="s">
        <v>5932</v>
      </c>
      <c r="G4363" s="94" t="s">
        <v>88</v>
      </c>
      <c r="H4363" s="97" t="s">
        <v>5933</v>
      </c>
      <c r="I4363" s="23" t="e">
        <f>VLOOKUP(H4363,'合同综合查询数据（3月返）'!$A:$A,1,FALSE)</f>
        <v>#N/A</v>
      </c>
      <c r="J4363" s="94" t="s">
        <v>126</v>
      </c>
      <c r="K4363" s="94" t="s">
        <v>5937</v>
      </c>
      <c r="L4363" s="94" t="s">
        <v>5937</v>
      </c>
      <c r="M4363" s="94" t="s">
        <v>5944</v>
      </c>
      <c r="N4363" s="106">
        <v>44470</v>
      </c>
      <c r="O4363" s="94" t="s">
        <v>127</v>
      </c>
      <c r="P4363" s="116">
        <v>0</v>
      </c>
      <c r="Q4363" s="107">
        <v>7</v>
      </c>
      <c r="R4363" s="116">
        <f t="shared" si="97"/>
        <v>0</v>
      </c>
      <c r="S4363" s="298">
        <v>202303</v>
      </c>
      <c r="T4363" s="354" t="s">
        <v>5965</v>
      </c>
      <c r="U4363" s="344"/>
      <c r="V4363" s="358"/>
      <c r="W4363" s="358"/>
      <c r="X4363" s="106">
        <v>44652</v>
      </c>
      <c r="Y4363" s="106">
        <v>45016</v>
      </c>
    </row>
    <row r="4364" s="9" customFormat="1" customHeight="1" spans="1:25">
      <c r="A4364" s="94" t="s">
        <v>403</v>
      </c>
      <c r="B4364" s="94" t="s">
        <v>5875</v>
      </c>
      <c r="C4364" s="94" t="s">
        <v>44</v>
      </c>
      <c r="D4364" s="94" t="s">
        <v>566</v>
      </c>
      <c r="E4364" s="23" t="s">
        <v>5931</v>
      </c>
      <c r="F4364" s="94" t="s">
        <v>5932</v>
      </c>
      <c r="G4364" s="94" t="s">
        <v>88</v>
      </c>
      <c r="H4364" s="97" t="s">
        <v>5933</v>
      </c>
      <c r="I4364" s="23" t="e">
        <f>VLOOKUP(H4364,'合同综合查询数据（3月返）'!$A:$A,1,FALSE)</f>
        <v>#N/A</v>
      </c>
      <c r="J4364" s="94" t="s">
        <v>126</v>
      </c>
      <c r="K4364" s="94" t="s">
        <v>5937</v>
      </c>
      <c r="L4364" s="94" t="s">
        <v>5937</v>
      </c>
      <c r="M4364" s="94" t="s">
        <v>5944</v>
      </c>
      <c r="N4364" s="106">
        <v>44545</v>
      </c>
      <c r="O4364" s="94" t="s">
        <v>127</v>
      </c>
      <c r="P4364" s="116">
        <v>4700</v>
      </c>
      <c r="Q4364" s="107">
        <v>1</v>
      </c>
      <c r="R4364" s="116">
        <f t="shared" si="97"/>
        <v>4700</v>
      </c>
      <c r="S4364" s="298">
        <v>202303</v>
      </c>
      <c r="T4364" s="354" t="s">
        <v>5966</v>
      </c>
      <c r="U4364" s="344"/>
      <c r="V4364" s="358"/>
      <c r="W4364" s="358"/>
      <c r="X4364" s="106">
        <v>44652</v>
      </c>
      <c r="Y4364" s="106">
        <v>45016</v>
      </c>
    </row>
    <row r="4365" s="9" customFormat="1" customHeight="1" spans="1:25">
      <c r="A4365" s="94" t="s">
        <v>403</v>
      </c>
      <c r="B4365" s="94" t="s">
        <v>5875</v>
      </c>
      <c r="C4365" s="94" t="s">
        <v>44</v>
      </c>
      <c r="D4365" s="94" t="s">
        <v>566</v>
      </c>
      <c r="E4365" s="23" t="s">
        <v>5931</v>
      </c>
      <c r="F4365" s="94" t="s">
        <v>5932</v>
      </c>
      <c r="G4365" s="94" t="s">
        <v>88</v>
      </c>
      <c r="H4365" s="97" t="s">
        <v>5933</v>
      </c>
      <c r="I4365" s="23" t="e">
        <f>VLOOKUP(H4365,'合同综合查询数据（3月返）'!$A:$A,1,FALSE)</f>
        <v>#N/A</v>
      </c>
      <c r="J4365" s="94" t="s">
        <v>126</v>
      </c>
      <c r="K4365" s="94" t="s">
        <v>5937</v>
      </c>
      <c r="L4365" s="94" t="s">
        <v>5937</v>
      </c>
      <c r="M4365" s="94" t="s">
        <v>5944</v>
      </c>
      <c r="N4365" s="106">
        <v>44576</v>
      </c>
      <c r="O4365" s="94" t="s">
        <v>127</v>
      </c>
      <c r="P4365" s="116">
        <v>4700</v>
      </c>
      <c r="Q4365" s="107">
        <v>1</v>
      </c>
      <c r="R4365" s="116">
        <f t="shared" si="97"/>
        <v>4700</v>
      </c>
      <c r="S4365" s="298">
        <v>202303</v>
      </c>
      <c r="T4365" s="354" t="s">
        <v>5967</v>
      </c>
      <c r="U4365" s="344"/>
      <c r="V4365" s="358"/>
      <c r="W4365" s="358"/>
      <c r="X4365" s="106">
        <v>44652</v>
      </c>
      <c r="Y4365" s="106">
        <v>45016</v>
      </c>
    </row>
    <row r="4366" s="9" customFormat="1" customHeight="1" spans="1:25">
      <c r="A4366" s="94" t="s">
        <v>403</v>
      </c>
      <c r="B4366" s="94" t="s">
        <v>5875</v>
      </c>
      <c r="C4366" s="94" t="s">
        <v>44</v>
      </c>
      <c r="D4366" s="94" t="s">
        <v>566</v>
      </c>
      <c r="E4366" s="23" t="s">
        <v>5931</v>
      </c>
      <c r="F4366" s="94" t="s">
        <v>5932</v>
      </c>
      <c r="G4366" s="94" t="s">
        <v>88</v>
      </c>
      <c r="H4366" s="97" t="s">
        <v>5933</v>
      </c>
      <c r="I4366" s="23" t="e">
        <f>VLOOKUP(H4366,'合同综合查询数据（3月返）'!$A:$A,1,FALSE)</f>
        <v>#N/A</v>
      </c>
      <c r="J4366" s="94" t="s">
        <v>126</v>
      </c>
      <c r="K4366" s="94" t="s">
        <v>5937</v>
      </c>
      <c r="L4366" s="94" t="s">
        <v>5937</v>
      </c>
      <c r="M4366" s="94" t="s">
        <v>5944</v>
      </c>
      <c r="N4366" s="106">
        <v>44773</v>
      </c>
      <c r="O4366" s="94" t="s">
        <v>127</v>
      </c>
      <c r="P4366" s="116">
        <v>4700</v>
      </c>
      <c r="Q4366" s="107">
        <v>-5</v>
      </c>
      <c r="R4366" s="116">
        <f t="shared" si="97"/>
        <v>-23500</v>
      </c>
      <c r="S4366" s="298">
        <v>202303</v>
      </c>
      <c r="T4366" s="354" t="s">
        <v>5968</v>
      </c>
      <c r="U4366" s="344"/>
      <c r="V4366" s="358"/>
      <c r="W4366" s="358"/>
      <c r="X4366" s="106">
        <v>44652</v>
      </c>
      <c r="Y4366" s="106">
        <v>45016</v>
      </c>
    </row>
    <row r="4367" s="10" customFormat="1" customHeight="1" spans="1:25">
      <c r="A4367" s="62" t="s">
        <v>403</v>
      </c>
      <c r="B4367" s="62" t="s">
        <v>5875</v>
      </c>
      <c r="C4367" s="62" t="s">
        <v>44</v>
      </c>
      <c r="D4367" s="62" t="s">
        <v>566</v>
      </c>
      <c r="E4367" s="47" t="s">
        <v>5969</v>
      </c>
      <c r="F4367" s="62" t="s">
        <v>5970</v>
      </c>
      <c r="G4367" s="62" t="s">
        <v>31</v>
      </c>
      <c r="H4367" s="102" t="s">
        <v>5971</v>
      </c>
      <c r="I4367" s="47" t="e">
        <f>VLOOKUP(H4367,'合同综合查询数据（3月返）'!$A:$A,1,FALSE)</f>
        <v>#N/A</v>
      </c>
      <c r="J4367" s="62" t="s">
        <v>33</v>
      </c>
      <c r="K4367" s="62" t="s">
        <v>5972</v>
      </c>
      <c r="L4367" s="62" t="s">
        <v>5972</v>
      </c>
      <c r="M4367" s="62" t="s">
        <v>5973</v>
      </c>
      <c r="N4367" s="111"/>
      <c r="O4367" s="62" t="s">
        <v>37</v>
      </c>
      <c r="P4367" s="124">
        <v>0</v>
      </c>
      <c r="Q4367" s="299">
        <v>512</v>
      </c>
      <c r="R4367" s="124">
        <f t="shared" si="97"/>
        <v>0</v>
      </c>
      <c r="S4367" s="349">
        <v>202303</v>
      </c>
      <c r="T4367" s="353" t="s">
        <v>5974</v>
      </c>
      <c r="U4367" s="342"/>
      <c r="V4367" s="356"/>
      <c r="W4367" s="356"/>
      <c r="X4367" s="111"/>
      <c r="Y4367" s="111"/>
    </row>
    <row r="4368" s="10" customFormat="1" customHeight="1" spans="1:25">
      <c r="A4368" s="62" t="s">
        <v>403</v>
      </c>
      <c r="B4368" s="62" t="s">
        <v>5875</v>
      </c>
      <c r="C4368" s="62" t="s">
        <v>44</v>
      </c>
      <c r="D4368" s="62" t="s">
        <v>566</v>
      </c>
      <c r="E4368" s="47" t="s">
        <v>5969</v>
      </c>
      <c r="F4368" s="62" t="s">
        <v>5970</v>
      </c>
      <c r="G4368" s="62" t="s">
        <v>31</v>
      </c>
      <c r="H4368" s="102" t="s">
        <v>5971</v>
      </c>
      <c r="I4368" s="47" t="e">
        <f>VLOOKUP(H4368,'合同综合查询数据（3月返）'!$A:$A,1,FALSE)</f>
        <v>#N/A</v>
      </c>
      <c r="J4368" s="62" t="s">
        <v>33</v>
      </c>
      <c r="K4368" s="62" t="s">
        <v>5975</v>
      </c>
      <c r="L4368" s="62" t="s">
        <v>5975</v>
      </c>
      <c r="M4368" s="62" t="s">
        <v>5976</v>
      </c>
      <c r="N4368" s="111">
        <v>44593</v>
      </c>
      <c r="O4368" s="62" t="s">
        <v>37</v>
      </c>
      <c r="P4368" s="124">
        <v>0</v>
      </c>
      <c r="Q4368" s="299">
        <v>256</v>
      </c>
      <c r="R4368" s="124">
        <f t="shared" si="97"/>
        <v>0</v>
      </c>
      <c r="S4368" s="349">
        <v>202303</v>
      </c>
      <c r="T4368" s="352" t="s">
        <v>5977</v>
      </c>
      <c r="U4368" s="342"/>
      <c r="V4368" s="355"/>
      <c r="W4368" s="356"/>
      <c r="X4368" s="111"/>
      <c r="Y4368" s="111"/>
    </row>
    <row r="4369" s="10" customFormat="1" customHeight="1" spans="1:25">
      <c r="A4369" s="62" t="s">
        <v>403</v>
      </c>
      <c r="B4369" s="62" t="s">
        <v>5875</v>
      </c>
      <c r="C4369" s="62" t="s">
        <v>44</v>
      </c>
      <c r="D4369" s="62" t="s">
        <v>566</v>
      </c>
      <c r="E4369" s="47" t="s">
        <v>5969</v>
      </c>
      <c r="F4369" s="62" t="s">
        <v>5970</v>
      </c>
      <c r="G4369" s="62" t="s">
        <v>31</v>
      </c>
      <c r="H4369" s="102" t="s">
        <v>5971</v>
      </c>
      <c r="I4369" s="47" t="e">
        <f>VLOOKUP(H4369,'合同综合查询数据（3月返）'!$A:$A,1,FALSE)</f>
        <v>#N/A</v>
      </c>
      <c r="J4369" s="62" t="s">
        <v>33</v>
      </c>
      <c r="K4369" s="62" t="s">
        <v>5975</v>
      </c>
      <c r="L4369" s="62" t="s">
        <v>5975</v>
      </c>
      <c r="M4369" s="62" t="s">
        <v>5976</v>
      </c>
      <c r="N4369" s="111">
        <v>44651</v>
      </c>
      <c r="O4369" s="62" t="s">
        <v>37</v>
      </c>
      <c r="P4369" s="124">
        <v>0</v>
      </c>
      <c r="Q4369" s="299">
        <v>-256</v>
      </c>
      <c r="R4369" s="124">
        <f t="shared" si="97"/>
        <v>0</v>
      </c>
      <c r="S4369" s="349">
        <v>202303</v>
      </c>
      <c r="T4369" s="352" t="s">
        <v>5978</v>
      </c>
      <c r="U4369" s="342"/>
      <c r="V4369" s="355"/>
      <c r="W4369" s="356"/>
      <c r="X4369" s="111"/>
      <c r="Y4369" s="111"/>
    </row>
    <row r="4370" s="10" customFormat="1" customHeight="1" spans="1:25">
      <c r="A4370" s="62" t="s">
        <v>403</v>
      </c>
      <c r="B4370" s="62" t="s">
        <v>5875</v>
      </c>
      <c r="C4370" s="62" t="s">
        <v>44</v>
      </c>
      <c r="D4370" s="62" t="s">
        <v>566</v>
      </c>
      <c r="E4370" s="47" t="s">
        <v>5969</v>
      </c>
      <c r="F4370" s="62" t="s">
        <v>5970</v>
      </c>
      <c r="G4370" s="62" t="s">
        <v>88</v>
      </c>
      <c r="H4370" s="102" t="s">
        <v>5971</v>
      </c>
      <c r="I4370" s="47" t="e">
        <f>VLOOKUP(H4370,'合同综合查询数据（3月返）'!$A:$A,1,FALSE)</f>
        <v>#N/A</v>
      </c>
      <c r="J4370" s="62" t="s">
        <v>126</v>
      </c>
      <c r="K4370" s="62" t="s">
        <v>5252</v>
      </c>
      <c r="L4370" s="62" t="s">
        <v>5972</v>
      </c>
      <c r="M4370" s="62" t="s">
        <v>5973</v>
      </c>
      <c r="N4370" s="111">
        <v>41869</v>
      </c>
      <c r="O4370" s="62" t="s">
        <v>457</v>
      </c>
      <c r="P4370" s="124">
        <v>6000</v>
      </c>
      <c r="Q4370" s="112">
        <v>16</v>
      </c>
      <c r="R4370" s="124">
        <f t="shared" si="97"/>
        <v>96000</v>
      </c>
      <c r="S4370" s="349">
        <v>202303</v>
      </c>
      <c r="T4370" s="353" t="s">
        <v>5979</v>
      </c>
      <c r="U4370" s="342"/>
      <c r="V4370" s="356"/>
      <c r="W4370" s="356"/>
      <c r="X4370" s="111"/>
      <c r="Y4370" s="111"/>
    </row>
    <row r="4371" s="10" customFormat="1" customHeight="1" spans="1:25">
      <c r="A4371" s="62" t="s">
        <v>403</v>
      </c>
      <c r="B4371" s="62" t="s">
        <v>5875</v>
      </c>
      <c r="C4371" s="62" t="s">
        <v>44</v>
      </c>
      <c r="D4371" s="62" t="s">
        <v>566</v>
      </c>
      <c r="E4371" s="47" t="s">
        <v>5969</v>
      </c>
      <c r="F4371" s="62" t="s">
        <v>5970</v>
      </c>
      <c r="G4371" s="62" t="s">
        <v>88</v>
      </c>
      <c r="H4371" s="102" t="s">
        <v>5971</v>
      </c>
      <c r="I4371" s="47" t="e">
        <f>VLOOKUP(H4371,'合同综合查询数据（3月返）'!$A:$A,1,FALSE)</f>
        <v>#N/A</v>
      </c>
      <c r="J4371" s="62" t="s">
        <v>126</v>
      </c>
      <c r="K4371" s="62" t="s">
        <v>5252</v>
      </c>
      <c r="L4371" s="62" t="s">
        <v>5972</v>
      </c>
      <c r="M4371" s="62" t="s">
        <v>5973</v>
      </c>
      <c r="N4371" s="111">
        <v>43322</v>
      </c>
      <c r="O4371" s="62" t="s">
        <v>457</v>
      </c>
      <c r="P4371" s="124">
        <v>6000</v>
      </c>
      <c r="Q4371" s="112">
        <v>4</v>
      </c>
      <c r="R4371" s="124">
        <f t="shared" si="97"/>
        <v>24000</v>
      </c>
      <c r="S4371" s="349">
        <v>202303</v>
      </c>
      <c r="T4371" s="353" t="s">
        <v>5980</v>
      </c>
      <c r="U4371" s="342"/>
      <c r="V4371" s="356"/>
      <c r="W4371" s="356"/>
      <c r="X4371" s="111"/>
      <c r="Y4371" s="111"/>
    </row>
    <row r="4372" s="10" customFormat="1" customHeight="1" spans="1:25">
      <c r="A4372" s="62" t="s">
        <v>403</v>
      </c>
      <c r="B4372" s="62" t="s">
        <v>5875</v>
      </c>
      <c r="C4372" s="62" t="s">
        <v>44</v>
      </c>
      <c r="D4372" s="62" t="s">
        <v>566</v>
      </c>
      <c r="E4372" s="47" t="s">
        <v>5969</v>
      </c>
      <c r="F4372" s="62" t="s">
        <v>5970</v>
      </c>
      <c r="G4372" s="62" t="s">
        <v>88</v>
      </c>
      <c r="H4372" s="102" t="s">
        <v>5971</v>
      </c>
      <c r="I4372" s="47" t="e">
        <f>VLOOKUP(H4372,'合同综合查询数据（3月返）'!$A:$A,1,FALSE)</f>
        <v>#N/A</v>
      </c>
      <c r="J4372" s="62" t="s">
        <v>126</v>
      </c>
      <c r="K4372" s="62" t="s">
        <v>5252</v>
      </c>
      <c r="L4372" s="62" t="s">
        <v>5972</v>
      </c>
      <c r="M4372" s="62" t="s">
        <v>5973</v>
      </c>
      <c r="N4372" s="111">
        <v>43830</v>
      </c>
      <c r="O4372" s="62" t="s">
        <v>457</v>
      </c>
      <c r="P4372" s="124">
        <v>6000</v>
      </c>
      <c r="Q4372" s="112">
        <v>-4</v>
      </c>
      <c r="R4372" s="124">
        <f t="shared" ref="R4372:R4435" si="98">ROUND(P4372*Q4372,2)</f>
        <v>-24000</v>
      </c>
      <c r="S4372" s="349">
        <v>202303</v>
      </c>
      <c r="T4372" s="353" t="s">
        <v>5981</v>
      </c>
      <c r="U4372" s="342"/>
      <c r="V4372" s="356"/>
      <c r="W4372" s="356"/>
      <c r="X4372" s="111"/>
      <c r="Y4372" s="111"/>
    </row>
    <row r="4373" s="10" customFormat="1" customHeight="1" spans="1:25">
      <c r="A4373" s="62" t="s">
        <v>403</v>
      </c>
      <c r="B4373" s="62" t="s">
        <v>5875</v>
      </c>
      <c r="C4373" s="62" t="s">
        <v>44</v>
      </c>
      <c r="D4373" s="62" t="s">
        <v>566</v>
      </c>
      <c r="E4373" s="47" t="s">
        <v>5969</v>
      </c>
      <c r="F4373" s="62" t="s">
        <v>5970</v>
      </c>
      <c r="G4373" s="62" t="s">
        <v>88</v>
      </c>
      <c r="H4373" s="102" t="s">
        <v>5971</v>
      </c>
      <c r="I4373" s="47" t="e">
        <f>VLOOKUP(H4373,'合同综合查询数据（3月返）'!$A:$A,1,FALSE)</f>
        <v>#N/A</v>
      </c>
      <c r="J4373" s="62" t="s">
        <v>126</v>
      </c>
      <c r="K4373" s="62" t="s">
        <v>5252</v>
      </c>
      <c r="L4373" s="62" t="s">
        <v>5972</v>
      </c>
      <c r="M4373" s="62" t="s">
        <v>5973</v>
      </c>
      <c r="N4373" s="111">
        <v>43616</v>
      </c>
      <c r="O4373" s="62" t="s">
        <v>457</v>
      </c>
      <c r="P4373" s="124">
        <v>6000</v>
      </c>
      <c r="Q4373" s="112">
        <v>-6</v>
      </c>
      <c r="R4373" s="124">
        <f t="shared" si="98"/>
        <v>-36000</v>
      </c>
      <c r="S4373" s="349">
        <v>202303</v>
      </c>
      <c r="T4373" s="353" t="s">
        <v>5982</v>
      </c>
      <c r="U4373" s="342"/>
      <c r="V4373" s="356"/>
      <c r="W4373" s="356"/>
      <c r="X4373" s="111"/>
      <c r="Y4373" s="111"/>
    </row>
    <row r="4374" s="10" customFormat="1" customHeight="1" spans="1:25">
      <c r="A4374" s="62" t="s">
        <v>403</v>
      </c>
      <c r="B4374" s="62" t="s">
        <v>5875</v>
      </c>
      <c r="C4374" s="62" t="s">
        <v>44</v>
      </c>
      <c r="D4374" s="62" t="s">
        <v>566</v>
      </c>
      <c r="E4374" s="47" t="s">
        <v>5969</v>
      </c>
      <c r="F4374" s="62" t="s">
        <v>5970</v>
      </c>
      <c r="G4374" s="62" t="s">
        <v>88</v>
      </c>
      <c r="H4374" s="102" t="s">
        <v>5971</v>
      </c>
      <c r="I4374" s="47" t="e">
        <f>VLOOKUP(H4374,'合同综合查询数据（3月返）'!$A:$A,1,FALSE)</f>
        <v>#N/A</v>
      </c>
      <c r="J4374" s="62" t="s">
        <v>126</v>
      </c>
      <c r="K4374" s="62" t="s">
        <v>5252</v>
      </c>
      <c r="L4374" s="62" t="s">
        <v>5972</v>
      </c>
      <c r="M4374" s="62" t="s">
        <v>5973</v>
      </c>
      <c r="N4374" s="111">
        <v>44135</v>
      </c>
      <c r="O4374" s="62" t="s">
        <v>457</v>
      </c>
      <c r="P4374" s="124">
        <v>6000</v>
      </c>
      <c r="Q4374" s="112">
        <v>-2</v>
      </c>
      <c r="R4374" s="124">
        <f t="shared" si="98"/>
        <v>-12000</v>
      </c>
      <c r="S4374" s="349">
        <v>202303</v>
      </c>
      <c r="T4374" s="353" t="s">
        <v>5983</v>
      </c>
      <c r="U4374" s="342"/>
      <c r="V4374" s="356"/>
      <c r="W4374" s="356"/>
      <c r="X4374" s="111"/>
      <c r="Y4374" s="111"/>
    </row>
    <row r="4375" s="10" customFormat="1" customHeight="1" spans="1:25">
      <c r="A4375" s="62" t="s">
        <v>403</v>
      </c>
      <c r="B4375" s="62" t="s">
        <v>5875</v>
      </c>
      <c r="C4375" s="62" t="s">
        <v>44</v>
      </c>
      <c r="D4375" s="62" t="s">
        <v>566</v>
      </c>
      <c r="E4375" s="47" t="s">
        <v>5969</v>
      </c>
      <c r="F4375" s="62" t="s">
        <v>5970</v>
      </c>
      <c r="G4375" s="62" t="s">
        <v>88</v>
      </c>
      <c r="H4375" s="102" t="s">
        <v>5971</v>
      </c>
      <c r="I4375" s="47" t="e">
        <f>VLOOKUP(H4375,'合同综合查询数据（3月返）'!$A:$A,1,FALSE)</f>
        <v>#N/A</v>
      </c>
      <c r="J4375" s="62" t="s">
        <v>126</v>
      </c>
      <c r="K4375" s="62" t="s">
        <v>5252</v>
      </c>
      <c r="L4375" s="62" t="s">
        <v>5972</v>
      </c>
      <c r="M4375" s="62" t="s">
        <v>5973</v>
      </c>
      <c r="N4375" s="111">
        <v>44681</v>
      </c>
      <c r="O4375" s="62" t="s">
        <v>457</v>
      </c>
      <c r="P4375" s="124">
        <v>6000</v>
      </c>
      <c r="Q4375" s="112">
        <v>-6</v>
      </c>
      <c r="R4375" s="124">
        <f t="shared" si="98"/>
        <v>-36000</v>
      </c>
      <c r="S4375" s="349">
        <v>202303</v>
      </c>
      <c r="T4375" s="353" t="s">
        <v>5984</v>
      </c>
      <c r="U4375" s="342"/>
      <c r="V4375" s="356"/>
      <c r="W4375" s="356"/>
      <c r="X4375" s="111"/>
      <c r="Y4375" s="111"/>
    </row>
    <row r="4376" s="10" customFormat="1" customHeight="1" spans="1:25">
      <c r="A4376" s="62" t="s">
        <v>403</v>
      </c>
      <c r="B4376" s="62" t="s">
        <v>5875</v>
      </c>
      <c r="C4376" s="62" t="s">
        <v>44</v>
      </c>
      <c r="D4376" s="62" t="s">
        <v>566</v>
      </c>
      <c r="E4376" s="47" t="s">
        <v>5969</v>
      </c>
      <c r="F4376" s="62" t="s">
        <v>5970</v>
      </c>
      <c r="G4376" s="62" t="s">
        <v>88</v>
      </c>
      <c r="H4376" s="102" t="s">
        <v>5971</v>
      </c>
      <c r="I4376" s="47" t="e">
        <f>VLOOKUP(H4376,'合同综合查询数据（3月返）'!$A:$A,1,FALSE)</f>
        <v>#N/A</v>
      </c>
      <c r="J4376" s="62" t="s">
        <v>126</v>
      </c>
      <c r="K4376" s="62" t="s">
        <v>5252</v>
      </c>
      <c r="L4376" s="62" t="s">
        <v>5972</v>
      </c>
      <c r="M4376" s="62" t="s">
        <v>5973</v>
      </c>
      <c r="N4376" s="111">
        <v>44736</v>
      </c>
      <c r="O4376" s="62" t="s">
        <v>457</v>
      </c>
      <c r="P4376" s="124">
        <v>6000</v>
      </c>
      <c r="Q4376" s="112">
        <v>-1</v>
      </c>
      <c r="R4376" s="124">
        <f t="shared" si="98"/>
        <v>-6000</v>
      </c>
      <c r="S4376" s="349">
        <v>202303</v>
      </c>
      <c r="T4376" s="353" t="s">
        <v>5985</v>
      </c>
      <c r="U4376" s="342"/>
      <c r="V4376" s="356"/>
      <c r="W4376" s="356"/>
      <c r="X4376" s="111"/>
      <c r="Y4376" s="111"/>
    </row>
    <row r="4377" s="10" customFormat="1" customHeight="1" spans="1:25">
      <c r="A4377" s="62" t="s">
        <v>403</v>
      </c>
      <c r="B4377" s="62" t="s">
        <v>5875</v>
      </c>
      <c r="C4377" s="62" t="s">
        <v>44</v>
      </c>
      <c r="D4377" s="62" t="s">
        <v>566</v>
      </c>
      <c r="E4377" s="47" t="s">
        <v>5969</v>
      </c>
      <c r="F4377" s="62" t="s">
        <v>5970</v>
      </c>
      <c r="G4377" s="62" t="s">
        <v>88</v>
      </c>
      <c r="H4377" s="102" t="s">
        <v>5971</v>
      </c>
      <c r="I4377" s="47" t="e">
        <f>VLOOKUP(H4377,'合同综合查询数据（3月返）'!$A:$A,1,FALSE)</f>
        <v>#N/A</v>
      </c>
      <c r="J4377" s="62" t="s">
        <v>126</v>
      </c>
      <c r="K4377" s="62" t="s">
        <v>5975</v>
      </c>
      <c r="L4377" s="62" t="s">
        <v>5975</v>
      </c>
      <c r="M4377" s="62" t="s">
        <v>5976</v>
      </c>
      <c r="N4377" s="111">
        <v>44593</v>
      </c>
      <c r="O4377" s="62" t="s">
        <v>127</v>
      </c>
      <c r="P4377" s="124">
        <v>0</v>
      </c>
      <c r="Q4377" s="112">
        <v>3</v>
      </c>
      <c r="R4377" s="124">
        <f t="shared" si="98"/>
        <v>0</v>
      </c>
      <c r="S4377" s="349">
        <v>202303</v>
      </c>
      <c r="T4377" s="352" t="s">
        <v>5986</v>
      </c>
      <c r="U4377" s="342"/>
      <c r="V4377" s="355"/>
      <c r="W4377" s="356"/>
      <c r="X4377" s="111"/>
      <c r="Y4377" s="111"/>
    </row>
    <row r="4378" s="10" customFormat="1" customHeight="1" spans="1:25">
      <c r="A4378" s="62" t="s">
        <v>403</v>
      </c>
      <c r="B4378" s="62" t="s">
        <v>5875</v>
      </c>
      <c r="C4378" s="62" t="s">
        <v>44</v>
      </c>
      <c r="D4378" s="62" t="s">
        <v>566</v>
      </c>
      <c r="E4378" s="47" t="s">
        <v>5969</v>
      </c>
      <c r="F4378" s="62" t="s">
        <v>5970</v>
      </c>
      <c r="G4378" s="62" t="s">
        <v>88</v>
      </c>
      <c r="H4378" s="102" t="s">
        <v>5971</v>
      </c>
      <c r="I4378" s="47" t="e">
        <f>VLOOKUP(H4378,'合同综合查询数据（3月返）'!$A:$A,1,FALSE)</f>
        <v>#N/A</v>
      </c>
      <c r="J4378" s="62" t="s">
        <v>126</v>
      </c>
      <c r="K4378" s="62" t="s">
        <v>5975</v>
      </c>
      <c r="L4378" s="62" t="s">
        <v>5975</v>
      </c>
      <c r="M4378" s="62" t="s">
        <v>5976</v>
      </c>
      <c r="N4378" s="111">
        <v>44651</v>
      </c>
      <c r="O4378" s="62" t="s">
        <v>127</v>
      </c>
      <c r="P4378" s="124">
        <v>0</v>
      </c>
      <c r="Q4378" s="112">
        <v>-3</v>
      </c>
      <c r="R4378" s="124">
        <f t="shared" si="98"/>
        <v>0</v>
      </c>
      <c r="S4378" s="349">
        <v>202303</v>
      </c>
      <c r="T4378" s="352" t="s">
        <v>5987</v>
      </c>
      <c r="U4378" s="342"/>
      <c r="V4378" s="355"/>
      <c r="W4378" s="356"/>
      <c r="X4378" s="111"/>
      <c r="Y4378" s="111"/>
    </row>
    <row r="4379" s="9" customFormat="1" customHeight="1" spans="1:25">
      <c r="A4379" s="94" t="s">
        <v>403</v>
      </c>
      <c r="B4379" s="94" t="s">
        <v>5875</v>
      </c>
      <c r="C4379" s="94" t="s">
        <v>44</v>
      </c>
      <c r="D4379" s="94" t="s">
        <v>566</v>
      </c>
      <c r="E4379" s="23" t="s">
        <v>5988</v>
      </c>
      <c r="F4379" s="94" t="s">
        <v>4723</v>
      </c>
      <c r="G4379" s="94" t="s">
        <v>31</v>
      </c>
      <c r="H4379" s="97" t="s">
        <v>5989</v>
      </c>
      <c r="I4379" s="23" t="e">
        <f>VLOOKUP(H4379,'合同综合查询数据（3月返）'!$A:$A,1,FALSE)</f>
        <v>#N/A</v>
      </c>
      <c r="J4379" s="94" t="s">
        <v>33</v>
      </c>
      <c r="K4379" s="94" t="s">
        <v>4722</v>
      </c>
      <c r="L4379" s="94" t="s">
        <v>5990</v>
      </c>
      <c r="M4379" s="94" t="s">
        <v>5991</v>
      </c>
      <c r="N4379" s="106">
        <v>44934</v>
      </c>
      <c r="O4379" s="94" t="s">
        <v>37</v>
      </c>
      <c r="P4379" s="116">
        <v>0</v>
      </c>
      <c r="Q4379" s="107">
        <v>64</v>
      </c>
      <c r="R4379" s="116">
        <f t="shared" si="98"/>
        <v>0</v>
      </c>
      <c r="S4379" s="298">
        <v>202303</v>
      </c>
      <c r="T4379" s="357" t="s">
        <v>5992</v>
      </c>
      <c r="U4379" s="344"/>
      <c r="V4379" s="360"/>
      <c r="W4379" s="358"/>
      <c r="X4379" s="106">
        <v>44927</v>
      </c>
      <c r="Y4379" s="106">
        <v>45291</v>
      </c>
    </row>
    <row r="4380" s="9" customFormat="1" customHeight="1" spans="1:25">
      <c r="A4380" s="94" t="s">
        <v>403</v>
      </c>
      <c r="B4380" s="94" t="s">
        <v>5875</v>
      </c>
      <c r="C4380" s="94" t="s">
        <v>44</v>
      </c>
      <c r="D4380" s="94" t="s">
        <v>566</v>
      </c>
      <c r="E4380" s="23" t="s">
        <v>5988</v>
      </c>
      <c r="F4380" s="94" t="s">
        <v>4723</v>
      </c>
      <c r="G4380" s="94" t="s">
        <v>31</v>
      </c>
      <c r="H4380" s="97" t="s">
        <v>5989</v>
      </c>
      <c r="I4380" s="23" t="e">
        <f>VLOOKUP(H4380,'合同综合查询数据（3月返）'!$A:$A,1,FALSE)</f>
        <v>#N/A</v>
      </c>
      <c r="J4380" s="94" t="s">
        <v>33</v>
      </c>
      <c r="K4380" s="94" t="s">
        <v>4722</v>
      </c>
      <c r="L4380" s="94" t="s">
        <v>5990</v>
      </c>
      <c r="M4380" s="94" t="s">
        <v>5991</v>
      </c>
      <c r="N4380" s="106">
        <v>44934</v>
      </c>
      <c r="O4380" s="94" t="s">
        <v>152</v>
      </c>
      <c r="P4380" s="116">
        <v>0</v>
      </c>
      <c r="Q4380" s="107">
        <v>1</v>
      </c>
      <c r="R4380" s="116">
        <f t="shared" si="98"/>
        <v>0</v>
      </c>
      <c r="S4380" s="298">
        <v>202303</v>
      </c>
      <c r="T4380" s="357" t="s">
        <v>5993</v>
      </c>
      <c r="U4380" s="344"/>
      <c r="V4380" s="360"/>
      <c r="W4380" s="358"/>
      <c r="X4380" s="106">
        <v>44927</v>
      </c>
      <c r="Y4380" s="106">
        <v>45291</v>
      </c>
    </row>
    <row r="4381" s="9" customFormat="1" customHeight="1" spans="1:25">
      <c r="A4381" s="94" t="s">
        <v>403</v>
      </c>
      <c r="B4381" s="94" t="s">
        <v>5875</v>
      </c>
      <c r="C4381" s="94" t="s">
        <v>44</v>
      </c>
      <c r="D4381" s="94" t="s">
        <v>566</v>
      </c>
      <c r="E4381" s="23" t="s">
        <v>5988</v>
      </c>
      <c r="F4381" s="94" t="s">
        <v>4723</v>
      </c>
      <c r="G4381" s="94" t="s">
        <v>88</v>
      </c>
      <c r="H4381" s="97" t="s">
        <v>5989</v>
      </c>
      <c r="I4381" s="23" t="e">
        <f>VLOOKUP(H4381,'合同综合查询数据（3月返）'!$A:$A,1,FALSE)</f>
        <v>#N/A</v>
      </c>
      <c r="J4381" s="94" t="s">
        <v>126</v>
      </c>
      <c r="K4381" s="94" t="s">
        <v>4722</v>
      </c>
      <c r="L4381" s="94" t="s">
        <v>5990</v>
      </c>
      <c r="M4381" s="94" t="s">
        <v>5991</v>
      </c>
      <c r="N4381" s="106">
        <v>44934</v>
      </c>
      <c r="O4381" s="94" t="s">
        <v>624</v>
      </c>
      <c r="P4381" s="116">
        <v>0</v>
      </c>
      <c r="Q4381" s="107">
        <v>1</v>
      </c>
      <c r="R4381" s="116">
        <f t="shared" si="98"/>
        <v>0</v>
      </c>
      <c r="S4381" s="298">
        <v>202303</v>
      </c>
      <c r="T4381" s="357" t="s">
        <v>5994</v>
      </c>
      <c r="U4381" s="344"/>
      <c r="V4381" s="360"/>
      <c r="W4381" s="358"/>
      <c r="X4381" s="106">
        <v>44927</v>
      </c>
      <c r="Y4381" s="106">
        <v>45291</v>
      </c>
    </row>
    <row r="4382" s="9" customFormat="1" customHeight="1" spans="1:25">
      <c r="A4382" s="94" t="s">
        <v>401</v>
      </c>
      <c r="B4382" s="94" t="s">
        <v>5875</v>
      </c>
      <c r="C4382" s="94" t="s">
        <v>44</v>
      </c>
      <c r="D4382" s="94" t="s">
        <v>566</v>
      </c>
      <c r="E4382" s="23" t="s">
        <v>5995</v>
      </c>
      <c r="F4382" s="94" t="s">
        <v>5996</v>
      </c>
      <c r="G4382" s="94" t="s">
        <v>31</v>
      </c>
      <c r="H4382" s="97" t="s">
        <v>5997</v>
      </c>
      <c r="I4382" s="23" t="e">
        <f>VLOOKUP(H4382,'合同综合查询数据（3月返）'!$A:$A,1,FALSE)</f>
        <v>#N/A</v>
      </c>
      <c r="J4382" s="94" t="s">
        <v>33</v>
      </c>
      <c r="K4382" s="94" t="s">
        <v>5996</v>
      </c>
      <c r="L4382" s="281" t="s">
        <v>5998</v>
      </c>
      <c r="M4382" s="94" t="s">
        <v>5999</v>
      </c>
      <c r="N4382" s="106">
        <v>44696</v>
      </c>
      <c r="O4382" s="94" t="s">
        <v>37</v>
      </c>
      <c r="P4382" s="116">
        <v>0</v>
      </c>
      <c r="Q4382" s="297">
        <v>768</v>
      </c>
      <c r="R4382" s="116">
        <f t="shared" si="98"/>
        <v>0</v>
      </c>
      <c r="S4382" s="298">
        <v>202303</v>
      </c>
      <c r="T4382" s="357" t="s">
        <v>6000</v>
      </c>
      <c r="U4382" s="357"/>
      <c r="V4382" s="330"/>
      <c r="W4382" s="358"/>
      <c r="X4382" s="106">
        <v>44652</v>
      </c>
      <c r="Y4382" s="106">
        <v>45016</v>
      </c>
    </row>
    <row r="4383" s="9" customFormat="1" customHeight="1" spans="1:25">
      <c r="A4383" s="94" t="s">
        <v>401</v>
      </c>
      <c r="B4383" s="94" t="s">
        <v>5875</v>
      </c>
      <c r="C4383" s="94" t="s">
        <v>44</v>
      </c>
      <c r="D4383" s="94" t="s">
        <v>566</v>
      </c>
      <c r="E4383" s="23" t="s">
        <v>5995</v>
      </c>
      <c r="F4383" s="94" t="s">
        <v>5996</v>
      </c>
      <c r="G4383" s="94" t="s">
        <v>88</v>
      </c>
      <c r="H4383" s="97" t="s">
        <v>5997</v>
      </c>
      <c r="I4383" s="23" t="e">
        <f>VLOOKUP(H4383,'合同综合查询数据（3月返）'!$A:$A,1,FALSE)</f>
        <v>#N/A</v>
      </c>
      <c r="J4383" s="94" t="s">
        <v>126</v>
      </c>
      <c r="K4383" s="94" t="s">
        <v>5996</v>
      </c>
      <c r="L4383" s="281" t="s">
        <v>5998</v>
      </c>
      <c r="M4383" s="94" t="s">
        <v>5999</v>
      </c>
      <c r="N4383" s="106">
        <v>44696</v>
      </c>
      <c r="O4383" s="94" t="s">
        <v>92</v>
      </c>
      <c r="P4383" s="116">
        <v>0</v>
      </c>
      <c r="Q4383" s="107">
        <v>1</v>
      </c>
      <c r="R4383" s="116">
        <f t="shared" si="98"/>
        <v>0</v>
      </c>
      <c r="S4383" s="298">
        <v>202303</v>
      </c>
      <c r="T4383" s="357" t="s">
        <v>6001</v>
      </c>
      <c r="U4383" s="357"/>
      <c r="V4383" s="330"/>
      <c r="W4383" s="358"/>
      <c r="X4383" s="106">
        <v>44652</v>
      </c>
      <c r="Y4383" s="106">
        <v>45016</v>
      </c>
    </row>
    <row r="4384" s="9" customFormat="1" customHeight="1" spans="1:25">
      <c r="A4384" s="94" t="s">
        <v>401</v>
      </c>
      <c r="B4384" s="94" t="s">
        <v>5875</v>
      </c>
      <c r="C4384" s="94" t="s">
        <v>44</v>
      </c>
      <c r="D4384" s="94" t="s">
        <v>566</v>
      </c>
      <c r="E4384" s="23" t="s">
        <v>6002</v>
      </c>
      <c r="F4384" s="94" t="s">
        <v>6003</v>
      </c>
      <c r="G4384" s="94" t="s">
        <v>31</v>
      </c>
      <c r="H4384" s="97" t="s">
        <v>6004</v>
      </c>
      <c r="I4384" s="23" t="e">
        <f>VLOOKUP(H4384,'合同综合查询数据（3月返）'!$A:$A,1,FALSE)</f>
        <v>#N/A</v>
      </c>
      <c r="J4384" s="94" t="s">
        <v>1019</v>
      </c>
      <c r="K4384" s="94" t="s">
        <v>6005</v>
      </c>
      <c r="L4384" s="281" t="s">
        <v>6005</v>
      </c>
      <c r="M4384" s="94" t="s">
        <v>6006</v>
      </c>
      <c r="N4384" s="106" t="s">
        <v>6007</v>
      </c>
      <c r="O4384" s="94" t="s">
        <v>37</v>
      </c>
      <c r="P4384" s="116">
        <v>50</v>
      </c>
      <c r="Q4384" s="297">
        <v>448</v>
      </c>
      <c r="R4384" s="116">
        <f t="shared" si="98"/>
        <v>22400</v>
      </c>
      <c r="S4384" s="298">
        <v>202303</v>
      </c>
      <c r="T4384" s="354" t="s">
        <v>6008</v>
      </c>
      <c r="U4384" s="344"/>
      <c r="V4384" s="358"/>
      <c r="W4384" s="358"/>
      <c r="X4384" s="106">
        <v>44317</v>
      </c>
      <c r="Y4384" s="106">
        <v>45046</v>
      </c>
    </row>
    <row r="4385" s="9" customFormat="1" customHeight="1" spans="1:25">
      <c r="A4385" s="94" t="s">
        <v>401</v>
      </c>
      <c r="B4385" s="94" t="s">
        <v>5875</v>
      </c>
      <c r="C4385" s="94" t="s">
        <v>44</v>
      </c>
      <c r="D4385" s="94" t="s">
        <v>566</v>
      </c>
      <c r="E4385" s="23" t="s">
        <v>6002</v>
      </c>
      <c r="F4385" s="94" t="s">
        <v>6003</v>
      </c>
      <c r="G4385" s="94" t="s">
        <v>31</v>
      </c>
      <c r="H4385" s="97" t="s">
        <v>6004</v>
      </c>
      <c r="I4385" s="23" t="e">
        <f>VLOOKUP(H4385,'合同综合查询数据（3月返）'!$A:$A,1,FALSE)</f>
        <v>#N/A</v>
      </c>
      <c r="J4385" s="94" t="s">
        <v>1019</v>
      </c>
      <c r="K4385" s="94" t="s">
        <v>6005</v>
      </c>
      <c r="L4385" s="281" t="s">
        <v>6005</v>
      </c>
      <c r="M4385" s="94" t="s">
        <v>6006</v>
      </c>
      <c r="N4385" s="106" t="s">
        <v>6007</v>
      </c>
      <c r="O4385" s="94" t="s">
        <v>37</v>
      </c>
      <c r="P4385" s="116">
        <v>0</v>
      </c>
      <c r="Q4385" s="297">
        <f>512-Q4384</f>
        <v>64</v>
      </c>
      <c r="R4385" s="116">
        <f t="shared" si="98"/>
        <v>0</v>
      </c>
      <c r="S4385" s="298">
        <v>202303</v>
      </c>
      <c r="T4385" s="354" t="s">
        <v>6008</v>
      </c>
      <c r="U4385" s="344"/>
      <c r="V4385" s="358"/>
      <c r="W4385" s="358"/>
      <c r="X4385" s="106">
        <v>44317</v>
      </c>
      <c r="Y4385" s="106">
        <v>45046</v>
      </c>
    </row>
    <row r="4386" s="9" customFormat="1" customHeight="1" spans="1:25">
      <c r="A4386" s="94" t="s">
        <v>401</v>
      </c>
      <c r="B4386" s="94" t="s">
        <v>5875</v>
      </c>
      <c r="C4386" s="94" t="s">
        <v>44</v>
      </c>
      <c r="D4386" s="94" t="s">
        <v>566</v>
      </c>
      <c r="E4386" s="23" t="s">
        <v>6002</v>
      </c>
      <c r="F4386" s="94" t="s">
        <v>6003</v>
      </c>
      <c r="G4386" s="94" t="s">
        <v>31</v>
      </c>
      <c r="H4386" s="97" t="s">
        <v>6004</v>
      </c>
      <c r="I4386" s="23" t="e">
        <f>VLOOKUP(H4386,'合同综合查询数据（3月返）'!$A:$A,1,FALSE)</f>
        <v>#N/A</v>
      </c>
      <c r="J4386" s="94" t="s">
        <v>33</v>
      </c>
      <c r="K4386" s="94" t="s">
        <v>6009</v>
      </c>
      <c r="L4386" s="281" t="s">
        <v>6010</v>
      </c>
      <c r="M4386" s="94" t="s">
        <v>6011</v>
      </c>
      <c r="N4386" s="106" t="s">
        <v>6007</v>
      </c>
      <c r="O4386" s="94" t="s">
        <v>37</v>
      </c>
      <c r="P4386" s="116">
        <v>0</v>
      </c>
      <c r="Q4386" s="297">
        <v>256</v>
      </c>
      <c r="R4386" s="116">
        <f t="shared" si="98"/>
        <v>0</v>
      </c>
      <c r="S4386" s="298">
        <v>202303</v>
      </c>
      <c r="T4386" s="354" t="s">
        <v>6008</v>
      </c>
      <c r="U4386" s="344"/>
      <c r="V4386" s="358"/>
      <c r="W4386" s="358"/>
      <c r="X4386" s="106">
        <v>44317</v>
      </c>
      <c r="Y4386" s="106">
        <v>45046</v>
      </c>
    </row>
    <row r="4387" s="9" customFormat="1" customHeight="1" spans="1:25">
      <c r="A4387" s="94" t="s">
        <v>401</v>
      </c>
      <c r="B4387" s="94" t="s">
        <v>5875</v>
      </c>
      <c r="C4387" s="94" t="s">
        <v>44</v>
      </c>
      <c r="D4387" s="94" t="s">
        <v>566</v>
      </c>
      <c r="E4387" s="23" t="s">
        <v>6002</v>
      </c>
      <c r="F4387" s="94" t="s">
        <v>6003</v>
      </c>
      <c r="G4387" s="94" t="s">
        <v>31</v>
      </c>
      <c r="H4387" s="97" t="s">
        <v>6004</v>
      </c>
      <c r="I4387" s="23" t="e">
        <f>VLOOKUP(H4387,'合同综合查询数据（3月返）'!$A:$A,1,FALSE)</f>
        <v>#N/A</v>
      </c>
      <c r="J4387" s="94" t="s">
        <v>33</v>
      </c>
      <c r="K4387" s="94" t="s">
        <v>6009</v>
      </c>
      <c r="L4387" s="281" t="s">
        <v>6010</v>
      </c>
      <c r="M4387" s="94" t="s">
        <v>6011</v>
      </c>
      <c r="N4387" s="106">
        <v>44712</v>
      </c>
      <c r="O4387" s="94" t="s">
        <v>37</v>
      </c>
      <c r="P4387" s="116">
        <v>0</v>
      </c>
      <c r="Q4387" s="297">
        <v>-256</v>
      </c>
      <c r="R4387" s="116">
        <f t="shared" si="98"/>
        <v>0</v>
      </c>
      <c r="S4387" s="298">
        <v>202303</v>
      </c>
      <c r="T4387" s="354" t="s">
        <v>6012</v>
      </c>
      <c r="U4387" s="344"/>
      <c r="V4387" s="358"/>
      <c r="W4387" s="358"/>
      <c r="X4387" s="106">
        <v>44317</v>
      </c>
      <c r="Y4387" s="106">
        <v>45046</v>
      </c>
    </row>
    <row r="4388" s="9" customFormat="1" customHeight="1" spans="1:25">
      <c r="A4388" s="94" t="s">
        <v>401</v>
      </c>
      <c r="B4388" s="94" t="s">
        <v>5875</v>
      </c>
      <c r="C4388" s="94" t="s">
        <v>44</v>
      </c>
      <c r="D4388" s="94" t="s">
        <v>566</v>
      </c>
      <c r="E4388" s="23" t="s">
        <v>6002</v>
      </c>
      <c r="F4388" s="94" t="s">
        <v>6003</v>
      </c>
      <c r="G4388" s="94" t="s">
        <v>88</v>
      </c>
      <c r="H4388" s="97" t="s">
        <v>6004</v>
      </c>
      <c r="I4388" s="23" t="e">
        <f>VLOOKUP(H4388,'合同综合查询数据（3月返）'!$A:$A,1,FALSE)</f>
        <v>#N/A</v>
      </c>
      <c r="J4388" s="94" t="s">
        <v>126</v>
      </c>
      <c r="K4388" s="94" t="s">
        <v>6009</v>
      </c>
      <c r="L4388" s="281" t="s">
        <v>6010</v>
      </c>
      <c r="M4388" s="94" t="s">
        <v>6011</v>
      </c>
      <c r="N4388" s="106" t="s">
        <v>6007</v>
      </c>
      <c r="O4388" s="94" t="s">
        <v>1424</v>
      </c>
      <c r="P4388" s="116">
        <v>0</v>
      </c>
      <c r="Q4388" s="107">
        <v>6</v>
      </c>
      <c r="R4388" s="116">
        <f t="shared" si="98"/>
        <v>0</v>
      </c>
      <c r="S4388" s="298">
        <v>202303</v>
      </c>
      <c r="T4388" s="354" t="s">
        <v>6013</v>
      </c>
      <c r="U4388" s="344"/>
      <c r="V4388" s="358"/>
      <c r="W4388" s="358"/>
      <c r="X4388" s="106">
        <v>44317</v>
      </c>
      <c r="Y4388" s="106">
        <v>45046</v>
      </c>
    </row>
    <row r="4389" s="9" customFormat="1" customHeight="1" spans="1:25">
      <c r="A4389" s="94" t="s">
        <v>401</v>
      </c>
      <c r="B4389" s="94" t="s">
        <v>5875</v>
      </c>
      <c r="C4389" s="94" t="s">
        <v>44</v>
      </c>
      <c r="D4389" s="94" t="s">
        <v>566</v>
      </c>
      <c r="E4389" s="23" t="s">
        <v>6002</v>
      </c>
      <c r="F4389" s="94" t="s">
        <v>6003</v>
      </c>
      <c r="G4389" s="94" t="s">
        <v>88</v>
      </c>
      <c r="H4389" s="97" t="s">
        <v>6004</v>
      </c>
      <c r="I4389" s="23" t="e">
        <f>VLOOKUP(H4389,'合同综合查询数据（3月返）'!$A:$A,1,FALSE)</f>
        <v>#N/A</v>
      </c>
      <c r="J4389" s="94" t="s">
        <v>126</v>
      </c>
      <c r="K4389" s="94" t="s">
        <v>6009</v>
      </c>
      <c r="L4389" s="281" t="s">
        <v>6010</v>
      </c>
      <c r="M4389" s="94" t="s">
        <v>6011</v>
      </c>
      <c r="N4389" s="106">
        <v>43951</v>
      </c>
      <c r="O4389" s="94" t="s">
        <v>1424</v>
      </c>
      <c r="P4389" s="116">
        <v>0</v>
      </c>
      <c r="Q4389" s="107">
        <v>-3</v>
      </c>
      <c r="R4389" s="116">
        <f t="shared" si="98"/>
        <v>0</v>
      </c>
      <c r="S4389" s="298">
        <v>202303</v>
      </c>
      <c r="T4389" s="354" t="s">
        <v>6014</v>
      </c>
      <c r="U4389" s="344"/>
      <c r="V4389" s="358"/>
      <c r="W4389" s="358"/>
      <c r="X4389" s="106">
        <v>44317</v>
      </c>
      <c r="Y4389" s="106">
        <v>45046</v>
      </c>
    </row>
    <row r="4390" s="9" customFormat="1" customHeight="1" spans="1:25">
      <c r="A4390" s="94" t="s">
        <v>401</v>
      </c>
      <c r="B4390" s="94" t="s">
        <v>5875</v>
      </c>
      <c r="C4390" s="94" t="s">
        <v>44</v>
      </c>
      <c r="D4390" s="94" t="s">
        <v>566</v>
      </c>
      <c r="E4390" s="23" t="s">
        <v>6002</v>
      </c>
      <c r="F4390" s="94" t="s">
        <v>6003</v>
      </c>
      <c r="G4390" s="94" t="s">
        <v>88</v>
      </c>
      <c r="H4390" s="97" t="s">
        <v>6004</v>
      </c>
      <c r="I4390" s="23" t="e">
        <f>VLOOKUP(H4390,'合同综合查询数据（3月返）'!$A:$A,1,FALSE)</f>
        <v>#N/A</v>
      </c>
      <c r="J4390" s="94" t="s">
        <v>126</v>
      </c>
      <c r="K4390" s="94" t="s">
        <v>6009</v>
      </c>
      <c r="L4390" s="281" t="s">
        <v>6010</v>
      </c>
      <c r="M4390" s="94" t="s">
        <v>6011</v>
      </c>
      <c r="N4390" s="106">
        <v>44712</v>
      </c>
      <c r="O4390" s="94" t="s">
        <v>1424</v>
      </c>
      <c r="P4390" s="116">
        <v>0</v>
      </c>
      <c r="Q4390" s="107">
        <v>-3</v>
      </c>
      <c r="R4390" s="116">
        <f t="shared" si="98"/>
        <v>0</v>
      </c>
      <c r="S4390" s="298">
        <v>202303</v>
      </c>
      <c r="T4390" s="354" t="s">
        <v>6015</v>
      </c>
      <c r="U4390" s="344"/>
      <c r="V4390" s="358"/>
      <c r="W4390" s="358"/>
      <c r="X4390" s="106">
        <v>44317</v>
      </c>
      <c r="Y4390" s="106">
        <v>45046</v>
      </c>
    </row>
    <row r="4391" s="9" customFormat="1" customHeight="1" spans="1:25">
      <c r="A4391" s="94" t="s">
        <v>401</v>
      </c>
      <c r="B4391" s="94" t="s">
        <v>5875</v>
      </c>
      <c r="C4391" s="94" t="s">
        <v>44</v>
      </c>
      <c r="D4391" s="94" t="s">
        <v>566</v>
      </c>
      <c r="E4391" s="23" t="s">
        <v>6002</v>
      </c>
      <c r="F4391" s="94" t="s">
        <v>6003</v>
      </c>
      <c r="G4391" s="94" t="s">
        <v>88</v>
      </c>
      <c r="H4391" s="97" t="s">
        <v>6004</v>
      </c>
      <c r="I4391" s="23" t="e">
        <f>VLOOKUP(H4391,'合同综合查询数据（3月返）'!$A:$A,1,FALSE)</f>
        <v>#N/A</v>
      </c>
      <c r="J4391" s="94" t="s">
        <v>1033</v>
      </c>
      <c r="K4391" s="94" t="s">
        <v>6005</v>
      </c>
      <c r="L4391" s="281" t="s">
        <v>6005</v>
      </c>
      <c r="M4391" s="94" t="s">
        <v>6006</v>
      </c>
      <c r="N4391" s="106">
        <v>43983</v>
      </c>
      <c r="O4391" s="94" t="s">
        <v>1424</v>
      </c>
      <c r="P4391" s="116">
        <v>4000</v>
      </c>
      <c r="Q4391" s="107">
        <v>2</v>
      </c>
      <c r="R4391" s="116">
        <f t="shared" si="98"/>
        <v>8000</v>
      </c>
      <c r="S4391" s="298">
        <v>202303</v>
      </c>
      <c r="T4391" s="354" t="s">
        <v>6016</v>
      </c>
      <c r="U4391" s="344"/>
      <c r="V4391" s="358"/>
      <c r="W4391" s="358"/>
      <c r="X4391" s="106">
        <v>44317</v>
      </c>
      <c r="Y4391" s="106">
        <v>45046</v>
      </c>
    </row>
    <row r="4392" s="9" customFormat="1" customHeight="1" spans="1:25">
      <c r="A4392" s="94" t="s">
        <v>401</v>
      </c>
      <c r="B4392" s="94" t="s">
        <v>5875</v>
      </c>
      <c r="C4392" s="94" t="s">
        <v>44</v>
      </c>
      <c r="D4392" s="94" t="s">
        <v>566</v>
      </c>
      <c r="E4392" s="23" t="s">
        <v>6002</v>
      </c>
      <c r="F4392" s="94" t="s">
        <v>6003</v>
      </c>
      <c r="G4392" s="94" t="s">
        <v>88</v>
      </c>
      <c r="H4392" s="97" t="s">
        <v>6004</v>
      </c>
      <c r="I4392" s="23" t="e">
        <f>VLOOKUP(H4392,'合同综合查询数据（3月返）'!$A:$A,1,FALSE)</f>
        <v>#N/A</v>
      </c>
      <c r="J4392" s="94" t="s">
        <v>1033</v>
      </c>
      <c r="K4392" s="94" t="s">
        <v>6005</v>
      </c>
      <c r="L4392" s="281" t="s">
        <v>6005</v>
      </c>
      <c r="M4392" s="94" t="s">
        <v>6006</v>
      </c>
      <c r="N4392" s="106">
        <v>43983</v>
      </c>
      <c r="O4392" s="94" t="s">
        <v>1424</v>
      </c>
      <c r="P4392" s="116">
        <v>0</v>
      </c>
      <c r="Q4392" s="107">
        <v>1</v>
      </c>
      <c r="R4392" s="116">
        <f t="shared" si="98"/>
        <v>0</v>
      </c>
      <c r="S4392" s="298">
        <v>202303</v>
      </c>
      <c r="T4392" s="354" t="s">
        <v>6017</v>
      </c>
      <c r="U4392" s="344"/>
      <c r="V4392" s="358"/>
      <c r="W4392" s="358"/>
      <c r="X4392" s="106">
        <v>44317</v>
      </c>
      <c r="Y4392" s="106">
        <v>45046</v>
      </c>
    </row>
    <row r="4393" s="9" customFormat="1" customHeight="1" spans="1:25">
      <c r="A4393" s="94" t="s">
        <v>401</v>
      </c>
      <c r="B4393" s="94" t="s">
        <v>5875</v>
      </c>
      <c r="C4393" s="94" t="s">
        <v>44</v>
      </c>
      <c r="D4393" s="94" t="s">
        <v>566</v>
      </c>
      <c r="E4393" s="23" t="s">
        <v>6018</v>
      </c>
      <c r="F4393" s="94" t="s">
        <v>6019</v>
      </c>
      <c r="G4393" s="94" t="s">
        <v>31</v>
      </c>
      <c r="H4393" s="97" t="s">
        <v>6020</v>
      </c>
      <c r="I4393" s="23" t="e">
        <f>VLOOKUP(H4393,'合同综合查询数据（3月返）'!$A:$A,1,FALSE)</f>
        <v>#N/A</v>
      </c>
      <c r="J4393" s="94" t="s">
        <v>33</v>
      </c>
      <c r="K4393" s="94" t="s">
        <v>6019</v>
      </c>
      <c r="L4393" s="281" t="s">
        <v>6019</v>
      </c>
      <c r="M4393" s="94" t="s">
        <v>6021</v>
      </c>
      <c r="N4393" s="106">
        <v>44835</v>
      </c>
      <c r="O4393" s="94" t="s">
        <v>37</v>
      </c>
      <c r="P4393" s="116">
        <v>0</v>
      </c>
      <c r="Q4393" s="297">
        <v>1280</v>
      </c>
      <c r="R4393" s="116">
        <f t="shared" si="98"/>
        <v>0</v>
      </c>
      <c r="S4393" s="298">
        <v>202303</v>
      </c>
      <c r="T4393" s="357" t="s">
        <v>6022</v>
      </c>
      <c r="U4393" s="97"/>
      <c r="V4393" s="97"/>
      <c r="W4393" s="97"/>
      <c r="X4393" s="106">
        <v>44713</v>
      </c>
      <c r="Y4393" s="106">
        <v>45077</v>
      </c>
    </row>
    <row r="4394" s="9" customFormat="1" customHeight="1" spans="1:25">
      <c r="A4394" s="94" t="s">
        <v>401</v>
      </c>
      <c r="B4394" s="94" t="s">
        <v>5875</v>
      </c>
      <c r="C4394" s="94" t="s">
        <v>44</v>
      </c>
      <c r="D4394" s="94" t="s">
        <v>566</v>
      </c>
      <c r="E4394" s="23" t="s">
        <v>6018</v>
      </c>
      <c r="F4394" s="94" t="s">
        <v>6019</v>
      </c>
      <c r="G4394" s="94" t="s">
        <v>31</v>
      </c>
      <c r="H4394" s="97" t="s">
        <v>6020</v>
      </c>
      <c r="I4394" s="23" t="e">
        <f>VLOOKUP(H4394,'合同综合查询数据（3月返）'!$A:$A,1,FALSE)</f>
        <v>#N/A</v>
      </c>
      <c r="J4394" s="94" t="s">
        <v>33</v>
      </c>
      <c r="K4394" s="94" t="s">
        <v>6019</v>
      </c>
      <c r="L4394" s="281" t="s">
        <v>6019</v>
      </c>
      <c r="M4394" s="94" t="s">
        <v>6021</v>
      </c>
      <c r="N4394" s="106">
        <v>44835</v>
      </c>
      <c r="O4394" s="94" t="s">
        <v>152</v>
      </c>
      <c r="P4394" s="116">
        <v>0</v>
      </c>
      <c r="Q4394" s="297">
        <v>0</v>
      </c>
      <c r="R4394" s="116">
        <f t="shared" si="98"/>
        <v>0</v>
      </c>
      <c r="S4394" s="298">
        <v>202303</v>
      </c>
      <c r="T4394" s="357" t="s">
        <v>6023</v>
      </c>
      <c r="U4394" s="97"/>
      <c r="V4394" s="97"/>
      <c r="W4394" s="97"/>
      <c r="X4394" s="106">
        <v>44713</v>
      </c>
      <c r="Y4394" s="106">
        <v>45077</v>
      </c>
    </row>
    <row r="4395" s="9" customFormat="1" customHeight="1" spans="1:25">
      <c r="A4395" s="94" t="s">
        <v>401</v>
      </c>
      <c r="B4395" s="94" t="s">
        <v>5875</v>
      </c>
      <c r="C4395" s="94" t="s">
        <v>44</v>
      </c>
      <c r="D4395" s="94" t="s">
        <v>566</v>
      </c>
      <c r="E4395" s="23" t="s">
        <v>6018</v>
      </c>
      <c r="F4395" s="94" t="s">
        <v>6019</v>
      </c>
      <c r="G4395" s="94" t="s">
        <v>88</v>
      </c>
      <c r="H4395" s="97" t="s">
        <v>6020</v>
      </c>
      <c r="I4395" s="23" t="e">
        <f>VLOOKUP(H4395,'合同综合查询数据（3月返）'!$A:$A,1,FALSE)</f>
        <v>#N/A</v>
      </c>
      <c r="J4395" s="94" t="s">
        <v>126</v>
      </c>
      <c r="K4395" s="94" t="s">
        <v>6019</v>
      </c>
      <c r="L4395" s="281" t="s">
        <v>6019</v>
      </c>
      <c r="M4395" s="94" t="s">
        <v>6021</v>
      </c>
      <c r="N4395" s="106">
        <v>44835</v>
      </c>
      <c r="O4395" s="94" t="s">
        <v>1424</v>
      </c>
      <c r="P4395" s="116">
        <v>0</v>
      </c>
      <c r="Q4395" s="107">
        <v>10</v>
      </c>
      <c r="R4395" s="116">
        <f t="shared" si="98"/>
        <v>0</v>
      </c>
      <c r="S4395" s="298">
        <v>202303</v>
      </c>
      <c r="T4395" s="357" t="s">
        <v>6024</v>
      </c>
      <c r="U4395" s="97"/>
      <c r="V4395" s="97"/>
      <c r="W4395" s="97"/>
      <c r="X4395" s="106">
        <v>44713</v>
      </c>
      <c r="Y4395" s="106">
        <v>45077</v>
      </c>
    </row>
    <row r="4396" s="9" customFormat="1" customHeight="1" spans="1:25">
      <c r="A4396" s="94" t="s">
        <v>401</v>
      </c>
      <c r="B4396" s="94" t="s">
        <v>5875</v>
      </c>
      <c r="C4396" s="94" t="s">
        <v>44</v>
      </c>
      <c r="D4396" s="94" t="s">
        <v>566</v>
      </c>
      <c r="E4396" s="23" t="s">
        <v>6018</v>
      </c>
      <c r="F4396" s="94" t="s">
        <v>6019</v>
      </c>
      <c r="G4396" s="94" t="s">
        <v>88</v>
      </c>
      <c r="H4396" s="97" t="s">
        <v>6020</v>
      </c>
      <c r="I4396" s="23" t="e">
        <f>VLOOKUP(H4396,'合同综合查询数据（3月返）'!$A:$A,1,FALSE)</f>
        <v>#N/A</v>
      </c>
      <c r="J4396" s="94" t="s">
        <v>126</v>
      </c>
      <c r="K4396" s="94" t="s">
        <v>6019</v>
      </c>
      <c r="L4396" s="281" t="s">
        <v>6019</v>
      </c>
      <c r="M4396" s="94" t="s">
        <v>6021</v>
      </c>
      <c r="N4396" s="106">
        <v>44866</v>
      </c>
      <c r="O4396" s="94" t="s">
        <v>1424</v>
      </c>
      <c r="P4396" s="116">
        <v>0</v>
      </c>
      <c r="Q4396" s="107">
        <v>10</v>
      </c>
      <c r="R4396" s="116">
        <f t="shared" si="98"/>
        <v>0</v>
      </c>
      <c r="S4396" s="298">
        <v>202303</v>
      </c>
      <c r="T4396" s="357" t="s">
        <v>6025</v>
      </c>
      <c r="U4396" s="97"/>
      <c r="V4396" s="97"/>
      <c r="W4396" s="97"/>
      <c r="X4396" s="106">
        <v>44713</v>
      </c>
      <c r="Y4396" s="106">
        <v>45077</v>
      </c>
    </row>
    <row r="4397" s="9" customFormat="1" customHeight="1" spans="1:25">
      <c r="A4397" s="94" t="s">
        <v>401</v>
      </c>
      <c r="B4397" s="94" t="s">
        <v>5875</v>
      </c>
      <c r="C4397" s="94" t="s">
        <v>44</v>
      </c>
      <c r="D4397" s="94" t="s">
        <v>566</v>
      </c>
      <c r="E4397" s="23" t="s">
        <v>6026</v>
      </c>
      <c r="F4397" s="94" t="s">
        <v>6027</v>
      </c>
      <c r="G4397" s="94" t="s">
        <v>31</v>
      </c>
      <c r="H4397" s="97" t="s">
        <v>6028</v>
      </c>
      <c r="I4397" s="23" t="e">
        <f>VLOOKUP(H4397,'合同综合查询数据（3月返）'!$A:$A,1,FALSE)</f>
        <v>#N/A</v>
      </c>
      <c r="J4397" s="94" t="s">
        <v>33</v>
      </c>
      <c r="K4397" s="281" t="s">
        <v>6027</v>
      </c>
      <c r="L4397" s="281" t="s">
        <v>6027</v>
      </c>
      <c r="M4397" s="94" t="s">
        <v>6029</v>
      </c>
      <c r="N4397" s="106">
        <v>44850</v>
      </c>
      <c r="O4397" s="94" t="s">
        <v>37</v>
      </c>
      <c r="P4397" s="359">
        <v>0</v>
      </c>
      <c r="Q4397" s="297">
        <v>1280</v>
      </c>
      <c r="R4397" s="116">
        <f t="shared" si="98"/>
        <v>0</v>
      </c>
      <c r="S4397" s="298">
        <v>202303</v>
      </c>
      <c r="T4397" s="23" t="s">
        <v>6030</v>
      </c>
      <c r="U4397" s="97"/>
      <c r="V4397" s="97"/>
      <c r="W4397" s="97"/>
      <c r="X4397" s="106">
        <v>44835</v>
      </c>
      <c r="Y4397" s="106">
        <v>45199</v>
      </c>
    </row>
    <row r="4398" s="9" customFormat="1" customHeight="1" spans="1:25">
      <c r="A4398" s="94" t="s">
        <v>401</v>
      </c>
      <c r="B4398" s="94" t="s">
        <v>5875</v>
      </c>
      <c r="C4398" s="94" t="s">
        <v>44</v>
      </c>
      <c r="D4398" s="94" t="s">
        <v>566</v>
      </c>
      <c r="E4398" s="23" t="s">
        <v>6026</v>
      </c>
      <c r="F4398" s="94" t="s">
        <v>6027</v>
      </c>
      <c r="G4398" s="94" t="s">
        <v>31</v>
      </c>
      <c r="H4398" s="97" t="s">
        <v>6028</v>
      </c>
      <c r="I4398" s="23" t="e">
        <f>VLOOKUP(H4398,'合同综合查询数据（3月返）'!$A:$A,1,FALSE)</f>
        <v>#N/A</v>
      </c>
      <c r="J4398" s="94" t="s">
        <v>33</v>
      </c>
      <c r="K4398" s="281" t="s">
        <v>6027</v>
      </c>
      <c r="L4398" s="281" t="s">
        <v>6027</v>
      </c>
      <c r="M4398" s="94" t="s">
        <v>6029</v>
      </c>
      <c r="N4398" s="106"/>
      <c r="O4398" s="94" t="s">
        <v>152</v>
      </c>
      <c r="P4398" s="359">
        <v>0</v>
      </c>
      <c r="Q4398" s="297">
        <v>0</v>
      </c>
      <c r="R4398" s="116">
        <f t="shared" si="98"/>
        <v>0</v>
      </c>
      <c r="S4398" s="298">
        <v>202303</v>
      </c>
      <c r="T4398" s="23" t="s">
        <v>6031</v>
      </c>
      <c r="U4398" s="97"/>
      <c r="V4398" s="97"/>
      <c r="W4398" s="97"/>
      <c r="X4398" s="106">
        <v>44835</v>
      </c>
      <c r="Y4398" s="106">
        <v>45199</v>
      </c>
    </row>
    <row r="4399" s="9" customFormat="1" customHeight="1" spans="1:25">
      <c r="A4399" s="94" t="s">
        <v>401</v>
      </c>
      <c r="B4399" s="94" t="s">
        <v>5875</v>
      </c>
      <c r="C4399" s="94" t="s">
        <v>44</v>
      </c>
      <c r="D4399" s="94" t="s">
        <v>566</v>
      </c>
      <c r="E4399" s="23" t="s">
        <v>6026</v>
      </c>
      <c r="F4399" s="94" t="s">
        <v>6027</v>
      </c>
      <c r="G4399" s="94" t="s">
        <v>88</v>
      </c>
      <c r="H4399" s="97" t="s">
        <v>6028</v>
      </c>
      <c r="I4399" s="23" t="e">
        <f>VLOOKUP(H4399,'合同综合查询数据（3月返）'!$A:$A,1,FALSE)</f>
        <v>#N/A</v>
      </c>
      <c r="J4399" s="94" t="s">
        <v>126</v>
      </c>
      <c r="K4399" s="281" t="s">
        <v>6027</v>
      </c>
      <c r="L4399" s="281" t="s">
        <v>6027</v>
      </c>
      <c r="M4399" s="94" t="s">
        <v>6029</v>
      </c>
      <c r="N4399" s="106">
        <v>44850</v>
      </c>
      <c r="O4399" s="94" t="s">
        <v>1424</v>
      </c>
      <c r="P4399" s="359">
        <v>0</v>
      </c>
      <c r="Q4399" s="107">
        <v>1</v>
      </c>
      <c r="R4399" s="116">
        <f t="shared" si="98"/>
        <v>0</v>
      </c>
      <c r="S4399" s="298">
        <v>202303</v>
      </c>
      <c r="T4399" s="23" t="s">
        <v>6032</v>
      </c>
      <c r="U4399" s="97"/>
      <c r="V4399" s="97"/>
      <c r="W4399" s="97"/>
      <c r="X4399" s="106">
        <v>44835</v>
      </c>
      <c r="Y4399" s="106">
        <v>45199</v>
      </c>
    </row>
    <row r="4400" s="9" customFormat="1" customHeight="1" spans="1:25">
      <c r="A4400" s="94" t="s">
        <v>401</v>
      </c>
      <c r="B4400" s="94" t="s">
        <v>5875</v>
      </c>
      <c r="C4400" s="94" t="s">
        <v>1854</v>
      </c>
      <c r="D4400" s="94" t="s">
        <v>881</v>
      </c>
      <c r="E4400" s="23" t="s">
        <v>6033</v>
      </c>
      <c r="F4400" s="94" t="s">
        <v>6034</v>
      </c>
      <c r="G4400" s="94" t="s">
        <v>31</v>
      </c>
      <c r="H4400" s="97" t="s">
        <v>6035</v>
      </c>
      <c r="I4400" s="23" t="e">
        <f>VLOOKUP(H4400,'合同综合查询数据（3月返）'!$A:$A,1,FALSE)</f>
        <v>#N/A</v>
      </c>
      <c r="J4400" s="94" t="s">
        <v>33</v>
      </c>
      <c r="K4400" s="94" t="s">
        <v>5351</v>
      </c>
      <c r="L4400" s="281" t="s">
        <v>6036</v>
      </c>
      <c r="M4400" s="94" t="s">
        <v>6037</v>
      </c>
      <c r="N4400" s="106">
        <v>42917</v>
      </c>
      <c r="O4400" s="94" t="s">
        <v>37</v>
      </c>
      <c r="P4400" s="116">
        <v>0</v>
      </c>
      <c r="Q4400" s="297">
        <v>224</v>
      </c>
      <c r="R4400" s="116">
        <f t="shared" si="98"/>
        <v>0</v>
      </c>
      <c r="S4400" s="298">
        <v>202303</v>
      </c>
      <c r="T4400" s="354" t="s">
        <v>6038</v>
      </c>
      <c r="U4400" s="344"/>
      <c r="V4400" s="358"/>
      <c r="W4400" s="358"/>
      <c r="X4400" s="106">
        <v>44713</v>
      </c>
      <c r="Y4400" s="106">
        <v>45077</v>
      </c>
    </row>
    <row r="4401" s="9" customFormat="1" customHeight="1" spans="1:25">
      <c r="A4401" s="94" t="s">
        <v>401</v>
      </c>
      <c r="B4401" s="94" t="s">
        <v>5875</v>
      </c>
      <c r="C4401" s="94" t="s">
        <v>1854</v>
      </c>
      <c r="D4401" s="94" t="s">
        <v>881</v>
      </c>
      <c r="E4401" s="23" t="s">
        <v>6033</v>
      </c>
      <c r="F4401" s="94" t="s">
        <v>6034</v>
      </c>
      <c r="G4401" s="94" t="s">
        <v>31</v>
      </c>
      <c r="H4401" s="97" t="s">
        <v>6035</v>
      </c>
      <c r="I4401" s="23" t="e">
        <f>VLOOKUP(H4401,'合同综合查询数据（3月返）'!$A:$A,1,FALSE)</f>
        <v>#N/A</v>
      </c>
      <c r="J4401" s="94" t="s">
        <v>33</v>
      </c>
      <c r="K4401" s="94" t="s">
        <v>5351</v>
      </c>
      <c r="L4401" s="281" t="s">
        <v>6036</v>
      </c>
      <c r="M4401" s="94" t="s">
        <v>6037</v>
      </c>
      <c r="N4401" s="106">
        <v>42917</v>
      </c>
      <c r="O4401" s="94" t="s">
        <v>37</v>
      </c>
      <c r="P4401" s="116">
        <v>0</v>
      </c>
      <c r="Q4401" s="297">
        <v>192</v>
      </c>
      <c r="R4401" s="116">
        <f t="shared" si="98"/>
        <v>0</v>
      </c>
      <c r="S4401" s="298">
        <v>202303</v>
      </c>
      <c r="T4401" s="354" t="s">
        <v>6039</v>
      </c>
      <c r="U4401" s="344"/>
      <c r="V4401" s="358"/>
      <c r="W4401" s="358"/>
      <c r="X4401" s="106">
        <v>44713</v>
      </c>
      <c r="Y4401" s="106">
        <v>45077</v>
      </c>
    </row>
    <row r="4402" s="9" customFormat="1" customHeight="1" spans="1:25">
      <c r="A4402" s="94" t="s">
        <v>401</v>
      </c>
      <c r="B4402" s="94" t="s">
        <v>5875</v>
      </c>
      <c r="C4402" s="94" t="s">
        <v>1854</v>
      </c>
      <c r="D4402" s="94" t="s">
        <v>881</v>
      </c>
      <c r="E4402" s="23" t="s">
        <v>6033</v>
      </c>
      <c r="F4402" s="94" t="s">
        <v>6034</v>
      </c>
      <c r="G4402" s="94" t="s">
        <v>31</v>
      </c>
      <c r="H4402" s="97" t="s">
        <v>6035</v>
      </c>
      <c r="I4402" s="23" t="e">
        <f>VLOOKUP(H4402,'合同综合查询数据（3月返）'!$A:$A,1,FALSE)</f>
        <v>#N/A</v>
      </c>
      <c r="J4402" s="94" t="s">
        <v>33</v>
      </c>
      <c r="K4402" s="94" t="s">
        <v>5351</v>
      </c>
      <c r="L4402" s="281" t="s">
        <v>6036</v>
      </c>
      <c r="M4402" s="94" t="s">
        <v>6037</v>
      </c>
      <c r="N4402" s="106">
        <v>44176</v>
      </c>
      <c r="O4402" s="94" t="s">
        <v>37</v>
      </c>
      <c r="P4402" s="116">
        <v>0</v>
      </c>
      <c r="Q4402" s="297">
        <v>128</v>
      </c>
      <c r="R4402" s="116">
        <f t="shared" si="98"/>
        <v>0</v>
      </c>
      <c r="S4402" s="298">
        <v>202303</v>
      </c>
      <c r="T4402" s="354" t="s">
        <v>6040</v>
      </c>
      <c r="U4402" s="344"/>
      <c r="V4402" s="358"/>
      <c r="W4402" s="358"/>
      <c r="X4402" s="106">
        <v>44713</v>
      </c>
      <c r="Y4402" s="106">
        <v>45077</v>
      </c>
    </row>
    <row r="4403" s="9" customFormat="1" customHeight="1" spans="1:25">
      <c r="A4403" s="94" t="s">
        <v>401</v>
      </c>
      <c r="B4403" s="94" t="s">
        <v>5875</v>
      </c>
      <c r="C4403" s="94" t="s">
        <v>1854</v>
      </c>
      <c r="D4403" s="94" t="s">
        <v>881</v>
      </c>
      <c r="E4403" s="23" t="s">
        <v>6033</v>
      </c>
      <c r="F4403" s="94" t="s">
        <v>6034</v>
      </c>
      <c r="G4403" s="94" t="s">
        <v>31</v>
      </c>
      <c r="H4403" s="97" t="s">
        <v>6035</v>
      </c>
      <c r="I4403" s="23" t="e">
        <f>VLOOKUP(H4403,'合同综合查询数据（3月返）'!$A:$A,1,FALSE)</f>
        <v>#N/A</v>
      </c>
      <c r="J4403" s="94" t="s">
        <v>33</v>
      </c>
      <c r="K4403" s="281" t="s">
        <v>6036</v>
      </c>
      <c r="L4403" s="281" t="s">
        <v>6036</v>
      </c>
      <c r="M4403" s="94" t="s">
        <v>6037</v>
      </c>
      <c r="N4403" s="106">
        <v>44317</v>
      </c>
      <c r="O4403" s="94" t="s">
        <v>37</v>
      </c>
      <c r="P4403" s="116">
        <v>40</v>
      </c>
      <c r="Q4403" s="297">
        <v>128</v>
      </c>
      <c r="R4403" s="116">
        <f t="shared" si="98"/>
        <v>5120</v>
      </c>
      <c r="S4403" s="298">
        <v>202303</v>
      </c>
      <c r="T4403" s="354" t="s">
        <v>6041</v>
      </c>
      <c r="U4403" s="344"/>
      <c r="V4403" s="358"/>
      <c r="W4403" s="358"/>
      <c r="X4403" s="106">
        <v>44713</v>
      </c>
      <c r="Y4403" s="106">
        <v>45077</v>
      </c>
    </row>
    <row r="4404" s="9" customFormat="1" customHeight="1" spans="1:25">
      <c r="A4404" s="94" t="s">
        <v>401</v>
      </c>
      <c r="B4404" s="94" t="s">
        <v>5875</v>
      </c>
      <c r="C4404" s="94" t="s">
        <v>1854</v>
      </c>
      <c r="D4404" s="94" t="s">
        <v>881</v>
      </c>
      <c r="E4404" s="23" t="s">
        <v>6033</v>
      </c>
      <c r="F4404" s="94" t="s">
        <v>6034</v>
      </c>
      <c r="G4404" s="94" t="s">
        <v>31</v>
      </c>
      <c r="H4404" s="97" t="s">
        <v>6035</v>
      </c>
      <c r="I4404" s="23" t="e">
        <f>VLOOKUP(H4404,'合同综合查询数据（3月返）'!$A:$A,1,FALSE)</f>
        <v>#N/A</v>
      </c>
      <c r="J4404" s="94" t="s">
        <v>33</v>
      </c>
      <c r="K4404" s="281" t="s">
        <v>6036</v>
      </c>
      <c r="L4404" s="281" t="s">
        <v>6036</v>
      </c>
      <c r="M4404" s="94" t="s">
        <v>6037</v>
      </c>
      <c r="N4404" s="106">
        <v>44773</v>
      </c>
      <c r="O4404" s="94" t="s">
        <v>37</v>
      </c>
      <c r="P4404" s="116">
        <v>0</v>
      </c>
      <c r="Q4404" s="297">
        <v>-128</v>
      </c>
      <c r="R4404" s="116">
        <f t="shared" si="98"/>
        <v>0</v>
      </c>
      <c r="S4404" s="298">
        <v>202303</v>
      </c>
      <c r="T4404" s="354" t="s">
        <v>6042</v>
      </c>
      <c r="U4404" s="344"/>
      <c r="V4404" s="358"/>
      <c r="W4404" s="358"/>
      <c r="X4404" s="106">
        <v>44713</v>
      </c>
      <c r="Y4404" s="106">
        <v>45077</v>
      </c>
    </row>
    <row r="4405" s="9" customFormat="1" customHeight="1" spans="1:25">
      <c r="A4405" s="94" t="s">
        <v>401</v>
      </c>
      <c r="B4405" s="94" t="s">
        <v>5875</v>
      </c>
      <c r="C4405" s="94" t="s">
        <v>1854</v>
      </c>
      <c r="D4405" s="94" t="s">
        <v>881</v>
      </c>
      <c r="E4405" s="23" t="s">
        <v>6033</v>
      </c>
      <c r="F4405" s="94" t="s">
        <v>6034</v>
      </c>
      <c r="G4405" s="94" t="s">
        <v>31</v>
      </c>
      <c r="H4405" s="97" t="s">
        <v>6035</v>
      </c>
      <c r="I4405" s="23" t="e">
        <f>VLOOKUP(H4405,'合同综合查询数据（3月返）'!$A:$A,1,FALSE)</f>
        <v>#N/A</v>
      </c>
      <c r="J4405" s="94" t="s">
        <v>33</v>
      </c>
      <c r="K4405" s="281" t="s">
        <v>6036</v>
      </c>
      <c r="L4405" s="281" t="s">
        <v>6036</v>
      </c>
      <c r="M4405" s="94" t="s">
        <v>6037</v>
      </c>
      <c r="N4405" s="106">
        <v>44773</v>
      </c>
      <c r="O4405" s="94" t="s">
        <v>37</v>
      </c>
      <c r="P4405" s="116">
        <v>0</v>
      </c>
      <c r="Q4405" s="297">
        <v>-128</v>
      </c>
      <c r="R4405" s="116">
        <f t="shared" si="98"/>
        <v>0</v>
      </c>
      <c r="S4405" s="298">
        <v>202303</v>
      </c>
      <c r="T4405" s="354" t="s">
        <v>6043</v>
      </c>
      <c r="U4405" s="344"/>
      <c r="V4405" s="358"/>
      <c r="W4405" s="358"/>
      <c r="X4405" s="106">
        <v>44713</v>
      </c>
      <c r="Y4405" s="106">
        <v>45077</v>
      </c>
    </row>
    <row r="4406" s="9" customFormat="1" customHeight="1" spans="1:25">
      <c r="A4406" s="94" t="s">
        <v>401</v>
      </c>
      <c r="B4406" s="94" t="s">
        <v>5875</v>
      </c>
      <c r="C4406" s="94" t="s">
        <v>1854</v>
      </c>
      <c r="D4406" s="94" t="s">
        <v>881</v>
      </c>
      <c r="E4406" s="23" t="s">
        <v>6033</v>
      </c>
      <c r="F4406" s="94" t="s">
        <v>6034</v>
      </c>
      <c r="G4406" s="94" t="s">
        <v>88</v>
      </c>
      <c r="H4406" s="97" t="s">
        <v>6035</v>
      </c>
      <c r="I4406" s="23" t="e">
        <f>VLOOKUP(H4406,'合同综合查询数据（3月返）'!$A:$A,1,FALSE)</f>
        <v>#N/A</v>
      </c>
      <c r="J4406" s="94" t="s">
        <v>126</v>
      </c>
      <c r="K4406" s="94" t="s">
        <v>5351</v>
      </c>
      <c r="L4406" s="281" t="s">
        <v>6036</v>
      </c>
      <c r="M4406" s="94" t="s">
        <v>6037</v>
      </c>
      <c r="N4406" s="106">
        <v>42917</v>
      </c>
      <c r="O4406" s="94" t="s">
        <v>127</v>
      </c>
      <c r="P4406" s="116">
        <v>0</v>
      </c>
      <c r="Q4406" s="107">
        <v>4</v>
      </c>
      <c r="R4406" s="116">
        <f t="shared" si="98"/>
        <v>0</v>
      </c>
      <c r="S4406" s="298">
        <v>202303</v>
      </c>
      <c r="T4406" s="354" t="s">
        <v>6044</v>
      </c>
      <c r="U4406" s="344"/>
      <c r="V4406" s="358"/>
      <c r="W4406" s="358"/>
      <c r="X4406" s="106">
        <v>44713</v>
      </c>
      <c r="Y4406" s="106">
        <v>45077</v>
      </c>
    </row>
    <row r="4407" s="9" customFormat="1" customHeight="1" spans="1:25">
      <c r="A4407" s="94" t="s">
        <v>401</v>
      </c>
      <c r="B4407" s="94" t="s">
        <v>5875</v>
      </c>
      <c r="C4407" s="94" t="s">
        <v>1854</v>
      </c>
      <c r="D4407" s="94" t="s">
        <v>881</v>
      </c>
      <c r="E4407" s="23" t="s">
        <v>6033</v>
      </c>
      <c r="F4407" s="94" t="s">
        <v>6034</v>
      </c>
      <c r="G4407" s="94" t="s">
        <v>88</v>
      </c>
      <c r="H4407" s="97" t="s">
        <v>6035</v>
      </c>
      <c r="I4407" s="23" t="e">
        <f>VLOOKUP(H4407,'合同综合查询数据（3月返）'!$A:$A,1,FALSE)</f>
        <v>#N/A</v>
      </c>
      <c r="J4407" s="94" t="s">
        <v>126</v>
      </c>
      <c r="K4407" s="94" t="s">
        <v>5351</v>
      </c>
      <c r="L4407" s="281" t="s">
        <v>6036</v>
      </c>
      <c r="M4407" s="94" t="s">
        <v>6037</v>
      </c>
      <c r="N4407" s="106">
        <v>44317</v>
      </c>
      <c r="O4407" s="94" t="s">
        <v>127</v>
      </c>
      <c r="P4407" s="116">
        <v>0</v>
      </c>
      <c r="Q4407" s="107">
        <v>1</v>
      </c>
      <c r="R4407" s="116">
        <f t="shared" si="98"/>
        <v>0</v>
      </c>
      <c r="S4407" s="298">
        <v>202303</v>
      </c>
      <c r="T4407" s="354" t="s">
        <v>6045</v>
      </c>
      <c r="U4407" s="344"/>
      <c r="V4407" s="358"/>
      <c r="W4407" s="358"/>
      <c r="X4407" s="106">
        <v>44713</v>
      </c>
      <c r="Y4407" s="106">
        <v>45077</v>
      </c>
    </row>
    <row r="4408" s="9" customFormat="1" customHeight="1" spans="1:25">
      <c r="A4408" s="94" t="s">
        <v>401</v>
      </c>
      <c r="B4408" s="94" t="s">
        <v>5875</v>
      </c>
      <c r="C4408" s="94" t="s">
        <v>1854</v>
      </c>
      <c r="D4408" s="94" t="s">
        <v>881</v>
      </c>
      <c r="E4408" s="23" t="s">
        <v>6033</v>
      </c>
      <c r="F4408" s="94" t="s">
        <v>6034</v>
      </c>
      <c r="G4408" s="94" t="s">
        <v>88</v>
      </c>
      <c r="H4408" s="97" t="s">
        <v>6035</v>
      </c>
      <c r="I4408" s="23" t="e">
        <f>VLOOKUP(H4408,'合同综合查询数据（3月返）'!$A:$A,1,FALSE)</f>
        <v>#N/A</v>
      </c>
      <c r="J4408" s="94" t="s">
        <v>126</v>
      </c>
      <c r="K4408" s="94" t="s">
        <v>5351</v>
      </c>
      <c r="L4408" s="281" t="s">
        <v>6036</v>
      </c>
      <c r="M4408" s="94" t="s">
        <v>6037</v>
      </c>
      <c r="N4408" s="106">
        <v>44449</v>
      </c>
      <c r="O4408" s="94" t="s">
        <v>127</v>
      </c>
      <c r="P4408" s="116">
        <v>4000</v>
      </c>
      <c r="Q4408" s="107">
        <v>1</v>
      </c>
      <c r="R4408" s="116">
        <f t="shared" si="98"/>
        <v>4000</v>
      </c>
      <c r="S4408" s="298">
        <v>202303</v>
      </c>
      <c r="T4408" s="354" t="s">
        <v>6046</v>
      </c>
      <c r="U4408" s="344"/>
      <c r="V4408" s="358"/>
      <c r="W4408" s="358"/>
      <c r="X4408" s="106">
        <v>44713</v>
      </c>
      <c r="Y4408" s="106">
        <v>45077</v>
      </c>
    </row>
    <row r="4409" s="9" customFormat="1" customHeight="1" spans="1:25">
      <c r="A4409" s="94" t="s">
        <v>401</v>
      </c>
      <c r="B4409" s="94" t="s">
        <v>5875</v>
      </c>
      <c r="C4409" s="94" t="s">
        <v>1854</v>
      </c>
      <c r="D4409" s="94" t="s">
        <v>881</v>
      </c>
      <c r="E4409" s="23" t="s">
        <v>6033</v>
      </c>
      <c r="F4409" s="94" t="s">
        <v>6034</v>
      </c>
      <c r="G4409" s="94" t="s">
        <v>88</v>
      </c>
      <c r="H4409" s="97" t="s">
        <v>6035</v>
      </c>
      <c r="I4409" s="23" t="e">
        <f>VLOOKUP(H4409,'合同综合查询数据（3月返）'!$A:$A,1,FALSE)</f>
        <v>#N/A</v>
      </c>
      <c r="J4409" s="94" t="s">
        <v>126</v>
      </c>
      <c r="K4409" s="94" t="s">
        <v>5351</v>
      </c>
      <c r="L4409" s="281" t="s">
        <v>6036</v>
      </c>
      <c r="M4409" s="94" t="s">
        <v>6037</v>
      </c>
      <c r="N4409" s="106">
        <v>44814</v>
      </c>
      <c r="O4409" s="94" t="s">
        <v>127</v>
      </c>
      <c r="P4409" s="116">
        <v>4000</v>
      </c>
      <c r="Q4409" s="107">
        <v>-1</v>
      </c>
      <c r="R4409" s="116">
        <f t="shared" si="98"/>
        <v>-4000</v>
      </c>
      <c r="S4409" s="298">
        <v>202303</v>
      </c>
      <c r="T4409" s="354" t="s">
        <v>6047</v>
      </c>
      <c r="U4409" s="344"/>
      <c r="V4409" s="358"/>
      <c r="W4409" s="358"/>
      <c r="X4409" s="106">
        <v>44713</v>
      </c>
      <c r="Y4409" s="106">
        <v>45077</v>
      </c>
    </row>
    <row r="4410" s="10" customFormat="1" customHeight="1" spans="1:25">
      <c r="A4410" s="62" t="s">
        <v>401</v>
      </c>
      <c r="B4410" s="62" t="s">
        <v>5875</v>
      </c>
      <c r="C4410" s="62" t="s">
        <v>1854</v>
      </c>
      <c r="D4410" s="62" t="s">
        <v>881</v>
      </c>
      <c r="E4410" s="47" t="s">
        <v>6033</v>
      </c>
      <c r="F4410" s="62" t="s">
        <v>6034</v>
      </c>
      <c r="G4410" s="62" t="s">
        <v>88</v>
      </c>
      <c r="H4410" s="102" t="s">
        <v>6048</v>
      </c>
      <c r="I4410" s="47" t="e">
        <f>VLOOKUP(H4410,'合同综合查询数据（3月返）'!$A:$A,1,FALSE)</f>
        <v>#N/A</v>
      </c>
      <c r="J4410" s="62" t="s">
        <v>126</v>
      </c>
      <c r="K4410" s="62" t="s">
        <v>5351</v>
      </c>
      <c r="L4410" s="329" t="s">
        <v>6036</v>
      </c>
      <c r="M4410" s="62" t="s">
        <v>6037</v>
      </c>
      <c r="N4410" s="111">
        <v>44317</v>
      </c>
      <c r="O4410" s="62" t="s">
        <v>127</v>
      </c>
      <c r="P4410" s="124">
        <v>0</v>
      </c>
      <c r="Q4410" s="112">
        <v>1</v>
      </c>
      <c r="R4410" s="124">
        <f t="shared" si="98"/>
        <v>0</v>
      </c>
      <c r="S4410" s="349">
        <v>202303</v>
      </c>
      <c r="T4410" s="353" t="s">
        <v>6049</v>
      </c>
      <c r="U4410" s="342"/>
      <c r="V4410" s="356"/>
      <c r="W4410" s="356"/>
      <c r="X4410" s="111"/>
      <c r="Y4410" s="62"/>
    </row>
    <row r="4411" s="9" customFormat="1" customHeight="1" spans="1:25">
      <c r="A4411" s="94" t="s">
        <v>401</v>
      </c>
      <c r="B4411" s="94" t="s">
        <v>5875</v>
      </c>
      <c r="C4411" s="94" t="s">
        <v>44</v>
      </c>
      <c r="D4411" s="94" t="s">
        <v>566</v>
      </c>
      <c r="E4411" s="23" t="s">
        <v>6050</v>
      </c>
      <c r="F4411" s="94" t="s">
        <v>6051</v>
      </c>
      <c r="G4411" s="94" t="s">
        <v>31</v>
      </c>
      <c r="H4411" s="97" t="s">
        <v>6052</v>
      </c>
      <c r="I4411" s="23" t="e">
        <f>VLOOKUP(H4411,'合同综合查询数据（3月返）'!$A:$A,1,FALSE)</f>
        <v>#N/A</v>
      </c>
      <c r="J4411" s="94" t="s">
        <v>33</v>
      </c>
      <c r="K4411" s="281" t="s">
        <v>6053</v>
      </c>
      <c r="L4411" s="281" t="s">
        <v>6053</v>
      </c>
      <c r="M4411" s="94" t="s">
        <v>6054</v>
      </c>
      <c r="N4411" s="106" t="s">
        <v>6007</v>
      </c>
      <c r="O4411" s="94" t="s">
        <v>37</v>
      </c>
      <c r="P4411" s="116">
        <v>0</v>
      </c>
      <c r="Q4411" s="297">
        <v>256</v>
      </c>
      <c r="R4411" s="116">
        <f t="shared" si="98"/>
        <v>0</v>
      </c>
      <c r="S4411" s="298">
        <v>202303</v>
      </c>
      <c r="T4411" s="354" t="s">
        <v>6055</v>
      </c>
      <c r="U4411" s="344"/>
      <c r="V4411" s="358"/>
      <c r="W4411" s="358"/>
      <c r="X4411" s="106">
        <v>44317</v>
      </c>
      <c r="Y4411" s="106">
        <v>45046</v>
      </c>
    </row>
    <row r="4412" s="9" customFormat="1" customHeight="1" spans="1:25">
      <c r="A4412" s="94" t="s">
        <v>401</v>
      </c>
      <c r="B4412" s="94" t="s">
        <v>5875</v>
      </c>
      <c r="C4412" s="94" t="s">
        <v>44</v>
      </c>
      <c r="D4412" s="94" t="s">
        <v>566</v>
      </c>
      <c r="E4412" s="23" t="s">
        <v>6050</v>
      </c>
      <c r="F4412" s="94" t="s">
        <v>6051</v>
      </c>
      <c r="G4412" s="94" t="s">
        <v>31</v>
      </c>
      <c r="H4412" s="97" t="s">
        <v>6052</v>
      </c>
      <c r="I4412" s="23" t="e">
        <f>VLOOKUP(H4412,'合同综合查询数据（3月返）'!$A:$A,1,FALSE)</f>
        <v>#N/A</v>
      </c>
      <c r="J4412" s="94" t="s">
        <v>33</v>
      </c>
      <c r="K4412" s="281" t="s">
        <v>6053</v>
      </c>
      <c r="L4412" s="281" t="s">
        <v>6053</v>
      </c>
      <c r="M4412" s="94" t="s">
        <v>6054</v>
      </c>
      <c r="N4412" s="106" t="s">
        <v>6007</v>
      </c>
      <c r="O4412" s="94" t="s">
        <v>37</v>
      </c>
      <c r="P4412" s="116">
        <v>50</v>
      </c>
      <c r="Q4412" s="297">
        <v>128</v>
      </c>
      <c r="R4412" s="116">
        <f t="shared" si="98"/>
        <v>6400</v>
      </c>
      <c r="S4412" s="298">
        <v>202303</v>
      </c>
      <c r="T4412" s="354" t="s">
        <v>6055</v>
      </c>
      <c r="U4412" s="344"/>
      <c r="V4412" s="358"/>
      <c r="W4412" s="358"/>
      <c r="X4412" s="106">
        <v>44317</v>
      </c>
      <c r="Y4412" s="106">
        <v>45046</v>
      </c>
    </row>
    <row r="4413" s="9" customFormat="1" customHeight="1" spans="1:25">
      <c r="A4413" s="94" t="s">
        <v>401</v>
      </c>
      <c r="B4413" s="94" t="s">
        <v>5875</v>
      </c>
      <c r="C4413" s="94" t="s">
        <v>44</v>
      </c>
      <c r="D4413" s="94" t="s">
        <v>566</v>
      </c>
      <c r="E4413" s="23" t="s">
        <v>6050</v>
      </c>
      <c r="F4413" s="94" t="s">
        <v>6051</v>
      </c>
      <c r="G4413" s="94" t="s">
        <v>31</v>
      </c>
      <c r="H4413" s="97" t="s">
        <v>6052</v>
      </c>
      <c r="I4413" s="23" t="e">
        <f>VLOOKUP(H4413,'合同综合查询数据（3月返）'!$A:$A,1,FALSE)</f>
        <v>#N/A</v>
      </c>
      <c r="J4413" s="94" t="s">
        <v>33</v>
      </c>
      <c r="K4413" s="281" t="s">
        <v>6053</v>
      </c>
      <c r="L4413" s="281" t="s">
        <v>6053</v>
      </c>
      <c r="M4413" s="94" t="s">
        <v>6054</v>
      </c>
      <c r="N4413" s="106">
        <v>44317</v>
      </c>
      <c r="O4413" s="94" t="s">
        <v>37</v>
      </c>
      <c r="P4413" s="116">
        <v>50</v>
      </c>
      <c r="Q4413" s="297">
        <v>128</v>
      </c>
      <c r="R4413" s="116">
        <f t="shared" si="98"/>
        <v>6400</v>
      </c>
      <c r="S4413" s="298">
        <v>202303</v>
      </c>
      <c r="T4413" s="354" t="s">
        <v>6056</v>
      </c>
      <c r="U4413" s="344"/>
      <c r="V4413" s="358"/>
      <c r="W4413" s="358"/>
      <c r="X4413" s="106">
        <v>44317</v>
      </c>
      <c r="Y4413" s="106">
        <v>45046</v>
      </c>
    </row>
    <row r="4414" s="9" customFormat="1" customHeight="1" spans="1:25">
      <c r="A4414" s="94" t="s">
        <v>401</v>
      </c>
      <c r="B4414" s="94" t="s">
        <v>5875</v>
      </c>
      <c r="C4414" s="94" t="s">
        <v>44</v>
      </c>
      <c r="D4414" s="94" t="s">
        <v>566</v>
      </c>
      <c r="E4414" s="23" t="s">
        <v>6050</v>
      </c>
      <c r="F4414" s="94" t="s">
        <v>6051</v>
      </c>
      <c r="G4414" s="94" t="s">
        <v>31</v>
      </c>
      <c r="H4414" s="97" t="s">
        <v>6052</v>
      </c>
      <c r="I4414" s="23" t="e">
        <f>VLOOKUP(H4414,'合同综合查询数据（3月返）'!$A:$A,1,FALSE)</f>
        <v>#N/A</v>
      </c>
      <c r="J4414" s="94" t="s">
        <v>33</v>
      </c>
      <c r="K4414" s="281" t="s">
        <v>6053</v>
      </c>
      <c r="L4414" s="281" t="s">
        <v>6053</v>
      </c>
      <c r="M4414" s="94" t="s">
        <v>6054</v>
      </c>
      <c r="N4414" s="106">
        <v>44399</v>
      </c>
      <c r="O4414" s="94" t="s">
        <v>37</v>
      </c>
      <c r="P4414" s="116">
        <v>50</v>
      </c>
      <c r="Q4414" s="297">
        <v>-96</v>
      </c>
      <c r="R4414" s="116">
        <f t="shared" si="98"/>
        <v>-4800</v>
      </c>
      <c r="S4414" s="298">
        <v>202303</v>
      </c>
      <c r="T4414" s="354" t="s">
        <v>6057</v>
      </c>
      <c r="U4414" s="344"/>
      <c r="V4414" s="358"/>
      <c r="W4414" s="358"/>
      <c r="X4414" s="106">
        <v>44317</v>
      </c>
      <c r="Y4414" s="106">
        <v>45046</v>
      </c>
    </row>
    <row r="4415" s="9" customFormat="1" customHeight="1" spans="1:25">
      <c r="A4415" s="94" t="s">
        <v>401</v>
      </c>
      <c r="B4415" s="94" t="s">
        <v>5875</v>
      </c>
      <c r="C4415" s="94" t="s">
        <v>44</v>
      </c>
      <c r="D4415" s="94" t="s">
        <v>566</v>
      </c>
      <c r="E4415" s="23" t="s">
        <v>6050</v>
      </c>
      <c r="F4415" s="94" t="s">
        <v>6051</v>
      </c>
      <c r="G4415" s="94" t="s">
        <v>88</v>
      </c>
      <c r="H4415" s="97" t="s">
        <v>6052</v>
      </c>
      <c r="I4415" s="23" t="e">
        <f>VLOOKUP(H4415,'合同综合查询数据（3月返）'!$A:$A,1,FALSE)</f>
        <v>#N/A</v>
      </c>
      <c r="J4415" s="94" t="s">
        <v>126</v>
      </c>
      <c r="K4415" s="281" t="s">
        <v>6053</v>
      </c>
      <c r="L4415" s="281" t="s">
        <v>6053</v>
      </c>
      <c r="M4415" s="94" t="s">
        <v>6054</v>
      </c>
      <c r="N4415" s="106" t="s">
        <v>6058</v>
      </c>
      <c r="O4415" s="94" t="s">
        <v>1424</v>
      </c>
      <c r="P4415" s="116">
        <v>0</v>
      </c>
      <c r="Q4415" s="107">
        <v>6</v>
      </c>
      <c r="R4415" s="116">
        <f t="shared" si="98"/>
        <v>0</v>
      </c>
      <c r="S4415" s="298">
        <v>202303</v>
      </c>
      <c r="T4415" s="354" t="s">
        <v>6059</v>
      </c>
      <c r="U4415" s="344"/>
      <c r="V4415" s="358"/>
      <c r="W4415" s="358"/>
      <c r="X4415" s="106">
        <v>44317</v>
      </c>
      <c r="Y4415" s="106">
        <v>45046</v>
      </c>
    </row>
    <row r="4416" s="9" customFormat="1" customHeight="1" spans="1:25">
      <c r="A4416" s="94" t="s">
        <v>401</v>
      </c>
      <c r="B4416" s="94" t="s">
        <v>5875</v>
      </c>
      <c r="C4416" s="94" t="s">
        <v>44</v>
      </c>
      <c r="D4416" s="94" t="s">
        <v>566</v>
      </c>
      <c r="E4416" s="23" t="s">
        <v>6050</v>
      </c>
      <c r="F4416" s="94" t="s">
        <v>6051</v>
      </c>
      <c r="G4416" s="94" t="s">
        <v>88</v>
      </c>
      <c r="H4416" s="97" t="s">
        <v>6052</v>
      </c>
      <c r="I4416" s="23" t="e">
        <f>VLOOKUP(H4416,'合同综合查询数据（3月返）'!$A:$A,1,FALSE)</f>
        <v>#N/A</v>
      </c>
      <c r="J4416" s="94" t="s">
        <v>126</v>
      </c>
      <c r="K4416" s="281" t="s">
        <v>6053</v>
      </c>
      <c r="L4416" s="281" t="s">
        <v>6053</v>
      </c>
      <c r="M4416" s="94" t="s">
        <v>6054</v>
      </c>
      <c r="N4416" s="106">
        <v>43951</v>
      </c>
      <c r="O4416" s="94" t="s">
        <v>1424</v>
      </c>
      <c r="P4416" s="116">
        <v>0</v>
      </c>
      <c r="Q4416" s="107">
        <v>-2</v>
      </c>
      <c r="R4416" s="116">
        <f t="shared" si="98"/>
        <v>0</v>
      </c>
      <c r="S4416" s="298">
        <v>202303</v>
      </c>
      <c r="T4416" s="354" t="s">
        <v>6060</v>
      </c>
      <c r="U4416" s="344"/>
      <c r="V4416" s="358"/>
      <c r="W4416" s="358"/>
      <c r="X4416" s="106">
        <v>44317</v>
      </c>
      <c r="Y4416" s="106">
        <v>45046</v>
      </c>
    </row>
    <row r="4417" s="9" customFormat="1" customHeight="1" spans="1:25">
      <c r="A4417" s="94" t="s">
        <v>401</v>
      </c>
      <c r="B4417" s="94" t="s">
        <v>5875</v>
      </c>
      <c r="C4417" s="94" t="s">
        <v>44</v>
      </c>
      <c r="D4417" s="94" t="s">
        <v>566</v>
      </c>
      <c r="E4417" s="23" t="s">
        <v>6050</v>
      </c>
      <c r="F4417" s="94" t="s">
        <v>6051</v>
      </c>
      <c r="G4417" s="94" t="s">
        <v>88</v>
      </c>
      <c r="H4417" s="97" t="s">
        <v>6052</v>
      </c>
      <c r="I4417" s="23" t="e">
        <f>VLOOKUP(H4417,'合同综合查询数据（3月返）'!$A:$A,1,FALSE)</f>
        <v>#N/A</v>
      </c>
      <c r="J4417" s="94" t="s">
        <v>126</v>
      </c>
      <c r="K4417" s="281" t="s">
        <v>6053</v>
      </c>
      <c r="L4417" s="281" t="s">
        <v>6053</v>
      </c>
      <c r="M4417" s="94" t="s">
        <v>6054</v>
      </c>
      <c r="N4417" s="106">
        <v>44317</v>
      </c>
      <c r="O4417" s="94" t="s">
        <v>1424</v>
      </c>
      <c r="P4417" s="116">
        <v>4000</v>
      </c>
      <c r="Q4417" s="107">
        <v>1</v>
      </c>
      <c r="R4417" s="116">
        <f t="shared" si="98"/>
        <v>4000</v>
      </c>
      <c r="S4417" s="298">
        <v>202303</v>
      </c>
      <c r="T4417" s="354" t="s">
        <v>6061</v>
      </c>
      <c r="U4417" s="344"/>
      <c r="V4417" s="358"/>
      <c r="W4417" s="358"/>
      <c r="X4417" s="106">
        <v>44317</v>
      </c>
      <c r="Y4417" s="106">
        <v>45046</v>
      </c>
    </row>
    <row r="4418" s="10" customFormat="1" customHeight="1" spans="1:25">
      <c r="A4418" s="62" t="s">
        <v>401</v>
      </c>
      <c r="B4418" s="62" t="s">
        <v>5875</v>
      </c>
      <c r="C4418" s="62" t="s">
        <v>44</v>
      </c>
      <c r="D4418" s="62" t="s">
        <v>566</v>
      </c>
      <c r="E4418" s="47" t="s">
        <v>6050</v>
      </c>
      <c r="F4418" s="62" t="s">
        <v>6051</v>
      </c>
      <c r="G4418" s="62" t="s">
        <v>31</v>
      </c>
      <c r="H4418" s="102" t="s">
        <v>6062</v>
      </c>
      <c r="I4418" s="47" t="e">
        <f>VLOOKUP(H4418,'合同综合查询数据（3月返）'!$A:$A,1,FALSE)</f>
        <v>#N/A</v>
      </c>
      <c r="J4418" s="62" t="s">
        <v>33</v>
      </c>
      <c r="K4418" s="329" t="s">
        <v>6063</v>
      </c>
      <c r="L4418" s="329" t="s">
        <v>6063</v>
      </c>
      <c r="M4418" s="62" t="s">
        <v>6054</v>
      </c>
      <c r="N4418" s="111">
        <v>45001</v>
      </c>
      <c r="O4418" s="62" t="s">
        <v>37</v>
      </c>
      <c r="P4418" s="124">
        <v>0</v>
      </c>
      <c r="Q4418" s="362">
        <v>640</v>
      </c>
      <c r="R4418" s="124">
        <f t="shared" si="98"/>
        <v>0</v>
      </c>
      <c r="S4418" s="349">
        <v>202303</v>
      </c>
      <c r="T4418" s="353" t="s">
        <v>6064</v>
      </c>
      <c r="U4418" s="342"/>
      <c r="V4418" s="363"/>
      <c r="W4418" s="356"/>
      <c r="X4418" s="111"/>
      <c r="Y4418" s="111"/>
    </row>
    <row r="4419" s="10" customFormat="1" customHeight="1" spans="1:25">
      <c r="A4419" s="62" t="s">
        <v>401</v>
      </c>
      <c r="B4419" s="62" t="s">
        <v>5875</v>
      </c>
      <c r="C4419" s="62" t="s">
        <v>44</v>
      </c>
      <c r="D4419" s="62" t="s">
        <v>566</v>
      </c>
      <c r="E4419" s="47" t="s">
        <v>6050</v>
      </c>
      <c r="F4419" s="62" t="s">
        <v>6051</v>
      </c>
      <c r="G4419" s="62" t="s">
        <v>31</v>
      </c>
      <c r="H4419" s="102" t="s">
        <v>6062</v>
      </c>
      <c r="I4419" s="47" t="e">
        <f>VLOOKUP(H4419,'合同综合查询数据（3月返）'!$A:$A,1,FALSE)</f>
        <v>#N/A</v>
      </c>
      <c r="J4419" s="62" t="s">
        <v>33</v>
      </c>
      <c r="K4419" s="329" t="s">
        <v>6063</v>
      </c>
      <c r="L4419" s="329" t="s">
        <v>6063</v>
      </c>
      <c r="M4419" s="62" t="s">
        <v>6054</v>
      </c>
      <c r="N4419" s="111">
        <v>45001</v>
      </c>
      <c r="O4419" s="62" t="s">
        <v>152</v>
      </c>
      <c r="P4419" s="124">
        <v>0</v>
      </c>
      <c r="Q4419" s="362">
        <v>1</v>
      </c>
      <c r="R4419" s="124">
        <f t="shared" si="98"/>
        <v>0</v>
      </c>
      <c r="S4419" s="349">
        <v>202303</v>
      </c>
      <c r="T4419" s="353" t="s">
        <v>6065</v>
      </c>
      <c r="U4419" s="342"/>
      <c r="V4419" s="363"/>
      <c r="W4419" s="356"/>
      <c r="X4419" s="111"/>
      <c r="Y4419" s="111"/>
    </row>
    <row r="4420" s="10" customFormat="1" customHeight="1" spans="1:25">
      <c r="A4420" s="62" t="s">
        <v>401</v>
      </c>
      <c r="B4420" s="62" t="s">
        <v>5875</v>
      </c>
      <c r="C4420" s="62" t="s">
        <v>44</v>
      </c>
      <c r="D4420" s="62" t="s">
        <v>566</v>
      </c>
      <c r="E4420" s="47" t="s">
        <v>6050</v>
      </c>
      <c r="F4420" s="62" t="s">
        <v>6051</v>
      </c>
      <c r="G4420" s="62" t="s">
        <v>88</v>
      </c>
      <c r="H4420" s="102" t="s">
        <v>6062</v>
      </c>
      <c r="I4420" s="47" t="e">
        <f>VLOOKUP(H4420,'合同综合查询数据（3月返）'!$A:$A,1,FALSE)</f>
        <v>#N/A</v>
      </c>
      <c r="J4420" s="62" t="s">
        <v>126</v>
      </c>
      <c r="K4420" s="329" t="s">
        <v>6063</v>
      </c>
      <c r="L4420" s="329" t="s">
        <v>6063</v>
      </c>
      <c r="M4420" s="62" t="s">
        <v>6054</v>
      </c>
      <c r="N4420" s="111">
        <v>45001</v>
      </c>
      <c r="O4420" s="62" t="s">
        <v>1424</v>
      </c>
      <c r="P4420" s="124">
        <v>0</v>
      </c>
      <c r="Q4420" s="362">
        <v>1</v>
      </c>
      <c r="R4420" s="124">
        <f t="shared" si="98"/>
        <v>0</v>
      </c>
      <c r="S4420" s="349">
        <v>202303</v>
      </c>
      <c r="T4420" s="353" t="s">
        <v>6066</v>
      </c>
      <c r="U4420" s="342"/>
      <c r="V4420" s="363"/>
      <c r="W4420" s="356"/>
      <c r="X4420" s="111"/>
      <c r="Y4420" s="111"/>
    </row>
    <row r="4421" s="9" customFormat="1" customHeight="1" spans="1:25">
      <c r="A4421" s="94" t="s">
        <v>401</v>
      </c>
      <c r="B4421" s="94" t="s">
        <v>5875</v>
      </c>
      <c r="C4421" s="94" t="s">
        <v>44</v>
      </c>
      <c r="D4421" s="94" t="s">
        <v>566</v>
      </c>
      <c r="E4421" s="23" t="s">
        <v>6067</v>
      </c>
      <c r="F4421" s="94" t="s">
        <v>6068</v>
      </c>
      <c r="G4421" s="94" t="s">
        <v>31</v>
      </c>
      <c r="H4421" s="97" t="s">
        <v>6069</v>
      </c>
      <c r="I4421" s="23" t="e">
        <f>VLOOKUP(H4421,'合同综合查询数据（3月返）'!$A:$A,1,FALSE)</f>
        <v>#N/A</v>
      </c>
      <c r="J4421" s="94" t="s">
        <v>33</v>
      </c>
      <c r="K4421" s="94" t="s">
        <v>6068</v>
      </c>
      <c r="L4421" s="94" t="s">
        <v>6068</v>
      </c>
      <c r="M4421" s="94" t="s">
        <v>6070</v>
      </c>
      <c r="N4421" s="106">
        <v>44774</v>
      </c>
      <c r="O4421" s="94" t="s">
        <v>37</v>
      </c>
      <c r="P4421" s="116">
        <v>0</v>
      </c>
      <c r="Q4421" s="297">
        <v>1280</v>
      </c>
      <c r="R4421" s="116">
        <f t="shared" si="98"/>
        <v>0</v>
      </c>
      <c r="S4421" s="298">
        <v>202303</v>
      </c>
      <c r="T4421" s="357" t="s">
        <v>6071</v>
      </c>
      <c r="U4421" s="97"/>
      <c r="V4421" s="97"/>
      <c r="W4421" s="97"/>
      <c r="X4421" s="286">
        <v>44774</v>
      </c>
      <c r="Y4421" s="106">
        <v>45138</v>
      </c>
    </row>
    <row r="4422" s="9" customFormat="1" customHeight="1" spans="1:25">
      <c r="A4422" s="94" t="s">
        <v>401</v>
      </c>
      <c r="B4422" s="94" t="s">
        <v>5875</v>
      </c>
      <c r="C4422" s="94" t="s">
        <v>44</v>
      </c>
      <c r="D4422" s="94" t="s">
        <v>566</v>
      </c>
      <c r="E4422" s="23" t="s">
        <v>6067</v>
      </c>
      <c r="F4422" s="94" t="s">
        <v>6068</v>
      </c>
      <c r="G4422" s="94" t="s">
        <v>31</v>
      </c>
      <c r="H4422" s="97" t="s">
        <v>6069</v>
      </c>
      <c r="I4422" s="23" t="e">
        <f>VLOOKUP(H4422,'合同综合查询数据（3月返）'!$A:$A,1,FALSE)</f>
        <v>#N/A</v>
      </c>
      <c r="J4422" s="94" t="s">
        <v>33</v>
      </c>
      <c r="K4422" s="94" t="s">
        <v>6068</v>
      </c>
      <c r="L4422" s="94" t="s">
        <v>6068</v>
      </c>
      <c r="M4422" s="94" t="s">
        <v>6070</v>
      </c>
      <c r="N4422" s="106"/>
      <c r="O4422" s="94" t="s">
        <v>152</v>
      </c>
      <c r="P4422" s="116">
        <v>0</v>
      </c>
      <c r="Q4422" s="297">
        <v>0</v>
      </c>
      <c r="R4422" s="116">
        <f t="shared" si="98"/>
        <v>0</v>
      </c>
      <c r="S4422" s="298">
        <v>202303</v>
      </c>
      <c r="T4422" s="357" t="s">
        <v>6072</v>
      </c>
      <c r="U4422" s="97"/>
      <c r="V4422" s="97"/>
      <c r="W4422" s="97"/>
      <c r="X4422" s="286">
        <v>44774</v>
      </c>
      <c r="Y4422" s="106">
        <v>45138</v>
      </c>
    </row>
    <row r="4423" s="9" customFormat="1" customHeight="1" spans="1:25">
      <c r="A4423" s="94" t="s">
        <v>401</v>
      </c>
      <c r="B4423" s="94" t="s">
        <v>5875</v>
      </c>
      <c r="C4423" s="94" t="s">
        <v>44</v>
      </c>
      <c r="D4423" s="94" t="s">
        <v>566</v>
      </c>
      <c r="E4423" s="23" t="s">
        <v>6067</v>
      </c>
      <c r="F4423" s="94" t="s">
        <v>6068</v>
      </c>
      <c r="G4423" s="94" t="s">
        <v>88</v>
      </c>
      <c r="H4423" s="97" t="s">
        <v>6069</v>
      </c>
      <c r="I4423" s="23" t="e">
        <f>VLOOKUP(H4423,'合同综合查询数据（3月返）'!$A:$A,1,FALSE)</f>
        <v>#N/A</v>
      </c>
      <c r="J4423" s="94" t="s">
        <v>126</v>
      </c>
      <c r="K4423" s="94" t="s">
        <v>6068</v>
      </c>
      <c r="L4423" s="94" t="s">
        <v>6068</v>
      </c>
      <c r="M4423" s="94" t="s">
        <v>6070</v>
      </c>
      <c r="N4423" s="106">
        <v>44774</v>
      </c>
      <c r="O4423" s="106" t="s">
        <v>1424</v>
      </c>
      <c r="P4423" s="116">
        <v>0</v>
      </c>
      <c r="Q4423" s="107">
        <v>1</v>
      </c>
      <c r="R4423" s="116">
        <f t="shared" si="98"/>
        <v>0</v>
      </c>
      <c r="S4423" s="298">
        <v>202303</v>
      </c>
      <c r="T4423" s="357" t="s">
        <v>6073</v>
      </c>
      <c r="U4423" s="97"/>
      <c r="V4423" s="97"/>
      <c r="W4423" s="97"/>
      <c r="X4423" s="286">
        <v>44774</v>
      </c>
      <c r="Y4423" s="106">
        <v>45138</v>
      </c>
    </row>
    <row r="4424" s="9" customFormat="1" customHeight="1" spans="1:25">
      <c r="A4424" s="94" t="s">
        <v>401</v>
      </c>
      <c r="B4424" s="94" t="s">
        <v>5875</v>
      </c>
      <c r="C4424" s="94" t="s">
        <v>44</v>
      </c>
      <c r="D4424" s="94" t="s">
        <v>566</v>
      </c>
      <c r="E4424" s="23" t="s">
        <v>6074</v>
      </c>
      <c r="F4424" s="94" t="s">
        <v>6075</v>
      </c>
      <c r="G4424" s="94" t="s">
        <v>31</v>
      </c>
      <c r="H4424" s="97" t="s">
        <v>6076</v>
      </c>
      <c r="I4424" s="23" t="e">
        <f>VLOOKUP(H4424,'合同综合查询数据（3月返）'!$A:$A,1,FALSE)</f>
        <v>#N/A</v>
      </c>
      <c r="J4424" s="94" t="s">
        <v>33</v>
      </c>
      <c r="K4424" s="94" t="s">
        <v>6075</v>
      </c>
      <c r="L4424" s="281" t="s">
        <v>6075</v>
      </c>
      <c r="M4424" s="94" t="s">
        <v>6077</v>
      </c>
      <c r="N4424" s="106">
        <v>44666</v>
      </c>
      <c r="O4424" s="94" t="s">
        <v>37</v>
      </c>
      <c r="P4424" s="116">
        <v>0</v>
      </c>
      <c r="Q4424" s="297">
        <v>288</v>
      </c>
      <c r="R4424" s="116">
        <f t="shared" si="98"/>
        <v>0</v>
      </c>
      <c r="S4424" s="298">
        <v>202303</v>
      </c>
      <c r="T4424" s="357" t="s">
        <v>6078</v>
      </c>
      <c r="U4424" s="357"/>
      <c r="V4424" s="330"/>
      <c r="W4424" s="358"/>
      <c r="X4424" s="106">
        <v>44652</v>
      </c>
      <c r="Y4424" s="106">
        <v>45016</v>
      </c>
    </row>
    <row r="4425" s="9" customFormat="1" customHeight="1" spans="1:25">
      <c r="A4425" s="94" t="s">
        <v>401</v>
      </c>
      <c r="B4425" s="94" t="s">
        <v>5875</v>
      </c>
      <c r="C4425" s="94" t="s">
        <v>44</v>
      </c>
      <c r="D4425" s="94" t="s">
        <v>566</v>
      </c>
      <c r="E4425" s="23" t="s">
        <v>6074</v>
      </c>
      <c r="F4425" s="94" t="s">
        <v>6075</v>
      </c>
      <c r="G4425" s="94" t="s">
        <v>88</v>
      </c>
      <c r="H4425" s="97" t="s">
        <v>6076</v>
      </c>
      <c r="I4425" s="23" t="e">
        <f>VLOOKUP(H4425,'合同综合查询数据（3月返）'!$A:$A,1,FALSE)</f>
        <v>#N/A</v>
      </c>
      <c r="J4425" s="94" t="s">
        <v>126</v>
      </c>
      <c r="K4425" s="94" t="s">
        <v>6075</v>
      </c>
      <c r="L4425" s="281" t="s">
        <v>6075</v>
      </c>
      <c r="M4425" s="94" t="s">
        <v>6077</v>
      </c>
      <c r="N4425" s="106">
        <v>44666</v>
      </c>
      <c r="O4425" s="94" t="s">
        <v>1424</v>
      </c>
      <c r="P4425" s="116">
        <v>0</v>
      </c>
      <c r="Q4425" s="107">
        <v>1</v>
      </c>
      <c r="R4425" s="116">
        <f t="shared" si="98"/>
        <v>0</v>
      </c>
      <c r="S4425" s="298">
        <v>202303</v>
      </c>
      <c r="T4425" s="357" t="s">
        <v>6079</v>
      </c>
      <c r="U4425" s="357"/>
      <c r="V4425" s="330"/>
      <c r="W4425" s="358"/>
      <c r="X4425" s="106">
        <v>44652</v>
      </c>
      <c r="Y4425" s="106">
        <v>45016</v>
      </c>
    </row>
    <row r="4426" s="9" customFormat="1" customHeight="1" spans="1:25">
      <c r="A4426" s="94" t="s">
        <v>401</v>
      </c>
      <c r="B4426" s="94" t="s">
        <v>5875</v>
      </c>
      <c r="C4426" s="94" t="s">
        <v>44</v>
      </c>
      <c r="D4426" s="94" t="s">
        <v>566</v>
      </c>
      <c r="E4426" s="23" t="s">
        <v>6080</v>
      </c>
      <c r="F4426" s="94" t="s">
        <v>6081</v>
      </c>
      <c r="G4426" s="94" t="s">
        <v>31</v>
      </c>
      <c r="H4426" s="97" t="s">
        <v>6082</v>
      </c>
      <c r="I4426" s="23" t="e">
        <f>VLOOKUP(H4426,'合同综合查询数据（3月返）'!$A:$A,1,FALSE)</f>
        <v>#N/A</v>
      </c>
      <c r="J4426" s="94" t="s">
        <v>33</v>
      </c>
      <c r="K4426" s="94" t="s">
        <v>6081</v>
      </c>
      <c r="L4426" s="281" t="s">
        <v>6081</v>
      </c>
      <c r="M4426" s="94" t="s">
        <v>6083</v>
      </c>
      <c r="N4426" s="106">
        <v>44789</v>
      </c>
      <c r="O4426" s="94" t="s">
        <v>37</v>
      </c>
      <c r="P4426" s="116">
        <v>0</v>
      </c>
      <c r="Q4426" s="297">
        <v>256</v>
      </c>
      <c r="R4426" s="116">
        <f t="shared" si="98"/>
        <v>0</v>
      </c>
      <c r="S4426" s="298">
        <v>202303</v>
      </c>
      <c r="T4426" s="357" t="s">
        <v>6084</v>
      </c>
      <c r="U4426" s="357"/>
      <c r="V4426" s="330"/>
      <c r="W4426" s="358"/>
      <c r="X4426" s="286">
        <v>44774</v>
      </c>
      <c r="Y4426" s="106">
        <v>45138</v>
      </c>
    </row>
    <row r="4427" s="9" customFormat="1" customHeight="1" spans="1:25">
      <c r="A4427" s="94" t="s">
        <v>401</v>
      </c>
      <c r="B4427" s="94" t="s">
        <v>5875</v>
      </c>
      <c r="C4427" s="94" t="s">
        <v>44</v>
      </c>
      <c r="D4427" s="94" t="s">
        <v>566</v>
      </c>
      <c r="E4427" s="23" t="s">
        <v>6080</v>
      </c>
      <c r="F4427" s="94" t="s">
        <v>6081</v>
      </c>
      <c r="G4427" s="94" t="s">
        <v>31</v>
      </c>
      <c r="H4427" s="97" t="s">
        <v>6082</v>
      </c>
      <c r="I4427" s="23" t="e">
        <f>VLOOKUP(H4427,'合同综合查询数据（3月返）'!$A:$A,1,FALSE)</f>
        <v>#N/A</v>
      </c>
      <c r="J4427" s="94" t="s">
        <v>33</v>
      </c>
      <c r="K4427" s="94" t="s">
        <v>6081</v>
      </c>
      <c r="L4427" s="281" t="s">
        <v>6081</v>
      </c>
      <c r="M4427" s="94" t="s">
        <v>6083</v>
      </c>
      <c r="N4427" s="106">
        <v>44981</v>
      </c>
      <c r="O4427" s="94" t="s">
        <v>37</v>
      </c>
      <c r="P4427" s="116">
        <v>0</v>
      </c>
      <c r="Q4427" s="297">
        <v>-256</v>
      </c>
      <c r="R4427" s="116">
        <f t="shared" si="98"/>
        <v>0</v>
      </c>
      <c r="S4427" s="298">
        <v>202303</v>
      </c>
      <c r="T4427" s="357" t="s">
        <v>6085</v>
      </c>
      <c r="U4427" s="357"/>
      <c r="V4427" s="330"/>
      <c r="W4427" s="358"/>
      <c r="X4427" s="286">
        <v>44774</v>
      </c>
      <c r="Y4427" s="106">
        <v>45138</v>
      </c>
    </row>
    <row r="4428" s="9" customFormat="1" customHeight="1" spans="1:25">
      <c r="A4428" s="94" t="s">
        <v>401</v>
      </c>
      <c r="B4428" s="94" t="s">
        <v>5875</v>
      </c>
      <c r="C4428" s="94" t="s">
        <v>44</v>
      </c>
      <c r="D4428" s="94" t="s">
        <v>566</v>
      </c>
      <c r="E4428" s="23" t="s">
        <v>6080</v>
      </c>
      <c r="F4428" s="94" t="s">
        <v>6081</v>
      </c>
      <c r="G4428" s="94" t="s">
        <v>31</v>
      </c>
      <c r="H4428" s="97" t="s">
        <v>6082</v>
      </c>
      <c r="I4428" s="23" t="e">
        <f>VLOOKUP(H4428,'合同综合查询数据（3月返）'!$A:$A,1,FALSE)</f>
        <v>#N/A</v>
      </c>
      <c r="J4428" s="94" t="s">
        <v>33</v>
      </c>
      <c r="K4428" s="94" t="s">
        <v>6081</v>
      </c>
      <c r="L4428" s="281" t="s">
        <v>6081</v>
      </c>
      <c r="M4428" s="94" t="s">
        <v>6083</v>
      </c>
      <c r="N4428" s="106">
        <v>44981</v>
      </c>
      <c r="O4428" s="94" t="s">
        <v>37</v>
      </c>
      <c r="P4428" s="116">
        <v>0</v>
      </c>
      <c r="Q4428" s="297">
        <v>256</v>
      </c>
      <c r="R4428" s="116">
        <f t="shared" si="98"/>
        <v>0</v>
      </c>
      <c r="S4428" s="298">
        <v>202303</v>
      </c>
      <c r="T4428" s="357" t="s">
        <v>6086</v>
      </c>
      <c r="U4428" s="357"/>
      <c r="V4428" s="330"/>
      <c r="W4428" s="358"/>
      <c r="X4428" s="286">
        <v>44774</v>
      </c>
      <c r="Y4428" s="106">
        <v>45138</v>
      </c>
    </row>
    <row r="4429" s="9" customFormat="1" customHeight="1" spans="1:25">
      <c r="A4429" s="94" t="s">
        <v>401</v>
      </c>
      <c r="B4429" s="94" t="s">
        <v>5875</v>
      </c>
      <c r="C4429" s="94" t="s">
        <v>44</v>
      </c>
      <c r="D4429" s="94" t="s">
        <v>566</v>
      </c>
      <c r="E4429" s="23" t="s">
        <v>6080</v>
      </c>
      <c r="F4429" s="94" t="s">
        <v>6081</v>
      </c>
      <c r="G4429" s="94" t="s">
        <v>31</v>
      </c>
      <c r="H4429" s="97" t="s">
        <v>6082</v>
      </c>
      <c r="I4429" s="23" t="e">
        <f>VLOOKUP(H4429,'合同综合查询数据（3月返）'!$A:$A,1,FALSE)</f>
        <v>#N/A</v>
      </c>
      <c r="J4429" s="94" t="s">
        <v>33</v>
      </c>
      <c r="K4429" s="94" t="s">
        <v>6081</v>
      </c>
      <c r="L4429" s="281" t="s">
        <v>6081</v>
      </c>
      <c r="M4429" s="94" t="s">
        <v>6083</v>
      </c>
      <c r="N4429" s="106"/>
      <c r="O4429" s="94" t="s">
        <v>152</v>
      </c>
      <c r="P4429" s="116">
        <v>0</v>
      </c>
      <c r="Q4429" s="297">
        <v>0</v>
      </c>
      <c r="R4429" s="116">
        <f t="shared" si="98"/>
        <v>0</v>
      </c>
      <c r="S4429" s="298">
        <v>202303</v>
      </c>
      <c r="T4429" s="357" t="s">
        <v>6087</v>
      </c>
      <c r="U4429" s="357"/>
      <c r="V4429" s="330"/>
      <c r="W4429" s="358"/>
      <c r="X4429" s="286">
        <v>44774</v>
      </c>
      <c r="Y4429" s="106">
        <v>45138</v>
      </c>
    </row>
    <row r="4430" s="9" customFormat="1" customHeight="1" spans="1:25">
      <c r="A4430" s="94" t="s">
        <v>401</v>
      </c>
      <c r="B4430" s="94" t="s">
        <v>5875</v>
      </c>
      <c r="C4430" s="94" t="s">
        <v>44</v>
      </c>
      <c r="D4430" s="94" t="s">
        <v>566</v>
      </c>
      <c r="E4430" s="23" t="s">
        <v>6080</v>
      </c>
      <c r="F4430" s="94" t="s">
        <v>6081</v>
      </c>
      <c r="G4430" s="94" t="s">
        <v>88</v>
      </c>
      <c r="H4430" s="97" t="s">
        <v>6082</v>
      </c>
      <c r="I4430" s="23" t="e">
        <f>VLOOKUP(H4430,'合同综合查询数据（3月返）'!$A:$A,1,FALSE)</f>
        <v>#N/A</v>
      </c>
      <c r="J4430" s="94" t="s">
        <v>126</v>
      </c>
      <c r="K4430" s="94" t="s">
        <v>6081</v>
      </c>
      <c r="L4430" s="281" t="s">
        <v>6081</v>
      </c>
      <c r="M4430" s="94" t="s">
        <v>6083</v>
      </c>
      <c r="N4430" s="106">
        <v>44789</v>
      </c>
      <c r="O4430" s="94" t="s">
        <v>1424</v>
      </c>
      <c r="P4430" s="116">
        <v>0</v>
      </c>
      <c r="Q4430" s="107">
        <v>10</v>
      </c>
      <c r="R4430" s="116">
        <f t="shared" si="98"/>
        <v>0</v>
      </c>
      <c r="S4430" s="298">
        <v>202303</v>
      </c>
      <c r="T4430" s="357" t="s">
        <v>6088</v>
      </c>
      <c r="U4430" s="357"/>
      <c r="V4430" s="330"/>
      <c r="W4430" s="358"/>
      <c r="X4430" s="286">
        <v>44774</v>
      </c>
      <c r="Y4430" s="106">
        <v>45138</v>
      </c>
    </row>
    <row r="4431" s="9" customFormat="1" customHeight="1" spans="1:25">
      <c r="A4431" s="94" t="s">
        <v>399</v>
      </c>
      <c r="B4431" s="94" t="s">
        <v>5875</v>
      </c>
      <c r="C4431" s="94" t="s">
        <v>1854</v>
      </c>
      <c r="D4431" s="94" t="s">
        <v>881</v>
      </c>
      <c r="E4431" s="23" t="s">
        <v>6089</v>
      </c>
      <c r="F4431" s="94" t="s">
        <v>6090</v>
      </c>
      <c r="G4431" s="94" t="s">
        <v>31</v>
      </c>
      <c r="H4431" s="361" t="s">
        <v>6091</v>
      </c>
      <c r="I4431" s="23" t="str">
        <f>VLOOKUP(H4431,'合同综合查询数据（3月返）'!$A:$A,1,FALSE)</f>
        <v>182315IDC00070</v>
      </c>
      <c r="J4431" s="94" t="s">
        <v>33</v>
      </c>
      <c r="K4431" s="94" t="s">
        <v>5351</v>
      </c>
      <c r="L4431" s="94" t="s">
        <v>6092</v>
      </c>
      <c r="M4431" s="94" t="s">
        <v>6093</v>
      </c>
      <c r="N4431" s="106">
        <v>42867</v>
      </c>
      <c r="O4431" s="94" t="s">
        <v>37</v>
      </c>
      <c r="P4431" s="116">
        <v>0</v>
      </c>
      <c r="Q4431" s="297">
        <v>288</v>
      </c>
      <c r="R4431" s="116">
        <f t="shared" si="98"/>
        <v>0</v>
      </c>
      <c r="S4431" s="298">
        <v>202303</v>
      </c>
      <c r="T4431" s="354" t="s">
        <v>6094</v>
      </c>
      <c r="U4431" s="344"/>
      <c r="V4431" s="358"/>
      <c r="W4431" s="358"/>
      <c r="X4431" s="106">
        <v>44927</v>
      </c>
      <c r="Y4431" s="106">
        <v>45107</v>
      </c>
    </row>
    <row r="4432" s="9" customFormat="1" customHeight="1" spans="1:25">
      <c r="A4432" s="94" t="s">
        <v>399</v>
      </c>
      <c r="B4432" s="94" t="s">
        <v>5875</v>
      </c>
      <c r="C4432" s="94" t="s">
        <v>1854</v>
      </c>
      <c r="D4432" s="94" t="s">
        <v>881</v>
      </c>
      <c r="E4432" s="23" t="s">
        <v>6089</v>
      </c>
      <c r="F4432" s="94" t="s">
        <v>6090</v>
      </c>
      <c r="G4432" s="94" t="s">
        <v>31</v>
      </c>
      <c r="H4432" s="361" t="s">
        <v>6091</v>
      </c>
      <c r="I4432" s="23" t="str">
        <f>VLOOKUP(H4432,'合同综合查询数据（3月返）'!$A:$A,1,FALSE)</f>
        <v>182315IDC00070</v>
      </c>
      <c r="J4432" s="94" t="s">
        <v>33</v>
      </c>
      <c r="K4432" s="94" t="s">
        <v>5351</v>
      </c>
      <c r="L4432" s="94" t="s">
        <v>6092</v>
      </c>
      <c r="M4432" s="94" t="s">
        <v>6093</v>
      </c>
      <c r="N4432" s="106">
        <v>44651</v>
      </c>
      <c r="O4432" s="94" t="s">
        <v>37</v>
      </c>
      <c r="P4432" s="116">
        <v>0</v>
      </c>
      <c r="Q4432" s="297">
        <v>-288</v>
      </c>
      <c r="R4432" s="116">
        <f t="shared" si="98"/>
        <v>0</v>
      </c>
      <c r="S4432" s="298">
        <v>202303</v>
      </c>
      <c r="T4432" s="354" t="s">
        <v>6095</v>
      </c>
      <c r="U4432" s="344"/>
      <c r="V4432" s="358"/>
      <c r="W4432" s="358"/>
      <c r="X4432" s="106">
        <v>44927</v>
      </c>
      <c r="Y4432" s="106">
        <v>45107</v>
      </c>
    </row>
    <row r="4433" s="9" customFormat="1" customHeight="1" spans="1:25">
      <c r="A4433" s="94" t="s">
        <v>399</v>
      </c>
      <c r="B4433" s="94" t="s">
        <v>5875</v>
      </c>
      <c r="C4433" s="94" t="s">
        <v>1854</v>
      </c>
      <c r="D4433" s="94" t="s">
        <v>881</v>
      </c>
      <c r="E4433" s="23" t="s">
        <v>6089</v>
      </c>
      <c r="F4433" s="94" t="s">
        <v>6090</v>
      </c>
      <c r="G4433" s="94" t="s">
        <v>31</v>
      </c>
      <c r="H4433" s="361" t="s">
        <v>6091</v>
      </c>
      <c r="I4433" s="23" t="str">
        <f>VLOOKUP(H4433,'合同综合查询数据（3月返）'!$A:$A,1,FALSE)</f>
        <v>182315IDC00070</v>
      </c>
      <c r="J4433" s="94" t="s">
        <v>33</v>
      </c>
      <c r="K4433" s="94" t="s">
        <v>6096</v>
      </c>
      <c r="L4433" s="281" t="s">
        <v>6097</v>
      </c>
      <c r="M4433" s="94" t="s">
        <v>6093</v>
      </c>
      <c r="N4433" s="106">
        <v>43586</v>
      </c>
      <c r="O4433" s="94" t="s">
        <v>37</v>
      </c>
      <c r="P4433" s="116">
        <v>0</v>
      </c>
      <c r="Q4433" s="297">
        <v>288</v>
      </c>
      <c r="R4433" s="116">
        <f t="shared" si="98"/>
        <v>0</v>
      </c>
      <c r="S4433" s="298">
        <v>202303</v>
      </c>
      <c r="T4433" s="354" t="s">
        <v>6098</v>
      </c>
      <c r="U4433" s="344"/>
      <c r="V4433" s="358"/>
      <c r="W4433" s="358"/>
      <c r="X4433" s="106">
        <v>44927</v>
      </c>
      <c r="Y4433" s="106">
        <v>45107</v>
      </c>
    </row>
    <row r="4434" s="9" customFormat="1" customHeight="1" spans="1:25">
      <c r="A4434" s="94" t="s">
        <v>399</v>
      </c>
      <c r="B4434" s="94" t="s">
        <v>5875</v>
      </c>
      <c r="C4434" s="94" t="s">
        <v>1854</v>
      </c>
      <c r="D4434" s="94" t="s">
        <v>881</v>
      </c>
      <c r="E4434" s="23" t="s">
        <v>6089</v>
      </c>
      <c r="F4434" s="94" t="s">
        <v>6090</v>
      </c>
      <c r="G4434" s="94" t="s">
        <v>31</v>
      </c>
      <c r="H4434" s="361" t="s">
        <v>6091</v>
      </c>
      <c r="I4434" s="23" t="str">
        <f>VLOOKUP(H4434,'合同综合查询数据（3月返）'!$A:$A,1,FALSE)</f>
        <v>182315IDC00070</v>
      </c>
      <c r="J4434" s="94" t="s">
        <v>33</v>
      </c>
      <c r="K4434" s="94" t="s">
        <v>6096</v>
      </c>
      <c r="L4434" s="281" t="s">
        <v>6097</v>
      </c>
      <c r="M4434" s="94" t="s">
        <v>6093</v>
      </c>
      <c r="N4434" s="106">
        <v>44228</v>
      </c>
      <c r="O4434" s="94" t="s">
        <v>37</v>
      </c>
      <c r="P4434" s="116">
        <v>0</v>
      </c>
      <c r="Q4434" s="297">
        <v>128</v>
      </c>
      <c r="R4434" s="116">
        <f t="shared" si="98"/>
        <v>0</v>
      </c>
      <c r="S4434" s="298">
        <v>202303</v>
      </c>
      <c r="T4434" s="354" t="s">
        <v>6099</v>
      </c>
      <c r="U4434" s="344"/>
      <c r="V4434" s="358"/>
      <c r="W4434" s="358"/>
      <c r="X4434" s="106">
        <v>44927</v>
      </c>
      <c r="Y4434" s="106">
        <v>45107</v>
      </c>
    </row>
    <row r="4435" s="9" customFormat="1" customHeight="1" spans="1:25">
      <c r="A4435" s="94" t="s">
        <v>399</v>
      </c>
      <c r="B4435" s="94" t="s">
        <v>5875</v>
      </c>
      <c r="C4435" s="94" t="s">
        <v>1854</v>
      </c>
      <c r="D4435" s="94" t="s">
        <v>881</v>
      </c>
      <c r="E4435" s="23" t="s">
        <v>6089</v>
      </c>
      <c r="F4435" s="94" t="s">
        <v>6090</v>
      </c>
      <c r="G4435" s="94" t="s">
        <v>31</v>
      </c>
      <c r="H4435" s="361" t="s">
        <v>6091</v>
      </c>
      <c r="I4435" s="23" t="str">
        <f>VLOOKUP(H4435,'合同综合查询数据（3月返）'!$A:$A,1,FALSE)</f>
        <v>182315IDC00070</v>
      </c>
      <c r="J4435" s="94" t="s">
        <v>33</v>
      </c>
      <c r="K4435" s="94" t="s">
        <v>6096</v>
      </c>
      <c r="L4435" s="281" t="s">
        <v>6097</v>
      </c>
      <c r="M4435" s="94" t="s">
        <v>6093</v>
      </c>
      <c r="N4435" s="106">
        <v>44393</v>
      </c>
      <c r="O4435" s="94" t="s">
        <v>37</v>
      </c>
      <c r="P4435" s="116">
        <v>0</v>
      </c>
      <c r="Q4435" s="297">
        <v>128</v>
      </c>
      <c r="R4435" s="116">
        <f t="shared" si="98"/>
        <v>0</v>
      </c>
      <c r="S4435" s="298">
        <v>202303</v>
      </c>
      <c r="T4435" s="354" t="s">
        <v>6100</v>
      </c>
      <c r="U4435" s="344"/>
      <c r="V4435" s="358"/>
      <c r="W4435" s="358"/>
      <c r="X4435" s="106">
        <v>44927</v>
      </c>
      <c r="Y4435" s="106">
        <v>45107</v>
      </c>
    </row>
    <row r="4436" s="9" customFormat="1" customHeight="1" spans="1:25">
      <c r="A4436" s="94" t="s">
        <v>399</v>
      </c>
      <c r="B4436" s="94" t="s">
        <v>5875</v>
      </c>
      <c r="C4436" s="94" t="s">
        <v>1854</v>
      </c>
      <c r="D4436" s="94" t="s">
        <v>881</v>
      </c>
      <c r="E4436" s="23" t="s">
        <v>6089</v>
      </c>
      <c r="F4436" s="94" t="s">
        <v>6090</v>
      </c>
      <c r="G4436" s="94" t="s">
        <v>31</v>
      </c>
      <c r="H4436" s="361" t="s">
        <v>6091</v>
      </c>
      <c r="I4436" s="23" t="str">
        <f>VLOOKUP(H4436,'合同综合查询数据（3月返）'!$A:$A,1,FALSE)</f>
        <v>182315IDC00070</v>
      </c>
      <c r="J4436" s="94" t="s">
        <v>33</v>
      </c>
      <c r="K4436" s="94" t="s">
        <v>6096</v>
      </c>
      <c r="L4436" s="281" t="s">
        <v>6097</v>
      </c>
      <c r="M4436" s="94" t="s">
        <v>6093</v>
      </c>
      <c r="N4436" s="106">
        <v>44773</v>
      </c>
      <c r="O4436" s="94" t="s">
        <v>37</v>
      </c>
      <c r="P4436" s="116">
        <v>0</v>
      </c>
      <c r="Q4436" s="297">
        <v>-128</v>
      </c>
      <c r="R4436" s="116">
        <f t="shared" ref="R4436:R4499" si="99">ROUND(P4436*Q4436,2)</f>
        <v>0</v>
      </c>
      <c r="S4436" s="298">
        <v>202303</v>
      </c>
      <c r="T4436" s="354" t="s">
        <v>6101</v>
      </c>
      <c r="U4436" s="344"/>
      <c r="V4436" s="358"/>
      <c r="W4436" s="358"/>
      <c r="X4436" s="106">
        <v>44927</v>
      </c>
      <c r="Y4436" s="106">
        <v>45107</v>
      </c>
    </row>
    <row r="4437" s="9" customFormat="1" customHeight="1" spans="1:25">
      <c r="A4437" s="94" t="s">
        <v>399</v>
      </c>
      <c r="B4437" s="94" t="s">
        <v>5875</v>
      </c>
      <c r="C4437" s="94" t="s">
        <v>1854</v>
      </c>
      <c r="D4437" s="94" t="s">
        <v>881</v>
      </c>
      <c r="E4437" s="23" t="s">
        <v>6089</v>
      </c>
      <c r="F4437" s="94" t="s">
        <v>6090</v>
      </c>
      <c r="G4437" s="94" t="s">
        <v>88</v>
      </c>
      <c r="H4437" s="361" t="s">
        <v>6091</v>
      </c>
      <c r="I4437" s="23" t="str">
        <f>VLOOKUP(H4437,'合同综合查询数据（3月返）'!$A:$A,1,FALSE)</f>
        <v>182315IDC00070</v>
      </c>
      <c r="J4437" s="94" t="s">
        <v>126</v>
      </c>
      <c r="K4437" s="94" t="s">
        <v>5351</v>
      </c>
      <c r="L4437" s="94" t="s">
        <v>6092</v>
      </c>
      <c r="M4437" s="94" t="s">
        <v>6093</v>
      </c>
      <c r="N4437" s="106">
        <v>42867</v>
      </c>
      <c r="O4437" s="94" t="s">
        <v>2283</v>
      </c>
      <c r="P4437" s="116">
        <v>5500</v>
      </c>
      <c r="Q4437" s="107">
        <v>2</v>
      </c>
      <c r="R4437" s="116">
        <f t="shared" si="99"/>
        <v>11000</v>
      </c>
      <c r="S4437" s="298">
        <v>202303</v>
      </c>
      <c r="T4437" s="354" t="s">
        <v>6102</v>
      </c>
      <c r="U4437" s="344"/>
      <c r="V4437" s="358"/>
      <c r="W4437" s="358"/>
      <c r="X4437" s="106">
        <v>44927</v>
      </c>
      <c r="Y4437" s="106">
        <v>45107</v>
      </c>
    </row>
    <row r="4438" s="9" customFormat="1" customHeight="1" spans="1:25">
      <c r="A4438" s="94" t="s">
        <v>399</v>
      </c>
      <c r="B4438" s="94" t="s">
        <v>5875</v>
      </c>
      <c r="C4438" s="94" t="s">
        <v>1854</v>
      </c>
      <c r="D4438" s="94" t="s">
        <v>881</v>
      </c>
      <c r="E4438" s="23" t="s">
        <v>6089</v>
      </c>
      <c r="F4438" s="94" t="s">
        <v>6090</v>
      </c>
      <c r="G4438" s="94" t="s">
        <v>88</v>
      </c>
      <c r="H4438" s="361" t="s">
        <v>6091</v>
      </c>
      <c r="I4438" s="23" t="str">
        <f>VLOOKUP(H4438,'合同综合查询数据（3月返）'!$A:$A,1,FALSE)</f>
        <v>182315IDC00070</v>
      </c>
      <c r="J4438" s="94" t="s">
        <v>126</v>
      </c>
      <c r="K4438" s="94" t="s">
        <v>5351</v>
      </c>
      <c r="L4438" s="94" t="s">
        <v>6092</v>
      </c>
      <c r="M4438" s="94" t="s">
        <v>6093</v>
      </c>
      <c r="N4438" s="106">
        <v>44651</v>
      </c>
      <c r="O4438" s="94" t="s">
        <v>2283</v>
      </c>
      <c r="P4438" s="116">
        <v>5500</v>
      </c>
      <c r="Q4438" s="107">
        <v>-2</v>
      </c>
      <c r="R4438" s="116">
        <f t="shared" si="99"/>
        <v>-11000</v>
      </c>
      <c r="S4438" s="298">
        <v>202303</v>
      </c>
      <c r="T4438" s="354" t="s">
        <v>6102</v>
      </c>
      <c r="U4438" s="344"/>
      <c r="V4438" s="358"/>
      <c r="W4438" s="358"/>
      <c r="X4438" s="106">
        <v>44927</v>
      </c>
      <c r="Y4438" s="106">
        <v>45107</v>
      </c>
    </row>
    <row r="4439" s="9" customFormat="1" customHeight="1" spans="1:25">
      <c r="A4439" s="94" t="s">
        <v>399</v>
      </c>
      <c r="B4439" s="94" t="s">
        <v>5875</v>
      </c>
      <c r="C4439" s="94" t="s">
        <v>1854</v>
      </c>
      <c r="D4439" s="94" t="s">
        <v>881</v>
      </c>
      <c r="E4439" s="23" t="s">
        <v>6089</v>
      </c>
      <c r="F4439" s="94" t="s">
        <v>6090</v>
      </c>
      <c r="G4439" s="94" t="s">
        <v>88</v>
      </c>
      <c r="H4439" s="361" t="s">
        <v>6091</v>
      </c>
      <c r="I4439" s="23" t="str">
        <f>VLOOKUP(H4439,'合同综合查询数据（3月返）'!$A:$A,1,FALSE)</f>
        <v>182315IDC00070</v>
      </c>
      <c r="J4439" s="94" t="s">
        <v>126</v>
      </c>
      <c r="K4439" s="94" t="s">
        <v>6096</v>
      </c>
      <c r="L4439" s="281" t="s">
        <v>6097</v>
      </c>
      <c r="M4439" s="94" t="s">
        <v>6093</v>
      </c>
      <c r="N4439" s="106">
        <v>43586</v>
      </c>
      <c r="O4439" s="94" t="s">
        <v>2283</v>
      </c>
      <c r="P4439" s="116">
        <v>5500</v>
      </c>
      <c r="Q4439" s="107">
        <v>4</v>
      </c>
      <c r="R4439" s="116">
        <f t="shared" si="99"/>
        <v>22000</v>
      </c>
      <c r="S4439" s="298">
        <v>202303</v>
      </c>
      <c r="T4439" s="354" t="s">
        <v>6103</v>
      </c>
      <c r="U4439" s="344"/>
      <c r="V4439" s="358"/>
      <c r="W4439" s="358"/>
      <c r="X4439" s="106">
        <v>44927</v>
      </c>
      <c r="Y4439" s="106">
        <v>45107</v>
      </c>
    </row>
    <row r="4440" s="9" customFormat="1" customHeight="1" spans="1:25">
      <c r="A4440" s="94" t="s">
        <v>399</v>
      </c>
      <c r="B4440" s="94" t="s">
        <v>5875</v>
      </c>
      <c r="C4440" s="94" t="s">
        <v>1854</v>
      </c>
      <c r="D4440" s="94" t="s">
        <v>881</v>
      </c>
      <c r="E4440" s="23" t="s">
        <v>6089</v>
      </c>
      <c r="F4440" s="94" t="s">
        <v>6090</v>
      </c>
      <c r="G4440" s="94" t="s">
        <v>88</v>
      </c>
      <c r="H4440" s="361" t="s">
        <v>6091</v>
      </c>
      <c r="I4440" s="23" t="str">
        <f>VLOOKUP(H4440,'合同综合查询数据（3月返）'!$A:$A,1,FALSE)</f>
        <v>182315IDC00070</v>
      </c>
      <c r="J4440" s="94" t="s">
        <v>126</v>
      </c>
      <c r="K4440" s="94" t="s">
        <v>6096</v>
      </c>
      <c r="L4440" s="281" t="s">
        <v>6097</v>
      </c>
      <c r="M4440" s="94" t="s">
        <v>6093</v>
      </c>
      <c r="N4440" s="106">
        <v>44228</v>
      </c>
      <c r="O4440" s="94" t="s">
        <v>2283</v>
      </c>
      <c r="P4440" s="116">
        <v>5500</v>
      </c>
      <c r="Q4440" s="107">
        <v>2</v>
      </c>
      <c r="R4440" s="116">
        <f t="shared" si="99"/>
        <v>11000</v>
      </c>
      <c r="S4440" s="298">
        <v>202303</v>
      </c>
      <c r="T4440" s="354" t="s">
        <v>6104</v>
      </c>
      <c r="U4440" s="344"/>
      <c r="V4440" s="358"/>
      <c r="W4440" s="358"/>
      <c r="X4440" s="106">
        <v>44927</v>
      </c>
      <c r="Y4440" s="106">
        <v>45107</v>
      </c>
    </row>
    <row r="4441" s="9" customFormat="1" customHeight="1" spans="1:25">
      <c r="A4441" s="94" t="s">
        <v>399</v>
      </c>
      <c r="B4441" s="94" t="s">
        <v>5875</v>
      </c>
      <c r="C4441" s="94" t="s">
        <v>1854</v>
      </c>
      <c r="D4441" s="94" t="s">
        <v>881</v>
      </c>
      <c r="E4441" s="23" t="s">
        <v>6089</v>
      </c>
      <c r="F4441" s="94" t="s">
        <v>6090</v>
      </c>
      <c r="G4441" s="94" t="s">
        <v>88</v>
      </c>
      <c r="H4441" s="361" t="s">
        <v>6091</v>
      </c>
      <c r="I4441" s="23" t="str">
        <f>VLOOKUP(H4441,'合同综合查询数据（3月返）'!$A:$A,1,FALSE)</f>
        <v>182315IDC00070</v>
      </c>
      <c r="J4441" s="94" t="s">
        <v>126</v>
      </c>
      <c r="K4441" s="94" t="s">
        <v>6096</v>
      </c>
      <c r="L4441" s="281" t="s">
        <v>6097</v>
      </c>
      <c r="M4441" s="94" t="s">
        <v>6093</v>
      </c>
      <c r="N4441" s="106">
        <v>44773</v>
      </c>
      <c r="O4441" s="94" t="s">
        <v>2283</v>
      </c>
      <c r="P4441" s="116">
        <v>5500</v>
      </c>
      <c r="Q4441" s="107">
        <v>-3</v>
      </c>
      <c r="R4441" s="116">
        <f t="shared" si="99"/>
        <v>-16500</v>
      </c>
      <c r="S4441" s="298">
        <v>202303</v>
      </c>
      <c r="T4441" s="354" t="s">
        <v>6105</v>
      </c>
      <c r="U4441" s="344"/>
      <c r="V4441" s="358"/>
      <c r="W4441" s="358"/>
      <c r="X4441" s="106">
        <v>44927</v>
      </c>
      <c r="Y4441" s="106">
        <v>45107</v>
      </c>
    </row>
    <row r="4442" s="9" customFormat="1" customHeight="1" spans="1:25">
      <c r="A4442" s="94" t="s">
        <v>399</v>
      </c>
      <c r="B4442" s="94" t="s">
        <v>5875</v>
      </c>
      <c r="C4442" s="94" t="s">
        <v>1854</v>
      </c>
      <c r="D4442" s="94" t="s">
        <v>881</v>
      </c>
      <c r="E4442" s="23" t="s">
        <v>6106</v>
      </c>
      <c r="F4442" s="94" t="s">
        <v>6107</v>
      </c>
      <c r="G4442" s="94" t="s">
        <v>31</v>
      </c>
      <c r="H4442" s="97" t="s">
        <v>6108</v>
      </c>
      <c r="I4442" s="23" t="e">
        <f>VLOOKUP(H4442,'合同综合查询数据（3月返）'!$A:$A,1,FALSE)</f>
        <v>#N/A</v>
      </c>
      <c r="J4442" s="94" t="s">
        <v>33</v>
      </c>
      <c r="K4442" s="94" t="s">
        <v>5351</v>
      </c>
      <c r="L4442" s="281" t="s">
        <v>6109</v>
      </c>
      <c r="M4442" s="94" t="s">
        <v>6110</v>
      </c>
      <c r="N4442" s="106">
        <v>43218</v>
      </c>
      <c r="O4442" s="94" t="s">
        <v>37</v>
      </c>
      <c r="P4442" s="116">
        <v>0</v>
      </c>
      <c r="Q4442" s="297">
        <v>288</v>
      </c>
      <c r="R4442" s="116">
        <f t="shared" si="99"/>
        <v>0</v>
      </c>
      <c r="S4442" s="298">
        <v>202303</v>
      </c>
      <c r="T4442" s="354" t="s">
        <v>6111</v>
      </c>
      <c r="U4442" s="344"/>
      <c r="V4442" s="358"/>
      <c r="W4442" s="358"/>
      <c r="X4442" s="106">
        <v>44197</v>
      </c>
      <c r="Y4442" s="106">
        <v>44926</v>
      </c>
    </row>
    <row r="4443" s="9" customFormat="1" customHeight="1" spans="1:25">
      <c r="A4443" s="94" t="s">
        <v>399</v>
      </c>
      <c r="B4443" s="94" t="s">
        <v>5875</v>
      </c>
      <c r="C4443" s="94" t="s">
        <v>1854</v>
      </c>
      <c r="D4443" s="94" t="s">
        <v>881</v>
      </c>
      <c r="E4443" s="23" t="s">
        <v>6106</v>
      </c>
      <c r="F4443" s="94" t="s">
        <v>6107</v>
      </c>
      <c r="G4443" s="94" t="s">
        <v>31</v>
      </c>
      <c r="H4443" s="97" t="s">
        <v>6108</v>
      </c>
      <c r="I4443" s="23" t="e">
        <f>VLOOKUP(H4443,'合同综合查询数据（3月返）'!$A:$A,1,FALSE)</f>
        <v>#N/A</v>
      </c>
      <c r="J4443" s="94" t="s">
        <v>33</v>
      </c>
      <c r="K4443" s="94" t="s">
        <v>5351</v>
      </c>
      <c r="L4443" s="281" t="s">
        <v>6109</v>
      </c>
      <c r="M4443" s="94" t="s">
        <v>6110</v>
      </c>
      <c r="N4443" s="106">
        <v>43218</v>
      </c>
      <c r="O4443" s="94" t="s">
        <v>37</v>
      </c>
      <c r="P4443" s="116">
        <v>0</v>
      </c>
      <c r="Q4443" s="297">
        <v>-288</v>
      </c>
      <c r="R4443" s="116">
        <f t="shared" si="99"/>
        <v>0</v>
      </c>
      <c r="S4443" s="298">
        <v>202303</v>
      </c>
      <c r="T4443" s="354" t="s">
        <v>6112</v>
      </c>
      <c r="U4443" s="344"/>
      <c r="V4443" s="358"/>
      <c r="W4443" s="358"/>
      <c r="X4443" s="106">
        <v>44197</v>
      </c>
      <c r="Y4443" s="106">
        <v>44926</v>
      </c>
    </row>
    <row r="4444" s="9" customFormat="1" customHeight="1" spans="1:25">
      <c r="A4444" s="94" t="s">
        <v>399</v>
      </c>
      <c r="B4444" s="94" t="s">
        <v>5875</v>
      </c>
      <c r="C4444" s="94" t="s">
        <v>1854</v>
      </c>
      <c r="D4444" s="94" t="s">
        <v>881</v>
      </c>
      <c r="E4444" s="23" t="s">
        <v>6106</v>
      </c>
      <c r="F4444" s="94" t="s">
        <v>6107</v>
      </c>
      <c r="G4444" s="94" t="s">
        <v>88</v>
      </c>
      <c r="H4444" s="97" t="s">
        <v>6108</v>
      </c>
      <c r="I4444" s="23" t="e">
        <f>VLOOKUP(H4444,'合同综合查询数据（3月返）'!$A:$A,1,FALSE)</f>
        <v>#N/A</v>
      </c>
      <c r="J4444" s="94" t="s">
        <v>126</v>
      </c>
      <c r="K4444" s="94" t="s">
        <v>5351</v>
      </c>
      <c r="L4444" s="281" t="s">
        <v>6109</v>
      </c>
      <c r="M4444" s="94" t="s">
        <v>6110</v>
      </c>
      <c r="N4444" s="106">
        <v>43218</v>
      </c>
      <c r="O4444" s="94" t="s">
        <v>127</v>
      </c>
      <c r="P4444" s="116">
        <v>5000</v>
      </c>
      <c r="Q4444" s="107">
        <v>4</v>
      </c>
      <c r="R4444" s="116">
        <f t="shared" si="99"/>
        <v>20000</v>
      </c>
      <c r="S4444" s="298">
        <v>202303</v>
      </c>
      <c r="T4444" s="354" t="s">
        <v>6113</v>
      </c>
      <c r="U4444" s="344"/>
      <c r="V4444" s="358"/>
      <c r="W4444" s="358"/>
      <c r="X4444" s="106">
        <v>44197</v>
      </c>
      <c r="Y4444" s="106">
        <v>44926</v>
      </c>
    </row>
    <row r="4445" s="9" customFormat="1" customHeight="1" spans="1:25">
      <c r="A4445" s="94" t="s">
        <v>399</v>
      </c>
      <c r="B4445" s="94" t="s">
        <v>5875</v>
      </c>
      <c r="C4445" s="94" t="s">
        <v>1854</v>
      </c>
      <c r="D4445" s="94" t="s">
        <v>881</v>
      </c>
      <c r="E4445" s="23" t="s">
        <v>6106</v>
      </c>
      <c r="F4445" s="94" t="s">
        <v>6107</v>
      </c>
      <c r="G4445" s="94" t="s">
        <v>88</v>
      </c>
      <c r="H4445" s="97" t="s">
        <v>6108</v>
      </c>
      <c r="I4445" s="23" t="e">
        <f>VLOOKUP(H4445,'合同综合查询数据（3月返）'!$A:$A,1,FALSE)</f>
        <v>#N/A</v>
      </c>
      <c r="J4445" s="94" t="s">
        <v>126</v>
      </c>
      <c r="K4445" s="94" t="s">
        <v>5351</v>
      </c>
      <c r="L4445" s="281" t="s">
        <v>6109</v>
      </c>
      <c r="M4445" s="94" t="s">
        <v>6110</v>
      </c>
      <c r="N4445" s="106">
        <v>43962</v>
      </c>
      <c r="O4445" s="94" t="s">
        <v>127</v>
      </c>
      <c r="P4445" s="116">
        <v>5000</v>
      </c>
      <c r="Q4445" s="107">
        <v>2</v>
      </c>
      <c r="R4445" s="116">
        <f t="shared" si="99"/>
        <v>10000</v>
      </c>
      <c r="S4445" s="298">
        <v>202303</v>
      </c>
      <c r="T4445" s="354" t="s">
        <v>6114</v>
      </c>
      <c r="U4445" s="344"/>
      <c r="V4445" s="358"/>
      <c r="W4445" s="358"/>
      <c r="X4445" s="106">
        <v>44197</v>
      </c>
      <c r="Y4445" s="106">
        <v>44926</v>
      </c>
    </row>
    <row r="4446" s="9" customFormat="1" customHeight="1" spans="1:25">
      <c r="A4446" s="94" t="s">
        <v>399</v>
      </c>
      <c r="B4446" s="94" t="s">
        <v>5875</v>
      </c>
      <c r="C4446" s="94" t="s">
        <v>1854</v>
      </c>
      <c r="D4446" s="94" t="s">
        <v>881</v>
      </c>
      <c r="E4446" s="23" t="s">
        <v>6106</v>
      </c>
      <c r="F4446" s="94" t="s">
        <v>6107</v>
      </c>
      <c r="G4446" s="94" t="s">
        <v>88</v>
      </c>
      <c r="H4446" s="97" t="s">
        <v>6108</v>
      </c>
      <c r="I4446" s="23" t="e">
        <f>VLOOKUP(H4446,'合同综合查询数据（3月返）'!$A:$A,1,FALSE)</f>
        <v>#N/A</v>
      </c>
      <c r="J4446" s="94" t="s">
        <v>126</v>
      </c>
      <c r="K4446" s="94" t="s">
        <v>5351</v>
      </c>
      <c r="L4446" s="281" t="s">
        <v>6109</v>
      </c>
      <c r="M4446" s="94" t="s">
        <v>6110</v>
      </c>
      <c r="N4446" s="106">
        <v>44773</v>
      </c>
      <c r="O4446" s="94" t="s">
        <v>127</v>
      </c>
      <c r="P4446" s="116">
        <v>5000</v>
      </c>
      <c r="Q4446" s="107">
        <v>-6</v>
      </c>
      <c r="R4446" s="116">
        <f t="shared" si="99"/>
        <v>-30000</v>
      </c>
      <c r="S4446" s="298">
        <v>202303</v>
      </c>
      <c r="T4446" s="354" t="s">
        <v>6115</v>
      </c>
      <c r="U4446" s="344"/>
      <c r="V4446" s="358"/>
      <c r="W4446" s="358"/>
      <c r="X4446" s="106">
        <v>44197</v>
      </c>
      <c r="Y4446" s="106">
        <v>44926</v>
      </c>
    </row>
    <row r="4447" s="10" customFormat="1" customHeight="1" spans="1:25">
      <c r="A4447" s="62" t="s">
        <v>399</v>
      </c>
      <c r="B4447" s="62" t="s">
        <v>5875</v>
      </c>
      <c r="C4447" s="62" t="s">
        <v>44</v>
      </c>
      <c r="D4447" s="62" t="s">
        <v>566</v>
      </c>
      <c r="E4447" s="47" t="s">
        <v>6116</v>
      </c>
      <c r="F4447" s="62" t="s">
        <v>6117</v>
      </c>
      <c r="G4447" s="62" t="s">
        <v>31</v>
      </c>
      <c r="H4447" s="102" t="s">
        <v>6118</v>
      </c>
      <c r="I4447" s="47" t="e">
        <f>VLOOKUP(H4447,'合同综合查询数据（3月返）'!$A:$A,1,FALSE)</f>
        <v>#N/A</v>
      </c>
      <c r="J4447" s="62" t="s">
        <v>33</v>
      </c>
      <c r="K4447" s="62" t="s">
        <v>5243</v>
      </c>
      <c r="L4447" s="329" t="s">
        <v>6117</v>
      </c>
      <c r="M4447" s="62" t="s">
        <v>6119</v>
      </c>
      <c r="N4447" s="111">
        <v>42736</v>
      </c>
      <c r="O4447" s="62" t="s">
        <v>37</v>
      </c>
      <c r="P4447" s="124">
        <v>0</v>
      </c>
      <c r="Q4447" s="299">
        <v>352</v>
      </c>
      <c r="R4447" s="124">
        <f t="shared" si="99"/>
        <v>0</v>
      </c>
      <c r="S4447" s="349">
        <v>202303</v>
      </c>
      <c r="T4447" s="353" t="s">
        <v>6120</v>
      </c>
      <c r="U4447" s="342"/>
      <c r="V4447" s="356"/>
      <c r="W4447" s="356"/>
      <c r="X4447" s="111"/>
      <c r="Y4447" s="111"/>
    </row>
    <row r="4448" s="10" customFormat="1" customHeight="1" spans="1:25">
      <c r="A4448" s="62" t="s">
        <v>399</v>
      </c>
      <c r="B4448" s="62" t="s">
        <v>5875</v>
      </c>
      <c r="C4448" s="62" t="s">
        <v>44</v>
      </c>
      <c r="D4448" s="62" t="s">
        <v>566</v>
      </c>
      <c r="E4448" s="47" t="s">
        <v>6116</v>
      </c>
      <c r="F4448" s="62" t="s">
        <v>6117</v>
      </c>
      <c r="G4448" s="62" t="s">
        <v>31</v>
      </c>
      <c r="H4448" s="102" t="s">
        <v>6118</v>
      </c>
      <c r="I4448" s="47" t="e">
        <f>VLOOKUP(H4448,'合同综合查询数据（3月返）'!$A:$A,1,FALSE)</f>
        <v>#N/A</v>
      </c>
      <c r="J4448" s="62" t="s">
        <v>33</v>
      </c>
      <c r="K4448" s="62" t="s">
        <v>5243</v>
      </c>
      <c r="L4448" s="329" t="s">
        <v>6117</v>
      </c>
      <c r="M4448" s="62" t="s">
        <v>6119</v>
      </c>
      <c r="N4448" s="111">
        <v>42736</v>
      </c>
      <c r="O4448" s="62" t="s">
        <v>37</v>
      </c>
      <c r="P4448" s="124">
        <v>50</v>
      </c>
      <c r="Q4448" s="299">
        <f>384-352</f>
        <v>32</v>
      </c>
      <c r="R4448" s="124">
        <f t="shared" si="99"/>
        <v>1600</v>
      </c>
      <c r="S4448" s="349">
        <v>202303</v>
      </c>
      <c r="T4448" s="353" t="s">
        <v>6121</v>
      </c>
      <c r="U4448" s="342"/>
      <c r="V4448" s="356"/>
      <c r="W4448" s="356"/>
      <c r="X4448" s="111"/>
      <c r="Y4448" s="111"/>
    </row>
    <row r="4449" s="10" customFormat="1" customHeight="1" spans="1:25">
      <c r="A4449" s="62" t="s">
        <v>399</v>
      </c>
      <c r="B4449" s="62" t="s">
        <v>5875</v>
      </c>
      <c r="C4449" s="62" t="s">
        <v>44</v>
      </c>
      <c r="D4449" s="62" t="s">
        <v>566</v>
      </c>
      <c r="E4449" s="47" t="s">
        <v>6116</v>
      </c>
      <c r="F4449" s="62" t="s">
        <v>6117</v>
      </c>
      <c r="G4449" s="62" t="s">
        <v>31</v>
      </c>
      <c r="H4449" s="102" t="s">
        <v>6118</v>
      </c>
      <c r="I4449" s="47" t="e">
        <f>VLOOKUP(H4449,'合同综合查询数据（3月返）'!$A:$A,1,FALSE)</f>
        <v>#N/A</v>
      </c>
      <c r="J4449" s="62" t="s">
        <v>33</v>
      </c>
      <c r="K4449" s="329" t="s">
        <v>6117</v>
      </c>
      <c r="L4449" s="329" t="s">
        <v>6117</v>
      </c>
      <c r="M4449" s="62" t="s">
        <v>6119</v>
      </c>
      <c r="N4449" s="111">
        <v>44317</v>
      </c>
      <c r="O4449" s="62" t="s">
        <v>37</v>
      </c>
      <c r="P4449" s="124">
        <v>50</v>
      </c>
      <c r="Q4449" s="299">
        <v>128</v>
      </c>
      <c r="R4449" s="124">
        <f t="shared" si="99"/>
        <v>6400</v>
      </c>
      <c r="S4449" s="349">
        <v>202303</v>
      </c>
      <c r="T4449" s="353" t="s">
        <v>6122</v>
      </c>
      <c r="U4449" s="342"/>
      <c r="V4449" s="356"/>
      <c r="W4449" s="356"/>
      <c r="X4449" s="111"/>
      <c r="Y4449" s="111"/>
    </row>
    <row r="4450" s="10" customFormat="1" customHeight="1" spans="1:25">
      <c r="A4450" s="62" t="s">
        <v>399</v>
      </c>
      <c r="B4450" s="62" t="s">
        <v>5875</v>
      </c>
      <c r="C4450" s="62" t="s">
        <v>44</v>
      </c>
      <c r="D4450" s="62" t="s">
        <v>566</v>
      </c>
      <c r="E4450" s="47" t="s">
        <v>6116</v>
      </c>
      <c r="F4450" s="62" t="s">
        <v>6117</v>
      </c>
      <c r="G4450" s="62" t="s">
        <v>31</v>
      </c>
      <c r="H4450" s="102" t="s">
        <v>6118</v>
      </c>
      <c r="I4450" s="47" t="e">
        <f>VLOOKUP(H4450,'合同综合查询数据（3月返）'!$A:$A,1,FALSE)</f>
        <v>#N/A</v>
      </c>
      <c r="J4450" s="62" t="s">
        <v>33</v>
      </c>
      <c r="K4450" s="329" t="s">
        <v>6117</v>
      </c>
      <c r="L4450" s="329" t="s">
        <v>6117</v>
      </c>
      <c r="M4450" s="62" t="s">
        <v>6119</v>
      </c>
      <c r="N4450" s="111">
        <v>44440</v>
      </c>
      <c r="O4450" s="62" t="s">
        <v>37</v>
      </c>
      <c r="P4450" s="124">
        <v>50</v>
      </c>
      <c r="Q4450" s="299">
        <v>128</v>
      </c>
      <c r="R4450" s="124">
        <f t="shared" si="99"/>
        <v>6400</v>
      </c>
      <c r="S4450" s="349">
        <v>202303</v>
      </c>
      <c r="T4450" s="353" t="s">
        <v>6123</v>
      </c>
      <c r="U4450" s="342"/>
      <c r="V4450" s="356"/>
      <c r="W4450" s="356"/>
      <c r="X4450" s="111"/>
      <c r="Y4450" s="111"/>
    </row>
    <row r="4451" s="10" customFormat="1" customHeight="1" spans="1:25">
      <c r="A4451" s="62" t="s">
        <v>399</v>
      </c>
      <c r="B4451" s="62" t="s">
        <v>5875</v>
      </c>
      <c r="C4451" s="62" t="s">
        <v>44</v>
      </c>
      <c r="D4451" s="62" t="s">
        <v>566</v>
      </c>
      <c r="E4451" s="47" t="s">
        <v>6116</v>
      </c>
      <c r="F4451" s="62" t="s">
        <v>6117</v>
      </c>
      <c r="G4451" s="62" t="s">
        <v>88</v>
      </c>
      <c r="H4451" s="102" t="s">
        <v>6118</v>
      </c>
      <c r="I4451" s="47" t="e">
        <f>VLOOKUP(H4451,'合同综合查询数据（3月返）'!$A:$A,1,FALSE)</f>
        <v>#N/A</v>
      </c>
      <c r="J4451" s="62" t="s">
        <v>126</v>
      </c>
      <c r="K4451" s="62" t="s">
        <v>5243</v>
      </c>
      <c r="L4451" s="329" t="s">
        <v>6117</v>
      </c>
      <c r="M4451" s="62" t="s">
        <v>6119</v>
      </c>
      <c r="N4451" s="111">
        <v>42736</v>
      </c>
      <c r="O4451" s="62" t="s">
        <v>92</v>
      </c>
      <c r="P4451" s="124">
        <v>4300</v>
      </c>
      <c r="Q4451" s="112">
        <v>4</v>
      </c>
      <c r="R4451" s="124">
        <f t="shared" si="99"/>
        <v>17200</v>
      </c>
      <c r="S4451" s="349">
        <v>202303</v>
      </c>
      <c r="T4451" s="353" t="s">
        <v>6124</v>
      </c>
      <c r="U4451" s="342"/>
      <c r="V4451" s="356"/>
      <c r="W4451" s="356"/>
      <c r="X4451" s="111"/>
      <c r="Y4451" s="111"/>
    </row>
    <row r="4452" s="10" customFormat="1" customHeight="1" spans="1:25">
      <c r="A4452" s="62" t="s">
        <v>399</v>
      </c>
      <c r="B4452" s="62" t="s">
        <v>5875</v>
      </c>
      <c r="C4452" s="62" t="s">
        <v>44</v>
      </c>
      <c r="D4452" s="62" t="s">
        <v>566</v>
      </c>
      <c r="E4452" s="47" t="s">
        <v>6116</v>
      </c>
      <c r="F4452" s="62" t="s">
        <v>6117</v>
      </c>
      <c r="G4452" s="62" t="s">
        <v>88</v>
      </c>
      <c r="H4452" s="102" t="s">
        <v>6118</v>
      </c>
      <c r="I4452" s="47" t="e">
        <f>VLOOKUP(H4452,'合同综合查询数据（3月返）'!$A:$A,1,FALSE)</f>
        <v>#N/A</v>
      </c>
      <c r="J4452" s="62" t="s">
        <v>126</v>
      </c>
      <c r="K4452" s="62" t="s">
        <v>5243</v>
      </c>
      <c r="L4452" s="329" t="s">
        <v>6117</v>
      </c>
      <c r="M4452" s="62" t="s">
        <v>6119</v>
      </c>
      <c r="N4452" s="111">
        <v>43809</v>
      </c>
      <c r="O4452" s="62" t="s">
        <v>92</v>
      </c>
      <c r="P4452" s="124">
        <v>4300</v>
      </c>
      <c r="Q4452" s="112">
        <v>2</v>
      </c>
      <c r="R4452" s="124">
        <f t="shared" si="99"/>
        <v>8600</v>
      </c>
      <c r="S4452" s="349">
        <v>202303</v>
      </c>
      <c r="T4452" s="353" t="s">
        <v>6125</v>
      </c>
      <c r="U4452" s="342"/>
      <c r="V4452" s="356"/>
      <c r="W4452" s="356"/>
      <c r="X4452" s="111"/>
      <c r="Y4452" s="111"/>
    </row>
    <row r="4453" s="10" customFormat="1" customHeight="1" spans="1:25">
      <c r="A4453" s="62" t="s">
        <v>399</v>
      </c>
      <c r="B4453" s="62" t="s">
        <v>5875</v>
      </c>
      <c r="C4453" s="62" t="s">
        <v>44</v>
      </c>
      <c r="D4453" s="62" t="s">
        <v>566</v>
      </c>
      <c r="E4453" s="47" t="s">
        <v>6116</v>
      </c>
      <c r="F4453" s="62" t="s">
        <v>6117</v>
      </c>
      <c r="G4453" s="62" t="s">
        <v>88</v>
      </c>
      <c r="H4453" s="102" t="s">
        <v>6118</v>
      </c>
      <c r="I4453" s="47" t="e">
        <f>VLOOKUP(H4453,'合同综合查询数据（3月返）'!$A:$A,1,FALSE)</f>
        <v>#N/A</v>
      </c>
      <c r="J4453" s="62" t="s">
        <v>126</v>
      </c>
      <c r="K4453" s="329" t="s">
        <v>6117</v>
      </c>
      <c r="L4453" s="329" t="s">
        <v>6117</v>
      </c>
      <c r="M4453" s="62" t="s">
        <v>6119</v>
      </c>
      <c r="N4453" s="111">
        <v>44317</v>
      </c>
      <c r="O4453" s="62" t="s">
        <v>92</v>
      </c>
      <c r="P4453" s="124">
        <v>4300</v>
      </c>
      <c r="Q4453" s="112">
        <v>1</v>
      </c>
      <c r="R4453" s="124">
        <f t="shared" si="99"/>
        <v>4300</v>
      </c>
      <c r="S4453" s="349">
        <v>202303</v>
      </c>
      <c r="T4453" s="353" t="s">
        <v>6126</v>
      </c>
      <c r="U4453" s="342"/>
      <c r="V4453" s="356"/>
      <c r="W4453" s="356"/>
      <c r="X4453" s="111"/>
      <c r="Y4453" s="111"/>
    </row>
    <row r="4454" s="10" customFormat="1" customHeight="1" spans="1:25">
      <c r="A4454" s="62" t="s">
        <v>399</v>
      </c>
      <c r="B4454" s="62" t="s">
        <v>5875</v>
      </c>
      <c r="C4454" s="62" t="s">
        <v>44</v>
      </c>
      <c r="D4454" s="62" t="s">
        <v>566</v>
      </c>
      <c r="E4454" s="47" t="s">
        <v>6116</v>
      </c>
      <c r="F4454" s="62" t="s">
        <v>6117</v>
      </c>
      <c r="G4454" s="62" t="s">
        <v>88</v>
      </c>
      <c r="H4454" s="102" t="s">
        <v>6118</v>
      </c>
      <c r="I4454" s="47" t="e">
        <f>VLOOKUP(H4454,'合同综合查询数据（3月返）'!$A:$A,1,FALSE)</f>
        <v>#N/A</v>
      </c>
      <c r="J4454" s="62" t="s">
        <v>126</v>
      </c>
      <c r="K4454" s="329" t="s">
        <v>6117</v>
      </c>
      <c r="L4454" s="329" t="s">
        <v>6117</v>
      </c>
      <c r="M4454" s="62" t="s">
        <v>6119</v>
      </c>
      <c r="N4454" s="111">
        <v>44440</v>
      </c>
      <c r="O4454" s="62" t="s">
        <v>92</v>
      </c>
      <c r="P4454" s="124">
        <v>4300</v>
      </c>
      <c r="Q4454" s="112">
        <v>2</v>
      </c>
      <c r="R4454" s="124">
        <f t="shared" si="99"/>
        <v>8600</v>
      </c>
      <c r="S4454" s="349">
        <v>202303</v>
      </c>
      <c r="T4454" s="353" t="s">
        <v>6127</v>
      </c>
      <c r="U4454" s="342"/>
      <c r="V4454" s="356"/>
      <c r="W4454" s="356"/>
      <c r="X4454" s="111"/>
      <c r="Y4454" s="111"/>
    </row>
    <row r="4455" s="10" customFormat="1" customHeight="1" spans="1:25">
      <c r="A4455" s="62" t="s">
        <v>399</v>
      </c>
      <c r="B4455" s="61" t="s">
        <v>5875</v>
      </c>
      <c r="C4455" s="62" t="s">
        <v>44</v>
      </c>
      <c r="D4455" s="62" t="s">
        <v>566</v>
      </c>
      <c r="E4455" s="47" t="s">
        <v>6116</v>
      </c>
      <c r="F4455" s="62" t="s">
        <v>6117</v>
      </c>
      <c r="G4455" s="138" t="s">
        <v>31</v>
      </c>
      <c r="H4455" s="137" t="s">
        <v>6128</v>
      </c>
      <c r="I4455" s="47" t="e">
        <f>VLOOKUP(H4455,'合同综合查询数据（3月返）'!$A:$A,1,FALSE)</f>
        <v>#N/A</v>
      </c>
      <c r="J4455" s="65" t="s">
        <v>33</v>
      </c>
      <c r="K4455" s="138" t="s">
        <v>5243</v>
      </c>
      <c r="L4455" s="164" t="s">
        <v>6129</v>
      </c>
      <c r="M4455" s="50" t="s">
        <v>6130</v>
      </c>
      <c r="N4455" s="51">
        <v>44868</v>
      </c>
      <c r="O4455" s="138" t="s">
        <v>37</v>
      </c>
      <c r="P4455" s="68"/>
      <c r="Q4455" s="270">
        <v>640</v>
      </c>
      <c r="R4455" s="124">
        <f t="shared" si="99"/>
        <v>0</v>
      </c>
      <c r="S4455" s="48">
        <v>202303</v>
      </c>
      <c r="T4455" s="72" t="s">
        <v>6131</v>
      </c>
      <c r="U4455" s="139"/>
      <c r="V4455" s="146"/>
      <c r="W4455" s="146"/>
      <c r="X4455" s="111"/>
      <c r="Y4455" s="111"/>
    </row>
    <row r="4456" s="10" customFormat="1" customHeight="1" spans="1:25">
      <c r="A4456" s="62" t="s">
        <v>399</v>
      </c>
      <c r="B4456" s="61" t="s">
        <v>5875</v>
      </c>
      <c r="C4456" s="62" t="s">
        <v>44</v>
      </c>
      <c r="D4456" s="62" t="s">
        <v>566</v>
      </c>
      <c r="E4456" s="47" t="s">
        <v>6116</v>
      </c>
      <c r="F4456" s="62" t="s">
        <v>6117</v>
      </c>
      <c r="G4456" s="138" t="s">
        <v>31</v>
      </c>
      <c r="H4456" s="137" t="s">
        <v>6128</v>
      </c>
      <c r="I4456" s="47" t="e">
        <f>VLOOKUP(H4456,'合同综合查询数据（3月返）'!$A:$A,1,FALSE)</f>
        <v>#N/A</v>
      </c>
      <c r="J4456" s="65" t="s">
        <v>33</v>
      </c>
      <c r="K4456" s="138" t="s">
        <v>5243</v>
      </c>
      <c r="L4456" s="164" t="s">
        <v>6129</v>
      </c>
      <c r="M4456" s="50" t="s">
        <v>6130</v>
      </c>
      <c r="N4456" s="51">
        <v>44868</v>
      </c>
      <c r="O4456" s="138" t="s">
        <v>152</v>
      </c>
      <c r="P4456" s="68">
        <v>0</v>
      </c>
      <c r="Q4456" s="270">
        <v>0</v>
      </c>
      <c r="R4456" s="124">
        <f t="shared" si="99"/>
        <v>0</v>
      </c>
      <c r="S4456" s="48">
        <v>202303</v>
      </c>
      <c r="T4456" s="72" t="s">
        <v>6132</v>
      </c>
      <c r="U4456" s="139"/>
      <c r="V4456" s="146"/>
      <c r="W4456" s="146"/>
      <c r="X4456" s="111"/>
      <c r="Y4456" s="111"/>
    </row>
    <row r="4457" s="10" customFormat="1" customHeight="1" spans="1:25">
      <c r="A4457" s="62" t="s">
        <v>399</v>
      </c>
      <c r="B4457" s="61" t="s">
        <v>5875</v>
      </c>
      <c r="C4457" s="62" t="s">
        <v>44</v>
      </c>
      <c r="D4457" s="62" t="s">
        <v>566</v>
      </c>
      <c r="E4457" s="47" t="s">
        <v>6116</v>
      </c>
      <c r="F4457" s="62" t="s">
        <v>6117</v>
      </c>
      <c r="G4457" s="138" t="s">
        <v>88</v>
      </c>
      <c r="H4457" s="137" t="s">
        <v>6128</v>
      </c>
      <c r="I4457" s="47" t="e">
        <f>VLOOKUP(H4457,'合同综合查询数据（3月返）'!$A:$A,1,FALSE)</f>
        <v>#N/A</v>
      </c>
      <c r="J4457" s="65" t="s">
        <v>126</v>
      </c>
      <c r="K4457" s="138" t="s">
        <v>5243</v>
      </c>
      <c r="L4457" s="164" t="s">
        <v>6129</v>
      </c>
      <c r="M4457" s="50" t="s">
        <v>6130</v>
      </c>
      <c r="N4457" s="51">
        <v>44866</v>
      </c>
      <c r="O4457" s="138" t="s">
        <v>92</v>
      </c>
      <c r="P4457" s="68">
        <v>4300</v>
      </c>
      <c r="Q4457" s="68">
        <v>1</v>
      </c>
      <c r="R4457" s="124">
        <f t="shared" si="99"/>
        <v>4300</v>
      </c>
      <c r="S4457" s="48">
        <v>202303</v>
      </c>
      <c r="T4457" s="72" t="s">
        <v>6133</v>
      </c>
      <c r="U4457" s="139"/>
      <c r="V4457" s="146"/>
      <c r="W4457" s="146"/>
      <c r="X4457" s="111"/>
      <c r="Y4457" s="111"/>
    </row>
    <row r="4458" s="9" customFormat="1" customHeight="1" spans="1:25">
      <c r="A4458" s="94" t="s">
        <v>399</v>
      </c>
      <c r="B4458" s="94" t="s">
        <v>5875</v>
      </c>
      <c r="C4458" s="94" t="s">
        <v>44</v>
      </c>
      <c r="D4458" s="94" t="s">
        <v>566</v>
      </c>
      <c r="E4458" s="23" t="s">
        <v>6134</v>
      </c>
      <c r="F4458" s="94" t="s">
        <v>6135</v>
      </c>
      <c r="G4458" s="94" t="s">
        <v>31</v>
      </c>
      <c r="H4458" s="97" t="s">
        <v>6136</v>
      </c>
      <c r="I4458" s="23" t="e">
        <f>VLOOKUP(H4458,'合同综合查询数据（3月返）'!$A:$A,1,FALSE)</f>
        <v>#N/A</v>
      </c>
      <c r="J4458" s="94" t="s">
        <v>33</v>
      </c>
      <c r="K4458" s="94" t="s">
        <v>6137</v>
      </c>
      <c r="L4458" s="281" t="s">
        <v>6135</v>
      </c>
      <c r="M4458" s="94" t="s">
        <v>6138</v>
      </c>
      <c r="N4458" s="106">
        <v>43831</v>
      </c>
      <c r="O4458" s="94" t="s">
        <v>37</v>
      </c>
      <c r="P4458" s="116">
        <v>0</v>
      </c>
      <c r="Q4458" s="297">
        <v>256</v>
      </c>
      <c r="R4458" s="116">
        <f t="shared" si="99"/>
        <v>0</v>
      </c>
      <c r="S4458" s="298">
        <v>202303</v>
      </c>
      <c r="T4458" s="354" t="s">
        <v>6139</v>
      </c>
      <c r="U4458" s="344"/>
      <c r="V4458" s="358"/>
      <c r="W4458" s="358"/>
      <c r="X4458" s="106">
        <v>44197</v>
      </c>
      <c r="Y4458" s="106">
        <v>44926</v>
      </c>
    </row>
    <row r="4459" s="9" customFormat="1" customHeight="1" spans="1:25">
      <c r="A4459" s="94" t="s">
        <v>399</v>
      </c>
      <c r="B4459" s="94" t="s">
        <v>5875</v>
      </c>
      <c r="C4459" s="94" t="s">
        <v>44</v>
      </c>
      <c r="D4459" s="94" t="s">
        <v>566</v>
      </c>
      <c r="E4459" s="23" t="s">
        <v>6134</v>
      </c>
      <c r="F4459" s="94" t="s">
        <v>6135</v>
      </c>
      <c r="G4459" s="94" t="s">
        <v>31</v>
      </c>
      <c r="H4459" s="97" t="s">
        <v>6136</v>
      </c>
      <c r="I4459" s="23" t="e">
        <f>VLOOKUP(H4459,'合同综合查询数据（3月返）'!$A:$A,1,FALSE)</f>
        <v>#N/A</v>
      </c>
      <c r="J4459" s="94" t="s">
        <v>33</v>
      </c>
      <c r="K4459" s="94" t="s">
        <v>6137</v>
      </c>
      <c r="L4459" s="281" t="s">
        <v>6135</v>
      </c>
      <c r="M4459" s="94" t="s">
        <v>6138</v>
      </c>
      <c r="N4459" s="106">
        <v>43831</v>
      </c>
      <c r="O4459" s="94" t="s">
        <v>37</v>
      </c>
      <c r="P4459" s="116">
        <v>50</v>
      </c>
      <c r="Q4459" s="297">
        <v>128</v>
      </c>
      <c r="R4459" s="116">
        <f t="shared" si="99"/>
        <v>6400</v>
      </c>
      <c r="S4459" s="298">
        <v>202303</v>
      </c>
      <c r="T4459" s="354" t="s">
        <v>6139</v>
      </c>
      <c r="U4459" s="344"/>
      <c r="V4459" s="358"/>
      <c r="W4459" s="358"/>
      <c r="X4459" s="106">
        <v>44197</v>
      </c>
      <c r="Y4459" s="106">
        <v>44926</v>
      </c>
    </row>
    <row r="4460" s="9" customFormat="1" customHeight="1" spans="1:25">
      <c r="A4460" s="94" t="s">
        <v>399</v>
      </c>
      <c r="B4460" s="94" t="s">
        <v>5875</v>
      </c>
      <c r="C4460" s="94" t="s">
        <v>44</v>
      </c>
      <c r="D4460" s="94" t="s">
        <v>566</v>
      </c>
      <c r="E4460" s="23" t="s">
        <v>6134</v>
      </c>
      <c r="F4460" s="94" t="s">
        <v>6135</v>
      </c>
      <c r="G4460" s="94" t="s">
        <v>31</v>
      </c>
      <c r="H4460" s="97" t="s">
        <v>6136</v>
      </c>
      <c r="I4460" s="23" t="e">
        <f>VLOOKUP(H4460,'合同综合查询数据（3月返）'!$A:$A,1,FALSE)</f>
        <v>#N/A</v>
      </c>
      <c r="J4460" s="94" t="s">
        <v>33</v>
      </c>
      <c r="K4460" s="94" t="s">
        <v>6137</v>
      </c>
      <c r="L4460" s="281" t="s">
        <v>6135</v>
      </c>
      <c r="M4460" s="94" t="s">
        <v>6138</v>
      </c>
      <c r="N4460" s="106">
        <v>44712</v>
      </c>
      <c r="O4460" s="94" t="s">
        <v>37</v>
      </c>
      <c r="P4460" s="116">
        <v>0</v>
      </c>
      <c r="Q4460" s="297">
        <v>-256</v>
      </c>
      <c r="R4460" s="116">
        <f t="shared" si="99"/>
        <v>0</v>
      </c>
      <c r="S4460" s="298">
        <v>202303</v>
      </c>
      <c r="T4460" s="354" t="s">
        <v>6140</v>
      </c>
      <c r="U4460" s="344"/>
      <c r="V4460" s="358"/>
      <c r="W4460" s="358"/>
      <c r="X4460" s="106">
        <v>44197</v>
      </c>
      <c r="Y4460" s="106">
        <v>44926</v>
      </c>
    </row>
    <row r="4461" s="9" customFormat="1" customHeight="1" spans="1:25">
      <c r="A4461" s="94" t="s">
        <v>399</v>
      </c>
      <c r="B4461" s="94" t="s">
        <v>5875</v>
      </c>
      <c r="C4461" s="94" t="s">
        <v>44</v>
      </c>
      <c r="D4461" s="94" t="s">
        <v>566</v>
      </c>
      <c r="E4461" s="23" t="s">
        <v>6134</v>
      </c>
      <c r="F4461" s="94" t="s">
        <v>6135</v>
      </c>
      <c r="G4461" s="94" t="s">
        <v>31</v>
      </c>
      <c r="H4461" s="97" t="s">
        <v>6136</v>
      </c>
      <c r="I4461" s="23" t="e">
        <f>VLOOKUP(H4461,'合同综合查询数据（3月返）'!$A:$A,1,FALSE)</f>
        <v>#N/A</v>
      </c>
      <c r="J4461" s="94" t="s">
        <v>33</v>
      </c>
      <c r="K4461" s="94" t="s">
        <v>6137</v>
      </c>
      <c r="L4461" s="281" t="s">
        <v>6135</v>
      </c>
      <c r="M4461" s="94" t="s">
        <v>6138</v>
      </c>
      <c r="N4461" s="106">
        <v>44712</v>
      </c>
      <c r="O4461" s="94" t="s">
        <v>37</v>
      </c>
      <c r="P4461" s="116">
        <v>50</v>
      </c>
      <c r="Q4461" s="297">
        <v>-128</v>
      </c>
      <c r="R4461" s="116">
        <f t="shared" si="99"/>
        <v>-6400</v>
      </c>
      <c r="S4461" s="298">
        <v>202303</v>
      </c>
      <c r="T4461" s="354" t="s">
        <v>6140</v>
      </c>
      <c r="U4461" s="344"/>
      <c r="V4461" s="358"/>
      <c r="W4461" s="358"/>
      <c r="X4461" s="106">
        <v>44197</v>
      </c>
      <c r="Y4461" s="106">
        <v>44926</v>
      </c>
    </row>
    <row r="4462" s="9" customFormat="1" customHeight="1" spans="1:25">
      <c r="A4462" s="94" t="s">
        <v>399</v>
      </c>
      <c r="B4462" s="94" t="s">
        <v>5875</v>
      </c>
      <c r="C4462" s="94" t="s">
        <v>44</v>
      </c>
      <c r="D4462" s="94" t="s">
        <v>566</v>
      </c>
      <c r="E4462" s="23" t="s">
        <v>6134</v>
      </c>
      <c r="F4462" s="94" t="s">
        <v>6135</v>
      </c>
      <c r="G4462" s="94" t="s">
        <v>88</v>
      </c>
      <c r="H4462" s="97" t="s">
        <v>6136</v>
      </c>
      <c r="I4462" s="23" t="e">
        <f>VLOOKUP(H4462,'合同综合查询数据（3月返）'!$A:$A,1,FALSE)</f>
        <v>#N/A</v>
      </c>
      <c r="J4462" s="94" t="s">
        <v>126</v>
      </c>
      <c r="K4462" s="94" t="s">
        <v>6141</v>
      </c>
      <c r="L4462" s="281" t="s">
        <v>6135</v>
      </c>
      <c r="M4462" s="94" t="s">
        <v>6138</v>
      </c>
      <c r="N4462" s="106">
        <v>43831</v>
      </c>
      <c r="O4462" s="94" t="s">
        <v>92</v>
      </c>
      <c r="P4462" s="116">
        <v>4300</v>
      </c>
      <c r="Q4462" s="107">
        <v>4</v>
      </c>
      <c r="R4462" s="116">
        <f t="shared" si="99"/>
        <v>17200</v>
      </c>
      <c r="S4462" s="298">
        <v>202303</v>
      </c>
      <c r="T4462" s="354" t="s">
        <v>6142</v>
      </c>
      <c r="U4462" s="344"/>
      <c r="V4462" s="358"/>
      <c r="W4462" s="358"/>
      <c r="X4462" s="106">
        <v>44197</v>
      </c>
      <c r="Y4462" s="106">
        <v>44926</v>
      </c>
    </row>
    <row r="4463" s="9" customFormat="1" customHeight="1" spans="1:25">
      <c r="A4463" s="94" t="s">
        <v>399</v>
      </c>
      <c r="B4463" s="94" t="s">
        <v>5875</v>
      </c>
      <c r="C4463" s="94" t="s">
        <v>44</v>
      </c>
      <c r="D4463" s="94" t="s">
        <v>566</v>
      </c>
      <c r="E4463" s="23" t="s">
        <v>6134</v>
      </c>
      <c r="F4463" s="94" t="s">
        <v>6135</v>
      </c>
      <c r="G4463" s="94" t="s">
        <v>88</v>
      </c>
      <c r="H4463" s="97" t="s">
        <v>6136</v>
      </c>
      <c r="I4463" s="23" t="e">
        <f>VLOOKUP(H4463,'合同综合查询数据（3月返）'!$A:$A,1,FALSE)</f>
        <v>#N/A</v>
      </c>
      <c r="J4463" s="94" t="s">
        <v>126</v>
      </c>
      <c r="K4463" s="94" t="s">
        <v>6141</v>
      </c>
      <c r="L4463" s="281" t="s">
        <v>6135</v>
      </c>
      <c r="M4463" s="94" t="s">
        <v>6138</v>
      </c>
      <c r="N4463" s="106">
        <v>44712</v>
      </c>
      <c r="O4463" s="94" t="s">
        <v>92</v>
      </c>
      <c r="P4463" s="116">
        <v>4300</v>
      </c>
      <c r="Q4463" s="107">
        <v>-4</v>
      </c>
      <c r="R4463" s="116">
        <f t="shared" si="99"/>
        <v>-17200</v>
      </c>
      <c r="S4463" s="298">
        <v>202303</v>
      </c>
      <c r="T4463" s="354" t="s">
        <v>6143</v>
      </c>
      <c r="U4463" s="344"/>
      <c r="V4463" s="358"/>
      <c r="W4463" s="358"/>
      <c r="X4463" s="106">
        <v>44197</v>
      </c>
      <c r="Y4463" s="106">
        <v>44926</v>
      </c>
    </row>
    <row r="4464" s="9" customFormat="1" customHeight="1" spans="1:25">
      <c r="A4464" s="94" t="s">
        <v>399</v>
      </c>
      <c r="B4464" s="94" t="s">
        <v>5875</v>
      </c>
      <c r="C4464" s="94" t="s">
        <v>44</v>
      </c>
      <c r="D4464" s="94" t="s">
        <v>566</v>
      </c>
      <c r="E4464" s="23" t="s">
        <v>6144</v>
      </c>
      <c r="F4464" s="94" t="s">
        <v>6145</v>
      </c>
      <c r="G4464" s="94" t="s">
        <v>31</v>
      </c>
      <c r="H4464" s="97" t="s">
        <v>6146</v>
      </c>
      <c r="I4464" s="23" t="str">
        <f>VLOOKUP(H4464,'合同综合查询数据（3月返）'!$A:$A,1,FALSE)</f>
        <v>182315IDC00087</v>
      </c>
      <c r="J4464" s="94" t="s">
        <v>33</v>
      </c>
      <c r="K4464" s="94" t="s">
        <v>264</v>
      </c>
      <c r="L4464" s="281" t="s">
        <v>6145</v>
      </c>
      <c r="M4464" s="94" t="s">
        <v>6147</v>
      </c>
      <c r="N4464" s="106">
        <v>42978</v>
      </c>
      <c r="O4464" s="94" t="s">
        <v>37</v>
      </c>
      <c r="P4464" s="116">
        <v>0</v>
      </c>
      <c r="Q4464" s="297">
        <v>288</v>
      </c>
      <c r="R4464" s="116">
        <f t="shared" si="99"/>
        <v>0</v>
      </c>
      <c r="S4464" s="298">
        <v>202303</v>
      </c>
      <c r="T4464" s="354" t="s">
        <v>6148</v>
      </c>
      <c r="U4464" s="344"/>
      <c r="V4464" s="358"/>
      <c r="W4464" s="358"/>
      <c r="X4464" s="106">
        <v>44927</v>
      </c>
      <c r="Y4464" s="106">
        <v>45107</v>
      </c>
    </row>
    <row r="4465" s="9" customFormat="1" customHeight="1" spans="1:25">
      <c r="A4465" s="94" t="s">
        <v>399</v>
      </c>
      <c r="B4465" s="94" t="s">
        <v>5875</v>
      </c>
      <c r="C4465" s="94" t="s">
        <v>44</v>
      </c>
      <c r="D4465" s="94" t="s">
        <v>566</v>
      </c>
      <c r="E4465" s="23" t="s">
        <v>6144</v>
      </c>
      <c r="F4465" s="94" t="s">
        <v>6145</v>
      </c>
      <c r="G4465" s="94" t="s">
        <v>31</v>
      </c>
      <c r="H4465" s="97" t="s">
        <v>6146</v>
      </c>
      <c r="I4465" s="23" t="str">
        <f>VLOOKUP(H4465,'合同综合查询数据（3月返）'!$A:$A,1,FALSE)</f>
        <v>182315IDC00087</v>
      </c>
      <c r="J4465" s="94" t="s">
        <v>33</v>
      </c>
      <c r="K4465" s="94" t="s">
        <v>264</v>
      </c>
      <c r="L4465" s="281" t="s">
        <v>6145</v>
      </c>
      <c r="M4465" s="94" t="s">
        <v>6147</v>
      </c>
      <c r="N4465" s="106">
        <v>44712</v>
      </c>
      <c r="O4465" s="94" t="s">
        <v>37</v>
      </c>
      <c r="P4465" s="116">
        <v>0</v>
      </c>
      <c r="Q4465" s="297">
        <v>-288</v>
      </c>
      <c r="R4465" s="116">
        <f t="shared" si="99"/>
        <v>0</v>
      </c>
      <c r="S4465" s="298">
        <v>202303</v>
      </c>
      <c r="T4465" s="354" t="s">
        <v>6149</v>
      </c>
      <c r="U4465" s="344"/>
      <c r="V4465" s="358"/>
      <c r="W4465" s="358"/>
      <c r="X4465" s="106">
        <v>44927</v>
      </c>
      <c r="Y4465" s="106">
        <v>45107</v>
      </c>
    </row>
    <row r="4466" s="9" customFormat="1" customHeight="1" spans="1:25">
      <c r="A4466" s="94" t="s">
        <v>399</v>
      </c>
      <c r="B4466" s="94" t="s">
        <v>5875</v>
      </c>
      <c r="C4466" s="94" t="s">
        <v>44</v>
      </c>
      <c r="D4466" s="94" t="s">
        <v>566</v>
      </c>
      <c r="E4466" s="23" t="s">
        <v>6144</v>
      </c>
      <c r="F4466" s="94" t="s">
        <v>6145</v>
      </c>
      <c r="G4466" s="94" t="s">
        <v>31</v>
      </c>
      <c r="H4466" s="97" t="s">
        <v>6146</v>
      </c>
      <c r="I4466" s="23" t="str">
        <f>VLOOKUP(H4466,'合同综合查询数据（3月返）'!$A:$A,1,FALSE)</f>
        <v>182315IDC00087</v>
      </c>
      <c r="J4466" s="94" t="s">
        <v>33</v>
      </c>
      <c r="K4466" s="94" t="s">
        <v>264</v>
      </c>
      <c r="L4466" s="281" t="s">
        <v>6150</v>
      </c>
      <c r="M4466" s="94" t="s">
        <v>6151</v>
      </c>
      <c r="N4466" s="106">
        <v>43970</v>
      </c>
      <c r="O4466" s="94" t="s">
        <v>37</v>
      </c>
      <c r="P4466" s="116">
        <v>0</v>
      </c>
      <c r="Q4466" s="297">
        <v>288</v>
      </c>
      <c r="R4466" s="116">
        <f t="shared" si="99"/>
        <v>0</v>
      </c>
      <c r="S4466" s="298">
        <v>202303</v>
      </c>
      <c r="T4466" s="354" t="s">
        <v>6152</v>
      </c>
      <c r="U4466" s="344"/>
      <c r="V4466" s="358"/>
      <c r="W4466" s="358"/>
      <c r="X4466" s="106">
        <v>44927</v>
      </c>
      <c r="Y4466" s="106">
        <v>45107</v>
      </c>
    </row>
    <row r="4467" s="9" customFormat="1" customHeight="1" spans="1:25">
      <c r="A4467" s="94" t="s">
        <v>399</v>
      </c>
      <c r="B4467" s="94" t="s">
        <v>5875</v>
      </c>
      <c r="C4467" s="94" t="s">
        <v>44</v>
      </c>
      <c r="D4467" s="94" t="s">
        <v>566</v>
      </c>
      <c r="E4467" s="23" t="s">
        <v>6144</v>
      </c>
      <c r="F4467" s="94" t="s">
        <v>6145</v>
      </c>
      <c r="G4467" s="94" t="s">
        <v>31</v>
      </c>
      <c r="H4467" s="97" t="s">
        <v>6146</v>
      </c>
      <c r="I4467" s="23" t="str">
        <f>VLOOKUP(H4467,'合同综合查询数据（3月返）'!$A:$A,1,FALSE)</f>
        <v>182315IDC00087</v>
      </c>
      <c r="J4467" s="94" t="s">
        <v>33</v>
      </c>
      <c r="K4467" s="94" t="s">
        <v>264</v>
      </c>
      <c r="L4467" s="281" t="s">
        <v>6150</v>
      </c>
      <c r="M4467" s="94" t="s">
        <v>6151</v>
      </c>
      <c r="N4467" s="106">
        <v>44824</v>
      </c>
      <c r="O4467" s="94" t="s">
        <v>37</v>
      </c>
      <c r="P4467" s="116">
        <v>0</v>
      </c>
      <c r="Q4467" s="297">
        <v>-128</v>
      </c>
      <c r="R4467" s="116">
        <f t="shared" si="99"/>
        <v>0</v>
      </c>
      <c r="S4467" s="298">
        <v>202303</v>
      </c>
      <c r="T4467" s="354" t="s">
        <v>6153</v>
      </c>
      <c r="U4467" s="344"/>
      <c r="V4467" s="358"/>
      <c r="W4467" s="358"/>
      <c r="X4467" s="106">
        <v>44927</v>
      </c>
      <c r="Y4467" s="106">
        <v>45107</v>
      </c>
    </row>
    <row r="4468" s="9" customFormat="1" customHeight="1" spans="1:25">
      <c r="A4468" s="94" t="s">
        <v>399</v>
      </c>
      <c r="B4468" s="94" t="s">
        <v>5875</v>
      </c>
      <c r="C4468" s="94" t="s">
        <v>44</v>
      </c>
      <c r="D4468" s="94" t="s">
        <v>566</v>
      </c>
      <c r="E4468" s="23" t="s">
        <v>6144</v>
      </c>
      <c r="F4468" s="94" t="s">
        <v>6145</v>
      </c>
      <c r="G4468" s="94" t="s">
        <v>31</v>
      </c>
      <c r="H4468" s="97" t="s">
        <v>6146</v>
      </c>
      <c r="I4468" s="23" t="str">
        <f>VLOOKUP(H4468,'合同综合查询数据（3月返）'!$A:$A,1,FALSE)</f>
        <v>182315IDC00087</v>
      </c>
      <c r="J4468" s="94" t="s">
        <v>1019</v>
      </c>
      <c r="K4468" s="94" t="s">
        <v>264</v>
      </c>
      <c r="L4468" s="281" t="s">
        <v>6154</v>
      </c>
      <c r="M4468" s="94" t="s">
        <v>6155</v>
      </c>
      <c r="N4468" s="106"/>
      <c r="O4468" s="94" t="s">
        <v>37</v>
      </c>
      <c r="P4468" s="116">
        <v>0</v>
      </c>
      <c r="Q4468" s="297">
        <f>512-Q4469</f>
        <v>128</v>
      </c>
      <c r="R4468" s="116">
        <f t="shared" si="99"/>
        <v>0</v>
      </c>
      <c r="S4468" s="298">
        <v>202303</v>
      </c>
      <c r="T4468" s="354" t="s">
        <v>6156</v>
      </c>
      <c r="U4468" s="344"/>
      <c r="V4468" s="358"/>
      <c r="W4468" s="358"/>
      <c r="X4468" s="106">
        <v>44927</v>
      </c>
      <c r="Y4468" s="106">
        <v>45107</v>
      </c>
    </row>
    <row r="4469" s="9" customFormat="1" customHeight="1" spans="1:25">
      <c r="A4469" s="94" t="s">
        <v>399</v>
      </c>
      <c r="B4469" s="94" t="s">
        <v>5875</v>
      </c>
      <c r="C4469" s="94" t="s">
        <v>44</v>
      </c>
      <c r="D4469" s="94" t="s">
        <v>566</v>
      </c>
      <c r="E4469" s="23" t="s">
        <v>6144</v>
      </c>
      <c r="F4469" s="94" t="s">
        <v>6145</v>
      </c>
      <c r="G4469" s="94" t="s">
        <v>31</v>
      </c>
      <c r="H4469" s="97" t="s">
        <v>6146</v>
      </c>
      <c r="I4469" s="23" t="str">
        <f>VLOOKUP(H4469,'合同综合查询数据（3月返）'!$A:$A,1,FALSE)</f>
        <v>182315IDC00087</v>
      </c>
      <c r="J4469" s="94" t="s">
        <v>1019</v>
      </c>
      <c r="K4469" s="94" t="s">
        <v>264</v>
      </c>
      <c r="L4469" s="281" t="s">
        <v>6154</v>
      </c>
      <c r="M4469" s="94" t="s">
        <v>6155</v>
      </c>
      <c r="N4469" s="106"/>
      <c r="O4469" s="94" t="s">
        <v>37</v>
      </c>
      <c r="P4469" s="116">
        <v>50</v>
      </c>
      <c r="Q4469" s="297">
        <v>384</v>
      </c>
      <c r="R4469" s="116">
        <f t="shared" si="99"/>
        <v>19200</v>
      </c>
      <c r="S4469" s="298">
        <v>202303</v>
      </c>
      <c r="T4469" s="354" t="s">
        <v>6157</v>
      </c>
      <c r="U4469" s="344"/>
      <c r="V4469" s="358"/>
      <c r="W4469" s="358"/>
      <c r="X4469" s="106">
        <v>44927</v>
      </c>
      <c r="Y4469" s="106">
        <v>45107</v>
      </c>
    </row>
    <row r="4470" s="9" customFormat="1" customHeight="1" spans="1:25">
      <c r="A4470" s="94" t="s">
        <v>399</v>
      </c>
      <c r="B4470" s="94" t="s">
        <v>5875</v>
      </c>
      <c r="C4470" s="94" t="s">
        <v>44</v>
      </c>
      <c r="D4470" s="94" t="s">
        <v>566</v>
      </c>
      <c r="E4470" s="23" t="s">
        <v>6144</v>
      </c>
      <c r="F4470" s="94" t="s">
        <v>6145</v>
      </c>
      <c r="G4470" s="94" t="s">
        <v>31</v>
      </c>
      <c r="H4470" s="97" t="s">
        <v>6146</v>
      </c>
      <c r="I4470" s="23" t="str">
        <f>VLOOKUP(H4470,'合同综合查询数据（3月返）'!$A:$A,1,FALSE)</f>
        <v>182315IDC00087</v>
      </c>
      <c r="J4470" s="94" t="s">
        <v>1019</v>
      </c>
      <c r="K4470" s="94" t="s">
        <v>264</v>
      </c>
      <c r="L4470" s="281" t="s">
        <v>6154</v>
      </c>
      <c r="M4470" s="94" t="s">
        <v>6155</v>
      </c>
      <c r="N4470" s="106">
        <v>44895</v>
      </c>
      <c r="O4470" s="94" t="s">
        <v>37</v>
      </c>
      <c r="P4470" s="116">
        <v>0</v>
      </c>
      <c r="Q4470" s="297">
        <v>-128</v>
      </c>
      <c r="R4470" s="116">
        <f t="shared" si="99"/>
        <v>0</v>
      </c>
      <c r="S4470" s="298">
        <v>202303</v>
      </c>
      <c r="T4470" s="354" t="s">
        <v>6158</v>
      </c>
      <c r="U4470" s="344"/>
      <c r="V4470" s="358"/>
      <c r="W4470" s="358"/>
      <c r="X4470" s="106">
        <v>44927</v>
      </c>
      <c r="Y4470" s="106">
        <v>45107</v>
      </c>
    </row>
    <row r="4471" s="9" customFormat="1" customHeight="1" spans="1:25">
      <c r="A4471" s="94" t="s">
        <v>399</v>
      </c>
      <c r="B4471" s="94" t="s">
        <v>5875</v>
      </c>
      <c r="C4471" s="94" t="s">
        <v>44</v>
      </c>
      <c r="D4471" s="94" t="s">
        <v>566</v>
      </c>
      <c r="E4471" s="23" t="s">
        <v>6144</v>
      </c>
      <c r="F4471" s="94" t="s">
        <v>6145</v>
      </c>
      <c r="G4471" s="94" t="s">
        <v>31</v>
      </c>
      <c r="H4471" s="97" t="s">
        <v>6146</v>
      </c>
      <c r="I4471" s="23" t="str">
        <f>VLOOKUP(H4471,'合同综合查询数据（3月返）'!$A:$A,1,FALSE)</f>
        <v>182315IDC00087</v>
      </c>
      <c r="J4471" s="94" t="s">
        <v>1019</v>
      </c>
      <c r="K4471" s="94" t="s">
        <v>264</v>
      </c>
      <c r="L4471" s="281" t="s">
        <v>6154</v>
      </c>
      <c r="M4471" s="94" t="s">
        <v>6155</v>
      </c>
      <c r="N4471" s="106">
        <v>44895</v>
      </c>
      <c r="O4471" s="94" t="s">
        <v>37</v>
      </c>
      <c r="P4471" s="116">
        <v>50</v>
      </c>
      <c r="Q4471" s="297">
        <v>-384</v>
      </c>
      <c r="R4471" s="116">
        <f t="shared" si="99"/>
        <v>-19200</v>
      </c>
      <c r="S4471" s="298">
        <v>202303</v>
      </c>
      <c r="T4471" s="354" t="s">
        <v>6159</v>
      </c>
      <c r="U4471" s="344"/>
      <c r="V4471" s="358"/>
      <c r="W4471" s="358"/>
      <c r="X4471" s="106">
        <v>44927</v>
      </c>
      <c r="Y4471" s="106">
        <v>45107</v>
      </c>
    </row>
    <row r="4472" s="9" customFormat="1" customHeight="1" spans="1:25">
      <c r="A4472" s="94" t="s">
        <v>399</v>
      </c>
      <c r="B4472" s="94" t="s">
        <v>5875</v>
      </c>
      <c r="C4472" s="94" t="s">
        <v>44</v>
      </c>
      <c r="D4472" s="94" t="s">
        <v>566</v>
      </c>
      <c r="E4472" s="23" t="s">
        <v>6144</v>
      </c>
      <c r="F4472" s="94" t="s">
        <v>6145</v>
      </c>
      <c r="G4472" s="94" t="s">
        <v>88</v>
      </c>
      <c r="H4472" s="97" t="s">
        <v>6146</v>
      </c>
      <c r="I4472" s="23" t="str">
        <f>VLOOKUP(H4472,'合同综合查询数据（3月返）'!$A:$A,1,FALSE)</f>
        <v>182315IDC00087</v>
      </c>
      <c r="J4472" s="94" t="s">
        <v>126</v>
      </c>
      <c r="K4472" s="94" t="s">
        <v>264</v>
      </c>
      <c r="L4472" s="281" t="s">
        <v>6145</v>
      </c>
      <c r="M4472" s="94" t="s">
        <v>6147</v>
      </c>
      <c r="N4472" s="106">
        <v>42978</v>
      </c>
      <c r="O4472" s="94" t="s">
        <v>92</v>
      </c>
      <c r="P4472" s="116">
        <v>4300</v>
      </c>
      <c r="Q4472" s="107">
        <v>7</v>
      </c>
      <c r="R4472" s="116">
        <f t="shared" si="99"/>
        <v>30100</v>
      </c>
      <c r="S4472" s="298">
        <v>202303</v>
      </c>
      <c r="T4472" s="354" t="s">
        <v>6160</v>
      </c>
      <c r="U4472" s="344"/>
      <c r="V4472" s="358"/>
      <c r="W4472" s="358"/>
      <c r="X4472" s="106">
        <v>44927</v>
      </c>
      <c r="Y4472" s="106">
        <v>45107</v>
      </c>
    </row>
    <row r="4473" s="9" customFormat="1" customHeight="1" spans="1:25">
      <c r="A4473" s="94" t="s">
        <v>399</v>
      </c>
      <c r="B4473" s="94" t="s">
        <v>5875</v>
      </c>
      <c r="C4473" s="94" t="s">
        <v>44</v>
      </c>
      <c r="D4473" s="94" t="s">
        <v>566</v>
      </c>
      <c r="E4473" s="23" t="s">
        <v>6144</v>
      </c>
      <c r="F4473" s="94" t="s">
        <v>6145</v>
      </c>
      <c r="G4473" s="94" t="s">
        <v>88</v>
      </c>
      <c r="H4473" s="97" t="s">
        <v>6146</v>
      </c>
      <c r="I4473" s="23" t="str">
        <f>VLOOKUP(H4473,'合同综合查询数据（3月返）'!$A:$A,1,FALSE)</f>
        <v>182315IDC00087</v>
      </c>
      <c r="J4473" s="94" t="s">
        <v>126</v>
      </c>
      <c r="K4473" s="94" t="s">
        <v>264</v>
      </c>
      <c r="L4473" s="281" t="s">
        <v>6145</v>
      </c>
      <c r="M4473" s="94" t="s">
        <v>6147</v>
      </c>
      <c r="N4473" s="106">
        <v>44712</v>
      </c>
      <c r="O4473" s="94" t="s">
        <v>92</v>
      </c>
      <c r="P4473" s="116">
        <v>4300</v>
      </c>
      <c r="Q4473" s="107">
        <v>-7</v>
      </c>
      <c r="R4473" s="116">
        <f t="shared" si="99"/>
        <v>-30100</v>
      </c>
      <c r="S4473" s="298">
        <v>202303</v>
      </c>
      <c r="T4473" s="354" t="s">
        <v>6161</v>
      </c>
      <c r="U4473" s="344"/>
      <c r="V4473" s="358"/>
      <c r="W4473" s="358"/>
      <c r="X4473" s="106">
        <v>44927</v>
      </c>
      <c r="Y4473" s="106">
        <v>45107</v>
      </c>
    </row>
    <row r="4474" s="9" customFormat="1" customHeight="1" spans="1:25">
      <c r="A4474" s="94" t="s">
        <v>399</v>
      </c>
      <c r="B4474" s="94" t="s">
        <v>5875</v>
      </c>
      <c r="C4474" s="94" t="s">
        <v>44</v>
      </c>
      <c r="D4474" s="94" t="s">
        <v>566</v>
      </c>
      <c r="E4474" s="23" t="s">
        <v>6144</v>
      </c>
      <c r="F4474" s="94" t="s">
        <v>6145</v>
      </c>
      <c r="G4474" s="94" t="s">
        <v>88</v>
      </c>
      <c r="H4474" s="97" t="s">
        <v>6146</v>
      </c>
      <c r="I4474" s="23" t="str">
        <f>VLOOKUP(H4474,'合同综合查询数据（3月返）'!$A:$A,1,FALSE)</f>
        <v>182315IDC00087</v>
      </c>
      <c r="J4474" s="94" t="s">
        <v>126</v>
      </c>
      <c r="K4474" s="94" t="s">
        <v>264</v>
      </c>
      <c r="L4474" s="281" t="s">
        <v>6150</v>
      </c>
      <c r="M4474" s="94" t="s">
        <v>6151</v>
      </c>
      <c r="N4474" s="106">
        <v>43970</v>
      </c>
      <c r="O4474" s="94" t="s">
        <v>92</v>
      </c>
      <c r="P4474" s="116">
        <v>4300</v>
      </c>
      <c r="Q4474" s="107">
        <v>6</v>
      </c>
      <c r="R4474" s="116">
        <f t="shared" si="99"/>
        <v>25800</v>
      </c>
      <c r="S4474" s="298">
        <v>202303</v>
      </c>
      <c r="T4474" s="354" t="s">
        <v>6162</v>
      </c>
      <c r="U4474" s="344"/>
      <c r="V4474" s="358"/>
      <c r="W4474" s="358"/>
      <c r="X4474" s="106">
        <v>44927</v>
      </c>
      <c r="Y4474" s="106">
        <v>45107</v>
      </c>
    </row>
    <row r="4475" s="9" customFormat="1" customHeight="1" spans="1:25">
      <c r="A4475" s="94" t="s">
        <v>399</v>
      </c>
      <c r="B4475" s="94" t="s">
        <v>5875</v>
      </c>
      <c r="C4475" s="94" t="s">
        <v>44</v>
      </c>
      <c r="D4475" s="94" t="s">
        <v>566</v>
      </c>
      <c r="E4475" s="23" t="s">
        <v>6144</v>
      </c>
      <c r="F4475" s="94" t="s">
        <v>6145</v>
      </c>
      <c r="G4475" s="94" t="s">
        <v>88</v>
      </c>
      <c r="H4475" s="97" t="s">
        <v>6146</v>
      </c>
      <c r="I4475" s="23" t="str">
        <f>VLOOKUP(H4475,'合同综合查询数据（3月返）'!$A:$A,1,FALSE)</f>
        <v>182315IDC00087</v>
      </c>
      <c r="J4475" s="94" t="s">
        <v>126</v>
      </c>
      <c r="K4475" s="94" t="s">
        <v>264</v>
      </c>
      <c r="L4475" s="281" t="s">
        <v>6154</v>
      </c>
      <c r="M4475" s="94" t="s">
        <v>6151</v>
      </c>
      <c r="N4475" s="106">
        <v>44824</v>
      </c>
      <c r="O4475" s="94" t="s">
        <v>92</v>
      </c>
      <c r="P4475" s="116">
        <v>4300</v>
      </c>
      <c r="Q4475" s="107">
        <v>-3</v>
      </c>
      <c r="R4475" s="116">
        <f t="shared" si="99"/>
        <v>-12900</v>
      </c>
      <c r="S4475" s="298">
        <v>202303</v>
      </c>
      <c r="T4475" s="354" t="s">
        <v>6163</v>
      </c>
      <c r="U4475" s="344"/>
      <c r="V4475" s="358"/>
      <c r="W4475" s="358"/>
      <c r="X4475" s="106">
        <v>44927</v>
      </c>
      <c r="Y4475" s="106">
        <v>45107</v>
      </c>
    </row>
    <row r="4476" s="9" customFormat="1" customHeight="1" spans="1:25">
      <c r="A4476" s="94" t="s">
        <v>399</v>
      </c>
      <c r="B4476" s="94" t="s">
        <v>5875</v>
      </c>
      <c r="C4476" s="94" t="s">
        <v>44</v>
      </c>
      <c r="D4476" s="94" t="s">
        <v>566</v>
      </c>
      <c r="E4476" s="23" t="s">
        <v>6144</v>
      </c>
      <c r="F4476" s="94" t="s">
        <v>6145</v>
      </c>
      <c r="G4476" s="94" t="s">
        <v>88</v>
      </c>
      <c r="H4476" s="97" t="s">
        <v>6146</v>
      </c>
      <c r="I4476" s="23" t="str">
        <f>VLOOKUP(H4476,'合同综合查询数据（3月返）'!$A:$A,1,FALSE)</f>
        <v>182315IDC00087</v>
      </c>
      <c r="J4476" s="94" t="s">
        <v>1033</v>
      </c>
      <c r="K4476" s="94" t="s">
        <v>264</v>
      </c>
      <c r="L4476" s="281" t="s">
        <v>6154</v>
      </c>
      <c r="M4476" s="94" t="s">
        <v>6155</v>
      </c>
      <c r="N4476" s="106">
        <v>44030</v>
      </c>
      <c r="O4476" s="94" t="s">
        <v>92</v>
      </c>
      <c r="P4476" s="116">
        <v>4300</v>
      </c>
      <c r="Q4476" s="107">
        <v>2</v>
      </c>
      <c r="R4476" s="116">
        <f t="shared" si="99"/>
        <v>8600</v>
      </c>
      <c r="S4476" s="298">
        <v>202303</v>
      </c>
      <c r="T4476" s="354" t="s">
        <v>6164</v>
      </c>
      <c r="U4476" s="344"/>
      <c r="V4476" s="358"/>
      <c r="W4476" s="358"/>
      <c r="X4476" s="106">
        <v>44927</v>
      </c>
      <c r="Y4476" s="106">
        <v>45107</v>
      </c>
    </row>
    <row r="4477" s="9" customFormat="1" customHeight="1" spans="1:25">
      <c r="A4477" s="94" t="s">
        <v>399</v>
      </c>
      <c r="B4477" s="94" t="s">
        <v>5875</v>
      </c>
      <c r="C4477" s="94" t="s">
        <v>44</v>
      </c>
      <c r="D4477" s="94" t="s">
        <v>566</v>
      </c>
      <c r="E4477" s="23" t="s">
        <v>6144</v>
      </c>
      <c r="F4477" s="94" t="s">
        <v>6145</v>
      </c>
      <c r="G4477" s="94" t="s">
        <v>88</v>
      </c>
      <c r="H4477" s="97" t="s">
        <v>6146</v>
      </c>
      <c r="I4477" s="23" t="str">
        <f>VLOOKUP(H4477,'合同综合查询数据（3月返）'!$A:$A,1,FALSE)</f>
        <v>182315IDC00087</v>
      </c>
      <c r="J4477" s="94" t="s">
        <v>1033</v>
      </c>
      <c r="K4477" s="94" t="s">
        <v>264</v>
      </c>
      <c r="L4477" s="281" t="s">
        <v>6154</v>
      </c>
      <c r="M4477" s="94" t="s">
        <v>6155</v>
      </c>
      <c r="N4477" s="106">
        <v>44165</v>
      </c>
      <c r="O4477" s="94" t="s">
        <v>92</v>
      </c>
      <c r="P4477" s="116">
        <v>4300</v>
      </c>
      <c r="Q4477" s="107">
        <v>1</v>
      </c>
      <c r="R4477" s="116">
        <f t="shared" si="99"/>
        <v>4300</v>
      </c>
      <c r="S4477" s="298">
        <v>202303</v>
      </c>
      <c r="T4477" s="354" t="s">
        <v>6164</v>
      </c>
      <c r="U4477" s="344"/>
      <c r="V4477" s="358"/>
      <c r="W4477" s="358"/>
      <c r="X4477" s="106">
        <v>44927</v>
      </c>
      <c r="Y4477" s="106">
        <v>45107</v>
      </c>
    </row>
    <row r="4478" s="9" customFormat="1" customHeight="1" spans="1:25">
      <c r="A4478" s="94" t="s">
        <v>399</v>
      </c>
      <c r="B4478" s="94" t="s">
        <v>5875</v>
      </c>
      <c r="C4478" s="94" t="s">
        <v>44</v>
      </c>
      <c r="D4478" s="94" t="s">
        <v>566</v>
      </c>
      <c r="E4478" s="23" t="s">
        <v>6144</v>
      </c>
      <c r="F4478" s="94" t="s">
        <v>6145</v>
      </c>
      <c r="G4478" s="94" t="s">
        <v>88</v>
      </c>
      <c r="H4478" s="97" t="s">
        <v>6146</v>
      </c>
      <c r="I4478" s="23" t="str">
        <f>VLOOKUP(H4478,'合同综合查询数据（3月返）'!$A:$A,1,FALSE)</f>
        <v>182315IDC00087</v>
      </c>
      <c r="J4478" s="94" t="s">
        <v>1033</v>
      </c>
      <c r="K4478" s="94" t="s">
        <v>264</v>
      </c>
      <c r="L4478" s="281" t="s">
        <v>6154</v>
      </c>
      <c r="M4478" s="94" t="s">
        <v>6155</v>
      </c>
      <c r="N4478" s="106">
        <v>44895</v>
      </c>
      <c r="O4478" s="94" t="s">
        <v>92</v>
      </c>
      <c r="P4478" s="116">
        <v>4300</v>
      </c>
      <c r="Q4478" s="107">
        <v>-1</v>
      </c>
      <c r="R4478" s="116">
        <f t="shared" si="99"/>
        <v>-4300</v>
      </c>
      <c r="S4478" s="298">
        <v>202303</v>
      </c>
      <c r="T4478" s="354" t="s">
        <v>6165</v>
      </c>
      <c r="U4478" s="344"/>
      <c r="V4478" s="358"/>
      <c r="W4478" s="358"/>
      <c r="X4478" s="106">
        <v>44927</v>
      </c>
      <c r="Y4478" s="106">
        <v>45107</v>
      </c>
    </row>
    <row r="4479" s="9" customFormat="1" customHeight="1" spans="1:25">
      <c r="A4479" s="94" t="s">
        <v>399</v>
      </c>
      <c r="B4479" s="94" t="s">
        <v>5875</v>
      </c>
      <c r="C4479" s="94" t="s">
        <v>44</v>
      </c>
      <c r="D4479" s="94" t="s">
        <v>566</v>
      </c>
      <c r="E4479" s="23" t="s">
        <v>6144</v>
      </c>
      <c r="F4479" s="94" t="s">
        <v>6145</v>
      </c>
      <c r="G4479" s="94" t="s">
        <v>88</v>
      </c>
      <c r="H4479" s="97" t="s">
        <v>6146</v>
      </c>
      <c r="I4479" s="23" t="str">
        <f>VLOOKUP(H4479,'合同综合查询数据（3月返）'!$A:$A,1,FALSE)</f>
        <v>182315IDC00087</v>
      </c>
      <c r="J4479" s="94" t="s">
        <v>1033</v>
      </c>
      <c r="K4479" s="94" t="s">
        <v>264</v>
      </c>
      <c r="L4479" s="281" t="s">
        <v>6154</v>
      </c>
      <c r="M4479" s="94" t="s">
        <v>6155</v>
      </c>
      <c r="N4479" s="106">
        <v>44895</v>
      </c>
      <c r="O4479" s="94" t="s">
        <v>92</v>
      </c>
      <c r="P4479" s="116">
        <v>4300</v>
      </c>
      <c r="Q4479" s="107">
        <v>-2</v>
      </c>
      <c r="R4479" s="116">
        <f t="shared" si="99"/>
        <v>-8600</v>
      </c>
      <c r="S4479" s="298">
        <v>202303</v>
      </c>
      <c r="T4479" s="354" t="s">
        <v>6166</v>
      </c>
      <c r="U4479" s="344"/>
      <c r="V4479" s="358"/>
      <c r="W4479" s="358"/>
      <c r="X4479" s="106">
        <v>44927</v>
      </c>
      <c r="Y4479" s="106">
        <v>45107</v>
      </c>
    </row>
    <row r="4480" s="9" customFormat="1" customHeight="1" spans="1:25">
      <c r="A4480" s="94" t="s">
        <v>399</v>
      </c>
      <c r="B4480" s="94" t="s">
        <v>5875</v>
      </c>
      <c r="C4480" s="94" t="s">
        <v>44</v>
      </c>
      <c r="D4480" s="94" t="s">
        <v>566</v>
      </c>
      <c r="E4480" s="23" t="s">
        <v>6167</v>
      </c>
      <c r="F4480" s="94" t="s">
        <v>6168</v>
      </c>
      <c r="G4480" s="94" t="s">
        <v>31</v>
      </c>
      <c r="H4480" s="97" t="s">
        <v>6169</v>
      </c>
      <c r="I4480" s="23" t="e">
        <f>VLOOKUP(H4480,'合同综合查询数据（3月返）'!$A:$A,1,FALSE)</f>
        <v>#N/A</v>
      </c>
      <c r="J4480" s="94" t="s">
        <v>33</v>
      </c>
      <c r="K4480" s="281" t="s">
        <v>6170</v>
      </c>
      <c r="L4480" s="281" t="s">
        <v>6170</v>
      </c>
      <c r="M4480" s="94" t="s">
        <v>6171</v>
      </c>
      <c r="N4480" s="106">
        <v>43775</v>
      </c>
      <c r="O4480" s="94" t="s">
        <v>37</v>
      </c>
      <c r="P4480" s="116">
        <v>0</v>
      </c>
      <c r="Q4480" s="297">
        <v>192</v>
      </c>
      <c r="R4480" s="116">
        <f t="shared" si="99"/>
        <v>0</v>
      </c>
      <c r="S4480" s="298">
        <v>202303</v>
      </c>
      <c r="T4480" s="354" t="s">
        <v>6172</v>
      </c>
      <c r="U4480" s="344"/>
      <c r="V4480" s="358"/>
      <c r="W4480" s="358"/>
      <c r="X4480" s="106">
        <v>44197</v>
      </c>
      <c r="Y4480" s="106">
        <v>44926</v>
      </c>
    </row>
    <row r="4481" s="9" customFormat="1" customHeight="1" spans="1:25">
      <c r="A4481" s="94" t="s">
        <v>399</v>
      </c>
      <c r="B4481" s="94" t="s">
        <v>5875</v>
      </c>
      <c r="C4481" s="94" t="s">
        <v>44</v>
      </c>
      <c r="D4481" s="94" t="s">
        <v>566</v>
      </c>
      <c r="E4481" s="23" t="s">
        <v>6167</v>
      </c>
      <c r="F4481" s="94" t="s">
        <v>6168</v>
      </c>
      <c r="G4481" s="94" t="s">
        <v>31</v>
      </c>
      <c r="H4481" s="97" t="s">
        <v>6169</v>
      </c>
      <c r="I4481" s="23" t="e">
        <f>VLOOKUP(H4481,'合同综合查询数据（3月返）'!$A:$A,1,FALSE)</f>
        <v>#N/A</v>
      </c>
      <c r="J4481" s="94" t="s">
        <v>33</v>
      </c>
      <c r="K4481" s="281" t="s">
        <v>6170</v>
      </c>
      <c r="L4481" s="281" t="s">
        <v>6170</v>
      </c>
      <c r="M4481" s="94" t="s">
        <v>6171</v>
      </c>
      <c r="N4481" s="106">
        <v>43775</v>
      </c>
      <c r="O4481" s="94" t="s">
        <v>37</v>
      </c>
      <c r="P4481" s="116">
        <v>50</v>
      </c>
      <c r="Q4481" s="297">
        <v>96</v>
      </c>
      <c r="R4481" s="116">
        <f t="shared" si="99"/>
        <v>4800</v>
      </c>
      <c r="S4481" s="298">
        <v>202303</v>
      </c>
      <c r="T4481" s="354" t="s">
        <v>6172</v>
      </c>
      <c r="U4481" s="344"/>
      <c r="V4481" s="358"/>
      <c r="W4481" s="358"/>
      <c r="X4481" s="106">
        <v>44197</v>
      </c>
      <c r="Y4481" s="106">
        <v>44926</v>
      </c>
    </row>
    <row r="4482" s="9" customFormat="1" customHeight="1" spans="1:25">
      <c r="A4482" s="94" t="s">
        <v>399</v>
      </c>
      <c r="B4482" s="94" t="s">
        <v>5875</v>
      </c>
      <c r="C4482" s="94" t="s">
        <v>44</v>
      </c>
      <c r="D4482" s="94" t="s">
        <v>566</v>
      </c>
      <c r="E4482" s="23" t="s">
        <v>6167</v>
      </c>
      <c r="F4482" s="94" t="s">
        <v>6168</v>
      </c>
      <c r="G4482" s="94" t="s">
        <v>31</v>
      </c>
      <c r="H4482" s="97" t="s">
        <v>6169</v>
      </c>
      <c r="I4482" s="23" t="e">
        <f>VLOOKUP(H4482,'合同综合查询数据（3月返）'!$A:$A,1,FALSE)</f>
        <v>#N/A</v>
      </c>
      <c r="J4482" s="94" t="s">
        <v>33</v>
      </c>
      <c r="K4482" s="281" t="s">
        <v>6170</v>
      </c>
      <c r="L4482" s="281" t="s">
        <v>6170</v>
      </c>
      <c r="M4482" s="94" t="s">
        <v>6171</v>
      </c>
      <c r="N4482" s="106">
        <v>44773</v>
      </c>
      <c r="O4482" s="94" t="s">
        <v>37</v>
      </c>
      <c r="P4482" s="116">
        <v>0</v>
      </c>
      <c r="Q4482" s="297">
        <v>-192</v>
      </c>
      <c r="R4482" s="116">
        <f t="shared" si="99"/>
        <v>0</v>
      </c>
      <c r="S4482" s="298">
        <v>202303</v>
      </c>
      <c r="T4482" s="354" t="s">
        <v>6173</v>
      </c>
      <c r="U4482" s="344"/>
      <c r="V4482" s="358"/>
      <c r="W4482" s="358"/>
      <c r="X4482" s="106">
        <v>44197</v>
      </c>
      <c r="Y4482" s="106">
        <v>44926</v>
      </c>
    </row>
    <row r="4483" s="9" customFormat="1" customHeight="1" spans="1:25">
      <c r="A4483" s="94" t="s">
        <v>399</v>
      </c>
      <c r="B4483" s="94" t="s">
        <v>5875</v>
      </c>
      <c r="C4483" s="94" t="s">
        <v>44</v>
      </c>
      <c r="D4483" s="94" t="s">
        <v>566</v>
      </c>
      <c r="E4483" s="23" t="s">
        <v>6167</v>
      </c>
      <c r="F4483" s="94" t="s">
        <v>6168</v>
      </c>
      <c r="G4483" s="94" t="s">
        <v>31</v>
      </c>
      <c r="H4483" s="97" t="s">
        <v>6169</v>
      </c>
      <c r="I4483" s="23" t="e">
        <f>VLOOKUP(H4483,'合同综合查询数据（3月返）'!$A:$A,1,FALSE)</f>
        <v>#N/A</v>
      </c>
      <c r="J4483" s="94" t="s">
        <v>33</v>
      </c>
      <c r="K4483" s="281" t="s">
        <v>6170</v>
      </c>
      <c r="L4483" s="281" t="s">
        <v>6170</v>
      </c>
      <c r="M4483" s="94" t="s">
        <v>6171</v>
      </c>
      <c r="N4483" s="106">
        <v>44773</v>
      </c>
      <c r="O4483" s="94" t="s">
        <v>37</v>
      </c>
      <c r="P4483" s="116">
        <v>50</v>
      </c>
      <c r="Q4483" s="297">
        <v>-96</v>
      </c>
      <c r="R4483" s="116">
        <f t="shared" si="99"/>
        <v>-4800</v>
      </c>
      <c r="S4483" s="298">
        <v>202303</v>
      </c>
      <c r="T4483" s="354" t="s">
        <v>6173</v>
      </c>
      <c r="U4483" s="344"/>
      <c r="V4483" s="358"/>
      <c r="W4483" s="358"/>
      <c r="X4483" s="106">
        <v>44197</v>
      </c>
      <c r="Y4483" s="106">
        <v>44926</v>
      </c>
    </row>
    <row r="4484" s="9" customFormat="1" customHeight="1" spans="1:25">
      <c r="A4484" s="94" t="s">
        <v>399</v>
      </c>
      <c r="B4484" s="94" t="s">
        <v>5875</v>
      </c>
      <c r="C4484" s="94" t="s">
        <v>44</v>
      </c>
      <c r="D4484" s="94" t="s">
        <v>566</v>
      </c>
      <c r="E4484" s="23" t="s">
        <v>6167</v>
      </c>
      <c r="F4484" s="94" t="s">
        <v>6168</v>
      </c>
      <c r="G4484" s="94" t="s">
        <v>88</v>
      </c>
      <c r="H4484" s="97" t="s">
        <v>6169</v>
      </c>
      <c r="I4484" s="23" t="e">
        <f>VLOOKUP(H4484,'合同综合查询数据（3月返）'!$A:$A,1,FALSE)</f>
        <v>#N/A</v>
      </c>
      <c r="J4484" s="94" t="s">
        <v>126</v>
      </c>
      <c r="K4484" s="281" t="s">
        <v>6170</v>
      </c>
      <c r="L4484" s="281" t="s">
        <v>6170</v>
      </c>
      <c r="M4484" s="94" t="s">
        <v>6171</v>
      </c>
      <c r="N4484" s="106">
        <v>43775</v>
      </c>
      <c r="O4484" s="94" t="s">
        <v>92</v>
      </c>
      <c r="P4484" s="116">
        <v>4300</v>
      </c>
      <c r="Q4484" s="107">
        <v>3</v>
      </c>
      <c r="R4484" s="116">
        <f t="shared" si="99"/>
        <v>12900</v>
      </c>
      <c r="S4484" s="298">
        <v>202303</v>
      </c>
      <c r="T4484" s="354" t="s">
        <v>6174</v>
      </c>
      <c r="U4484" s="344"/>
      <c r="V4484" s="358"/>
      <c r="W4484" s="358"/>
      <c r="X4484" s="106">
        <v>44197</v>
      </c>
      <c r="Y4484" s="106">
        <v>44926</v>
      </c>
    </row>
    <row r="4485" s="9" customFormat="1" customHeight="1" spans="1:25">
      <c r="A4485" s="94" t="s">
        <v>399</v>
      </c>
      <c r="B4485" s="94" t="s">
        <v>5875</v>
      </c>
      <c r="C4485" s="94" t="s">
        <v>44</v>
      </c>
      <c r="D4485" s="94" t="s">
        <v>566</v>
      </c>
      <c r="E4485" s="23" t="s">
        <v>6167</v>
      </c>
      <c r="F4485" s="94" t="s">
        <v>6168</v>
      </c>
      <c r="G4485" s="94" t="s">
        <v>88</v>
      </c>
      <c r="H4485" s="97" t="s">
        <v>6169</v>
      </c>
      <c r="I4485" s="23" t="e">
        <f>VLOOKUP(H4485,'合同综合查询数据（3月返）'!$A:$A,1,FALSE)</f>
        <v>#N/A</v>
      </c>
      <c r="J4485" s="94" t="s">
        <v>126</v>
      </c>
      <c r="K4485" s="281" t="s">
        <v>6170</v>
      </c>
      <c r="L4485" s="281" t="s">
        <v>6170</v>
      </c>
      <c r="M4485" s="94" t="s">
        <v>6171</v>
      </c>
      <c r="N4485" s="106">
        <v>43966</v>
      </c>
      <c r="O4485" s="94" t="s">
        <v>92</v>
      </c>
      <c r="P4485" s="116">
        <v>4300</v>
      </c>
      <c r="Q4485" s="107">
        <v>2</v>
      </c>
      <c r="R4485" s="116">
        <f t="shared" si="99"/>
        <v>8600</v>
      </c>
      <c r="S4485" s="298">
        <v>202303</v>
      </c>
      <c r="T4485" s="354" t="s">
        <v>6175</v>
      </c>
      <c r="U4485" s="344"/>
      <c r="V4485" s="358"/>
      <c r="W4485" s="358"/>
      <c r="X4485" s="106">
        <v>44197</v>
      </c>
      <c r="Y4485" s="106">
        <v>44926</v>
      </c>
    </row>
    <row r="4486" s="9" customFormat="1" customHeight="1" spans="1:25">
      <c r="A4486" s="94" t="s">
        <v>399</v>
      </c>
      <c r="B4486" s="94" t="s">
        <v>5875</v>
      </c>
      <c r="C4486" s="94" t="s">
        <v>44</v>
      </c>
      <c r="D4486" s="94" t="s">
        <v>566</v>
      </c>
      <c r="E4486" s="23" t="s">
        <v>6167</v>
      </c>
      <c r="F4486" s="94" t="s">
        <v>6168</v>
      </c>
      <c r="G4486" s="94" t="s">
        <v>88</v>
      </c>
      <c r="H4486" s="97" t="s">
        <v>6169</v>
      </c>
      <c r="I4486" s="23" t="e">
        <f>VLOOKUP(H4486,'合同综合查询数据（3月返）'!$A:$A,1,FALSE)</f>
        <v>#N/A</v>
      </c>
      <c r="J4486" s="94" t="s">
        <v>126</v>
      </c>
      <c r="K4486" s="281" t="s">
        <v>6170</v>
      </c>
      <c r="L4486" s="281" t="s">
        <v>6170</v>
      </c>
      <c r="M4486" s="94" t="s">
        <v>6171</v>
      </c>
      <c r="N4486" s="106">
        <v>44773</v>
      </c>
      <c r="O4486" s="94" t="s">
        <v>92</v>
      </c>
      <c r="P4486" s="116">
        <v>4300</v>
      </c>
      <c r="Q4486" s="107">
        <v>-5</v>
      </c>
      <c r="R4486" s="116">
        <f t="shared" si="99"/>
        <v>-21500</v>
      </c>
      <c r="S4486" s="298">
        <v>202303</v>
      </c>
      <c r="T4486" s="354" t="s">
        <v>6176</v>
      </c>
      <c r="U4486" s="344"/>
      <c r="V4486" s="358"/>
      <c r="W4486" s="358"/>
      <c r="X4486" s="106">
        <v>44197</v>
      </c>
      <c r="Y4486" s="106">
        <v>44926</v>
      </c>
    </row>
    <row r="4487" s="9" customFormat="1" customHeight="1" spans="1:25">
      <c r="A4487" s="94" t="s">
        <v>399</v>
      </c>
      <c r="B4487" s="94" t="s">
        <v>5875</v>
      </c>
      <c r="C4487" s="94" t="s">
        <v>44</v>
      </c>
      <c r="D4487" s="94" t="s">
        <v>566</v>
      </c>
      <c r="E4487" s="23" t="s">
        <v>6177</v>
      </c>
      <c r="F4487" s="94" t="s">
        <v>6178</v>
      </c>
      <c r="G4487" s="94" t="s">
        <v>31</v>
      </c>
      <c r="H4487" s="97" t="s">
        <v>6179</v>
      </c>
      <c r="I4487" s="23" t="e">
        <f>VLOOKUP(H4487,'合同综合查询数据（3月返）'!$A:$A,1,FALSE)</f>
        <v>#N/A</v>
      </c>
      <c r="J4487" s="94" t="s">
        <v>33</v>
      </c>
      <c r="K4487" s="94" t="s">
        <v>6180</v>
      </c>
      <c r="L4487" s="281" t="s">
        <v>6178</v>
      </c>
      <c r="M4487" s="94" t="s">
        <v>6181</v>
      </c>
      <c r="N4487" s="106">
        <v>42823</v>
      </c>
      <c r="O4487" s="94" t="s">
        <v>37</v>
      </c>
      <c r="P4487" s="116">
        <v>0</v>
      </c>
      <c r="Q4487" s="297">
        <v>256</v>
      </c>
      <c r="R4487" s="116">
        <f t="shared" si="99"/>
        <v>0</v>
      </c>
      <c r="S4487" s="298">
        <v>202303</v>
      </c>
      <c r="T4487" s="354" t="s">
        <v>6182</v>
      </c>
      <c r="U4487" s="344"/>
      <c r="V4487" s="358"/>
      <c r="W4487" s="358"/>
      <c r="X4487" s="106">
        <v>44197</v>
      </c>
      <c r="Y4487" s="106">
        <v>44926</v>
      </c>
    </row>
    <row r="4488" s="9" customFormat="1" customHeight="1" spans="1:25">
      <c r="A4488" s="94" t="s">
        <v>399</v>
      </c>
      <c r="B4488" s="94" t="s">
        <v>5875</v>
      </c>
      <c r="C4488" s="94" t="s">
        <v>44</v>
      </c>
      <c r="D4488" s="94" t="s">
        <v>566</v>
      </c>
      <c r="E4488" s="23" t="s">
        <v>6177</v>
      </c>
      <c r="F4488" s="94" t="s">
        <v>6178</v>
      </c>
      <c r="G4488" s="94" t="s">
        <v>31</v>
      </c>
      <c r="H4488" s="97" t="s">
        <v>6179</v>
      </c>
      <c r="I4488" s="23" t="e">
        <f>VLOOKUP(H4488,'合同综合查询数据（3月返）'!$A:$A,1,FALSE)</f>
        <v>#N/A</v>
      </c>
      <c r="J4488" s="94" t="s">
        <v>33</v>
      </c>
      <c r="K4488" s="94" t="s">
        <v>6180</v>
      </c>
      <c r="L4488" s="281" t="s">
        <v>6178</v>
      </c>
      <c r="M4488" s="94" t="s">
        <v>6181</v>
      </c>
      <c r="N4488" s="106">
        <v>42823</v>
      </c>
      <c r="O4488" s="94" t="s">
        <v>37</v>
      </c>
      <c r="P4488" s="116">
        <v>50</v>
      </c>
      <c r="Q4488" s="297">
        <v>32</v>
      </c>
      <c r="R4488" s="116">
        <f t="shared" si="99"/>
        <v>1600</v>
      </c>
      <c r="S4488" s="298">
        <v>202303</v>
      </c>
      <c r="T4488" s="354" t="s">
        <v>6183</v>
      </c>
      <c r="U4488" s="344"/>
      <c r="V4488" s="358"/>
      <c r="W4488" s="358"/>
      <c r="X4488" s="106">
        <v>44197</v>
      </c>
      <c r="Y4488" s="106">
        <v>44926</v>
      </c>
    </row>
    <row r="4489" s="9" customFormat="1" customHeight="1" spans="1:25">
      <c r="A4489" s="94" t="s">
        <v>399</v>
      </c>
      <c r="B4489" s="94" t="s">
        <v>5875</v>
      </c>
      <c r="C4489" s="94" t="s">
        <v>44</v>
      </c>
      <c r="D4489" s="94" t="s">
        <v>566</v>
      </c>
      <c r="E4489" s="23" t="s">
        <v>6177</v>
      </c>
      <c r="F4489" s="94" t="s">
        <v>6178</v>
      </c>
      <c r="G4489" s="94" t="s">
        <v>31</v>
      </c>
      <c r="H4489" s="97" t="s">
        <v>6179</v>
      </c>
      <c r="I4489" s="23" t="e">
        <f>VLOOKUP(H4489,'合同综合查询数据（3月返）'!$A:$A,1,FALSE)</f>
        <v>#N/A</v>
      </c>
      <c r="J4489" s="94" t="s">
        <v>33</v>
      </c>
      <c r="K4489" s="94" t="s">
        <v>6180</v>
      </c>
      <c r="L4489" s="281" t="s">
        <v>6178</v>
      </c>
      <c r="M4489" s="94" t="s">
        <v>6181</v>
      </c>
      <c r="N4489" s="106">
        <v>44773</v>
      </c>
      <c r="O4489" s="94" t="s">
        <v>37</v>
      </c>
      <c r="P4489" s="116">
        <v>0</v>
      </c>
      <c r="Q4489" s="297">
        <v>-256</v>
      </c>
      <c r="R4489" s="116">
        <f t="shared" si="99"/>
        <v>0</v>
      </c>
      <c r="S4489" s="298">
        <v>202303</v>
      </c>
      <c r="T4489" s="354" t="s">
        <v>6184</v>
      </c>
      <c r="U4489" s="344"/>
      <c r="V4489" s="358"/>
      <c r="W4489" s="358"/>
      <c r="X4489" s="106">
        <v>44197</v>
      </c>
      <c r="Y4489" s="106">
        <v>44926</v>
      </c>
    </row>
    <row r="4490" s="9" customFormat="1" customHeight="1" spans="1:25">
      <c r="A4490" s="94" t="s">
        <v>399</v>
      </c>
      <c r="B4490" s="94" t="s">
        <v>5875</v>
      </c>
      <c r="C4490" s="94" t="s">
        <v>44</v>
      </c>
      <c r="D4490" s="94" t="s">
        <v>566</v>
      </c>
      <c r="E4490" s="23" t="s">
        <v>6177</v>
      </c>
      <c r="F4490" s="94" t="s">
        <v>6178</v>
      </c>
      <c r="G4490" s="94" t="s">
        <v>31</v>
      </c>
      <c r="H4490" s="97" t="s">
        <v>6179</v>
      </c>
      <c r="I4490" s="23" t="e">
        <f>VLOOKUP(H4490,'合同综合查询数据（3月返）'!$A:$A,1,FALSE)</f>
        <v>#N/A</v>
      </c>
      <c r="J4490" s="94" t="s">
        <v>33</v>
      </c>
      <c r="K4490" s="94" t="s">
        <v>6180</v>
      </c>
      <c r="L4490" s="281" t="s">
        <v>6178</v>
      </c>
      <c r="M4490" s="94" t="s">
        <v>6181</v>
      </c>
      <c r="N4490" s="106">
        <v>44773</v>
      </c>
      <c r="O4490" s="94" t="s">
        <v>37</v>
      </c>
      <c r="P4490" s="116">
        <v>50</v>
      </c>
      <c r="Q4490" s="297">
        <v>-32</v>
      </c>
      <c r="R4490" s="116">
        <f t="shared" si="99"/>
        <v>-1600</v>
      </c>
      <c r="S4490" s="298">
        <v>202303</v>
      </c>
      <c r="T4490" s="354" t="s">
        <v>6184</v>
      </c>
      <c r="U4490" s="344"/>
      <c r="V4490" s="358"/>
      <c r="W4490" s="358"/>
      <c r="X4490" s="106">
        <v>44197</v>
      </c>
      <c r="Y4490" s="106">
        <v>44926</v>
      </c>
    </row>
    <row r="4491" s="9" customFormat="1" customHeight="1" spans="1:25">
      <c r="A4491" s="94" t="s">
        <v>399</v>
      </c>
      <c r="B4491" s="94" t="s">
        <v>5875</v>
      </c>
      <c r="C4491" s="94" t="s">
        <v>44</v>
      </c>
      <c r="D4491" s="94" t="s">
        <v>566</v>
      </c>
      <c r="E4491" s="23" t="s">
        <v>6177</v>
      </c>
      <c r="F4491" s="94" t="s">
        <v>6178</v>
      </c>
      <c r="G4491" s="94" t="s">
        <v>31</v>
      </c>
      <c r="H4491" s="97" t="s">
        <v>6179</v>
      </c>
      <c r="I4491" s="23" t="e">
        <f>VLOOKUP(H4491,'合同综合查询数据（3月返）'!$A:$A,1,FALSE)</f>
        <v>#N/A</v>
      </c>
      <c r="J4491" s="94" t="s">
        <v>33</v>
      </c>
      <c r="K4491" s="94" t="s">
        <v>6185</v>
      </c>
      <c r="L4491" s="281" t="s">
        <v>6186</v>
      </c>
      <c r="M4491" s="94" t="s">
        <v>6187</v>
      </c>
      <c r="N4491" s="106">
        <v>43329</v>
      </c>
      <c r="O4491" s="94" t="s">
        <v>37</v>
      </c>
      <c r="P4491" s="116">
        <v>0</v>
      </c>
      <c r="Q4491" s="297">
        <v>288</v>
      </c>
      <c r="R4491" s="116">
        <f t="shared" si="99"/>
        <v>0</v>
      </c>
      <c r="S4491" s="298">
        <v>202303</v>
      </c>
      <c r="T4491" s="354" t="s">
        <v>6188</v>
      </c>
      <c r="U4491" s="344"/>
      <c r="V4491" s="358"/>
      <c r="W4491" s="358"/>
      <c r="X4491" s="106">
        <v>44197</v>
      </c>
      <c r="Y4491" s="106">
        <v>44926</v>
      </c>
    </row>
    <row r="4492" s="9" customFormat="1" customHeight="1" spans="1:25">
      <c r="A4492" s="94" t="s">
        <v>399</v>
      </c>
      <c r="B4492" s="94" t="s">
        <v>5875</v>
      </c>
      <c r="C4492" s="94" t="s">
        <v>44</v>
      </c>
      <c r="D4492" s="94" t="s">
        <v>566</v>
      </c>
      <c r="E4492" s="23" t="s">
        <v>6177</v>
      </c>
      <c r="F4492" s="94" t="s">
        <v>6178</v>
      </c>
      <c r="G4492" s="94" t="s">
        <v>31</v>
      </c>
      <c r="H4492" s="97" t="s">
        <v>6179</v>
      </c>
      <c r="I4492" s="23" t="e">
        <f>VLOOKUP(H4492,'合同综合查询数据（3月返）'!$A:$A,1,FALSE)</f>
        <v>#N/A</v>
      </c>
      <c r="J4492" s="94" t="s">
        <v>33</v>
      </c>
      <c r="K4492" s="94" t="s">
        <v>6185</v>
      </c>
      <c r="L4492" s="281" t="s">
        <v>6186</v>
      </c>
      <c r="M4492" s="94" t="s">
        <v>6187</v>
      </c>
      <c r="N4492" s="106">
        <v>44681</v>
      </c>
      <c r="O4492" s="94" t="s">
        <v>37</v>
      </c>
      <c r="P4492" s="116">
        <v>0</v>
      </c>
      <c r="Q4492" s="297">
        <v>-288</v>
      </c>
      <c r="R4492" s="116">
        <f t="shared" si="99"/>
        <v>0</v>
      </c>
      <c r="S4492" s="298">
        <v>202303</v>
      </c>
      <c r="T4492" s="354" t="s">
        <v>6189</v>
      </c>
      <c r="U4492" s="344"/>
      <c r="V4492" s="358"/>
      <c r="W4492" s="358"/>
      <c r="X4492" s="106">
        <v>44197</v>
      </c>
      <c r="Y4492" s="106">
        <v>44926</v>
      </c>
    </row>
    <row r="4493" s="9" customFormat="1" customHeight="1" spans="1:25">
      <c r="A4493" s="94" t="s">
        <v>399</v>
      </c>
      <c r="B4493" s="94" t="s">
        <v>5875</v>
      </c>
      <c r="C4493" s="94" t="s">
        <v>44</v>
      </c>
      <c r="D4493" s="94" t="s">
        <v>566</v>
      </c>
      <c r="E4493" s="23" t="s">
        <v>6177</v>
      </c>
      <c r="F4493" s="94" t="s">
        <v>6178</v>
      </c>
      <c r="G4493" s="94" t="s">
        <v>88</v>
      </c>
      <c r="H4493" s="97" t="s">
        <v>6179</v>
      </c>
      <c r="I4493" s="23" t="e">
        <f>VLOOKUP(H4493,'合同综合查询数据（3月返）'!$A:$A,1,FALSE)</f>
        <v>#N/A</v>
      </c>
      <c r="J4493" s="94" t="s">
        <v>126</v>
      </c>
      <c r="K4493" s="94" t="s">
        <v>6180</v>
      </c>
      <c r="L4493" s="281" t="s">
        <v>6178</v>
      </c>
      <c r="M4493" s="94" t="s">
        <v>6181</v>
      </c>
      <c r="N4493" s="106">
        <v>42823</v>
      </c>
      <c r="O4493" s="94" t="s">
        <v>92</v>
      </c>
      <c r="P4493" s="116">
        <v>4300</v>
      </c>
      <c r="Q4493" s="107">
        <v>8</v>
      </c>
      <c r="R4493" s="116">
        <f t="shared" si="99"/>
        <v>34400</v>
      </c>
      <c r="S4493" s="298">
        <v>202303</v>
      </c>
      <c r="T4493" s="354" t="s">
        <v>6190</v>
      </c>
      <c r="U4493" s="344"/>
      <c r="V4493" s="358"/>
      <c r="W4493" s="358"/>
      <c r="X4493" s="106">
        <v>44197</v>
      </c>
      <c r="Y4493" s="106">
        <v>44926</v>
      </c>
    </row>
    <row r="4494" s="9" customFormat="1" customHeight="1" spans="1:25">
      <c r="A4494" s="94" t="s">
        <v>399</v>
      </c>
      <c r="B4494" s="94" t="s">
        <v>5875</v>
      </c>
      <c r="C4494" s="94" t="s">
        <v>44</v>
      </c>
      <c r="D4494" s="94" t="s">
        <v>566</v>
      </c>
      <c r="E4494" s="23" t="s">
        <v>6177</v>
      </c>
      <c r="F4494" s="94" t="s">
        <v>6178</v>
      </c>
      <c r="G4494" s="94" t="s">
        <v>88</v>
      </c>
      <c r="H4494" s="97" t="s">
        <v>6179</v>
      </c>
      <c r="I4494" s="23" t="e">
        <f>VLOOKUP(H4494,'合同综合查询数据（3月返）'!$A:$A,1,FALSE)</f>
        <v>#N/A</v>
      </c>
      <c r="J4494" s="94" t="s">
        <v>126</v>
      </c>
      <c r="K4494" s="94" t="s">
        <v>6180</v>
      </c>
      <c r="L4494" s="281" t="s">
        <v>6178</v>
      </c>
      <c r="M4494" s="94" t="s">
        <v>6181</v>
      </c>
      <c r="N4494" s="106">
        <v>44773</v>
      </c>
      <c r="O4494" s="94" t="s">
        <v>92</v>
      </c>
      <c r="P4494" s="116">
        <v>4300</v>
      </c>
      <c r="Q4494" s="107">
        <v>-8</v>
      </c>
      <c r="R4494" s="116">
        <f t="shared" si="99"/>
        <v>-34400</v>
      </c>
      <c r="S4494" s="298">
        <v>202303</v>
      </c>
      <c r="T4494" s="354" t="s">
        <v>6191</v>
      </c>
      <c r="U4494" s="344"/>
      <c r="V4494" s="358"/>
      <c r="W4494" s="358"/>
      <c r="X4494" s="106">
        <v>44197</v>
      </c>
      <c r="Y4494" s="106">
        <v>44926</v>
      </c>
    </row>
    <row r="4495" s="9" customFormat="1" customHeight="1" spans="1:25">
      <c r="A4495" s="94" t="s">
        <v>399</v>
      </c>
      <c r="B4495" s="94" t="s">
        <v>5875</v>
      </c>
      <c r="C4495" s="94" t="s">
        <v>44</v>
      </c>
      <c r="D4495" s="94" t="s">
        <v>566</v>
      </c>
      <c r="E4495" s="23" t="s">
        <v>6177</v>
      </c>
      <c r="F4495" s="94" t="s">
        <v>6178</v>
      </c>
      <c r="G4495" s="94" t="s">
        <v>88</v>
      </c>
      <c r="H4495" s="97" t="s">
        <v>6179</v>
      </c>
      <c r="I4495" s="23" t="e">
        <f>VLOOKUP(H4495,'合同综合查询数据（3月返）'!$A:$A,1,FALSE)</f>
        <v>#N/A</v>
      </c>
      <c r="J4495" s="94" t="s">
        <v>126</v>
      </c>
      <c r="K4495" s="94" t="s">
        <v>6185</v>
      </c>
      <c r="L4495" s="281" t="s">
        <v>6186</v>
      </c>
      <c r="M4495" s="94" t="s">
        <v>6187</v>
      </c>
      <c r="N4495" s="106">
        <v>43329</v>
      </c>
      <c r="O4495" s="94" t="s">
        <v>92</v>
      </c>
      <c r="P4495" s="116">
        <v>4300</v>
      </c>
      <c r="Q4495" s="107">
        <v>4</v>
      </c>
      <c r="R4495" s="116">
        <f t="shared" si="99"/>
        <v>17200</v>
      </c>
      <c r="S4495" s="298">
        <v>202303</v>
      </c>
      <c r="T4495" s="354" t="s">
        <v>6192</v>
      </c>
      <c r="U4495" s="344"/>
      <c r="V4495" s="358"/>
      <c r="W4495" s="358"/>
      <c r="X4495" s="106">
        <v>44197</v>
      </c>
      <c r="Y4495" s="106">
        <v>44926</v>
      </c>
    </row>
    <row r="4496" s="9" customFormat="1" customHeight="1" spans="1:25">
      <c r="A4496" s="94" t="s">
        <v>399</v>
      </c>
      <c r="B4496" s="94" t="s">
        <v>5875</v>
      </c>
      <c r="C4496" s="94" t="s">
        <v>44</v>
      </c>
      <c r="D4496" s="94" t="s">
        <v>566</v>
      </c>
      <c r="E4496" s="23" t="s">
        <v>6177</v>
      </c>
      <c r="F4496" s="94" t="s">
        <v>6178</v>
      </c>
      <c r="G4496" s="94" t="s">
        <v>88</v>
      </c>
      <c r="H4496" s="97" t="s">
        <v>6179</v>
      </c>
      <c r="I4496" s="23" t="e">
        <f>VLOOKUP(H4496,'合同综合查询数据（3月返）'!$A:$A,1,FALSE)</f>
        <v>#N/A</v>
      </c>
      <c r="J4496" s="94" t="s">
        <v>126</v>
      </c>
      <c r="K4496" s="94" t="s">
        <v>6185</v>
      </c>
      <c r="L4496" s="281" t="s">
        <v>6186</v>
      </c>
      <c r="M4496" s="94" t="s">
        <v>6187</v>
      </c>
      <c r="N4496" s="106">
        <v>44681</v>
      </c>
      <c r="O4496" s="94" t="s">
        <v>92</v>
      </c>
      <c r="P4496" s="116">
        <v>4300</v>
      </c>
      <c r="Q4496" s="107">
        <v>-4</v>
      </c>
      <c r="R4496" s="116">
        <f t="shared" si="99"/>
        <v>-17200</v>
      </c>
      <c r="S4496" s="298">
        <v>202303</v>
      </c>
      <c r="T4496" s="354" t="s">
        <v>6193</v>
      </c>
      <c r="U4496" s="344"/>
      <c r="V4496" s="358"/>
      <c r="W4496" s="358"/>
      <c r="X4496" s="106">
        <v>44197</v>
      </c>
      <c r="Y4496" s="106">
        <v>44926</v>
      </c>
    </row>
    <row r="4497" s="9" customFormat="1" customHeight="1" spans="1:25">
      <c r="A4497" s="94" t="s">
        <v>399</v>
      </c>
      <c r="B4497" s="94" t="s">
        <v>5875</v>
      </c>
      <c r="C4497" s="94" t="s">
        <v>44</v>
      </c>
      <c r="D4497" s="94" t="s">
        <v>566</v>
      </c>
      <c r="E4497" s="23" t="s">
        <v>6194</v>
      </c>
      <c r="F4497" s="94" t="s">
        <v>6195</v>
      </c>
      <c r="G4497" s="94" t="s">
        <v>31</v>
      </c>
      <c r="H4497" s="97" t="s">
        <v>6196</v>
      </c>
      <c r="I4497" s="23" t="e">
        <f>VLOOKUP(H4497,'合同综合查询数据（3月返）'!$A:$A,1,FALSE)</f>
        <v>#N/A</v>
      </c>
      <c r="J4497" s="94" t="s">
        <v>33</v>
      </c>
      <c r="K4497" s="94" t="s">
        <v>4494</v>
      </c>
      <c r="L4497" s="281" t="s">
        <v>6197</v>
      </c>
      <c r="M4497" s="94" t="s">
        <v>6198</v>
      </c>
      <c r="N4497" s="106">
        <v>44816</v>
      </c>
      <c r="O4497" s="94" t="s">
        <v>37</v>
      </c>
      <c r="P4497" s="116">
        <v>0</v>
      </c>
      <c r="Q4497" s="297">
        <v>640</v>
      </c>
      <c r="R4497" s="116">
        <f t="shared" si="99"/>
        <v>0</v>
      </c>
      <c r="S4497" s="298">
        <v>202303</v>
      </c>
      <c r="T4497" s="357" t="s">
        <v>6199</v>
      </c>
      <c r="U4497" s="97"/>
      <c r="V4497" s="97"/>
      <c r="W4497" s="97"/>
      <c r="X4497" s="286">
        <v>44805</v>
      </c>
      <c r="Y4497" s="106">
        <v>45170</v>
      </c>
    </row>
    <row r="4498" s="9" customFormat="1" customHeight="1" spans="1:25">
      <c r="A4498" s="94" t="s">
        <v>399</v>
      </c>
      <c r="B4498" s="94" t="s">
        <v>5875</v>
      </c>
      <c r="C4498" s="94" t="s">
        <v>44</v>
      </c>
      <c r="D4498" s="94" t="s">
        <v>566</v>
      </c>
      <c r="E4498" s="23" t="s">
        <v>6194</v>
      </c>
      <c r="F4498" s="94" t="s">
        <v>6195</v>
      </c>
      <c r="G4498" s="94" t="s">
        <v>31</v>
      </c>
      <c r="H4498" s="97" t="s">
        <v>6196</v>
      </c>
      <c r="I4498" s="23" t="e">
        <f>VLOOKUP(H4498,'合同综合查询数据（3月返）'!$A:$A,1,FALSE)</f>
        <v>#N/A</v>
      </c>
      <c r="J4498" s="94" t="s">
        <v>33</v>
      </c>
      <c r="K4498" s="94" t="s">
        <v>4494</v>
      </c>
      <c r="L4498" s="281" t="s">
        <v>6197</v>
      </c>
      <c r="M4498" s="94" t="s">
        <v>6198</v>
      </c>
      <c r="N4498" s="106"/>
      <c r="O4498" s="94" t="s">
        <v>152</v>
      </c>
      <c r="P4498" s="364">
        <v>0</v>
      </c>
      <c r="Q4498" s="297">
        <v>0</v>
      </c>
      <c r="R4498" s="116">
        <f t="shared" si="99"/>
        <v>0</v>
      </c>
      <c r="S4498" s="298">
        <v>202303</v>
      </c>
      <c r="T4498" s="357" t="s">
        <v>6200</v>
      </c>
      <c r="U4498" s="97"/>
      <c r="V4498" s="367"/>
      <c r="W4498" s="97"/>
      <c r="X4498" s="286">
        <v>44805</v>
      </c>
      <c r="Y4498" s="106">
        <v>45170</v>
      </c>
    </row>
    <row r="4499" s="9" customFormat="1" customHeight="1" spans="1:25">
      <c r="A4499" s="94" t="s">
        <v>399</v>
      </c>
      <c r="B4499" s="94" t="s">
        <v>5875</v>
      </c>
      <c r="C4499" s="94" t="s">
        <v>44</v>
      </c>
      <c r="D4499" s="94" t="s">
        <v>566</v>
      </c>
      <c r="E4499" s="23" t="s">
        <v>6194</v>
      </c>
      <c r="F4499" s="94" t="s">
        <v>6195</v>
      </c>
      <c r="G4499" s="94" t="s">
        <v>88</v>
      </c>
      <c r="H4499" s="97" t="s">
        <v>6196</v>
      </c>
      <c r="I4499" s="23" t="e">
        <f>VLOOKUP(H4499,'合同综合查询数据（3月返）'!$A:$A,1,FALSE)</f>
        <v>#N/A</v>
      </c>
      <c r="J4499" s="94" t="s">
        <v>126</v>
      </c>
      <c r="K4499" s="94" t="s">
        <v>4494</v>
      </c>
      <c r="L4499" s="281" t="s">
        <v>6197</v>
      </c>
      <c r="M4499" s="94" t="s">
        <v>6198</v>
      </c>
      <c r="N4499" s="106">
        <v>44816</v>
      </c>
      <c r="O4499" s="94" t="s">
        <v>92</v>
      </c>
      <c r="P4499" s="116">
        <v>4300</v>
      </c>
      <c r="Q4499" s="107">
        <v>9</v>
      </c>
      <c r="R4499" s="116">
        <f t="shared" si="99"/>
        <v>38700</v>
      </c>
      <c r="S4499" s="298">
        <v>202303</v>
      </c>
      <c r="T4499" s="357" t="s">
        <v>6201</v>
      </c>
      <c r="U4499" s="97"/>
      <c r="V4499" s="97"/>
      <c r="W4499" s="97"/>
      <c r="X4499" s="286">
        <v>44805</v>
      </c>
      <c r="Y4499" s="106">
        <v>45170</v>
      </c>
    </row>
    <row r="4500" s="10" customFormat="1" customHeight="1" spans="1:25">
      <c r="A4500" s="62" t="s">
        <v>399</v>
      </c>
      <c r="B4500" s="62" t="s">
        <v>5875</v>
      </c>
      <c r="C4500" s="62" t="s">
        <v>44</v>
      </c>
      <c r="D4500" s="62" t="s">
        <v>566</v>
      </c>
      <c r="E4500" s="47" t="s">
        <v>6202</v>
      </c>
      <c r="F4500" s="62" t="s">
        <v>4729</v>
      </c>
      <c r="G4500" s="62" t="s">
        <v>31</v>
      </c>
      <c r="H4500" s="102" t="s">
        <v>6203</v>
      </c>
      <c r="I4500" s="47" t="e">
        <f>VLOOKUP(H4500,'合同综合查询数据（3月返）'!$A:$A,1,FALSE)</f>
        <v>#N/A</v>
      </c>
      <c r="J4500" s="62" t="s">
        <v>33</v>
      </c>
      <c r="K4500" s="62" t="s">
        <v>46</v>
      </c>
      <c r="L4500" s="329" t="s">
        <v>6204</v>
      </c>
      <c r="M4500" s="62" t="s">
        <v>6205</v>
      </c>
      <c r="N4500" s="111">
        <v>43965</v>
      </c>
      <c r="O4500" s="62" t="s">
        <v>37</v>
      </c>
      <c r="P4500" s="124">
        <v>0</v>
      </c>
      <c r="Q4500" s="299">
        <v>448</v>
      </c>
      <c r="R4500" s="124">
        <f t="shared" ref="R4500:R4563" si="100">ROUND(P4500*Q4500,2)</f>
        <v>0</v>
      </c>
      <c r="S4500" s="349">
        <v>202303</v>
      </c>
      <c r="T4500" s="353" t="s">
        <v>6206</v>
      </c>
      <c r="U4500" s="342"/>
      <c r="V4500" s="356"/>
      <c r="W4500" s="356"/>
      <c r="X4500" s="111"/>
      <c r="Y4500" s="111"/>
    </row>
    <row r="4501" s="10" customFormat="1" customHeight="1" spans="1:25">
      <c r="A4501" s="62" t="s">
        <v>399</v>
      </c>
      <c r="B4501" s="62" t="s">
        <v>5875</v>
      </c>
      <c r="C4501" s="62" t="s">
        <v>44</v>
      </c>
      <c r="D4501" s="62" t="s">
        <v>566</v>
      </c>
      <c r="E4501" s="47" t="s">
        <v>6202</v>
      </c>
      <c r="F4501" s="62" t="s">
        <v>4729</v>
      </c>
      <c r="G4501" s="62" t="s">
        <v>31</v>
      </c>
      <c r="H4501" s="102" t="s">
        <v>6203</v>
      </c>
      <c r="I4501" s="47" t="e">
        <f>VLOOKUP(H4501,'合同综合查询数据（3月返）'!$A:$A,1,FALSE)</f>
        <v>#N/A</v>
      </c>
      <c r="J4501" s="62" t="s">
        <v>33</v>
      </c>
      <c r="K4501" s="62" t="s">
        <v>46</v>
      </c>
      <c r="L4501" s="329" t="s">
        <v>6204</v>
      </c>
      <c r="M4501" s="62" t="s">
        <v>6205</v>
      </c>
      <c r="N4501" s="111">
        <v>43965</v>
      </c>
      <c r="O4501" s="62" t="s">
        <v>37</v>
      </c>
      <c r="P4501" s="124">
        <v>50</v>
      </c>
      <c r="Q4501" s="299">
        <v>96</v>
      </c>
      <c r="R4501" s="124">
        <f t="shared" si="100"/>
        <v>4800</v>
      </c>
      <c r="S4501" s="349">
        <v>202303</v>
      </c>
      <c r="T4501" s="353" t="s">
        <v>6206</v>
      </c>
      <c r="U4501" s="342"/>
      <c r="V4501" s="356"/>
      <c r="W4501" s="356"/>
      <c r="X4501" s="111"/>
      <c r="Y4501" s="111"/>
    </row>
    <row r="4502" s="10" customFormat="1" customHeight="1" spans="1:25">
      <c r="A4502" s="62" t="s">
        <v>399</v>
      </c>
      <c r="B4502" s="62" t="s">
        <v>5875</v>
      </c>
      <c r="C4502" s="62" t="s">
        <v>44</v>
      </c>
      <c r="D4502" s="62" t="s">
        <v>566</v>
      </c>
      <c r="E4502" s="47" t="s">
        <v>6202</v>
      </c>
      <c r="F4502" s="62" t="s">
        <v>4729</v>
      </c>
      <c r="G4502" s="62" t="s">
        <v>31</v>
      </c>
      <c r="H4502" s="102" t="s">
        <v>6203</v>
      </c>
      <c r="I4502" s="47" t="e">
        <f>VLOOKUP(H4502,'合同综合查询数据（3月返）'!$A:$A,1,FALSE)</f>
        <v>#N/A</v>
      </c>
      <c r="J4502" s="62" t="s">
        <v>33</v>
      </c>
      <c r="K4502" s="62" t="s">
        <v>46</v>
      </c>
      <c r="L4502" s="329" t="s">
        <v>6204</v>
      </c>
      <c r="M4502" s="62" t="s">
        <v>6205</v>
      </c>
      <c r="N4502" s="111">
        <v>44773</v>
      </c>
      <c r="O4502" s="62" t="s">
        <v>37</v>
      </c>
      <c r="P4502" s="124">
        <v>50</v>
      </c>
      <c r="Q4502" s="299">
        <v>-96</v>
      </c>
      <c r="R4502" s="124">
        <f t="shared" si="100"/>
        <v>-4800</v>
      </c>
      <c r="S4502" s="349">
        <v>202303</v>
      </c>
      <c r="T4502" s="353" t="s">
        <v>6207</v>
      </c>
      <c r="U4502" s="342"/>
      <c r="V4502" s="356"/>
      <c r="W4502" s="356"/>
      <c r="X4502" s="111"/>
      <c r="Y4502" s="111"/>
    </row>
    <row r="4503" s="10" customFormat="1" customHeight="1" spans="1:25">
      <c r="A4503" s="62" t="s">
        <v>399</v>
      </c>
      <c r="B4503" s="62" t="s">
        <v>5875</v>
      </c>
      <c r="C4503" s="62" t="s">
        <v>44</v>
      </c>
      <c r="D4503" s="62" t="s">
        <v>566</v>
      </c>
      <c r="E4503" s="47" t="s">
        <v>6202</v>
      </c>
      <c r="F4503" s="62" t="s">
        <v>4729</v>
      </c>
      <c r="G4503" s="62" t="s">
        <v>31</v>
      </c>
      <c r="H4503" s="102" t="s">
        <v>6203</v>
      </c>
      <c r="I4503" s="47" t="e">
        <f>VLOOKUP(H4503,'合同综合查询数据（3月返）'!$A:$A,1,FALSE)</f>
        <v>#N/A</v>
      </c>
      <c r="J4503" s="62" t="s">
        <v>33</v>
      </c>
      <c r="K4503" s="62" t="s">
        <v>46</v>
      </c>
      <c r="L4503" s="329" t="s">
        <v>6204</v>
      </c>
      <c r="M4503" s="62" t="s">
        <v>6205</v>
      </c>
      <c r="N4503" s="111">
        <v>44773</v>
      </c>
      <c r="O4503" s="62" t="s">
        <v>37</v>
      </c>
      <c r="P4503" s="124">
        <v>0</v>
      </c>
      <c r="Q4503" s="299">
        <f>-384-Q4502</f>
        <v>-288</v>
      </c>
      <c r="R4503" s="124">
        <f t="shared" si="100"/>
        <v>0</v>
      </c>
      <c r="S4503" s="349">
        <v>202303</v>
      </c>
      <c r="T4503" s="353" t="s">
        <v>6208</v>
      </c>
      <c r="U4503" s="342"/>
      <c r="V4503" s="356"/>
      <c r="W4503" s="356"/>
      <c r="X4503" s="111"/>
      <c r="Y4503" s="111"/>
    </row>
    <row r="4504" s="10" customFormat="1" customHeight="1" spans="1:25">
      <c r="A4504" s="62" t="s">
        <v>399</v>
      </c>
      <c r="B4504" s="62" t="s">
        <v>5875</v>
      </c>
      <c r="C4504" s="62" t="s">
        <v>44</v>
      </c>
      <c r="D4504" s="62" t="s">
        <v>566</v>
      </c>
      <c r="E4504" s="47" t="s">
        <v>6202</v>
      </c>
      <c r="F4504" s="62" t="s">
        <v>4729</v>
      </c>
      <c r="G4504" s="62" t="s">
        <v>88</v>
      </c>
      <c r="H4504" s="102" t="s">
        <v>6203</v>
      </c>
      <c r="I4504" s="47" t="e">
        <f>VLOOKUP(H4504,'合同综合查询数据（3月返）'!$A:$A,1,FALSE)</f>
        <v>#N/A</v>
      </c>
      <c r="J4504" s="62" t="s">
        <v>126</v>
      </c>
      <c r="K4504" s="62" t="s">
        <v>46</v>
      </c>
      <c r="L4504" s="329" t="s">
        <v>6204</v>
      </c>
      <c r="M4504" s="62" t="s">
        <v>6205</v>
      </c>
      <c r="N4504" s="111">
        <v>43965</v>
      </c>
      <c r="O4504" s="62" t="s">
        <v>92</v>
      </c>
      <c r="P4504" s="124">
        <v>4300</v>
      </c>
      <c r="Q4504" s="112">
        <v>10</v>
      </c>
      <c r="R4504" s="124">
        <f t="shared" si="100"/>
        <v>43000</v>
      </c>
      <c r="S4504" s="349">
        <v>202303</v>
      </c>
      <c r="T4504" s="353" t="s">
        <v>6209</v>
      </c>
      <c r="U4504" s="342"/>
      <c r="V4504" s="356"/>
      <c r="W4504" s="356"/>
      <c r="X4504" s="111"/>
      <c r="Y4504" s="111"/>
    </row>
    <row r="4505" s="10" customFormat="1" customHeight="1" spans="1:25">
      <c r="A4505" s="62" t="s">
        <v>399</v>
      </c>
      <c r="B4505" s="62" t="s">
        <v>5875</v>
      </c>
      <c r="C4505" s="62" t="s">
        <v>44</v>
      </c>
      <c r="D4505" s="62" t="s">
        <v>566</v>
      </c>
      <c r="E4505" s="47" t="s">
        <v>6202</v>
      </c>
      <c r="F4505" s="62" t="s">
        <v>4729</v>
      </c>
      <c r="G4505" s="62" t="s">
        <v>88</v>
      </c>
      <c r="H4505" s="102" t="s">
        <v>6203</v>
      </c>
      <c r="I4505" s="47" t="e">
        <f>VLOOKUP(H4505,'合同综合查询数据（3月返）'!$A:$A,1,FALSE)</f>
        <v>#N/A</v>
      </c>
      <c r="J4505" s="62" t="s">
        <v>126</v>
      </c>
      <c r="K4505" s="329" t="s">
        <v>6204</v>
      </c>
      <c r="L4505" s="329" t="s">
        <v>6204</v>
      </c>
      <c r="M4505" s="62" t="s">
        <v>6205</v>
      </c>
      <c r="N4505" s="111">
        <v>44425</v>
      </c>
      <c r="O4505" s="62" t="s">
        <v>92</v>
      </c>
      <c r="P4505" s="124">
        <v>4300</v>
      </c>
      <c r="Q4505" s="112">
        <v>1</v>
      </c>
      <c r="R4505" s="124">
        <f t="shared" si="100"/>
        <v>4300</v>
      </c>
      <c r="S4505" s="349">
        <v>202303</v>
      </c>
      <c r="T4505" s="353" t="s">
        <v>6210</v>
      </c>
      <c r="U4505" s="342"/>
      <c r="V4505" s="368"/>
      <c r="W4505" s="356"/>
      <c r="X4505" s="111"/>
      <c r="Y4505" s="111"/>
    </row>
    <row r="4506" s="10" customFormat="1" customHeight="1" spans="1:25">
      <c r="A4506" s="62" t="s">
        <v>399</v>
      </c>
      <c r="B4506" s="62" t="s">
        <v>5875</v>
      </c>
      <c r="C4506" s="62" t="s">
        <v>44</v>
      </c>
      <c r="D4506" s="62" t="s">
        <v>566</v>
      </c>
      <c r="E4506" s="47" t="s">
        <v>6202</v>
      </c>
      <c r="F4506" s="62" t="s">
        <v>4729</v>
      </c>
      <c r="G4506" s="62" t="s">
        <v>88</v>
      </c>
      <c r="H4506" s="102" t="s">
        <v>6203</v>
      </c>
      <c r="I4506" s="47" t="e">
        <f>VLOOKUP(H4506,'合同综合查询数据（3月返）'!$A:$A,1,FALSE)</f>
        <v>#N/A</v>
      </c>
      <c r="J4506" s="62" t="s">
        <v>126</v>
      </c>
      <c r="K4506" s="329" t="s">
        <v>6204</v>
      </c>
      <c r="L4506" s="329" t="s">
        <v>6204</v>
      </c>
      <c r="M4506" s="62" t="s">
        <v>6205</v>
      </c>
      <c r="N4506" s="111">
        <v>44617</v>
      </c>
      <c r="O4506" s="62" t="s">
        <v>92</v>
      </c>
      <c r="P4506" s="124">
        <v>4300</v>
      </c>
      <c r="Q4506" s="112">
        <v>-6</v>
      </c>
      <c r="R4506" s="124">
        <f t="shared" si="100"/>
        <v>-25800</v>
      </c>
      <c r="S4506" s="349">
        <v>202303</v>
      </c>
      <c r="T4506" s="353" t="s">
        <v>6211</v>
      </c>
      <c r="U4506" s="342"/>
      <c r="V4506" s="368"/>
      <c r="W4506" s="356"/>
      <c r="X4506" s="111"/>
      <c r="Y4506" s="111"/>
    </row>
    <row r="4507" s="10" customFormat="1" customHeight="1" spans="1:25">
      <c r="A4507" s="62" t="s">
        <v>399</v>
      </c>
      <c r="B4507" s="62" t="s">
        <v>5875</v>
      </c>
      <c r="C4507" s="62" t="s">
        <v>44</v>
      </c>
      <c r="D4507" s="62" t="s">
        <v>566</v>
      </c>
      <c r="E4507" s="47" t="s">
        <v>6202</v>
      </c>
      <c r="F4507" s="62" t="s">
        <v>4729</v>
      </c>
      <c r="G4507" s="62" t="s">
        <v>88</v>
      </c>
      <c r="H4507" s="102" t="s">
        <v>6203</v>
      </c>
      <c r="I4507" s="47" t="e">
        <f>VLOOKUP(H4507,'合同综合查询数据（3月返）'!$A:$A,1,FALSE)</f>
        <v>#N/A</v>
      </c>
      <c r="J4507" s="62" t="s">
        <v>126</v>
      </c>
      <c r="K4507" s="329" t="s">
        <v>6204</v>
      </c>
      <c r="L4507" s="329" t="s">
        <v>6204</v>
      </c>
      <c r="M4507" s="62" t="s">
        <v>6205</v>
      </c>
      <c r="N4507" s="111">
        <v>44773</v>
      </c>
      <c r="O4507" s="62" t="s">
        <v>92</v>
      </c>
      <c r="P4507" s="124">
        <v>4300</v>
      </c>
      <c r="Q4507" s="112">
        <v>-2</v>
      </c>
      <c r="R4507" s="124">
        <f t="shared" si="100"/>
        <v>-8600</v>
      </c>
      <c r="S4507" s="349">
        <v>202303</v>
      </c>
      <c r="T4507" s="353" t="s">
        <v>6212</v>
      </c>
      <c r="U4507" s="342"/>
      <c r="V4507" s="368"/>
      <c r="W4507" s="356"/>
      <c r="X4507" s="111"/>
      <c r="Y4507" s="111"/>
    </row>
    <row r="4508" s="10" customFormat="1" customHeight="1" spans="1:25">
      <c r="A4508" s="62" t="s">
        <v>399</v>
      </c>
      <c r="B4508" s="62" t="s">
        <v>5875</v>
      </c>
      <c r="C4508" s="62" t="s">
        <v>44</v>
      </c>
      <c r="D4508" s="62" t="s">
        <v>566</v>
      </c>
      <c r="E4508" s="47" t="s">
        <v>6202</v>
      </c>
      <c r="F4508" s="62" t="s">
        <v>4729</v>
      </c>
      <c r="G4508" s="62" t="s">
        <v>31</v>
      </c>
      <c r="H4508" s="102" t="s">
        <v>6203</v>
      </c>
      <c r="I4508" s="47" t="e">
        <f>VLOOKUP(H4508,'合同综合查询数据（3月返）'!$A:$A,1,FALSE)</f>
        <v>#N/A</v>
      </c>
      <c r="J4508" s="62" t="s">
        <v>33</v>
      </c>
      <c r="K4508" s="62" t="s">
        <v>46</v>
      </c>
      <c r="L4508" s="329" t="s">
        <v>6213</v>
      </c>
      <c r="M4508" s="62" t="s">
        <v>6205</v>
      </c>
      <c r="N4508" s="111">
        <v>44812</v>
      </c>
      <c r="O4508" s="62" t="s">
        <v>37</v>
      </c>
      <c r="P4508" s="124">
        <v>0</v>
      </c>
      <c r="Q4508" s="299">
        <v>832</v>
      </c>
      <c r="R4508" s="124">
        <f t="shared" si="100"/>
        <v>0</v>
      </c>
      <c r="S4508" s="349">
        <v>202303</v>
      </c>
      <c r="T4508" s="352" t="s">
        <v>6214</v>
      </c>
      <c r="U4508" s="352"/>
      <c r="V4508" s="368"/>
      <c r="W4508" s="356"/>
      <c r="X4508" s="111"/>
      <c r="Y4508" s="111"/>
    </row>
    <row r="4509" s="10" customFormat="1" customHeight="1" spans="1:25">
      <c r="A4509" s="62" t="s">
        <v>399</v>
      </c>
      <c r="B4509" s="62" t="s">
        <v>5875</v>
      </c>
      <c r="C4509" s="62" t="s">
        <v>44</v>
      </c>
      <c r="D4509" s="62" t="s">
        <v>566</v>
      </c>
      <c r="E4509" s="47" t="s">
        <v>6202</v>
      </c>
      <c r="F4509" s="62" t="s">
        <v>4729</v>
      </c>
      <c r="G4509" s="62" t="s">
        <v>31</v>
      </c>
      <c r="H4509" s="102" t="s">
        <v>6203</v>
      </c>
      <c r="I4509" s="47" t="e">
        <f>VLOOKUP(H4509,'合同综合查询数据（3月返）'!$A:$A,1,FALSE)</f>
        <v>#N/A</v>
      </c>
      <c r="J4509" s="62" t="s">
        <v>33</v>
      </c>
      <c r="K4509" s="62" t="s">
        <v>46</v>
      </c>
      <c r="L4509" s="329" t="s">
        <v>6213</v>
      </c>
      <c r="M4509" s="62" t="s">
        <v>6205</v>
      </c>
      <c r="N4509" s="111">
        <v>44812</v>
      </c>
      <c r="O4509" s="62" t="s">
        <v>37</v>
      </c>
      <c r="P4509" s="124">
        <v>0</v>
      </c>
      <c r="Q4509" s="299">
        <f>1024-Q4508</f>
        <v>192</v>
      </c>
      <c r="R4509" s="124">
        <f t="shared" si="100"/>
        <v>0</v>
      </c>
      <c r="S4509" s="349">
        <v>202303</v>
      </c>
      <c r="T4509" s="352" t="s">
        <v>6215</v>
      </c>
      <c r="U4509" s="352"/>
      <c r="V4509" s="368"/>
      <c r="W4509" s="356"/>
      <c r="X4509" s="111"/>
      <c r="Y4509" s="111"/>
    </row>
    <row r="4510" s="10" customFormat="1" customHeight="1" spans="1:25">
      <c r="A4510" s="62" t="s">
        <v>399</v>
      </c>
      <c r="B4510" s="62" t="s">
        <v>5875</v>
      </c>
      <c r="C4510" s="62" t="s">
        <v>44</v>
      </c>
      <c r="D4510" s="62" t="s">
        <v>566</v>
      </c>
      <c r="E4510" s="47" t="s">
        <v>6202</v>
      </c>
      <c r="F4510" s="62" t="s">
        <v>4729</v>
      </c>
      <c r="G4510" s="62" t="s">
        <v>88</v>
      </c>
      <c r="H4510" s="102" t="s">
        <v>6203</v>
      </c>
      <c r="I4510" s="47" t="e">
        <f>VLOOKUP(H4510,'合同综合查询数据（3月返）'!$A:$A,1,FALSE)</f>
        <v>#N/A</v>
      </c>
      <c r="J4510" s="62" t="s">
        <v>126</v>
      </c>
      <c r="K4510" s="62" t="s">
        <v>46</v>
      </c>
      <c r="L4510" s="329" t="s">
        <v>6213</v>
      </c>
      <c r="M4510" s="62" t="s">
        <v>6205</v>
      </c>
      <c r="N4510" s="111">
        <v>44805</v>
      </c>
      <c r="O4510" s="62" t="s">
        <v>469</v>
      </c>
      <c r="P4510" s="124">
        <v>4300</v>
      </c>
      <c r="Q4510" s="112">
        <v>1</v>
      </c>
      <c r="R4510" s="124">
        <f t="shared" si="100"/>
        <v>4300</v>
      </c>
      <c r="S4510" s="349">
        <v>202303</v>
      </c>
      <c r="T4510" s="352" t="s">
        <v>6216</v>
      </c>
      <c r="U4510" s="352"/>
      <c r="V4510" s="368"/>
      <c r="W4510" s="356"/>
      <c r="X4510" s="111"/>
      <c r="Y4510" s="111"/>
    </row>
    <row r="4511" s="10" customFormat="1" customHeight="1" spans="1:25">
      <c r="A4511" s="62" t="s">
        <v>399</v>
      </c>
      <c r="B4511" s="62" t="s">
        <v>5875</v>
      </c>
      <c r="C4511" s="62" t="s">
        <v>44</v>
      </c>
      <c r="D4511" s="62" t="s">
        <v>566</v>
      </c>
      <c r="E4511" s="47" t="s">
        <v>6202</v>
      </c>
      <c r="F4511" s="62" t="s">
        <v>4729</v>
      </c>
      <c r="G4511" s="62" t="s">
        <v>88</v>
      </c>
      <c r="H4511" s="102" t="s">
        <v>6217</v>
      </c>
      <c r="I4511" s="47" t="e">
        <f>VLOOKUP(H4511,'合同综合查询数据（3月返）'!$A:$A,1,FALSE)</f>
        <v>#N/A</v>
      </c>
      <c r="J4511" s="62" t="s">
        <v>126</v>
      </c>
      <c r="K4511" s="62" t="s">
        <v>46</v>
      </c>
      <c r="L4511" s="329" t="s">
        <v>6213</v>
      </c>
      <c r="M4511" s="62" t="s">
        <v>6205</v>
      </c>
      <c r="N4511" s="111">
        <v>44805</v>
      </c>
      <c r="O4511" s="62" t="s">
        <v>469</v>
      </c>
      <c r="P4511" s="124">
        <v>0</v>
      </c>
      <c r="Q4511" s="112">
        <v>1</v>
      </c>
      <c r="R4511" s="124">
        <f t="shared" si="100"/>
        <v>0</v>
      </c>
      <c r="S4511" s="349">
        <v>202303</v>
      </c>
      <c r="T4511" s="352" t="s">
        <v>6218</v>
      </c>
      <c r="U4511" s="352"/>
      <c r="V4511" s="368"/>
      <c r="W4511" s="356"/>
      <c r="X4511" s="111"/>
      <c r="Y4511" s="111"/>
    </row>
    <row r="4512" s="10" customFormat="1" customHeight="1" spans="1:25">
      <c r="A4512" s="62" t="s">
        <v>399</v>
      </c>
      <c r="B4512" s="62" t="s">
        <v>5875</v>
      </c>
      <c r="C4512" s="62" t="s">
        <v>44</v>
      </c>
      <c r="D4512" s="62" t="s">
        <v>566</v>
      </c>
      <c r="E4512" s="47" t="s">
        <v>6219</v>
      </c>
      <c r="F4512" s="62" t="s">
        <v>5253</v>
      </c>
      <c r="G4512" s="62" t="s">
        <v>31</v>
      </c>
      <c r="H4512" s="102" t="s">
        <v>6220</v>
      </c>
      <c r="I4512" s="47" t="e">
        <f>VLOOKUP(H4512,'合同综合查询数据（3月返）'!$A:$A,1,FALSE)</f>
        <v>#N/A</v>
      </c>
      <c r="J4512" s="62" t="s">
        <v>33</v>
      </c>
      <c r="K4512" s="329" t="s">
        <v>6221</v>
      </c>
      <c r="L4512" s="329" t="s">
        <v>6221</v>
      </c>
      <c r="M4512" s="62" t="s">
        <v>6222</v>
      </c>
      <c r="N4512" s="111">
        <v>43966</v>
      </c>
      <c r="O4512" s="62" t="s">
        <v>37</v>
      </c>
      <c r="P4512" s="124">
        <v>0</v>
      </c>
      <c r="Q4512" s="299">
        <v>320</v>
      </c>
      <c r="R4512" s="124">
        <f t="shared" si="100"/>
        <v>0</v>
      </c>
      <c r="S4512" s="349">
        <v>202303</v>
      </c>
      <c r="T4512" s="353" t="s">
        <v>6223</v>
      </c>
      <c r="U4512" s="342"/>
      <c r="V4512" s="356"/>
      <c r="W4512" s="356"/>
      <c r="X4512" s="111"/>
      <c r="Y4512" s="111"/>
    </row>
    <row r="4513" s="10" customFormat="1" customHeight="1" spans="1:25">
      <c r="A4513" s="62" t="s">
        <v>399</v>
      </c>
      <c r="B4513" s="62" t="s">
        <v>5875</v>
      </c>
      <c r="C4513" s="62" t="s">
        <v>44</v>
      </c>
      <c r="D4513" s="62" t="s">
        <v>566</v>
      </c>
      <c r="E4513" s="47" t="s">
        <v>6219</v>
      </c>
      <c r="F4513" s="62" t="s">
        <v>5253</v>
      </c>
      <c r="G4513" s="62" t="s">
        <v>31</v>
      </c>
      <c r="H4513" s="102" t="s">
        <v>6220</v>
      </c>
      <c r="I4513" s="47" t="e">
        <f>VLOOKUP(H4513,'合同综合查询数据（3月返）'!$A:$A,1,FALSE)</f>
        <v>#N/A</v>
      </c>
      <c r="J4513" s="62" t="s">
        <v>33</v>
      </c>
      <c r="K4513" s="329" t="s">
        <v>6221</v>
      </c>
      <c r="L4513" s="329" t="s">
        <v>6221</v>
      </c>
      <c r="M4513" s="62" t="s">
        <v>6222</v>
      </c>
      <c r="N4513" s="111">
        <v>43966</v>
      </c>
      <c r="O4513" s="62" t="s">
        <v>37</v>
      </c>
      <c r="P4513" s="124">
        <v>50</v>
      </c>
      <c r="Q4513" s="299">
        <v>224</v>
      </c>
      <c r="R4513" s="124">
        <f t="shared" si="100"/>
        <v>11200</v>
      </c>
      <c r="S4513" s="349">
        <v>202303</v>
      </c>
      <c r="T4513" s="353" t="s">
        <v>6223</v>
      </c>
      <c r="U4513" s="342"/>
      <c r="V4513" s="356"/>
      <c r="W4513" s="356"/>
      <c r="X4513" s="111"/>
      <c r="Y4513" s="111"/>
    </row>
    <row r="4514" s="10" customFormat="1" customHeight="1" spans="1:25">
      <c r="A4514" s="62" t="s">
        <v>399</v>
      </c>
      <c r="B4514" s="62" t="s">
        <v>5875</v>
      </c>
      <c r="C4514" s="62" t="s">
        <v>44</v>
      </c>
      <c r="D4514" s="62" t="s">
        <v>566</v>
      </c>
      <c r="E4514" s="47" t="s">
        <v>6219</v>
      </c>
      <c r="F4514" s="62" t="s">
        <v>5253</v>
      </c>
      <c r="G4514" s="62" t="s">
        <v>31</v>
      </c>
      <c r="H4514" s="102" t="s">
        <v>6220</v>
      </c>
      <c r="I4514" s="47" t="e">
        <f>VLOOKUP(H4514,'合同综合查询数据（3月返）'!$A:$A,1,FALSE)</f>
        <v>#N/A</v>
      </c>
      <c r="J4514" s="62" t="s">
        <v>33</v>
      </c>
      <c r="K4514" s="329" t="s">
        <v>6221</v>
      </c>
      <c r="L4514" s="329" t="s">
        <v>6221</v>
      </c>
      <c r="M4514" s="62" t="s">
        <v>6222</v>
      </c>
      <c r="N4514" s="111">
        <v>44773</v>
      </c>
      <c r="O4514" s="62" t="s">
        <v>37</v>
      </c>
      <c r="P4514" s="124">
        <v>50</v>
      </c>
      <c r="Q4514" s="299">
        <v>-224</v>
      </c>
      <c r="R4514" s="124">
        <f t="shared" si="100"/>
        <v>-11200</v>
      </c>
      <c r="S4514" s="349">
        <v>202303</v>
      </c>
      <c r="T4514" s="352" t="s">
        <v>6224</v>
      </c>
      <c r="U4514" s="342"/>
      <c r="V4514" s="356"/>
      <c r="W4514" s="356"/>
      <c r="X4514" s="111"/>
      <c r="Y4514" s="111"/>
    </row>
    <row r="4515" s="10" customFormat="1" customHeight="1" spans="1:25">
      <c r="A4515" s="62" t="s">
        <v>399</v>
      </c>
      <c r="B4515" s="62" t="s">
        <v>5875</v>
      </c>
      <c r="C4515" s="62" t="s">
        <v>44</v>
      </c>
      <c r="D4515" s="62" t="s">
        <v>566</v>
      </c>
      <c r="E4515" s="47" t="s">
        <v>6219</v>
      </c>
      <c r="F4515" s="62" t="s">
        <v>5253</v>
      </c>
      <c r="G4515" s="62" t="s">
        <v>31</v>
      </c>
      <c r="H4515" s="102" t="s">
        <v>6220</v>
      </c>
      <c r="I4515" s="47" t="e">
        <f>VLOOKUP(H4515,'合同综合查询数据（3月返）'!$A:$A,1,FALSE)</f>
        <v>#N/A</v>
      </c>
      <c r="J4515" s="62" t="s">
        <v>33</v>
      </c>
      <c r="K4515" s="329" t="s">
        <v>6221</v>
      </c>
      <c r="L4515" s="329" t="s">
        <v>6221</v>
      </c>
      <c r="M4515" s="62" t="s">
        <v>6222</v>
      </c>
      <c r="N4515" s="111">
        <v>44773</v>
      </c>
      <c r="O4515" s="62" t="s">
        <v>37</v>
      </c>
      <c r="P4515" s="124">
        <v>0</v>
      </c>
      <c r="Q4515" s="299">
        <v>-160</v>
      </c>
      <c r="R4515" s="124">
        <f t="shared" si="100"/>
        <v>0</v>
      </c>
      <c r="S4515" s="349">
        <v>202303</v>
      </c>
      <c r="T4515" s="352" t="s">
        <v>6225</v>
      </c>
      <c r="U4515" s="342"/>
      <c r="V4515" s="356"/>
      <c r="W4515" s="356"/>
      <c r="X4515" s="111"/>
      <c r="Y4515" s="111"/>
    </row>
    <row r="4516" s="10" customFormat="1" customHeight="1" spans="1:25">
      <c r="A4516" s="62" t="s">
        <v>399</v>
      </c>
      <c r="B4516" s="62" t="s">
        <v>5875</v>
      </c>
      <c r="C4516" s="62" t="s">
        <v>44</v>
      </c>
      <c r="D4516" s="62" t="s">
        <v>566</v>
      </c>
      <c r="E4516" s="47" t="s">
        <v>6219</v>
      </c>
      <c r="F4516" s="62" t="s">
        <v>5253</v>
      </c>
      <c r="G4516" s="62" t="s">
        <v>88</v>
      </c>
      <c r="H4516" s="102" t="s">
        <v>6220</v>
      </c>
      <c r="I4516" s="47" t="e">
        <f>VLOOKUP(H4516,'合同综合查询数据（3月返）'!$A:$A,1,FALSE)</f>
        <v>#N/A</v>
      </c>
      <c r="J4516" s="62" t="s">
        <v>126</v>
      </c>
      <c r="K4516" s="329" t="s">
        <v>6221</v>
      </c>
      <c r="L4516" s="329" t="s">
        <v>6221</v>
      </c>
      <c r="M4516" s="62" t="s">
        <v>6222</v>
      </c>
      <c r="N4516" s="111">
        <v>43966</v>
      </c>
      <c r="O4516" s="62" t="s">
        <v>92</v>
      </c>
      <c r="P4516" s="124">
        <v>4300</v>
      </c>
      <c r="Q4516" s="112">
        <v>9</v>
      </c>
      <c r="R4516" s="124">
        <f t="shared" si="100"/>
        <v>38700</v>
      </c>
      <c r="S4516" s="349">
        <v>202303</v>
      </c>
      <c r="T4516" s="353" t="s">
        <v>6226</v>
      </c>
      <c r="U4516" s="342"/>
      <c r="V4516" s="356"/>
      <c r="W4516" s="356"/>
      <c r="X4516" s="111"/>
      <c r="Y4516" s="111"/>
    </row>
    <row r="4517" s="10" customFormat="1" customHeight="1" spans="1:25">
      <c r="A4517" s="62" t="s">
        <v>399</v>
      </c>
      <c r="B4517" s="62" t="s">
        <v>5875</v>
      </c>
      <c r="C4517" s="62" t="s">
        <v>44</v>
      </c>
      <c r="D4517" s="62" t="s">
        <v>566</v>
      </c>
      <c r="E4517" s="47" t="s">
        <v>6219</v>
      </c>
      <c r="F4517" s="62" t="s">
        <v>5253</v>
      </c>
      <c r="G4517" s="62" t="s">
        <v>88</v>
      </c>
      <c r="H4517" s="102" t="s">
        <v>6220</v>
      </c>
      <c r="I4517" s="47" t="e">
        <f>VLOOKUP(H4517,'合同综合查询数据（3月返）'!$A:$A,1,FALSE)</f>
        <v>#N/A</v>
      </c>
      <c r="J4517" s="62" t="s">
        <v>126</v>
      </c>
      <c r="K4517" s="329" t="s">
        <v>6221</v>
      </c>
      <c r="L4517" s="329" t="s">
        <v>6221</v>
      </c>
      <c r="M4517" s="62" t="s">
        <v>6222</v>
      </c>
      <c r="N4517" s="111">
        <v>44586</v>
      </c>
      <c r="O4517" s="62" t="s">
        <v>92</v>
      </c>
      <c r="P4517" s="124">
        <v>4300</v>
      </c>
      <c r="Q4517" s="112">
        <v>-5</v>
      </c>
      <c r="R4517" s="124">
        <f t="shared" si="100"/>
        <v>-21500</v>
      </c>
      <c r="S4517" s="349">
        <v>202303</v>
      </c>
      <c r="T4517" s="353" t="s">
        <v>6227</v>
      </c>
      <c r="U4517" s="342"/>
      <c r="V4517" s="356"/>
      <c r="W4517" s="356"/>
      <c r="X4517" s="111"/>
      <c r="Y4517" s="111"/>
    </row>
    <row r="4518" s="10" customFormat="1" customHeight="1" spans="1:25">
      <c r="A4518" s="62" t="s">
        <v>399</v>
      </c>
      <c r="B4518" s="62" t="s">
        <v>5875</v>
      </c>
      <c r="C4518" s="62" t="s">
        <v>44</v>
      </c>
      <c r="D4518" s="62" t="s">
        <v>566</v>
      </c>
      <c r="E4518" s="47" t="s">
        <v>6219</v>
      </c>
      <c r="F4518" s="62" t="s">
        <v>5253</v>
      </c>
      <c r="G4518" s="62" t="s">
        <v>88</v>
      </c>
      <c r="H4518" s="102" t="s">
        <v>6220</v>
      </c>
      <c r="I4518" s="47" t="e">
        <f>VLOOKUP(H4518,'合同综合查询数据（3月返）'!$A:$A,1,FALSE)</f>
        <v>#N/A</v>
      </c>
      <c r="J4518" s="62" t="s">
        <v>126</v>
      </c>
      <c r="K4518" s="329" t="s">
        <v>6221</v>
      </c>
      <c r="L4518" s="329" t="s">
        <v>6221</v>
      </c>
      <c r="M4518" s="62" t="s">
        <v>6222</v>
      </c>
      <c r="N4518" s="111">
        <v>44773</v>
      </c>
      <c r="O4518" s="62" t="s">
        <v>92</v>
      </c>
      <c r="P4518" s="124">
        <v>4300</v>
      </c>
      <c r="Q4518" s="112">
        <v>-2</v>
      </c>
      <c r="R4518" s="124">
        <f t="shared" si="100"/>
        <v>-8600</v>
      </c>
      <c r="S4518" s="349">
        <v>202303</v>
      </c>
      <c r="T4518" s="353" t="s">
        <v>6228</v>
      </c>
      <c r="U4518" s="342"/>
      <c r="V4518" s="356"/>
      <c r="W4518" s="356"/>
      <c r="X4518" s="111"/>
      <c r="Y4518" s="111"/>
    </row>
    <row r="4519" s="9" customFormat="1" customHeight="1" spans="1:25">
      <c r="A4519" s="94" t="s">
        <v>399</v>
      </c>
      <c r="B4519" s="94" t="s">
        <v>5875</v>
      </c>
      <c r="C4519" s="94" t="s">
        <v>44</v>
      </c>
      <c r="D4519" s="94" t="s">
        <v>566</v>
      </c>
      <c r="E4519" s="23" t="s">
        <v>6229</v>
      </c>
      <c r="F4519" s="94" t="s">
        <v>6230</v>
      </c>
      <c r="G4519" s="94" t="s">
        <v>31</v>
      </c>
      <c r="H4519" s="97" t="s">
        <v>6231</v>
      </c>
      <c r="I4519" s="23" t="e">
        <f>VLOOKUP(H4519,'合同综合查询数据（3月返）'!$A:$A,1,FALSE)</f>
        <v>#N/A</v>
      </c>
      <c r="J4519" s="94" t="s">
        <v>33</v>
      </c>
      <c r="K4519" s="94" t="s">
        <v>4768</v>
      </c>
      <c r="L4519" s="94" t="s">
        <v>6230</v>
      </c>
      <c r="M4519" s="94" t="s">
        <v>6232</v>
      </c>
      <c r="N4519" s="106">
        <v>44738</v>
      </c>
      <c r="O4519" s="94" t="s">
        <v>37</v>
      </c>
      <c r="P4519" s="116">
        <v>0</v>
      </c>
      <c r="Q4519" s="297">
        <v>288</v>
      </c>
      <c r="R4519" s="116">
        <f t="shared" si="100"/>
        <v>0</v>
      </c>
      <c r="S4519" s="298">
        <v>202303</v>
      </c>
      <c r="T4519" s="354" t="s">
        <v>6233</v>
      </c>
      <c r="U4519" s="344"/>
      <c r="V4519" s="330"/>
      <c r="W4519" s="358"/>
      <c r="X4519" s="106">
        <v>44728</v>
      </c>
      <c r="Y4519" s="106">
        <v>45092</v>
      </c>
    </row>
    <row r="4520" s="9" customFormat="1" customHeight="1" spans="1:25">
      <c r="A4520" s="94" t="s">
        <v>399</v>
      </c>
      <c r="B4520" s="94" t="s">
        <v>5875</v>
      </c>
      <c r="C4520" s="94" t="s">
        <v>44</v>
      </c>
      <c r="D4520" s="94" t="s">
        <v>566</v>
      </c>
      <c r="E4520" s="23" t="s">
        <v>6229</v>
      </c>
      <c r="F4520" s="94" t="s">
        <v>6230</v>
      </c>
      <c r="G4520" s="94" t="s">
        <v>31</v>
      </c>
      <c r="H4520" s="97" t="s">
        <v>6231</v>
      </c>
      <c r="I4520" s="23" t="e">
        <f>VLOOKUP(H4520,'合同综合查询数据（3月返）'!$A:$A,1,FALSE)</f>
        <v>#N/A</v>
      </c>
      <c r="J4520" s="94" t="s">
        <v>33</v>
      </c>
      <c r="K4520" s="94" t="s">
        <v>4768</v>
      </c>
      <c r="L4520" s="94" t="s">
        <v>6230</v>
      </c>
      <c r="M4520" s="94" t="s">
        <v>6232</v>
      </c>
      <c r="N4520" s="106"/>
      <c r="O4520" s="94" t="s">
        <v>152</v>
      </c>
      <c r="P4520" s="116">
        <v>0</v>
      </c>
      <c r="Q4520" s="297">
        <v>0</v>
      </c>
      <c r="R4520" s="116">
        <f t="shared" si="100"/>
        <v>0</v>
      </c>
      <c r="S4520" s="298">
        <v>202303</v>
      </c>
      <c r="T4520" s="354" t="s">
        <v>6234</v>
      </c>
      <c r="U4520" s="344"/>
      <c r="V4520" s="330"/>
      <c r="W4520" s="358"/>
      <c r="X4520" s="106">
        <v>44728</v>
      </c>
      <c r="Y4520" s="106">
        <v>45092</v>
      </c>
    </row>
    <row r="4521" s="9" customFormat="1" customHeight="1" spans="1:25">
      <c r="A4521" s="94" t="s">
        <v>399</v>
      </c>
      <c r="B4521" s="94" t="s">
        <v>5875</v>
      </c>
      <c r="C4521" s="94" t="s">
        <v>44</v>
      </c>
      <c r="D4521" s="94" t="s">
        <v>566</v>
      </c>
      <c r="E4521" s="23" t="s">
        <v>6229</v>
      </c>
      <c r="F4521" s="94" t="s">
        <v>6230</v>
      </c>
      <c r="G4521" s="94" t="s">
        <v>88</v>
      </c>
      <c r="H4521" s="97" t="s">
        <v>6231</v>
      </c>
      <c r="I4521" s="23" t="e">
        <f>VLOOKUP(H4521,'合同综合查询数据（3月返）'!$A:$A,1,FALSE)</f>
        <v>#N/A</v>
      </c>
      <c r="J4521" s="94" t="s">
        <v>126</v>
      </c>
      <c r="K4521" s="94" t="s">
        <v>4768</v>
      </c>
      <c r="L4521" s="94" t="s">
        <v>6230</v>
      </c>
      <c r="M4521" s="94" t="s">
        <v>6232</v>
      </c>
      <c r="N4521" s="106">
        <v>44738</v>
      </c>
      <c r="O4521" s="94" t="s">
        <v>92</v>
      </c>
      <c r="P4521" s="116">
        <v>4300</v>
      </c>
      <c r="Q4521" s="107">
        <v>5</v>
      </c>
      <c r="R4521" s="116">
        <f t="shared" si="100"/>
        <v>21500</v>
      </c>
      <c r="S4521" s="298">
        <v>202303</v>
      </c>
      <c r="T4521" s="354" t="s">
        <v>6235</v>
      </c>
      <c r="U4521" s="344"/>
      <c r="V4521" s="330"/>
      <c r="W4521" s="358"/>
      <c r="X4521" s="106">
        <v>44728</v>
      </c>
      <c r="Y4521" s="106">
        <v>45092</v>
      </c>
    </row>
    <row r="4522" s="9" customFormat="1" customHeight="1" spans="1:25">
      <c r="A4522" s="16" t="s">
        <v>401</v>
      </c>
      <c r="B4522" s="17" t="s">
        <v>6236</v>
      </c>
      <c r="C4522" s="17" t="s">
        <v>63</v>
      </c>
      <c r="D4522" s="17" t="s">
        <v>6237</v>
      </c>
      <c r="E4522" s="18" t="s">
        <v>6238</v>
      </c>
      <c r="F4522" s="16" t="s">
        <v>6239</v>
      </c>
      <c r="G4522" s="16" t="s">
        <v>88</v>
      </c>
      <c r="H4522" s="19" t="s">
        <v>6240</v>
      </c>
      <c r="I4522" s="23" t="e">
        <f>VLOOKUP(H4522,'合同综合查询数据（3月返）'!$A:$A,1,FALSE)</f>
        <v>#N/A</v>
      </c>
      <c r="J4522" s="24" t="s">
        <v>3074</v>
      </c>
      <c r="K4522" s="16" t="s">
        <v>6241</v>
      </c>
      <c r="L4522" s="25"/>
      <c r="M4522" s="26" t="s">
        <v>6242</v>
      </c>
      <c r="N4522" s="28" t="s">
        <v>503</v>
      </c>
      <c r="O4522" s="28" t="s">
        <v>92</v>
      </c>
      <c r="P4522" s="365">
        <v>4900</v>
      </c>
      <c r="Q4522" s="369">
        <v>661</v>
      </c>
      <c r="R4522" s="36">
        <f t="shared" si="100"/>
        <v>3238900</v>
      </c>
      <c r="S4522" s="37">
        <v>202303</v>
      </c>
      <c r="T4522" s="38"/>
      <c r="U4522" s="39"/>
      <c r="V4522" s="370"/>
      <c r="W4522" s="41"/>
      <c r="X4522" s="371">
        <v>44501</v>
      </c>
      <c r="Y4522" s="371">
        <v>44592</v>
      </c>
    </row>
    <row r="4523" s="9" customFormat="1" customHeight="1" spans="1:25">
      <c r="A4523" s="16" t="s">
        <v>401</v>
      </c>
      <c r="B4523" s="17" t="s">
        <v>6236</v>
      </c>
      <c r="C4523" s="17" t="s">
        <v>63</v>
      </c>
      <c r="D4523" s="17" t="s">
        <v>6237</v>
      </c>
      <c r="E4523" s="18" t="s">
        <v>6238</v>
      </c>
      <c r="F4523" s="16" t="s">
        <v>6239</v>
      </c>
      <c r="G4523" s="16" t="s">
        <v>88</v>
      </c>
      <c r="H4523" s="19" t="s">
        <v>6240</v>
      </c>
      <c r="I4523" s="23" t="e">
        <f>VLOOKUP(H4523,'合同综合查询数据（3月返）'!$A:$A,1,FALSE)</f>
        <v>#N/A</v>
      </c>
      <c r="J4523" s="24" t="s">
        <v>3074</v>
      </c>
      <c r="K4523" s="16" t="s">
        <v>6241</v>
      </c>
      <c r="L4523" s="25"/>
      <c r="M4523" s="26" t="s">
        <v>6242</v>
      </c>
      <c r="N4523" s="28" t="s">
        <v>503</v>
      </c>
      <c r="O4523" s="28" t="s">
        <v>506</v>
      </c>
      <c r="P4523" s="365">
        <v>8540</v>
      </c>
      <c r="Q4523" s="369">
        <v>2</v>
      </c>
      <c r="R4523" s="36">
        <f t="shared" si="100"/>
        <v>17080</v>
      </c>
      <c r="S4523" s="37">
        <v>202303</v>
      </c>
      <c r="T4523" s="38" t="s">
        <v>6243</v>
      </c>
      <c r="U4523" s="39"/>
      <c r="V4523" s="370"/>
      <c r="W4523" s="41"/>
      <c r="X4523" s="371">
        <v>44501</v>
      </c>
      <c r="Y4523" s="371">
        <v>44592</v>
      </c>
    </row>
    <row r="4524" s="9" customFormat="1" customHeight="1" spans="1:25">
      <c r="A4524" s="16" t="s">
        <v>401</v>
      </c>
      <c r="B4524" s="17" t="s">
        <v>6236</v>
      </c>
      <c r="C4524" s="17" t="s">
        <v>63</v>
      </c>
      <c r="D4524" s="17" t="s">
        <v>6237</v>
      </c>
      <c r="E4524" s="18" t="s">
        <v>6238</v>
      </c>
      <c r="F4524" s="16" t="s">
        <v>6239</v>
      </c>
      <c r="G4524" s="16" t="s">
        <v>88</v>
      </c>
      <c r="H4524" s="19" t="s">
        <v>6240</v>
      </c>
      <c r="I4524" s="23" t="e">
        <f>VLOOKUP(H4524,'合同综合查询数据（3月返）'!$A:$A,1,FALSE)</f>
        <v>#N/A</v>
      </c>
      <c r="J4524" s="24" t="s">
        <v>3074</v>
      </c>
      <c r="K4524" s="16" t="s">
        <v>6241</v>
      </c>
      <c r="L4524" s="25"/>
      <c r="M4524" s="26" t="s">
        <v>6242</v>
      </c>
      <c r="N4524" s="28" t="s">
        <v>503</v>
      </c>
      <c r="O4524" s="28" t="s">
        <v>519</v>
      </c>
      <c r="P4524" s="365">
        <v>17770</v>
      </c>
      <c r="Q4524" s="369">
        <v>2</v>
      </c>
      <c r="R4524" s="36">
        <f t="shared" si="100"/>
        <v>35540</v>
      </c>
      <c r="S4524" s="37">
        <v>202303</v>
      </c>
      <c r="T4524" s="38" t="s">
        <v>6244</v>
      </c>
      <c r="U4524" s="39"/>
      <c r="V4524" s="370"/>
      <c r="W4524" s="41"/>
      <c r="X4524" s="371">
        <v>44501</v>
      </c>
      <c r="Y4524" s="371">
        <v>44592</v>
      </c>
    </row>
    <row r="4525" s="9" customFormat="1" customHeight="1" spans="1:25">
      <c r="A4525" s="16" t="s">
        <v>401</v>
      </c>
      <c r="B4525" s="17" t="s">
        <v>6236</v>
      </c>
      <c r="C4525" s="17" t="s">
        <v>63</v>
      </c>
      <c r="D4525" s="17" t="s">
        <v>6237</v>
      </c>
      <c r="E4525" s="18" t="s">
        <v>6238</v>
      </c>
      <c r="F4525" s="16" t="s">
        <v>6239</v>
      </c>
      <c r="G4525" s="16" t="s">
        <v>88</v>
      </c>
      <c r="H4525" s="19" t="s">
        <v>6240</v>
      </c>
      <c r="I4525" s="23" t="e">
        <f>VLOOKUP(H4525,'合同综合查询数据（3月返）'!$A:$A,1,FALSE)</f>
        <v>#N/A</v>
      </c>
      <c r="J4525" s="24" t="s">
        <v>3074</v>
      </c>
      <c r="K4525" s="16" t="s">
        <v>6241</v>
      </c>
      <c r="L4525" s="25"/>
      <c r="M4525" s="26" t="s">
        <v>6242</v>
      </c>
      <c r="N4525" s="28" t="s">
        <v>503</v>
      </c>
      <c r="O4525" s="28" t="s">
        <v>519</v>
      </c>
      <c r="P4525" s="365">
        <v>17770</v>
      </c>
      <c r="Q4525" s="369">
        <v>4</v>
      </c>
      <c r="R4525" s="36">
        <f t="shared" si="100"/>
        <v>71080</v>
      </c>
      <c r="S4525" s="37">
        <v>202303</v>
      </c>
      <c r="T4525" s="38" t="s">
        <v>6245</v>
      </c>
      <c r="U4525" s="39"/>
      <c r="V4525" s="370"/>
      <c r="W4525" s="41"/>
      <c r="X4525" s="371">
        <v>44501</v>
      </c>
      <c r="Y4525" s="371">
        <v>44592</v>
      </c>
    </row>
    <row r="4526" s="9" customFormat="1" customHeight="1" spans="1:25">
      <c r="A4526" s="16" t="s">
        <v>401</v>
      </c>
      <c r="B4526" s="17" t="s">
        <v>6236</v>
      </c>
      <c r="C4526" s="17" t="s">
        <v>63</v>
      </c>
      <c r="D4526" s="17" t="s">
        <v>6237</v>
      </c>
      <c r="E4526" s="18" t="s">
        <v>6238</v>
      </c>
      <c r="F4526" s="16" t="s">
        <v>6239</v>
      </c>
      <c r="G4526" s="16" t="s">
        <v>88</v>
      </c>
      <c r="H4526" s="19" t="s">
        <v>6240</v>
      </c>
      <c r="I4526" s="23" t="e">
        <f>VLOOKUP(H4526,'合同综合查询数据（3月返）'!$A:$A,1,FALSE)</f>
        <v>#N/A</v>
      </c>
      <c r="J4526" s="24" t="s">
        <v>3074</v>
      </c>
      <c r="K4526" s="16" t="s">
        <v>6241</v>
      </c>
      <c r="L4526" s="25"/>
      <c r="M4526" s="26" t="s">
        <v>6242</v>
      </c>
      <c r="N4526" s="28">
        <v>44578</v>
      </c>
      <c r="O4526" s="28" t="s">
        <v>519</v>
      </c>
      <c r="P4526" s="365">
        <v>17770</v>
      </c>
      <c r="Q4526" s="369">
        <v>-6</v>
      </c>
      <c r="R4526" s="173">
        <f t="shared" si="100"/>
        <v>-106620</v>
      </c>
      <c r="S4526" s="37">
        <v>202303</v>
      </c>
      <c r="T4526" s="38" t="s">
        <v>6246</v>
      </c>
      <c r="U4526" s="39"/>
      <c r="V4526" s="370"/>
      <c r="W4526" s="41"/>
      <c r="X4526" s="371">
        <v>44501</v>
      </c>
      <c r="Y4526" s="371">
        <v>44592</v>
      </c>
    </row>
    <row r="4527" s="9" customFormat="1" customHeight="1" spans="1:25">
      <c r="A4527" s="16" t="s">
        <v>401</v>
      </c>
      <c r="B4527" s="17" t="s">
        <v>6236</v>
      </c>
      <c r="C4527" s="17" t="s">
        <v>63</v>
      </c>
      <c r="D4527" s="17" t="s">
        <v>6237</v>
      </c>
      <c r="E4527" s="18" t="s">
        <v>6238</v>
      </c>
      <c r="F4527" s="16" t="s">
        <v>6239</v>
      </c>
      <c r="G4527" s="16" t="s">
        <v>88</v>
      </c>
      <c r="H4527" s="19" t="s">
        <v>6240</v>
      </c>
      <c r="I4527" s="23" t="e">
        <f>VLOOKUP(H4527,'合同综合查询数据（3月返）'!$A:$A,1,FALSE)</f>
        <v>#N/A</v>
      </c>
      <c r="J4527" s="24" t="s">
        <v>3074</v>
      </c>
      <c r="K4527" s="16" t="s">
        <v>6241</v>
      </c>
      <c r="L4527" s="25"/>
      <c r="M4527" s="26" t="s">
        <v>6242</v>
      </c>
      <c r="N4527" s="28" t="s">
        <v>503</v>
      </c>
      <c r="O4527" s="28" t="s">
        <v>506</v>
      </c>
      <c r="P4527" s="365">
        <v>8540</v>
      </c>
      <c r="Q4527" s="369">
        <v>4</v>
      </c>
      <c r="R4527" s="36">
        <f t="shared" si="100"/>
        <v>34160</v>
      </c>
      <c r="S4527" s="37">
        <v>202303</v>
      </c>
      <c r="T4527" s="38" t="s">
        <v>6247</v>
      </c>
      <c r="U4527" s="39"/>
      <c r="V4527" s="370"/>
      <c r="W4527" s="41"/>
      <c r="X4527" s="371">
        <v>44501</v>
      </c>
      <c r="Y4527" s="371">
        <v>44592</v>
      </c>
    </row>
    <row r="4528" s="9" customFormat="1" customHeight="1" spans="1:25">
      <c r="A4528" s="16" t="s">
        <v>401</v>
      </c>
      <c r="B4528" s="17" t="s">
        <v>6236</v>
      </c>
      <c r="C4528" s="17" t="s">
        <v>63</v>
      </c>
      <c r="D4528" s="17" t="s">
        <v>6237</v>
      </c>
      <c r="E4528" s="18" t="s">
        <v>6238</v>
      </c>
      <c r="F4528" s="16" t="s">
        <v>6239</v>
      </c>
      <c r="G4528" s="16" t="s">
        <v>88</v>
      </c>
      <c r="H4528" s="19" t="s">
        <v>6240</v>
      </c>
      <c r="I4528" s="23" t="e">
        <f>VLOOKUP(H4528,'合同综合查询数据（3月返）'!$A:$A,1,FALSE)</f>
        <v>#N/A</v>
      </c>
      <c r="J4528" s="24" t="s">
        <v>3074</v>
      </c>
      <c r="K4528" s="16" t="s">
        <v>6241</v>
      </c>
      <c r="L4528" s="25"/>
      <c r="M4528" s="26" t="s">
        <v>6242</v>
      </c>
      <c r="N4528" s="28">
        <v>44578</v>
      </c>
      <c r="O4528" s="28" t="s">
        <v>506</v>
      </c>
      <c r="P4528" s="365">
        <v>8540</v>
      </c>
      <c r="Q4528" s="369">
        <v>-2</v>
      </c>
      <c r="R4528" s="173">
        <f t="shared" si="100"/>
        <v>-17080</v>
      </c>
      <c r="S4528" s="37">
        <v>202303</v>
      </c>
      <c r="T4528" s="38" t="s">
        <v>6248</v>
      </c>
      <c r="U4528" s="39"/>
      <c r="V4528" s="370"/>
      <c r="W4528" s="41"/>
      <c r="X4528" s="371">
        <v>44501</v>
      </c>
      <c r="Y4528" s="371">
        <v>44592</v>
      </c>
    </row>
    <row r="4529" s="9" customFormat="1" customHeight="1" spans="1:25">
      <c r="A4529" s="16" t="s">
        <v>401</v>
      </c>
      <c r="B4529" s="17" t="s">
        <v>6236</v>
      </c>
      <c r="C4529" s="17" t="s">
        <v>63</v>
      </c>
      <c r="D4529" s="17" t="s">
        <v>6237</v>
      </c>
      <c r="E4529" s="18" t="s">
        <v>6238</v>
      </c>
      <c r="F4529" s="16" t="s">
        <v>6239</v>
      </c>
      <c r="G4529" s="16" t="s">
        <v>88</v>
      </c>
      <c r="H4529" s="19" t="s">
        <v>6240</v>
      </c>
      <c r="I4529" s="23" t="e">
        <f>VLOOKUP(H4529,'合同综合查询数据（3月返）'!$A:$A,1,FALSE)</f>
        <v>#N/A</v>
      </c>
      <c r="J4529" s="24" t="s">
        <v>3074</v>
      </c>
      <c r="K4529" s="16" t="s">
        <v>6241</v>
      </c>
      <c r="L4529" s="25"/>
      <c r="M4529" s="26" t="s">
        <v>6242</v>
      </c>
      <c r="N4529" s="28">
        <v>43573</v>
      </c>
      <c r="O4529" s="28" t="s">
        <v>92</v>
      </c>
      <c r="P4529" s="365">
        <v>4900</v>
      </c>
      <c r="Q4529" s="369">
        <v>1</v>
      </c>
      <c r="R4529" s="36">
        <f t="shared" si="100"/>
        <v>4900</v>
      </c>
      <c r="S4529" s="37">
        <v>202303</v>
      </c>
      <c r="T4529" s="38" t="s">
        <v>6249</v>
      </c>
      <c r="U4529" s="39"/>
      <c r="V4529" s="370"/>
      <c r="W4529" s="41"/>
      <c r="X4529" s="371">
        <v>44501</v>
      </c>
      <c r="Y4529" s="371">
        <v>44592</v>
      </c>
    </row>
    <row r="4530" s="9" customFormat="1" customHeight="1" spans="1:25">
      <c r="A4530" s="16" t="s">
        <v>401</v>
      </c>
      <c r="B4530" s="17" t="s">
        <v>6236</v>
      </c>
      <c r="C4530" s="17" t="s">
        <v>63</v>
      </c>
      <c r="D4530" s="17" t="s">
        <v>6237</v>
      </c>
      <c r="E4530" s="18" t="s">
        <v>6238</v>
      </c>
      <c r="F4530" s="16" t="s">
        <v>6239</v>
      </c>
      <c r="G4530" s="16" t="s">
        <v>88</v>
      </c>
      <c r="H4530" s="19" t="s">
        <v>6240</v>
      </c>
      <c r="I4530" s="23" t="e">
        <f>VLOOKUP(H4530,'合同综合查询数据（3月返）'!$A:$A,1,FALSE)</f>
        <v>#N/A</v>
      </c>
      <c r="J4530" s="24" t="s">
        <v>3074</v>
      </c>
      <c r="K4530" s="16" t="s">
        <v>6241</v>
      </c>
      <c r="L4530" s="25"/>
      <c r="M4530" s="26" t="s">
        <v>6242</v>
      </c>
      <c r="N4530" s="28">
        <v>44578</v>
      </c>
      <c r="O4530" s="28" t="s">
        <v>92</v>
      </c>
      <c r="P4530" s="365">
        <v>4900</v>
      </c>
      <c r="Q4530" s="369">
        <v>-3</v>
      </c>
      <c r="R4530" s="173">
        <f t="shared" si="100"/>
        <v>-14700</v>
      </c>
      <c r="S4530" s="37">
        <v>202303</v>
      </c>
      <c r="T4530" s="38" t="s">
        <v>6250</v>
      </c>
      <c r="U4530" s="39"/>
      <c r="V4530" s="370"/>
      <c r="W4530" s="41"/>
      <c r="X4530" s="371">
        <v>44501</v>
      </c>
      <c r="Y4530" s="371">
        <v>44592</v>
      </c>
    </row>
    <row r="4531" s="9" customFormat="1" customHeight="1" spans="1:25">
      <c r="A4531" s="16" t="s">
        <v>401</v>
      </c>
      <c r="B4531" s="17" t="s">
        <v>6236</v>
      </c>
      <c r="C4531" s="17" t="s">
        <v>63</v>
      </c>
      <c r="D4531" s="17" t="s">
        <v>6237</v>
      </c>
      <c r="E4531" s="18" t="s">
        <v>6238</v>
      </c>
      <c r="F4531" s="16" t="s">
        <v>6239</v>
      </c>
      <c r="G4531" s="16" t="s">
        <v>88</v>
      </c>
      <c r="H4531" s="19" t="s">
        <v>6240</v>
      </c>
      <c r="I4531" s="23" t="e">
        <f>VLOOKUP(H4531,'合同综合查询数据（3月返）'!$A:$A,1,FALSE)</f>
        <v>#N/A</v>
      </c>
      <c r="J4531" s="24" t="s">
        <v>3074</v>
      </c>
      <c r="K4531" s="16" t="s">
        <v>6241</v>
      </c>
      <c r="L4531" s="25"/>
      <c r="M4531" s="26" t="s">
        <v>6242</v>
      </c>
      <c r="N4531" s="28">
        <v>43617</v>
      </c>
      <c r="O4531" s="28" t="s">
        <v>545</v>
      </c>
      <c r="P4531" s="365">
        <v>4900</v>
      </c>
      <c r="Q4531" s="369">
        <v>5</v>
      </c>
      <c r="R4531" s="36">
        <f t="shared" si="100"/>
        <v>24500</v>
      </c>
      <c r="S4531" s="37">
        <v>202303</v>
      </c>
      <c r="T4531" s="38" t="s">
        <v>6251</v>
      </c>
      <c r="U4531" s="39"/>
      <c r="V4531" s="370"/>
      <c r="W4531" s="41"/>
      <c r="X4531" s="371">
        <v>44501</v>
      </c>
      <c r="Y4531" s="371">
        <v>44592</v>
      </c>
    </row>
    <row r="4532" s="9" customFormat="1" customHeight="1" spans="1:25">
      <c r="A4532" s="16" t="s">
        <v>401</v>
      </c>
      <c r="B4532" s="17" t="s">
        <v>6236</v>
      </c>
      <c r="C4532" s="17" t="s">
        <v>63</v>
      </c>
      <c r="D4532" s="17" t="s">
        <v>6237</v>
      </c>
      <c r="E4532" s="18" t="s">
        <v>6238</v>
      </c>
      <c r="F4532" s="16" t="s">
        <v>6239</v>
      </c>
      <c r="G4532" s="16" t="s">
        <v>88</v>
      </c>
      <c r="H4532" s="19" t="s">
        <v>6240</v>
      </c>
      <c r="I4532" s="23" t="e">
        <f>VLOOKUP(H4532,'合同综合查询数据（3月返）'!$A:$A,1,FALSE)</f>
        <v>#N/A</v>
      </c>
      <c r="J4532" s="24" t="s">
        <v>3074</v>
      </c>
      <c r="K4532" s="16" t="s">
        <v>6241</v>
      </c>
      <c r="L4532" s="25"/>
      <c r="M4532" s="26" t="s">
        <v>6242</v>
      </c>
      <c r="N4532" s="28">
        <v>43617</v>
      </c>
      <c r="O4532" s="28" t="s">
        <v>92</v>
      </c>
      <c r="P4532" s="365">
        <v>4900</v>
      </c>
      <c r="Q4532" s="369">
        <v>1</v>
      </c>
      <c r="R4532" s="36">
        <f t="shared" si="100"/>
        <v>4900</v>
      </c>
      <c r="S4532" s="37">
        <v>202303</v>
      </c>
      <c r="T4532" s="38" t="s">
        <v>6252</v>
      </c>
      <c r="U4532" s="39"/>
      <c r="V4532" s="370"/>
      <c r="W4532" s="41"/>
      <c r="X4532" s="371">
        <v>44501</v>
      </c>
      <c r="Y4532" s="371">
        <v>44592</v>
      </c>
    </row>
    <row r="4533" s="9" customFormat="1" customHeight="1" spans="1:25">
      <c r="A4533" s="16" t="s">
        <v>401</v>
      </c>
      <c r="B4533" s="17" t="s">
        <v>6236</v>
      </c>
      <c r="C4533" s="17" t="s">
        <v>63</v>
      </c>
      <c r="D4533" s="17" t="s">
        <v>6237</v>
      </c>
      <c r="E4533" s="18" t="s">
        <v>6238</v>
      </c>
      <c r="F4533" s="16" t="s">
        <v>6239</v>
      </c>
      <c r="G4533" s="16" t="s">
        <v>88</v>
      </c>
      <c r="H4533" s="19" t="s">
        <v>6240</v>
      </c>
      <c r="I4533" s="23" t="e">
        <f>VLOOKUP(H4533,'合同综合查询数据（3月返）'!$A:$A,1,FALSE)</f>
        <v>#N/A</v>
      </c>
      <c r="J4533" s="24" t="s">
        <v>3074</v>
      </c>
      <c r="K4533" s="16" t="s">
        <v>6241</v>
      </c>
      <c r="L4533" s="25"/>
      <c r="M4533" s="26" t="s">
        <v>6242</v>
      </c>
      <c r="N4533" s="28">
        <v>43709</v>
      </c>
      <c r="O4533" s="28" t="s">
        <v>545</v>
      </c>
      <c r="P4533" s="365">
        <v>4900</v>
      </c>
      <c r="Q4533" s="369">
        <v>1</v>
      </c>
      <c r="R4533" s="36">
        <f t="shared" si="100"/>
        <v>4900</v>
      </c>
      <c r="S4533" s="37">
        <v>202303</v>
      </c>
      <c r="T4533" s="38" t="s">
        <v>6253</v>
      </c>
      <c r="U4533" s="39"/>
      <c r="V4533" s="370"/>
      <c r="W4533" s="41"/>
      <c r="X4533" s="371">
        <v>44501</v>
      </c>
      <c r="Y4533" s="371">
        <v>44592</v>
      </c>
    </row>
    <row r="4534" s="9" customFormat="1" customHeight="1" spans="1:25">
      <c r="A4534" s="16" t="s">
        <v>401</v>
      </c>
      <c r="B4534" s="17" t="s">
        <v>6236</v>
      </c>
      <c r="C4534" s="17" t="s">
        <v>63</v>
      </c>
      <c r="D4534" s="17" t="s">
        <v>6237</v>
      </c>
      <c r="E4534" s="18" t="s">
        <v>6238</v>
      </c>
      <c r="F4534" s="16" t="s">
        <v>6239</v>
      </c>
      <c r="G4534" s="16" t="s">
        <v>88</v>
      </c>
      <c r="H4534" s="19" t="s">
        <v>6240</v>
      </c>
      <c r="I4534" s="23" t="e">
        <f>VLOOKUP(H4534,'合同综合查询数据（3月返）'!$A:$A,1,FALSE)</f>
        <v>#N/A</v>
      </c>
      <c r="J4534" s="24" t="s">
        <v>3074</v>
      </c>
      <c r="K4534" s="16" t="s">
        <v>6241</v>
      </c>
      <c r="L4534" s="25"/>
      <c r="M4534" s="26" t="s">
        <v>6242</v>
      </c>
      <c r="N4534" s="28">
        <v>43928</v>
      </c>
      <c r="O4534" s="28" t="s">
        <v>92</v>
      </c>
      <c r="P4534" s="365">
        <v>4900</v>
      </c>
      <c r="Q4534" s="369">
        <v>-5</v>
      </c>
      <c r="R4534" s="36">
        <f t="shared" si="100"/>
        <v>-24500</v>
      </c>
      <c r="S4534" s="37">
        <v>202303</v>
      </c>
      <c r="T4534" s="38"/>
      <c r="U4534" s="39"/>
      <c r="V4534" s="370"/>
      <c r="W4534" s="41"/>
      <c r="X4534" s="371">
        <v>44501</v>
      </c>
      <c r="Y4534" s="371">
        <v>44592</v>
      </c>
    </row>
    <row r="4535" s="9" customFormat="1" customHeight="1" spans="1:25">
      <c r="A4535" s="16" t="s">
        <v>401</v>
      </c>
      <c r="B4535" s="17" t="s">
        <v>6236</v>
      </c>
      <c r="C4535" s="17" t="s">
        <v>63</v>
      </c>
      <c r="D4535" s="17" t="s">
        <v>6237</v>
      </c>
      <c r="E4535" s="18" t="s">
        <v>6238</v>
      </c>
      <c r="F4535" s="16" t="s">
        <v>6239</v>
      </c>
      <c r="G4535" s="16" t="s">
        <v>88</v>
      </c>
      <c r="H4535" s="19" t="s">
        <v>6240</v>
      </c>
      <c r="I4535" s="23" t="e">
        <f>VLOOKUP(H4535,'合同综合查询数据（3月返）'!$A:$A,1,FALSE)</f>
        <v>#N/A</v>
      </c>
      <c r="J4535" s="24" t="s">
        <v>3074</v>
      </c>
      <c r="K4535" s="16" t="s">
        <v>6241</v>
      </c>
      <c r="L4535" s="25"/>
      <c r="M4535" s="26" t="s">
        <v>6242</v>
      </c>
      <c r="N4535" s="28">
        <v>44579</v>
      </c>
      <c r="O4535" s="28" t="s">
        <v>545</v>
      </c>
      <c r="P4535" s="365">
        <v>4900</v>
      </c>
      <c r="Q4535" s="369">
        <v>-6</v>
      </c>
      <c r="R4535" s="173">
        <f t="shared" si="100"/>
        <v>-29400</v>
      </c>
      <c r="S4535" s="37">
        <v>202303</v>
      </c>
      <c r="T4535" s="38" t="s">
        <v>6254</v>
      </c>
      <c r="U4535" s="39"/>
      <c r="V4535" s="370"/>
      <c r="W4535" s="41"/>
      <c r="X4535" s="371">
        <v>44501</v>
      </c>
      <c r="Y4535" s="371">
        <v>44592</v>
      </c>
    </row>
    <row r="4536" s="9" customFormat="1" customHeight="1" spans="1:25">
      <c r="A4536" s="16" t="s">
        <v>401</v>
      </c>
      <c r="B4536" s="17" t="s">
        <v>6236</v>
      </c>
      <c r="C4536" s="17" t="s">
        <v>63</v>
      </c>
      <c r="D4536" s="17" t="s">
        <v>6237</v>
      </c>
      <c r="E4536" s="18" t="s">
        <v>6238</v>
      </c>
      <c r="F4536" s="16" t="s">
        <v>6239</v>
      </c>
      <c r="G4536" s="16" t="s">
        <v>88</v>
      </c>
      <c r="H4536" s="19" t="s">
        <v>6240</v>
      </c>
      <c r="I4536" s="23" t="e">
        <f>VLOOKUP(H4536,'合同综合查询数据（3月返）'!$A:$A,1,FALSE)</f>
        <v>#N/A</v>
      </c>
      <c r="J4536" s="24" t="s">
        <v>3074</v>
      </c>
      <c r="K4536" s="16" t="s">
        <v>6241</v>
      </c>
      <c r="L4536" s="25"/>
      <c r="M4536" s="26" t="s">
        <v>6242</v>
      </c>
      <c r="N4536" s="28">
        <v>44579</v>
      </c>
      <c r="O4536" s="28" t="s">
        <v>92</v>
      </c>
      <c r="P4536" s="365">
        <v>4900</v>
      </c>
      <c r="Q4536" s="369">
        <v>-655</v>
      </c>
      <c r="R4536" s="173">
        <f t="shared" si="100"/>
        <v>-3209500</v>
      </c>
      <c r="S4536" s="37">
        <v>202303</v>
      </c>
      <c r="T4536" s="38" t="s">
        <v>6255</v>
      </c>
      <c r="U4536" s="39"/>
      <c r="V4536" s="370"/>
      <c r="W4536" s="41"/>
      <c r="X4536" s="371">
        <v>44501</v>
      </c>
      <c r="Y4536" s="371">
        <v>44592</v>
      </c>
    </row>
    <row r="4537" s="9" customFormat="1" customHeight="1" spans="1:25">
      <c r="A4537" s="16" t="s">
        <v>401</v>
      </c>
      <c r="B4537" s="17" t="s">
        <v>6236</v>
      </c>
      <c r="C4537" s="17" t="s">
        <v>63</v>
      </c>
      <c r="D4537" s="17" t="s">
        <v>6237</v>
      </c>
      <c r="E4537" s="18" t="s">
        <v>6238</v>
      </c>
      <c r="F4537" s="16" t="s">
        <v>6239</v>
      </c>
      <c r="G4537" s="16" t="s">
        <v>88</v>
      </c>
      <c r="H4537" s="19" t="s">
        <v>6240</v>
      </c>
      <c r="I4537" s="23" t="e">
        <f>VLOOKUP(H4537,'合同综合查询数据（3月返）'!$A:$A,1,FALSE)</f>
        <v>#N/A</v>
      </c>
      <c r="J4537" s="24" t="s">
        <v>3074</v>
      </c>
      <c r="K4537" s="16" t="s">
        <v>6241</v>
      </c>
      <c r="L4537" s="25"/>
      <c r="M4537" s="26" t="s">
        <v>6242</v>
      </c>
      <c r="N4537" s="28">
        <v>44579</v>
      </c>
      <c r="O4537" s="28" t="s">
        <v>506</v>
      </c>
      <c r="P4537" s="365">
        <v>8540</v>
      </c>
      <c r="Q4537" s="369">
        <v>-4</v>
      </c>
      <c r="R4537" s="173">
        <f t="shared" si="100"/>
        <v>-34160</v>
      </c>
      <c r="S4537" s="37">
        <v>202303</v>
      </c>
      <c r="T4537" s="38" t="s">
        <v>6256</v>
      </c>
      <c r="U4537" s="39"/>
      <c r="V4537" s="370"/>
      <c r="W4537" s="41"/>
      <c r="X4537" s="371">
        <v>44501</v>
      </c>
      <c r="Y4537" s="371">
        <v>44592</v>
      </c>
    </row>
    <row r="4538" s="10" customFormat="1" customHeight="1" spans="1:25">
      <c r="A4538" s="42" t="s">
        <v>401</v>
      </c>
      <c r="B4538" s="43" t="s">
        <v>6236</v>
      </c>
      <c r="C4538" s="43" t="s">
        <v>63</v>
      </c>
      <c r="D4538" s="43" t="s">
        <v>6237</v>
      </c>
      <c r="E4538" s="44" t="s">
        <v>6238</v>
      </c>
      <c r="F4538" s="42" t="s">
        <v>6239</v>
      </c>
      <c r="G4538" s="42" t="s">
        <v>88</v>
      </c>
      <c r="H4538" s="45" t="s">
        <v>6257</v>
      </c>
      <c r="I4538" s="47" t="e">
        <f>VLOOKUP(H4538,'合同综合查询数据（3月返）'!$A:$A,1,FALSE)</f>
        <v>#N/A</v>
      </c>
      <c r="J4538" s="48" t="s">
        <v>3074</v>
      </c>
      <c r="K4538" s="42" t="s">
        <v>6241</v>
      </c>
      <c r="L4538" s="49"/>
      <c r="M4538" s="50" t="s">
        <v>6242</v>
      </c>
      <c r="N4538" s="51" t="s">
        <v>503</v>
      </c>
      <c r="O4538" s="51" t="s">
        <v>92</v>
      </c>
      <c r="P4538" s="366">
        <v>5330</v>
      </c>
      <c r="Q4538" s="372">
        <v>1518</v>
      </c>
      <c r="R4538" s="54">
        <f t="shared" si="100"/>
        <v>8090940</v>
      </c>
      <c r="S4538" s="55">
        <v>202303</v>
      </c>
      <c r="T4538" s="56" t="s">
        <v>6258</v>
      </c>
      <c r="U4538" s="57"/>
      <c r="V4538" s="373"/>
      <c r="W4538" s="59"/>
      <c r="X4538" s="374"/>
      <c r="Y4538" s="374"/>
    </row>
    <row r="4539" s="10" customFormat="1" customHeight="1" spans="1:25">
      <c r="A4539" s="42" t="s">
        <v>401</v>
      </c>
      <c r="B4539" s="43" t="s">
        <v>6236</v>
      </c>
      <c r="C4539" s="43" t="s">
        <v>63</v>
      </c>
      <c r="D4539" s="43" t="s">
        <v>6237</v>
      </c>
      <c r="E4539" s="44" t="s">
        <v>6238</v>
      </c>
      <c r="F4539" s="42" t="s">
        <v>6239</v>
      </c>
      <c r="G4539" s="42" t="s">
        <v>88</v>
      </c>
      <c r="H4539" s="45" t="s">
        <v>6257</v>
      </c>
      <c r="I4539" s="47" t="e">
        <f>VLOOKUP(H4539,'合同综合查询数据（3月返）'!$A:$A,1,FALSE)</f>
        <v>#N/A</v>
      </c>
      <c r="J4539" s="48" t="s">
        <v>3074</v>
      </c>
      <c r="K4539" s="42" t="s">
        <v>6241</v>
      </c>
      <c r="L4539" s="49"/>
      <c r="M4539" s="50" t="s">
        <v>6242</v>
      </c>
      <c r="N4539" s="51" t="s">
        <v>503</v>
      </c>
      <c r="O4539" s="51" t="s">
        <v>6259</v>
      </c>
      <c r="P4539" s="366">
        <v>14950</v>
      </c>
      <c r="Q4539" s="372">
        <v>4</v>
      </c>
      <c r="R4539" s="54">
        <f t="shared" si="100"/>
        <v>59800</v>
      </c>
      <c r="S4539" s="55">
        <v>202303</v>
      </c>
      <c r="T4539" s="56" t="s">
        <v>6260</v>
      </c>
      <c r="U4539" s="57"/>
      <c r="V4539" s="373"/>
      <c r="W4539" s="59"/>
      <c r="X4539" s="374"/>
      <c r="Y4539" s="374"/>
    </row>
    <row r="4540" s="10" customFormat="1" customHeight="1" spans="1:25">
      <c r="A4540" s="42" t="s">
        <v>401</v>
      </c>
      <c r="B4540" s="43" t="s">
        <v>6236</v>
      </c>
      <c r="C4540" s="43" t="s">
        <v>63</v>
      </c>
      <c r="D4540" s="43" t="s">
        <v>6237</v>
      </c>
      <c r="E4540" s="44" t="s">
        <v>6238</v>
      </c>
      <c r="F4540" s="42" t="s">
        <v>6239</v>
      </c>
      <c r="G4540" s="42" t="s">
        <v>88</v>
      </c>
      <c r="H4540" s="45" t="s">
        <v>6257</v>
      </c>
      <c r="I4540" s="47" t="e">
        <f>VLOOKUP(H4540,'合同综合查询数据（3月返）'!$A:$A,1,FALSE)</f>
        <v>#N/A</v>
      </c>
      <c r="J4540" s="48" t="s">
        <v>3074</v>
      </c>
      <c r="K4540" s="42" t="s">
        <v>6241</v>
      </c>
      <c r="L4540" s="49"/>
      <c r="M4540" s="50" t="s">
        <v>6242</v>
      </c>
      <c r="N4540" s="51">
        <v>44578</v>
      </c>
      <c r="O4540" s="51" t="s">
        <v>6259</v>
      </c>
      <c r="P4540" s="366">
        <v>14950</v>
      </c>
      <c r="Q4540" s="372">
        <v>-4</v>
      </c>
      <c r="R4540" s="144">
        <f t="shared" si="100"/>
        <v>-59800</v>
      </c>
      <c r="S4540" s="55">
        <v>202303</v>
      </c>
      <c r="T4540" s="56" t="s">
        <v>6261</v>
      </c>
      <c r="U4540" s="57"/>
      <c r="V4540" s="373"/>
      <c r="W4540" s="59"/>
      <c r="X4540" s="374"/>
      <c r="Y4540" s="374"/>
    </row>
    <row r="4541" s="10" customFormat="1" customHeight="1" spans="1:25">
      <c r="A4541" s="42" t="s">
        <v>401</v>
      </c>
      <c r="B4541" s="43" t="s">
        <v>6236</v>
      </c>
      <c r="C4541" s="43" t="s">
        <v>63</v>
      </c>
      <c r="D4541" s="43" t="s">
        <v>6237</v>
      </c>
      <c r="E4541" s="44" t="s">
        <v>6238</v>
      </c>
      <c r="F4541" s="42" t="s">
        <v>6239</v>
      </c>
      <c r="G4541" s="42" t="s">
        <v>88</v>
      </c>
      <c r="H4541" s="45" t="s">
        <v>6257</v>
      </c>
      <c r="I4541" s="47" t="e">
        <f>VLOOKUP(H4541,'合同综合查询数据（3月返）'!$A:$A,1,FALSE)</f>
        <v>#N/A</v>
      </c>
      <c r="J4541" s="48" t="s">
        <v>3074</v>
      </c>
      <c r="K4541" s="42" t="s">
        <v>6241</v>
      </c>
      <c r="L4541" s="49"/>
      <c r="M4541" s="50" t="s">
        <v>6242</v>
      </c>
      <c r="N4541" s="51" t="s">
        <v>503</v>
      </c>
      <c r="O4541" s="51" t="s">
        <v>506</v>
      </c>
      <c r="P4541" s="366">
        <v>8970</v>
      </c>
      <c r="Q4541" s="372">
        <v>4</v>
      </c>
      <c r="R4541" s="54">
        <f t="shared" si="100"/>
        <v>35880</v>
      </c>
      <c r="S4541" s="55">
        <v>202303</v>
      </c>
      <c r="T4541" s="56" t="s">
        <v>6262</v>
      </c>
      <c r="U4541" s="57"/>
      <c r="V4541" s="373"/>
      <c r="W4541" s="59"/>
      <c r="X4541" s="374"/>
      <c r="Y4541" s="374"/>
    </row>
    <row r="4542" s="10" customFormat="1" customHeight="1" spans="1:25">
      <c r="A4542" s="42" t="s">
        <v>401</v>
      </c>
      <c r="B4542" s="43" t="s">
        <v>6236</v>
      </c>
      <c r="C4542" s="43" t="s">
        <v>63</v>
      </c>
      <c r="D4542" s="43" t="s">
        <v>6237</v>
      </c>
      <c r="E4542" s="44" t="s">
        <v>6238</v>
      </c>
      <c r="F4542" s="42" t="s">
        <v>6239</v>
      </c>
      <c r="G4542" s="42" t="s">
        <v>88</v>
      </c>
      <c r="H4542" s="45" t="s">
        <v>6257</v>
      </c>
      <c r="I4542" s="47" t="e">
        <f>VLOOKUP(H4542,'合同综合查询数据（3月返）'!$A:$A,1,FALSE)</f>
        <v>#N/A</v>
      </c>
      <c r="J4542" s="48" t="s">
        <v>3074</v>
      </c>
      <c r="K4542" s="42" t="s">
        <v>6241</v>
      </c>
      <c r="L4542" s="49"/>
      <c r="M4542" s="50" t="s">
        <v>6242</v>
      </c>
      <c r="N4542" s="51">
        <v>44578</v>
      </c>
      <c r="O4542" s="51" t="s">
        <v>506</v>
      </c>
      <c r="P4542" s="366">
        <v>8970</v>
      </c>
      <c r="Q4542" s="372">
        <v>-2</v>
      </c>
      <c r="R4542" s="144">
        <f t="shared" si="100"/>
        <v>-17940</v>
      </c>
      <c r="S4542" s="55">
        <v>202303</v>
      </c>
      <c r="T4542" s="56" t="s">
        <v>6263</v>
      </c>
      <c r="U4542" s="57"/>
      <c r="V4542" s="373"/>
      <c r="W4542" s="59"/>
      <c r="X4542" s="374"/>
      <c r="Y4542" s="374"/>
    </row>
    <row r="4543" s="10" customFormat="1" customHeight="1" spans="1:25">
      <c r="A4543" s="42" t="s">
        <v>401</v>
      </c>
      <c r="B4543" s="43" t="s">
        <v>6236</v>
      </c>
      <c r="C4543" s="43" t="s">
        <v>63</v>
      </c>
      <c r="D4543" s="43" t="s">
        <v>6237</v>
      </c>
      <c r="E4543" s="44" t="s">
        <v>6238</v>
      </c>
      <c r="F4543" s="42" t="s">
        <v>6239</v>
      </c>
      <c r="G4543" s="42" t="s">
        <v>88</v>
      </c>
      <c r="H4543" s="45" t="s">
        <v>6257</v>
      </c>
      <c r="I4543" s="47" t="e">
        <f>VLOOKUP(H4543,'合同综合查询数据（3月返）'!$A:$A,1,FALSE)</f>
        <v>#N/A</v>
      </c>
      <c r="J4543" s="48" t="s">
        <v>3074</v>
      </c>
      <c r="K4543" s="42" t="s">
        <v>6241</v>
      </c>
      <c r="L4543" s="49"/>
      <c r="M4543" s="50" t="s">
        <v>6242</v>
      </c>
      <c r="N4543" s="51">
        <v>43482</v>
      </c>
      <c r="O4543" s="51" t="s">
        <v>92</v>
      </c>
      <c r="P4543" s="366">
        <v>5330</v>
      </c>
      <c r="Q4543" s="372">
        <v>4</v>
      </c>
      <c r="R4543" s="54">
        <f t="shared" si="100"/>
        <v>21320</v>
      </c>
      <c r="S4543" s="55">
        <v>202303</v>
      </c>
      <c r="T4543" s="56" t="s">
        <v>6264</v>
      </c>
      <c r="U4543" s="57"/>
      <c r="V4543" s="373"/>
      <c r="W4543" s="59"/>
      <c r="X4543" s="374"/>
      <c r="Y4543" s="374"/>
    </row>
    <row r="4544" s="10" customFormat="1" customHeight="1" spans="1:25">
      <c r="A4544" s="42" t="s">
        <v>401</v>
      </c>
      <c r="B4544" s="43" t="s">
        <v>6236</v>
      </c>
      <c r="C4544" s="43" t="s">
        <v>63</v>
      </c>
      <c r="D4544" s="43" t="s">
        <v>6237</v>
      </c>
      <c r="E4544" s="44" t="s">
        <v>6238</v>
      </c>
      <c r="F4544" s="42" t="s">
        <v>6239</v>
      </c>
      <c r="G4544" s="42" t="s">
        <v>88</v>
      </c>
      <c r="H4544" s="45" t="s">
        <v>6257</v>
      </c>
      <c r="I4544" s="47" t="e">
        <f>VLOOKUP(H4544,'合同综合查询数据（3月返）'!$A:$A,1,FALSE)</f>
        <v>#N/A</v>
      </c>
      <c r="J4544" s="48" t="s">
        <v>3074</v>
      </c>
      <c r="K4544" s="42" t="s">
        <v>6241</v>
      </c>
      <c r="L4544" s="49"/>
      <c r="M4544" s="50" t="s">
        <v>6242</v>
      </c>
      <c r="N4544" s="51">
        <v>43617</v>
      </c>
      <c r="O4544" s="51" t="s">
        <v>545</v>
      </c>
      <c r="P4544" s="366">
        <v>5330</v>
      </c>
      <c r="Q4544" s="372">
        <v>3</v>
      </c>
      <c r="R4544" s="54">
        <f t="shared" si="100"/>
        <v>15990</v>
      </c>
      <c r="S4544" s="55">
        <v>202303</v>
      </c>
      <c r="T4544" s="56" t="s">
        <v>6265</v>
      </c>
      <c r="U4544" s="57"/>
      <c r="V4544" s="373"/>
      <c r="W4544" s="59"/>
      <c r="X4544" s="374"/>
      <c r="Y4544" s="374"/>
    </row>
    <row r="4545" s="10" customFormat="1" customHeight="1" spans="1:25">
      <c r="A4545" s="42" t="s">
        <v>401</v>
      </c>
      <c r="B4545" s="43" t="s">
        <v>6236</v>
      </c>
      <c r="C4545" s="43" t="s">
        <v>63</v>
      </c>
      <c r="D4545" s="43" t="s">
        <v>6237</v>
      </c>
      <c r="E4545" s="44" t="s">
        <v>6238</v>
      </c>
      <c r="F4545" s="42" t="s">
        <v>6239</v>
      </c>
      <c r="G4545" s="42" t="s">
        <v>88</v>
      </c>
      <c r="H4545" s="45" t="s">
        <v>6257</v>
      </c>
      <c r="I4545" s="47" t="e">
        <f>VLOOKUP(H4545,'合同综合查询数据（3月返）'!$A:$A,1,FALSE)</f>
        <v>#N/A</v>
      </c>
      <c r="J4545" s="48" t="s">
        <v>3074</v>
      </c>
      <c r="K4545" s="42" t="s">
        <v>6241</v>
      </c>
      <c r="L4545" s="49"/>
      <c r="M4545" s="50" t="s">
        <v>6242</v>
      </c>
      <c r="N4545" s="51">
        <v>43943</v>
      </c>
      <c r="O4545" s="51" t="s">
        <v>92</v>
      </c>
      <c r="P4545" s="366">
        <v>5330</v>
      </c>
      <c r="Q4545" s="372">
        <v>-1</v>
      </c>
      <c r="R4545" s="54">
        <f t="shared" si="100"/>
        <v>-5330</v>
      </c>
      <c r="S4545" s="55">
        <v>202303</v>
      </c>
      <c r="T4545" s="56"/>
      <c r="U4545" s="57"/>
      <c r="V4545" s="373"/>
      <c r="W4545" s="59"/>
      <c r="X4545" s="374"/>
      <c r="Y4545" s="374"/>
    </row>
    <row r="4546" s="10" customFormat="1" customHeight="1" spans="1:25">
      <c r="A4546" s="42" t="s">
        <v>401</v>
      </c>
      <c r="B4546" s="43" t="s">
        <v>6236</v>
      </c>
      <c r="C4546" s="43" t="s">
        <v>63</v>
      </c>
      <c r="D4546" s="43" t="s">
        <v>6237</v>
      </c>
      <c r="E4546" s="44" t="s">
        <v>6238</v>
      </c>
      <c r="F4546" s="42" t="s">
        <v>6239</v>
      </c>
      <c r="G4546" s="42" t="s">
        <v>88</v>
      </c>
      <c r="H4546" s="45" t="s">
        <v>6257</v>
      </c>
      <c r="I4546" s="47" t="e">
        <f>VLOOKUP(H4546,'合同综合查询数据（3月返）'!$A:$A,1,FALSE)</f>
        <v>#N/A</v>
      </c>
      <c r="J4546" s="48" t="s">
        <v>3074</v>
      </c>
      <c r="K4546" s="42" t="s">
        <v>6241</v>
      </c>
      <c r="L4546" s="49"/>
      <c r="M4546" s="50" t="s">
        <v>6242</v>
      </c>
      <c r="N4546" s="51">
        <v>44227</v>
      </c>
      <c r="O4546" s="51" t="s">
        <v>92</v>
      </c>
      <c r="P4546" s="366">
        <v>5330</v>
      </c>
      <c r="Q4546" s="372">
        <v>-1493</v>
      </c>
      <c r="R4546" s="54">
        <f t="shared" si="100"/>
        <v>-7957690</v>
      </c>
      <c r="S4546" s="55">
        <v>202303</v>
      </c>
      <c r="T4546" s="56" t="s">
        <v>6266</v>
      </c>
      <c r="U4546" s="57"/>
      <c r="V4546" s="373"/>
      <c r="W4546" s="59"/>
      <c r="X4546" s="374"/>
      <c r="Y4546" s="374"/>
    </row>
    <row r="4547" s="10" customFormat="1" customHeight="1" spans="1:25">
      <c r="A4547" s="42" t="s">
        <v>401</v>
      </c>
      <c r="B4547" s="43" t="s">
        <v>6236</v>
      </c>
      <c r="C4547" s="43" t="s">
        <v>63</v>
      </c>
      <c r="D4547" s="43" t="s">
        <v>6237</v>
      </c>
      <c r="E4547" s="44" t="s">
        <v>6238</v>
      </c>
      <c r="F4547" s="42" t="s">
        <v>6239</v>
      </c>
      <c r="G4547" s="42" t="s">
        <v>88</v>
      </c>
      <c r="H4547" s="45" t="s">
        <v>6257</v>
      </c>
      <c r="I4547" s="47" t="e">
        <f>VLOOKUP(H4547,'合同综合查询数据（3月返）'!$A:$A,1,FALSE)</f>
        <v>#N/A</v>
      </c>
      <c r="J4547" s="48" t="s">
        <v>3074</v>
      </c>
      <c r="K4547" s="42" t="s">
        <v>6241</v>
      </c>
      <c r="L4547" s="49"/>
      <c r="M4547" s="50" t="s">
        <v>6242</v>
      </c>
      <c r="N4547" s="51">
        <v>44227</v>
      </c>
      <c r="O4547" s="51" t="s">
        <v>92</v>
      </c>
      <c r="P4547" s="366">
        <v>5330</v>
      </c>
      <c r="Q4547" s="372">
        <v>-7</v>
      </c>
      <c r="R4547" s="54">
        <f t="shared" si="100"/>
        <v>-37310</v>
      </c>
      <c r="S4547" s="55">
        <v>202303</v>
      </c>
      <c r="T4547" s="56" t="s">
        <v>6267</v>
      </c>
      <c r="U4547" s="57"/>
      <c r="V4547" s="373"/>
      <c r="W4547" s="59"/>
      <c r="X4547" s="374"/>
      <c r="Y4547" s="374"/>
    </row>
    <row r="4548" s="10" customFormat="1" customHeight="1" spans="1:25">
      <c r="A4548" s="42" t="s">
        <v>401</v>
      </c>
      <c r="B4548" s="43" t="s">
        <v>6236</v>
      </c>
      <c r="C4548" s="43" t="s">
        <v>63</v>
      </c>
      <c r="D4548" s="43" t="s">
        <v>6237</v>
      </c>
      <c r="E4548" s="44" t="s">
        <v>6238</v>
      </c>
      <c r="F4548" s="42" t="s">
        <v>6239</v>
      </c>
      <c r="G4548" s="42" t="s">
        <v>88</v>
      </c>
      <c r="H4548" s="45" t="s">
        <v>6257</v>
      </c>
      <c r="I4548" s="47" t="e">
        <f>VLOOKUP(H4548,'合同综合查询数据（3月返）'!$A:$A,1,FALSE)</f>
        <v>#N/A</v>
      </c>
      <c r="J4548" s="48" t="s">
        <v>3074</v>
      </c>
      <c r="K4548" s="42" t="s">
        <v>6241</v>
      </c>
      <c r="L4548" s="49"/>
      <c r="M4548" s="50" t="s">
        <v>6242</v>
      </c>
      <c r="N4548" s="51">
        <v>44579</v>
      </c>
      <c r="O4548" s="51" t="s">
        <v>545</v>
      </c>
      <c r="P4548" s="366">
        <v>5330</v>
      </c>
      <c r="Q4548" s="372">
        <v>-3</v>
      </c>
      <c r="R4548" s="144">
        <f t="shared" si="100"/>
        <v>-15990</v>
      </c>
      <c r="S4548" s="55">
        <v>202303</v>
      </c>
      <c r="T4548" s="56" t="s">
        <v>6268</v>
      </c>
      <c r="U4548" s="57"/>
      <c r="V4548" s="373"/>
      <c r="W4548" s="59"/>
      <c r="X4548" s="374"/>
      <c r="Y4548" s="374"/>
    </row>
    <row r="4549" s="10" customFormat="1" customHeight="1" spans="1:25">
      <c r="A4549" s="42" t="s">
        <v>401</v>
      </c>
      <c r="B4549" s="43" t="s">
        <v>6236</v>
      </c>
      <c r="C4549" s="43" t="s">
        <v>63</v>
      </c>
      <c r="D4549" s="43" t="s">
        <v>6237</v>
      </c>
      <c r="E4549" s="44" t="s">
        <v>6238</v>
      </c>
      <c r="F4549" s="42" t="s">
        <v>6239</v>
      </c>
      <c r="G4549" s="42" t="s">
        <v>88</v>
      </c>
      <c r="H4549" s="45" t="s">
        <v>6257</v>
      </c>
      <c r="I4549" s="47" t="e">
        <f>VLOOKUP(H4549,'合同综合查询数据（3月返）'!$A:$A,1,FALSE)</f>
        <v>#N/A</v>
      </c>
      <c r="J4549" s="48" t="s">
        <v>3074</v>
      </c>
      <c r="K4549" s="42" t="s">
        <v>6241</v>
      </c>
      <c r="L4549" s="49"/>
      <c r="M4549" s="50" t="s">
        <v>6242</v>
      </c>
      <c r="N4549" s="51">
        <v>44579</v>
      </c>
      <c r="O4549" s="51" t="s">
        <v>92</v>
      </c>
      <c r="P4549" s="366">
        <v>5330</v>
      </c>
      <c r="Q4549" s="372">
        <v>-13</v>
      </c>
      <c r="R4549" s="144">
        <f t="shared" si="100"/>
        <v>-69290</v>
      </c>
      <c r="S4549" s="55">
        <v>202303</v>
      </c>
      <c r="T4549" s="56" t="s">
        <v>6269</v>
      </c>
      <c r="U4549" s="57"/>
      <c r="V4549" s="373"/>
      <c r="W4549" s="59"/>
      <c r="X4549" s="374"/>
      <c r="Y4549" s="374"/>
    </row>
    <row r="4550" s="10" customFormat="1" customHeight="1" spans="1:25">
      <c r="A4550" s="42" t="s">
        <v>401</v>
      </c>
      <c r="B4550" s="43" t="s">
        <v>6236</v>
      </c>
      <c r="C4550" s="43" t="s">
        <v>63</v>
      </c>
      <c r="D4550" s="43" t="s">
        <v>6237</v>
      </c>
      <c r="E4550" s="44" t="s">
        <v>6238</v>
      </c>
      <c r="F4550" s="42" t="s">
        <v>6239</v>
      </c>
      <c r="G4550" s="42" t="s">
        <v>88</v>
      </c>
      <c r="H4550" s="45" t="s">
        <v>6257</v>
      </c>
      <c r="I4550" s="47" t="e">
        <f>VLOOKUP(H4550,'合同综合查询数据（3月返）'!$A:$A,1,FALSE)</f>
        <v>#N/A</v>
      </c>
      <c r="J4550" s="48" t="s">
        <v>3074</v>
      </c>
      <c r="K4550" s="42" t="s">
        <v>6241</v>
      </c>
      <c r="L4550" s="49"/>
      <c r="M4550" s="50" t="s">
        <v>6242</v>
      </c>
      <c r="N4550" s="51">
        <v>44579</v>
      </c>
      <c r="O4550" s="51" t="s">
        <v>506</v>
      </c>
      <c r="P4550" s="366">
        <v>8970</v>
      </c>
      <c r="Q4550" s="372">
        <v>-2</v>
      </c>
      <c r="R4550" s="144">
        <f t="shared" si="100"/>
        <v>-17940</v>
      </c>
      <c r="S4550" s="55">
        <v>202303</v>
      </c>
      <c r="T4550" s="56" t="s">
        <v>6270</v>
      </c>
      <c r="U4550" s="57"/>
      <c r="V4550" s="373"/>
      <c r="W4550" s="59"/>
      <c r="X4550" s="374"/>
      <c r="Y4550" s="374"/>
    </row>
    <row r="4551" s="10" customFormat="1" customHeight="1" spans="1:25">
      <c r="A4551" s="42" t="s">
        <v>401</v>
      </c>
      <c r="B4551" s="43" t="s">
        <v>6236</v>
      </c>
      <c r="C4551" s="43" t="s">
        <v>63</v>
      </c>
      <c r="D4551" s="43" t="s">
        <v>6237</v>
      </c>
      <c r="E4551" s="44" t="s">
        <v>6238</v>
      </c>
      <c r="F4551" s="42" t="s">
        <v>6239</v>
      </c>
      <c r="G4551" s="42" t="s">
        <v>88</v>
      </c>
      <c r="H4551" s="45" t="s">
        <v>6257</v>
      </c>
      <c r="I4551" s="47" t="e">
        <f>VLOOKUP(H4551,'合同综合查询数据（3月返）'!$A:$A,1,FALSE)</f>
        <v>#N/A</v>
      </c>
      <c r="J4551" s="48" t="s">
        <v>3074</v>
      </c>
      <c r="K4551" s="42" t="s">
        <v>6241</v>
      </c>
      <c r="L4551" s="49"/>
      <c r="M4551" s="50" t="s">
        <v>6242</v>
      </c>
      <c r="N4551" s="51">
        <v>44617</v>
      </c>
      <c r="O4551" s="51" t="s">
        <v>506</v>
      </c>
      <c r="P4551" s="366">
        <v>5330</v>
      </c>
      <c r="Q4551" s="372">
        <v>-8</v>
      </c>
      <c r="R4551" s="144">
        <f t="shared" si="100"/>
        <v>-42640</v>
      </c>
      <c r="S4551" s="55">
        <v>202303</v>
      </c>
      <c r="T4551" s="56" t="s">
        <v>6271</v>
      </c>
      <c r="U4551" s="57"/>
      <c r="V4551" s="373"/>
      <c r="W4551" s="59"/>
      <c r="X4551" s="374"/>
      <c r="Y4551" s="374"/>
    </row>
    <row r="4552" s="9" customFormat="1" customHeight="1" spans="1:25">
      <c r="A4552" s="16" t="s">
        <v>401</v>
      </c>
      <c r="B4552" s="17" t="s">
        <v>6236</v>
      </c>
      <c r="C4552" s="17" t="s">
        <v>63</v>
      </c>
      <c r="D4552" s="17" t="s">
        <v>6237</v>
      </c>
      <c r="E4552" s="18" t="s">
        <v>6238</v>
      </c>
      <c r="F4552" s="16" t="s">
        <v>6239</v>
      </c>
      <c r="G4552" s="16" t="s">
        <v>88</v>
      </c>
      <c r="H4552" s="19" t="s">
        <v>6272</v>
      </c>
      <c r="I4552" s="23" t="e">
        <f>VLOOKUP(H4552,'合同综合查询数据（3月返）'!$A:$A,1,FALSE)</f>
        <v>#N/A</v>
      </c>
      <c r="J4552" s="24" t="s">
        <v>2256</v>
      </c>
      <c r="K4552" s="16" t="s">
        <v>6241</v>
      </c>
      <c r="L4552" s="25"/>
      <c r="M4552" s="26" t="s">
        <v>6273</v>
      </c>
      <c r="N4552" s="28">
        <v>44617</v>
      </c>
      <c r="O4552" s="28" t="s">
        <v>92</v>
      </c>
      <c r="P4552" s="365">
        <v>5330</v>
      </c>
      <c r="Q4552" s="369">
        <v>5</v>
      </c>
      <c r="R4552" s="173">
        <f t="shared" si="100"/>
        <v>26650</v>
      </c>
      <c r="S4552" s="37">
        <v>202303</v>
      </c>
      <c r="T4552" s="38" t="s">
        <v>6274</v>
      </c>
      <c r="U4552" s="39"/>
      <c r="V4552" s="370"/>
      <c r="W4552" s="41"/>
      <c r="X4552" s="371">
        <v>44593</v>
      </c>
      <c r="Y4552" s="371">
        <v>44834</v>
      </c>
    </row>
    <row r="4553" s="9" customFormat="1" customHeight="1" spans="1:25">
      <c r="A4553" s="16" t="s">
        <v>401</v>
      </c>
      <c r="B4553" s="17" t="s">
        <v>6236</v>
      </c>
      <c r="C4553" s="17" t="s">
        <v>63</v>
      </c>
      <c r="D4553" s="17" t="s">
        <v>6237</v>
      </c>
      <c r="E4553" s="18" t="s">
        <v>6238</v>
      </c>
      <c r="F4553" s="16" t="s">
        <v>6239</v>
      </c>
      <c r="G4553" s="16" t="s">
        <v>88</v>
      </c>
      <c r="H4553" s="19" t="s">
        <v>6272</v>
      </c>
      <c r="I4553" s="23" t="e">
        <f>VLOOKUP(H4553,'合同综合查询数据（3月返）'!$A:$A,1,FALSE)</f>
        <v>#N/A</v>
      </c>
      <c r="J4553" s="24" t="s">
        <v>2256</v>
      </c>
      <c r="K4553" s="16" t="s">
        <v>6241</v>
      </c>
      <c r="L4553" s="25"/>
      <c r="M4553" s="26" t="s">
        <v>6273</v>
      </c>
      <c r="N4553" s="28">
        <v>44712</v>
      </c>
      <c r="O4553" s="28" t="s">
        <v>92</v>
      </c>
      <c r="P4553" s="365">
        <v>5330</v>
      </c>
      <c r="Q4553" s="369">
        <v>-5</v>
      </c>
      <c r="R4553" s="173">
        <f t="shared" si="100"/>
        <v>-26650</v>
      </c>
      <c r="S4553" s="37">
        <v>202303</v>
      </c>
      <c r="T4553" s="38" t="s">
        <v>6275</v>
      </c>
      <c r="U4553" s="39"/>
      <c r="V4553" s="370"/>
      <c r="W4553" s="41"/>
      <c r="X4553" s="371">
        <v>44593</v>
      </c>
      <c r="Y4553" s="371">
        <v>44834</v>
      </c>
    </row>
    <row r="4554" s="9" customFormat="1" customHeight="1" spans="1:25">
      <c r="A4554" s="16" t="s">
        <v>401</v>
      </c>
      <c r="B4554" s="17" t="s">
        <v>6236</v>
      </c>
      <c r="C4554" s="17" t="s">
        <v>63</v>
      </c>
      <c r="D4554" s="17" t="s">
        <v>6237</v>
      </c>
      <c r="E4554" s="18" t="s">
        <v>6238</v>
      </c>
      <c r="F4554" s="16" t="s">
        <v>6239</v>
      </c>
      <c r="G4554" s="16" t="s">
        <v>88</v>
      </c>
      <c r="H4554" s="19" t="s">
        <v>6276</v>
      </c>
      <c r="I4554" s="23" t="e">
        <f>VLOOKUP(H4554,'合同综合查询数据（3月返）'!$A:$A,1,FALSE)</f>
        <v>#N/A</v>
      </c>
      <c r="J4554" s="24" t="s">
        <v>3074</v>
      </c>
      <c r="K4554" s="16" t="s">
        <v>6277</v>
      </c>
      <c r="L4554" s="25"/>
      <c r="M4554" s="26" t="s">
        <v>6278</v>
      </c>
      <c r="N4554" s="28" t="s">
        <v>503</v>
      </c>
      <c r="O4554" s="28" t="s">
        <v>6279</v>
      </c>
      <c r="P4554" s="365">
        <v>4000</v>
      </c>
      <c r="Q4554" s="369">
        <v>456</v>
      </c>
      <c r="R4554" s="36">
        <f t="shared" si="100"/>
        <v>1824000</v>
      </c>
      <c r="S4554" s="37">
        <v>202303</v>
      </c>
      <c r="T4554" s="38" t="s">
        <v>6280</v>
      </c>
      <c r="U4554" s="39"/>
      <c r="V4554" s="370"/>
      <c r="W4554" s="41"/>
      <c r="X4554" s="371">
        <v>43466</v>
      </c>
      <c r="Y4554" s="371">
        <v>44255</v>
      </c>
    </row>
    <row r="4555" s="9" customFormat="1" customHeight="1" spans="1:25">
      <c r="A4555" s="16" t="s">
        <v>401</v>
      </c>
      <c r="B4555" s="17" t="s">
        <v>6236</v>
      </c>
      <c r="C4555" s="17" t="s">
        <v>63</v>
      </c>
      <c r="D4555" s="17" t="s">
        <v>6237</v>
      </c>
      <c r="E4555" s="18" t="s">
        <v>6238</v>
      </c>
      <c r="F4555" s="16" t="s">
        <v>6239</v>
      </c>
      <c r="G4555" s="16" t="s">
        <v>88</v>
      </c>
      <c r="H4555" s="19" t="s">
        <v>6276</v>
      </c>
      <c r="I4555" s="23" t="e">
        <f>VLOOKUP(H4555,'合同综合查询数据（3月返）'!$A:$A,1,FALSE)</f>
        <v>#N/A</v>
      </c>
      <c r="J4555" s="24" t="s">
        <v>3074</v>
      </c>
      <c r="K4555" s="16" t="s">
        <v>6277</v>
      </c>
      <c r="L4555" s="25"/>
      <c r="M4555" s="26" t="s">
        <v>6278</v>
      </c>
      <c r="N4555" s="28" t="s">
        <v>503</v>
      </c>
      <c r="O4555" s="28" t="s">
        <v>92</v>
      </c>
      <c r="P4555" s="365">
        <v>4600</v>
      </c>
      <c r="Q4555" s="369">
        <v>747</v>
      </c>
      <c r="R4555" s="36">
        <f t="shared" si="100"/>
        <v>3436200</v>
      </c>
      <c r="S4555" s="37">
        <v>202303</v>
      </c>
      <c r="T4555" s="38" t="s">
        <v>6281</v>
      </c>
      <c r="U4555" s="39"/>
      <c r="V4555" s="370"/>
      <c r="W4555" s="41"/>
      <c r="X4555" s="371">
        <v>43466</v>
      </c>
      <c r="Y4555" s="371">
        <v>44255</v>
      </c>
    </row>
    <row r="4556" s="9" customFormat="1" customHeight="1" spans="1:25">
      <c r="A4556" s="16" t="s">
        <v>401</v>
      </c>
      <c r="B4556" s="17" t="s">
        <v>6236</v>
      </c>
      <c r="C4556" s="17" t="s">
        <v>63</v>
      </c>
      <c r="D4556" s="17" t="s">
        <v>6237</v>
      </c>
      <c r="E4556" s="18" t="s">
        <v>6238</v>
      </c>
      <c r="F4556" s="16" t="s">
        <v>6239</v>
      </c>
      <c r="G4556" s="16" t="s">
        <v>88</v>
      </c>
      <c r="H4556" s="19" t="s">
        <v>6276</v>
      </c>
      <c r="I4556" s="23" t="e">
        <f>VLOOKUP(H4556,'合同综合查询数据（3月返）'!$A:$A,1,FALSE)</f>
        <v>#N/A</v>
      </c>
      <c r="J4556" s="24" t="s">
        <v>3074</v>
      </c>
      <c r="K4556" s="16" t="s">
        <v>6277</v>
      </c>
      <c r="L4556" s="25"/>
      <c r="M4556" s="26" t="s">
        <v>6278</v>
      </c>
      <c r="N4556" s="28" t="s">
        <v>503</v>
      </c>
      <c r="O4556" s="28" t="s">
        <v>6259</v>
      </c>
      <c r="P4556" s="365">
        <v>23000</v>
      </c>
      <c r="Q4556" s="369">
        <v>4</v>
      </c>
      <c r="R4556" s="36">
        <f t="shared" si="100"/>
        <v>92000</v>
      </c>
      <c r="S4556" s="37">
        <v>202303</v>
      </c>
      <c r="T4556" s="38" t="s">
        <v>6282</v>
      </c>
      <c r="U4556" s="39"/>
      <c r="V4556" s="370"/>
      <c r="W4556" s="41"/>
      <c r="X4556" s="371">
        <v>43466</v>
      </c>
      <c r="Y4556" s="371">
        <v>44255</v>
      </c>
    </row>
    <row r="4557" s="9" customFormat="1" customHeight="1" spans="1:25">
      <c r="A4557" s="16" t="s">
        <v>401</v>
      </c>
      <c r="B4557" s="17" t="s">
        <v>6236</v>
      </c>
      <c r="C4557" s="17" t="s">
        <v>63</v>
      </c>
      <c r="D4557" s="17" t="s">
        <v>6237</v>
      </c>
      <c r="E4557" s="18" t="s">
        <v>6238</v>
      </c>
      <c r="F4557" s="16" t="s">
        <v>6239</v>
      </c>
      <c r="G4557" s="16" t="s">
        <v>88</v>
      </c>
      <c r="H4557" s="19" t="s">
        <v>6276</v>
      </c>
      <c r="I4557" s="23" t="e">
        <f>VLOOKUP(H4557,'合同综合查询数据（3月返）'!$A:$A,1,FALSE)</f>
        <v>#N/A</v>
      </c>
      <c r="J4557" s="24" t="s">
        <v>3074</v>
      </c>
      <c r="K4557" s="16" t="s">
        <v>6277</v>
      </c>
      <c r="L4557" s="25"/>
      <c r="M4557" s="26" t="s">
        <v>6278</v>
      </c>
      <c r="N4557" s="28" t="s">
        <v>503</v>
      </c>
      <c r="O4557" s="28" t="s">
        <v>92</v>
      </c>
      <c r="P4557" s="365">
        <v>5200</v>
      </c>
      <c r="Q4557" s="369">
        <v>129</v>
      </c>
      <c r="R4557" s="36">
        <f t="shared" si="100"/>
        <v>670800</v>
      </c>
      <c r="S4557" s="37">
        <v>202303</v>
      </c>
      <c r="T4557" s="38" t="s">
        <v>6282</v>
      </c>
      <c r="U4557" s="39"/>
      <c r="V4557" s="370"/>
      <c r="W4557" s="41"/>
      <c r="X4557" s="371">
        <v>43466</v>
      </c>
      <c r="Y4557" s="371">
        <v>44255</v>
      </c>
    </row>
    <row r="4558" s="9" customFormat="1" customHeight="1" spans="1:25">
      <c r="A4558" s="16" t="s">
        <v>401</v>
      </c>
      <c r="B4558" s="17" t="s">
        <v>6236</v>
      </c>
      <c r="C4558" s="17" t="s">
        <v>63</v>
      </c>
      <c r="D4558" s="17" t="s">
        <v>6237</v>
      </c>
      <c r="E4558" s="18" t="s">
        <v>6238</v>
      </c>
      <c r="F4558" s="16" t="s">
        <v>6239</v>
      </c>
      <c r="G4558" s="16" t="s">
        <v>88</v>
      </c>
      <c r="H4558" s="19" t="s">
        <v>6276</v>
      </c>
      <c r="I4558" s="23" t="e">
        <f>VLOOKUP(H4558,'合同综合查询数据（3月返）'!$A:$A,1,FALSE)</f>
        <v>#N/A</v>
      </c>
      <c r="J4558" s="24" t="s">
        <v>3074</v>
      </c>
      <c r="K4558" s="16" t="s">
        <v>6277</v>
      </c>
      <c r="L4558" s="25"/>
      <c r="M4558" s="26" t="s">
        <v>6278</v>
      </c>
      <c r="N4558" s="28">
        <v>43435</v>
      </c>
      <c r="O4558" s="28" t="s">
        <v>92</v>
      </c>
      <c r="P4558" s="365">
        <v>4600</v>
      </c>
      <c r="Q4558" s="369">
        <v>2</v>
      </c>
      <c r="R4558" s="36">
        <f t="shared" si="100"/>
        <v>9200</v>
      </c>
      <c r="S4558" s="37">
        <v>202303</v>
      </c>
      <c r="T4558" s="38" t="s">
        <v>6283</v>
      </c>
      <c r="U4558" s="39"/>
      <c r="V4558" s="370"/>
      <c r="W4558" s="41"/>
      <c r="X4558" s="371">
        <v>43466</v>
      </c>
      <c r="Y4558" s="371">
        <v>44255</v>
      </c>
    </row>
    <row r="4559" s="9" customFormat="1" customHeight="1" spans="1:25">
      <c r="A4559" s="16" t="s">
        <v>401</v>
      </c>
      <c r="B4559" s="17" t="s">
        <v>6236</v>
      </c>
      <c r="C4559" s="17" t="s">
        <v>63</v>
      </c>
      <c r="D4559" s="17" t="s">
        <v>6237</v>
      </c>
      <c r="E4559" s="18" t="s">
        <v>6238</v>
      </c>
      <c r="F4559" s="16" t="s">
        <v>6239</v>
      </c>
      <c r="G4559" s="16" t="s">
        <v>88</v>
      </c>
      <c r="H4559" s="19" t="s">
        <v>6276</v>
      </c>
      <c r="I4559" s="23" t="e">
        <f>VLOOKUP(H4559,'合同综合查询数据（3月返）'!$A:$A,1,FALSE)</f>
        <v>#N/A</v>
      </c>
      <c r="J4559" s="24" t="s">
        <v>3074</v>
      </c>
      <c r="K4559" s="16" t="s">
        <v>6277</v>
      </c>
      <c r="L4559" s="25"/>
      <c r="M4559" s="26" t="s">
        <v>6278</v>
      </c>
      <c r="N4559" s="28" t="s">
        <v>6284</v>
      </c>
      <c r="O4559" s="28" t="s">
        <v>506</v>
      </c>
      <c r="P4559" s="365">
        <v>8240</v>
      </c>
      <c r="Q4559" s="369">
        <v>0</v>
      </c>
      <c r="R4559" s="173">
        <f t="shared" si="100"/>
        <v>0</v>
      </c>
      <c r="S4559" s="37">
        <v>202303</v>
      </c>
      <c r="T4559" s="38" t="s">
        <v>6285</v>
      </c>
      <c r="U4559" s="39"/>
      <c r="V4559" s="370"/>
      <c r="W4559" s="41"/>
      <c r="X4559" s="371">
        <v>43466</v>
      </c>
      <c r="Y4559" s="371">
        <v>44255</v>
      </c>
    </row>
    <row r="4560" s="9" customFormat="1" customHeight="1" spans="1:25">
      <c r="A4560" s="16" t="s">
        <v>401</v>
      </c>
      <c r="B4560" s="17" t="s">
        <v>6236</v>
      </c>
      <c r="C4560" s="17" t="s">
        <v>63</v>
      </c>
      <c r="D4560" s="17" t="s">
        <v>6237</v>
      </c>
      <c r="E4560" s="18" t="s">
        <v>6238</v>
      </c>
      <c r="F4560" s="16" t="s">
        <v>6239</v>
      </c>
      <c r="G4560" s="16" t="s">
        <v>88</v>
      </c>
      <c r="H4560" s="19" t="s">
        <v>6276</v>
      </c>
      <c r="I4560" s="23" t="e">
        <f>VLOOKUP(H4560,'合同综合查询数据（3月返）'!$A:$A,1,FALSE)</f>
        <v>#N/A</v>
      </c>
      <c r="J4560" s="24" t="s">
        <v>3074</v>
      </c>
      <c r="K4560" s="16" t="s">
        <v>6277</v>
      </c>
      <c r="L4560" s="25"/>
      <c r="M4560" s="26" t="s">
        <v>6278</v>
      </c>
      <c r="N4560" s="28">
        <v>43617</v>
      </c>
      <c r="O4560" s="28" t="s">
        <v>127</v>
      </c>
      <c r="P4560" s="365">
        <v>4000</v>
      </c>
      <c r="Q4560" s="369">
        <v>3</v>
      </c>
      <c r="R4560" s="36">
        <f t="shared" si="100"/>
        <v>12000</v>
      </c>
      <c r="S4560" s="37">
        <v>202303</v>
      </c>
      <c r="T4560" s="38" t="s">
        <v>6286</v>
      </c>
      <c r="U4560" s="39"/>
      <c r="V4560" s="370"/>
      <c r="W4560" s="41"/>
      <c r="X4560" s="371">
        <v>43466</v>
      </c>
      <c r="Y4560" s="371">
        <v>44255</v>
      </c>
    </row>
    <row r="4561" s="9" customFormat="1" customHeight="1" spans="1:25">
      <c r="A4561" s="16" t="s">
        <v>401</v>
      </c>
      <c r="B4561" s="17" t="s">
        <v>6236</v>
      </c>
      <c r="C4561" s="17" t="s">
        <v>63</v>
      </c>
      <c r="D4561" s="17" t="s">
        <v>6237</v>
      </c>
      <c r="E4561" s="18" t="s">
        <v>6238</v>
      </c>
      <c r="F4561" s="16" t="s">
        <v>6239</v>
      </c>
      <c r="G4561" s="16" t="s">
        <v>88</v>
      </c>
      <c r="H4561" s="19" t="s">
        <v>6276</v>
      </c>
      <c r="I4561" s="23" t="e">
        <f>VLOOKUP(H4561,'合同综合查询数据（3月返）'!$A:$A,1,FALSE)</f>
        <v>#N/A</v>
      </c>
      <c r="J4561" s="24" t="s">
        <v>3074</v>
      </c>
      <c r="K4561" s="16" t="s">
        <v>6277</v>
      </c>
      <c r="L4561" s="25"/>
      <c r="M4561" s="26" t="s">
        <v>6278</v>
      </c>
      <c r="N4561" s="28">
        <v>43617</v>
      </c>
      <c r="O4561" s="28" t="s">
        <v>92</v>
      </c>
      <c r="P4561" s="365">
        <v>4000</v>
      </c>
      <c r="Q4561" s="369">
        <v>14</v>
      </c>
      <c r="R4561" s="36">
        <f t="shared" si="100"/>
        <v>56000</v>
      </c>
      <c r="S4561" s="37">
        <v>202303</v>
      </c>
      <c r="T4561" s="38" t="s">
        <v>6287</v>
      </c>
      <c r="U4561" s="39"/>
      <c r="V4561" s="370"/>
      <c r="W4561" s="41"/>
      <c r="X4561" s="371">
        <v>43466</v>
      </c>
      <c r="Y4561" s="371">
        <v>44255</v>
      </c>
    </row>
    <row r="4562" s="9" customFormat="1" customHeight="1" spans="1:25">
      <c r="A4562" s="16" t="s">
        <v>401</v>
      </c>
      <c r="B4562" s="17" t="s">
        <v>6236</v>
      </c>
      <c r="C4562" s="17" t="s">
        <v>63</v>
      </c>
      <c r="D4562" s="17" t="s">
        <v>6237</v>
      </c>
      <c r="E4562" s="18" t="s">
        <v>6238</v>
      </c>
      <c r="F4562" s="16" t="s">
        <v>6239</v>
      </c>
      <c r="G4562" s="16" t="s">
        <v>88</v>
      </c>
      <c r="H4562" s="19" t="s">
        <v>6276</v>
      </c>
      <c r="I4562" s="23" t="e">
        <f>VLOOKUP(H4562,'合同综合查询数据（3月返）'!$A:$A,1,FALSE)</f>
        <v>#N/A</v>
      </c>
      <c r="J4562" s="24" t="s">
        <v>3074</v>
      </c>
      <c r="K4562" s="16" t="s">
        <v>6277</v>
      </c>
      <c r="L4562" s="25"/>
      <c r="M4562" s="26" t="s">
        <v>6278</v>
      </c>
      <c r="N4562" s="28">
        <v>43617</v>
      </c>
      <c r="O4562" s="28" t="s">
        <v>92</v>
      </c>
      <c r="P4562" s="365">
        <v>5200</v>
      </c>
      <c r="Q4562" s="369">
        <v>2</v>
      </c>
      <c r="R4562" s="36">
        <f t="shared" si="100"/>
        <v>10400</v>
      </c>
      <c r="S4562" s="37">
        <v>202303</v>
      </c>
      <c r="T4562" s="38" t="s">
        <v>6288</v>
      </c>
      <c r="U4562" s="39"/>
      <c r="V4562" s="370"/>
      <c r="W4562" s="41"/>
      <c r="X4562" s="371">
        <v>43466</v>
      </c>
      <c r="Y4562" s="371">
        <v>44255</v>
      </c>
    </row>
    <row r="4563" s="9" customFormat="1" customHeight="1" spans="1:25">
      <c r="A4563" s="16" t="s">
        <v>401</v>
      </c>
      <c r="B4563" s="17" t="s">
        <v>6236</v>
      </c>
      <c r="C4563" s="17" t="s">
        <v>63</v>
      </c>
      <c r="D4563" s="17" t="s">
        <v>6237</v>
      </c>
      <c r="E4563" s="18" t="s">
        <v>6238</v>
      </c>
      <c r="F4563" s="16" t="s">
        <v>6239</v>
      </c>
      <c r="G4563" s="16" t="s">
        <v>88</v>
      </c>
      <c r="H4563" s="19" t="s">
        <v>6276</v>
      </c>
      <c r="I4563" s="23" t="e">
        <f>VLOOKUP(H4563,'合同综合查询数据（3月返）'!$A:$A,1,FALSE)</f>
        <v>#N/A</v>
      </c>
      <c r="J4563" s="24" t="s">
        <v>3074</v>
      </c>
      <c r="K4563" s="16" t="s">
        <v>6277</v>
      </c>
      <c r="L4563" s="25"/>
      <c r="M4563" s="26" t="s">
        <v>6278</v>
      </c>
      <c r="N4563" s="28">
        <v>43617</v>
      </c>
      <c r="O4563" s="28" t="s">
        <v>92</v>
      </c>
      <c r="P4563" s="365">
        <v>4600</v>
      </c>
      <c r="Q4563" s="369">
        <v>3</v>
      </c>
      <c r="R4563" s="36">
        <f t="shared" si="100"/>
        <v>13800</v>
      </c>
      <c r="S4563" s="37">
        <v>202303</v>
      </c>
      <c r="T4563" s="38" t="s">
        <v>6289</v>
      </c>
      <c r="U4563" s="39"/>
      <c r="V4563" s="370"/>
      <c r="W4563" s="41"/>
      <c r="X4563" s="371">
        <v>43466</v>
      </c>
      <c r="Y4563" s="371">
        <v>44255</v>
      </c>
    </row>
    <row r="4564" s="9" customFormat="1" customHeight="1" spans="1:25">
      <c r="A4564" s="16" t="s">
        <v>401</v>
      </c>
      <c r="B4564" s="17" t="s">
        <v>6236</v>
      </c>
      <c r="C4564" s="17" t="s">
        <v>63</v>
      </c>
      <c r="D4564" s="17" t="s">
        <v>6237</v>
      </c>
      <c r="E4564" s="18" t="s">
        <v>6238</v>
      </c>
      <c r="F4564" s="16" t="s">
        <v>6239</v>
      </c>
      <c r="G4564" s="16" t="s">
        <v>88</v>
      </c>
      <c r="H4564" s="19" t="s">
        <v>6276</v>
      </c>
      <c r="I4564" s="23" t="e">
        <f>VLOOKUP(H4564,'合同综合查询数据（3月返）'!$A:$A,1,FALSE)</f>
        <v>#N/A</v>
      </c>
      <c r="J4564" s="24" t="s">
        <v>3074</v>
      </c>
      <c r="K4564" s="16" t="s">
        <v>6277</v>
      </c>
      <c r="L4564" s="25"/>
      <c r="M4564" s="26" t="s">
        <v>6278</v>
      </c>
      <c r="N4564" s="28" t="s">
        <v>6290</v>
      </c>
      <c r="O4564" s="28" t="s">
        <v>92</v>
      </c>
      <c r="P4564" s="365">
        <v>4000</v>
      </c>
      <c r="Q4564" s="369">
        <v>-1</v>
      </c>
      <c r="R4564" s="36">
        <f t="shared" ref="R4564:R4627" si="101">ROUND(P4564*Q4564,2)</f>
        <v>-4000</v>
      </c>
      <c r="S4564" s="37">
        <v>202303</v>
      </c>
      <c r="T4564" s="38"/>
      <c r="U4564" s="39"/>
      <c r="V4564" s="370"/>
      <c r="W4564" s="41"/>
      <c r="X4564" s="371">
        <v>43466</v>
      </c>
      <c r="Y4564" s="371">
        <v>44255</v>
      </c>
    </row>
    <row r="4565" s="9" customFormat="1" customHeight="1" spans="1:25">
      <c r="A4565" s="16" t="s">
        <v>401</v>
      </c>
      <c r="B4565" s="17" t="s">
        <v>6236</v>
      </c>
      <c r="C4565" s="17" t="s">
        <v>63</v>
      </c>
      <c r="D4565" s="17" t="s">
        <v>6237</v>
      </c>
      <c r="E4565" s="18" t="s">
        <v>6238</v>
      </c>
      <c r="F4565" s="16" t="s">
        <v>6239</v>
      </c>
      <c r="G4565" s="16" t="s">
        <v>88</v>
      </c>
      <c r="H4565" s="19" t="s">
        <v>6276</v>
      </c>
      <c r="I4565" s="23" t="e">
        <f>VLOOKUP(H4565,'合同综合查询数据（3月返）'!$A:$A,1,FALSE)</f>
        <v>#N/A</v>
      </c>
      <c r="J4565" s="24" t="s">
        <v>3074</v>
      </c>
      <c r="K4565" s="16" t="s">
        <v>6277</v>
      </c>
      <c r="L4565" s="25"/>
      <c r="M4565" s="26" t="s">
        <v>6278</v>
      </c>
      <c r="N4565" s="28">
        <v>43929</v>
      </c>
      <c r="O4565" s="28" t="s">
        <v>92</v>
      </c>
      <c r="P4565" s="365">
        <v>4000</v>
      </c>
      <c r="Q4565" s="369">
        <v>1</v>
      </c>
      <c r="R4565" s="36">
        <f t="shared" si="101"/>
        <v>4000</v>
      </c>
      <c r="S4565" s="37">
        <v>202303</v>
      </c>
      <c r="T4565" s="38" t="s">
        <v>6291</v>
      </c>
      <c r="U4565" s="39"/>
      <c r="V4565" s="370"/>
      <c r="W4565" s="41"/>
      <c r="X4565" s="371">
        <v>43466</v>
      </c>
      <c r="Y4565" s="371">
        <v>44255</v>
      </c>
    </row>
    <row r="4566" s="9" customFormat="1" customHeight="1" spans="1:25">
      <c r="A4566" s="16" t="s">
        <v>401</v>
      </c>
      <c r="B4566" s="17" t="s">
        <v>6236</v>
      </c>
      <c r="C4566" s="17" t="s">
        <v>63</v>
      </c>
      <c r="D4566" s="17" t="s">
        <v>6237</v>
      </c>
      <c r="E4566" s="18" t="s">
        <v>6238</v>
      </c>
      <c r="F4566" s="16" t="s">
        <v>6239</v>
      </c>
      <c r="G4566" s="16" t="s">
        <v>88</v>
      </c>
      <c r="H4566" s="19" t="s">
        <v>6276</v>
      </c>
      <c r="I4566" s="23" t="e">
        <f>VLOOKUP(H4566,'合同综合查询数据（3月返）'!$A:$A,1,FALSE)</f>
        <v>#N/A</v>
      </c>
      <c r="J4566" s="24" t="s">
        <v>3074</v>
      </c>
      <c r="K4566" s="16" t="s">
        <v>6277</v>
      </c>
      <c r="L4566" s="25"/>
      <c r="M4566" s="26" t="s">
        <v>6278</v>
      </c>
      <c r="N4566" s="28">
        <v>44229</v>
      </c>
      <c r="O4566" s="28" t="s">
        <v>6279</v>
      </c>
      <c r="P4566" s="365">
        <v>4000</v>
      </c>
      <c r="Q4566" s="369">
        <v>-456</v>
      </c>
      <c r="R4566" s="173">
        <f t="shared" si="101"/>
        <v>-1824000</v>
      </c>
      <c r="S4566" s="37">
        <v>202303</v>
      </c>
      <c r="T4566" s="38" t="s">
        <v>6292</v>
      </c>
      <c r="U4566" s="39"/>
      <c r="V4566" s="370"/>
      <c r="W4566" s="41"/>
      <c r="X4566" s="371">
        <v>43466</v>
      </c>
      <c r="Y4566" s="371">
        <v>44255</v>
      </c>
    </row>
    <row r="4567" s="9" customFormat="1" customHeight="1" spans="1:25">
      <c r="A4567" s="16" t="s">
        <v>401</v>
      </c>
      <c r="B4567" s="17" t="s">
        <v>6236</v>
      </c>
      <c r="C4567" s="17" t="s">
        <v>63</v>
      </c>
      <c r="D4567" s="17" t="s">
        <v>6237</v>
      </c>
      <c r="E4567" s="18" t="s">
        <v>6238</v>
      </c>
      <c r="F4567" s="16" t="s">
        <v>6239</v>
      </c>
      <c r="G4567" s="16" t="s">
        <v>88</v>
      </c>
      <c r="H4567" s="19" t="s">
        <v>6276</v>
      </c>
      <c r="I4567" s="23" t="e">
        <f>VLOOKUP(H4567,'合同综合查询数据（3月返）'!$A:$A,1,FALSE)</f>
        <v>#N/A</v>
      </c>
      <c r="J4567" s="24" t="s">
        <v>3074</v>
      </c>
      <c r="K4567" s="16" t="s">
        <v>6277</v>
      </c>
      <c r="L4567" s="25"/>
      <c r="M4567" s="26" t="s">
        <v>6278</v>
      </c>
      <c r="N4567" s="28">
        <v>44229</v>
      </c>
      <c r="O4567" s="28" t="s">
        <v>92</v>
      </c>
      <c r="P4567" s="365">
        <v>4600</v>
      </c>
      <c r="Q4567" s="369">
        <v>-752</v>
      </c>
      <c r="R4567" s="173">
        <f t="shared" si="101"/>
        <v>-3459200</v>
      </c>
      <c r="S4567" s="37">
        <v>202303</v>
      </c>
      <c r="T4567" s="38" t="s">
        <v>6292</v>
      </c>
      <c r="U4567" s="39"/>
      <c r="V4567" s="370"/>
      <c r="W4567" s="41"/>
      <c r="X4567" s="371">
        <v>43466</v>
      </c>
      <c r="Y4567" s="371">
        <v>44255</v>
      </c>
    </row>
    <row r="4568" s="9" customFormat="1" customHeight="1" spans="1:25">
      <c r="A4568" s="16" t="s">
        <v>401</v>
      </c>
      <c r="B4568" s="17" t="s">
        <v>6236</v>
      </c>
      <c r="C4568" s="17" t="s">
        <v>63</v>
      </c>
      <c r="D4568" s="17" t="s">
        <v>6237</v>
      </c>
      <c r="E4568" s="18" t="s">
        <v>6238</v>
      </c>
      <c r="F4568" s="16" t="s">
        <v>6239</v>
      </c>
      <c r="G4568" s="16" t="s">
        <v>88</v>
      </c>
      <c r="H4568" s="19" t="s">
        <v>6276</v>
      </c>
      <c r="I4568" s="23" t="e">
        <f>VLOOKUP(H4568,'合同综合查询数据（3月返）'!$A:$A,1,FALSE)</f>
        <v>#N/A</v>
      </c>
      <c r="J4568" s="24" t="s">
        <v>3074</v>
      </c>
      <c r="K4568" s="16" t="s">
        <v>6277</v>
      </c>
      <c r="L4568" s="25"/>
      <c r="M4568" s="26" t="s">
        <v>6278</v>
      </c>
      <c r="N4568" s="28">
        <v>44229</v>
      </c>
      <c r="O4568" s="28" t="s">
        <v>6259</v>
      </c>
      <c r="P4568" s="365">
        <v>23000</v>
      </c>
      <c r="Q4568" s="369">
        <v>-4</v>
      </c>
      <c r="R4568" s="173">
        <f t="shared" si="101"/>
        <v>-92000</v>
      </c>
      <c r="S4568" s="37">
        <v>202303</v>
      </c>
      <c r="T4568" s="38" t="s">
        <v>6292</v>
      </c>
      <c r="U4568" s="39"/>
      <c r="V4568" s="370"/>
      <c r="W4568" s="41"/>
      <c r="X4568" s="371">
        <v>43466</v>
      </c>
      <c r="Y4568" s="371">
        <v>44255</v>
      </c>
    </row>
    <row r="4569" s="9" customFormat="1" customHeight="1" spans="1:25">
      <c r="A4569" s="16" t="s">
        <v>401</v>
      </c>
      <c r="B4569" s="17" t="s">
        <v>6236</v>
      </c>
      <c r="C4569" s="17" t="s">
        <v>63</v>
      </c>
      <c r="D4569" s="17" t="s">
        <v>6237</v>
      </c>
      <c r="E4569" s="18" t="s">
        <v>6238</v>
      </c>
      <c r="F4569" s="16" t="s">
        <v>6239</v>
      </c>
      <c r="G4569" s="16" t="s">
        <v>88</v>
      </c>
      <c r="H4569" s="19" t="s">
        <v>6276</v>
      </c>
      <c r="I4569" s="23" t="e">
        <f>VLOOKUP(H4569,'合同综合查询数据（3月返）'!$A:$A,1,FALSE)</f>
        <v>#N/A</v>
      </c>
      <c r="J4569" s="24" t="s">
        <v>3074</v>
      </c>
      <c r="K4569" s="16" t="s">
        <v>6277</v>
      </c>
      <c r="L4569" s="25"/>
      <c r="M4569" s="26" t="s">
        <v>6278</v>
      </c>
      <c r="N4569" s="28">
        <v>44229</v>
      </c>
      <c r="O4569" s="28" t="s">
        <v>92</v>
      </c>
      <c r="P4569" s="365">
        <v>5200</v>
      </c>
      <c r="Q4569" s="369">
        <v>-131</v>
      </c>
      <c r="R4569" s="173">
        <f t="shared" si="101"/>
        <v>-681200</v>
      </c>
      <c r="S4569" s="37">
        <v>202303</v>
      </c>
      <c r="T4569" s="38" t="s">
        <v>6292</v>
      </c>
      <c r="U4569" s="39"/>
      <c r="V4569" s="370"/>
      <c r="W4569" s="41"/>
      <c r="X4569" s="371">
        <v>43466</v>
      </c>
      <c r="Y4569" s="371">
        <v>44255</v>
      </c>
    </row>
    <row r="4570" s="9" customFormat="1" customHeight="1" spans="1:25">
      <c r="A4570" s="16" t="s">
        <v>401</v>
      </c>
      <c r="B4570" s="17" t="s">
        <v>6236</v>
      </c>
      <c r="C4570" s="17" t="s">
        <v>63</v>
      </c>
      <c r="D4570" s="17" t="s">
        <v>6237</v>
      </c>
      <c r="E4570" s="18" t="s">
        <v>6238</v>
      </c>
      <c r="F4570" s="16" t="s">
        <v>6239</v>
      </c>
      <c r="G4570" s="16" t="s">
        <v>88</v>
      </c>
      <c r="H4570" s="19" t="s">
        <v>6276</v>
      </c>
      <c r="I4570" s="23" t="e">
        <f>VLOOKUP(H4570,'合同综合查询数据（3月返）'!$A:$A,1,FALSE)</f>
        <v>#N/A</v>
      </c>
      <c r="J4570" s="24" t="s">
        <v>3074</v>
      </c>
      <c r="K4570" s="16" t="s">
        <v>6277</v>
      </c>
      <c r="L4570" s="25"/>
      <c r="M4570" s="26" t="s">
        <v>6278</v>
      </c>
      <c r="N4570" s="28">
        <v>44229</v>
      </c>
      <c r="O4570" s="28" t="s">
        <v>506</v>
      </c>
      <c r="P4570" s="365">
        <v>8240</v>
      </c>
      <c r="Q4570" s="369">
        <v>0</v>
      </c>
      <c r="R4570" s="173">
        <f t="shared" si="101"/>
        <v>0</v>
      </c>
      <c r="S4570" s="37">
        <v>202303</v>
      </c>
      <c r="T4570" s="38" t="s">
        <v>6292</v>
      </c>
      <c r="U4570" s="39"/>
      <c r="V4570" s="370"/>
      <c r="W4570" s="41"/>
      <c r="X4570" s="371">
        <v>43466</v>
      </c>
      <c r="Y4570" s="371">
        <v>44255</v>
      </c>
    </row>
    <row r="4571" s="9" customFormat="1" customHeight="1" spans="1:25">
      <c r="A4571" s="16" t="s">
        <v>401</v>
      </c>
      <c r="B4571" s="17" t="s">
        <v>6236</v>
      </c>
      <c r="C4571" s="17" t="s">
        <v>63</v>
      </c>
      <c r="D4571" s="17" t="s">
        <v>6237</v>
      </c>
      <c r="E4571" s="18" t="s">
        <v>6238</v>
      </c>
      <c r="F4571" s="16" t="s">
        <v>6239</v>
      </c>
      <c r="G4571" s="16" t="s">
        <v>88</v>
      </c>
      <c r="H4571" s="19" t="s">
        <v>6276</v>
      </c>
      <c r="I4571" s="23" t="e">
        <f>VLOOKUP(H4571,'合同综合查询数据（3月返）'!$A:$A,1,FALSE)</f>
        <v>#N/A</v>
      </c>
      <c r="J4571" s="24" t="s">
        <v>3074</v>
      </c>
      <c r="K4571" s="16" t="s">
        <v>6277</v>
      </c>
      <c r="L4571" s="25"/>
      <c r="M4571" s="26" t="s">
        <v>6278</v>
      </c>
      <c r="N4571" s="28">
        <v>44229</v>
      </c>
      <c r="O4571" s="28" t="s">
        <v>127</v>
      </c>
      <c r="P4571" s="365">
        <v>4000</v>
      </c>
      <c r="Q4571" s="369">
        <v>-3</v>
      </c>
      <c r="R4571" s="173">
        <f t="shared" si="101"/>
        <v>-12000</v>
      </c>
      <c r="S4571" s="37">
        <v>202303</v>
      </c>
      <c r="T4571" s="38" t="s">
        <v>6292</v>
      </c>
      <c r="U4571" s="39"/>
      <c r="V4571" s="370"/>
      <c r="W4571" s="41"/>
      <c r="X4571" s="371">
        <v>43466</v>
      </c>
      <c r="Y4571" s="371">
        <v>44255</v>
      </c>
    </row>
    <row r="4572" s="9" customFormat="1" customHeight="1" spans="1:25">
      <c r="A4572" s="16" t="s">
        <v>401</v>
      </c>
      <c r="B4572" s="17" t="s">
        <v>6236</v>
      </c>
      <c r="C4572" s="17" t="s">
        <v>63</v>
      </c>
      <c r="D4572" s="17" t="s">
        <v>6237</v>
      </c>
      <c r="E4572" s="18" t="s">
        <v>6238</v>
      </c>
      <c r="F4572" s="16" t="s">
        <v>6239</v>
      </c>
      <c r="G4572" s="16" t="s">
        <v>88</v>
      </c>
      <c r="H4572" s="19" t="s">
        <v>6276</v>
      </c>
      <c r="I4572" s="23" t="e">
        <f>VLOOKUP(H4572,'合同综合查询数据（3月返）'!$A:$A,1,FALSE)</f>
        <v>#N/A</v>
      </c>
      <c r="J4572" s="24" t="s">
        <v>3074</v>
      </c>
      <c r="K4572" s="16" t="s">
        <v>6277</v>
      </c>
      <c r="L4572" s="25"/>
      <c r="M4572" s="26" t="s">
        <v>6278</v>
      </c>
      <c r="N4572" s="28">
        <v>44229</v>
      </c>
      <c r="O4572" s="28" t="s">
        <v>92</v>
      </c>
      <c r="P4572" s="365">
        <v>4000</v>
      </c>
      <c r="Q4572" s="369">
        <v>-10</v>
      </c>
      <c r="R4572" s="173">
        <f t="shared" si="101"/>
        <v>-40000</v>
      </c>
      <c r="S4572" s="37">
        <v>202303</v>
      </c>
      <c r="T4572" s="38" t="s">
        <v>6292</v>
      </c>
      <c r="U4572" s="39"/>
      <c r="V4572" s="370"/>
      <c r="W4572" s="41"/>
      <c r="X4572" s="371">
        <v>43466</v>
      </c>
      <c r="Y4572" s="371">
        <v>44255</v>
      </c>
    </row>
    <row r="4573" s="9" customFormat="1" customHeight="1" spans="1:25">
      <c r="A4573" s="16" t="s">
        <v>401</v>
      </c>
      <c r="B4573" s="17" t="s">
        <v>6236</v>
      </c>
      <c r="C4573" s="17" t="s">
        <v>63</v>
      </c>
      <c r="D4573" s="17" t="s">
        <v>6237</v>
      </c>
      <c r="E4573" s="18" t="s">
        <v>6238</v>
      </c>
      <c r="F4573" s="16" t="s">
        <v>6239</v>
      </c>
      <c r="G4573" s="16" t="s">
        <v>88</v>
      </c>
      <c r="H4573" s="19" t="s">
        <v>6276</v>
      </c>
      <c r="I4573" s="23" t="e">
        <f>VLOOKUP(H4573,'合同综合查询数据（3月返）'!$A:$A,1,FALSE)</f>
        <v>#N/A</v>
      </c>
      <c r="J4573" s="24" t="s">
        <v>3074</v>
      </c>
      <c r="K4573" s="16" t="s">
        <v>6277</v>
      </c>
      <c r="L4573" s="25"/>
      <c r="M4573" s="26" t="s">
        <v>6278</v>
      </c>
      <c r="N4573" s="28">
        <v>44237</v>
      </c>
      <c r="O4573" s="28" t="s">
        <v>92</v>
      </c>
      <c r="P4573" s="365">
        <v>4000</v>
      </c>
      <c r="Q4573" s="369">
        <v>-4</v>
      </c>
      <c r="R4573" s="173">
        <f t="shared" si="101"/>
        <v>-16000</v>
      </c>
      <c r="S4573" s="37">
        <v>202303</v>
      </c>
      <c r="T4573" s="38" t="s">
        <v>6293</v>
      </c>
      <c r="U4573" s="39"/>
      <c r="V4573" s="370"/>
      <c r="W4573" s="41"/>
      <c r="X4573" s="371">
        <v>43466</v>
      </c>
      <c r="Y4573" s="371">
        <v>44255</v>
      </c>
    </row>
    <row r="4574" s="9" customFormat="1" customHeight="1" spans="1:25">
      <c r="A4574" s="16" t="s">
        <v>401</v>
      </c>
      <c r="B4574" s="17" t="s">
        <v>6236</v>
      </c>
      <c r="C4574" s="17" t="s">
        <v>63</v>
      </c>
      <c r="D4574" s="17" t="s">
        <v>6237</v>
      </c>
      <c r="E4574" s="18" t="s">
        <v>6238</v>
      </c>
      <c r="F4574" s="16" t="s">
        <v>6239</v>
      </c>
      <c r="G4574" s="16" t="s">
        <v>88</v>
      </c>
      <c r="H4574" s="19" t="s">
        <v>6294</v>
      </c>
      <c r="I4574" s="23" t="e">
        <f>VLOOKUP(H4574,'合同综合查询数据（3月返）'!$A:$A,1,FALSE)</f>
        <v>#N/A</v>
      </c>
      <c r="J4574" s="24" t="s">
        <v>3074</v>
      </c>
      <c r="K4574" s="16" t="s">
        <v>6295</v>
      </c>
      <c r="L4574" s="25"/>
      <c r="M4574" s="26" t="s">
        <v>6296</v>
      </c>
      <c r="N4574" s="28">
        <v>43518</v>
      </c>
      <c r="O4574" s="28" t="s">
        <v>457</v>
      </c>
      <c r="P4574" s="365">
        <v>6300</v>
      </c>
      <c r="Q4574" s="369">
        <v>17</v>
      </c>
      <c r="R4574" s="36">
        <f t="shared" si="101"/>
        <v>107100</v>
      </c>
      <c r="S4574" s="37">
        <v>202303</v>
      </c>
      <c r="T4574" s="38"/>
      <c r="U4574" s="39"/>
      <c r="V4574" s="370"/>
      <c r="W4574" s="41"/>
      <c r="X4574" s="371">
        <v>43497</v>
      </c>
      <c r="Y4574" s="371">
        <v>45688</v>
      </c>
    </row>
    <row r="4575" s="9" customFormat="1" customHeight="1" spans="1:25">
      <c r="A4575" s="16" t="s">
        <v>401</v>
      </c>
      <c r="B4575" s="17" t="s">
        <v>6236</v>
      </c>
      <c r="C4575" s="17" t="s">
        <v>63</v>
      </c>
      <c r="D4575" s="17" t="s">
        <v>6237</v>
      </c>
      <c r="E4575" s="18" t="s">
        <v>6238</v>
      </c>
      <c r="F4575" s="16" t="s">
        <v>6239</v>
      </c>
      <c r="G4575" s="16" t="s">
        <v>88</v>
      </c>
      <c r="H4575" s="19" t="s">
        <v>6294</v>
      </c>
      <c r="I4575" s="23" t="e">
        <f>VLOOKUP(H4575,'合同综合查询数据（3月返）'!$A:$A,1,FALSE)</f>
        <v>#N/A</v>
      </c>
      <c r="J4575" s="24" t="s">
        <v>3074</v>
      </c>
      <c r="K4575" s="16" t="s">
        <v>6295</v>
      </c>
      <c r="L4575" s="25"/>
      <c r="M4575" s="26" t="s">
        <v>6297</v>
      </c>
      <c r="N4575" s="28">
        <v>43518</v>
      </c>
      <c r="O4575" s="28" t="s">
        <v>457</v>
      </c>
      <c r="P4575" s="365">
        <v>6300</v>
      </c>
      <c r="Q4575" s="369">
        <v>126</v>
      </c>
      <c r="R4575" s="36">
        <f t="shared" si="101"/>
        <v>793800</v>
      </c>
      <c r="S4575" s="37">
        <v>202303</v>
      </c>
      <c r="T4575" s="38" t="s">
        <v>6298</v>
      </c>
      <c r="U4575" s="39"/>
      <c r="V4575" s="370"/>
      <c r="W4575" s="41"/>
      <c r="X4575" s="371">
        <v>43497</v>
      </c>
      <c r="Y4575" s="371">
        <v>45688</v>
      </c>
    </row>
    <row r="4576" s="9" customFormat="1" customHeight="1" spans="1:25">
      <c r="A4576" s="16" t="s">
        <v>401</v>
      </c>
      <c r="B4576" s="17" t="s">
        <v>6236</v>
      </c>
      <c r="C4576" s="17" t="s">
        <v>63</v>
      </c>
      <c r="D4576" s="17" t="s">
        <v>6237</v>
      </c>
      <c r="E4576" s="18" t="s">
        <v>6238</v>
      </c>
      <c r="F4576" s="16" t="s">
        <v>6239</v>
      </c>
      <c r="G4576" s="16" t="s">
        <v>88</v>
      </c>
      <c r="H4576" s="19" t="s">
        <v>6294</v>
      </c>
      <c r="I4576" s="23" t="e">
        <f>VLOOKUP(H4576,'合同综合查询数据（3月返）'!$A:$A,1,FALSE)</f>
        <v>#N/A</v>
      </c>
      <c r="J4576" s="24" t="s">
        <v>3074</v>
      </c>
      <c r="K4576" s="16" t="s">
        <v>6295</v>
      </c>
      <c r="L4576" s="25"/>
      <c r="M4576" s="26" t="s">
        <v>6296</v>
      </c>
      <c r="N4576" s="28">
        <v>43525</v>
      </c>
      <c r="O4576" s="28" t="s">
        <v>457</v>
      </c>
      <c r="P4576" s="365">
        <v>6300</v>
      </c>
      <c r="Q4576" s="369">
        <v>445</v>
      </c>
      <c r="R4576" s="36">
        <f t="shared" si="101"/>
        <v>2803500</v>
      </c>
      <c r="S4576" s="37">
        <v>202303</v>
      </c>
      <c r="T4576" s="38" t="s">
        <v>6299</v>
      </c>
      <c r="U4576" s="39"/>
      <c r="V4576" s="370"/>
      <c r="W4576" s="41"/>
      <c r="X4576" s="371">
        <v>43497</v>
      </c>
      <c r="Y4576" s="371">
        <v>45688</v>
      </c>
    </row>
    <row r="4577" s="9" customFormat="1" customHeight="1" spans="1:25">
      <c r="A4577" s="16" t="s">
        <v>401</v>
      </c>
      <c r="B4577" s="17" t="s">
        <v>6236</v>
      </c>
      <c r="C4577" s="17" t="s">
        <v>63</v>
      </c>
      <c r="D4577" s="17" t="s">
        <v>6237</v>
      </c>
      <c r="E4577" s="18" t="s">
        <v>6238</v>
      </c>
      <c r="F4577" s="16" t="s">
        <v>6239</v>
      </c>
      <c r="G4577" s="16" t="s">
        <v>88</v>
      </c>
      <c r="H4577" s="19" t="s">
        <v>6294</v>
      </c>
      <c r="I4577" s="23" t="e">
        <f>VLOOKUP(H4577,'合同综合查询数据（3月返）'!$A:$A,1,FALSE)</f>
        <v>#N/A</v>
      </c>
      <c r="J4577" s="24" t="s">
        <v>3074</v>
      </c>
      <c r="K4577" s="16" t="s">
        <v>6295</v>
      </c>
      <c r="L4577" s="25"/>
      <c r="M4577" s="26" t="s">
        <v>6296</v>
      </c>
      <c r="N4577" s="28">
        <v>43540</v>
      </c>
      <c r="O4577" s="28" t="s">
        <v>457</v>
      </c>
      <c r="P4577" s="365">
        <v>6300</v>
      </c>
      <c r="Q4577" s="369">
        <v>-17</v>
      </c>
      <c r="R4577" s="36">
        <f t="shared" si="101"/>
        <v>-107100</v>
      </c>
      <c r="S4577" s="37">
        <v>202303</v>
      </c>
      <c r="T4577" s="38" t="s">
        <v>6300</v>
      </c>
      <c r="U4577" s="39"/>
      <c r="V4577" s="370"/>
      <c r="W4577" s="41"/>
      <c r="X4577" s="371">
        <v>43497</v>
      </c>
      <c r="Y4577" s="371">
        <v>45688</v>
      </c>
    </row>
    <row r="4578" s="9" customFormat="1" customHeight="1" spans="1:25">
      <c r="A4578" s="16" t="s">
        <v>401</v>
      </c>
      <c r="B4578" s="17" t="s">
        <v>6236</v>
      </c>
      <c r="C4578" s="17" t="s">
        <v>63</v>
      </c>
      <c r="D4578" s="17" t="s">
        <v>6237</v>
      </c>
      <c r="E4578" s="18" t="s">
        <v>6238</v>
      </c>
      <c r="F4578" s="16" t="s">
        <v>6239</v>
      </c>
      <c r="G4578" s="16" t="s">
        <v>88</v>
      </c>
      <c r="H4578" s="19" t="s">
        <v>6294</v>
      </c>
      <c r="I4578" s="23" t="e">
        <f>VLOOKUP(H4578,'合同综合查询数据（3月返）'!$A:$A,1,FALSE)</f>
        <v>#N/A</v>
      </c>
      <c r="J4578" s="24" t="s">
        <v>3074</v>
      </c>
      <c r="K4578" s="16" t="s">
        <v>6295</v>
      </c>
      <c r="L4578" s="25"/>
      <c r="M4578" s="26" t="s">
        <v>6296</v>
      </c>
      <c r="N4578" s="28">
        <v>43525</v>
      </c>
      <c r="O4578" s="28" t="s">
        <v>1459</v>
      </c>
      <c r="P4578" s="365">
        <v>9451.2</v>
      </c>
      <c r="Q4578" s="369">
        <v>4</v>
      </c>
      <c r="R4578" s="36">
        <f t="shared" si="101"/>
        <v>37804.8</v>
      </c>
      <c r="S4578" s="37">
        <v>202303</v>
      </c>
      <c r="T4578" s="38" t="s">
        <v>6301</v>
      </c>
      <c r="U4578" s="39"/>
      <c r="V4578" s="370"/>
      <c r="W4578" s="41"/>
      <c r="X4578" s="371">
        <v>43497</v>
      </c>
      <c r="Y4578" s="371">
        <v>45688</v>
      </c>
    </row>
    <row r="4579" s="9" customFormat="1" customHeight="1" spans="1:25">
      <c r="A4579" s="16" t="s">
        <v>401</v>
      </c>
      <c r="B4579" s="17" t="s">
        <v>6236</v>
      </c>
      <c r="C4579" s="17" t="s">
        <v>63</v>
      </c>
      <c r="D4579" s="17" t="s">
        <v>6237</v>
      </c>
      <c r="E4579" s="18" t="s">
        <v>6238</v>
      </c>
      <c r="F4579" s="16" t="s">
        <v>6239</v>
      </c>
      <c r="G4579" s="16" t="s">
        <v>88</v>
      </c>
      <c r="H4579" s="19" t="s">
        <v>6294</v>
      </c>
      <c r="I4579" s="23" t="e">
        <f>VLOOKUP(H4579,'合同综合查询数据（3月返）'!$A:$A,1,FALSE)</f>
        <v>#N/A</v>
      </c>
      <c r="J4579" s="24" t="s">
        <v>3074</v>
      </c>
      <c r="K4579" s="16" t="s">
        <v>6295</v>
      </c>
      <c r="L4579" s="25"/>
      <c r="M4579" s="26" t="s">
        <v>6296</v>
      </c>
      <c r="N4579" s="28">
        <v>43525</v>
      </c>
      <c r="O4579" s="28" t="s">
        <v>511</v>
      </c>
      <c r="P4579" s="365">
        <v>12888</v>
      </c>
      <c r="Q4579" s="369">
        <v>8</v>
      </c>
      <c r="R4579" s="36">
        <f t="shared" si="101"/>
        <v>103104</v>
      </c>
      <c r="S4579" s="37">
        <v>202303</v>
      </c>
      <c r="T4579" s="38" t="s">
        <v>6302</v>
      </c>
      <c r="U4579" s="39"/>
      <c r="V4579" s="370"/>
      <c r="W4579" s="41"/>
      <c r="X4579" s="371">
        <v>43497</v>
      </c>
      <c r="Y4579" s="371">
        <v>45688</v>
      </c>
    </row>
    <row r="4580" s="9" customFormat="1" customHeight="1" spans="1:25">
      <c r="A4580" s="16" t="s">
        <v>401</v>
      </c>
      <c r="B4580" s="17" t="s">
        <v>6236</v>
      </c>
      <c r="C4580" s="17" t="s">
        <v>63</v>
      </c>
      <c r="D4580" s="17" t="s">
        <v>6237</v>
      </c>
      <c r="E4580" s="18" t="s">
        <v>6238</v>
      </c>
      <c r="F4580" s="16" t="s">
        <v>6239</v>
      </c>
      <c r="G4580" s="16" t="s">
        <v>88</v>
      </c>
      <c r="H4580" s="19" t="s">
        <v>6294</v>
      </c>
      <c r="I4580" s="23" t="e">
        <f>VLOOKUP(H4580,'合同综合查询数据（3月返）'!$A:$A,1,FALSE)</f>
        <v>#N/A</v>
      </c>
      <c r="J4580" s="24" t="s">
        <v>3074</v>
      </c>
      <c r="K4580" s="16" t="s">
        <v>6295</v>
      </c>
      <c r="L4580" s="25"/>
      <c r="M4580" s="26" t="s">
        <v>6296</v>
      </c>
      <c r="N4580" s="28">
        <v>43525</v>
      </c>
      <c r="O4580" s="28" t="s">
        <v>3649</v>
      </c>
      <c r="P4580" s="365">
        <v>34368</v>
      </c>
      <c r="Q4580" s="369">
        <v>12</v>
      </c>
      <c r="R4580" s="36">
        <f t="shared" si="101"/>
        <v>412416</v>
      </c>
      <c r="S4580" s="37">
        <v>202303</v>
      </c>
      <c r="T4580" s="38" t="s">
        <v>6303</v>
      </c>
      <c r="U4580" s="39"/>
      <c r="V4580" s="370"/>
      <c r="W4580" s="41"/>
      <c r="X4580" s="371">
        <v>43497</v>
      </c>
      <c r="Y4580" s="371">
        <v>45688</v>
      </c>
    </row>
    <row r="4581" s="9" customFormat="1" customHeight="1" spans="1:25">
      <c r="A4581" s="16" t="s">
        <v>401</v>
      </c>
      <c r="B4581" s="17" t="s">
        <v>6236</v>
      </c>
      <c r="C4581" s="17" t="s">
        <v>63</v>
      </c>
      <c r="D4581" s="17" t="s">
        <v>6237</v>
      </c>
      <c r="E4581" s="18" t="s">
        <v>6238</v>
      </c>
      <c r="F4581" s="16" t="s">
        <v>6239</v>
      </c>
      <c r="G4581" s="16" t="s">
        <v>88</v>
      </c>
      <c r="H4581" s="19" t="s">
        <v>6294</v>
      </c>
      <c r="I4581" s="23" t="e">
        <f>VLOOKUP(H4581,'合同综合查询数据（3月返）'!$A:$A,1,FALSE)</f>
        <v>#N/A</v>
      </c>
      <c r="J4581" s="24" t="s">
        <v>3074</v>
      </c>
      <c r="K4581" s="16" t="s">
        <v>6295</v>
      </c>
      <c r="L4581" s="25"/>
      <c r="M4581" s="26" t="s">
        <v>6297</v>
      </c>
      <c r="N4581" s="28">
        <v>43525</v>
      </c>
      <c r="O4581" s="28" t="s">
        <v>3649</v>
      </c>
      <c r="P4581" s="365">
        <v>34368</v>
      </c>
      <c r="Q4581" s="369">
        <v>6</v>
      </c>
      <c r="R4581" s="36">
        <f t="shared" si="101"/>
        <v>206208</v>
      </c>
      <c r="S4581" s="37">
        <v>202303</v>
      </c>
      <c r="T4581" s="38" t="s">
        <v>6304</v>
      </c>
      <c r="U4581" s="39"/>
      <c r="V4581" s="370"/>
      <c r="W4581" s="41"/>
      <c r="X4581" s="371">
        <v>43497</v>
      </c>
      <c r="Y4581" s="371">
        <v>45688</v>
      </c>
    </row>
    <row r="4582" s="9" customFormat="1" customHeight="1" spans="1:25">
      <c r="A4582" s="16" t="s">
        <v>401</v>
      </c>
      <c r="B4582" s="17" t="s">
        <v>6236</v>
      </c>
      <c r="C4582" s="17" t="s">
        <v>63</v>
      </c>
      <c r="D4582" s="17" t="s">
        <v>6237</v>
      </c>
      <c r="E4582" s="18" t="s">
        <v>6238</v>
      </c>
      <c r="F4582" s="16" t="s">
        <v>6239</v>
      </c>
      <c r="G4582" s="16" t="s">
        <v>88</v>
      </c>
      <c r="H4582" s="19" t="s">
        <v>6294</v>
      </c>
      <c r="I4582" s="23" t="e">
        <f>VLOOKUP(H4582,'合同综合查询数据（3月返）'!$A:$A,1,FALSE)</f>
        <v>#N/A</v>
      </c>
      <c r="J4582" s="24" t="s">
        <v>3074</v>
      </c>
      <c r="K4582" s="16" t="s">
        <v>6295</v>
      </c>
      <c r="L4582" s="25"/>
      <c r="M4582" s="26" t="s">
        <v>6297</v>
      </c>
      <c r="N4582" s="28">
        <v>43553</v>
      </c>
      <c r="O4582" s="28" t="s">
        <v>457</v>
      </c>
      <c r="P4582" s="365">
        <v>6300</v>
      </c>
      <c r="Q4582" s="369">
        <v>4</v>
      </c>
      <c r="R4582" s="36">
        <f t="shared" si="101"/>
        <v>25200</v>
      </c>
      <c r="S4582" s="37">
        <v>202303</v>
      </c>
      <c r="T4582" s="38" t="s">
        <v>6305</v>
      </c>
      <c r="U4582" s="39"/>
      <c r="V4582" s="370"/>
      <c r="W4582" s="41"/>
      <c r="X4582" s="371">
        <v>43497</v>
      </c>
      <c r="Y4582" s="371">
        <v>45688</v>
      </c>
    </row>
    <row r="4583" s="9" customFormat="1" customHeight="1" spans="1:25">
      <c r="A4583" s="16" t="s">
        <v>401</v>
      </c>
      <c r="B4583" s="17" t="s">
        <v>6236</v>
      </c>
      <c r="C4583" s="17" t="s">
        <v>63</v>
      </c>
      <c r="D4583" s="17" t="s">
        <v>6237</v>
      </c>
      <c r="E4583" s="18" t="s">
        <v>6238</v>
      </c>
      <c r="F4583" s="16" t="s">
        <v>6239</v>
      </c>
      <c r="G4583" s="16" t="s">
        <v>88</v>
      </c>
      <c r="H4583" s="19" t="s">
        <v>6294</v>
      </c>
      <c r="I4583" s="23" t="e">
        <f>VLOOKUP(H4583,'合同综合查询数据（3月返）'!$A:$A,1,FALSE)</f>
        <v>#N/A</v>
      </c>
      <c r="J4583" s="24" t="s">
        <v>3074</v>
      </c>
      <c r="K4583" s="16" t="s">
        <v>6295</v>
      </c>
      <c r="L4583" s="25"/>
      <c r="M4583" s="26" t="s">
        <v>6296</v>
      </c>
      <c r="N4583" s="28">
        <v>43539</v>
      </c>
      <c r="O4583" s="28" t="s">
        <v>457</v>
      </c>
      <c r="P4583" s="365">
        <v>6300</v>
      </c>
      <c r="Q4583" s="369">
        <v>10</v>
      </c>
      <c r="R4583" s="36">
        <f t="shared" si="101"/>
        <v>63000</v>
      </c>
      <c r="S4583" s="37">
        <v>202303</v>
      </c>
      <c r="T4583" s="38" t="s">
        <v>6306</v>
      </c>
      <c r="U4583" s="39"/>
      <c r="V4583" s="370"/>
      <c r="W4583" s="41"/>
      <c r="X4583" s="371">
        <v>43497</v>
      </c>
      <c r="Y4583" s="371">
        <v>45688</v>
      </c>
    </row>
    <row r="4584" s="9" customFormat="1" customHeight="1" spans="1:25">
      <c r="A4584" s="16" t="s">
        <v>401</v>
      </c>
      <c r="B4584" s="17" t="s">
        <v>6236</v>
      </c>
      <c r="C4584" s="17" t="s">
        <v>63</v>
      </c>
      <c r="D4584" s="17" t="s">
        <v>6237</v>
      </c>
      <c r="E4584" s="18" t="s">
        <v>6238</v>
      </c>
      <c r="F4584" s="16" t="s">
        <v>6239</v>
      </c>
      <c r="G4584" s="16" t="s">
        <v>88</v>
      </c>
      <c r="H4584" s="19" t="s">
        <v>6294</v>
      </c>
      <c r="I4584" s="23" t="e">
        <f>VLOOKUP(H4584,'合同综合查询数据（3月返）'!$A:$A,1,FALSE)</f>
        <v>#N/A</v>
      </c>
      <c r="J4584" s="24" t="s">
        <v>3074</v>
      </c>
      <c r="K4584" s="16" t="s">
        <v>6295</v>
      </c>
      <c r="L4584" s="25"/>
      <c r="M4584" s="26" t="s">
        <v>6296</v>
      </c>
      <c r="N4584" s="28">
        <v>43544</v>
      </c>
      <c r="O4584" s="28" t="s">
        <v>457</v>
      </c>
      <c r="P4584" s="365">
        <v>6300</v>
      </c>
      <c r="Q4584" s="369">
        <v>7</v>
      </c>
      <c r="R4584" s="36">
        <f t="shared" si="101"/>
        <v>44100</v>
      </c>
      <c r="S4584" s="37">
        <v>202303</v>
      </c>
      <c r="T4584" s="38" t="s">
        <v>6307</v>
      </c>
      <c r="U4584" s="39"/>
      <c r="V4584" s="370"/>
      <c r="W4584" s="41"/>
      <c r="X4584" s="371">
        <v>43497</v>
      </c>
      <c r="Y4584" s="371">
        <v>45688</v>
      </c>
    </row>
    <row r="4585" s="9" customFormat="1" customHeight="1" spans="1:25">
      <c r="A4585" s="16" t="s">
        <v>401</v>
      </c>
      <c r="B4585" s="17" t="s">
        <v>6236</v>
      </c>
      <c r="C4585" s="17" t="s">
        <v>63</v>
      </c>
      <c r="D4585" s="17" t="s">
        <v>6237</v>
      </c>
      <c r="E4585" s="18" t="s">
        <v>6238</v>
      </c>
      <c r="F4585" s="16" t="s">
        <v>6239</v>
      </c>
      <c r="G4585" s="16" t="s">
        <v>88</v>
      </c>
      <c r="H4585" s="19" t="s">
        <v>6294</v>
      </c>
      <c r="I4585" s="23" t="e">
        <f>VLOOKUP(H4585,'合同综合查询数据（3月返）'!$A:$A,1,FALSE)</f>
        <v>#N/A</v>
      </c>
      <c r="J4585" s="24" t="s">
        <v>3074</v>
      </c>
      <c r="K4585" s="16" t="s">
        <v>6295</v>
      </c>
      <c r="L4585" s="25"/>
      <c r="M4585" s="26" t="s">
        <v>6296</v>
      </c>
      <c r="N4585" s="28">
        <v>43565</v>
      </c>
      <c r="O4585" s="28" t="s">
        <v>457</v>
      </c>
      <c r="P4585" s="365">
        <v>6300</v>
      </c>
      <c r="Q4585" s="369">
        <v>11</v>
      </c>
      <c r="R4585" s="36">
        <f t="shared" si="101"/>
        <v>69300</v>
      </c>
      <c r="S4585" s="37">
        <v>202303</v>
      </c>
      <c r="T4585" s="38" t="s">
        <v>6308</v>
      </c>
      <c r="U4585" s="39"/>
      <c r="V4585" s="370"/>
      <c r="W4585" s="41"/>
      <c r="X4585" s="371">
        <v>43497</v>
      </c>
      <c r="Y4585" s="371">
        <v>45688</v>
      </c>
    </row>
    <row r="4586" s="9" customFormat="1" customHeight="1" spans="1:25">
      <c r="A4586" s="16" t="s">
        <v>401</v>
      </c>
      <c r="B4586" s="17" t="s">
        <v>6236</v>
      </c>
      <c r="C4586" s="17" t="s">
        <v>63</v>
      </c>
      <c r="D4586" s="17" t="s">
        <v>6237</v>
      </c>
      <c r="E4586" s="18" t="s">
        <v>6238</v>
      </c>
      <c r="F4586" s="16" t="s">
        <v>6239</v>
      </c>
      <c r="G4586" s="16" t="s">
        <v>88</v>
      </c>
      <c r="H4586" s="19" t="s">
        <v>6294</v>
      </c>
      <c r="I4586" s="23" t="e">
        <f>VLOOKUP(H4586,'合同综合查询数据（3月返）'!$A:$A,1,FALSE)</f>
        <v>#N/A</v>
      </c>
      <c r="J4586" s="24" t="s">
        <v>3074</v>
      </c>
      <c r="K4586" s="16" t="s">
        <v>6295</v>
      </c>
      <c r="L4586" s="25"/>
      <c r="M4586" s="26" t="s">
        <v>6296</v>
      </c>
      <c r="N4586" s="28">
        <v>43599</v>
      </c>
      <c r="O4586" s="28" t="s">
        <v>457</v>
      </c>
      <c r="P4586" s="365">
        <v>6300</v>
      </c>
      <c r="Q4586" s="369">
        <v>8</v>
      </c>
      <c r="R4586" s="36">
        <f t="shared" si="101"/>
        <v>50400</v>
      </c>
      <c r="S4586" s="37">
        <v>202303</v>
      </c>
      <c r="T4586" s="38" t="s">
        <v>6309</v>
      </c>
      <c r="U4586" s="39"/>
      <c r="V4586" s="370"/>
      <c r="W4586" s="41"/>
      <c r="X4586" s="371">
        <v>43497</v>
      </c>
      <c r="Y4586" s="371">
        <v>45688</v>
      </c>
    </row>
    <row r="4587" s="9" customFormat="1" customHeight="1" spans="1:25">
      <c r="A4587" s="16" t="s">
        <v>401</v>
      </c>
      <c r="B4587" s="17" t="s">
        <v>6236</v>
      </c>
      <c r="C4587" s="17" t="s">
        <v>63</v>
      </c>
      <c r="D4587" s="17" t="s">
        <v>6237</v>
      </c>
      <c r="E4587" s="18" t="s">
        <v>6238</v>
      </c>
      <c r="F4587" s="16" t="s">
        <v>6239</v>
      </c>
      <c r="G4587" s="16" t="s">
        <v>88</v>
      </c>
      <c r="H4587" s="19" t="s">
        <v>6294</v>
      </c>
      <c r="I4587" s="23" t="e">
        <f>VLOOKUP(H4587,'合同综合查询数据（3月返）'!$A:$A,1,FALSE)</f>
        <v>#N/A</v>
      </c>
      <c r="J4587" s="24" t="s">
        <v>3074</v>
      </c>
      <c r="K4587" s="16" t="s">
        <v>6295</v>
      </c>
      <c r="L4587" s="25"/>
      <c r="M4587" s="26" t="s">
        <v>6296</v>
      </c>
      <c r="N4587" s="28">
        <v>43615</v>
      </c>
      <c r="O4587" s="28" t="s">
        <v>457</v>
      </c>
      <c r="P4587" s="365">
        <v>6300</v>
      </c>
      <c r="Q4587" s="369">
        <v>3</v>
      </c>
      <c r="R4587" s="36">
        <f t="shared" si="101"/>
        <v>18900</v>
      </c>
      <c r="S4587" s="37">
        <v>202303</v>
      </c>
      <c r="T4587" s="38" t="s">
        <v>6310</v>
      </c>
      <c r="U4587" s="39"/>
      <c r="V4587" s="370"/>
      <c r="W4587" s="41"/>
      <c r="X4587" s="371">
        <v>43497</v>
      </c>
      <c r="Y4587" s="371">
        <v>45688</v>
      </c>
    </row>
    <row r="4588" s="9" customFormat="1" customHeight="1" spans="1:25">
      <c r="A4588" s="16" t="s">
        <v>401</v>
      </c>
      <c r="B4588" s="17" t="s">
        <v>6236</v>
      </c>
      <c r="C4588" s="17" t="s">
        <v>63</v>
      </c>
      <c r="D4588" s="17" t="s">
        <v>6237</v>
      </c>
      <c r="E4588" s="18" t="s">
        <v>6238</v>
      </c>
      <c r="F4588" s="16" t="s">
        <v>6239</v>
      </c>
      <c r="G4588" s="16" t="s">
        <v>88</v>
      </c>
      <c r="H4588" s="19" t="s">
        <v>6294</v>
      </c>
      <c r="I4588" s="23" t="e">
        <f>VLOOKUP(H4588,'合同综合查询数据（3月返）'!$A:$A,1,FALSE)</f>
        <v>#N/A</v>
      </c>
      <c r="J4588" s="24" t="s">
        <v>3074</v>
      </c>
      <c r="K4588" s="16" t="s">
        <v>6295</v>
      </c>
      <c r="L4588" s="25"/>
      <c r="M4588" s="26" t="s">
        <v>6296</v>
      </c>
      <c r="N4588" s="28">
        <v>43615</v>
      </c>
      <c r="O4588" s="28" t="s">
        <v>457</v>
      </c>
      <c r="P4588" s="365">
        <v>6300</v>
      </c>
      <c r="Q4588" s="369">
        <v>3</v>
      </c>
      <c r="R4588" s="36">
        <f t="shared" si="101"/>
        <v>18900</v>
      </c>
      <c r="S4588" s="37">
        <v>202303</v>
      </c>
      <c r="T4588" s="38" t="s">
        <v>6311</v>
      </c>
      <c r="U4588" s="39"/>
      <c r="V4588" s="370"/>
      <c r="W4588" s="41"/>
      <c r="X4588" s="371">
        <v>43497</v>
      </c>
      <c r="Y4588" s="371">
        <v>45688</v>
      </c>
    </row>
    <row r="4589" s="9" customFormat="1" customHeight="1" spans="1:25">
      <c r="A4589" s="16" t="s">
        <v>401</v>
      </c>
      <c r="B4589" s="17" t="s">
        <v>6236</v>
      </c>
      <c r="C4589" s="17" t="s">
        <v>63</v>
      </c>
      <c r="D4589" s="17" t="s">
        <v>6237</v>
      </c>
      <c r="E4589" s="18" t="s">
        <v>6238</v>
      </c>
      <c r="F4589" s="16" t="s">
        <v>6239</v>
      </c>
      <c r="G4589" s="16" t="s">
        <v>88</v>
      </c>
      <c r="H4589" s="19" t="s">
        <v>6294</v>
      </c>
      <c r="I4589" s="23" t="e">
        <f>VLOOKUP(H4589,'合同综合查询数据（3月返）'!$A:$A,1,FALSE)</f>
        <v>#N/A</v>
      </c>
      <c r="J4589" s="24" t="s">
        <v>3074</v>
      </c>
      <c r="K4589" s="16" t="s">
        <v>6295</v>
      </c>
      <c r="L4589" s="25"/>
      <c r="M4589" s="26" t="s">
        <v>6296</v>
      </c>
      <c r="N4589" s="28">
        <v>43619</v>
      </c>
      <c r="O4589" s="28" t="s">
        <v>457</v>
      </c>
      <c r="P4589" s="365">
        <v>6300</v>
      </c>
      <c r="Q4589" s="369">
        <v>6</v>
      </c>
      <c r="R4589" s="36">
        <f t="shared" si="101"/>
        <v>37800</v>
      </c>
      <c r="S4589" s="37">
        <v>202303</v>
      </c>
      <c r="T4589" s="38" t="s">
        <v>6312</v>
      </c>
      <c r="U4589" s="39"/>
      <c r="V4589" s="370"/>
      <c r="W4589" s="41"/>
      <c r="X4589" s="371">
        <v>43497</v>
      </c>
      <c r="Y4589" s="371">
        <v>45688</v>
      </c>
    </row>
    <row r="4590" s="9" customFormat="1" customHeight="1" spans="1:25">
      <c r="A4590" s="16" t="s">
        <v>401</v>
      </c>
      <c r="B4590" s="17" t="s">
        <v>6236</v>
      </c>
      <c r="C4590" s="17" t="s">
        <v>63</v>
      </c>
      <c r="D4590" s="17" t="s">
        <v>6237</v>
      </c>
      <c r="E4590" s="18" t="s">
        <v>6238</v>
      </c>
      <c r="F4590" s="16" t="s">
        <v>6239</v>
      </c>
      <c r="G4590" s="16" t="s">
        <v>88</v>
      </c>
      <c r="H4590" s="19" t="s">
        <v>6294</v>
      </c>
      <c r="I4590" s="23" t="e">
        <f>VLOOKUP(H4590,'合同综合查询数据（3月返）'!$A:$A,1,FALSE)</f>
        <v>#N/A</v>
      </c>
      <c r="J4590" s="24" t="s">
        <v>3074</v>
      </c>
      <c r="K4590" s="16" t="s">
        <v>6295</v>
      </c>
      <c r="L4590" s="25"/>
      <c r="M4590" s="26" t="s">
        <v>6296</v>
      </c>
      <c r="N4590" s="28">
        <v>43636</v>
      </c>
      <c r="O4590" s="28" t="s">
        <v>457</v>
      </c>
      <c r="P4590" s="365">
        <v>6300</v>
      </c>
      <c r="Q4590" s="369">
        <v>9</v>
      </c>
      <c r="R4590" s="36">
        <f t="shared" si="101"/>
        <v>56700</v>
      </c>
      <c r="S4590" s="37">
        <v>202303</v>
      </c>
      <c r="T4590" s="38" t="s">
        <v>6313</v>
      </c>
      <c r="U4590" s="39"/>
      <c r="V4590" s="370"/>
      <c r="W4590" s="41"/>
      <c r="X4590" s="371">
        <v>43497</v>
      </c>
      <c r="Y4590" s="371">
        <v>45688</v>
      </c>
    </row>
    <row r="4591" s="9" customFormat="1" customHeight="1" spans="1:25">
      <c r="A4591" s="16" t="s">
        <v>401</v>
      </c>
      <c r="B4591" s="17" t="s">
        <v>6236</v>
      </c>
      <c r="C4591" s="17" t="s">
        <v>63</v>
      </c>
      <c r="D4591" s="17" t="s">
        <v>6237</v>
      </c>
      <c r="E4591" s="18" t="s">
        <v>6238</v>
      </c>
      <c r="F4591" s="16" t="s">
        <v>6239</v>
      </c>
      <c r="G4591" s="16" t="s">
        <v>88</v>
      </c>
      <c r="H4591" s="19" t="s">
        <v>6294</v>
      </c>
      <c r="I4591" s="23" t="e">
        <f>VLOOKUP(H4591,'合同综合查询数据（3月返）'!$A:$A,1,FALSE)</f>
        <v>#N/A</v>
      </c>
      <c r="J4591" s="24" t="s">
        <v>3074</v>
      </c>
      <c r="K4591" s="16" t="s">
        <v>6295</v>
      </c>
      <c r="L4591" s="25"/>
      <c r="M4591" s="26" t="s">
        <v>6296</v>
      </c>
      <c r="N4591" s="28">
        <v>43642</v>
      </c>
      <c r="O4591" s="28" t="s">
        <v>457</v>
      </c>
      <c r="P4591" s="365">
        <v>6300</v>
      </c>
      <c r="Q4591" s="369">
        <v>2</v>
      </c>
      <c r="R4591" s="36">
        <f t="shared" si="101"/>
        <v>12600</v>
      </c>
      <c r="S4591" s="37">
        <v>202303</v>
      </c>
      <c r="T4591" s="38" t="s">
        <v>6314</v>
      </c>
      <c r="U4591" s="39"/>
      <c r="V4591" s="370"/>
      <c r="W4591" s="41"/>
      <c r="X4591" s="371">
        <v>43497</v>
      </c>
      <c r="Y4591" s="371">
        <v>45688</v>
      </c>
    </row>
    <row r="4592" s="9" customFormat="1" customHeight="1" spans="1:25">
      <c r="A4592" s="16" t="s">
        <v>401</v>
      </c>
      <c r="B4592" s="17" t="s">
        <v>6236</v>
      </c>
      <c r="C4592" s="17" t="s">
        <v>63</v>
      </c>
      <c r="D4592" s="17" t="s">
        <v>6237</v>
      </c>
      <c r="E4592" s="18" t="s">
        <v>6238</v>
      </c>
      <c r="F4592" s="16" t="s">
        <v>6239</v>
      </c>
      <c r="G4592" s="16" t="s">
        <v>88</v>
      </c>
      <c r="H4592" s="19" t="s">
        <v>6294</v>
      </c>
      <c r="I4592" s="23" t="e">
        <f>VLOOKUP(H4592,'合同综合查询数据（3月返）'!$A:$A,1,FALSE)</f>
        <v>#N/A</v>
      </c>
      <c r="J4592" s="24" t="s">
        <v>3074</v>
      </c>
      <c r="K4592" s="16" t="s">
        <v>6295</v>
      </c>
      <c r="L4592" s="25"/>
      <c r="M4592" s="26" t="s">
        <v>6296</v>
      </c>
      <c r="N4592" s="28">
        <v>43648</v>
      </c>
      <c r="O4592" s="28" t="s">
        <v>457</v>
      </c>
      <c r="P4592" s="365">
        <v>6300</v>
      </c>
      <c r="Q4592" s="369">
        <v>11</v>
      </c>
      <c r="R4592" s="36">
        <f t="shared" si="101"/>
        <v>69300</v>
      </c>
      <c r="S4592" s="37">
        <v>202303</v>
      </c>
      <c r="T4592" s="38" t="s">
        <v>6315</v>
      </c>
      <c r="U4592" s="39"/>
      <c r="V4592" s="370"/>
      <c r="W4592" s="41"/>
      <c r="X4592" s="371">
        <v>43497</v>
      </c>
      <c r="Y4592" s="371">
        <v>45688</v>
      </c>
    </row>
    <row r="4593" s="9" customFormat="1" customHeight="1" spans="1:25">
      <c r="A4593" s="16" t="s">
        <v>401</v>
      </c>
      <c r="B4593" s="17" t="s">
        <v>6236</v>
      </c>
      <c r="C4593" s="17" t="s">
        <v>63</v>
      </c>
      <c r="D4593" s="17" t="s">
        <v>6237</v>
      </c>
      <c r="E4593" s="18" t="s">
        <v>6238</v>
      </c>
      <c r="F4593" s="16" t="s">
        <v>6239</v>
      </c>
      <c r="G4593" s="16" t="s">
        <v>88</v>
      </c>
      <c r="H4593" s="19" t="s">
        <v>6294</v>
      </c>
      <c r="I4593" s="23" t="e">
        <f>VLOOKUP(H4593,'合同综合查询数据（3月返）'!$A:$A,1,FALSE)</f>
        <v>#N/A</v>
      </c>
      <c r="J4593" s="24" t="s">
        <v>3074</v>
      </c>
      <c r="K4593" s="16" t="s">
        <v>6295</v>
      </c>
      <c r="L4593" s="25"/>
      <c r="M4593" s="26" t="s">
        <v>6296</v>
      </c>
      <c r="N4593" s="28">
        <v>43654</v>
      </c>
      <c r="O4593" s="28" t="s">
        <v>457</v>
      </c>
      <c r="P4593" s="365">
        <v>6300</v>
      </c>
      <c r="Q4593" s="369">
        <v>2</v>
      </c>
      <c r="R4593" s="36">
        <f t="shared" si="101"/>
        <v>12600</v>
      </c>
      <c r="S4593" s="37">
        <v>202303</v>
      </c>
      <c r="T4593" s="38" t="s">
        <v>6316</v>
      </c>
      <c r="U4593" s="39"/>
      <c r="V4593" s="370"/>
      <c r="W4593" s="41"/>
      <c r="X4593" s="371">
        <v>43497</v>
      </c>
      <c r="Y4593" s="371">
        <v>45688</v>
      </c>
    </row>
    <row r="4594" s="9" customFormat="1" customHeight="1" spans="1:25">
      <c r="A4594" s="16" t="s">
        <v>401</v>
      </c>
      <c r="B4594" s="17" t="s">
        <v>6236</v>
      </c>
      <c r="C4594" s="17" t="s">
        <v>63</v>
      </c>
      <c r="D4594" s="17" t="s">
        <v>6237</v>
      </c>
      <c r="E4594" s="18" t="s">
        <v>6238</v>
      </c>
      <c r="F4594" s="16" t="s">
        <v>6239</v>
      </c>
      <c r="G4594" s="16" t="s">
        <v>88</v>
      </c>
      <c r="H4594" s="19" t="s">
        <v>6294</v>
      </c>
      <c r="I4594" s="23" t="e">
        <f>VLOOKUP(H4594,'合同综合查询数据（3月返）'!$A:$A,1,FALSE)</f>
        <v>#N/A</v>
      </c>
      <c r="J4594" s="24" t="s">
        <v>3074</v>
      </c>
      <c r="K4594" s="16" t="s">
        <v>6295</v>
      </c>
      <c r="L4594" s="25"/>
      <c r="M4594" s="26" t="s">
        <v>6296</v>
      </c>
      <c r="N4594" s="28">
        <v>43656</v>
      </c>
      <c r="O4594" s="28" t="s">
        <v>457</v>
      </c>
      <c r="P4594" s="365">
        <v>6300</v>
      </c>
      <c r="Q4594" s="369">
        <v>5</v>
      </c>
      <c r="R4594" s="36">
        <f t="shared" si="101"/>
        <v>31500</v>
      </c>
      <c r="S4594" s="37">
        <v>202303</v>
      </c>
      <c r="T4594" s="38" t="s">
        <v>6317</v>
      </c>
      <c r="U4594" s="39"/>
      <c r="V4594" s="370"/>
      <c r="W4594" s="41"/>
      <c r="X4594" s="371">
        <v>43497</v>
      </c>
      <c r="Y4594" s="371">
        <v>45688</v>
      </c>
    </row>
    <row r="4595" s="9" customFormat="1" customHeight="1" spans="1:25">
      <c r="A4595" s="16" t="s">
        <v>401</v>
      </c>
      <c r="B4595" s="17" t="s">
        <v>6236</v>
      </c>
      <c r="C4595" s="17" t="s">
        <v>63</v>
      </c>
      <c r="D4595" s="17" t="s">
        <v>6237</v>
      </c>
      <c r="E4595" s="18" t="s">
        <v>6238</v>
      </c>
      <c r="F4595" s="16" t="s">
        <v>6239</v>
      </c>
      <c r="G4595" s="16" t="s">
        <v>88</v>
      </c>
      <c r="H4595" s="19" t="s">
        <v>6294</v>
      </c>
      <c r="I4595" s="23" t="e">
        <f>VLOOKUP(H4595,'合同综合查询数据（3月返）'!$A:$A,1,FALSE)</f>
        <v>#N/A</v>
      </c>
      <c r="J4595" s="24" t="s">
        <v>3074</v>
      </c>
      <c r="K4595" s="16" t="s">
        <v>6295</v>
      </c>
      <c r="L4595" s="25"/>
      <c r="M4595" s="26" t="s">
        <v>6296</v>
      </c>
      <c r="N4595" s="28">
        <v>43662</v>
      </c>
      <c r="O4595" s="28" t="s">
        <v>457</v>
      </c>
      <c r="P4595" s="365">
        <v>6300</v>
      </c>
      <c r="Q4595" s="369">
        <v>3</v>
      </c>
      <c r="R4595" s="36">
        <f t="shared" si="101"/>
        <v>18900</v>
      </c>
      <c r="S4595" s="37">
        <v>202303</v>
      </c>
      <c r="T4595" s="38" t="s">
        <v>6318</v>
      </c>
      <c r="U4595" s="39"/>
      <c r="V4595" s="370"/>
      <c r="W4595" s="41"/>
      <c r="X4595" s="371">
        <v>43497</v>
      </c>
      <c r="Y4595" s="371">
        <v>45688</v>
      </c>
    </row>
    <row r="4596" s="9" customFormat="1" customHeight="1" spans="1:25">
      <c r="A4596" s="16" t="s">
        <v>401</v>
      </c>
      <c r="B4596" s="17" t="s">
        <v>6236</v>
      </c>
      <c r="C4596" s="17" t="s">
        <v>63</v>
      </c>
      <c r="D4596" s="17" t="s">
        <v>6237</v>
      </c>
      <c r="E4596" s="18" t="s">
        <v>6238</v>
      </c>
      <c r="F4596" s="16" t="s">
        <v>6239</v>
      </c>
      <c r="G4596" s="16" t="s">
        <v>88</v>
      </c>
      <c r="H4596" s="19" t="s">
        <v>6294</v>
      </c>
      <c r="I4596" s="23" t="e">
        <f>VLOOKUP(H4596,'合同综合查询数据（3月返）'!$A:$A,1,FALSE)</f>
        <v>#N/A</v>
      </c>
      <c r="J4596" s="24" t="s">
        <v>3074</v>
      </c>
      <c r="K4596" s="16" t="s">
        <v>6295</v>
      </c>
      <c r="L4596" s="25"/>
      <c r="M4596" s="26" t="s">
        <v>6296</v>
      </c>
      <c r="N4596" s="28">
        <v>43664</v>
      </c>
      <c r="O4596" s="28" t="s">
        <v>457</v>
      </c>
      <c r="P4596" s="365">
        <v>6300</v>
      </c>
      <c r="Q4596" s="369">
        <v>10</v>
      </c>
      <c r="R4596" s="36">
        <f t="shared" si="101"/>
        <v>63000</v>
      </c>
      <c r="S4596" s="37">
        <v>202303</v>
      </c>
      <c r="T4596" s="38" t="s">
        <v>6319</v>
      </c>
      <c r="U4596" s="39"/>
      <c r="V4596" s="370"/>
      <c r="W4596" s="41"/>
      <c r="X4596" s="371">
        <v>43497</v>
      </c>
      <c r="Y4596" s="371">
        <v>45688</v>
      </c>
    </row>
    <row r="4597" s="9" customFormat="1" customHeight="1" spans="1:25">
      <c r="A4597" s="16" t="s">
        <v>401</v>
      </c>
      <c r="B4597" s="17" t="s">
        <v>6236</v>
      </c>
      <c r="C4597" s="17" t="s">
        <v>63</v>
      </c>
      <c r="D4597" s="17" t="s">
        <v>6237</v>
      </c>
      <c r="E4597" s="18" t="s">
        <v>6238</v>
      </c>
      <c r="F4597" s="16" t="s">
        <v>6239</v>
      </c>
      <c r="G4597" s="16" t="s">
        <v>88</v>
      </c>
      <c r="H4597" s="19" t="s">
        <v>6294</v>
      </c>
      <c r="I4597" s="23" t="e">
        <f>VLOOKUP(H4597,'合同综合查询数据（3月返）'!$A:$A,1,FALSE)</f>
        <v>#N/A</v>
      </c>
      <c r="J4597" s="24" t="s">
        <v>3074</v>
      </c>
      <c r="K4597" s="16" t="s">
        <v>6295</v>
      </c>
      <c r="L4597" s="25"/>
      <c r="M4597" s="26" t="s">
        <v>6296</v>
      </c>
      <c r="N4597" s="28">
        <v>43670</v>
      </c>
      <c r="O4597" s="28" t="s">
        <v>457</v>
      </c>
      <c r="P4597" s="365">
        <v>6300</v>
      </c>
      <c r="Q4597" s="369">
        <v>2</v>
      </c>
      <c r="R4597" s="36">
        <f t="shared" si="101"/>
        <v>12600</v>
      </c>
      <c r="S4597" s="37">
        <v>202303</v>
      </c>
      <c r="T4597" s="38" t="s">
        <v>6320</v>
      </c>
      <c r="U4597" s="39"/>
      <c r="V4597" s="370"/>
      <c r="W4597" s="41"/>
      <c r="X4597" s="371">
        <v>43497</v>
      </c>
      <c r="Y4597" s="371">
        <v>45688</v>
      </c>
    </row>
    <row r="4598" s="9" customFormat="1" customHeight="1" spans="1:25">
      <c r="A4598" s="16" t="s">
        <v>401</v>
      </c>
      <c r="B4598" s="17" t="s">
        <v>6236</v>
      </c>
      <c r="C4598" s="17" t="s">
        <v>63</v>
      </c>
      <c r="D4598" s="17" t="s">
        <v>6237</v>
      </c>
      <c r="E4598" s="18" t="s">
        <v>6238</v>
      </c>
      <c r="F4598" s="16" t="s">
        <v>6239</v>
      </c>
      <c r="G4598" s="16" t="s">
        <v>88</v>
      </c>
      <c r="H4598" s="19" t="s">
        <v>6294</v>
      </c>
      <c r="I4598" s="23" t="e">
        <f>VLOOKUP(H4598,'合同综合查询数据（3月返）'!$A:$A,1,FALSE)</f>
        <v>#N/A</v>
      </c>
      <c r="J4598" s="24" t="s">
        <v>3074</v>
      </c>
      <c r="K4598" s="16" t="s">
        <v>6295</v>
      </c>
      <c r="L4598" s="25"/>
      <c r="M4598" s="26" t="s">
        <v>6296</v>
      </c>
      <c r="N4598" s="28">
        <v>43679</v>
      </c>
      <c r="O4598" s="28" t="s">
        <v>457</v>
      </c>
      <c r="P4598" s="365">
        <v>6300</v>
      </c>
      <c r="Q4598" s="369">
        <v>6</v>
      </c>
      <c r="R4598" s="36">
        <f t="shared" si="101"/>
        <v>37800</v>
      </c>
      <c r="S4598" s="37">
        <v>202303</v>
      </c>
      <c r="T4598" s="38" t="s">
        <v>1917</v>
      </c>
      <c r="U4598" s="39"/>
      <c r="V4598" s="370"/>
      <c r="W4598" s="41"/>
      <c r="X4598" s="371">
        <v>43497</v>
      </c>
      <c r="Y4598" s="371">
        <v>45688</v>
      </c>
    </row>
    <row r="4599" s="9" customFormat="1" customHeight="1" spans="1:25">
      <c r="A4599" s="16" t="s">
        <v>401</v>
      </c>
      <c r="B4599" s="17" t="s">
        <v>6236</v>
      </c>
      <c r="C4599" s="17" t="s">
        <v>63</v>
      </c>
      <c r="D4599" s="17" t="s">
        <v>6237</v>
      </c>
      <c r="E4599" s="18" t="s">
        <v>6238</v>
      </c>
      <c r="F4599" s="16" t="s">
        <v>6239</v>
      </c>
      <c r="G4599" s="16" t="s">
        <v>88</v>
      </c>
      <c r="H4599" s="19" t="s">
        <v>6294</v>
      </c>
      <c r="I4599" s="23" t="e">
        <f>VLOOKUP(H4599,'合同综合查询数据（3月返）'!$A:$A,1,FALSE)</f>
        <v>#N/A</v>
      </c>
      <c r="J4599" s="24" t="s">
        <v>3074</v>
      </c>
      <c r="K4599" s="16" t="s">
        <v>6295</v>
      </c>
      <c r="L4599" s="25"/>
      <c r="M4599" s="26" t="s">
        <v>6296</v>
      </c>
      <c r="N4599" s="28">
        <v>43697</v>
      </c>
      <c r="O4599" s="28" t="s">
        <v>457</v>
      </c>
      <c r="P4599" s="365">
        <v>6300</v>
      </c>
      <c r="Q4599" s="369">
        <v>6</v>
      </c>
      <c r="R4599" s="36">
        <f t="shared" si="101"/>
        <v>37800</v>
      </c>
      <c r="S4599" s="37">
        <v>202303</v>
      </c>
      <c r="T4599" s="38" t="s">
        <v>1917</v>
      </c>
      <c r="U4599" s="39"/>
      <c r="V4599" s="370"/>
      <c r="W4599" s="41"/>
      <c r="X4599" s="371">
        <v>43497</v>
      </c>
      <c r="Y4599" s="371">
        <v>45688</v>
      </c>
    </row>
    <row r="4600" s="9" customFormat="1" customHeight="1" spans="1:25">
      <c r="A4600" s="16" t="s">
        <v>401</v>
      </c>
      <c r="B4600" s="17" t="s">
        <v>6236</v>
      </c>
      <c r="C4600" s="17" t="s">
        <v>63</v>
      </c>
      <c r="D4600" s="17" t="s">
        <v>6237</v>
      </c>
      <c r="E4600" s="18" t="s">
        <v>6238</v>
      </c>
      <c r="F4600" s="16" t="s">
        <v>6239</v>
      </c>
      <c r="G4600" s="16" t="s">
        <v>88</v>
      </c>
      <c r="H4600" s="19" t="s">
        <v>6294</v>
      </c>
      <c r="I4600" s="23" t="e">
        <f>VLOOKUP(H4600,'合同综合查询数据（3月返）'!$A:$A,1,FALSE)</f>
        <v>#N/A</v>
      </c>
      <c r="J4600" s="24" t="s">
        <v>3074</v>
      </c>
      <c r="K4600" s="16" t="s">
        <v>6295</v>
      </c>
      <c r="L4600" s="25"/>
      <c r="M4600" s="26" t="s">
        <v>6296</v>
      </c>
      <c r="N4600" s="28">
        <v>43698</v>
      </c>
      <c r="O4600" s="28" t="s">
        <v>457</v>
      </c>
      <c r="P4600" s="365">
        <v>6300</v>
      </c>
      <c r="Q4600" s="369">
        <v>4</v>
      </c>
      <c r="R4600" s="36">
        <f t="shared" si="101"/>
        <v>25200</v>
      </c>
      <c r="S4600" s="37">
        <v>202303</v>
      </c>
      <c r="T4600" s="38" t="s">
        <v>1917</v>
      </c>
      <c r="U4600" s="39"/>
      <c r="V4600" s="370"/>
      <c r="W4600" s="41"/>
      <c r="X4600" s="371">
        <v>43497</v>
      </c>
      <c r="Y4600" s="371">
        <v>45688</v>
      </c>
    </row>
    <row r="4601" s="9" customFormat="1" customHeight="1" spans="1:25">
      <c r="A4601" s="16" t="s">
        <v>401</v>
      </c>
      <c r="B4601" s="17" t="s">
        <v>6236</v>
      </c>
      <c r="C4601" s="17" t="s">
        <v>63</v>
      </c>
      <c r="D4601" s="17" t="s">
        <v>6237</v>
      </c>
      <c r="E4601" s="18" t="s">
        <v>6238</v>
      </c>
      <c r="F4601" s="16" t="s">
        <v>6239</v>
      </c>
      <c r="G4601" s="16" t="s">
        <v>88</v>
      </c>
      <c r="H4601" s="19" t="s">
        <v>6294</v>
      </c>
      <c r="I4601" s="23" t="e">
        <f>VLOOKUP(H4601,'合同综合查询数据（3月返）'!$A:$A,1,FALSE)</f>
        <v>#N/A</v>
      </c>
      <c r="J4601" s="24" t="s">
        <v>3074</v>
      </c>
      <c r="K4601" s="16" t="s">
        <v>6295</v>
      </c>
      <c r="L4601" s="25"/>
      <c r="M4601" s="26" t="s">
        <v>6296</v>
      </c>
      <c r="N4601" s="28">
        <v>43698</v>
      </c>
      <c r="O4601" s="28" t="s">
        <v>457</v>
      </c>
      <c r="P4601" s="365">
        <v>6300</v>
      </c>
      <c r="Q4601" s="369">
        <v>1</v>
      </c>
      <c r="R4601" s="36">
        <f t="shared" si="101"/>
        <v>6300</v>
      </c>
      <c r="S4601" s="37">
        <v>202303</v>
      </c>
      <c r="T4601" s="38" t="s">
        <v>6321</v>
      </c>
      <c r="U4601" s="39"/>
      <c r="V4601" s="370"/>
      <c r="W4601" s="41"/>
      <c r="X4601" s="371">
        <v>43497</v>
      </c>
      <c r="Y4601" s="371">
        <v>45688</v>
      </c>
    </row>
    <row r="4602" s="9" customFormat="1" customHeight="1" spans="1:25">
      <c r="A4602" s="16" t="s">
        <v>401</v>
      </c>
      <c r="B4602" s="17" t="s">
        <v>6236</v>
      </c>
      <c r="C4602" s="17" t="s">
        <v>63</v>
      </c>
      <c r="D4602" s="17" t="s">
        <v>6237</v>
      </c>
      <c r="E4602" s="18" t="s">
        <v>6238</v>
      </c>
      <c r="F4602" s="16" t="s">
        <v>6239</v>
      </c>
      <c r="G4602" s="16" t="s">
        <v>88</v>
      </c>
      <c r="H4602" s="19" t="s">
        <v>6294</v>
      </c>
      <c r="I4602" s="23" t="e">
        <f>VLOOKUP(H4602,'合同综合查询数据（3月返）'!$A:$A,1,FALSE)</f>
        <v>#N/A</v>
      </c>
      <c r="J4602" s="24" t="s">
        <v>3074</v>
      </c>
      <c r="K4602" s="16" t="s">
        <v>6295</v>
      </c>
      <c r="L4602" s="25"/>
      <c r="M4602" s="26" t="s">
        <v>6296</v>
      </c>
      <c r="N4602" s="28">
        <v>43698</v>
      </c>
      <c r="O4602" s="28" t="s">
        <v>457</v>
      </c>
      <c r="P4602" s="365">
        <v>6300</v>
      </c>
      <c r="Q4602" s="369">
        <v>-9</v>
      </c>
      <c r="R4602" s="36">
        <f t="shared" si="101"/>
        <v>-56700</v>
      </c>
      <c r="S4602" s="37">
        <v>202303</v>
      </c>
      <c r="T4602" s="38" t="s">
        <v>6322</v>
      </c>
      <c r="U4602" s="39"/>
      <c r="V4602" s="370"/>
      <c r="W4602" s="41"/>
      <c r="X4602" s="371">
        <v>43497</v>
      </c>
      <c r="Y4602" s="371">
        <v>45688</v>
      </c>
    </row>
    <row r="4603" s="9" customFormat="1" customHeight="1" spans="1:25">
      <c r="A4603" s="16" t="s">
        <v>401</v>
      </c>
      <c r="B4603" s="17" t="s">
        <v>6236</v>
      </c>
      <c r="C4603" s="17" t="s">
        <v>63</v>
      </c>
      <c r="D4603" s="17" t="s">
        <v>6237</v>
      </c>
      <c r="E4603" s="18" t="s">
        <v>6238</v>
      </c>
      <c r="F4603" s="16" t="s">
        <v>6239</v>
      </c>
      <c r="G4603" s="16" t="s">
        <v>88</v>
      </c>
      <c r="H4603" s="19" t="s">
        <v>6294</v>
      </c>
      <c r="I4603" s="23" t="e">
        <f>VLOOKUP(H4603,'合同综合查询数据（3月返）'!$A:$A,1,FALSE)</f>
        <v>#N/A</v>
      </c>
      <c r="J4603" s="24" t="s">
        <v>3074</v>
      </c>
      <c r="K4603" s="16" t="s">
        <v>6295</v>
      </c>
      <c r="L4603" s="25"/>
      <c r="M4603" s="26" t="s">
        <v>6323</v>
      </c>
      <c r="N4603" s="28">
        <v>43703</v>
      </c>
      <c r="O4603" s="28" t="s">
        <v>457</v>
      </c>
      <c r="P4603" s="365">
        <v>6300</v>
      </c>
      <c r="Q4603" s="369">
        <v>15</v>
      </c>
      <c r="R4603" s="36">
        <f t="shared" si="101"/>
        <v>94500</v>
      </c>
      <c r="S4603" s="37">
        <v>202303</v>
      </c>
      <c r="T4603" s="38" t="s">
        <v>6324</v>
      </c>
      <c r="U4603" s="39"/>
      <c r="V4603" s="370"/>
      <c r="W4603" s="41"/>
      <c r="X4603" s="371">
        <v>43497</v>
      </c>
      <c r="Y4603" s="371">
        <v>45688</v>
      </c>
    </row>
    <row r="4604" s="9" customFormat="1" customHeight="1" spans="1:25">
      <c r="A4604" s="16" t="s">
        <v>401</v>
      </c>
      <c r="B4604" s="17" t="s">
        <v>6236</v>
      </c>
      <c r="C4604" s="17" t="s">
        <v>63</v>
      </c>
      <c r="D4604" s="17" t="s">
        <v>6237</v>
      </c>
      <c r="E4604" s="18" t="s">
        <v>6238</v>
      </c>
      <c r="F4604" s="16" t="s">
        <v>6239</v>
      </c>
      <c r="G4604" s="16" t="s">
        <v>88</v>
      </c>
      <c r="H4604" s="19" t="s">
        <v>6294</v>
      </c>
      <c r="I4604" s="23" t="e">
        <f>VLOOKUP(H4604,'合同综合查询数据（3月返）'!$A:$A,1,FALSE)</f>
        <v>#N/A</v>
      </c>
      <c r="J4604" s="24" t="s">
        <v>3074</v>
      </c>
      <c r="K4604" s="16" t="s">
        <v>6295</v>
      </c>
      <c r="L4604" s="25"/>
      <c r="M4604" s="26" t="s">
        <v>6296</v>
      </c>
      <c r="N4604" s="28">
        <v>43718</v>
      </c>
      <c r="O4604" s="28" t="s">
        <v>457</v>
      </c>
      <c r="P4604" s="365">
        <v>6300</v>
      </c>
      <c r="Q4604" s="369">
        <v>3</v>
      </c>
      <c r="R4604" s="36">
        <f t="shared" si="101"/>
        <v>18900</v>
      </c>
      <c r="S4604" s="37">
        <v>202303</v>
      </c>
      <c r="T4604" s="38" t="s">
        <v>6325</v>
      </c>
      <c r="U4604" s="39"/>
      <c r="V4604" s="370"/>
      <c r="W4604" s="41"/>
      <c r="X4604" s="371">
        <v>43497</v>
      </c>
      <c r="Y4604" s="371">
        <v>45688</v>
      </c>
    </row>
    <row r="4605" s="9" customFormat="1" customHeight="1" spans="1:25">
      <c r="A4605" s="16" t="s">
        <v>401</v>
      </c>
      <c r="B4605" s="17" t="s">
        <v>6236</v>
      </c>
      <c r="C4605" s="17" t="s">
        <v>63</v>
      </c>
      <c r="D4605" s="17" t="s">
        <v>6237</v>
      </c>
      <c r="E4605" s="18" t="s">
        <v>6238</v>
      </c>
      <c r="F4605" s="16" t="s">
        <v>6239</v>
      </c>
      <c r="G4605" s="16" t="s">
        <v>88</v>
      </c>
      <c r="H4605" s="19" t="s">
        <v>6294</v>
      </c>
      <c r="I4605" s="23" t="e">
        <f>VLOOKUP(H4605,'合同综合查询数据（3月返）'!$A:$A,1,FALSE)</f>
        <v>#N/A</v>
      </c>
      <c r="J4605" s="24" t="s">
        <v>3074</v>
      </c>
      <c r="K4605" s="16" t="s">
        <v>6295</v>
      </c>
      <c r="L4605" s="25"/>
      <c r="M4605" s="26" t="s">
        <v>6296</v>
      </c>
      <c r="N4605" s="28">
        <v>43731</v>
      </c>
      <c r="O4605" s="28" t="s">
        <v>457</v>
      </c>
      <c r="P4605" s="365">
        <v>6300</v>
      </c>
      <c r="Q4605" s="369">
        <v>12</v>
      </c>
      <c r="R4605" s="36">
        <f t="shared" si="101"/>
        <v>75600</v>
      </c>
      <c r="S4605" s="37">
        <v>202303</v>
      </c>
      <c r="T4605" s="38" t="s">
        <v>6325</v>
      </c>
      <c r="U4605" s="39"/>
      <c r="V4605" s="370"/>
      <c r="W4605" s="41"/>
      <c r="X4605" s="371">
        <v>43497</v>
      </c>
      <c r="Y4605" s="371">
        <v>45688</v>
      </c>
    </row>
    <row r="4606" s="9" customFormat="1" customHeight="1" spans="1:25">
      <c r="A4606" s="16" t="s">
        <v>401</v>
      </c>
      <c r="B4606" s="17" t="s">
        <v>6236</v>
      </c>
      <c r="C4606" s="17" t="s">
        <v>63</v>
      </c>
      <c r="D4606" s="17" t="s">
        <v>6237</v>
      </c>
      <c r="E4606" s="18" t="s">
        <v>6238</v>
      </c>
      <c r="F4606" s="16" t="s">
        <v>6239</v>
      </c>
      <c r="G4606" s="16" t="s">
        <v>88</v>
      </c>
      <c r="H4606" s="19" t="s">
        <v>6294</v>
      </c>
      <c r="I4606" s="23" t="e">
        <f>VLOOKUP(H4606,'合同综合查询数据（3月返）'!$A:$A,1,FALSE)</f>
        <v>#N/A</v>
      </c>
      <c r="J4606" s="24" t="s">
        <v>3074</v>
      </c>
      <c r="K4606" s="16" t="s">
        <v>6295</v>
      </c>
      <c r="L4606" s="25"/>
      <c r="M4606" s="26" t="s">
        <v>6296</v>
      </c>
      <c r="N4606" s="28">
        <v>43541</v>
      </c>
      <c r="O4606" s="28" t="s">
        <v>457</v>
      </c>
      <c r="P4606" s="365">
        <v>6300</v>
      </c>
      <c r="Q4606" s="369">
        <v>1</v>
      </c>
      <c r="R4606" s="36">
        <f t="shared" si="101"/>
        <v>6300</v>
      </c>
      <c r="S4606" s="37">
        <v>202303</v>
      </c>
      <c r="T4606" s="375" t="s">
        <v>6326</v>
      </c>
      <c r="U4606" s="39"/>
      <c r="V4606" s="370"/>
      <c r="W4606" s="41"/>
      <c r="X4606" s="371">
        <v>43497</v>
      </c>
      <c r="Y4606" s="371">
        <v>45688</v>
      </c>
    </row>
    <row r="4607" s="9" customFormat="1" customHeight="1" spans="1:25">
      <c r="A4607" s="16" t="s">
        <v>401</v>
      </c>
      <c r="B4607" s="17" t="s">
        <v>6236</v>
      </c>
      <c r="C4607" s="17" t="s">
        <v>63</v>
      </c>
      <c r="D4607" s="17" t="s">
        <v>6237</v>
      </c>
      <c r="E4607" s="18" t="s">
        <v>6238</v>
      </c>
      <c r="F4607" s="16" t="s">
        <v>6239</v>
      </c>
      <c r="G4607" s="16" t="s">
        <v>88</v>
      </c>
      <c r="H4607" s="19" t="s">
        <v>6294</v>
      </c>
      <c r="I4607" s="23" t="e">
        <f>VLOOKUP(H4607,'合同综合查询数据（3月返）'!$A:$A,1,FALSE)</f>
        <v>#N/A</v>
      </c>
      <c r="J4607" s="24" t="s">
        <v>3074</v>
      </c>
      <c r="K4607" s="16" t="s">
        <v>6295</v>
      </c>
      <c r="L4607" s="25"/>
      <c r="M4607" s="26" t="s">
        <v>6296</v>
      </c>
      <c r="N4607" s="28">
        <v>43735</v>
      </c>
      <c r="O4607" s="28" t="s">
        <v>457</v>
      </c>
      <c r="P4607" s="365">
        <v>6300</v>
      </c>
      <c r="Q4607" s="369">
        <v>3</v>
      </c>
      <c r="R4607" s="36">
        <f t="shared" si="101"/>
        <v>18900</v>
      </c>
      <c r="S4607" s="37">
        <v>202303</v>
      </c>
      <c r="T4607" s="375" t="s">
        <v>6327</v>
      </c>
      <c r="U4607" s="39"/>
      <c r="V4607" s="370"/>
      <c r="W4607" s="41"/>
      <c r="X4607" s="371">
        <v>43497</v>
      </c>
      <c r="Y4607" s="371">
        <v>45688</v>
      </c>
    </row>
    <row r="4608" s="9" customFormat="1" customHeight="1" spans="1:25">
      <c r="A4608" s="16" t="s">
        <v>401</v>
      </c>
      <c r="B4608" s="17" t="s">
        <v>6236</v>
      </c>
      <c r="C4608" s="17" t="s">
        <v>63</v>
      </c>
      <c r="D4608" s="17" t="s">
        <v>6237</v>
      </c>
      <c r="E4608" s="18" t="s">
        <v>6238</v>
      </c>
      <c r="F4608" s="16" t="s">
        <v>6239</v>
      </c>
      <c r="G4608" s="16" t="s">
        <v>88</v>
      </c>
      <c r="H4608" s="19" t="s">
        <v>6294</v>
      </c>
      <c r="I4608" s="23" t="e">
        <f>VLOOKUP(H4608,'合同综合查询数据（3月返）'!$A:$A,1,FALSE)</f>
        <v>#N/A</v>
      </c>
      <c r="J4608" s="24" t="s">
        <v>3074</v>
      </c>
      <c r="K4608" s="16" t="s">
        <v>6295</v>
      </c>
      <c r="L4608" s="25"/>
      <c r="M4608" s="26" t="s">
        <v>6296</v>
      </c>
      <c r="N4608" s="28">
        <v>43755</v>
      </c>
      <c r="O4608" s="28" t="s">
        <v>457</v>
      </c>
      <c r="P4608" s="365">
        <v>6300</v>
      </c>
      <c r="Q4608" s="369">
        <v>5</v>
      </c>
      <c r="R4608" s="36">
        <f t="shared" si="101"/>
        <v>31500</v>
      </c>
      <c r="S4608" s="37">
        <v>202303</v>
      </c>
      <c r="T4608" s="38" t="s">
        <v>6328</v>
      </c>
      <c r="U4608" s="39"/>
      <c r="V4608" s="370"/>
      <c r="W4608" s="41"/>
      <c r="X4608" s="371">
        <v>43497</v>
      </c>
      <c r="Y4608" s="371">
        <v>45688</v>
      </c>
    </row>
    <row r="4609" s="9" customFormat="1" customHeight="1" spans="1:25">
      <c r="A4609" s="16" t="s">
        <v>401</v>
      </c>
      <c r="B4609" s="17" t="s">
        <v>6236</v>
      </c>
      <c r="C4609" s="17" t="s">
        <v>63</v>
      </c>
      <c r="D4609" s="17" t="s">
        <v>6237</v>
      </c>
      <c r="E4609" s="18" t="s">
        <v>6238</v>
      </c>
      <c r="F4609" s="16" t="s">
        <v>6239</v>
      </c>
      <c r="G4609" s="16" t="s">
        <v>88</v>
      </c>
      <c r="H4609" s="19" t="s">
        <v>6294</v>
      </c>
      <c r="I4609" s="23" t="e">
        <f>VLOOKUP(H4609,'合同综合查询数据（3月返）'!$A:$A,1,FALSE)</f>
        <v>#N/A</v>
      </c>
      <c r="J4609" s="24" t="s">
        <v>3074</v>
      </c>
      <c r="K4609" s="16" t="s">
        <v>6295</v>
      </c>
      <c r="L4609" s="25"/>
      <c r="M4609" s="26" t="s">
        <v>6296</v>
      </c>
      <c r="N4609" s="28">
        <v>43757</v>
      </c>
      <c r="O4609" s="28" t="s">
        <v>457</v>
      </c>
      <c r="P4609" s="365">
        <v>6300</v>
      </c>
      <c r="Q4609" s="369">
        <v>12</v>
      </c>
      <c r="R4609" s="36">
        <f t="shared" si="101"/>
        <v>75600</v>
      </c>
      <c r="S4609" s="37">
        <v>202303</v>
      </c>
      <c r="T4609" s="38" t="s">
        <v>6328</v>
      </c>
      <c r="U4609" s="39"/>
      <c r="V4609" s="370"/>
      <c r="W4609" s="41"/>
      <c r="X4609" s="371">
        <v>43497</v>
      </c>
      <c r="Y4609" s="371">
        <v>45688</v>
      </c>
    </row>
    <row r="4610" s="9" customFormat="1" customHeight="1" spans="1:25">
      <c r="A4610" s="16" t="s">
        <v>401</v>
      </c>
      <c r="B4610" s="17" t="s">
        <v>6236</v>
      </c>
      <c r="C4610" s="17" t="s">
        <v>63</v>
      </c>
      <c r="D4610" s="17" t="s">
        <v>6237</v>
      </c>
      <c r="E4610" s="18" t="s">
        <v>6238</v>
      </c>
      <c r="F4610" s="16" t="s">
        <v>6239</v>
      </c>
      <c r="G4610" s="16" t="s">
        <v>88</v>
      </c>
      <c r="H4610" s="19" t="s">
        <v>6294</v>
      </c>
      <c r="I4610" s="23" t="e">
        <f>VLOOKUP(H4610,'合同综合查询数据（3月返）'!$A:$A,1,FALSE)</f>
        <v>#N/A</v>
      </c>
      <c r="J4610" s="24" t="s">
        <v>3074</v>
      </c>
      <c r="K4610" s="16" t="s">
        <v>6295</v>
      </c>
      <c r="L4610" s="25"/>
      <c r="M4610" s="26" t="s">
        <v>6296</v>
      </c>
      <c r="N4610" s="28">
        <v>43774</v>
      </c>
      <c r="O4610" s="28" t="s">
        <v>457</v>
      </c>
      <c r="P4610" s="365">
        <v>6300</v>
      </c>
      <c r="Q4610" s="369">
        <v>6</v>
      </c>
      <c r="R4610" s="36">
        <f t="shared" si="101"/>
        <v>37800</v>
      </c>
      <c r="S4610" s="37">
        <v>202303</v>
      </c>
      <c r="T4610" s="38" t="s">
        <v>6329</v>
      </c>
      <c r="U4610" s="39"/>
      <c r="V4610" s="370"/>
      <c r="W4610" s="41"/>
      <c r="X4610" s="371">
        <v>43497</v>
      </c>
      <c r="Y4610" s="371">
        <v>45688</v>
      </c>
    </row>
    <row r="4611" s="9" customFormat="1" customHeight="1" spans="1:25">
      <c r="A4611" s="16" t="s">
        <v>401</v>
      </c>
      <c r="B4611" s="17" t="s">
        <v>6236</v>
      </c>
      <c r="C4611" s="17" t="s">
        <v>63</v>
      </c>
      <c r="D4611" s="17" t="s">
        <v>6237</v>
      </c>
      <c r="E4611" s="18" t="s">
        <v>6238</v>
      </c>
      <c r="F4611" s="16" t="s">
        <v>6239</v>
      </c>
      <c r="G4611" s="16" t="s">
        <v>88</v>
      </c>
      <c r="H4611" s="19" t="s">
        <v>6294</v>
      </c>
      <c r="I4611" s="23" t="e">
        <f>VLOOKUP(H4611,'合同综合查询数据（3月返）'!$A:$A,1,FALSE)</f>
        <v>#N/A</v>
      </c>
      <c r="J4611" s="24" t="s">
        <v>3074</v>
      </c>
      <c r="K4611" s="16" t="s">
        <v>6295</v>
      </c>
      <c r="L4611" s="25"/>
      <c r="M4611" s="26" t="s">
        <v>6296</v>
      </c>
      <c r="N4611" s="28">
        <v>43780</v>
      </c>
      <c r="O4611" s="28" t="s">
        <v>457</v>
      </c>
      <c r="P4611" s="365">
        <v>6300</v>
      </c>
      <c r="Q4611" s="369">
        <v>15</v>
      </c>
      <c r="R4611" s="36">
        <f t="shared" si="101"/>
        <v>94500</v>
      </c>
      <c r="S4611" s="37">
        <v>202303</v>
      </c>
      <c r="T4611" s="38" t="s">
        <v>6329</v>
      </c>
      <c r="U4611" s="39"/>
      <c r="V4611" s="370"/>
      <c r="W4611" s="41"/>
      <c r="X4611" s="371">
        <v>43497</v>
      </c>
      <c r="Y4611" s="371">
        <v>45688</v>
      </c>
    </row>
    <row r="4612" s="9" customFormat="1" customHeight="1" spans="1:25">
      <c r="A4612" s="16" t="s">
        <v>401</v>
      </c>
      <c r="B4612" s="17" t="s">
        <v>6236</v>
      </c>
      <c r="C4612" s="17" t="s">
        <v>63</v>
      </c>
      <c r="D4612" s="17" t="s">
        <v>6237</v>
      </c>
      <c r="E4612" s="18" t="s">
        <v>6238</v>
      </c>
      <c r="F4612" s="16" t="s">
        <v>6239</v>
      </c>
      <c r="G4612" s="16" t="s">
        <v>88</v>
      </c>
      <c r="H4612" s="19" t="s">
        <v>6294</v>
      </c>
      <c r="I4612" s="23" t="e">
        <f>VLOOKUP(H4612,'合同综合查询数据（3月返）'!$A:$A,1,FALSE)</f>
        <v>#N/A</v>
      </c>
      <c r="J4612" s="24" t="s">
        <v>3074</v>
      </c>
      <c r="K4612" s="16" t="s">
        <v>6295</v>
      </c>
      <c r="L4612" s="25"/>
      <c r="M4612" s="26" t="s">
        <v>6296</v>
      </c>
      <c r="N4612" s="28">
        <v>43781</v>
      </c>
      <c r="O4612" s="28" t="s">
        <v>457</v>
      </c>
      <c r="P4612" s="365">
        <v>6300</v>
      </c>
      <c r="Q4612" s="369">
        <v>6</v>
      </c>
      <c r="R4612" s="36">
        <f t="shared" si="101"/>
        <v>37800</v>
      </c>
      <c r="S4612" s="37">
        <v>202303</v>
      </c>
      <c r="T4612" s="38" t="s">
        <v>6329</v>
      </c>
      <c r="U4612" s="39"/>
      <c r="V4612" s="370"/>
      <c r="W4612" s="41"/>
      <c r="X4612" s="371">
        <v>43497</v>
      </c>
      <c r="Y4612" s="371">
        <v>45688</v>
      </c>
    </row>
    <row r="4613" s="9" customFormat="1" customHeight="1" spans="1:25">
      <c r="A4613" s="16" t="s">
        <v>401</v>
      </c>
      <c r="B4613" s="17" t="s">
        <v>6236</v>
      </c>
      <c r="C4613" s="17" t="s">
        <v>63</v>
      </c>
      <c r="D4613" s="17" t="s">
        <v>6237</v>
      </c>
      <c r="E4613" s="18" t="s">
        <v>6238</v>
      </c>
      <c r="F4613" s="16" t="s">
        <v>6239</v>
      </c>
      <c r="G4613" s="16" t="s">
        <v>88</v>
      </c>
      <c r="H4613" s="19" t="s">
        <v>6294</v>
      </c>
      <c r="I4613" s="23" t="e">
        <f>VLOOKUP(H4613,'合同综合查询数据（3月返）'!$A:$A,1,FALSE)</f>
        <v>#N/A</v>
      </c>
      <c r="J4613" s="24" t="s">
        <v>3074</v>
      </c>
      <c r="K4613" s="16" t="s">
        <v>6295</v>
      </c>
      <c r="L4613" s="25"/>
      <c r="M4613" s="26" t="s">
        <v>6296</v>
      </c>
      <c r="N4613" s="28">
        <v>43784</v>
      </c>
      <c r="O4613" s="28" t="s">
        <v>457</v>
      </c>
      <c r="P4613" s="365">
        <v>6300</v>
      </c>
      <c r="Q4613" s="369">
        <v>11</v>
      </c>
      <c r="R4613" s="36">
        <f t="shared" si="101"/>
        <v>69300</v>
      </c>
      <c r="S4613" s="37">
        <v>202303</v>
      </c>
      <c r="T4613" s="38" t="s">
        <v>6329</v>
      </c>
      <c r="U4613" s="39"/>
      <c r="V4613" s="370"/>
      <c r="W4613" s="41"/>
      <c r="X4613" s="371">
        <v>43497</v>
      </c>
      <c r="Y4613" s="371">
        <v>45688</v>
      </c>
    </row>
    <row r="4614" s="9" customFormat="1" customHeight="1" spans="1:25">
      <c r="A4614" s="16" t="s">
        <v>401</v>
      </c>
      <c r="B4614" s="17" t="s">
        <v>6236</v>
      </c>
      <c r="C4614" s="17" t="s">
        <v>63</v>
      </c>
      <c r="D4614" s="17" t="s">
        <v>6237</v>
      </c>
      <c r="E4614" s="18" t="s">
        <v>6238</v>
      </c>
      <c r="F4614" s="16" t="s">
        <v>6239</v>
      </c>
      <c r="G4614" s="16" t="s">
        <v>88</v>
      </c>
      <c r="H4614" s="19" t="s">
        <v>6294</v>
      </c>
      <c r="I4614" s="23" t="e">
        <f>VLOOKUP(H4614,'合同综合查询数据（3月返）'!$A:$A,1,FALSE)</f>
        <v>#N/A</v>
      </c>
      <c r="J4614" s="24" t="s">
        <v>3074</v>
      </c>
      <c r="K4614" s="16" t="s">
        <v>6295</v>
      </c>
      <c r="L4614" s="25"/>
      <c r="M4614" s="26" t="s">
        <v>6323</v>
      </c>
      <c r="N4614" s="28">
        <v>43805</v>
      </c>
      <c r="O4614" s="28" t="s">
        <v>457</v>
      </c>
      <c r="P4614" s="365">
        <v>6300</v>
      </c>
      <c r="Q4614" s="369">
        <v>12</v>
      </c>
      <c r="R4614" s="36">
        <f t="shared" si="101"/>
        <v>75600</v>
      </c>
      <c r="S4614" s="37">
        <v>202303</v>
      </c>
      <c r="T4614" s="38" t="s">
        <v>6330</v>
      </c>
      <c r="U4614" s="39"/>
      <c r="V4614" s="370"/>
      <c r="W4614" s="41"/>
      <c r="X4614" s="371">
        <v>43497</v>
      </c>
      <c r="Y4614" s="371">
        <v>45688</v>
      </c>
    </row>
    <row r="4615" s="9" customFormat="1" customHeight="1" spans="1:25">
      <c r="A4615" s="16" t="s">
        <v>401</v>
      </c>
      <c r="B4615" s="17" t="s">
        <v>6236</v>
      </c>
      <c r="C4615" s="17" t="s">
        <v>63</v>
      </c>
      <c r="D4615" s="17" t="s">
        <v>6237</v>
      </c>
      <c r="E4615" s="18" t="s">
        <v>6238</v>
      </c>
      <c r="F4615" s="16" t="s">
        <v>6239</v>
      </c>
      <c r="G4615" s="16" t="s">
        <v>88</v>
      </c>
      <c r="H4615" s="19" t="s">
        <v>6294</v>
      </c>
      <c r="I4615" s="23" t="e">
        <f>VLOOKUP(H4615,'合同综合查询数据（3月返）'!$A:$A,1,FALSE)</f>
        <v>#N/A</v>
      </c>
      <c r="J4615" s="24" t="s">
        <v>3074</v>
      </c>
      <c r="K4615" s="16" t="s">
        <v>6295</v>
      </c>
      <c r="L4615" s="25"/>
      <c r="M4615" s="26" t="s">
        <v>6323</v>
      </c>
      <c r="N4615" s="28">
        <v>43823</v>
      </c>
      <c r="O4615" s="28" t="s">
        <v>457</v>
      </c>
      <c r="P4615" s="365">
        <v>6300</v>
      </c>
      <c r="Q4615" s="369">
        <v>3</v>
      </c>
      <c r="R4615" s="36">
        <f t="shared" si="101"/>
        <v>18900</v>
      </c>
      <c r="S4615" s="37">
        <v>202303</v>
      </c>
      <c r="T4615" s="38" t="s">
        <v>6330</v>
      </c>
      <c r="U4615" s="39"/>
      <c r="V4615" s="370"/>
      <c r="W4615" s="41"/>
      <c r="X4615" s="371">
        <v>43497</v>
      </c>
      <c r="Y4615" s="371">
        <v>45688</v>
      </c>
    </row>
    <row r="4616" s="9" customFormat="1" customHeight="1" spans="1:25">
      <c r="A4616" s="16" t="s">
        <v>401</v>
      </c>
      <c r="B4616" s="17" t="s">
        <v>6236</v>
      </c>
      <c r="C4616" s="17" t="s">
        <v>63</v>
      </c>
      <c r="D4616" s="17" t="s">
        <v>6237</v>
      </c>
      <c r="E4616" s="18" t="s">
        <v>6238</v>
      </c>
      <c r="F4616" s="16" t="s">
        <v>6239</v>
      </c>
      <c r="G4616" s="16" t="s">
        <v>88</v>
      </c>
      <c r="H4616" s="19" t="s">
        <v>6294</v>
      </c>
      <c r="I4616" s="23" t="e">
        <f>VLOOKUP(H4616,'合同综合查询数据（3月返）'!$A:$A,1,FALSE)</f>
        <v>#N/A</v>
      </c>
      <c r="J4616" s="24" t="s">
        <v>3074</v>
      </c>
      <c r="K4616" s="16" t="s">
        <v>6295</v>
      </c>
      <c r="L4616" s="25"/>
      <c r="M4616" s="26" t="s">
        <v>6323</v>
      </c>
      <c r="N4616" s="28">
        <v>43837</v>
      </c>
      <c r="O4616" s="28" t="s">
        <v>457</v>
      </c>
      <c r="P4616" s="365">
        <v>6300</v>
      </c>
      <c r="Q4616" s="369">
        <v>12</v>
      </c>
      <c r="R4616" s="36">
        <f t="shared" si="101"/>
        <v>75600</v>
      </c>
      <c r="S4616" s="37">
        <v>202303</v>
      </c>
      <c r="T4616" s="38" t="s">
        <v>6331</v>
      </c>
      <c r="U4616" s="39"/>
      <c r="V4616" s="370"/>
      <c r="W4616" s="41"/>
      <c r="X4616" s="371">
        <v>43497</v>
      </c>
      <c r="Y4616" s="371">
        <v>45688</v>
      </c>
    </row>
    <row r="4617" s="9" customFormat="1" customHeight="1" spans="1:25">
      <c r="A4617" s="16" t="s">
        <v>401</v>
      </c>
      <c r="B4617" s="17" t="s">
        <v>6236</v>
      </c>
      <c r="C4617" s="17" t="s">
        <v>63</v>
      </c>
      <c r="D4617" s="17" t="s">
        <v>6237</v>
      </c>
      <c r="E4617" s="18" t="s">
        <v>6238</v>
      </c>
      <c r="F4617" s="16" t="s">
        <v>6239</v>
      </c>
      <c r="G4617" s="16" t="s">
        <v>88</v>
      </c>
      <c r="H4617" s="19" t="s">
        <v>6294</v>
      </c>
      <c r="I4617" s="23" t="e">
        <f>VLOOKUP(H4617,'合同综合查询数据（3月返）'!$A:$A,1,FALSE)</f>
        <v>#N/A</v>
      </c>
      <c r="J4617" s="24" t="s">
        <v>3074</v>
      </c>
      <c r="K4617" s="16" t="s">
        <v>6295</v>
      </c>
      <c r="L4617" s="25"/>
      <c r="M4617" s="26" t="s">
        <v>6323</v>
      </c>
      <c r="N4617" s="28">
        <v>43847</v>
      </c>
      <c r="O4617" s="28" t="s">
        <v>457</v>
      </c>
      <c r="P4617" s="365">
        <v>6300</v>
      </c>
      <c r="Q4617" s="369">
        <v>18</v>
      </c>
      <c r="R4617" s="36">
        <f t="shared" si="101"/>
        <v>113400</v>
      </c>
      <c r="S4617" s="37">
        <v>202303</v>
      </c>
      <c r="T4617" s="38" t="s">
        <v>6331</v>
      </c>
      <c r="U4617" s="39"/>
      <c r="V4617" s="370"/>
      <c r="W4617" s="41"/>
      <c r="X4617" s="371">
        <v>43497</v>
      </c>
      <c r="Y4617" s="371">
        <v>45688</v>
      </c>
    </row>
    <row r="4618" s="9" customFormat="1" customHeight="1" spans="1:25">
      <c r="A4618" s="16" t="s">
        <v>401</v>
      </c>
      <c r="B4618" s="17" t="s">
        <v>6236</v>
      </c>
      <c r="C4618" s="17" t="s">
        <v>63</v>
      </c>
      <c r="D4618" s="17" t="s">
        <v>6237</v>
      </c>
      <c r="E4618" s="18" t="s">
        <v>6238</v>
      </c>
      <c r="F4618" s="16" t="s">
        <v>6239</v>
      </c>
      <c r="G4618" s="16" t="s">
        <v>78</v>
      </c>
      <c r="H4618" s="19" t="s">
        <v>6294</v>
      </c>
      <c r="I4618" s="23" t="e">
        <f>VLOOKUP(H4618,'合同综合查询数据（3月返）'!$A:$A,1,FALSE)</f>
        <v>#N/A</v>
      </c>
      <c r="J4618" s="24" t="s">
        <v>475</v>
      </c>
      <c r="K4618" s="16" t="s">
        <v>6295</v>
      </c>
      <c r="L4618" s="25"/>
      <c r="M4618" s="26"/>
      <c r="N4618" s="28"/>
      <c r="O4618" s="28"/>
      <c r="P4618" s="365">
        <v>0</v>
      </c>
      <c r="Q4618" s="376">
        <v>0</v>
      </c>
      <c r="R4618" s="173">
        <f t="shared" si="101"/>
        <v>0</v>
      </c>
      <c r="S4618" s="37">
        <v>202303</v>
      </c>
      <c r="T4618" s="38" t="s">
        <v>6332</v>
      </c>
      <c r="U4618" s="39"/>
      <c r="V4618" s="370"/>
      <c r="W4618" s="41"/>
      <c r="X4618" s="371">
        <v>43497</v>
      </c>
      <c r="Y4618" s="371">
        <v>45688</v>
      </c>
    </row>
    <row r="4619" s="9" customFormat="1" customHeight="1" spans="1:25">
      <c r="A4619" s="16" t="s">
        <v>401</v>
      </c>
      <c r="B4619" s="17" t="s">
        <v>6236</v>
      </c>
      <c r="C4619" s="17" t="s">
        <v>63</v>
      </c>
      <c r="D4619" s="17" t="s">
        <v>6237</v>
      </c>
      <c r="E4619" s="18" t="s">
        <v>6238</v>
      </c>
      <c r="F4619" s="16" t="s">
        <v>6239</v>
      </c>
      <c r="G4619" s="16" t="s">
        <v>88</v>
      </c>
      <c r="H4619" s="19" t="s">
        <v>6333</v>
      </c>
      <c r="I4619" s="23" t="e">
        <f>VLOOKUP(H4619,'合同综合查询数据（3月返）'!$A:$A,1,FALSE)</f>
        <v>#N/A</v>
      </c>
      <c r="J4619" s="24" t="s">
        <v>3074</v>
      </c>
      <c r="K4619" s="16" t="s">
        <v>6334</v>
      </c>
      <c r="L4619" s="25"/>
      <c r="M4619" s="26" t="s">
        <v>6296</v>
      </c>
      <c r="N4619" s="28">
        <v>43685</v>
      </c>
      <c r="O4619" s="28" t="s">
        <v>457</v>
      </c>
      <c r="P4619" s="365">
        <v>6300</v>
      </c>
      <c r="Q4619" s="369">
        <v>3</v>
      </c>
      <c r="R4619" s="36">
        <f t="shared" si="101"/>
        <v>18900</v>
      </c>
      <c r="S4619" s="37">
        <v>202303</v>
      </c>
      <c r="T4619" s="38" t="s">
        <v>6335</v>
      </c>
      <c r="U4619" s="39"/>
      <c r="V4619" s="370"/>
      <c r="W4619" s="41"/>
      <c r="X4619" s="371">
        <v>43699</v>
      </c>
      <c r="Y4619" s="371">
        <v>45890</v>
      </c>
    </row>
    <row r="4620" s="9" customFormat="1" customHeight="1" spans="1:25">
      <c r="A4620" s="16" t="s">
        <v>401</v>
      </c>
      <c r="B4620" s="17" t="s">
        <v>6236</v>
      </c>
      <c r="C4620" s="17" t="s">
        <v>63</v>
      </c>
      <c r="D4620" s="17" t="s">
        <v>6237</v>
      </c>
      <c r="E4620" s="18" t="s">
        <v>6238</v>
      </c>
      <c r="F4620" s="16" t="s">
        <v>6239</v>
      </c>
      <c r="G4620" s="16" t="s">
        <v>88</v>
      </c>
      <c r="H4620" s="19" t="s">
        <v>6333</v>
      </c>
      <c r="I4620" s="23" t="e">
        <f>VLOOKUP(H4620,'合同综合查询数据（3月返）'!$A:$A,1,FALSE)</f>
        <v>#N/A</v>
      </c>
      <c r="J4620" s="24" t="s">
        <v>3074</v>
      </c>
      <c r="K4620" s="16" t="s">
        <v>6334</v>
      </c>
      <c r="L4620" s="25"/>
      <c r="M4620" s="26" t="s">
        <v>6296</v>
      </c>
      <c r="N4620" s="28">
        <v>43679</v>
      </c>
      <c r="O4620" s="28" t="s">
        <v>457</v>
      </c>
      <c r="P4620" s="365">
        <v>6300</v>
      </c>
      <c r="Q4620" s="369">
        <v>17</v>
      </c>
      <c r="R4620" s="36">
        <f t="shared" si="101"/>
        <v>107100</v>
      </c>
      <c r="S4620" s="37">
        <v>202303</v>
      </c>
      <c r="T4620" s="38" t="s">
        <v>6335</v>
      </c>
      <c r="U4620" s="39"/>
      <c r="V4620" s="370"/>
      <c r="W4620" s="41"/>
      <c r="X4620" s="371">
        <v>43699</v>
      </c>
      <c r="Y4620" s="371">
        <v>45890</v>
      </c>
    </row>
    <row r="4621" s="9" customFormat="1" customHeight="1" spans="1:25">
      <c r="A4621" s="16" t="s">
        <v>401</v>
      </c>
      <c r="B4621" s="17" t="s">
        <v>6236</v>
      </c>
      <c r="C4621" s="17" t="s">
        <v>63</v>
      </c>
      <c r="D4621" s="17" t="s">
        <v>6237</v>
      </c>
      <c r="E4621" s="18" t="s">
        <v>6238</v>
      </c>
      <c r="F4621" s="16" t="s">
        <v>6239</v>
      </c>
      <c r="G4621" s="16" t="s">
        <v>88</v>
      </c>
      <c r="H4621" s="19" t="s">
        <v>6333</v>
      </c>
      <c r="I4621" s="23" t="e">
        <f>VLOOKUP(H4621,'合同综合查询数据（3月返）'!$A:$A,1,FALSE)</f>
        <v>#N/A</v>
      </c>
      <c r="J4621" s="24" t="s">
        <v>3074</v>
      </c>
      <c r="K4621" s="16" t="s">
        <v>6334</v>
      </c>
      <c r="L4621" s="25"/>
      <c r="M4621" s="26" t="s">
        <v>6296</v>
      </c>
      <c r="N4621" s="28">
        <v>43724</v>
      </c>
      <c r="O4621" s="28" t="s">
        <v>457</v>
      </c>
      <c r="P4621" s="365">
        <v>6300</v>
      </c>
      <c r="Q4621" s="369">
        <v>5</v>
      </c>
      <c r="R4621" s="36">
        <f t="shared" si="101"/>
        <v>31500</v>
      </c>
      <c r="S4621" s="37">
        <v>202303</v>
      </c>
      <c r="T4621" s="38" t="s">
        <v>6336</v>
      </c>
      <c r="U4621" s="39"/>
      <c r="V4621" s="370"/>
      <c r="W4621" s="41"/>
      <c r="X4621" s="371">
        <v>43699</v>
      </c>
      <c r="Y4621" s="371">
        <v>45890</v>
      </c>
    </row>
    <row r="4622" s="9" customFormat="1" customHeight="1" spans="1:25">
      <c r="A4622" s="16" t="s">
        <v>401</v>
      </c>
      <c r="B4622" s="17" t="s">
        <v>6236</v>
      </c>
      <c r="C4622" s="17" t="s">
        <v>63</v>
      </c>
      <c r="D4622" s="17" t="s">
        <v>6237</v>
      </c>
      <c r="E4622" s="18" t="s">
        <v>6238</v>
      </c>
      <c r="F4622" s="16" t="s">
        <v>6239</v>
      </c>
      <c r="G4622" s="16" t="s">
        <v>88</v>
      </c>
      <c r="H4622" s="19" t="s">
        <v>6333</v>
      </c>
      <c r="I4622" s="23" t="e">
        <f>VLOOKUP(H4622,'合同综合查询数据（3月返）'!$A:$A,1,FALSE)</f>
        <v>#N/A</v>
      </c>
      <c r="J4622" s="24" t="s">
        <v>3074</v>
      </c>
      <c r="K4622" s="16" t="s">
        <v>6334</v>
      </c>
      <c r="L4622" s="25"/>
      <c r="M4622" s="26" t="s">
        <v>6296</v>
      </c>
      <c r="N4622" s="28">
        <v>43727</v>
      </c>
      <c r="O4622" s="28" t="s">
        <v>457</v>
      </c>
      <c r="P4622" s="365">
        <v>6300</v>
      </c>
      <c r="Q4622" s="369">
        <v>12</v>
      </c>
      <c r="R4622" s="36">
        <f t="shared" si="101"/>
        <v>75600</v>
      </c>
      <c r="S4622" s="37">
        <v>202303</v>
      </c>
      <c r="T4622" s="38" t="s">
        <v>6336</v>
      </c>
      <c r="U4622" s="39"/>
      <c r="V4622" s="370"/>
      <c r="W4622" s="41"/>
      <c r="X4622" s="371">
        <v>43699</v>
      </c>
      <c r="Y4622" s="371">
        <v>45890</v>
      </c>
    </row>
    <row r="4623" s="9" customFormat="1" customHeight="1" spans="1:25">
      <c r="A4623" s="16" t="s">
        <v>401</v>
      </c>
      <c r="B4623" s="17" t="s">
        <v>6236</v>
      </c>
      <c r="C4623" s="17" t="s">
        <v>63</v>
      </c>
      <c r="D4623" s="17" t="s">
        <v>6237</v>
      </c>
      <c r="E4623" s="18" t="s">
        <v>6238</v>
      </c>
      <c r="F4623" s="16" t="s">
        <v>6239</v>
      </c>
      <c r="G4623" s="16" t="s">
        <v>88</v>
      </c>
      <c r="H4623" s="19" t="s">
        <v>6333</v>
      </c>
      <c r="I4623" s="23" t="e">
        <f>VLOOKUP(H4623,'合同综合查询数据（3月返）'!$A:$A,1,FALSE)</f>
        <v>#N/A</v>
      </c>
      <c r="J4623" s="24" t="s">
        <v>3074</v>
      </c>
      <c r="K4623" s="16" t="s">
        <v>6334</v>
      </c>
      <c r="L4623" s="25"/>
      <c r="M4623" s="26" t="s">
        <v>6296</v>
      </c>
      <c r="N4623" s="28">
        <v>43766</v>
      </c>
      <c r="O4623" s="28" t="s">
        <v>457</v>
      </c>
      <c r="P4623" s="365">
        <v>6300</v>
      </c>
      <c r="Q4623" s="369">
        <v>2</v>
      </c>
      <c r="R4623" s="36">
        <f t="shared" si="101"/>
        <v>12600</v>
      </c>
      <c r="S4623" s="37">
        <v>202303</v>
      </c>
      <c r="T4623" s="38" t="s">
        <v>6329</v>
      </c>
      <c r="U4623" s="39"/>
      <c r="V4623" s="370"/>
      <c r="W4623" s="41"/>
      <c r="X4623" s="371">
        <v>43699</v>
      </c>
      <c r="Y4623" s="371">
        <v>45890</v>
      </c>
    </row>
    <row r="4624" s="9" customFormat="1" customHeight="1" spans="1:25">
      <c r="A4624" s="16" t="s">
        <v>401</v>
      </c>
      <c r="B4624" s="17" t="s">
        <v>6236</v>
      </c>
      <c r="C4624" s="17" t="s">
        <v>63</v>
      </c>
      <c r="D4624" s="17" t="s">
        <v>6237</v>
      </c>
      <c r="E4624" s="18" t="s">
        <v>6238</v>
      </c>
      <c r="F4624" s="16" t="s">
        <v>6239</v>
      </c>
      <c r="G4624" s="16" t="s">
        <v>88</v>
      </c>
      <c r="H4624" s="19" t="s">
        <v>6333</v>
      </c>
      <c r="I4624" s="23" t="e">
        <f>VLOOKUP(H4624,'合同综合查询数据（3月返）'!$A:$A,1,FALSE)</f>
        <v>#N/A</v>
      </c>
      <c r="J4624" s="24" t="s">
        <v>3074</v>
      </c>
      <c r="K4624" s="16" t="s">
        <v>6334</v>
      </c>
      <c r="L4624" s="25"/>
      <c r="M4624" s="26" t="s">
        <v>6296</v>
      </c>
      <c r="N4624" s="28">
        <v>43768</v>
      </c>
      <c r="O4624" s="28" t="s">
        <v>457</v>
      </c>
      <c r="P4624" s="365">
        <v>6300</v>
      </c>
      <c r="Q4624" s="369">
        <v>9</v>
      </c>
      <c r="R4624" s="36">
        <f t="shared" si="101"/>
        <v>56700</v>
      </c>
      <c r="S4624" s="37">
        <v>202303</v>
      </c>
      <c r="T4624" s="38" t="s">
        <v>6329</v>
      </c>
      <c r="U4624" s="39"/>
      <c r="V4624" s="370"/>
      <c r="W4624" s="41"/>
      <c r="X4624" s="371">
        <v>43699</v>
      </c>
      <c r="Y4624" s="371">
        <v>45890</v>
      </c>
    </row>
    <row r="4625" s="9" customFormat="1" customHeight="1" spans="1:25">
      <c r="A4625" s="16" t="s">
        <v>401</v>
      </c>
      <c r="B4625" s="17" t="s">
        <v>6236</v>
      </c>
      <c r="C4625" s="17" t="s">
        <v>63</v>
      </c>
      <c r="D4625" s="17" t="s">
        <v>6237</v>
      </c>
      <c r="E4625" s="18" t="s">
        <v>6238</v>
      </c>
      <c r="F4625" s="16" t="s">
        <v>6239</v>
      </c>
      <c r="G4625" s="16" t="s">
        <v>88</v>
      </c>
      <c r="H4625" s="19" t="s">
        <v>6333</v>
      </c>
      <c r="I4625" s="23" t="e">
        <f>VLOOKUP(H4625,'合同综合查询数据（3月返）'!$A:$A,1,FALSE)</f>
        <v>#N/A</v>
      </c>
      <c r="J4625" s="24" t="s">
        <v>3074</v>
      </c>
      <c r="K4625" s="16" t="s">
        <v>6334</v>
      </c>
      <c r="L4625" s="25"/>
      <c r="M4625" s="26" t="s">
        <v>6296</v>
      </c>
      <c r="N4625" s="28">
        <v>43769</v>
      </c>
      <c r="O4625" s="28" t="s">
        <v>457</v>
      </c>
      <c r="P4625" s="365">
        <v>6300</v>
      </c>
      <c r="Q4625" s="369">
        <v>3</v>
      </c>
      <c r="R4625" s="36">
        <f t="shared" si="101"/>
        <v>18900</v>
      </c>
      <c r="S4625" s="37">
        <v>202303</v>
      </c>
      <c r="T4625" s="38" t="s">
        <v>6329</v>
      </c>
      <c r="U4625" s="39"/>
      <c r="V4625" s="370"/>
      <c r="W4625" s="41"/>
      <c r="X4625" s="371">
        <v>43699</v>
      </c>
      <c r="Y4625" s="371">
        <v>45890</v>
      </c>
    </row>
    <row r="4626" s="9" customFormat="1" customHeight="1" spans="1:25">
      <c r="A4626" s="16" t="s">
        <v>401</v>
      </c>
      <c r="B4626" s="17" t="s">
        <v>6236</v>
      </c>
      <c r="C4626" s="17" t="s">
        <v>63</v>
      </c>
      <c r="D4626" s="17" t="s">
        <v>6237</v>
      </c>
      <c r="E4626" s="18" t="s">
        <v>6238</v>
      </c>
      <c r="F4626" s="16" t="s">
        <v>6239</v>
      </c>
      <c r="G4626" s="16" t="s">
        <v>88</v>
      </c>
      <c r="H4626" s="19" t="s">
        <v>6333</v>
      </c>
      <c r="I4626" s="23" t="e">
        <f>VLOOKUP(H4626,'合同综合查询数据（3月返）'!$A:$A,1,FALSE)</f>
        <v>#N/A</v>
      </c>
      <c r="J4626" s="24" t="s">
        <v>3074</v>
      </c>
      <c r="K4626" s="16" t="s">
        <v>6334</v>
      </c>
      <c r="L4626" s="25"/>
      <c r="M4626" s="26" t="s">
        <v>6296</v>
      </c>
      <c r="N4626" s="28">
        <v>43787</v>
      </c>
      <c r="O4626" s="28" t="s">
        <v>457</v>
      </c>
      <c r="P4626" s="365">
        <v>6300</v>
      </c>
      <c r="Q4626" s="369">
        <v>12</v>
      </c>
      <c r="R4626" s="36">
        <f t="shared" si="101"/>
        <v>75600</v>
      </c>
      <c r="S4626" s="37">
        <v>202303</v>
      </c>
      <c r="T4626" s="38" t="s">
        <v>6329</v>
      </c>
      <c r="U4626" s="39"/>
      <c r="V4626" s="370"/>
      <c r="W4626" s="41"/>
      <c r="X4626" s="371">
        <v>43699</v>
      </c>
      <c r="Y4626" s="371">
        <v>45890</v>
      </c>
    </row>
    <row r="4627" s="9" customFormat="1" customHeight="1" spans="1:25">
      <c r="A4627" s="16" t="s">
        <v>401</v>
      </c>
      <c r="B4627" s="17" t="s">
        <v>6236</v>
      </c>
      <c r="C4627" s="17" t="s">
        <v>63</v>
      </c>
      <c r="D4627" s="17" t="s">
        <v>6237</v>
      </c>
      <c r="E4627" s="18" t="s">
        <v>6238</v>
      </c>
      <c r="F4627" s="16" t="s">
        <v>6239</v>
      </c>
      <c r="G4627" s="16" t="s">
        <v>88</v>
      </c>
      <c r="H4627" s="19" t="s">
        <v>6333</v>
      </c>
      <c r="I4627" s="23" t="e">
        <f>VLOOKUP(H4627,'合同综合查询数据（3月返）'!$A:$A,1,FALSE)</f>
        <v>#N/A</v>
      </c>
      <c r="J4627" s="24" t="s">
        <v>3074</v>
      </c>
      <c r="K4627" s="16" t="s">
        <v>6334</v>
      </c>
      <c r="L4627" s="25"/>
      <c r="M4627" s="26" t="s">
        <v>6323</v>
      </c>
      <c r="N4627" s="28">
        <v>43805</v>
      </c>
      <c r="O4627" s="28" t="s">
        <v>457</v>
      </c>
      <c r="P4627" s="365">
        <v>6300</v>
      </c>
      <c r="Q4627" s="369">
        <v>12</v>
      </c>
      <c r="R4627" s="36">
        <f t="shared" si="101"/>
        <v>75600</v>
      </c>
      <c r="S4627" s="37">
        <v>202303</v>
      </c>
      <c r="T4627" s="38" t="s">
        <v>6330</v>
      </c>
      <c r="U4627" s="39"/>
      <c r="V4627" s="370"/>
      <c r="W4627" s="41"/>
      <c r="X4627" s="371">
        <v>43699</v>
      </c>
      <c r="Y4627" s="371">
        <v>45890</v>
      </c>
    </row>
    <row r="4628" s="9" customFormat="1" customHeight="1" spans="1:25">
      <c r="A4628" s="16" t="s">
        <v>401</v>
      </c>
      <c r="B4628" s="17" t="s">
        <v>6236</v>
      </c>
      <c r="C4628" s="17" t="s">
        <v>63</v>
      </c>
      <c r="D4628" s="17" t="s">
        <v>6237</v>
      </c>
      <c r="E4628" s="18" t="s">
        <v>6238</v>
      </c>
      <c r="F4628" s="16" t="s">
        <v>6239</v>
      </c>
      <c r="G4628" s="16" t="s">
        <v>88</v>
      </c>
      <c r="H4628" s="19" t="s">
        <v>6333</v>
      </c>
      <c r="I4628" s="23" t="e">
        <f>VLOOKUP(H4628,'合同综合查询数据（3月返）'!$A:$A,1,FALSE)</f>
        <v>#N/A</v>
      </c>
      <c r="J4628" s="24" t="s">
        <v>3074</v>
      </c>
      <c r="K4628" s="16" t="s">
        <v>6334</v>
      </c>
      <c r="L4628" s="25"/>
      <c r="M4628" s="26" t="s">
        <v>6323</v>
      </c>
      <c r="N4628" s="28">
        <v>43812</v>
      </c>
      <c r="O4628" s="28" t="s">
        <v>457</v>
      </c>
      <c r="P4628" s="365">
        <v>6300</v>
      </c>
      <c r="Q4628" s="369">
        <v>3</v>
      </c>
      <c r="R4628" s="36">
        <f t="shared" ref="R4628:R4691" si="102">ROUND(P4628*Q4628,2)</f>
        <v>18900</v>
      </c>
      <c r="S4628" s="37">
        <v>202303</v>
      </c>
      <c r="T4628" s="38" t="s">
        <v>6330</v>
      </c>
      <c r="U4628" s="39"/>
      <c r="V4628" s="370"/>
      <c r="W4628" s="41"/>
      <c r="X4628" s="371">
        <v>43699</v>
      </c>
      <c r="Y4628" s="371">
        <v>45890</v>
      </c>
    </row>
    <row r="4629" s="9" customFormat="1" customHeight="1" spans="1:25">
      <c r="A4629" s="16" t="s">
        <v>401</v>
      </c>
      <c r="B4629" s="17" t="s">
        <v>6236</v>
      </c>
      <c r="C4629" s="17" t="s">
        <v>63</v>
      </c>
      <c r="D4629" s="17" t="s">
        <v>6237</v>
      </c>
      <c r="E4629" s="18" t="s">
        <v>6238</v>
      </c>
      <c r="F4629" s="16" t="s">
        <v>6239</v>
      </c>
      <c r="G4629" s="16" t="s">
        <v>88</v>
      </c>
      <c r="H4629" s="19" t="s">
        <v>6333</v>
      </c>
      <c r="I4629" s="23" t="e">
        <f>VLOOKUP(H4629,'合同综合查询数据（3月返）'!$A:$A,1,FALSE)</f>
        <v>#N/A</v>
      </c>
      <c r="J4629" s="24" t="s">
        <v>3074</v>
      </c>
      <c r="K4629" s="16" t="s">
        <v>6334</v>
      </c>
      <c r="L4629" s="25"/>
      <c r="M4629" s="26" t="s">
        <v>6323</v>
      </c>
      <c r="N4629" s="28">
        <v>43830</v>
      </c>
      <c r="O4629" s="28" t="s">
        <v>457</v>
      </c>
      <c r="P4629" s="365">
        <v>6300</v>
      </c>
      <c r="Q4629" s="369">
        <v>1</v>
      </c>
      <c r="R4629" s="36">
        <f t="shared" si="102"/>
        <v>6300</v>
      </c>
      <c r="S4629" s="37">
        <v>202303</v>
      </c>
      <c r="T4629" s="38" t="s">
        <v>6337</v>
      </c>
      <c r="U4629" s="39"/>
      <c r="V4629" s="370"/>
      <c r="W4629" s="41"/>
      <c r="X4629" s="371">
        <v>43699</v>
      </c>
      <c r="Y4629" s="371">
        <v>45890</v>
      </c>
    </row>
    <row r="4630" s="9" customFormat="1" customHeight="1" spans="1:25">
      <c r="A4630" s="16" t="s">
        <v>401</v>
      </c>
      <c r="B4630" s="17" t="s">
        <v>6236</v>
      </c>
      <c r="C4630" s="17" t="s">
        <v>63</v>
      </c>
      <c r="D4630" s="17" t="s">
        <v>6237</v>
      </c>
      <c r="E4630" s="18" t="s">
        <v>6238</v>
      </c>
      <c r="F4630" s="16" t="s">
        <v>6239</v>
      </c>
      <c r="G4630" s="16" t="s">
        <v>88</v>
      </c>
      <c r="H4630" s="19" t="s">
        <v>6333</v>
      </c>
      <c r="I4630" s="23" t="e">
        <f>VLOOKUP(H4630,'合同综合查询数据（3月返）'!$A:$A,1,FALSE)</f>
        <v>#N/A</v>
      </c>
      <c r="J4630" s="24" t="s">
        <v>3074</v>
      </c>
      <c r="K4630" s="16" t="s">
        <v>6334</v>
      </c>
      <c r="L4630" s="25"/>
      <c r="M4630" s="26" t="s">
        <v>6297</v>
      </c>
      <c r="N4630" s="28">
        <v>43885</v>
      </c>
      <c r="O4630" s="28" t="s">
        <v>457</v>
      </c>
      <c r="P4630" s="365">
        <v>6300</v>
      </c>
      <c r="Q4630" s="369">
        <v>6</v>
      </c>
      <c r="R4630" s="36">
        <f t="shared" si="102"/>
        <v>37800</v>
      </c>
      <c r="S4630" s="37">
        <v>202303</v>
      </c>
      <c r="T4630" s="38" t="s">
        <v>6331</v>
      </c>
      <c r="U4630" s="39"/>
      <c r="V4630" s="370"/>
      <c r="W4630" s="41"/>
      <c r="X4630" s="371">
        <v>43699</v>
      </c>
      <c r="Y4630" s="371">
        <v>45890</v>
      </c>
    </row>
    <row r="4631" s="9" customFormat="1" customHeight="1" spans="1:25">
      <c r="A4631" s="16" t="s">
        <v>401</v>
      </c>
      <c r="B4631" s="17" t="s">
        <v>6236</v>
      </c>
      <c r="C4631" s="17" t="s">
        <v>63</v>
      </c>
      <c r="D4631" s="17" t="s">
        <v>6237</v>
      </c>
      <c r="E4631" s="18" t="s">
        <v>6238</v>
      </c>
      <c r="F4631" s="16" t="s">
        <v>6239</v>
      </c>
      <c r="G4631" s="16" t="s">
        <v>88</v>
      </c>
      <c r="H4631" s="19" t="s">
        <v>6333</v>
      </c>
      <c r="I4631" s="23" t="e">
        <f>VLOOKUP(H4631,'合同综合查询数据（3月返）'!$A:$A,1,FALSE)</f>
        <v>#N/A</v>
      </c>
      <c r="J4631" s="24" t="s">
        <v>3074</v>
      </c>
      <c r="K4631" s="16" t="s">
        <v>6334</v>
      </c>
      <c r="L4631" s="25"/>
      <c r="M4631" s="26" t="s">
        <v>6323</v>
      </c>
      <c r="N4631" s="28">
        <v>43699</v>
      </c>
      <c r="O4631" s="28" t="s">
        <v>457</v>
      </c>
      <c r="P4631" s="365">
        <v>6300</v>
      </c>
      <c r="Q4631" s="369">
        <v>69</v>
      </c>
      <c r="R4631" s="36">
        <f t="shared" si="102"/>
        <v>434700</v>
      </c>
      <c r="S4631" s="37">
        <v>202303</v>
      </c>
      <c r="T4631" s="38"/>
      <c r="U4631" s="39"/>
      <c r="V4631" s="370"/>
      <c r="W4631" s="41"/>
      <c r="X4631" s="371">
        <v>43699</v>
      </c>
      <c r="Y4631" s="371">
        <v>45890</v>
      </c>
    </row>
    <row r="4632" s="9" customFormat="1" customHeight="1" spans="1:25">
      <c r="A4632" s="16" t="s">
        <v>401</v>
      </c>
      <c r="B4632" s="17" t="s">
        <v>6236</v>
      </c>
      <c r="C4632" s="17" t="s">
        <v>63</v>
      </c>
      <c r="D4632" s="17" t="s">
        <v>6237</v>
      </c>
      <c r="E4632" s="18" t="s">
        <v>6238</v>
      </c>
      <c r="F4632" s="16" t="s">
        <v>6239</v>
      </c>
      <c r="G4632" s="16" t="s">
        <v>88</v>
      </c>
      <c r="H4632" s="19" t="s">
        <v>6333</v>
      </c>
      <c r="I4632" s="23" t="e">
        <f>VLOOKUP(H4632,'合同综合查询数据（3月返）'!$A:$A,1,FALSE)</f>
        <v>#N/A</v>
      </c>
      <c r="J4632" s="24" t="s">
        <v>3074</v>
      </c>
      <c r="K4632" s="16" t="s">
        <v>6334</v>
      </c>
      <c r="L4632" s="25"/>
      <c r="M4632" s="26" t="s">
        <v>6297</v>
      </c>
      <c r="N4632" s="28">
        <v>43885</v>
      </c>
      <c r="O4632" s="28" t="s">
        <v>457</v>
      </c>
      <c r="P4632" s="365">
        <v>6300</v>
      </c>
      <c r="Q4632" s="369">
        <v>271</v>
      </c>
      <c r="R4632" s="36">
        <f t="shared" si="102"/>
        <v>1707300</v>
      </c>
      <c r="S4632" s="37">
        <v>202303</v>
      </c>
      <c r="T4632" s="38"/>
      <c r="U4632" s="39"/>
      <c r="V4632" s="370"/>
      <c r="W4632" s="41"/>
      <c r="X4632" s="371">
        <v>43699</v>
      </c>
      <c r="Y4632" s="371">
        <v>45890</v>
      </c>
    </row>
    <row r="4633" s="9" customFormat="1" customHeight="1" spans="1:25">
      <c r="A4633" s="16" t="s">
        <v>401</v>
      </c>
      <c r="B4633" s="17" t="s">
        <v>6236</v>
      </c>
      <c r="C4633" s="17" t="s">
        <v>63</v>
      </c>
      <c r="D4633" s="17" t="s">
        <v>6237</v>
      </c>
      <c r="E4633" s="18" t="s">
        <v>6238</v>
      </c>
      <c r="F4633" s="16" t="s">
        <v>6239</v>
      </c>
      <c r="G4633" s="16" t="s">
        <v>88</v>
      </c>
      <c r="H4633" s="19" t="s">
        <v>6333</v>
      </c>
      <c r="I4633" s="23" t="e">
        <f>VLOOKUP(H4633,'合同综合查询数据（3月返）'!$A:$A,1,FALSE)</f>
        <v>#N/A</v>
      </c>
      <c r="J4633" s="24" t="s">
        <v>3074</v>
      </c>
      <c r="K4633" s="16" t="s">
        <v>6334</v>
      </c>
      <c r="L4633" s="25"/>
      <c r="M4633" s="26" t="s">
        <v>6297</v>
      </c>
      <c r="N4633" s="28">
        <v>43910</v>
      </c>
      <c r="O4633" s="28" t="s">
        <v>457</v>
      </c>
      <c r="P4633" s="365">
        <v>6300</v>
      </c>
      <c r="Q4633" s="369">
        <v>33</v>
      </c>
      <c r="R4633" s="36">
        <f t="shared" si="102"/>
        <v>207900</v>
      </c>
      <c r="S4633" s="37">
        <v>202303</v>
      </c>
      <c r="T4633" s="38"/>
      <c r="U4633" s="39"/>
      <c r="V4633" s="370"/>
      <c r="W4633" s="41"/>
      <c r="X4633" s="371">
        <v>43699</v>
      </c>
      <c r="Y4633" s="371">
        <v>45890</v>
      </c>
    </row>
    <row r="4634" s="9" customFormat="1" customHeight="1" spans="1:25">
      <c r="A4634" s="16" t="s">
        <v>401</v>
      </c>
      <c r="B4634" s="17" t="s">
        <v>6236</v>
      </c>
      <c r="C4634" s="17" t="s">
        <v>63</v>
      </c>
      <c r="D4634" s="17" t="s">
        <v>6237</v>
      </c>
      <c r="E4634" s="18" t="s">
        <v>6238</v>
      </c>
      <c r="F4634" s="16" t="s">
        <v>6239</v>
      </c>
      <c r="G4634" s="16" t="s">
        <v>88</v>
      </c>
      <c r="H4634" s="19" t="s">
        <v>6333</v>
      </c>
      <c r="I4634" s="23" t="e">
        <f>VLOOKUP(H4634,'合同综合查询数据（3月返）'!$A:$A,1,FALSE)</f>
        <v>#N/A</v>
      </c>
      <c r="J4634" s="24" t="s">
        <v>3074</v>
      </c>
      <c r="K4634" s="16" t="s">
        <v>6334</v>
      </c>
      <c r="L4634" s="25"/>
      <c r="M4634" s="26" t="s">
        <v>6297</v>
      </c>
      <c r="N4634" s="28">
        <v>43936</v>
      </c>
      <c r="O4634" s="28" t="s">
        <v>457</v>
      </c>
      <c r="P4634" s="365">
        <v>6300</v>
      </c>
      <c r="Q4634" s="369">
        <v>6</v>
      </c>
      <c r="R4634" s="36">
        <f t="shared" si="102"/>
        <v>37800</v>
      </c>
      <c r="S4634" s="37">
        <v>202303</v>
      </c>
      <c r="T4634" s="375" t="s">
        <v>6338</v>
      </c>
      <c r="U4634" s="39"/>
      <c r="V4634" s="370"/>
      <c r="W4634" s="41"/>
      <c r="X4634" s="371">
        <v>43699</v>
      </c>
      <c r="Y4634" s="371">
        <v>45890</v>
      </c>
    </row>
    <row r="4635" s="9" customFormat="1" customHeight="1" spans="1:25">
      <c r="A4635" s="16" t="s">
        <v>401</v>
      </c>
      <c r="B4635" s="17" t="s">
        <v>6236</v>
      </c>
      <c r="C4635" s="17" t="s">
        <v>63</v>
      </c>
      <c r="D4635" s="17" t="s">
        <v>6237</v>
      </c>
      <c r="E4635" s="18" t="s">
        <v>6238</v>
      </c>
      <c r="F4635" s="16" t="s">
        <v>6239</v>
      </c>
      <c r="G4635" s="16" t="s">
        <v>88</v>
      </c>
      <c r="H4635" s="19" t="s">
        <v>6333</v>
      </c>
      <c r="I4635" s="23" t="e">
        <f>VLOOKUP(H4635,'合同综合查询数据（3月返）'!$A:$A,1,FALSE)</f>
        <v>#N/A</v>
      </c>
      <c r="J4635" s="24" t="s">
        <v>3074</v>
      </c>
      <c r="K4635" s="16" t="s">
        <v>6334</v>
      </c>
      <c r="L4635" s="25"/>
      <c r="M4635" s="26" t="s">
        <v>6297</v>
      </c>
      <c r="N4635" s="28">
        <v>43942</v>
      </c>
      <c r="O4635" s="28" t="s">
        <v>457</v>
      </c>
      <c r="P4635" s="365">
        <v>6300</v>
      </c>
      <c r="Q4635" s="369">
        <v>5</v>
      </c>
      <c r="R4635" s="36">
        <f t="shared" si="102"/>
        <v>31500</v>
      </c>
      <c r="S4635" s="37">
        <v>202303</v>
      </c>
      <c r="T4635" s="38"/>
      <c r="U4635" s="39"/>
      <c r="V4635" s="370"/>
      <c r="W4635" s="41"/>
      <c r="X4635" s="371">
        <v>43699</v>
      </c>
      <c r="Y4635" s="371">
        <v>45890</v>
      </c>
    </row>
    <row r="4636" s="9" customFormat="1" customHeight="1" spans="1:25">
      <c r="A4636" s="16" t="s">
        <v>401</v>
      </c>
      <c r="B4636" s="17" t="s">
        <v>6236</v>
      </c>
      <c r="C4636" s="17" t="s">
        <v>63</v>
      </c>
      <c r="D4636" s="17" t="s">
        <v>6237</v>
      </c>
      <c r="E4636" s="18" t="s">
        <v>6238</v>
      </c>
      <c r="F4636" s="16" t="s">
        <v>6239</v>
      </c>
      <c r="G4636" s="16" t="s">
        <v>88</v>
      </c>
      <c r="H4636" s="19" t="s">
        <v>6333</v>
      </c>
      <c r="I4636" s="23" t="e">
        <f>VLOOKUP(H4636,'合同综合查询数据（3月返）'!$A:$A,1,FALSE)</f>
        <v>#N/A</v>
      </c>
      <c r="J4636" s="24" t="s">
        <v>3074</v>
      </c>
      <c r="K4636" s="16" t="s">
        <v>6334</v>
      </c>
      <c r="L4636" s="25"/>
      <c r="M4636" s="26" t="s">
        <v>6297</v>
      </c>
      <c r="N4636" s="28">
        <v>43944</v>
      </c>
      <c r="O4636" s="28" t="s">
        <v>457</v>
      </c>
      <c r="P4636" s="365">
        <v>6300</v>
      </c>
      <c r="Q4636" s="369">
        <v>2</v>
      </c>
      <c r="R4636" s="36">
        <f t="shared" si="102"/>
        <v>12600</v>
      </c>
      <c r="S4636" s="37">
        <v>202303</v>
      </c>
      <c r="T4636" s="38" t="s">
        <v>6339</v>
      </c>
      <c r="U4636" s="39"/>
      <c r="V4636" s="370"/>
      <c r="W4636" s="41"/>
      <c r="X4636" s="371">
        <v>43699</v>
      </c>
      <c r="Y4636" s="371">
        <v>45890</v>
      </c>
    </row>
    <row r="4637" s="9" customFormat="1" customHeight="1" spans="1:25">
      <c r="A4637" s="16" t="s">
        <v>401</v>
      </c>
      <c r="B4637" s="17" t="s">
        <v>6236</v>
      </c>
      <c r="C4637" s="17" t="s">
        <v>63</v>
      </c>
      <c r="D4637" s="17" t="s">
        <v>6237</v>
      </c>
      <c r="E4637" s="18" t="s">
        <v>6238</v>
      </c>
      <c r="F4637" s="16" t="s">
        <v>6239</v>
      </c>
      <c r="G4637" s="16" t="s">
        <v>88</v>
      </c>
      <c r="H4637" s="19" t="s">
        <v>6333</v>
      </c>
      <c r="I4637" s="23" t="e">
        <f>VLOOKUP(H4637,'合同综合查询数据（3月返）'!$A:$A,1,FALSE)</f>
        <v>#N/A</v>
      </c>
      <c r="J4637" s="24" t="s">
        <v>3074</v>
      </c>
      <c r="K4637" s="16" t="s">
        <v>6334</v>
      </c>
      <c r="L4637" s="25"/>
      <c r="M4637" s="26" t="s">
        <v>6297</v>
      </c>
      <c r="N4637" s="28">
        <v>43948</v>
      </c>
      <c r="O4637" s="28" t="s">
        <v>457</v>
      </c>
      <c r="P4637" s="365">
        <v>6300</v>
      </c>
      <c r="Q4637" s="369">
        <v>1</v>
      </c>
      <c r="R4637" s="36">
        <f t="shared" si="102"/>
        <v>6300</v>
      </c>
      <c r="S4637" s="37">
        <v>202303</v>
      </c>
      <c r="T4637" s="375" t="s">
        <v>6340</v>
      </c>
      <c r="U4637" s="39"/>
      <c r="V4637" s="370"/>
      <c r="W4637" s="41"/>
      <c r="X4637" s="371">
        <v>43699</v>
      </c>
      <c r="Y4637" s="371">
        <v>45890</v>
      </c>
    </row>
    <row r="4638" s="9" customFormat="1" customHeight="1" spans="1:25">
      <c r="A4638" s="16" t="s">
        <v>401</v>
      </c>
      <c r="B4638" s="17" t="s">
        <v>6236</v>
      </c>
      <c r="C4638" s="17" t="s">
        <v>63</v>
      </c>
      <c r="D4638" s="17" t="s">
        <v>6237</v>
      </c>
      <c r="E4638" s="18" t="s">
        <v>6238</v>
      </c>
      <c r="F4638" s="16" t="s">
        <v>6239</v>
      </c>
      <c r="G4638" s="16" t="s">
        <v>88</v>
      </c>
      <c r="H4638" s="19" t="s">
        <v>6333</v>
      </c>
      <c r="I4638" s="23" t="e">
        <f>VLOOKUP(H4638,'合同综合查询数据（3月返）'!$A:$A,1,FALSE)</f>
        <v>#N/A</v>
      </c>
      <c r="J4638" s="24" t="s">
        <v>3074</v>
      </c>
      <c r="K4638" s="16" t="s">
        <v>6334</v>
      </c>
      <c r="L4638" s="25"/>
      <c r="M4638" s="26" t="s">
        <v>6297</v>
      </c>
      <c r="N4638" s="28">
        <v>44211</v>
      </c>
      <c r="O4638" s="28" t="s">
        <v>457</v>
      </c>
      <c r="P4638" s="365">
        <v>6300</v>
      </c>
      <c r="Q4638" s="369">
        <v>5</v>
      </c>
      <c r="R4638" s="36">
        <f t="shared" si="102"/>
        <v>31500</v>
      </c>
      <c r="S4638" s="37">
        <v>202303</v>
      </c>
      <c r="T4638" s="375" t="s">
        <v>6341</v>
      </c>
      <c r="U4638" s="39"/>
      <c r="V4638" s="370"/>
      <c r="W4638" s="41"/>
      <c r="X4638" s="371">
        <v>43699</v>
      </c>
      <c r="Y4638" s="371">
        <v>45890</v>
      </c>
    </row>
    <row r="4639" s="9" customFormat="1" customHeight="1" spans="1:25">
      <c r="A4639" s="16" t="s">
        <v>401</v>
      </c>
      <c r="B4639" s="17" t="s">
        <v>6236</v>
      </c>
      <c r="C4639" s="17" t="s">
        <v>63</v>
      </c>
      <c r="D4639" s="17" t="s">
        <v>6237</v>
      </c>
      <c r="E4639" s="18" t="s">
        <v>6238</v>
      </c>
      <c r="F4639" s="16" t="s">
        <v>6239</v>
      </c>
      <c r="G4639" s="16" t="s">
        <v>88</v>
      </c>
      <c r="H4639" s="19" t="s">
        <v>6333</v>
      </c>
      <c r="I4639" s="23" t="e">
        <f>VLOOKUP(H4639,'合同综合查询数据（3月返）'!$A:$A,1,FALSE)</f>
        <v>#N/A</v>
      </c>
      <c r="J4639" s="24" t="s">
        <v>3074</v>
      </c>
      <c r="K4639" s="16" t="s">
        <v>6334</v>
      </c>
      <c r="L4639" s="25"/>
      <c r="M4639" s="26" t="s">
        <v>6297</v>
      </c>
      <c r="N4639" s="28">
        <v>44225</v>
      </c>
      <c r="O4639" s="28" t="s">
        <v>457</v>
      </c>
      <c r="P4639" s="365">
        <v>6300</v>
      </c>
      <c r="Q4639" s="369">
        <v>4</v>
      </c>
      <c r="R4639" s="36">
        <f t="shared" si="102"/>
        <v>25200</v>
      </c>
      <c r="S4639" s="37">
        <v>202303</v>
      </c>
      <c r="T4639" s="375" t="s">
        <v>6342</v>
      </c>
      <c r="U4639" s="39"/>
      <c r="V4639" s="370"/>
      <c r="W4639" s="41"/>
      <c r="X4639" s="371">
        <v>43699</v>
      </c>
      <c r="Y4639" s="371">
        <v>45890</v>
      </c>
    </row>
    <row r="4640" s="9" customFormat="1" customHeight="1" spans="1:25">
      <c r="A4640" s="16" t="s">
        <v>401</v>
      </c>
      <c r="B4640" s="17" t="s">
        <v>6236</v>
      </c>
      <c r="C4640" s="17" t="s">
        <v>63</v>
      </c>
      <c r="D4640" s="17" t="s">
        <v>6237</v>
      </c>
      <c r="E4640" s="18" t="s">
        <v>6238</v>
      </c>
      <c r="F4640" s="16" t="s">
        <v>6239</v>
      </c>
      <c r="G4640" s="16" t="s">
        <v>88</v>
      </c>
      <c r="H4640" s="19" t="s">
        <v>6333</v>
      </c>
      <c r="I4640" s="23" t="e">
        <f>VLOOKUP(H4640,'合同综合查询数据（3月返）'!$A:$A,1,FALSE)</f>
        <v>#N/A</v>
      </c>
      <c r="J4640" s="24" t="s">
        <v>3074</v>
      </c>
      <c r="K4640" s="16" t="s">
        <v>6334</v>
      </c>
      <c r="L4640" s="25"/>
      <c r="M4640" s="26" t="s">
        <v>6297</v>
      </c>
      <c r="N4640" s="28">
        <v>44227</v>
      </c>
      <c r="O4640" s="28" t="s">
        <v>457</v>
      </c>
      <c r="P4640" s="365">
        <v>6300</v>
      </c>
      <c r="Q4640" s="369">
        <v>1</v>
      </c>
      <c r="R4640" s="36">
        <f t="shared" si="102"/>
        <v>6300</v>
      </c>
      <c r="S4640" s="37">
        <v>202303</v>
      </c>
      <c r="T4640" s="375" t="s">
        <v>6343</v>
      </c>
      <c r="U4640" s="39"/>
      <c r="V4640" s="370"/>
      <c r="W4640" s="41"/>
      <c r="X4640" s="371">
        <v>43699</v>
      </c>
      <c r="Y4640" s="371">
        <v>45890</v>
      </c>
    </row>
    <row r="4641" s="9" customFormat="1" customHeight="1" spans="1:25">
      <c r="A4641" s="16" t="s">
        <v>401</v>
      </c>
      <c r="B4641" s="17" t="s">
        <v>6236</v>
      </c>
      <c r="C4641" s="17" t="s">
        <v>63</v>
      </c>
      <c r="D4641" s="17" t="s">
        <v>6237</v>
      </c>
      <c r="E4641" s="18" t="s">
        <v>6238</v>
      </c>
      <c r="F4641" s="16" t="s">
        <v>6239</v>
      </c>
      <c r="G4641" s="16" t="s">
        <v>88</v>
      </c>
      <c r="H4641" s="19" t="s">
        <v>6333</v>
      </c>
      <c r="I4641" s="23" t="e">
        <f>VLOOKUP(H4641,'合同综合查询数据（3月返）'!$A:$A,1,FALSE)</f>
        <v>#N/A</v>
      </c>
      <c r="J4641" s="24" t="s">
        <v>3074</v>
      </c>
      <c r="K4641" s="16" t="s">
        <v>6334</v>
      </c>
      <c r="L4641" s="25"/>
      <c r="M4641" s="26" t="s">
        <v>6297</v>
      </c>
      <c r="N4641" s="28">
        <v>44347</v>
      </c>
      <c r="O4641" s="28" t="s">
        <v>457</v>
      </c>
      <c r="P4641" s="365">
        <v>6300</v>
      </c>
      <c r="Q4641" s="369">
        <v>3</v>
      </c>
      <c r="R4641" s="36">
        <f t="shared" si="102"/>
        <v>18900</v>
      </c>
      <c r="S4641" s="37">
        <v>202303</v>
      </c>
      <c r="T4641" s="375" t="s">
        <v>6344</v>
      </c>
      <c r="U4641" s="39"/>
      <c r="V4641" s="370"/>
      <c r="W4641" s="41"/>
      <c r="X4641" s="371">
        <v>43699</v>
      </c>
      <c r="Y4641" s="371">
        <v>45890</v>
      </c>
    </row>
    <row r="4642" s="9" customFormat="1" customHeight="1" spans="1:25">
      <c r="A4642" s="16" t="s">
        <v>401</v>
      </c>
      <c r="B4642" s="17" t="s">
        <v>6236</v>
      </c>
      <c r="C4642" s="17" t="s">
        <v>63</v>
      </c>
      <c r="D4642" s="17" t="s">
        <v>6237</v>
      </c>
      <c r="E4642" s="18" t="s">
        <v>6238</v>
      </c>
      <c r="F4642" s="16" t="s">
        <v>6239</v>
      </c>
      <c r="G4642" s="16" t="s">
        <v>78</v>
      </c>
      <c r="H4642" s="19" t="s">
        <v>6333</v>
      </c>
      <c r="I4642" s="23" t="e">
        <f>VLOOKUP(H4642,'合同综合查询数据（3月返）'!$A:$A,1,FALSE)</f>
        <v>#N/A</v>
      </c>
      <c r="J4642" s="24" t="s">
        <v>475</v>
      </c>
      <c r="K4642" s="16" t="s">
        <v>6334</v>
      </c>
      <c r="L4642" s="25"/>
      <c r="M4642" s="26"/>
      <c r="N4642" s="28"/>
      <c r="O4642" s="28"/>
      <c r="P4642" s="365">
        <v>3150</v>
      </c>
      <c r="Q4642" s="377">
        <v>0</v>
      </c>
      <c r="R4642" s="378">
        <f t="shared" si="102"/>
        <v>0</v>
      </c>
      <c r="S4642" s="37">
        <v>202303</v>
      </c>
      <c r="T4642" s="38" t="s">
        <v>6345</v>
      </c>
      <c r="U4642" s="39"/>
      <c r="V4642" s="370"/>
      <c r="W4642" s="41"/>
      <c r="X4642" s="371">
        <v>43699</v>
      </c>
      <c r="Y4642" s="371">
        <v>45890</v>
      </c>
    </row>
    <row r="4643" s="9" customFormat="1" customHeight="1" spans="1:25">
      <c r="A4643" s="16" t="s">
        <v>401</v>
      </c>
      <c r="B4643" s="17" t="s">
        <v>6236</v>
      </c>
      <c r="C4643" s="17" t="s">
        <v>63</v>
      </c>
      <c r="D4643" s="17" t="s">
        <v>6237</v>
      </c>
      <c r="E4643" s="18" t="s">
        <v>6238</v>
      </c>
      <c r="F4643" s="16" t="s">
        <v>6239</v>
      </c>
      <c r="G4643" s="16" t="s">
        <v>88</v>
      </c>
      <c r="H4643" s="19" t="s">
        <v>6346</v>
      </c>
      <c r="I4643" s="23" t="e">
        <f>VLOOKUP(H4643,'合同综合查询数据（3月返）'!$A:$A,1,FALSE)</f>
        <v>#N/A</v>
      </c>
      <c r="J4643" s="24" t="s">
        <v>3074</v>
      </c>
      <c r="K4643" s="16" t="s">
        <v>6347</v>
      </c>
      <c r="L4643" s="25"/>
      <c r="M4643" s="26" t="s">
        <v>6323</v>
      </c>
      <c r="N4643" s="28">
        <v>43815</v>
      </c>
      <c r="O4643" s="28" t="s">
        <v>457</v>
      </c>
      <c r="P4643" s="365">
        <v>6300</v>
      </c>
      <c r="Q4643" s="369">
        <v>24</v>
      </c>
      <c r="R4643" s="36">
        <f t="shared" si="102"/>
        <v>151200</v>
      </c>
      <c r="S4643" s="37">
        <v>202303</v>
      </c>
      <c r="T4643" s="38" t="s">
        <v>6348</v>
      </c>
      <c r="U4643" s="39"/>
      <c r="V4643" s="370"/>
      <c r="W4643" s="41"/>
      <c r="X4643" s="371">
        <v>43770</v>
      </c>
      <c r="Y4643" s="371">
        <v>45961</v>
      </c>
    </row>
    <row r="4644" s="9" customFormat="1" customHeight="1" spans="1:25">
      <c r="A4644" s="16" t="s">
        <v>401</v>
      </c>
      <c r="B4644" s="17" t="s">
        <v>6236</v>
      </c>
      <c r="C4644" s="17" t="s">
        <v>63</v>
      </c>
      <c r="D4644" s="17" t="s">
        <v>6237</v>
      </c>
      <c r="E4644" s="18" t="s">
        <v>6238</v>
      </c>
      <c r="F4644" s="16" t="s">
        <v>6239</v>
      </c>
      <c r="G4644" s="16" t="s">
        <v>88</v>
      </c>
      <c r="H4644" s="19" t="s">
        <v>6346</v>
      </c>
      <c r="I4644" s="23" t="e">
        <f>VLOOKUP(H4644,'合同综合查询数据（3月返）'!$A:$A,1,FALSE)</f>
        <v>#N/A</v>
      </c>
      <c r="J4644" s="24" t="s">
        <v>3074</v>
      </c>
      <c r="K4644" s="16" t="s">
        <v>6347</v>
      </c>
      <c r="L4644" s="25"/>
      <c r="M4644" s="26" t="s">
        <v>6323</v>
      </c>
      <c r="N4644" s="28">
        <v>43815</v>
      </c>
      <c r="O4644" s="28" t="s">
        <v>574</v>
      </c>
      <c r="P4644" s="365">
        <v>34368</v>
      </c>
      <c r="Q4644" s="369">
        <v>8</v>
      </c>
      <c r="R4644" s="36">
        <f t="shared" si="102"/>
        <v>274944</v>
      </c>
      <c r="S4644" s="37">
        <v>202303</v>
      </c>
      <c r="T4644" s="38" t="s">
        <v>6349</v>
      </c>
      <c r="U4644" s="39"/>
      <c r="V4644" s="370"/>
      <c r="W4644" s="41"/>
      <c r="X4644" s="371">
        <v>43770</v>
      </c>
      <c r="Y4644" s="371">
        <v>45961</v>
      </c>
    </row>
    <row r="4645" s="9" customFormat="1" customHeight="1" spans="1:25">
      <c r="A4645" s="16" t="s">
        <v>401</v>
      </c>
      <c r="B4645" s="17" t="s">
        <v>6236</v>
      </c>
      <c r="C4645" s="17" t="s">
        <v>63</v>
      </c>
      <c r="D4645" s="17" t="s">
        <v>6237</v>
      </c>
      <c r="E4645" s="18" t="s">
        <v>6238</v>
      </c>
      <c r="F4645" s="16" t="s">
        <v>6239</v>
      </c>
      <c r="G4645" s="16" t="s">
        <v>88</v>
      </c>
      <c r="H4645" s="19" t="s">
        <v>6346</v>
      </c>
      <c r="I4645" s="23" t="e">
        <f>VLOOKUP(H4645,'合同综合查询数据（3月返）'!$A:$A,1,FALSE)</f>
        <v>#N/A</v>
      </c>
      <c r="J4645" s="24" t="s">
        <v>3074</v>
      </c>
      <c r="K4645" s="16" t="s">
        <v>6347</v>
      </c>
      <c r="L4645" s="25"/>
      <c r="M4645" s="26" t="s">
        <v>6323</v>
      </c>
      <c r="N4645" s="28">
        <v>43815</v>
      </c>
      <c r="O4645" s="28" t="s">
        <v>470</v>
      </c>
      <c r="P4645" s="365">
        <v>9451.2</v>
      </c>
      <c r="Q4645" s="369">
        <v>4</v>
      </c>
      <c r="R4645" s="173">
        <f t="shared" si="102"/>
        <v>37804.8</v>
      </c>
      <c r="S4645" s="37">
        <v>202303</v>
      </c>
      <c r="T4645" s="38" t="s">
        <v>6350</v>
      </c>
      <c r="U4645" s="39"/>
      <c r="V4645" s="370"/>
      <c r="W4645" s="41"/>
      <c r="X4645" s="371">
        <v>43770</v>
      </c>
      <c r="Y4645" s="371">
        <v>45961</v>
      </c>
    </row>
    <row r="4646" s="9" customFormat="1" customHeight="1" spans="1:25">
      <c r="A4646" s="16" t="s">
        <v>401</v>
      </c>
      <c r="B4646" s="17" t="s">
        <v>6236</v>
      </c>
      <c r="C4646" s="17" t="s">
        <v>63</v>
      </c>
      <c r="D4646" s="17" t="s">
        <v>6237</v>
      </c>
      <c r="E4646" s="18" t="s">
        <v>6238</v>
      </c>
      <c r="F4646" s="16" t="s">
        <v>6239</v>
      </c>
      <c r="G4646" s="16" t="s">
        <v>88</v>
      </c>
      <c r="H4646" s="19" t="s">
        <v>6346</v>
      </c>
      <c r="I4646" s="23" t="e">
        <f>VLOOKUP(H4646,'合同综合查询数据（3月返）'!$A:$A,1,FALSE)</f>
        <v>#N/A</v>
      </c>
      <c r="J4646" s="24" t="s">
        <v>3074</v>
      </c>
      <c r="K4646" s="16" t="s">
        <v>6347</v>
      </c>
      <c r="L4646" s="25"/>
      <c r="M4646" s="26" t="s">
        <v>6323</v>
      </c>
      <c r="N4646" s="28">
        <v>43820</v>
      </c>
      <c r="O4646" s="28" t="s">
        <v>457</v>
      </c>
      <c r="P4646" s="365">
        <v>6300</v>
      </c>
      <c r="Q4646" s="369">
        <v>8</v>
      </c>
      <c r="R4646" s="36">
        <f t="shared" si="102"/>
        <v>50400</v>
      </c>
      <c r="S4646" s="37">
        <v>202303</v>
      </c>
      <c r="T4646" s="38" t="s">
        <v>6330</v>
      </c>
      <c r="U4646" s="39"/>
      <c r="V4646" s="370"/>
      <c r="W4646" s="41"/>
      <c r="X4646" s="371">
        <v>43770</v>
      </c>
      <c r="Y4646" s="371">
        <v>45961</v>
      </c>
    </row>
    <row r="4647" s="9" customFormat="1" customHeight="1" spans="1:25">
      <c r="A4647" s="16" t="s">
        <v>401</v>
      </c>
      <c r="B4647" s="17" t="s">
        <v>6236</v>
      </c>
      <c r="C4647" s="17" t="s">
        <v>63</v>
      </c>
      <c r="D4647" s="17" t="s">
        <v>6237</v>
      </c>
      <c r="E4647" s="18" t="s">
        <v>6238</v>
      </c>
      <c r="F4647" s="16" t="s">
        <v>6239</v>
      </c>
      <c r="G4647" s="16" t="s">
        <v>88</v>
      </c>
      <c r="H4647" s="19" t="s">
        <v>6346</v>
      </c>
      <c r="I4647" s="23" t="e">
        <f>VLOOKUP(H4647,'合同综合查询数据（3月返）'!$A:$A,1,FALSE)</f>
        <v>#N/A</v>
      </c>
      <c r="J4647" s="24" t="s">
        <v>3074</v>
      </c>
      <c r="K4647" s="16" t="s">
        <v>6347</v>
      </c>
      <c r="L4647" s="25"/>
      <c r="M4647" s="26" t="s">
        <v>6323</v>
      </c>
      <c r="N4647" s="28">
        <v>43823</v>
      </c>
      <c r="O4647" s="28" t="s">
        <v>457</v>
      </c>
      <c r="P4647" s="365">
        <v>6300</v>
      </c>
      <c r="Q4647" s="369">
        <v>29</v>
      </c>
      <c r="R4647" s="36">
        <f t="shared" si="102"/>
        <v>182700</v>
      </c>
      <c r="S4647" s="37">
        <v>202303</v>
      </c>
      <c r="T4647" s="38" t="s">
        <v>6330</v>
      </c>
      <c r="U4647" s="39"/>
      <c r="V4647" s="370"/>
      <c r="W4647" s="41"/>
      <c r="X4647" s="371">
        <v>43770</v>
      </c>
      <c r="Y4647" s="371">
        <v>45961</v>
      </c>
    </row>
    <row r="4648" s="9" customFormat="1" customHeight="1" spans="1:25">
      <c r="A4648" s="16" t="s">
        <v>401</v>
      </c>
      <c r="B4648" s="17" t="s">
        <v>6236</v>
      </c>
      <c r="C4648" s="17" t="s">
        <v>63</v>
      </c>
      <c r="D4648" s="17" t="s">
        <v>6237</v>
      </c>
      <c r="E4648" s="18" t="s">
        <v>6238</v>
      </c>
      <c r="F4648" s="16" t="s">
        <v>6239</v>
      </c>
      <c r="G4648" s="16" t="s">
        <v>88</v>
      </c>
      <c r="H4648" s="19" t="s">
        <v>6346</v>
      </c>
      <c r="I4648" s="23" t="e">
        <f>VLOOKUP(H4648,'合同综合查询数据（3月返）'!$A:$A,1,FALSE)</f>
        <v>#N/A</v>
      </c>
      <c r="J4648" s="24" t="s">
        <v>3074</v>
      </c>
      <c r="K4648" s="16" t="s">
        <v>6347</v>
      </c>
      <c r="L4648" s="25"/>
      <c r="M4648" s="26" t="s">
        <v>6323</v>
      </c>
      <c r="N4648" s="28">
        <v>43827</v>
      </c>
      <c r="O4648" s="28" t="s">
        <v>457</v>
      </c>
      <c r="P4648" s="365">
        <v>6300</v>
      </c>
      <c r="Q4648" s="369">
        <v>3</v>
      </c>
      <c r="R4648" s="36">
        <f t="shared" si="102"/>
        <v>18900</v>
      </c>
      <c r="S4648" s="37">
        <v>202303</v>
      </c>
      <c r="T4648" s="38" t="s">
        <v>6331</v>
      </c>
      <c r="U4648" s="39"/>
      <c r="V4648" s="370"/>
      <c r="W4648" s="41"/>
      <c r="X4648" s="371">
        <v>43770</v>
      </c>
      <c r="Y4648" s="371">
        <v>45961</v>
      </c>
    </row>
    <row r="4649" s="9" customFormat="1" customHeight="1" spans="1:25">
      <c r="A4649" s="16" t="s">
        <v>401</v>
      </c>
      <c r="B4649" s="17" t="s">
        <v>6236</v>
      </c>
      <c r="C4649" s="17" t="s">
        <v>63</v>
      </c>
      <c r="D4649" s="17" t="s">
        <v>6237</v>
      </c>
      <c r="E4649" s="18" t="s">
        <v>6238</v>
      </c>
      <c r="F4649" s="16" t="s">
        <v>6239</v>
      </c>
      <c r="G4649" s="16" t="s">
        <v>88</v>
      </c>
      <c r="H4649" s="19" t="s">
        <v>6346</v>
      </c>
      <c r="I4649" s="23" t="e">
        <f>VLOOKUP(H4649,'合同综合查询数据（3月返）'!$A:$A,1,FALSE)</f>
        <v>#N/A</v>
      </c>
      <c r="J4649" s="24" t="s">
        <v>3074</v>
      </c>
      <c r="K4649" s="16" t="s">
        <v>6347</v>
      </c>
      <c r="L4649" s="25"/>
      <c r="M4649" s="26" t="s">
        <v>6323</v>
      </c>
      <c r="N4649" s="28">
        <v>43828</v>
      </c>
      <c r="O4649" s="28" t="s">
        <v>457</v>
      </c>
      <c r="P4649" s="365">
        <v>6300</v>
      </c>
      <c r="Q4649" s="369">
        <v>35</v>
      </c>
      <c r="R4649" s="36">
        <f t="shared" si="102"/>
        <v>220500</v>
      </c>
      <c r="S4649" s="37">
        <v>202303</v>
      </c>
      <c r="T4649" s="38" t="s">
        <v>6331</v>
      </c>
      <c r="U4649" s="39"/>
      <c r="V4649" s="370"/>
      <c r="W4649" s="41"/>
      <c r="X4649" s="371">
        <v>43770</v>
      </c>
      <c r="Y4649" s="371">
        <v>45961</v>
      </c>
    </row>
    <row r="4650" s="9" customFormat="1" customHeight="1" spans="1:25">
      <c r="A4650" s="16" t="s">
        <v>401</v>
      </c>
      <c r="B4650" s="17" t="s">
        <v>6236</v>
      </c>
      <c r="C4650" s="17" t="s">
        <v>63</v>
      </c>
      <c r="D4650" s="17" t="s">
        <v>6237</v>
      </c>
      <c r="E4650" s="18" t="s">
        <v>6238</v>
      </c>
      <c r="F4650" s="16" t="s">
        <v>6239</v>
      </c>
      <c r="G4650" s="16" t="s">
        <v>88</v>
      </c>
      <c r="H4650" s="19" t="s">
        <v>6346</v>
      </c>
      <c r="I4650" s="23" t="e">
        <f>VLOOKUP(H4650,'合同综合查询数据（3月返）'!$A:$A,1,FALSE)</f>
        <v>#N/A</v>
      </c>
      <c r="J4650" s="24" t="s">
        <v>3074</v>
      </c>
      <c r="K4650" s="16" t="s">
        <v>6347</v>
      </c>
      <c r="L4650" s="25"/>
      <c r="M4650" s="26" t="s">
        <v>6323</v>
      </c>
      <c r="N4650" s="28">
        <v>43830</v>
      </c>
      <c r="O4650" s="28" t="s">
        <v>457</v>
      </c>
      <c r="P4650" s="365">
        <v>6300</v>
      </c>
      <c r="Q4650" s="369">
        <v>2</v>
      </c>
      <c r="R4650" s="36">
        <f t="shared" si="102"/>
        <v>12600</v>
      </c>
      <c r="S4650" s="37">
        <v>202303</v>
      </c>
      <c r="T4650" s="38" t="s">
        <v>6331</v>
      </c>
      <c r="U4650" s="39"/>
      <c r="V4650" s="370"/>
      <c r="W4650" s="41"/>
      <c r="X4650" s="371">
        <v>43770</v>
      </c>
      <c r="Y4650" s="371">
        <v>45961</v>
      </c>
    </row>
    <row r="4651" s="9" customFormat="1" customHeight="1" spans="1:25">
      <c r="A4651" s="16" t="s">
        <v>401</v>
      </c>
      <c r="B4651" s="17" t="s">
        <v>6236</v>
      </c>
      <c r="C4651" s="17" t="s">
        <v>63</v>
      </c>
      <c r="D4651" s="17" t="s">
        <v>6237</v>
      </c>
      <c r="E4651" s="18" t="s">
        <v>6238</v>
      </c>
      <c r="F4651" s="16" t="s">
        <v>6239</v>
      </c>
      <c r="G4651" s="16" t="s">
        <v>88</v>
      </c>
      <c r="H4651" s="19" t="s">
        <v>6346</v>
      </c>
      <c r="I4651" s="23" t="e">
        <f>VLOOKUP(H4651,'合同综合查询数据（3月返）'!$A:$A,1,FALSE)</f>
        <v>#N/A</v>
      </c>
      <c r="J4651" s="24" t="s">
        <v>3074</v>
      </c>
      <c r="K4651" s="16" t="s">
        <v>6347</v>
      </c>
      <c r="L4651" s="25"/>
      <c r="M4651" s="26" t="s">
        <v>6323</v>
      </c>
      <c r="N4651" s="28">
        <v>43832</v>
      </c>
      <c r="O4651" s="28" t="s">
        <v>457</v>
      </c>
      <c r="P4651" s="365">
        <v>6300</v>
      </c>
      <c r="Q4651" s="369">
        <v>9</v>
      </c>
      <c r="R4651" s="36">
        <f t="shared" si="102"/>
        <v>56700</v>
      </c>
      <c r="S4651" s="37">
        <v>202303</v>
      </c>
      <c r="T4651" s="38" t="s">
        <v>6331</v>
      </c>
      <c r="U4651" s="39"/>
      <c r="V4651" s="370"/>
      <c r="W4651" s="41"/>
      <c r="X4651" s="371">
        <v>43770</v>
      </c>
      <c r="Y4651" s="371">
        <v>45961</v>
      </c>
    </row>
    <row r="4652" s="9" customFormat="1" customHeight="1" spans="1:25">
      <c r="A4652" s="16" t="s">
        <v>401</v>
      </c>
      <c r="B4652" s="17" t="s">
        <v>6236</v>
      </c>
      <c r="C4652" s="17" t="s">
        <v>63</v>
      </c>
      <c r="D4652" s="17" t="s">
        <v>6237</v>
      </c>
      <c r="E4652" s="18" t="s">
        <v>6238</v>
      </c>
      <c r="F4652" s="16" t="s">
        <v>6239</v>
      </c>
      <c r="G4652" s="16" t="s">
        <v>88</v>
      </c>
      <c r="H4652" s="19" t="s">
        <v>6346</v>
      </c>
      <c r="I4652" s="23" t="e">
        <f>VLOOKUP(H4652,'合同综合查询数据（3月返）'!$A:$A,1,FALSE)</f>
        <v>#N/A</v>
      </c>
      <c r="J4652" s="24" t="s">
        <v>3074</v>
      </c>
      <c r="K4652" s="16" t="s">
        <v>6347</v>
      </c>
      <c r="L4652" s="25"/>
      <c r="M4652" s="26" t="s">
        <v>6323</v>
      </c>
      <c r="N4652" s="28">
        <v>43847</v>
      </c>
      <c r="O4652" s="28" t="s">
        <v>457</v>
      </c>
      <c r="P4652" s="365">
        <v>6300</v>
      </c>
      <c r="Q4652" s="369">
        <v>31</v>
      </c>
      <c r="R4652" s="36">
        <f t="shared" si="102"/>
        <v>195300</v>
      </c>
      <c r="S4652" s="37">
        <v>202303</v>
      </c>
      <c r="T4652" s="38" t="s">
        <v>6331</v>
      </c>
      <c r="U4652" s="39"/>
      <c r="V4652" s="370"/>
      <c r="W4652" s="41"/>
      <c r="X4652" s="371">
        <v>43770</v>
      </c>
      <c r="Y4652" s="371">
        <v>45961</v>
      </c>
    </row>
    <row r="4653" s="9" customFormat="1" customHeight="1" spans="1:25">
      <c r="A4653" s="16" t="s">
        <v>401</v>
      </c>
      <c r="B4653" s="17" t="s">
        <v>6236</v>
      </c>
      <c r="C4653" s="17" t="s">
        <v>63</v>
      </c>
      <c r="D4653" s="17" t="s">
        <v>6237</v>
      </c>
      <c r="E4653" s="18" t="s">
        <v>6238</v>
      </c>
      <c r="F4653" s="16" t="s">
        <v>6239</v>
      </c>
      <c r="G4653" s="16" t="s">
        <v>88</v>
      </c>
      <c r="H4653" s="19" t="s">
        <v>6346</v>
      </c>
      <c r="I4653" s="23" t="e">
        <f>VLOOKUP(H4653,'合同综合查询数据（3月返）'!$A:$A,1,FALSE)</f>
        <v>#N/A</v>
      </c>
      <c r="J4653" s="24" t="s">
        <v>3074</v>
      </c>
      <c r="K4653" s="16" t="s">
        <v>6347</v>
      </c>
      <c r="L4653" s="25"/>
      <c r="M4653" s="26" t="s">
        <v>6323</v>
      </c>
      <c r="N4653" s="28">
        <v>43845</v>
      </c>
      <c r="O4653" s="28" t="s">
        <v>457</v>
      </c>
      <c r="P4653" s="365">
        <v>6300</v>
      </c>
      <c r="Q4653" s="369">
        <v>5</v>
      </c>
      <c r="R4653" s="36">
        <f t="shared" si="102"/>
        <v>31500</v>
      </c>
      <c r="S4653" s="37">
        <v>202303</v>
      </c>
      <c r="T4653" s="38" t="s">
        <v>6331</v>
      </c>
      <c r="U4653" s="39"/>
      <c r="V4653" s="370"/>
      <c r="W4653" s="41"/>
      <c r="X4653" s="371">
        <v>43770</v>
      </c>
      <c r="Y4653" s="371">
        <v>45961</v>
      </c>
    </row>
    <row r="4654" s="9" customFormat="1" customHeight="1" spans="1:25">
      <c r="A4654" s="16" t="s">
        <v>401</v>
      </c>
      <c r="B4654" s="17" t="s">
        <v>6236</v>
      </c>
      <c r="C4654" s="17" t="s">
        <v>63</v>
      </c>
      <c r="D4654" s="17" t="s">
        <v>6237</v>
      </c>
      <c r="E4654" s="18" t="s">
        <v>6238</v>
      </c>
      <c r="F4654" s="16" t="s">
        <v>6239</v>
      </c>
      <c r="G4654" s="16" t="s">
        <v>88</v>
      </c>
      <c r="H4654" s="19" t="s">
        <v>6346</v>
      </c>
      <c r="I4654" s="23" t="e">
        <f>VLOOKUP(H4654,'合同综合查询数据（3月返）'!$A:$A,1,FALSE)</f>
        <v>#N/A</v>
      </c>
      <c r="J4654" s="24" t="s">
        <v>3074</v>
      </c>
      <c r="K4654" s="16" t="s">
        <v>6347</v>
      </c>
      <c r="L4654" s="25"/>
      <c r="M4654" s="26" t="s">
        <v>6323</v>
      </c>
      <c r="N4654" s="28">
        <v>43861</v>
      </c>
      <c r="O4654" s="28" t="s">
        <v>457</v>
      </c>
      <c r="P4654" s="365">
        <v>6300</v>
      </c>
      <c r="Q4654" s="369">
        <v>1</v>
      </c>
      <c r="R4654" s="36">
        <f t="shared" si="102"/>
        <v>6300</v>
      </c>
      <c r="S4654" s="37">
        <v>202303</v>
      </c>
      <c r="T4654" s="38" t="s">
        <v>6351</v>
      </c>
      <c r="U4654" s="39"/>
      <c r="V4654" s="370"/>
      <c r="W4654" s="41"/>
      <c r="X4654" s="371">
        <v>43770</v>
      </c>
      <c r="Y4654" s="371">
        <v>45961</v>
      </c>
    </row>
    <row r="4655" s="9" customFormat="1" customHeight="1" spans="1:25">
      <c r="A4655" s="16" t="s">
        <v>401</v>
      </c>
      <c r="B4655" s="17" t="s">
        <v>6236</v>
      </c>
      <c r="C4655" s="17" t="s">
        <v>63</v>
      </c>
      <c r="D4655" s="17" t="s">
        <v>6237</v>
      </c>
      <c r="E4655" s="18" t="s">
        <v>6238</v>
      </c>
      <c r="F4655" s="16" t="s">
        <v>6239</v>
      </c>
      <c r="G4655" s="16" t="s">
        <v>88</v>
      </c>
      <c r="H4655" s="19" t="s">
        <v>6346</v>
      </c>
      <c r="I4655" s="23" t="e">
        <f>VLOOKUP(H4655,'合同综合查询数据（3月返）'!$A:$A,1,FALSE)</f>
        <v>#N/A</v>
      </c>
      <c r="J4655" s="24" t="s">
        <v>3074</v>
      </c>
      <c r="K4655" s="16" t="s">
        <v>6347</v>
      </c>
      <c r="L4655" s="25"/>
      <c r="M4655" s="26" t="s">
        <v>6323</v>
      </c>
      <c r="N4655" s="28">
        <v>43892</v>
      </c>
      <c r="O4655" s="28" t="s">
        <v>457</v>
      </c>
      <c r="P4655" s="365">
        <v>6300</v>
      </c>
      <c r="Q4655" s="369">
        <v>2</v>
      </c>
      <c r="R4655" s="36">
        <f t="shared" si="102"/>
        <v>12600</v>
      </c>
      <c r="S4655" s="37">
        <v>202303</v>
      </c>
      <c r="T4655" s="38"/>
      <c r="U4655" s="39"/>
      <c r="V4655" s="370"/>
      <c r="W4655" s="41"/>
      <c r="X4655" s="371">
        <v>43770</v>
      </c>
      <c r="Y4655" s="371">
        <v>45961</v>
      </c>
    </row>
    <row r="4656" s="9" customFormat="1" customHeight="1" spans="1:25">
      <c r="A4656" s="16" t="s">
        <v>401</v>
      </c>
      <c r="B4656" s="17" t="s">
        <v>6236</v>
      </c>
      <c r="C4656" s="17" t="s">
        <v>63</v>
      </c>
      <c r="D4656" s="17" t="s">
        <v>6237</v>
      </c>
      <c r="E4656" s="18" t="s">
        <v>6238</v>
      </c>
      <c r="F4656" s="16" t="s">
        <v>6239</v>
      </c>
      <c r="G4656" s="16" t="s">
        <v>88</v>
      </c>
      <c r="H4656" s="19" t="s">
        <v>6346</v>
      </c>
      <c r="I4656" s="23" t="e">
        <f>VLOOKUP(H4656,'合同综合查询数据（3月返）'!$A:$A,1,FALSE)</f>
        <v>#N/A</v>
      </c>
      <c r="J4656" s="24" t="s">
        <v>3074</v>
      </c>
      <c r="K4656" s="16" t="s">
        <v>6347</v>
      </c>
      <c r="L4656" s="25"/>
      <c r="M4656" s="26" t="s">
        <v>6323</v>
      </c>
      <c r="N4656" s="28">
        <v>43894</v>
      </c>
      <c r="O4656" s="28" t="s">
        <v>457</v>
      </c>
      <c r="P4656" s="365">
        <v>6300</v>
      </c>
      <c r="Q4656" s="369">
        <v>21</v>
      </c>
      <c r="R4656" s="36">
        <f t="shared" si="102"/>
        <v>132300</v>
      </c>
      <c r="S4656" s="37">
        <v>202303</v>
      </c>
      <c r="T4656" s="38"/>
      <c r="U4656" s="39"/>
      <c r="V4656" s="370"/>
      <c r="W4656" s="41"/>
      <c r="X4656" s="371">
        <v>43770</v>
      </c>
      <c r="Y4656" s="371">
        <v>45961</v>
      </c>
    </row>
    <row r="4657" s="9" customFormat="1" customHeight="1" spans="1:25">
      <c r="A4657" s="16" t="s">
        <v>401</v>
      </c>
      <c r="B4657" s="17" t="s">
        <v>6236</v>
      </c>
      <c r="C4657" s="17" t="s">
        <v>63</v>
      </c>
      <c r="D4657" s="17" t="s">
        <v>6237</v>
      </c>
      <c r="E4657" s="18" t="s">
        <v>6238</v>
      </c>
      <c r="F4657" s="16" t="s">
        <v>6239</v>
      </c>
      <c r="G4657" s="16" t="s">
        <v>88</v>
      </c>
      <c r="H4657" s="19" t="s">
        <v>6346</v>
      </c>
      <c r="I4657" s="23" t="e">
        <f>VLOOKUP(H4657,'合同综合查询数据（3月返）'!$A:$A,1,FALSE)</f>
        <v>#N/A</v>
      </c>
      <c r="J4657" s="24" t="s">
        <v>3074</v>
      </c>
      <c r="K4657" s="16" t="s">
        <v>6347</v>
      </c>
      <c r="L4657" s="25"/>
      <c r="M4657" s="26" t="s">
        <v>6323</v>
      </c>
      <c r="N4657" s="28">
        <v>43901</v>
      </c>
      <c r="O4657" s="28" t="s">
        <v>457</v>
      </c>
      <c r="P4657" s="365">
        <v>6300</v>
      </c>
      <c r="Q4657" s="369">
        <v>2</v>
      </c>
      <c r="R4657" s="36">
        <f t="shared" si="102"/>
        <v>12600</v>
      </c>
      <c r="S4657" s="37">
        <v>202303</v>
      </c>
      <c r="T4657" s="38"/>
      <c r="U4657" s="39"/>
      <c r="V4657" s="370"/>
      <c r="W4657" s="41"/>
      <c r="X4657" s="371">
        <v>43770</v>
      </c>
      <c r="Y4657" s="371">
        <v>45961</v>
      </c>
    </row>
    <row r="4658" s="9" customFormat="1" customHeight="1" spans="1:25">
      <c r="A4658" s="16" t="s">
        <v>401</v>
      </c>
      <c r="B4658" s="17" t="s">
        <v>6236</v>
      </c>
      <c r="C4658" s="17" t="s">
        <v>63</v>
      </c>
      <c r="D4658" s="17" t="s">
        <v>6237</v>
      </c>
      <c r="E4658" s="18" t="s">
        <v>6238</v>
      </c>
      <c r="F4658" s="16" t="s">
        <v>6239</v>
      </c>
      <c r="G4658" s="16" t="s">
        <v>88</v>
      </c>
      <c r="H4658" s="19" t="s">
        <v>6346</v>
      </c>
      <c r="I4658" s="23" t="e">
        <f>VLOOKUP(H4658,'合同综合查询数据（3月返）'!$A:$A,1,FALSE)</f>
        <v>#N/A</v>
      </c>
      <c r="J4658" s="24" t="s">
        <v>3074</v>
      </c>
      <c r="K4658" s="16" t="s">
        <v>6347</v>
      </c>
      <c r="L4658" s="25"/>
      <c r="M4658" s="26" t="s">
        <v>6323</v>
      </c>
      <c r="N4658" s="28">
        <v>43903</v>
      </c>
      <c r="O4658" s="28" t="s">
        <v>457</v>
      </c>
      <c r="P4658" s="365">
        <v>6300</v>
      </c>
      <c r="Q4658" s="369">
        <v>6</v>
      </c>
      <c r="R4658" s="36">
        <f t="shared" si="102"/>
        <v>37800</v>
      </c>
      <c r="S4658" s="37">
        <v>202303</v>
      </c>
      <c r="T4658" s="38"/>
      <c r="U4658" s="39"/>
      <c r="V4658" s="370"/>
      <c r="W4658" s="41"/>
      <c r="X4658" s="371">
        <v>43770</v>
      </c>
      <c r="Y4658" s="371">
        <v>45961</v>
      </c>
    </row>
    <row r="4659" s="9" customFormat="1" customHeight="1" spans="1:25">
      <c r="A4659" s="16" t="s">
        <v>401</v>
      </c>
      <c r="B4659" s="17" t="s">
        <v>6236</v>
      </c>
      <c r="C4659" s="17" t="s">
        <v>63</v>
      </c>
      <c r="D4659" s="17" t="s">
        <v>6237</v>
      </c>
      <c r="E4659" s="18" t="s">
        <v>6238</v>
      </c>
      <c r="F4659" s="16" t="s">
        <v>6239</v>
      </c>
      <c r="G4659" s="16" t="s">
        <v>88</v>
      </c>
      <c r="H4659" s="19" t="s">
        <v>6346</v>
      </c>
      <c r="I4659" s="23" t="e">
        <f>VLOOKUP(H4659,'合同综合查询数据（3月返）'!$A:$A,1,FALSE)</f>
        <v>#N/A</v>
      </c>
      <c r="J4659" s="24" t="s">
        <v>3074</v>
      </c>
      <c r="K4659" s="16" t="s">
        <v>6347</v>
      </c>
      <c r="L4659" s="25"/>
      <c r="M4659" s="26" t="s">
        <v>6323</v>
      </c>
      <c r="N4659" s="28">
        <v>43907</v>
      </c>
      <c r="O4659" s="28" t="s">
        <v>457</v>
      </c>
      <c r="P4659" s="365">
        <v>6300</v>
      </c>
      <c r="Q4659" s="369">
        <v>3</v>
      </c>
      <c r="R4659" s="36">
        <f t="shared" si="102"/>
        <v>18900</v>
      </c>
      <c r="S4659" s="37">
        <v>202303</v>
      </c>
      <c r="T4659" s="38"/>
      <c r="U4659" s="39"/>
      <c r="V4659" s="370"/>
      <c r="W4659" s="41"/>
      <c r="X4659" s="371">
        <v>43770</v>
      </c>
      <c r="Y4659" s="371">
        <v>45961</v>
      </c>
    </row>
    <row r="4660" s="9" customFormat="1" customHeight="1" spans="1:25">
      <c r="A4660" s="16" t="s">
        <v>401</v>
      </c>
      <c r="B4660" s="17" t="s">
        <v>6236</v>
      </c>
      <c r="C4660" s="17" t="s">
        <v>63</v>
      </c>
      <c r="D4660" s="17" t="s">
        <v>6237</v>
      </c>
      <c r="E4660" s="18" t="s">
        <v>6238</v>
      </c>
      <c r="F4660" s="16" t="s">
        <v>6239</v>
      </c>
      <c r="G4660" s="16" t="s">
        <v>88</v>
      </c>
      <c r="H4660" s="19" t="s">
        <v>6346</v>
      </c>
      <c r="I4660" s="23" t="e">
        <f>VLOOKUP(H4660,'合同综合查询数据（3月返）'!$A:$A,1,FALSE)</f>
        <v>#N/A</v>
      </c>
      <c r="J4660" s="24" t="s">
        <v>3074</v>
      </c>
      <c r="K4660" s="16" t="s">
        <v>6347</v>
      </c>
      <c r="L4660" s="25"/>
      <c r="M4660" s="26" t="s">
        <v>6323</v>
      </c>
      <c r="N4660" s="28">
        <v>43908</v>
      </c>
      <c r="O4660" s="28" t="s">
        <v>457</v>
      </c>
      <c r="P4660" s="365">
        <v>6300</v>
      </c>
      <c r="Q4660" s="369">
        <v>15</v>
      </c>
      <c r="R4660" s="36">
        <f t="shared" si="102"/>
        <v>94500</v>
      </c>
      <c r="S4660" s="37">
        <v>202303</v>
      </c>
      <c r="T4660" s="38"/>
      <c r="U4660" s="39"/>
      <c r="V4660" s="370"/>
      <c r="W4660" s="41"/>
      <c r="X4660" s="371">
        <v>43770</v>
      </c>
      <c r="Y4660" s="371">
        <v>45961</v>
      </c>
    </row>
    <row r="4661" s="9" customFormat="1" customHeight="1" spans="1:25">
      <c r="A4661" s="16" t="s">
        <v>401</v>
      </c>
      <c r="B4661" s="17" t="s">
        <v>6236</v>
      </c>
      <c r="C4661" s="17" t="s">
        <v>63</v>
      </c>
      <c r="D4661" s="17" t="s">
        <v>6237</v>
      </c>
      <c r="E4661" s="18" t="s">
        <v>6238</v>
      </c>
      <c r="F4661" s="16" t="s">
        <v>6239</v>
      </c>
      <c r="G4661" s="16" t="s">
        <v>88</v>
      </c>
      <c r="H4661" s="19" t="s">
        <v>6346</v>
      </c>
      <c r="I4661" s="23" t="e">
        <f>VLOOKUP(H4661,'合同综合查询数据（3月返）'!$A:$A,1,FALSE)</f>
        <v>#N/A</v>
      </c>
      <c r="J4661" s="24" t="s">
        <v>3074</v>
      </c>
      <c r="K4661" s="16" t="s">
        <v>6347</v>
      </c>
      <c r="L4661" s="25"/>
      <c r="M4661" s="26" t="s">
        <v>6323</v>
      </c>
      <c r="N4661" s="28">
        <v>43917</v>
      </c>
      <c r="O4661" s="28" t="s">
        <v>457</v>
      </c>
      <c r="P4661" s="365">
        <v>6300</v>
      </c>
      <c r="Q4661" s="369">
        <v>3</v>
      </c>
      <c r="R4661" s="36">
        <f t="shared" si="102"/>
        <v>18900</v>
      </c>
      <c r="S4661" s="37">
        <v>202303</v>
      </c>
      <c r="T4661" s="375" t="s">
        <v>6352</v>
      </c>
      <c r="U4661" s="39"/>
      <c r="V4661" s="370"/>
      <c r="W4661" s="41"/>
      <c r="X4661" s="371">
        <v>43770</v>
      </c>
      <c r="Y4661" s="371">
        <v>45961</v>
      </c>
    </row>
    <row r="4662" s="9" customFormat="1" customHeight="1" spans="1:25">
      <c r="A4662" s="16" t="s">
        <v>401</v>
      </c>
      <c r="B4662" s="17" t="s">
        <v>6236</v>
      </c>
      <c r="C4662" s="17" t="s">
        <v>63</v>
      </c>
      <c r="D4662" s="17" t="s">
        <v>6237</v>
      </c>
      <c r="E4662" s="18" t="s">
        <v>6238</v>
      </c>
      <c r="F4662" s="16" t="s">
        <v>6239</v>
      </c>
      <c r="G4662" s="16" t="s">
        <v>88</v>
      </c>
      <c r="H4662" s="19" t="s">
        <v>6346</v>
      </c>
      <c r="I4662" s="23" t="e">
        <f>VLOOKUP(H4662,'合同综合查询数据（3月返）'!$A:$A,1,FALSE)</f>
        <v>#N/A</v>
      </c>
      <c r="J4662" s="24" t="s">
        <v>3074</v>
      </c>
      <c r="K4662" s="16" t="s">
        <v>6347</v>
      </c>
      <c r="L4662" s="25"/>
      <c r="M4662" s="26" t="s">
        <v>6323</v>
      </c>
      <c r="N4662" s="28">
        <v>43934</v>
      </c>
      <c r="O4662" s="28" t="s">
        <v>457</v>
      </c>
      <c r="P4662" s="365">
        <v>6300</v>
      </c>
      <c r="Q4662" s="369">
        <v>2</v>
      </c>
      <c r="R4662" s="36">
        <f t="shared" si="102"/>
        <v>12600</v>
      </c>
      <c r="S4662" s="37">
        <v>202303</v>
      </c>
      <c r="T4662" s="38"/>
      <c r="U4662" s="39"/>
      <c r="V4662" s="370"/>
      <c r="W4662" s="41"/>
      <c r="X4662" s="371">
        <v>43770</v>
      </c>
      <c r="Y4662" s="371">
        <v>45961</v>
      </c>
    </row>
    <row r="4663" s="9" customFormat="1" customHeight="1" spans="1:25">
      <c r="A4663" s="16" t="s">
        <v>401</v>
      </c>
      <c r="B4663" s="17" t="s">
        <v>6236</v>
      </c>
      <c r="C4663" s="17" t="s">
        <v>63</v>
      </c>
      <c r="D4663" s="17" t="s">
        <v>6237</v>
      </c>
      <c r="E4663" s="18" t="s">
        <v>6238</v>
      </c>
      <c r="F4663" s="16" t="s">
        <v>6239</v>
      </c>
      <c r="G4663" s="16" t="s">
        <v>88</v>
      </c>
      <c r="H4663" s="19" t="s">
        <v>6346</v>
      </c>
      <c r="I4663" s="23" t="e">
        <f>VLOOKUP(H4663,'合同综合查询数据（3月返）'!$A:$A,1,FALSE)</f>
        <v>#N/A</v>
      </c>
      <c r="J4663" s="24" t="s">
        <v>3074</v>
      </c>
      <c r="K4663" s="16" t="s">
        <v>6347</v>
      </c>
      <c r="L4663" s="25"/>
      <c r="M4663" s="26" t="s">
        <v>6297</v>
      </c>
      <c r="N4663" s="28">
        <v>43934</v>
      </c>
      <c r="O4663" s="28" t="s">
        <v>457</v>
      </c>
      <c r="P4663" s="365">
        <v>6300</v>
      </c>
      <c r="Q4663" s="369">
        <v>6</v>
      </c>
      <c r="R4663" s="36">
        <f t="shared" si="102"/>
        <v>37800</v>
      </c>
      <c r="S4663" s="37">
        <v>202303</v>
      </c>
      <c r="T4663" s="38"/>
      <c r="U4663" s="39"/>
      <c r="V4663" s="370"/>
      <c r="W4663" s="41"/>
      <c r="X4663" s="371">
        <v>43770</v>
      </c>
      <c r="Y4663" s="371">
        <v>45961</v>
      </c>
    </row>
    <row r="4664" s="9" customFormat="1" customHeight="1" spans="1:25">
      <c r="A4664" s="16" t="s">
        <v>401</v>
      </c>
      <c r="B4664" s="17" t="s">
        <v>6236</v>
      </c>
      <c r="C4664" s="17" t="s">
        <v>63</v>
      </c>
      <c r="D4664" s="17" t="s">
        <v>6237</v>
      </c>
      <c r="E4664" s="18" t="s">
        <v>6238</v>
      </c>
      <c r="F4664" s="16" t="s">
        <v>6239</v>
      </c>
      <c r="G4664" s="16" t="s">
        <v>88</v>
      </c>
      <c r="H4664" s="19" t="s">
        <v>6346</v>
      </c>
      <c r="I4664" s="23" t="e">
        <f>VLOOKUP(H4664,'合同综合查询数据（3月返）'!$A:$A,1,FALSE)</f>
        <v>#N/A</v>
      </c>
      <c r="J4664" s="24" t="s">
        <v>3074</v>
      </c>
      <c r="K4664" s="16" t="s">
        <v>6347</v>
      </c>
      <c r="L4664" s="25"/>
      <c r="M4664" s="26" t="s">
        <v>6323</v>
      </c>
      <c r="N4664" s="28">
        <v>43936</v>
      </c>
      <c r="O4664" s="28" t="s">
        <v>457</v>
      </c>
      <c r="P4664" s="365">
        <v>6300</v>
      </c>
      <c r="Q4664" s="369">
        <v>9</v>
      </c>
      <c r="R4664" s="36">
        <f t="shared" si="102"/>
        <v>56700</v>
      </c>
      <c r="S4664" s="37">
        <v>202303</v>
      </c>
      <c r="T4664" s="38"/>
      <c r="U4664" s="39"/>
      <c r="V4664" s="370"/>
      <c r="W4664" s="41"/>
      <c r="X4664" s="371">
        <v>43770</v>
      </c>
      <c r="Y4664" s="371">
        <v>45961</v>
      </c>
    </row>
    <row r="4665" s="9" customFormat="1" customHeight="1" spans="1:25">
      <c r="A4665" s="16" t="s">
        <v>401</v>
      </c>
      <c r="B4665" s="17" t="s">
        <v>6236</v>
      </c>
      <c r="C4665" s="17" t="s">
        <v>63</v>
      </c>
      <c r="D4665" s="17" t="s">
        <v>6237</v>
      </c>
      <c r="E4665" s="18" t="s">
        <v>6238</v>
      </c>
      <c r="F4665" s="16" t="s">
        <v>6239</v>
      </c>
      <c r="G4665" s="16" t="s">
        <v>88</v>
      </c>
      <c r="H4665" s="19" t="s">
        <v>6346</v>
      </c>
      <c r="I4665" s="23" t="e">
        <f>VLOOKUP(H4665,'合同综合查询数据（3月返）'!$A:$A,1,FALSE)</f>
        <v>#N/A</v>
      </c>
      <c r="J4665" s="24" t="s">
        <v>3074</v>
      </c>
      <c r="K4665" s="16" t="s">
        <v>6347</v>
      </c>
      <c r="L4665" s="25"/>
      <c r="M4665" s="26" t="s">
        <v>6297</v>
      </c>
      <c r="N4665" s="28">
        <v>43945</v>
      </c>
      <c r="O4665" s="28" t="s">
        <v>457</v>
      </c>
      <c r="P4665" s="365">
        <v>6300</v>
      </c>
      <c r="Q4665" s="369">
        <v>48</v>
      </c>
      <c r="R4665" s="36">
        <f t="shared" si="102"/>
        <v>302400</v>
      </c>
      <c r="S4665" s="37">
        <v>202303</v>
      </c>
      <c r="T4665" s="38" t="s">
        <v>6353</v>
      </c>
      <c r="U4665" s="39"/>
      <c r="V4665" s="370"/>
      <c r="W4665" s="41"/>
      <c r="X4665" s="371">
        <v>43770</v>
      </c>
      <c r="Y4665" s="371">
        <v>45961</v>
      </c>
    </row>
    <row r="4666" s="9" customFormat="1" customHeight="1" spans="1:25">
      <c r="A4666" s="16" t="s">
        <v>401</v>
      </c>
      <c r="B4666" s="17" t="s">
        <v>6236</v>
      </c>
      <c r="C4666" s="17" t="s">
        <v>63</v>
      </c>
      <c r="D4666" s="17" t="s">
        <v>6237</v>
      </c>
      <c r="E4666" s="18" t="s">
        <v>6238</v>
      </c>
      <c r="F4666" s="16" t="s">
        <v>6239</v>
      </c>
      <c r="G4666" s="16" t="s">
        <v>88</v>
      </c>
      <c r="H4666" s="19" t="s">
        <v>6346</v>
      </c>
      <c r="I4666" s="23" t="e">
        <f>VLOOKUP(H4666,'合同综合查询数据（3月返）'!$A:$A,1,FALSE)</f>
        <v>#N/A</v>
      </c>
      <c r="J4666" s="24" t="s">
        <v>3074</v>
      </c>
      <c r="K4666" s="16" t="s">
        <v>6347</v>
      </c>
      <c r="L4666" s="25"/>
      <c r="M4666" s="26" t="s">
        <v>6297</v>
      </c>
      <c r="N4666" s="28">
        <v>43945</v>
      </c>
      <c r="O4666" s="28" t="s">
        <v>574</v>
      </c>
      <c r="P4666" s="365">
        <v>34368</v>
      </c>
      <c r="Q4666" s="369">
        <v>4</v>
      </c>
      <c r="R4666" s="36">
        <f t="shared" si="102"/>
        <v>137472</v>
      </c>
      <c r="S4666" s="37">
        <v>202303</v>
      </c>
      <c r="T4666" s="38" t="s">
        <v>6353</v>
      </c>
      <c r="U4666" s="39"/>
      <c r="V4666" s="370"/>
      <c r="W4666" s="41"/>
      <c r="X4666" s="371">
        <v>43770</v>
      </c>
      <c r="Y4666" s="371">
        <v>45961</v>
      </c>
    </row>
    <row r="4667" s="9" customFormat="1" customHeight="1" spans="1:25">
      <c r="A4667" s="16" t="s">
        <v>401</v>
      </c>
      <c r="B4667" s="17" t="s">
        <v>6236</v>
      </c>
      <c r="C4667" s="17" t="s">
        <v>63</v>
      </c>
      <c r="D4667" s="17" t="s">
        <v>6237</v>
      </c>
      <c r="E4667" s="18" t="s">
        <v>6238</v>
      </c>
      <c r="F4667" s="16" t="s">
        <v>6239</v>
      </c>
      <c r="G4667" s="16" t="s">
        <v>88</v>
      </c>
      <c r="H4667" s="19" t="s">
        <v>6346</v>
      </c>
      <c r="I4667" s="23" t="e">
        <f>VLOOKUP(H4667,'合同综合查询数据（3月返）'!$A:$A,1,FALSE)</f>
        <v>#N/A</v>
      </c>
      <c r="J4667" s="24" t="s">
        <v>3074</v>
      </c>
      <c r="K4667" s="16" t="s">
        <v>6347</v>
      </c>
      <c r="L4667" s="25"/>
      <c r="M4667" s="26" t="s">
        <v>6297</v>
      </c>
      <c r="N4667" s="28">
        <v>43946</v>
      </c>
      <c r="O4667" s="28" t="s">
        <v>457</v>
      </c>
      <c r="P4667" s="365">
        <v>6300</v>
      </c>
      <c r="Q4667" s="369">
        <v>25</v>
      </c>
      <c r="R4667" s="36">
        <f t="shared" si="102"/>
        <v>157500</v>
      </c>
      <c r="S4667" s="37">
        <v>202303</v>
      </c>
      <c r="T4667" s="38" t="s">
        <v>6353</v>
      </c>
      <c r="U4667" s="39"/>
      <c r="V4667" s="370"/>
      <c r="W4667" s="41"/>
      <c r="X4667" s="371">
        <v>43770</v>
      </c>
      <c r="Y4667" s="371">
        <v>45961</v>
      </c>
    </row>
    <row r="4668" s="9" customFormat="1" customHeight="1" spans="1:25">
      <c r="A4668" s="16" t="s">
        <v>401</v>
      </c>
      <c r="B4668" s="17" t="s">
        <v>6236</v>
      </c>
      <c r="C4668" s="17" t="s">
        <v>63</v>
      </c>
      <c r="D4668" s="17" t="s">
        <v>6237</v>
      </c>
      <c r="E4668" s="18" t="s">
        <v>6238</v>
      </c>
      <c r="F4668" s="16" t="s">
        <v>6239</v>
      </c>
      <c r="G4668" s="16" t="s">
        <v>88</v>
      </c>
      <c r="H4668" s="19" t="s">
        <v>6346</v>
      </c>
      <c r="I4668" s="23" t="e">
        <f>VLOOKUP(H4668,'合同综合查询数据（3月返）'!$A:$A,1,FALSE)</f>
        <v>#N/A</v>
      </c>
      <c r="J4668" s="24" t="s">
        <v>3074</v>
      </c>
      <c r="K4668" s="16" t="s">
        <v>6347</v>
      </c>
      <c r="L4668" s="25"/>
      <c r="M4668" s="26" t="s">
        <v>6297</v>
      </c>
      <c r="N4668" s="28">
        <v>43946</v>
      </c>
      <c r="O4668" s="28" t="s">
        <v>457</v>
      </c>
      <c r="P4668" s="365">
        <v>6300</v>
      </c>
      <c r="Q4668" s="369">
        <v>12</v>
      </c>
      <c r="R4668" s="36">
        <f t="shared" si="102"/>
        <v>75600</v>
      </c>
      <c r="S4668" s="37">
        <v>202303</v>
      </c>
      <c r="T4668" s="38"/>
      <c r="U4668" s="39"/>
      <c r="V4668" s="370"/>
      <c r="W4668" s="41"/>
      <c r="X4668" s="371">
        <v>43770</v>
      </c>
      <c r="Y4668" s="371">
        <v>45961</v>
      </c>
    </row>
    <row r="4669" s="9" customFormat="1" customHeight="1" spans="1:25">
      <c r="A4669" s="16" t="s">
        <v>401</v>
      </c>
      <c r="B4669" s="17" t="s">
        <v>6236</v>
      </c>
      <c r="C4669" s="17" t="s">
        <v>63</v>
      </c>
      <c r="D4669" s="17" t="s">
        <v>6237</v>
      </c>
      <c r="E4669" s="18" t="s">
        <v>6238</v>
      </c>
      <c r="F4669" s="16" t="s">
        <v>6239</v>
      </c>
      <c r="G4669" s="16" t="s">
        <v>88</v>
      </c>
      <c r="H4669" s="19" t="s">
        <v>6346</v>
      </c>
      <c r="I4669" s="23" t="e">
        <f>VLOOKUP(H4669,'合同综合查询数据（3月返）'!$A:$A,1,FALSE)</f>
        <v>#N/A</v>
      </c>
      <c r="J4669" s="24" t="s">
        <v>3074</v>
      </c>
      <c r="K4669" s="16" t="s">
        <v>6347</v>
      </c>
      <c r="L4669" s="25"/>
      <c r="M4669" s="26" t="s">
        <v>6323</v>
      </c>
      <c r="N4669" s="28">
        <v>43959</v>
      </c>
      <c r="O4669" s="28" t="s">
        <v>457</v>
      </c>
      <c r="P4669" s="365">
        <v>6300</v>
      </c>
      <c r="Q4669" s="369">
        <v>14</v>
      </c>
      <c r="R4669" s="36">
        <f t="shared" si="102"/>
        <v>88200</v>
      </c>
      <c r="S4669" s="37">
        <v>202303</v>
      </c>
      <c r="T4669" s="38"/>
      <c r="U4669" s="39"/>
      <c r="V4669" s="370"/>
      <c r="W4669" s="41"/>
      <c r="X4669" s="371">
        <v>43770</v>
      </c>
      <c r="Y4669" s="371">
        <v>45961</v>
      </c>
    </row>
    <row r="4670" s="9" customFormat="1" customHeight="1" spans="1:25">
      <c r="A4670" s="16" t="s">
        <v>401</v>
      </c>
      <c r="B4670" s="17" t="s">
        <v>6236</v>
      </c>
      <c r="C4670" s="17" t="s">
        <v>63</v>
      </c>
      <c r="D4670" s="17" t="s">
        <v>6237</v>
      </c>
      <c r="E4670" s="18" t="s">
        <v>6238</v>
      </c>
      <c r="F4670" s="16" t="s">
        <v>6239</v>
      </c>
      <c r="G4670" s="16" t="s">
        <v>88</v>
      </c>
      <c r="H4670" s="19" t="s">
        <v>6346</v>
      </c>
      <c r="I4670" s="23" t="e">
        <f>VLOOKUP(H4670,'合同综合查询数据（3月返）'!$A:$A,1,FALSE)</f>
        <v>#N/A</v>
      </c>
      <c r="J4670" s="24" t="s">
        <v>3074</v>
      </c>
      <c r="K4670" s="16" t="s">
        <v>6347</v>
      </c>
      <c r="L4670" s="25"/>
      <c r="M4670" s="26" t="s">
        <v>6323</v>
      </c>
      <c r="N4670" s="28">
        <v>43964</v>
      </c>
      <c r="O4670" s="28" t="s">
        <v>457</v>
      </c>
      <c r="P4670" s="365">
        <v>6300</v>
      </c>
      <c r="Q4670" s="369">
        <v>4</v>
      </c>
      <c r="R4670" s="36">
        <f t="shared" si="102"/>
        <v>25200</v>
      </c>
      <c r="S4670" s="37">
        <v>202303</v>
      </c>
      <c r="T4670" s="38"/>
      <c r="U4670" s="39"/>
      <c r="V4670" s="370"/>
      <c r="W4670" s="41"/>
      <c r="X4670" s="371">
        <v>43770</v>
      </c>
      <c r="Y4670" s="371">
        <v>45961</v>
      </c>
    </row>
    <row r="4671" s="9" customFormat="1" customHeight="1" spans="1:25">
      <c r="A4671" s="16" t="s">
        <v>401</v>
      </c>
      <c r="B4671" s="17" t="s">
        <v>6236</v>
      </c>
      <c r="C4671" s="17" t="s">
        <v>63</v>
      </c>
      <c r="D4671" s="17" t="s">
        <v>6237</v>
      </c>
      <c r="E4671" s="18" t="s">
        <v>6238</v>
      </c>
      <c r="F4671" s="16" t="s">
        <v>6239</v>
      </c>
      <c r="G4671" s="16" t="s">
        <v>88</v>
      </c>
      <c r="H4671" s="19" t="s">
        <v>6346</v>
      </c>
      <c r="I4671" s="23" t="e">
        <f>VLOOKUP(H4671,'合同综合查询数据（3月返）'!$A:$A,1,FALSE)</f>
        <v>#N/A</v>
      </c>
      <c r="J4671" s="24" t="s">
        <v>3074</v>
      </c>
      <c r="K4671" s="16" t="s">
        <v>6347</v>
      </c>
      <c r="L4671" s="25"/>
      <c r="M4671" s="26" t="s">
        <v>6323</v>
      </c>
      <c r="N4671" s="28">
        <v>43966</v>
      </c>
      <c r="O4671" s="28" t="s">
        <v>457</v>
      </c>
      <c r="P4671" s="365">
        <v>6300</v>
      </c>
      <c r="Q4671" s="369">
        <v>8</v>
      </c>
      <c r="R4671" s="36">
        <f t="shared" si="102"/>
        <v>50400</v>
      </c>
      <c r="S4671" s="37">
        <v>202303</v>
      </c>
      <c r="T4671" s="375" t="s">
        <v>6354</v>
      </c>
      <c r="U4671" s="39"/>
      <c r="V4671" s="370"/>
      <c r="W4671" s="41"/>
      <c r="X4671" s="371">
        <v>43770</v>
      </c>
      <c r="Y4671" s="371">
        <v>45961</v>
      </c>
    </row>
    <row r="4672" s="9" customFormat="1" customHeight="1" spans="1:25">
      <c r="A4672" s="16" t="s">
        <v>401</v>
      </c>
      <c r="B4672" s="17" t="s">
        <v>6236</v>
      </c>
      <c r="C4672" s="17" t="s">
        <v>63</v>
      </c>
      <c r="D4672" s="17" t="s">
        <v>6237</v>
      </c>
      <c r="E4672" s="18" t="s">
        <v>6238</v>
      </c>
      <c r="F4672" s="16" t="s">
        <v>6239</v>
      </c>
      <c r="G4672" s="16" t="s">
        <v>88</v>
      </c>
      <c r="H4672" s="19" t="s">
        <v>6346</v>
      </c>
      <c r="I4672" s="23" t="e">
        <f>VLOOKUP(H4672,'合同综合查询数据（3月返）'!$A:$A,1,FALSE)</f>
        <v>#N/A</v>
      </c>
      <c r="J4672" s="24" t="s">
        <v>3074</v>
      </c>
      <c r="K4672" s="16" t="s">
        <v>6347</v>
      </c>
      <c r="L4672" s="25"/>
      <c r="M4672" s="26" t="s">
        <v>6355</v>
      </c>
      <c r="N4672" s="28">
        <v>44025</v>
      </c>
      <c r="O4672" s="28" t="s">
        <v>457</v>
      </c>
      <c r="P4672" s="365">
        <v>6300</v>
      </c>
      <c r="Q4672" s="369">
        <v>21</v>
      </c>
      <c r="R4672" s="173">
        <f t="shared" si="102"/>
        <v>132300</v>
      </c>
      <c r="S4672" s="37">
        <v>202303</v>
      </c>
      <c r="T4672" s="38" t="s">
        <v>6356</v>
      </c>
      <c r="U4672" s="39"/>
      <c r="V4672" s="370"/>
      <c r="W4672" s="41"/>
      <c r="X4672" s="371">
        <v>43770</v>
      </c>
      <c r="Y4672" s="371">
        <v>45961</v>
      </c>
    </row>
    <row r="4673" s="9" customFormat="1" customHeight="1" spans="1:25">
      <c r="A4673" s="16" t="s">
        <v>401</v>
      </c>
      <c r="B4673" s="17" t="s">
        <v>6236</v>
      </c>
      <c r="C4673" s="17" t="s">
        <v>63</v>
      </c>
      <c r="D4673" s="17" t="s">
        <v>6237</v>
      </c>
      <c r="E4673" s="18" t="s">
        <v>6238</v>
      </c>
      <c r="F4673" s="16" t="s">
        <v>6239</v>
      </c>
      <c r="G4673" s="16" t="s">
        <v>88</v>
      </c>
      <c r="H4673" s="19" t="s">
        <v>6346</v>
      </c>
      <c r="I4673" s="23" t="e">
        <f>VLOOKUP(H4673,'合同综合查询数据（3月返）'!$A:$A,1,FALSE)</f>
        <v>#N/A</v>
      </c>
      <c r="J4673" s="24" t="s">
        <v>3074</v>
      </c>
      <c r="K4673" s="16" t="s">
        <v>6347</v>
      </c>
      <c r="L4673" s="25"/>
      <c r="M4673" s="26" t="s">
        <v>6355</v>
      </c>
      <c r="N4673" s="28">
        <v>44033</v>
      </c>
      <c r="O4673" s="28" t="s">
        <v>457</v>
      </c>
      <c r="P4673" s="365">
        <v>6300</v>
      </c>
      <c r="Q4673" s="369">
        <v>-3</v>
      </c>
      <c r="R4673" s="173">
        <f t="shared" si="102"/>
        <v>-18900</v>
      </c>
      <c r="S4673" s="37">
        <v>202303</v>
      </c>
      <c r="T4673" s="38" t="s">
        <v>6357</v>
      </c>
      <c r="U4673" s="39"/>
      <c r="V4673" s="370"/>
      <c r="W4673" s="41"/>
      <c r="X4673" s="371">
        <v>43770</v>
      </c>
      <c r="Y4673" s="371">
        <v>45961</v>
      </c>
    </row>
    <row r="4674" s="9" customFormat="1" customHeight="1" spans="1:25">
      <c r="A4674" s="16" t="s">
        <v>401</v>
      </c>
      <c r="B4674" s="17" t="s">
        <v>6236</v>
      </c>
      <c r="C4674" s="17" t="s">
        <v>63</v>
      </c>
      <c r="D4674" s="17" t="s">
        <v>6237</v>
      </c>
      <c r="E4674" s="18" t="s">
        <v>6238</v>
      </c>
      <c r="F4674" s="16" t="s">
        <v>6239</v>
      </c>
      <c r="G4674" s="16" t="s">
        <v>88</v>
      </c>
      <c r="H4674" s="19" t="s">
        <v>6346</v>
      </c>
      <c r="I4674" s="23" t="e">
        <f>VLOOKUP(H4674,'合同综合查询数据（3月返）'!$A:$A,1,FALSE)</f>
        <v>#N/A</v>
      </c>
      <c r="J4674" s="24" t="s">
        <v>3074</v>
      </c>
      <c r="K4674" s="16" t="s">
        <v>6347</v>
      </c>
      <c r="L4674" s="25"/>
      <c r="M4674" s="26" t="s">
        <v>6355</v>
      </c>
      <c r="N4674" s="28">
        <v>44027</v>
      </c>
      <c r="O4674" s="28" t="s">
        <v>457</v>
      </c>
      <c r="P4674" s="365">
        <v>6300</v>
      </c>
      <c r="Q4674" s="369">
        <v>12</v>
      </c>
      <c r="R4674" s="173">
        <f t="shared" si="102"/>
        <v>75600</v>
      </c>
      <c r="S4674" s="37">
        <v>202303</v>
      </c>
      <c r="T4674" s="38" t="s">
        <v>6358</v>
      </c>
      <c r="U4674" s="39"/>
      <c r="V4674" s="370"/>
      <c r="W4674" s="41"/>
      <c r="X4674" s="371">
        <v>43770</v>
      </c>
      <c r="Y4674" s="371">
        <v>45961</v>
      </c>
    </row>
    <row r="4675" s="9" customFormat="1" customHeight="1" spans="1:25">
      <c r="A4675" s="16" t="s">
        <v>401</v>
      </c>
      <c r="B4675" s="17" t="s">
        <v>6236</v>
      </c>
      <c r="C4675" s="17" t="s">
        <v>63</v>
      </c>
      <c r="D4675" s="17" t="s">
        <v>6237</v>
      </c>
      <c r="E4675" s="18" t="s">
        <v>6238</v>
      </c>
      <c r="F4675" s="16" t="s">
        <v>6239</v>
      </c>
      <c r="G4675" s="16" t="s">
        <v>88</v>
      </c>
      <c r="H4675" s="19" t="s">
        <v>6346</v>
      </c>
      <c r="I4675" s="23" t="e">
        <f>VLOOKUP(H4675,'合同综合查询数据（3月返）'!$A:$A,1,FALSE)</f>
        <v>#N/A</v>
      </c>
      <c r="J4675" s="24" t="s">
        <v>3074</v>
      </c>
      <c r="K4675" s="16" t="s">
        <v>6347</v>
      </c>
      <c r="L4675" s="25"/>
      <c r="M4675" s="26" t="s">
        <v>6355</v>
      </c>
      <c r="N4675" s="28">
        <v>44034</v>
      </c>
      <c r="O4675" s="28" t="s">
        <v>457</v>
      </c>
      <c r="P4675" s="365">
        <v>6300</v>
      </c>
      <c r="Q4675" s="369">
        <v>9</v>
      </c>
      <c r="R4675" s="173">
        <f t="shared" si="102"/>
        <v>56700</v>
      </c>
      <c r="S4675" s="37">
        <v>202303</v>
      </c>
      <c r="T4675" s="38" t="s">
        <v>6359</v>
      </c>
      <c r="U4675" s="39"/>
      <c r="V4675" s="370"/>
      <c r="W4675" s="41"/>
      <c r="X4675" s="371">
        <v>43770</v>
      </c>
      <c r="Y4675" s="371">
        <v>45961</v>
      </c>
    </row>
    <row r="4676" s="10" customFormat="1" customHeight="1" spans="1:25">
      <c r="A4676" s="42" t="s">
        <v>401</v>
      </c>
      <c r="B4676" s="43" t="s">
        <v>6236</v>
      </c>
      <c r="C4676" s="43" t="s">
        <v>63</v>
      </c>
      <c r="D4676" s="43" t="s">
        <v>6237</v>
      </c>
      <c r="E4676" s="44" t="s">
        <v>6238</v>
      </c>
      <c r="F4676" s="42" t="s">
        <v>6239</v>
      </c>
      <c r="G4676" s="42" t="s">
        <v>88</v>
      </c>
      <c r="H4676" s="45" t="s">
        <v>6360</v>
      </c>
      <c r="I4676" s="47" t="e">
        <f>VLOOKUP(H4676,'合同综合查询数据（3月返）'!$A:$A,1,FALSE)</f>
        <v>#N/A</v>
      </c>
      <c r="J4676" s="48" t="s">
        <v>3074</v>
      </c>
      <c r="K4676" s="42" t="s">
        <v>6347</v>
      </c>
      <c r="L4676" s="49"/>
      <c r="M4676" s="50" t="s">
        <v>6323</v>
      </c>
      <c r="N4676" s="51"/>
      <c r="O4676" s="51" t="s">
        <v>545</v>
      </c>
      <c r="P4676" s="366">
        <v>0</v>
      </c>
      <c r="Q4676" s="372">
        <v>10</v>
      </c>
      <c r="R4676" s="144">
        <f t="shared" si="102"/>
        <v>0</v>
      </c>
      <c r="S4676" s="55">
        <v>202303</v>
      </c>
      <c r="T4676" s="56" t="s">
        <v>6361</v>
      </c>
      <c r="U4676" s="57"/>
      <c r="V4676" s="373"/>
      <c r="W4676" s="59"/>
      <c r="X4676" s="374"/>
      <c r="Y4676" s="374"/>
    </row>
    <row r="4677" s="9" customFormat="1" customHeight="1" spans="1:25">
      <c r="A4677" s="16" t="s">
        <v>401</v>
      </c>
      <c r="B4677" s="17" t="s">
        <v>6236</v>
      </c>
      <c r="C4677" s="17" t="s">
        <v>63</v>
      </c>
      <c r="D4677" s="17" t="s">
        <v>6237</v>
      </c>
      <c r="E4677" s="18" t="s">
        <v>6238</v>
      </c>
      <c r="F4677" s="16" t="s">
        <v>6239</v>
      </c>
      <c r="G4677" s="16" t="s">
        <v>88</v>
      </c>
      <c r="H4677" s="19" t="s">
        <v>6346</v>
      </c>
      <c r="I4677" s="23" t="e">
        <f>VLOOKUP(H4677,'合同综合查询数据（3月返）'!$A:$A,1,FALSE)</f>
        <v>#N/A</v>
      </c>
      <c r="J4677" s="24" t="s">
        <v>3074</v>
      </c>
      <c r="K4677" s="16" t="s">
        <v>6347</v>
      </c>
      <c r="L4677" s="25"/>
      <c r="M4677" s="26" t="s">
        <v>6355</v>
      </c>
      <c r="N4677" s="28">
        <v>44151</v>
      </c>
      <c r="O4677" s="28" t="s">
        <v>457</v>
      </c>
      <c r="P4677" s="365">
        <v>6300</v>
      </c>
      <c r="Q4677" s="369">
        <v>17</v>
      </c>
      <c r="R4677" s="173">
        <f t="shared" si="102"/>
        <v>107100</v>
      </c>
      <c r="S4677" s="37">
        <v>202303</v>
      </c>
      <c r="T4677" s="38" t="s">
        <v>6362</v>
      </c>
      <c r="U4677" s="39"/>
      <c r="V4677" s="370"/>
      <c r="W4677" s="41"/>
      <c r="X4677" s="371">
        <v>43770</v>
      </c>
      <c r="Y4677" s="371">
        <v>45961</v>
      </c>
    </row>
    <row r="4678" s="9" customFormat="1" customHeight="1" spans="1:25">
      <c r="A4678" s="16" t="s">
        <v>401</v>
      </c>
      <c r="B4678" s="17" t="s">
        <v>6236</v>
      </c>
      <c r="C4678" s="17" t="s">
        <v>63</v>
      </c>
      <c r="D4678" s="17" t="s">
        <v>6237</v>
      </c>
      <c r="E4678" s="18" t="s">
        <v>6238</v>
      </c>
      <c r="F4678" s="16" t="s">
        <v>6239</v>
      </c>
      <c r="G4678" s="16" t="s">
        <v>88</v>
      </c>
      <c r="H4678" s="19" t="s">
        <v>6346</v>
      </c>
      <c r="I4678" s="23" t="e">
        <f>VLOOKUP(H4678,'合同综合查询数据（3月返）'!$A:$A,1,FALSE)</f>
        <v>#N/A</v>
      </c>
      <c r="J4678" s="24" t="s">
        <v>3074</v>
      </c>
      <c r="K4678" s="16" t="s">
        <v>6347</v>
      </c>
      <c r="L4678" s="25"/>
      <c r="M4678" s="26" t="s">
        <v>6355</v>
      </c>
      <c r="N4678" s="28">
        <v>44153</v>
      </c>
      <c r="O4678" s="28" t="s">
        <v>457</v>
      </c>
      <c r="P4678" s="365">
        <v>6300</v>
      </c>
      <c r="Q4678" s="369">
        <v>1</v>
      </c>
      <c r="R4678" s="173">
        <f t="shared" si="102"/>
        <v>6300</v>
      </c>
      <c r="S4678" s="37">
        <v>202303</v>
      </c>
      <c r="T4678" s="38" t="s">
        <v>6363</v>
      </c>
      <c r="U4678" s="39"/>
      <c r="V4678" s="370"/>
      <c r="W4678" s="41"/>
      <c r="X4678" s="371">
        <v>43770</v>
      </c>
      <c r="Y4678" s="371">
        <v>45961</v>
      </c>
    </row>
    <row r="4679" s="9" customFormat="1" customHeight="1" spans="1:25">
      <c r="A4679" s="16" t="s">
        <v>401</v>
      </c>
      <c r="B4679" s="17" t="s">
        <v>6236</v>
      </c>
      <c r="C4679" s="17" t="s">
        <v>63</v>
      </c>
      <c r="D4679" s="17" t="s">
        <v>6237</v>
      </c>
      <c r="E4679" s="18" t="s">
        <v>6238</v>
      </c>
      <c r="F4679" s="16" t="s">
        <v>6239</v>
      </c>
      <c r="G4679" s="16" t="s">
        <v>88</v>
      </c>
      <c r="H4679" s="19" t="s">
        <v>6346</v>
      </c>
      <c r="I4679" s="23" t="e">
        <f>VLOOKUP(H4679,'合同综合查询数据（3月返）'!$A:$A,1,FALSE)</f>
        <v>#N/A</v>
      </c>
      <c r="J4679" s="24" t="s">
        <v>3074</v>
      </c>
      <c r="K4679" s="16" t="s">
        <v>6347</v>
      </c>
      <c r="L4679" s="25"/>
      <c r="M4679" s="26" t="s">
        <v>6355</v>
      </c>
      <c r="N4679" s="28">
        <v>44154</v>
      </c>
      <c r="O4679" s="28" t="s">
        <v>457</v>
      </c>
      <c r="P4679" s="365">
        <v>6300</v>
      </c>
      <c r="Q4679" s="369">
        <v>6</v>
      </c>
      <c r="R4679" s="173">
        <f t="shared" si="102"/>
        <v>37800</v>
      </c>
      <c r="S4679" s="37">
        <v>202303</v>
      </c>
      <c r="T4679" s="38" t="s">
        <v>6364</v>
      </c>
      <c r="U4679" s="39"/>
      <c r="V4679" s="370"/>
      <c r="W4679" s="41"/>
      <c r="X4679" s="371">
        <v>43770</v>
      </c>
      <c r="Y4679" s="371">
        <v>45961</v>
      </c>
    </row>
    <row r="4680" s="9" customFormat="1" customHeight="1" spans="1:25">
      <c r="A4680" s="16" t="s">
        <v>401</v>
      </c>
      <c r="B4680" s="17" t="s">
        <v>6236</v>
      </c>
      <c r="C4680" s="17" t="s">
        <v>63</v>
      </c>
      <c r="D4680" s="17" t="s">
        <v>6237</v>
      </c>
      <c r="E4680" s="18" t="s">
        <v>6238</v>
      </c>
      <c r="F4680" s="16" t="s">
        <v>6239</v>
      </c>
      <c r="G4680" s="16" t="s">
        <v>88</v>
      </c>
      <c r="H4680" s="19" t="s">
        <v>6346</v>
      </c>
      <c r="I4680" s="23" t="e">
        <f>VLOOKUP(H4680,'合同综合查询数据（3月返）'!$A:$A,1,FALSE)</f>
        <v>#N/A</v>
      </c>
      <c r="J4680" s="24" t="s">
        <v>3074</v>
      </c>
      <c r="K4680" s="16" t="s">
        <v>6347</v>
      </c>
      <c r="L4680" s="25"/>
      <c r="M4680" s="26" t="s">
        <v>6323</v>
      </c>
      <c r="N4680" s="28">
        <v>44089</v>
      </c>
      <c r="O4680" s="28" t="s">
        <v>457</v>
      </c>
      <c r="P4680" s="365">
        <v>6300</v>
      </c>
      <c r="Q4680" s="369">
        <v>2</v>
      </c>
      <c r="R4680" s="173">
        <f t="shared" si="102"/>
        <v>12600</v>
      </c>
      <c r="S4680" s="37">
        <v>202303</v>
      </c>
      <c r="T4680" s="38" t="s">
        <v>6365</v>
      </c>
      <c r="U4680" s="39"/>
      <c r="V4680" s="370"/>
      <c r="W4680" s="41"/>
      <c r="X4680" s="371">
        <v>43770</v>
      </c>
      <c r="Y4680" s="371">
        <v>45961</v>
      </c>
    </row>
    <row r="4681" s="9" customFormat="1" customHeight="1" spans="1:25">
      <c r="A4681" s="16" t="s">
        <v>401</v>
      </c>
      <c r="B4681" s="17" t="s">
        <v>6236</v>
      </c>
      <c r="C4681" s="17" t="s">
        <v>63</v>
      </c>
      <c r="D4681" s="17" t="s">
        <v>6237</v>
      </c>
      <c r="E4681" s="18" t="s">
        <v>6238</v>
      </c>
      <c r="F4681" s="16" t="s">
        <v>6239</v>
      </c>
      <c r="G4681" s="16" t="s">
        <v>88</v>
      </c>
      <c r="H4681" s="19" t="s">
        <v>6346</v>
      </c>
      <c r="I4681" s="23" t="e">
        <f>VLOOKUP(H4681,'合同综合查询数据（3月返）'!$A:$A,1,FALSE)</f>
        <v>#N/A</v>
      </c>
      <c r="J4681" s="24" t="s">
        <v>3074</v>
      </c>
      <c r="K4681" s="16" t="s">
        <v>6347</v>
      </c>
      <c r="L4681" s="25"/>
      <c r="M4681" s="26" t="s">
        <v>6323</v>
      </c>
      <c r="N4681" s="28">
        <v>44116</v>
      </c>
      <c r="O4681" s="28" t="s">
        <v>457</v>
      </c>
      <c r="P4681" s="365">
        <v>6300</v>
      </c>
      <c r="Q4681" s="369">
        <v>-2</v>
      </c>
      <c r="R4681" s="173">
        <f t="shared" si="102"/>
        <v>-12600</v>
      </c>
      <c r="S4681" s="37">
        <v>202303</v>
      </c>
      <c r="T4681" s="38" t="s">
        <v>6366</v>
      </c>
      <c r="U4681" s="39"/>
      <c r="V4681" s="370"/>
      <c r="W4681" s="41"/>
      <c r="X4681" s="371">
        <v>43770</v>
      </c>
      <c r="Y4681" s="371">
        <v>45961</v>
      </c>
    </row>
    <row r="4682" s="9" customFormat="1" customHeight="1" spans="1:25">
      <c r="A4682" s="16" t="s">
        <v>401</v>
      </c>
      <c r="B4682" s="17" t="s">
        <v>6236</v>
      </c>
      <c r="C4682" s="17" t="s">
        <v>63</v>
      </c>
      <c r="D4682" s="17" t="s">
        <v>6237</v>
      </c>
      <c r="E4682" s="18" t="s">
        <v>6238</v>
      </c>
      <c r="F4682" s="16" t="s">
        <v>6239</v>
      </c>
      <c r="G4682" s="16" t="s">
        <v>88</v>
      </c>
      <c r="H4682" s="19" t="s">
        <v>6346</v>
      </c>
      <c r="I4682" s="23" t="e">
        <f>VLOOKUP(H4682,'合同综合查询数据（3月返）'!$A:$A,1,FALSE)</f>
        <v>#N/A</v>
      </c>
      <c r="J4682" s="24" t="s">
        <v>3074</v>
      </c>
      <c r="K4682" s="16" t="s">
        <v>6347</v>
      </c>
      <c r="L4682" s="25"/>
      <c r="M4682" s="26" t="s">
        <v>6323</v>
      </c>
      <c r="N4682" s="28">
        <v>44172</v>
      </c>
      <c r="O4682" s="28" t="s">
        <v>457</v>
      </c>
      <c r="P4682" s="365">
        <v>6300</v>
      </c>
      <c r="Q4682" s="369">
        <v>3</v>
      </c>
      <c r="R4682" s="173">
        <f t="shared" si="102"/>
        <v>18900</v>
      </c>
      <c r="S4682" s="37">
        <v>202303</v>
      </c>
      <c r="T4682" s="38" t="s">
        <v>6367</v>
      </c>
      <c r="U4682" s="39"/>
      <c r="V4682" s="370"/>
      <c r="W4682" s="41"/>
      <c r="X4682" s="371">
        <v>43770</v>
      </c>
      <c r="Y4682" s="371">
        <v>45961</v>
      </c>
    </row>
    <row r="4683" s="9" customFormat="1" customHeight="1" spans="1:25">
      <c r="A4683" s="16" t="s">
        <v>401</v>
      </c>
      <c r="B4683" s="17" t="s">
        <v>6236</v>
      </c>
      <c r="C4683" s="17" t="s">
        <v>63</v>
      </c>
      <c r="D4683" s="17" t="s">
        <v>6237</v>
      </c>
      <c r="E4683" s="18" t="s">
        <v>6238</v>
      </c>
      <c r="F4683" s="16" t="s">
        <v>6239</v>
      </c>
      <c r="G4683" s="16" t="s">
        <v>88</v>
      </c>
      <c r="H4683" s="19" t="s">
        <v>6346</v>
      </c>
      <c r="I4683" s="23" t="e">
        <f>VLOOKUP(H4683,'合同综合查询数据（3月返）'!$A:$A,1,FALSE)</f>
        <v>#N/A</v>
      </c>
      <c r="J4683" s="24" t="s">
        <v>3074</v>
      </c>
      <c r="K4683" s="16" t="s">
        <v>6347</v>
      </c>
      <c r="L4683" s="25"/>
      <c r="M4683" s="26" t="s">
        <v>6323</v>
      </c>
      <c r="N4683" s="28">
        <v>44173</v>
      </c>
      <c r="O4683" s="28" t="s">
        <v>457</v>
      </c>
      <c r="P4683" s="365">
        <v>6300</v>
      </c>
      <c r="Q4683" s="369">
        <v>1</v>
      </c>
      <c r="R4683" s="173">
        <f t="shared" si="102"/>
        <v>6300</v>
      </c>
      <c r="S4683" s="37">
        <v>202303</v>
      </c>
      <c r="T4683" s="38" t="s">
        <v>6368</v>
      </c>
      <c r="U4683" s="39"/>
      <c r="V4683" s="370"/>
      <c r="W4683" s="41"/>
      <c r="X4683" s="371">
        <v>43770</v>
      </c>
      <c r="Y4683" s="371">
        <v>45961</v>
      </c>
    </row>
    <row r="4684" s="9" customFormat="1" customHeight="1" spans="1:25">
      <c r="A4684" s="16" t="s">
        <v>401</v>
      </c>
      <c r="B4684" s="17" t="s">
        <v>6236</v>
      </c>
      <c r="C4684" s="17" t="s">
        <v>63</v>
      </c>
      <c r="D4684" s="17" t="s">
        <v>6237</v>
      </c>
      <c r="E4684" s="18" t="s">
        <v>6238</v>
      </c>
      <c r="F4684" s="16" t="s">
        <v>6239</v>
      </c>
      <c r="G4684" s="16" t="s">
        <v>88</v>
      </c>
      <c r="H4684" s="19" t="s">
        <v>6346</v>
      </c>
      <c r="I4684" s="23" t="e">
        <f>VLOOKUP(H4684,'合同综合查询数据（3月返）'!$A:$A,1,FALSE)</f>
        <v>#N/A</v>
      </c>
      <c r="J4684" s="24" t="s">
        <v>3074</v>
      </c>
      <c r="K4684" s="16" t="s">
        <v>6347</v>
      </c>
      <c r="L4684" s="25"/>
      <c r="M4684" s="26" t="s">
        <v>6323</v>
      </c>
      <c r="N4684" s="28">
        <v>44175</v>
      </c>
      <c r="O4684" s="28" t="s">
        <v>457</v>
      </c>
      <c r="P4684" s="365">
        <v>6300</v>
      </c>
      <c r="Q4684" s="369">
        <v>2</v>
      </c>
      <c r="R4684" s="173">
        <f t="shared" si="102"/>
        <v>12600</v>
      </c>
      <c r="S4684" s="37">
        <v>202303</v>
      </c>
      <c r="T4684" s="38" t="s">
        <v>6369</v>
      </c>
      <c r="U4684" s="39"/>
      <c r="V4684" s="370"/>
      <c r="W4684" s="41"/>
      <c r="X4684" s="371">
        <v>43770</v>
      </c>
      <c r="Y4684" s="371">
        <v>45961</v>
      </c>
    </row>
    <row r="4685" s="9" customFormat="1" customHeight="1" spans="1:25">
      <c r="A4685" s="16" t="s">
        <v>401</v>
      </c>
      <c r="B4685" s="17" t="s">
        <v>6236</v>
      </c>
      <c r="C4685" s="17" t="s">
        <v>63</v>
      </c>
      <c r="D4685" s="17" t="s">
        <v>6237</v>
      </c>
      <c r="E4685" s="18" t="s">
        <v>6238</v>
      </c>
      <c r="F4685" s="16" t="s">
        <v>6239</v>
      </c>
      <c r="G4685" s="16" t="s">
        <v>88</v>
      </c>
      <c r="H4685" s="19" t="s">
        <v>6346</v>
      </c>
      <c r="I4685" s="23" t="e">
        <f>VLOOKUP(H4685,'合同综合查询数据（3月返）'!$A:$A,1,FALSE)</f>
        <v>#N/A</v>
      </c>
      <c r="J4685" s="24" t="s">
        <v>3074</v>
      </c>
      <c r="K4685" s="16" t="s">
        <v>6347</v>
      </c>
      <c r="L4685" s="25"/>
      <c r="M4685" s="26" t="s">
        <v>6323</v>
      </c>
      <c r="N4685" s="28">
        <v>44179</v>
      </c>
      <c r="O4685" s="28" t="s">
        <v>457</v>
      </c>
      <c r="P4685" s="365">
        <v>6300</v>
      </c>
      <c r="Q4685" s="369">
        <v>6</v>
      </c>
      <c r="R4685" s="173">
        <f t="shared" si="102"/>
        <v>37800</v>
      </c>
      <c r="S4685" s="37">
        <v>202303</v>
      </c>
      <c r="T4685" s="38" t="s">
        <v>6370</v>
      </c>
      <c r="U4685" s="39"/>
      <c r="V4685" s="370"/>
      <c r="W4685" s="41"/>
      <c r="X4685" s="371">
        <v>43770</v>
      </c>
      <c r="Y4685" s="371">
        <v>45961</v>
      </c>
    </row>
    <row r="4686" s="9" customFormat="1" customHeight="1" spans="1:25">
      <c r="A4686" s="16" t="s">
        <v>401</v>
      </c>
      <c r="B4686" s="17" t="s">
        <v>6236</v>
      </c>
      <c r="C4686" s="17" t="s">
        <v>63</v>
      </c>
      <c r="D4686" s="17" t="s">
        <v>6237</v>
      </c>
      <c r="E4686" s="18" t="s">
        <v>6238</v>
      </c>
      <c r="F4686" s="16" t="s">
        <v>6239</v>
      </c>
      <c r="G4686" s="16" t="s">
        <v>88</v>
      </c>
      <c r="H4686" s="19" t="s">
        <v>6346</v>
      </c>
      <c r="I4686" s="23" t="e">
        <f>VLOOKUP(H4686,'合同综合查询数据（3月返）'!$A:$A,1,FALSE)</f>
        <v>#N/A</v>
      </c>
      <c r="J4686" s="24" t="s">
        <v>3074</v>
      </c>
      <c r="K4686" s="16" t="s">
        <v>6347</v>
      </c>
      <c r="L4686" s="25"/>
      <c r="M4686" s="26" t="s">
        <v>6323</v>
      </c>
      <c r="N4686" s="28">
        <v>44180</v>
      </c>
      <c r="O4686" s="28" t="s">
        <v>457</v>
      </c>
      <c r="P4686" s="365">
        <v>6300</v>
      </c>
      <c r="Q4686" s="369">
        <v>4</v>
      </c>
      <c r="R4686" s="173">
        <f t="shared" si="102"/>
        <v>25200</v>
      </c>
      <c r="S4686" s="37">
        <v>202303</v>
      </c>
      <c r="T4686" s="38" t="s">
        <v>6371</v>
      </c>
      <c r="U4686" s="39"/>
      <c r="V4686" s="370"/>
      <c r="W4686" s="41"/>
      <c r="X4686" s="371">
        <v>43770</v>
      </c>
      <c r="Y4686" s="371">
        <v>45961</v>
      </c>
    </row>
    <row r="4687" s="9" customFormat="1" customHeight="1" spans="1:25">
      <c r="A4687" s="16" t="s">
        <v>401</v>
      </c>
      <c r="B4687" s="17" t="s">
        <v>6236</v>
      </c>
      <c r="C4687" s="17" t="s">
        <v>63</v>
      </c>
      <c r="D4687" s="17" t="s">
        <v>6237</v>
      </c>
      <c r="E4687" s="18" t="s">
        <v>6238</v>
      </c>
      <c r="F4687" s="16" t="s">
        <v>6239</v>
      </c>
      <c r="G4687" s="16" t="s">
        <v>88</v>
      </c>
      <c r="H4687" s="19" t="s">
        <v>6346</v>
      </c>
      <c r="I4687" s="23" t="e">
        <f>VLOOKUP(H4687,'合同综合查询数据（3月返）'!$A:$A,1,FALSE)</f>
        <v>#N/A</v>
      </c>
      <c r="J4687" s="24" t="s">
        <v>3074</v>
      </c>
      <c r="K4687" s="16" t="s">
        <v>6347</v>
      </c>
      <c r="L4687" s="25"/>
      <c r="M4687" s="26" t="s">
        <v>6323</v>
      </c>
      <c r="N4687" s="28">
        <v>44181</v>
      </c>
      <c r="O4687" s="28" t="s">
        <v>457</v>
      </c>
      <c r="P4687" s="365">
        <v>6300</v>
      </c>
      <c r="Q4687" s="369">
        <v>2</v>
      </c>
      <c r="R4687" s="173">
        <f t="shared" si="102"/>
        <v>12600</v>
      </c>
      <c r="S4687" s="37">
        <v>202303</v>
      </c>
      <c r="T4687" s="38" t="s">
        <v>6372</v>
      </c>
      <c r="U4687" s="39"/>
      <c r="V4687" s="370"/>
      <c r="W4687" s="41"/>
      <c r="X4687" s="371">
        <v>43770</v>
      </c>
      <c r="Y4687" s="371">
        <v>45961</v>
      </c>
    </row>
    <row r="4688" s="9" customFormat="1" customHeight="1" spans="1:25">
      <c r="A4688" s="16" t="s">
        <v>401</v>
      </c>
      <c r="B4688" s="17" t="s">
        <v>6236</v>
      </c>
      <c r="C4688" s="17" t="s">
        <v>63</v>
      </c>
      <c r="D4688" s="17" t="s">
        <v>6237</v>
      </c>
      <c r="E4688" s="18" t="s">
        <v>6238</v>
      </c>
      <c r="F4688" s="16" t="s">
        <v>6239</v>
      </c>
      <c r="G4688" s="16" t="s">
        <v>88</v>
      </c>
      <c r="H4688" s="19" t="s">
        <v>6346</v>
      </c>
      <c r="I4688" s="23" t="e">
        <f>VLOOKUP(H4688,'合同综合查询数据（3月返）'!$A:$A,1,FALSE)</f>
        <v>#N/A</v>
      </c>
      <c r="J4688" s="24" t="s">
        <v>3074</v>
      </c>
      <c r="K4688" s="16" t="s">
        <v>6347</v>
      </c>
      <c r="L4688" s="25"/>
      <c r="M4688" s="26" t="s">
        <v>6323</v>
      </c>
      <c r="N4688" s="28">
        <v>44182</v>
      </c>
      <c r="O4688" s="28" t="s">
        <v>457</v>
      </c>
      <c r="P4688" s="365">
        <v>6300</v>
      </c>
      <c r="Q4688" s="369">
        <v>19</v>
      </c>
      <c r="R4688" s="173">
        <f t="shared" si="102"/>
        <v>119700</v>
      </c>
      <c r="S4688" s="37">
        <v>202303</v>
      </c>
      <c r="T4688" s="38" t="s">
        <v>6373</v>
      </c>
      <c r="U4688" s="39"/>
      <c r="V4688" s="370"/>
      <c r="W4688" s="41"/>
      <c r="X4688" s="371">
        <v>43770</v>
      </c>
      <c r="Y4688" s="371">
        <v>45961</v>
      </c>
    </row>
    <row r="4689" s="9" customFormat="1" customHeight="1" spans="1:25">
      <c r="A4689" s="16" t="s">
        <v>401</v>
      </c>
      <c r="B4689" s="17" t="s">
        <v>6236</v>
      </c>
      <c r="C4689" s="17" t="s">
        <v>63</v>
      </c>
      <c r="D4689" s="17" t="s">
        <v>6237</v>
      </c>
      <c r="E4689" s="18" t="s">
        <v>6238</v>
      </c>
      <c r="F4689" s="16" t="s">
        <v>6239</v>
      </c>
      <c r="G4689" s="16" t="s">
        <v>88</v>
      </c>
      <c r="H4689" s="19" t="s">
        <v>6346</v>
      </c>
      <c r="I4689" s="23" t="e">
        <f>VLOOKUP(H4689,'合同综合查询数据（3月返）'!$A:$A,1,FALSE)</f>
        <v>#N/A</v>
      </c>
      <c r="J4689" s="24" t="s">
        <v>3074</v>
      </c>
      <c r="K4689" s="16" t="s">
        <v>6347</v>
      </c>
      <c r="L4689" s="25"/>
      <c r="M4689" s="26" t="s">
        <v>6323</v>
      </c>
      <c r="N4689" s="28">
        <v>44185</v>
      </c>
      <c r="O4689" s="28" t="s">
        <v>457</v>
      </c>
      <c r="P4689" s="365">
        <v>6300</v>
      </c>
      <c r="Q4689" s="369">
        <v>2</v>
      </c>
      <c r="R4689" s="173">
        <f t="shared" si="102"/>
        <v>12600</v>
      </c>
      <c r="S4689" s="37">
        <v>202303</v>
      </c>
      <c r="T4689" s="38" t="s">
        <v>6374</v>
      </c>
      <c r="U4689" s="39"/>
      <c r="V4689" s="370"/>
      <c r="W4689" s="41"/>
      <c r="X4689" s="371">
        <v>43770</v>
      </c>
      <c r="Y4689" s="371">
        <v>45961</v>
      </c>
    </row>
    <row r="4690" s="9" customFormat="1" customHeight="1" spans="1:25">
      <c r="A4690" s="16" t="s">
        <v>401</v>
      </c>
      <c r="B4690" s="17" t="s">
        <v>6236</v>
      </c>
      <c r="C4690" s="17" t="s">
        <v>63</v>
      </c>
      <c r="D4690" s="17" t="s">
        <v>6237</v>
      </c>
      <c r="E4690" s="18" t="s">
        <v>6238</v>
      </c>
      <c r="F4690" s="16" t="s">
        <v>6239</v>
      </c>
      <c r="G4690" s="16" t="s">
        <v>88</v>
      </c>
      <c r="H4690" s="19" t="s">
        <v>6346</v>
      </c>
      <c r="I4690" s="23" t="e">
        <f>VLOOKUP(H4690,'合同综合查询数据（3月返）'!$A:$A,1,FALSE)</f>
        <v>#N/A</v>
      </c>
      <c r="J4690" s="24" t="s">
        <v>3074</v>
      </c>
      <c r="K4690" s="16" t="s">
        <v>6347</v>
      </c>
      <c r="L4690" s="25"/>
      <c r="M4690" s="26" t="s">
        <v>6323</v>
      </c>
      <c r="N4690" s="28">
        <v>44183</v>
      </c>
      <c r="O4690" s="28" t="s">
        <v>457</v>
      </c>
      <c r="P4690" s="365">
        <v>6300</v>
      </c>
      <c r="Q4690" s="369">
        <v>12</v>
      </c>
      <c r="R4690" s="173">
        <f t="shared" si="102"/>
        <v>75600</v>
      </c>
      <c r="S4690" s="37">
        <v>202303</v>
      </c>
      <c r="T4690" s="38" t="s">
        <v>6375</v>
      </c>
      <c r="U4690" s="39"/>
      <c r="V4690" s="370"/>
      <c r="W4690" s="41"/>
      <c r="X4690" s="371">
        <v>43770</v>
      </c>
      <c r="Y4690" s="371">
        <v>45961</v>
      </c>
    </row>
    <row r="4691" s="9" customFormat="1" customHeight="1" spans="1:25">
      <c r="A4691" s="16" t="s">
        <v>401</v>
      </c>
      <c r="B4691" s="17" t="s">
        <v>6236</v>
      </c>
      <c r="C4691" s="17" t="s">
        <v>63</v>
      </c>
      <c r="D4691" s="17" t="s">
        <v>6237</v>
      </c>
      <c r="E4691" s="18" t="s">
        <v>6238</v>
      </c>
      <c r="F4691" s="16" t="s">
        <v>6239</v>
      </c>
      <c r="G4691" s="16" t="s">
        <v>88</v>
      </c>
      <c r="H4691" s="19" t="s">
        <v>6346</v>
      </c>
      <c r="I4691" s="23" t="e">
        <f>VLOOKUP(H4691,'合同综合查询数据（3月返）'!$A:$A,1,FALSE)</f>
        <v>#N/A</v>
      </c>
      <c r="J4691" s="24" t="s">
        <v>3074</v>
      </c>
      <c r="K4691" s="16" t="s">
        <v>6347</v>
      </c>
      <c r="L4691" s="25"/>
      <c r="M4691" s="26" t="s">
        <v>6323</v>
      </c>
      <c r="N4691" s="28">
        <v>44189</v>
      </c>
      <c r="O4691" s="28" t="s">
        <v>457</v>
      </c>
      <c r="P4691" s="365">
        <v>6300</v>
      </c>
      <c r="Q4691" s="369">
        <v>8</v>
      </c>
      <c r="R4691" s="173">
        <f t="shared" si="102"/>
        <v>50400</v>
      </c>
      <c r="S4691" s="37">
        <v>202303</v>
      </c>
      <c r="T4691" s="38" t="s">
        <v>6376</v>
      </c>
      <c r="U4691" s="39"/>
      <c r="V4691" s="370"/>
      <c r="W4691" s="41"/>
      <c r="X4691" s="371">
        <v>43770</v>
      </c>
      <c r="Y4691" s="371">
        <v>45961</v>
      </c>
    </row>
    <row r="4692" s="9" customFormat="1" customHeight="1" spans="1:25">
      <c r="A4692" s="16" t="s">
        <v>401</v>
      </c>
      <c r="B4692" s="17" t="s">
        <v>6236</v>
      </c>
      <c r="C4692" s="17" t="s">
        <v>63</v>
      </c>
      <c r="D4692" s="17" t="s">
        <v>6237</v>
      </c>
      <c r="E4692" s="18" t="s">
        <v>6238</v>
      </c>
      <c r="F4692" s="16" t="s">
        <v>6239</v>
      </c>
      <c r="G4692" s="16" t="s">
        <v>88</v>
      </c>
      <c r="H4692" s="19" t="s">
        <v>6346</v>
      </c>
      <c r="I4692" s="23" t="e">
        <f>VLOOKUP(H4692,'合同综合查询数据（3月返）'!$A:$A,1,FALSE)</f>
        <v>#N/A</v>
      </c>
      <c r="J4692" s="24" t="s">
        <v>3074</v>
      </c>
      <c r="K4692" s="16" t="s">
        <v>6347</v>
      </c>
      <c r="L4692" s="25"/>
      <c r="M4692" s="26" t="s">
        <v>6323</v>
      </c>
      <c r="N4692" s="28">
        <v>44186</v>
      </c>
      <c r="O4692" s="28" t="s">
        <v>457</v>
      </c>
      <c r="P4692" s="365">
        <v>6300</v>
      </c>
      <c r="Q4692" s="369">
        <v>6</v>
      </c>
      <c r="R4692" s="173">
        <f t="shared" ref="R4692:R4701" si="103">ROUND(P4692*Q4692,2)</f>
        <v>37800</v>
      </c>
      <c r="S4692" s="37">
        <v>202303</v>
      </c>
      <c r="T4692" s="38" t="s">
        <v>6377</v>
      </c>
      <c r="U4692" s="39"/>
      <c r="V4692" s="370"/>
      <c r="W4692" s="41"/>
      <c r="X4692" s="371">
        <v>43770</v>
      </c>
      <c r="Y4692" s="371">
        <v>45961</v>
      </c>
    </row>
    <row r="4693" s="9" customFormat="1" customHeight="1" spans="1:25">
      <c r="A4693" s="16" t="s">
        <v>401</v>
      </c>
      <c r="B4693" s="17" t="s">
        <v>6236</v>
      </c>
      <c r="C4693" s="17" t="s">
        <v>63</v>
      </c>
      <c r="D4693" s="17" t="s">
        <v>6237</v>
      </c>
      <c r="E4693" s="18" t="s">
        <v>6238</v>
      </c>
      <c r="F4693" s="16" t="s">
        <v>6239</v>
      </c>
      <c r="G4693" s="16" t="s">
        <v>88</v>
      </c>
      <c r="H4693" s="19" t="s">
        <v>6346</v>
      </c>
      <c r="I4693" s="23" t="e">
        <f>VLOOKUP(H4693,'合同综合查询数据（3月返）'!$A:$A,1,FALSE)</f>
        <v>#N/A</v>
      </c>
      <c r="J4693" s="24" t="s">
        <v>3074</v>
      </c>
      <c r="K4693" s="16" t="s">
        <v>6347</v>
      </c>
      <c r="L4693" s="25"/>
      <c r="M4693" s="26" t="s">
        <v>6323</v>
      </c>
      <c r="N4693" s="28">
        <v>44187</v>
      </c>
      <c r="O4693" s="28" t="s">
        <v>457</v>
      </c>
      <c r="P4693" s="365">
        <v>6300</v>
      </c>
      <c r="Q4693" s="369">
        <v>9</v>
      </c>
      <c r="R4693" s="173">
        <f t="shared" si="103"/>
        <v>56700</v>
      </c>
      <c r="S4693" s="37">
        <v>202303</v>
      </c>
      <c r="T4693" s="38" t="s">
        <v>6378</v>
      </c>
      <c r="U4693" s="39"/>
      <c r="V4693" s="370"/>
      <c r="W4693" s="41"/>
      <c r="X4693" s="371">
        <v>43770</v>
      </c>
      <c r="Y4693" s="371">
        <v>45961</v>
      </c>
    </row>
    <row r="4694" s="9" customFormat="1" customHeight="1" spans="1:25">
      <c r="A4694" s="16" t="s">
        <v>401</v>
      </c>
      <c r="B4694" s="17" t="s">
        <v>6236</v>
      </c>
      <c r="C4694" s="17" t="s">
        <v>63</v>
      </c>
      <c r="D4694" s="17" t="s">
        <v>6237</v>
      </c>
      <c r="E4694" s="18" t="s">
        <v>6238</v>
      </c>
      <c r="F4694" s="16" t="s">
        <v>6239</v>
      </c>
      <c r="G4694" s="16" t="s">
        <v>88</v>
      </c>
      <c r="H4694" s="19" t="s">
        <v>6346</v>
      </c>
      <c r="I4694" s="23" t="e">
        <f>VLOOKUP(H4694,'合同综合查询数据（3月返）'!$A:$A,1,FALSE)</f>
        <v>#N/A</v>
      </c>
      <c r="J4694" s="24" t="s">
        <v>3074</v>
      </c>
      <c r="K4694" s="16" t="s">
        <v>6347</v>
      </c>
      <c r="L4694" s="25"/>
      <c r="M4694" s="26" t="s">
        <v>6323</v>
      </c>
      <c r="N4694" s="28">
        <v>44211</v>
      </c>
      <c r="O4694" s="28" t="s">
        <v>457</v>
      </c>
      <c r="P4694" s="365">
        <v>6300</v>
      </c>
      <c r="Q4694" s="369">
        <v>3</v>
      </c>
      <c r="R4694" s="173">
        <f t="shared" si="103"/>
        <v>18900</v>
      </c>
      <c r="S4694" s="37">
        <v>202303</v>
      </c>
      <c r="T4694" s="375" t="s">
        <v>6379</v>
      </c>
      <c r="U4694" s="39"/>
      <c r="V4694" s="370"/>
      <c r="W4694" s="41"/>
      <c r="X4694" s="371">
        <v>43770</v>
      </c>
      <c r="Y4694" s="371">
        <v>45961</v>
      </c>
    </row>
    <row r="4695" s="9" customFormat="1" customHeight="1" spans="1:25">
      <c r="A4695" s="16" t="s">
        <v>401</v>
      </c>
      <c r="B4695" s="17" t="s">
        <v>6236</v>
      </c>
      <c r="C4695" s="17" t="s">
        <v>63</v>
      </c>
      <c r="D4695" s="17" t="s">
        <v>6237</v>
      </c>
      <c r="E4695" s="18" t="s">
        <v>6238</v>
      </c>
      <c r="F4695" s="16" t="s">
        <v>6239</v>
      </c>
      <c r="G4695" s="16" t="s">
        <v>88</v>
      </c>
      <c r="H4695" s="19" t="s">
        <v>6346</v>
      </c>
      <c r="I4695" s="23" t="e">
        <f>VLOOKUP(H4695,'合同综合查询数据（3月返）'!$A:$A,1,FALSE)</f>
        <v>#N/A</v>
      </c>
      <c r="J4695" s="24" t="s">
        <v>3074</v>
      </c>
      <c r="K4695" s="16" t="s">
        <v>6347</v>
      </c>
      <c r="L4695" s="25"/>
      <c r="M4695" s="26" t="s">
        <v>6297</v>
      </c>
      <c r="N4695" s="28">
        <v>44214</v>
      </c>
      <c r="O4695" s="28" t="s">
        <v>457</v>
      </c>
      <c r="P4695" s="365">
        <v>6300</v>
      </c>
      <c r="Q4695" s="369">
        <v>3</v>
      </c>
      <c r="R4695" s="173">
        <f t="shared" si="103"/>
        <v>18900</v>
      </c>
      <c r="S4695" s="37">
        <v>202303</v>
      </c>
      <c r="T4695" s="375" t="s">
        <v>6380</v>
      </c>
      <c r="U4695" s="39"/>
      <c r="V4695" s="370"/>
      <c r="W4695" s="41"/>
      <c r="X4695" s="371">
        <v>43770</v>
      </c>
      <c r="Y4695" s="371">
        <v>45961</v>
      </c>
    </row>
    <row r="4696" s="9" customFormat="1" customHeight="1" spans="1:25">
      <c r="A4696" s="16" t="s">
        <v>401</v>
      </c>
      <c r="B4696" s="17" t="s">
        <v>6236</v>
      </c>
      <c r="C4696" s="17" t="s">
        <v>63</v>
      </c>
      <c r="D4696" s="17" t="s">
        <v>6237</v>
      </c>
      <c r="E4696" s="18" t="s">
        <v>6238</v>
      </c>
      <c r="F4696" s="16" t="s">
        <v>6239</v>
      </c>
      <c r="G4696" s="16" t="s">
        <v>88</v>
      </c>
      <c r="H4696" s="19" t="s">
        <v>6346</v>
      </c>
      <c r="I4696" s="23" t="e">
        <f>VLOOKUP(H4696,'合同综合查询数据（3月返）'!$A:$A,1,FALSE)</f>
        <v>#N/A</v>
      </c>
      <c r="J4696" s="24" t="s">
        <v>3074</v>
      </c>
      <c r="K4696" s="16" t="s">
        <v>6347</v>
      </c>
      <c r="L4696" s="25"/>
      <c r="M4696" s="26" t="s">
        <v>6297</v>
      </c>
      <c r="N4696" s="28">
        <v>44216</v>
      </c>
      <c r="O4696" s="28" t="s">
        <v>457</v>
      </c>
      <c r="P4696" s="365">
        <v>6300</v>
      </c>
      <c r="Q4696" s="369">
        <v>12</v>
      </c>
      <c r="R4696" s="173">
        <f t="shared" si="103"/>
        <v>75600</v>
      </c>
      <c r="S4696" s="37">
        <v>202303</v>
      </c>
      <c r="T4696" s="375" t="s">
        <v>6381</v>
      </c>
      <c r="U4696" s="39"/>
      <c r="V4696" s="370"/>
      <c r="W4696" s="41"/>
      <c r="X4696" s="371">
        <v>43770</v>
      </c>
      <c r="Y4696" s="371">
        <v>45961</v>
      </c>
    </row>
    <row r="4697" s="9" customFormat="1" customHeight="1" spans="1:25">
      <c r="A4697" s="16" t="s">
        <v>401</v>
      </c>
      <c r="B4697" s="17" t="s">
        <v>6236</v>
      </c>
      <c r="C4697" s="17" t="s">
        <v>63</v>
      </c>
      <c r="D4697" s="17" t="s">
        <v>6237</v>
      </c>
      <c r="E4697" s="18" t="s">
        <v>6238</v>
      </c>
      <c r="F4697" s="16" t="s">
        <v>6239</v>
      </c>
      <c r="G4697" s="16" t="s">
        <v>88</v>
      </c>
      <c r="H4697" s="19" t="s">
        <v>6346</v>
      </c>
      <c r="I4697" s="23" t="e">
        <f>VLOOKUP(H4697,'合同综合查询数据（3月返）'!$A:$A,1,FALSE)</f>
        <v>#N/A</v>
      </c>
      <c r="J4697" s="24" t="s">
        <v>3074</v>
      </c>
      <c r="K4697" s="16" t="s">
        <v>6347</v>
      </c>
      <c r="L4697" s="25"/>
      <c r="M4697" s="26" t="s">
        <v>6297</v>
      </c>
      <c r="N4697" s="28">
        <v>44226</v>
      </c>
      <c r="O4697" s="28" t="s">
        <v>457</v>
      </c>
      <c r="P4697" s="365">
        <v>6300</v>
      </c>
      <c r="Q4697" s="369">
        <v>21</v>
      </c>
      <c r="R4697" s="173">
        <f t="shared" si="103"/>
        <v>132300</v>
      </c>
      <c r="S4697" s="37">
        <v>202303</v>
      </c>
      <c r="T4697" s="375" t="s">
        <v>6382</v>
      </c>
      <c r="U4697" s="39"/>
      <c r="V4697" s="370"/>
      <c r="W4697" s="41"/>
      <c r="X4697" s="371">
        <v>43770</v>
      </c>
      <c r="Y4697" s="371">
        <v>45961</v>
      </c>
    </row>
    <row r="4698" s="9" customFormat="1" customHeight="1" spans="1:25">
      <c r="A4698" s="16" t="s">
        <v>401</v>
      </c>
      <c r="B4698" s="17" t="s">
        <v>6236</v>
      </c>
      <c r="C4698" s="17" t="s">
        <v>63</v>
      </c>
      <c r="D4698" s="17" t="s">
        <v>6237</v>
      </c>
      <c r="E4698" s="18" t="s">
        <v>6238</v>
      </c>
      <c r="F4698" s="16" t="s">
        <v>6239</v>
      </c>
      <c r="G4698" s="16" t="s">
        <v>88</v>
      </c>
      <c r="H4698" s="19" t="s">
        <v>6346</v>
      </c>
      <c r="I4698" s="23" t="e">
        <f>VLOOKUP(H4698,'合同综合查询数据（3月返）'!$A:$A,1,FALSE)</f>
        <v>#N/A</v>
      </c>
      <c r="J4698" s="24" t="s">
        <v>3074</v>
      </c>
      <c r="K4698" s="16" t="s">
        <v>6347</v>
      </c>
      <c r="L4698" s="25"/>
      <c r="M4698" s="26" t="s">
        <v>6297</v>
      </c>
      <c r="N4698" s="28">
        <v>44227</v>
      </c>
      <c r="O4698" s="28" t="s">
        <v>457</v>
      </c>
      <c r="P4698" s="365">
        <v>6300</v>
      </c>
      <c r="Q4698" s="369">
        <v>42</v>
      </c>
      <c r="R4698" s="173">
        <f t="shared" si="103"/>
        <v>264600</v>
      </c>
      <c r="S4698" s="37">
        <v>202303</v>
      </c>
      <c r="T4698" s="375" t="s">
        <v>6383</v>
      </c>
      <c r="U4698" s="39"/>
      <c r="V4698" s="370"/>
      <c r="W4698" s="41"/>
      <c r="X4698" s="371">
        <v>43770</v>
      </c>
      <c r="Y4698" s="371">
        <v>45961</v>
      </c>
    </row>
    <row r="4699" s="9" customFormat="1" customHeight="1" spans="1:25">
      <c r="A4699" s="16" t="s">
        <v>401</v>
      </c>
      <c r="B4699" s="17" t="s">
        <v>6236</v>
      </c>
      <c r="C4699" s="17" t="s">
        <v>63</v>
      </c>
      <c r="D4699" s="17" t="s">
        <v>6237</v>
      </c>
      <c r="E4699" s="18" t="s">
        <v>6238</v>
      </c>
      <c r="F4699" s="16" t="s">
        <v>6239</v>
      </c>
      <c r="G4699" s="16" t="s">
        <v>78</v>
      </c>
      <c r="H4699" s="19" t="s">
        <v>6346</v>
      </c>
      <c r="I4699" s="23" t="e">
        <f>VLOOKUP(H4699,'合同综合查询数据（3月返）'!$A:$A,1,FALSE)</f>
        <v>#N/A</v>
      </c>
      <c r="J4699" s="24" t="s">
        <v>475</v>
      </c>
      <c r="K4699" s="16" t="s">
        <v>6347</v>
      </c>
      <c r="L4699" s="25"/>
      <c r="M4699" s="26"/>
      <c r="N4699" s="28"/>
      <c r="O4699" s="28"/>
      <c r="P4699" s="365">
        <v>3150</v>
      </c>
      <c r="Q4699" s="376">
        <v>0</v>
      </c>
      <c r="R4699" s="173">
        <f t="shared" si="103"/>
        <v>0</v>
      </c>
      <c r="S4699" s="37">
        <v>202303</v>
      </c>
      <c r="T4699" s="375" t="s">
        <v>6384</v>
      </c>
      <c r="U4699" s="39"/>
      <c r="V4699" s="370"/>
      <c r="W4699" s="41"/>
      <c r="X4699" s="371">
        <v>43770</v>
      </c>
      <c r="Y4699" s="371">
        <v>45961</v>
      </c>
    </row>
    <row r="4700" s="9" customFormat="1" customHeight="1" spans="1:25">
      <c r="A4700" s="16" t="s">
        <v>401</v>
      </c>
      <c r="B4700" s="17" t="s">
        <v>6236</v>
      </c>
      <c r="C4700" s="17" t="s">
        <v>63</v>
      </c>
      <c r="D4700" s="17" t="s">
        <v>6237</v>
      </c>
      <c r="E4700" s="18" t="s">
        <v>6238</v>
      </c>
      <c r="F4700" s="16" t="s">
        <v>6239</v>
      </c>
      <c r="G4700" s="16" t="s">
        <v>88</v>
      </c>
      <c r="H4700" s="19" t="s">
        <v>6346</v>
      </c>
      <c r="I4700" s="23" t="e">
        <f>VLOOKUP(H4700,'合同综合查询数据（3月返）'!$A:$A,1,FALSE)</f>
        <v>#N/A</v>
      </c>
      <c r="J4700" s="24" t="s">
        <v>3074</v>
      </c>
      <c r="K4700" s="16" t="s">
        <v>6347</v>
      </c>
      <c r="L4700" s="25"/>
      <c r="M4700" s="26" t="s">
        <v>6297</v>
      </c>
      <c r="N4700" s="28">
        <v>44228</v>
      </c>
      <c r="O4700" s="28" t="s">
        <v>457</v>
      </c>
      <c r="P4700" s="365">
        <v>6300</v>
      </c>
      <c r="Q4700" s="369">
        <v>21</v>
      </c>
      <c r="R4700" s="173">
        <f t="shared" si="103"/>
        <v>132300</v>
      </c>
      <c r="S4700" s="37">
        <v>202303</v>
      </c>
      <c r="T4700" s="375" t="s">
        <v>6385</v>
      </c>
      <c r="U4700" s="39"/>
      <c r="V4700" s="370"/>
      <c r="W4700" s="41"/>
      <c r="X4700" s="371">
        <v>43770</v>
      </c>
      <c r="Y4700" s="371">
        <v>45961</v>
      </c>
    </row>
    <row r="4701" s="9" customFormat="1" customHeight="1" spans="1:25">
      <c r="A4701" s="16" t="s">
        <v>401</v>
      </c>
      <c r="B4701" s="17" t="s">
        <v>6236</v>
      </c>
      <c r="C4701" s="17" t="s">
        <v>63</v>
      </c>
      <c r="D4701" s="17" t="s">
        <v>6237</v>
      </c>
      <c r="E4701" s="18" t="s">
        <v>6238</v>
      </c>
      <c r="F4701" s="16" t="s">
        <v>6239</v>
      </c>
      <c r="G4701" s="16" t="s">
        <v>88</v>
      </c>
      <c r="H4701" s="19" t="s">
        <v>6346</v>
      </c>
      <c r="I4701" s="23" t="e">
        <f>VLOOKUP(H4701,'合同综合查询数据（3月返）'!$A:$A,1,FALSE)</f>
        <v>#N/A</v>
      </c>
      <c r="J4701" s="24" t="s">
        <v>3074</v>
      </c>
      <c r="K4701" s="16" t="s">
        <v>6347</v>
      </c>
      <c r="L4701" s="25"/>
      <c r="M4701" s="26" t="s">
        <v>6323</v>
      </c>
      <c r="N4701" s="28">
        <v>44228</v>
      </c>
      <c r="O4701" s="28" t="s">
        <v>457</v>
      </c>
      <c r="P4701" s="365">
        <v>6300</v>
      </c>
      <c r="Q4701" s="369">
        <v>1</v>
      </c>
      <c r="R4701" s="173">
        <f t="shared" si="103"/>
        <v>6300</v>
      </c>
      <c r="S4701" s="37">
        <v>202303</v>
      </c>
      <c r="T4701" s="375" t="s">
        <v>6386</v>
      </c>
      <c r="U4701" s="39"/>
      <c r="V4701" s="370"/>
      <c r="W4701" s="41"/>
      <c r="X4701" s="371">
        <v>43770</v>
      </c>
      <c r="Y4701" s="371">
        <v>45961</v>
      </c>
    </row>
    <row r="4702" s="9" customFormat="1" customHeight="1" spans="1:25">
      <c r="A4702" s="16" t="s">
        <v>401</v>
      </c>
      <c r="B4702" s="17" t="s">
        <v>6236</v>
      </c>
      <c r="C4702" s="17" t="s">
        <v>63</v>
      </c>
      <c r="D4702" s="17" t="s">
        <v>6237</v>
      </c>
      <c r="E4702" s="18" t="s">
        <v>6238</v>
      </c>
      <c r="F4702" s="16" t="s">
        <v>6239</v>
      </c>
      <c r="G4702" s="16" t="s">
        <v>88</v>
      </c>
      <c r="H4702" s="19" t="s">
        <v>6346</v>
      </c>
      <c r="I4702" s="23" t="e">
        <f>VLOOKUP(H4702,'合同综合查询数据（3月返）'!$A:$A,1,FALSE)</f>
        <v>#N/A</v>
      </c>
      <c r="J4702" s="24" t="s">
        <v>3074</v>
      </c>
      <c r="K4702" s="16" t="s">
        <v>6347</v>
      </c>
      <c r="L4702" s="25"/>
      <c r="M4702" s="26" t="s">
        <v>6297</v>
      </c>
      <c r="N4702" s="28">
        <v>44271</v>
      </c>
      <c r="O4702" s="28" t="s">
        <v>457</v>
      </c>
      <c r="P4702" s="365">
        <v>6300</v>
      </c>
      <c r="Q4702" s="369">
        <v>99</v>
      </c>
      <c r="R4702" s="36">
        <f>ROUND(Q4702*P4702,2)</f>
        <v>623700</v>
      </c>
      <c r="S4702" s="37">
        <v>202303</v>
      </c>
      <c r="T4702" s="375" t="s">
        <v>6387</v>
      </c>
      <c r="U4702" s="39"/>
      <c r="V4702" s="370"/>
      <c r="W4702" s="41"/>
      <c r="X4702" s="371">
        <v>43770</v>
      </c>
      <c r="Y4702" s="371">
        <v>45961</v>
      </c>
    </row>
    <row r="4703" s="9" customFormat="1" customHeight="1" spans="1:25">
      <c r="A4703" s="16" t="s">
        <v>401</v>
      </c>
      <c r="B4703" s="17" t="s">
        <v>6236</v>
      </c>
      <c r="C4703" s="17" t="s">
        <v>63</v>
      </c>
      <c r="D4703" s="17" t="s">
        <v>6237</v>
      </c>
      <c r="E4703" s="18" t="s">
        <v>6238</v>
      </c>
      <c r="F4703" s="16" t="s">
        <v>6239</v>
      </c>
      <c r="G4703" s="16" t="s">
        <v>88</v>
      </c>
      <c r="H4703" s="19" t="s">
        <v>6346</v>
      </c>
      <c r="I4703" s="23" t="e">
        <f>VLOOKUP(H4703,'合同综合查询数据（3月返）'!$A:$A,1,FALSE)</f>
        <v>#N/A</v>
      </c>
      <c r="J4703" s="24" t="s">
        <v>3074</v>
      </c>
      <c r="K4703" s="16" t="s">
        <v>6347</v>
      </c>
      <c r="L4703" s="25"/>
      <c r="M4703" s="26" t="s">
        <v>6297</v>
      </c>
      <c r="N4703" s="28">
        <v>44281</v>
      </c>
      <c r="O4703" s="28" t="s">
        <v>457</v>
      </c>
      <c r="P4703" s="365">
        <v>6300</v>
      </c>
      <c r="Q4703" s="369">
        <v>-99</v>
      </c>
      <c r="R4703" s="36">
        <f>ROUND(Q4703*P4703,2)</f>
        <v>-623700</v>
      </c>
      <c r="S4703" s="37">
        <v>202303</v>
      </c>
      <c r="T4703" s="375" t="s">
        <v>6387</v>
      </c>
      <c r="U4703" s="39"/>
      <c r="V4703" s="370"/>
      <c r="W4703" s="41"/>
      <c r="X4703" s="371">
        <v>43770</v>
      </c>
      <c r="Y4703" s="371">
        <v>45961</v>
      </c>
    </row>
    <row r="4704" s="9" customFormat="1" customHeight="1" spans="1:25">
      <c r="A4704" s="16" t="s">
        <v>401</v>
      </c>
      <c r="B4704" s="17" t="s">
        <v>6236</v>
      </c>
      <c r="C4704" s="17" t="s">
        <v>63</v>
      </c>
      <c r="D4704" s="17" t="s">
        <v>6237</v>
      </c>
      <c r="E4704" s="18" t="s">
        <v>6238</v>
      </c>
      <c r="F4704" s="16" t="s">
        <v>6239</v>
      </c>
      <c r="G4704" s="16" t="s">
        <v>88</v>
      </c>
      <c r="H4704" s="19" t="s">
        <v>6346</v>
      </c>
      <c r="I4704" s="23" t="e">
        <f>VLOOKUP(H4704,'合同综合查询数据（3月返）'!$A:$A,1,FALSE)</f>
        <v>#N/A</v>
      </c>
      <c r="J4704" s="24" t="s">
        <v>3074</v>
      </c>
      <c r="K4704" s="16" t="s">
        <v>6347</v>
      </c>
      <c r="L4704" s="25"/>
      <c r="M4704" s="26" t="s">
        <v>6297</v>
      </c>
      <c r="N4704" s="28">
        <v>44344</v>
      </c>
      <c r="O4704" s="28" t="s">
        <v>457</v>
      </c>
      <c r="P4704" s="365">
        <v>6300</v>
      </c>
      <c r="Q4704" s="369">
        <v>47</v>
      </c>
      <c r="R4704" s="36">
        <f t="shared" ref="R4704:R4716" si="104">ROUND(P4704*Q4704,2)</f>
        <v>296100</v>
      </c>
      <c r="S4704" s="37">
        <v>202303</v>
      </c>
      <c r="T4704" s="375" t="s">
        <v>6388</v>
      </c>
      <c r="U4704" s="39"/>
      <c r="V4704" s="370"/>
      <c r="W4704" s="41"/>
      <c r="X4704" s="371">
        <v>43770</v>
      </c>
      <c r="Y4704" s="371">
        <v>45961</v>
      </c>
    </row>
    <row r="4705" s="9" customFormat="1" customHeight="1" spans="1:25">
      <c r="A4705" s="16" t="s">
        <v>401</v>
      </c>
      <c r="B4705" s="17" t="s">
        <v>6236</v>
      </c>
      <c r="C4705" s="17" t="s">
        <v>63</v>
      </c>
      <c r="D4705" s="17" t="s">
        <v>6237</v>
      </c>
      <c r="E4705" s="18" t="s">
        <v>6238</v>
      </c>
      <c r="F4705" s="16" t="s">
        <v>6239</v>
      </c>
      <c r="G4705" s="16" t="s">
        <v>88</v>
      </c>
      <c r="H4705" s="19" t="s">
        <v>6346</v>
      </c>
      <c r="I4705" s="23" t="e">
        <f>VLOOKUP(H4705,'合同综合查询数据（3月返）'!$A:$A,1,FALSE)</f>
        <v>#N/A</v>
      </c>
      <c r="J4705" s="24" t="s">
        <v>3074</v>
      </c>
      <c r="K4705" s="16" t="s">
        <v>6347</v>
      </c>
      <c r="L4705" s="25"/>
      <c r="M4705" s="26" t="s">
        <v>6297</v>
      </c>
      <c r="N4705" s="28">
        <v>44347</v>
      </c>
      <c r="O4705" s="28" t="s">
        <v>457</v>
      </c>
      <c r="P4705" s="365">
        <v>6300</v>
      </c>
      <c r="Q4705" s="369">
        <v>6</v>
      </c>
      <c r="R4705" s="36">
        <f t="shared" si="104"/>
        <v>37800</v>
      </c>
      <c r="S4705" s="37">
        <v>202303</v>
      </c>
      <c r="T4705" s="375" t="s">
        <v>6389</v>
      </c>
      <c r="U4705" s="39"/>
      <c r="V4705" s="370"/>
      <c r="W4705" s="41"/>
      <c r="X4705" s="371">
        <v>43770</v>
      </c>
      <c r="Y4705" s="371">
        <v>45961</v>
      </c>
    </row>
    <row r="4706" s="9" customFormat="1" customHeight="1" spans="1:25">
      <c r="A4706" s="16" t="s">
        <v>401</v>
      </c>
      <c r="B4706" s="17" t="s">
        <v>6236</v>
      </c>
      <c r="C4706" s="17" t="s">
        <v>63</v>
      </c>
      <c r="D4706" s="17" t="s">
        <v>6237</v>
      </c>
      <c r="E4706" s="18" t="s">
        <v>6238</v>
      </c>
      <c r="F4706" s="16" t="s">
        <v>6239</v>
      </c>
      <c r="G4706" s="16" t="s">
        <v>88</v>
      </c>
      <c r="H4706" s="19" t="s">
        <v>6346</v>
      </c>
      <c r="I4706" s="23" t="e">
        <f>VLOOKUP(H4706,'合同综合查询数据（3月返）'!$A:$A,1,FALSE)</f>
        <v>#N/A</v>
      </c>
      <c r="J4706" s="24" t="s">
        <v>3074</v>
      </c>
      <c r="K4706" s="16" t="s">
        <v>6347</v>
      </c>
      <c r="L4706" s="25"/>
      <c r="M4706" s="26" t="s">
        <v>6297</v>
      </c>
      <c r="N4706" s="28">
        <v>44354</v>
      </c>
      <c r="O4706" s="28" t="s">
        <v>457</v>
      </c>
      <c r="P4706" s="365">
        <v>6300</v>
      </c>
      <c r="Q4706" s="369">
        <v>3</v>
      </c>
      <c r="R4706" s="36">
        <f t="shared" si="104"/>
        <v>18900</v>
      </c>
      <c r="S4706" s="37">
        <v>202303</v>
      </c>
      <c r="T4706" s="375" t="s">
        <v>6390</v>
      </c>
      <c r="U4706" s="39"/>
      <c r="V4706" s="370"/>
      <c r="W4706" s="41"/>
      <c r="X4706" s="371">
        <v>43770</v>
      </c>
      <c r="Y4706" s="371">
        <v>45961</v>
      </c>
    </row>
    <row r="4707" s="9" customFormat="1" customHeight="1" spans="1:25">
      <c r="A4707" s="16" t="s">
        <v>401</v>
      </c>
      <c r="B4707" s="17" t="s">
        <v>6236</v>
      </c>
      <c r="C4707" s="17" t="s">
        <v>63</v>
      </c>
      <c r="D4707" s="17" t="s">
        <v>6237</v>
      </c>
      <c r="E4707" s="18" t="s">
        <v>6238</v>
      </c>
      <c r="F4707" s="16" t="s">
        <v>6239</v>
      </c>
      <c r="G4707" s="16" t="s">
        <v>88</v>
      </c>
      <c r="H4707" s="19" t="s">
        <v>6346</v>
      </c>
      <c r="I4707" s="23" t="e">
        <f>VLOOKUP(H4707,'合同综合查询数据（3月返）'!$A:$A,1,FALSE)</f>
        <v>#N/A</v>
      </c>
      <c r="J4707" s="24" t="s">
        <v>3074</v>
      </c>
      <c r="K4707" s="16" t="s">
        <v>6347</v>
      </c>
      <c r="L4707" s="25"/>
      <c r="M4707" s="26" t="s">
        <v>6297</v>
      </c>
      <c r="N4707" s="28">
        <v>44367</v>
      </c>
      <c r="O4707" s="28" t="s">
        <v>457</v>
      </c>
      <c r="P4707" s="365">
        <v>6300</v>
      </c>
      <c r="Q4707" s="369">
        <v>13</v>
      </c>
      <c r="R4707" s="36">
        <f t="shared" si="104"/>
        <v>81900</v>
      </c>
      <c r="S4707" s="37">
        <v>202303</v>
      </c>
      <c r="T4707" s="375" t="s">
        <v>6391</v>
      </c>
      <c r="U4707" s="39"/>
      <c r="V4707" s="370"/>
      <c r="W4707" s="41"/>
      <c r="X4707" s="371">
        <v>43770</v>
      </c>
      <c r="Y4707" s="371">
        <v>45961</v>
      </c>
    </row>
    <row r="4708" s="9" customFormat="1" customHeight="1" spans="1:25">
      <c r="A4708" s="16" t="s">
        <v>401</v>
      </c>
      <c r="B4708" s="17" t="s">
        <v>6236</v>
      </c>
      <c r="C4708" s="17" t="s">
        <v>63</v>
      </c>
      <c r="D4708" s="17" t="s">
        <v>6237</v>
      </c>
      <c r="E4708" s="18" t="s">
        <v>6238</v>
      </c>
      <c r="F4708" s="16" t="s">
        <v>6239</v>
      </c>
      <c r="G4708" s="16" t="s">
        <v>88</v>
      </c>
      <c r="H4708" s="19" t="s">
        <v>6346</v>
      </c>
      <c r="I4708" s="23" t="e">
        <f>VLOOKUP(H4708,'合同综合查询数据（3月返）'!$A:$A,1,FALSE)</f>
        <v>#N/A</v>
      </c>
      <c r="J4708" s="24" t="s">
        <v>3074</v>
      </c>
      <c r="K4708" s="16" t="s">
        <v>6347</v>
      </c>
      <c r="L4708" s="25"/>
      <c r="M4708" s="26" t="s">
        <v>6323</v>
      </c>
      <c r="N4708" s="28">
        <v>44388</v>
      </c>
      <c r="O4708" s="28" t="s">
        <v>457</v>
      </c>
      <c r="P4708" s="365">
        <v>6300</v>
      </c>
      <c r="Q4708" s="369">
        <v>1</v>
      </c>
      <c r="R4708" s="36">
        <f t="shared" si="104"/>
        <v>6300</v>
      </c>
      <c r="S4708" s="37">
        <v>202303</v>
      </c>
      <c r="T4708" s="375" t="s">
        <v>6392</v>
      </c>
      <c r="U4708" s="39"/>
      <c r="V4708" s="370"/>
      <c r="W4708" s="41"/>
      <c r="X4708" s="371">
        <v>43770</v>
      </c>
      <c r="Y4708" s="371">
        <v>45961</v>
      </c>
    </row>
    <row r="4709" s="9" customFormat="1" customHeight="1" spans="1:25">
      <c r="A4709" s="16" t="s">
        <v>401</v>
      </c>
      <c r="B4709" s="17" t="s">
        <v>6236</v>
      </c>
      <c r="C4709" s="17" t="s">
        <v>63</v>
      </c>
      <c r="D4709" s="17" t="s">
        <v>6237</v>
      </c>
      <c r="E4709" s="18" t="s">
        <v>6238</v>
      </c>
      <c r="F4709" s="16" t="s">
        <v>6239</v>
      </c>
      <c r="G4709" s="16" t="s">
        <v>88</v>
      </c>
      <c r="H4709" s="19" t="s">
        <v>6346</v>
      </c>
      <c r="I4709" s="23" t="e">
        <f>VLOOKUP(H4709,'合同综合查询数据（3月返）'!$A:$A,1,FALSE)</f>
        <v>#N/A</v>
      </c>
      <c r="J4709" s="24" t="s">
        <v>3074</v>
      </c>
      <c r="K4709" s="16" t="s">
        <v>6347</v>
      </c>
      <c r="L4709" s="25"/>
      <c r="M4709" s="26" t="s">
        <v>6297</v>
      </c>
      <c r="N4709" s="28">
        <v>44406</v>
      </c>
      <c r="O4709" s="28" t="s">
        <v>457</v>
      </c>
      <c r="P4709" s="29">
        <v>6300</v>
      </c>
      <c r="Q4709" s="369">
        <v>74</v>
      </c>
      <c r="R4709" s="36">
        <f t="shared" si="104"/>
        <v>466200</v>
      </c>
      <c r="S4709" s="37">
        <v>202303</v>
      </c>
      <c r="T4709" s="375" t="s">
        <v>6393</v>
      </c>
      <c r="U4709" s="39"/>
      <c r="V4709" s="370"/>
      <c r="W4709" s="41"/>
      <c r="X4709" s="371">
        <v>43770</v>
      </c>
      <c r="Y4709" s="371">
        <v>45961</v>
      </c>
    </row>
    <row r="4710" s="9" customFormat="1" customHeight="1" spans="1:25">
      <c r="A4710" s="16" t="s">
        <v>401</v>
      </c>
      <c r="B4710" s="17" t="s">
        <v>6236</v>
      </c>
      <c r="C4710" s="17" t="s">
        <v>63</v>
      </c>
      <c r="D4710" s="17" t="s">
        <v>6237</v>
      </c>
      <c r="E4710" s="18" t="s">
        <v>6238</v>
      </c>
      <c r="F4710" s="16" t="s">
        <v>6239</v>
      </c>
      <c r="G4710" s="16" t="s">
        <v>88</v>
      </c>
      <c r="H4710" s="19" t="s">
        <v>6346</v>
      </c>
      <c r="I4710" s="23" t="e">
        <f>VLOOKUP(H4710,'合同综合查询数据（3月返）'!$A:$A,1,FALSE)</f>
        <v>#N/A</v>
      </c>
      <c r="J4710" s="24" t="s">
        <v>3074</v>
      </c>
      <c r="K4710" s="16" t="s">
        <v>6347</v>
      </c>
      <c r="L4710" s="25"/>
      <c r="M4710" s="26" t="s">
        <v>6297</v>
      </c>
      <c r="N4710" s="28">
        <v>44416</v>
      </c>
      <c r="O4710" s="28" t="s">
        <v>457</v>
      </c>
      <c r="P4710" s="365">
        <v>6300</v>
      </c>
      <c r="Q4710" s="369">
        <v>4</v>
      </c>
      <c r="R4710" s="36">
        <f t="shared" si="104"/>
        <v>25200</v>
      </c>
      <c r="S4710" s="37">
        <v>202303</v>
      </c>
      <c r="T4710" s="375" t="s">
        <v>6394</v>
      </c>
      <c r="U4710" s="39"/>
      <c r="V4710" s="370"/>
      <c r="W4710" s="41"/>
      <c r="X4710" s="371">
        <v>43770</v>
      </c>
      <c r="Y4710" s="371">
        <v>45961</v>
      </c>
    </row>
    <row r="4711" s="9" customFormat="1" customHeight="1" spans="1:25">
      <c r="A4711" s="16" t="s">
        <v>401</v>
      </c>
      <c r="B4711" s="17" t="s">
        <v>6236</v>
      </c>
      <c r="C4711" s="17" t="s">
        <v>63</v>
      </c>
      <c r="D4711" s="17" t="s">
        <v>6237</v>
      </c>
      <c r="E4711" s="18" t="s">
        <v>6238</v>
      </c>
      <c r="F4711" s="16" t="s">
        <v>6239</v>
      </c>
      <c r="G4711" s="16" t="s">
        <v>88</v>
      </c>
      <c r="H4711" s="19" t="s">
        <v>6346</v>
      </c>
      <c r="I4711" s="23" t="e">
        <f>VLOOKUP(H4711,'合同综合查询数据（3月返）'!$A:$A,1,FALSE)</f>
        <v>#N/A</v>
      </c>
      <c r="J4711" s="24" t="s">
        <v>3074</v>
      </c>
      <c r="K4711" s="16" t="s">
        <v>6347</v>
      </c>
      <c r="L4711" s="25"/>
      <c r="M4711" s="26" t="s">
        <v>6297</v>
      </c>
      <c r="N4711" s="28">
        <v>44419</v>
      </c>
      <c r="O4711" s="28" t="s">
        <v>457</v>
      </c>
      <c r="P4711" s="365">
        <v>6300</v>
      </c>
      <c r="Q4711" s="369">
        <v>34</v>
      </c>
      <c r="R4711" s="36">
        <f t="shared" si="104"/>
        <v>214200</v>
      </c>
      <c r="S4711" s="37">
        <v>202303</v>
      </c>
      <c r="T4711" s="375" t="s">
        <v>6395</v>
      </c>
      <c r="U4711" s="39"/>
      <c r="V4711" s="370"/>
      <c r="W4711" s="41"/>
      <c r="X4711" s="371">
        <v>43770</v>
      </c>
      <c r="Y4711" s="371">
        <v>45961</v>
      </c>
    </row>
    <row r="4712" s="9" customFormat="1" customHeight="1" spans="1:25">
      <c r="A4712" s="16" t="s">
        <v>401</v>
      </c>
      <c r="B4712" s="17" t="s">
        <v>6236</v>
      </c>
      <c r="C4712" s="17" t="s">
        <v>63</v>
      </c>
      <c r="D4712" s="17" t="s">
        <v>6237</v>
      </c>
      <c r="E4712" s="18" t="s">
        <v>6238</v>
      </c>
      <c r="F4712" s="16" t="s">
        <v>6239</v>
      </c>
      <c r="G4712" s="16" t="s">
        <v>88</v>
      </c>
      <c r="H4712" s="19" t="s">
        <v>6346</v>
      </c>
      <c r="I4712" s="23" t="e">
        <f>VLOOKUP(H4712,'合同综合查询数据（3月返）'!$A:$A,1,FALSE)</f>
        <v>#N/A</v>
      </c>
      <c r="J4712" s="24" t="s">
        <v>3074</v>
      </c>
      <c r="K4712" s="16" t="s">
        <v>6347</v>
      </c>
      <c r="L4712" s="25"/>
      <c r="M4712" s="26" t="s">
        <v>6297</v>
      </c>
      <c r="N4712" s="28">
        <v>44504</v>
      </c>
      <c r="O4712" s="28" t="s">
        <v>457</v>
      </c>
      <c r="P4712" s="365">
        <v>6300</v>
      </c>
      <c r="Q4712" s="369">
        <v>1</v>
      </c>
      <c r="R4712" s="36">
        <f t="shared" si="104"/>
        <v>6300</v>
      </c>
      <c r="S4712" s="37">
        <v>202303</v>
      </c>
      <c r="T4712" s="375" t="s">
        <v>6396</v>
      </c>
      <c r="U4712" s="39"/>
      <c r="V4712" s="370"/>
      <c r="W4712" s="41"/>
      <c r="X4712" s="371">
        <v>43770</v>
      </c>
      <c r="Y4712" s="371">
        <v>45961</v>
      </c>
    </row>
    <row r="4713" s="9" customFormat="1" customHeight="1" spans="1:25">
      <c r="A4713" s="16" t="s">
        <v>401</v>
      </c>
      <c r="B4713" s="17" t="s">
        <v>6236</v>
      </c>
      <c r="C4713" s="17" t="s">
        <v>63</v>
      </c>
      <c r="D4713" s="17" t="s">
        <v>6237</v>
      </c>
      <c r="E4713" s="18" t="s">
        <v>6238</v>
      </c>
      <c r="F4713" s="16" t="s">
        <v>6239</v>
      </c>
      <c r="G4713" s="16" t="s">
        <v>88</v>
      </c>
      <c r="H4713" s="19" t="s">
        <v>6346</v>
      </c>
      <c r="I4713" s="23" t="e">
        <f>VLOOKUP(H4713,'合同综合查询数据（3月返）'!$A:$A,1,FALSE)</f>
        <v>#N/A</v>
      </c>
      <c r="J4713" s="24" t="s">
        <v>3074</v>
      </c>
      <c r="K4713" s="16" t="s">
        <v>6347</v>
      </c>
      <c r="L4713" s="25"/>
      <c r="M4713" s="26" t="s">
        <v>6297</v>
      </c>
      <c r="N4713" s="28">
        <v>44520</v>
      </c>
      <c r="O4713" s="28" t="s">
        <v>457</v>
      </c>
      <c r="P4713" s="365">
        <v>6300</v>
      </c>
      <c r="Q4713" s="369">
        <v>17</v>
      </c>
      <c r="R4713" s="36">
        <f t="shared" si="104"/>
        <v>107100</v>
      </c>
      <c r="S4713" s="37">
        <v>202303</v>
      </c>
      <c r="T4713" s="375" t="s">
        <v>6397</v>
      </c>
      <c r="U4713" s="39"/>
      <c r="V4713" s="370"/>
      <c r="W4713" s="41"/>
      <c r="X4713" s="371">
        <v>43770</v>
      </c>
      <c r="Y4713" s="371">
        <v>45961</v>
      </c>
    </row>
    <row r="4714" s="9" customFormat="1" customHeight="1" spans="1:25">
      <c r="A4714" s="16" t="s">
        <v>401</v>
      </c>
      <c r="B4714" s="17" t="s">
        <v>6236</v>
      </c>
      <c r="C4714" s="17" t="s">
        <v>63</v>
      </c>
      <c r="D4714" s="17" t="s">
        <v>6237</v>
      </c>
      <c r="E4714" s="18" t="s">
        <v>6238</v>
      </c>
      <c r="F4714" s="16" t="s">
        <v>6239</v>
      </c>
      <c r="G4714" s="16" t="s">
        <v>88</v>
      </c>
      <c r="H4714" s="19" t="s">
        <v>6346</v>
      </c>
      <c r="I4714" s="23" t="e">
        <f>VLOOKUP(H4714,'合同综合查询数据（3月返）'!$A:$A,1,FALSE)</f>
        <v>#N/A</v>
      </c>
      <c r="J4714" s="24" t="s">
        <v>3074</v>
      </c>
      <c r="K4714" s="16" t="s">
        <v>6347</v>
      </c>
      <c r="L4714" s="25"/>
      <c r="M4714" s="26" t="s">
        <v>6297</v>
      </c>
      <c r="N4714" s="28">
        <v>44525</v>
      </c>
      <c r="O4714" s="28" t="s">
        <v>457</v>
      </c>
      <c r="P4714" s="365">
        <v>6300</v>
      </c>
      <c r="Q4714" s="369">
        <v>42</v>
      </c>
      <c r="R4714" s="36">
        <f t="shared" si="104"/>
        <v>264600</v>
      </c>
      <c r="S4714" s="37">
        <v>202303</v>
      </c>
      <c r="T4714" s="375" t="s">
        <v>6398</v>
      </c>
      <c r="U4714" s="39"/>
      <c r="V4714" s="370"/>
      <c r="W4714" s="41"/>
      <c r="X4714" s="371">
        <v>43770</v>
      </c>
      <c r="Y4714" s="371">
        <v>45961</v>
      </c>
    </row>
    <row r="4715" s="9" customFormat="1" customHeight="1" spans="1:25">
      <c r="A4715" s="16" t="s">
        <v>401</v>
      </c>
      <c r="B4715" s="17" t="s">
        <v>6236</v>
      </c>
      <c r="C4715" s="17" t="s">
        <v>63</v>
      </c>
      <c r="D4715" s="17" t="s">
        <v>6237</v>
      </c>
      <c r="E4715" s="18" t="s">
        <v>6238</v>
      </c>
      <c r="F4715" s="16" t="s">
        <v>6239</v>
      </c>
      <c r="G4715" s="16" t="s">
        <v>88</v>
      </c>
      <c r="H4715" s="19" t="s">
        <v>6346</v>
      </c>
      <c r="I4715" s="23" t="e">
        <f>VLOOKUP(H4715,'合同综合查询数据（3月返）'!$A:$A,1,FALSE)</f>
        <v>#N/A</v>
      </c>
      <c r="J4715" s="24" t="s">
        <v>3074</v>
      </c>
      <c r="K4715" s="16" t="s">
        <v>6347</v>
      </c>
      <c r="L4715" s="25"/>
      <c r="M4715" s="26" t="s">
        <v>6323</v>
      </c>
      <c r="N4715" s="28">
        <v>44860</v>
      </c>
      <c r="O4715" s="28" t="s">
        <v>457</v>
      </c>
      <c r="P4715" s="365">
        <v>6300</v>
      </c>
      <c r="Q4715" s="369">
        <v>-42</v>
      </c>
      <c r="R4715" s="36">
        <f t="shared" si="104"/>
        <v>-264600</v>
      </c>
      <c r="S4715" s="37">
        <v>202303</v>
      </c>
      <c r="T4715" s="375" t="s">
        <v>6399</v>
      </c>
      <c r="U4715" s="39"/>
      <c r="V4715" s="370"/>
      <c r="W4715" s="41"/>
      <c r="X4715" s="371">
        <v>43770</v>
      </c>
      <c r="Y4715" s="371">
        <v>45961</v>
      </c>
    </row>
    <row r="4716" s="9" customFormat="1" customHeight="1" spans="1:25">
      <c r="A4716" s="16" t="s">
        <v>401</v>
      </c>
      <c r="B4716" s="17" t="s">
        <v>6236</v>
      </c>
      <c r="C4716" s="17" t="s">
        <v>63</v>
      </c>
      <c r="D4716" s="17" t="s">
        <v>6237</v>
      </c>
      <c r="E4716" s="18" t="s">
        <v>6238</v>
      </c>
      <c r="F4716" s="16" t="s">
        <v>6239</v>
      </c>
      <c r="G4716" s="16" t="s">
        <v>88</v>
      </c>
      <c r="H4716" s="19" t="s">
        <v>6400</v>
      </c>
      <c r="I4716" s="23" t="e">
        <f>VLOOKUP(H4716,'合同综合查询数据（3月返）'!$A:$A,1,FALSE)</f>
        <v>#N/A</v>
      </c>
      <c r="J4716" s="24" t="s">
        <v>3074</v>
      </c>
      <c r="K4716" s="16" t="s">
        <v>6401</v>
      </c>
      <c r="L4716" s="25"/>
      <c r="M4716" s="26" t="s">
        <v>6323</v>
      </c>
      <c r="N4716" s="28">
        <v>44246</v>
      </c>
      <c r="O4716" s="28" t="s">
        <v>457</v>
      </c>
      <c r="P4716" s="365">
        <v>6300</v>
      </c>
      <c r="Q4716" s="369">
        <v>103</v>
      </c>
      <c r="R4716" s="173">
        <f t="shared" si="104"/>
        <v>648900</v>
      </c>
      <c r="S4716" s="37">
        <v>202303</v>
      </c>
      <c r="T4716" s="375" t="s">
        <v>6402</v>
      </c>
      <c r="U4716" s="39"/>
      <c r="V4716" s="370"/>
      <c r="W4716" s="41"/>
      <c r="X4716" s="371">
        <v>44256</v>
      </c>
      <c r="Y4716" s="371">
        <v>46387</v>
      </c>
    </row>
    <row r="4717" s="9" customFormat="1" customHeight="1" spans="1:25">
      <c r="A4717" s="16" t="s">
        <v>401</v>
      </c>
      <c r="B4717" s="17" t="s">
        <v>6236</v>
      </c>
      <c r="C4717" s="17" t="s">
        <v>63</v>
      </c>
      <c r="D4717" s="17" t="s">
        <v>6237</v>
      </c>
      <c r="E4717" s="18" t="s">
        <v>6238</v>
      </c>
      <c r="F4717" s="16" t="s">
        <v>6239</v>
      </c>
      <c r="G4717" s="16" t="s">
        <v>88</v>
      </c>
      <c r="H4717" s="19" t="s">
        <v>6400</v>
      </c>
      <c r="I4717" s="23" t="e">
        <f>VLOOKUP(H4717,'合同综合查询数据（3月返）'!$A:$A,1,FALSE)</f>
        <v>#N/A</v>
      </c>
      <c r="J4717" s="24" t="s">
        <v>3074</v>
      </c>
      <c r="K4717" s="16" t="s">
        <v>6401</v>
      </c>
      <c r="L4717" s="25"/>
      <c r="M4717" s="26" t="s">
        <v>6323</v>
      </c>
      <c r="N4717" s="28">
        <v>44258</v>
      </c>
      <c r="O4717" s="28" t="s">
        <v>457</v>
      </c>
      <c r="P4717" s="365">
        <v>6300</v>
      </c>
      <c r="Q4717" s="369">
        <v>3</v>
      </c>
      <c r="R4717" s="36">
        <f t="shared" ref="R4717:R4737" si="105">ROUND(Q4717*P4717,2)</f>
        <v>18900</v>
      </c>
      <c r="S4717" s="37">
        <v>202303</v>
      </c>
      <c r="T4717" s="375" t="s">
        <v>6403</v>
      </c>
      <c r="U4717" s="39"/>
      <c r="V4717" s="370"/>
      <c r="W4717" s="41"/>
      <c r="X4717" s="371">
        <v>44256</v>
      </c>
      <c r="Y4717" s="371">
        <v>46387</v>
      </c>
    </row>
    <row r="4718" s="9" customFormat="1" customHeight="1" spans="1:25">
      <c r="A4718" s="16" t="s">
        <v>401</v>
      </c>
      <c r="B4718" s="17" t="s">
        <v>6236</v>
      </c>
      <c r="C4718" s="17" t="s">
        <v>63</v>
      </c>
      <c r="D4718" s="17" t="s">
        <v>6237</v>
      </c>
      <c r="E4718" s="18" t="s">
        <v>6238</v>
      </c>
      <c r="F4718" s="16" t="s">
        <v>6239</v>
      </c>
      <c r="G4718" s="16" t="s">
        <v>88</v>
      </c>
      <c r="H4718" s="19" t="s">
        <v>6400</v>
      </c>
      <c r="I4718" s="23" t="e">
        <f>VLOOKUP(H4718,'合同综合查询数据（3月返）'!$A:$A,1,FALSE)</f>
        <v>#N/A</v>
      </c>
      <c r="J4718" s="24" t="s">
        <v>3074</v>
      </c>
      <c r="K4718" s="16" t="s">
        <v>6401</v>
      </c>
      <c r="L4718" s="25"/>
      <c r="M4718" s="26" t="s">
        <v>6323</v>
      </c>
      <c r="N4718" s="28">
        <v>44259</v>
      </c>
      <c r="O4718" s="28" t="s">
        <v>457</v>
      </c>
      <c r="P4718" s="365">
        <v>6300</v>
      </c>
      <c r="Q4718" s="369">
        <v>8</v>
      </c>
      <c r="R4718" s="36">
        <f t="shared" si="105"/>
        <v>50400</v>
      </c>
      <c r="S4718" s="37">
        <v>202303</v>
      </c>
      <c r="T4718" s="375" t="s">
        <v>6404</v>
      </c>
      <c r="U4718" s="39"/>
      <c r="V4718" s="370"/>
      <c r="W4718" s="41"/>
      <c r="X4718" s="371">
        <v>44256</v>
      </c>
      <c r="Y4718" s="371">
        <v>46387</v>
      </c>
    </row>
    <row r="4719" s="9" customFormat="1" customHeight="1" spans="1:25">
      <c r="A4719" s="16" t="s">
        <v>401</v>
      </c>
      <c r="B4719" s="17" t="s">
        <v>6236</v>
      </c>
      <c r="C4719" s="17" t="s">
        <v>63</v>
      </c>
      <c r="D4719" s="17" t="s">
        <v>6237</v>
      </c>
      <c r="E4719" s="18" t="s">
        <v>6238</v>
      </c>
      <c r="F4719" s="16" t="s">
        <v>6239</v>
      </c>
      <c r="G4719" s="16" t="s">
        <v>88</v>
      </c>
      <c r="H4719" s="19" t="s">
        <v>6400</v>
      </c>
      <c r="I4719" s="23" t="e">
        <f>VLOOKUP(H4719,'合同综合查询数据（3月返）'!$A:$A,1,FALSE)</f>
        <v>#N/A</v>
      </c>
      <c r="J4719" s="24" t="s">
        <v>3074</v>
      </c>
      <c r="K4719" s="16" t="s">
        <v>6401</v>
      </c>
      <c r="L4719" s="25"/>
      <c r="M4719" s="26" t="s">
        <v>6323</v>
      </c>
      <c r="N4719" s="28">
        <v>44268</v>
      </c>
      <c r="O4719" s="28" t="s">
        <v>457</v>
      </c>
      <c r="P4719" s="365">
        <v>6300</v>
      </c>
      <c r="Q4719" s="369">
        <v>7</v>
      </c>
      <c r="R4719" s="36">
        <f t="shared" si="105"/>
        <v>44100</v>
      </c>
      <c r="S4719" s="37">
        <v>202303</v>
      </c>
      <c r="T4719" s="375" t="s">
        <v>6405</v>
      </c>
      <c r="U4719" s="39"/>
      <c r="V4719" s="370"/>
      <c r="W4719" s="41"/>
      <c r="X4719" s="371">
        <v>44256</v>
      </c>
      <c r="Y4719" s="371">
        <v>46387</v>
      </c>
    </row>
    <row r="4720" s="9" customFormat="1" customHeight="1" spans="1:25">
      <c r="A4720" s="16" t="s">
        <v>401</v>
      </c>
      <c r="B4720" s="17" t="s">
        <v>6236</v>
      </c>
      <c r="C4720" s="17" t="s">
        <v>63</v>
      </c>
      <c r="D4720" s="17" t="s">
        <v>6237</v>
      </c>
      <c r="E4720" s="18" t="s">
        <v>6238</v>
      </c>
      <c r="F4720" s="16" t="s">
        <v>6239</v>
      </c>
      <c r="G4720" s="16" t="s">
        <v>88</v>
      </c>
      <c r="H4720" s="19" t="s">
        <v>6400</v>
      </c>
      <c r="I4720" s="23" t="e">
        <f>VLOOKUP(H4720,'合同综合查询数据（3月返）'!$A:$A,1,FALSE)</f>
        <v>#N/A</v>
      </c>
      <c r="J4720" s="24" t="s">
        <v>3074</v>
      </c>
      <c r="K4720" s="16" t="s">
        <v>6401</v>
      </c>
      <c r="L4720" s="25"/>
      <c r="M4720" s="26" t="s">
        <v>6323</v>
      </c>
      <c r="N4720" s="28">
        <v>44270</v>
      </c>
      <c r="O4720" s="28" t="s">
        <v>457</v>
      </c>
      <c r="P4720" s="365">
        <v>6300</v>
      </c>
      <c r="Q4720" s="369">
        <v>6</v>
      </c>
      <c r="R4720" s="36">
        <f t="shared" si="105"/>
        <v>37800</v>
      </c>
      <c r="S4720" s="37">
        <v>202303</v>
      </c>
      <c r="T4720" s="375" t="s">
        <v>6406</v>
      </c>
      <c r="U4720" s="39"/>
      <c r="V4720" s="370"/>
      <c r="W4720" s="41"/>
      <c r="X4720" s="371">
        <v>44256</v>
      </c>
      <c r="Y4720" s="371">
        <v>46387</v>
      </c>
    </row>
    <row r="4721" s="9" customFormat="1" customHeight="1" spans="1:25">
      <c r="A4721" s="16" t="s">
        <v>401</v>
      </c>
      <c r="B4721" s="17" t="s">
        <v>6236</v>
      </c>
      <c r="C4721" s="17" t="s">
        <v>63</v>
      </c>
      <c r="D4721" s="17" t="s">
        <v>6237</v>
      </c>
      <c r="E4721" s="18" t="s">
        <v>6238</v>
      </c>
      <c r="F4721" s="16" t="s">
        <v>6239</v>
      </c>
      <c r="G4721" s="16" t="s">
        <v>88</v>
      </c>
      <c r="H4721" s="19" t="s">
        <v>6400</v>
      </c>
      <c r="I4721" s="23" t="e">
        <f>VLOOKUP(H4721,'合同综合查询数据（3月返）'!$A:$A,1,FALSE)</f>
        <v>#N/A</v>
      </c>
      <c r="J4721" s="24" t="s">
        <v>3074</v>
      </c>
      <c r="K4721" s="16" t="s">
        <v>6401</v>
      </c>
      <c r="L4721" s="25"/>
      <c r="M4721" s="26" t="s">
        <v>6323</v>
      </c>
      <c r="N4721" s="28">
        <v>44272</v>
      </c>
      <c r="O4721" s="28" t="s">
        <v>457</v>
      </c>
      <c r="P4721" s="365">
        <v>6300</v>
      </c>
      <c r="Q4721" s="369">
        <v>8</v>
      </c>
      <c r="R4721" s="36">
        <f t="shared" si="105"/>
        <v>50400</v>
      </c>
      <c r="S4721" s="37">
        <v>202303</v>
      </c>
      <c r="T4721" s="375" t="s">
        <v>6407</v>
      </c>
      <c r="U4721" s="39"/>
      <c r="V4721" s="370"/>
      <c r="W4721" s="41"/>
      <c r="X4721" s="371">
        <v>44256</v>
      </c>
      <c r="Y4721" s="371">
        <v>46387</v>
      </c>
    </row>
    <row r="4722" s="9" customFormat="1" customHeight="1" spans="1:25">
      <c r="A4722" s="16" t="s">
        <v>401</v>
      </c>
      <c r="B4722" s="17" t="s">
        <v>6236</v>
      </c>
      <c r="C4722" s="17" t="s">
        <v>63</v>
      </c>
      <c r="D4722" s="17" t="s">
        <v>6237</v>
      </c>
      <c r="E4722" s="18" t="s">
        <v>6238</v>
      </c>
      <c r="F4722" s="16" t="s">
        <v>6239</v>
      </c>
      <c r="G4722" s="16" t="s">
        <v>88</v>
      </c>
      <c r="H4722" s="19" t="s">
        <v>6400</v>
      </c>
      <c r="I4722" s="23" t="e">
        <f>VLOOKUP(H4722,'合同综合查询数据（3月返）'!$A:$A,1,FALSE)</f>
        <v>#N/A</v>
      </c>
      <c r="J4722" s="24" t="s">
        <v>3074</v>
      </c>
      <c r="K4722" s="16" t="s">
        <v>6401</v>
      </c>
      <c r="L4722" s="25"/>
      <c r="M4722" s="26" t="s">
        <v>6323</v>
      </c>
      <c r="N4722" s="28">
        <v>44277</v>
      </c>
      <c r="O4722" s="28" t="s">
        <v>457</v>
      </c>
      <c r="P4722" s="365">
        <v>6300</v>
      </c>
      <c r="Q4722" s="369">
        <v>37</v>
      </c>
      <c r="R4722" s="36">
        <f t="shared" si="105"/>
        <v>233100</v>
      </c>
      <c r="S4722" s="37">
        <v>202303</v>
      </c>
      <c r="T4722" s="375" t="s">
        <v>6408</v>
      </c>
      <c r="U4722" s="39"/>
      <c r="V4722" s="370"/>
      <c r="W4722" s="41"/>
      <c r="X4722" s="371">
        <v>44256</v>
      </c>
      <c r="Y4722" s="371">
        <v>46387</v>
      </c>
    </row>
    <row r="4723" s="9" customFormat="1" customHeight="1" spans="1:25">
      <c r="A4723" s="16" t="s">
        <v>401</v>
      </c>
      <c r="B4723" s="17" t="s">
        <v>6236</v>
      </c>
      <c r="C4723" s="17" t="s">
        <v>63</v>
      </c>
      <c r="D4723" s="17" t="s">
        <v>6237</v>
      </c>
      <c r="E4723" s="18" t="s">
        <v>6238</v>
      </c>
      <c r="F4723" s="16" t="s">
        <v>6239</v>
      </c>
      <c r="G4723" s="16" t="s">
        <v>88</v>
      </c>
      <c r="H4723" s="19" t="s">
        <v>6400</v>
      </c>
      <c r="I4723" s="23" t="e">
        <f>VLOOKUP(H4723,'合同综合查询数据（3月返）'!$A:$A,1,FALSE)</f>
        <v>#N/A</v>
      </c>
      <c r="J4723" s="24" t="s">
        <v>3074</v>
      </c>
      <c r="K4723" s="16" t="s">
        <v>6401</v>
      </c>
      <c r="L4723" s="25"/>
      <c r="M4723" s="26" t="s">
        <v>6323</v>
      </c>
      <c r="N4723" s="28">
        <v>44278</v>
      </c>
      <c r="O4723" s="28" t="s">
        <v>457</v>
      </c>
      <c r="P4723" s="365">
        <v>6300</v>
      </c>
      <c r="Q4723" s="369">
        <v>3</v>
      </c>
      <c r="R4723" s="36">
        <f t="shared" si="105"/>
        <v>18900</v>
      </c>
      <c r="S4723" s="37">
        <v>202303</v>
      </c>
      <c r="T4723" s="375" t="s">
        <v>6409</v>
      </c>
      <c r="U4723" s="39"/>
      <c r="V4723" s="370"/>
      <c r="W4723" s="41"/>
      <c r="X4723" s="371">
        <v>44256</v>
      </c>
      <c r="Y4723" s="371">
        <v>46387</v>
      </c>
    </row>
    <row r="4724" s="9" customFormat="1" customHeight="1" spans="1:25">
      <c r="A4724" s="16" t="s">
        <v>401</v>
      </c>
      <c r="B4724" s="17" t="s">
        <v>6236</v>
      </c>
      <c r="C4724" s="17" t="s">
        <v>63</v>
      </c>
      <c r="D4724" s="17" t="s">
        <v>6237</v>
      </c>
      <c r="E4724" s="18" t="s">
        <v>6238</v>
      </c>
      <c r="F4724" s="16" t="s">
        <v>6239</v>
      </c>
      <c r="G4724" s="16" t="s">
        <v>88</v>
      </c>
      <c r="H4724" s="19" t="s">
        <v>6400</v>
      </c>
      <c r="I4724" s="23" t="e">
        <f>VLOOKUP(H4724,'合同综合查询数据（3月返）'!$A:$A,1,FALSE)</f>
        <v>#N/A</v>
      </c>
      <c r="J4724" s="24" t="s">
        <v>3074</v>
      </c>
      <c r="K4724" s="16" t="s">
        <v>6401</v>
      </c>
      <c r="L4724" s="25"/>
      <c r="M4724" s="26" t="s">
        <v>6323</v>
      </c>
      <c r="N4724" s="28">
        <v>44280</v>
      </c>
      <c r="O4724" s="28" t="s">
        <v>457</v>
      </c>
      <c r="P4724" s="365">
        <v>6300</v>
      </c>
      <c r="Q4724" s="369">
        <v>3</v>
      </c>
      <c r="R4724" s="36">
        <f t="shared" si="105"/>
        <v>18900</v>
      </c>
      <c r="S4724" s="37">
        <v>202303</v>
      </c>
      <c r="T4724" s="375" t="s">
        <v>6410</v>
      </c>
      <c r="U4724" s="39"/>
      <c r="V4724" s="370"/>
      <c r="W4724" s="41"/>
      <c r="X4724" s="371">
        <v>44256</v>
      </c>
      <c r="Y4724" s="371">
        <v>46387</v>
      </c>
    </row>
    <row r="4725" s="9" customFormat="1" customHeight="1" spans="1:25">
      <c r="A4725" s="16" t="s">
        <v>401</v>
      </c>
      <c r="B4725" s="17" t="s">
        <v>6236</v>
      </c>
      <c r="C4725" s="17" t="s">
        <v>63</v>
      </c>
      <c r="D4725" s="17" t="s">
        <v>6237</v>
      </c>
      <c r="E4725" s="18" t="s">
        <v>6238</v>
      </c>
      <c r="F4725" s="16" t="s">
        <v>6239</v>
      </c>
      <c r="G4725" s="16" t="s">
        <v>88</v>
      </c>
      <c r="H4725" s="19" t="s">
        <v>6400</v>
      </c>
      <c r="I4725" s="23" t="e">
        <f>VLOOKUP(H4725,'合同综合查询数据（3月返）'!$A:$A,1,FALSE)</f>
        <v>#N/A</v>
      </c>
      <c r="J4725" s="24" t="s">
        <v>3074</v>
      </c>
      <c r="K4725" s="16" t="s">
        <v>6401</v>
      </c>
      <c r="L4725" s="25"/>
      <c r="M4725" s="26" t="s">
        <v>6323</v>
      </c>
      <c r="N4725" s="28">
        <v>44285</v>
      </c>
      <c r="O4725" s="28" t="s">
        <v>457</v>
      </c>
      <c r="P4725" s="365">
        <v>6300</v>
      </c>
      <c r="Q4725" s="369">
        <v>27</v>
      </c>
      <c r="R4725" s="36">
        <f t="shared" si="105"/>
        <v>170100</v>
      </c>
      <c r="S4725" s="37">
        <v>202303</v>
      </c>
      <c r="T4725" s="375" t="s">
        <v>6411</v>
      </c>
      <c r="U4725" s="39"/>
      <c r="V4725" s="370"/>
      <c r="W4725" s="41"/>
      <c r="X4725" s="371">
        <v>44256</v>
      </c>
      <c r="Y4725" s="371">
        <v>46387</v>
      </c>
    </row>
    <row r="4726" s="9" customFormat="1" customHeight="1" spans="1:25">
      <c r="A4726" s="16" t="s">
        <v>401</v>
      </c>
      <c r="B4726" s="17" t="s">
        <v>6236</v>
      </c>
      <c r="C4726" s="17" t="s">
        <v>63</v>
      </c>
      <c r="D4726" s="17" t="s">
        <v>6237</v>
      </c>
      <c r="E4726" s="18" t="s">
        <v>6238</v>
      </c>
      <c r="F4726" s="16" t="s">
        <v>6239</v>
      </c>
      <c r="G4726" s="16" t="s">
        <v>88</v>
      </c>
      <c r="H4726" s="19" t="s">
        <v>6400</v>
      </c>
      <c r="I4726" s="23" t="e">
        <f>VLOOKUP(H4726,'合同综合查询数据（3月返）'!$A:$A,1,FALSE)</f>
        <v>#N/A</v>
      </c>
      <c r="J4726" s="24" t="s">
        <v>3074</v>
      </c>
      <c r="K4726" s="16" t="s">
        <v>6401</v>
      </c>
      <c r="L4726" s="25"/>
      <c r="M4726" s="26" t="s">
        <v>6323</v>
      </c>
      <c r="N4726" s="28">
        <v>44288</v>
      </c>
      <c r="O4726" s="28" t="s">
        <v>457</v>
      </c>
      <c r="P4726" s="365">
        <v>6300</v>
      </c>
      <c r="Q4726" s="369">
        <v>11</v>
      </c>
      <c r="R4726" s="36">
        <f t="shared" si="105"/>
        <v>69300</v>
      </c>
      <c r="S4726" s="37">
        <v>202303</v>
      </c>
      <c r="T4726" s="375" t="s">
        <v>6412</v>
      </c>
      <c r="U4726" s="39"/>
      <c r="V4726" s="370"/>
      <c r="W4726" s="41"/>
      <c r="X4726" s="371">
        <v>44256</v>
      </c>
      <c r="Y4726" s="371">
        <v>46387</v>
      </c>
    </row>
    <row r="4727" s="9" customFormat="1" customHeight="1" spans="1:25">
      <c r="A4727" s="16" t="s">
        <v>401</v>
      </c>
      <c r="B4727" s="17" t="s">
        <v>6236</v>
      </c>
      <c r="C4727" s="17" t="s">
        <v>63</v>
      </c>
      <c r="D4727" s="17" t="s">
        <v>6237</v>
      </c>
      <c r="E4727" s="18" t="s">
        <v>6238</v>
      </c>
      <c r="F4727" s="16" t="s">
        <v>6239</v>
      </c>
      <c r="G4727" s="16" t="s">
        <v>88</v>
      </c>
      <c r="H4727" s="19" t="s">
        <v>6400</v>
      </c>
      <c r="I4727" s="23" t="e">
        <f>VLOOKUP(H4727,'合同综合查询数据（3月返）'!$A:$A,1,FALSE)</f>
        <v>#N/A</v>
      </c>
      <c r="J4727" s="24" t="s">
        <v>3074</v>
      </c>
      <c r="K4727" s="16" t="s">
        <v>6401</v>
      </c>
      <c r="L4727" s="25"/>
      <c r="M4727" s="26" t="s">
        <v>6323</v>
      </c>
      <c r="N4727" s="28">
        <v>44295</v>
      </c>
      <c r="O4727" s="28" t="s">
        <v>457</v>
      </c>
      <c r="P4727" s="365">
        <v>6300</v>
      </c>
      <c r="Q4727" s="369">
        <v>9</v>
      </c>
      <c r="R4727" s="36">
        <f t="shared" si="105"/>
        <v>56700</v>
      </c>
      <c r="S4727" s="37">
        <v>202303</v>
      </c>
      <c r="T4727" s="375" t="s">
        <v>6413</v>
      </c>
      <c r="U4727" s="39"/>
      <c r="V4727" s="370"/>
      <c r="W4727" s="41"/>
      <c r="X4727" s="371">
        <v>44256</v>
      </c>
      <c r="Y4727" s="371">
        <v>46387</v>
      </c>
    </row>
    <row r="4728" s="9" customFormat="1" customHeight="1" spans="1:25">
      <c r="A4728" s="16" t="s">
        <v>401</v>
      </c>
      <c r="B4728" s="17" t="s">
        <v>6236</v>
      </c>
      <c r="C4728" s="17" t="s">
        <v>63</v>
      </c>
      <c r="D4728" s="17" t="s">
        <v>6237</v>
      </c>
      <c r="E4728" s="18" t="s">
        <v>6238</v>
      </c>
      <c r="F4728" s="16" t="s">
        <v>6239</v>
      </c>
      <c r="G4728" s="16" t="s">
        <v>88</v>
      </c>
      <c r="H4728" s="19" t="s">
        <v>6400</v>
      </c>
      <c r="I4728" s="23" t="e">
        <f>VLOOKUP(H4728,'合同综合查询数据（3月返）'!$A:$A,1,FALSE)</f>
        <v>#N/A</v>
      </c>
      <c r="J4728" s="24" t="s">
        <v>3074</v>
      </c>
      <c r="K4728" s="16" t="s">
        <v>6401</v>
      </c>
      <c r="L4728" s="25"/>
      <c r="M4728" s="26" t="s">
        <v>6323</v>
      </c>
      <c r="N4728" s="28">
        <v>44305</v>
      </c>
      <c r="O4728" s="28" t="s">
        <v>457</v>
      </c>
      <c r="P4728" s="365">
        <v>6300</v>
      </c>
      <c r="Q4728" s="369">
        <v>23</v>
      </c>
      <c r="R4728" s="36">
        <f t="shared" si="105"/>
        <v>144900</v>
      </c>
      <c r="S4728" s="37">
        <v>202303</v>
      </c>
      <c r="T4728" s="375" t="s">
        <v>6414</v>
      </c>
      <c r="U4728" s="39"/>
      <c r="V4728" s="370"/>
      <c r="W4728" s="41"/>
      <c r="X4728" s="371">
        <v>44256</v>
      </c>
      <c r="Y4728" s="371">
        <v>46387</v>
      </c>
    </row>
    <row r="4729" s="9" customFormat="1" customHeight="1" spans="1:25">
      <c r="A4729" s="16" t="s">
        <v>401</v>
      </c>
      <c r="B4729" s="17" t="s">
        <v>6236</v>
      </c>
      <c r="C4729" s="17" t="s">
        <v>63</v>
      </c>
      <c r="D4729" s="17" t="s">
        <v>6237</v>
      </c>
      <c r="E4729" s="18" t="s">
        <v>6238</v>
      </c>
      <c r="F4729" s="16" t="s">
        <v>6239</v>
      </c>
      <c r="G4729" s="16" t="s">
        <v>88</v>
      </c>
      <c r="H4729" s="19" t="s">
        <v>6400</v>
      </c>
      <c r="I4729" s="23" t="e">
        <f>VLOOKUP(H4729,'合同综合查询数据（3月返）'!$A:$A,1,FALSE)</f>
        <v>#N/A</v>
      </c>
      <c r="J4729" s="24" t="s">
        <v>3074</v>
      </c>
      <c r="K4729" s="16" t="s">
        <v>6401</v>
      </c>
      <c r="L4729" s="25"/>
      <c r="M4729" s="26" t="s">
        <v>6323</v>
      </c>
      <c r="N4729" s="28">
        <v>44306</v>
      </c>
      <c r="O4729" s="28" t="s">
        <v>457</v>
      </c>
      <c r="P4729" s="365">
        <v>6300</v>
      </c>
      <c r="Q4729" s="369">
        <v>1</v>
      </c>
      <c r="R4729" s="36">
        <f t="shared" si="105"/>
        <v>6300</v>
      </c>
      <c r="S4729" s="37">
        <v>202303</v>
      </c>
      <c r="T4729" s="375" t="s">
        <v>6415</v>
      </c>
      <c r="U4729" s="39"/>
      <c r="V4729" s="370"/>
      <c r="W4729" s="41"/>
      <c r="X4729" s="371">
        <v>44256</v>
      </c>
      <c r="Y4729" s="371">
        <v>46387</v>
      </c>
    </row>
    <row r="4730" s="9" customFormat="1" customHeight="1" spans="1:25">
      <c r="A4730" s="16" t="s">
        <v>401</v>
      </c>
      <c r="B4730" s="17" t="s">
        <v>6236</v>
      </c>
      <c r="C4730" s="17" t="s">
        <v>63</v>
      </c>
      <c r="D4730" s="17" t="s">
        <v>6237</v>
      </c>
      <c r="E4730" s="18" t="s">
        <v>6238</v>
      </c>
      <c r="F4730" s="16" t="s">
        <v>6239</v>
      </c>
      <c r="G4730" s="16" t="s">
        <v>88</v>
      </c>
      <c r="H4730" s="19" t="s">
        <v>6400</v>
      </c>
      <c r="I4730" s="23" t="e">
        <f>VLOOKUP(H4730,'合同综合查询数据（3月返）'!$A:$A,1,FALSE)</f>
        <v>#N/A</v>
      </c>
      <c r="J4730" s="24" t="s">
        <v>3074</v>
      </c>
      <c r="K4730" s="16" t="s">
        <v>6401</v>
      </c>
      <c r="L4730" s="25"/>
      <c r="M4730" s="26" t="s">
        <v>6323</v>
      </c>
      <c r="N4730" s="28">
        <v>44307</v>
      </c>
      <c r="O4730" s="28" t="s">
        <v>457</v>
      </c>
      <c r="P4730" s="365">
        <v>6300</v>
      </c>
      <c r="Q4730" s="369">
        <v>1</v>
      </c>
      <c r="R4730" s="36">
        <f t="shared" si="105"/>
        <v>6300</v>
      </c>
      <c r="S4730" s="37">
        <v>202303</v>
      </c>
      <c r="T4730" s="375" t="s">
        <v>6416</v>
      </c>
      <c r="U4730" s="39"/>
      <c r="V4730" s="370"/>
      <c r="W4730" s="41"/>
      <c r="X4730" s="371">
        <v>44256</v>
      </c>
      <c r="Y4730" s="371">
        <v>46387</v>
      </c>
    </row>
    <row r="4731" s="9" customFormat="1" customHeight="1" spans="1:25">
      <c r="A4731" s="16" t="s">
        <v>401</v>
      </c>
      <c r="B4731" s="17" t="s">
        <v>6236</v>
      </c>
      <c r="C4731" s="17" t="s">
        <v>63</v>
      </c>
      <c r="D4731" s="17" t="s">
        <v>6237</v>
      </c>
      <c r="E4731" s="18" t="s">
        <v>6238</v>
      </c>
      <c r="F4731" s="16" t="s">
        <v>6239</v>
      </c>
      <c r="G4731" s="16" t="s">
        <v>88</v>
      </c>
      <c r="H4731" s="19" t="s">
        <v>6400</v>
      </c>
      <c r="I4731" s="23" t="e">
        <f>VLOOKUP(H4731,'合同综合查询数据（3月返）'!$A:$A,1,FALSE)</f>
        <v>#N/A</v>
      </c>
      <c r="J4731" s="24" t="s">
        <v>3074</v>
      </c>
      <c r="K4731" s="16" t="s">
        <v>6401</v>
      </c>
      <c r="L4731" s="25"/>
      <c r="M4731" s="26" t="s">
        <v>6323</v>
      </c>
      <c r="N4731" s="28">
        <v>44308</v>
      </c>
      <c r="O4731" s="28" t="s">
        <v>457</v>
      </c>
      <c r="P4731" s="365">
        <v>6300</v>
      </c>
      <c r="Q4731" s="369">
        <v>69</v>
      </c>
      <c r="R4731" s="36">
        <f t="shared" si="105"/>
        <v>434700</v>
      </c>
      <c r="S4731" s="37">
        <v>202303</v>
      </c>
      <c r="T4731" s="375" t="s">
        <v>6417</v>
      </c>
      <c r="U4731" s="39"/>
      <c r="V4731" s="370"/>
      <c r="W4731" s="41"/>
      <c r="X4731" s="371">
        <v>44256</v>
      </c>
      <c r="Y4731" s="371">
        <v>46387</v>
      </c>
    </row>
    <row r="4732" s="9" customFormat="1" customHeight="1" spans="1:25">
      <c r="A4732" s="16" t="s">
        <v>401</v>
      </c>
      <c r="B4732" s="17" t="s">
        <v>6236</v>
      </c>
      <c r="C4732" s="17" t="s">
        <v>63</v>
      </c>
      <c r="D4732" s="17" t="s">
        <v>6237</v>
      </c>
      <c r="E4732" s="18" t="s">
        <v>6238</v>
      </c>
      <c r="F4732" s="16" t="s">
        <v>6239</v>
      </c>
      <c r="G4732" s="16" t="s">
        <v>88</v>
      </c>
      <c r="H4732" s="19" t="s">
        <v>6400</v>
      </c>
      <c r="I4732" s="23" t="e">
        <f>VLOOKUP(H4732,'合同综合查询数据（3月返）'!$A:$A,1,FALSE)</f>
        <v>#N/A</v>
      </c>
      <c r="J4732" s="24" t="s">
        <v>3074</v>
      </c>
      <c r="K4732" s="16" t="s">
        <v>6401</v>
      </c>
      <c r="L4732" s="25"/>
      <c r="M4732" s="26" t="s">
        <v>6323</v>
      </c>
      <c r="N4732" s="28">
        <v>44309</v>
      </c>
      <c r="O4732" s="28" t="s">
        <v>457</v>
      </c>
      <c r="P4732" s="365">
        <v>6300</v>
      </c>
      <c r="Q4732" s="369">
        <v>50</v>
      </c>
      <c r="R4732" s="36">
        <f t="shared" si="105"/>
        <v>315000</v>
      </c>
      <c r="S4732" s="37">
        <v>202303</v>
      </c>
      <c r="T4732" s="375" t="s">
        <v>6418</v>
      </c>
      <c r="U4732" s="39"/>
      <c r="V4732" s="370"/>
      <c r="W4732" s="41"/>
      <c r="X4732" s="371">
        <v>44256</v>
      </c>
      <c r="Y4732" s="371">
        <v>46387</v>
      </c>
    </row>
    <row r="4733" s="9" customFormat="1" customHeight="1" spans="1:25">
      <c r="A4733" s="16" t="s">
        <v>401</v>
      </c>
      <c r="B4733" s="17" t="s">
        <v>6236</v>
      </c>
      <c r="C4733" s="17" t="s">
        <v>63</v>
      </c>
      <c r="D4733" s="17" t="s">
        <v>6237</v>
      </c>
      <c r="E4733" s="18" t="s">
        <v>6238</v>
      </c>
      <c r="F4733" s="16" t="s">
        <v>6239</v>
      </c>
      <c r="G4733" s="16" t="s">
        <v>88</v>
      </c>
      <c r="H4733" s="19" t="s">
        <v>6400</v>
      </c>
      <c r="I4733" s="23" t="e">
        <f>VLOOKUP(H4733,'合同综合查询数据（3月返）'!$A:$A,1,FALSE)</f>
        <v>#N/A</v>
      </c>
      <c r="J4733" s="24" t="s">
        <v>3074</v>
      </c>
      <c r="K4733" s="16" t="s">
        <v>6401</v>
      </c>
      <c r="L4733" s="25"/>
      <c r="M4733" s="26" t="s">
        <v>6323</v>
      </c>
      <c r="N4733" s="28">
        <v>44312</v>
      </c>
      <c r="O4733" s="28" t="s">
        <v>457</v>
      </c>
      <c r="P4733" s="29">
        <v>6300</v>
      </c>
      <c r="Q4733" s="369">
        <v>22</v>
      </c>
      <c r="R4733" s="36">
        <f t="shared" si="105"/>
        <v>138600</v>
      </c>
      <c r="S4733" s="37">
        <v>202303</v>
      </c>
      <c r="T4733" s="375" t="s">
        <v>6419</v>
      </c>
      <c r="U4733" s="39"/>
      <c r="V4733" s="370"/>
      <c r="W4733" s="41"/>
      <c r="X4733" s="371">
        <v>44256</v>
      </c>
      <c r="Y4733" s="371">
        <v>46387</v>
      </c>
    </row>
    <row r="4734" s="9" customFormat="1" customHeight="1" spans="1:25">
      <c r="A4734" s="16" t="s">
        <v>401</v>
      </c>
      <c r="B4734" s="17" t="s">
        <v>6236</v>
      </c>
      <c r="C4734" s="17" t="s">
        <v>63</v>
      </c>
      <c r="D4734" s="17" t="s">
        <v>6237</v>
      </c>
      <c r="E4734" s="18" t="s">
        <v>6238</v>
      </c>
      <c r="F4734" s="16" t="s">
        <v>6239</v>
      </c>
      <c r="G4734" s="16" t="s">
        <v>88</v>
      </c>
      <c r="H4734" s="19" t="s">
        <v>6400</v>
      </c>
      <c r="I4734" s="23" t="e">
        <f>VLOOKUP(H4734,'合同综合查询数据（3月返）'!$A:$A,1,FALSE)</f>
        <v>#N/A</v>
      </c>
      <c r="J4734" s="24" t="s">
        <v>3074</v>
      </c>
      <c r="K4734" s="16" t="s">
        <v>6401</v>
      </c>
      <c r="L4734" s="25"/>
      <c r="M4734" s="26" t="s">
        <v>6323</v>
      </c>
      <c r="N4734" s="28">
        <v>44314</v>
      </c>
      <c r="O4734" s="28" t="s">
        <v>457</v>
      </c>
      <c r="P4734" s="29">
        <v>6300</v>
      </c>
      <c r="Q4734" s="369">
        <v>16</v>
      </c>
      <c r="R4734" s="36">
        <f t="shared" si="105"/>
        <v>100800</v>
      </c>
      <c r="S4734" s="37">
        <v>202303</v>
      </c>
      <c r="T4734" s="375" t="s">
        <v>6420</v>
      </c>
      <c r="U4734" s="39"/>
      <c r="V4734" s="370"/>
      <c r="W4734" s="41"/>
      <c r="X4734" s="371">
        <v>44256</v>
      </c>
      <c r="Y4734" s="371">
        <v>46387</v>
      </c>
    </row>
    <row r="4735" s="9" customFormat="1" customHeight="1" spans="1:25">
      <c r="A4735" s="16" t="s">
        <v>401</v>
      </c>
      <c r="B4735" s="17" t="s">
        <v>6236</v>
      </c>
      <c r="C4735" s="17" t="s">
        <v>63</v>
      </c>
      <c r="D4735" s="17" t="s">
        <v>6237</v>
      </c>
      <c r="E4735" s="18" t="s">
        <v>6238</v>
      </c>
      <c r="F4735" s="16" t="s">
        <v>6239</v>
      </c>
      <c r="G4735" s="16" t="s">
        <v>88</v>
      </c>
      <c r="H4735" s="19" t="s">
        <v>6400</v>
      </c>
      <c r="I4735" s="23" t="e">
        <f>VLOOKUP(H4735,'合同综合查询数据（3月返）'!$A:$A,1,FALSE)</f>
        <v>#N/A</v>
      </c>
      <c r="J4735" s="24" t="s">
        <v>3074</v>
      </c>
      <c r="K4735" s="16" t="s">
        <v>6401</v>
      </c>
      <c r="L4735" s="25"/>
      <c r="M4735" s="26" t="s">
        <v>6323</v>
      </c>
      <c r="N4735" s="28">
        <v>44326</v>
      </c>
      <c r="O4735" s="28" t="s">
        <v>457</v>
      </c>
      <c r="P4735" s="29">
        <v>6300</v>
      </c>
      <c r="Q4735" s="369">
        <v>1</v>
      </c>
      <c r="R4735" s="36">
        <f t="shared" si="105"/>
        <v>6300</v>
      </c>
      <c r="S4735" s="37">
        <v>202303</v>
      </c>
      <c r="T4735" s="375" t="s">
        <v>6421</v>
      </c>
      <c r="U4735" s="39"/>
      <c r="V4735" s="370"/>
      <c r="W4735" s="41"/>
      <c r="X4735" s="371">
        <v>44256</v>
      </c>
      <c r="Y4735" s="371">
        <v>46387</v>
      </c>
    </row>
    <row r="4736" s="9" customFormat="1" customHeight="1" spans="1:25">
      <c r="A4736" s="16" t="s">
        <v>401</v>
      </c>
      <c r="B4736" s="17" t="s">
        <v>6236</v>
      </c>
      <c r="C4736" s="17" t="s">
        <v>63</v>
      </c>
      <c r="D4736" s="17" t="s">
        <v>6237</v>
      </c>
      <c r="E4736" s="18" t="s">
        <v>6238</v>
      </c>
      <c r="F4736" s="16" t="s">
        <v>6239</v>
      </c>
      <c r="G4736" s="16" t="s">
        <v>88</v>
      </c>
      <c r="H4736" s="19" t="s">
        <v>6400</v>
      </c>
      <c r="I4736" s="23" t="e">
        <f>VLOOKUP(H4736,'合同综合查询数据（3月返）'!$A:$A,1,FALSE)</f>
        <v>#N/A</v>
      </c>
      <c r="J4736" s="24" t="s">
        <v>3074</v>
      </c>
      <c r="K4736" s="16" t="s">
        <v>6401</v>
      </c>
      <c r="L4736" s="25"/>
      <c r="M4736" s="26" t="s">
        <v>6323</v>
      </c>
      <c r="N4736" s="28">
        <v>44330</v>
      </c>
      <c r="O4736" s="28" t="s">
        <v>457</v>
      </c>
      <c r="P4736" s="29">
        <v>6300</v>
      </c>
      <c r="Q4736" s="369">
        <v>13</v>
      </c>
      <c r="R4736" s="36">
        <f t="shared" si="105"/>
        <v>81900</v>
      </c>
      <c r="S4736" s="37">
        <v>202303</v>
      </c>
      <c r="T4736" s="375" t="s">
        <v>6422</v>
      </c>
      <c r="U4736" s="39"/>
      <c r="V4736" s="370"/>
      <c r="W4736" s="41"/>
      <c r="X4736" s="371">
        <v>44256</v>
      </c>
      <c r="Y4736" s="371">
        <v>46387</v>
      </c>
    </row>
    <row r="4737" s="9" customFormat="1" customHeight="1" spans="1:25">
      <c r="A4737" s="16" t="s">
        <v>401</v>
      </c>
      <c r="B4737" s="17" t="s">
        <v>6236</v>
      </c>
      <c r="C4737" s="17" t="s">
        <v>63</v>
      </c>
      <c r="D4737" s="17" t="s">
        <v>6237</v>
      </c>
      <c r="E4737" s="18" t="s">
        <v>6238</v>
      </c>
      <c r="F4737" s="16" t="s">
        <v>6239</v>
      </c>
      <c r="G4737" s="16" t="s">
        <v>88</v>
      </c>
      <c r="H4737" s="19" t="s">
        <v>6400</v>
      </c>
      <c r="I4737" s="23" t="e">
        <f>VLOOKUP(H4737,'合同综合查询数据（3月返）'!$A:$A,1,FALSE)</f>
        <v>#N/A</v>
      </c>
      <c r="J4737" s="24" t="s">
        <v>3074</v>
      </c>
      <c r="K4737" s="16" t="s">
        <v>6401</v>
      </c>
      <c r="L4737" s="25"/>
      <c r="M4737" s="26" t="s">
        <v>6323</v>
      </c>
      <c r="N4737" s="28">
        <v>44334</v>
      </c>
      <c r="O4737" s="28" t="s">
        <v>457</v>
      </c>
      <c r="P4737" s="29">
        <v>6300</v>
      </c>
      <c r="Q4737" s="369">
        <v>46</v>
      </c>
      <c r="R4737" s="36">
        <f t="shared" si="105"/>
        <v>289800</v>
      </c>
      <c r="S4737" s="37">
        <v>202303</v>
      </c>
      <c r="T4737" s="375" t="s">
        <v>6423</v>
      </c>
      <c r="U4737" s="39"/>
      <c r="V4737" s="370"/>
      <c r="W4737" s="41"/>
      <c r="X4737" s="371">
        <v>44256</v>
      </c>
      <c r="Y4737" s="371">
        <v>46387</v>
      </c>
    </row>
    <row r="4738" s="9" customFormat="1" customHeight="1" spans="1:25">
      <c r="A4738" s="16" t="s">
        <v>401</v>
      </c>
      <c r="B4738" s="17" t="s">
        <v>6236</v>
      </c>
      <c r="C4738" s="17" t="s">
        <v>63</v>
      </c>
      <c r="D4738" s="17" t="s">
        <v>6237</v>
      </c>
      <c r="E4738" s="18" t="s">
        <v>6238</v>
      </c>
      <c r="F4738" s="16" t="s">
        <v>6239</v>
      </c>
      <c r="G4738" s="16" t="s">
        <v>88</v>
      </c>
      <c r="H4738" s="19" t="s">
        <v>6400</v>
      </c>
      <c r="I4738" s="23" t="e">
        <f>VLOOKUP(H4738,'合同综合查询数据（3月返）'!$A:$A,1,FALSE)</f>
        <v>#N/A</v>
      </c>
      <c r="J4738" s="24" t="s">
        <v>3074</v>
      </c>
      <c r="K4738" s="16" t="s">
        <v>6401</v>
      </c>
      <c r="L4738" s="25"/>
      <c r="M4738" s="26" t="s">
        <v>6323</v>
      </c>
      <c r="N4738" s="28">
        <v>44354</v>
      </c>
      <c r="O4738" s="28" t="s">
        <v>457</v>
      </c>
      <c r="P4738" s="29">
        <v>6300</v>
      </c>
      <c r="Q4738" s="369">
        <v>-12</v>
      </c>
      <c r="R4738" s="36">
        <f t="shared" ref="R4738:R4745" si="106">ROUND(P4738*Q4738,2)</f>
        <v>-75600</v>
      </c>
      <c r="S4738" s="37">
        <v>202303</v>
      </c>
      <c r="T4738" s="375" t="s">
        <v>6424</v>
      </c>
      <c r="U4738" s="39"/>
      <c r="V4738" s="370"/>
      <c r="W4738" s="41"/>
      <c r="X4738" s="371">
        <v>44256</v>
      </c>
      <c r="Y4738" s="371">
        <v>46387</v>
      </c>
    </row>
    <row r="4739" s="9" customFormat="1" customHeight="1" spans="1:25">
      <c r="A4739" s="16" t="s">
        <v>401</v>
      </c>
      <c r="B4739" s="17" t="s">
        <v>6236</v>
      </c>
      <c r="C4739" s="17" t="s">
        <v>63</v>
      </c>
      <c r="D4739" s="17" t="s">
        <v>6237</v>
      </c>
      <c r="E4739" s="18" t="s">
        <v>6238</v>
      </c>
      <c r="F4739" s="16" t="s">
        <v>6239</v>
      </c>
      <c r="G4739" s="16" t="s">
        <v>88</v>
      </c>
      <c r="H4739" s="19" t="s">
        <v>6400</v>
      </c>
      <c r="I4739" s="23" t="e">
        <f>VLOOKUP(H4739,'合同综合查询数据（3月返）'!$A:$A,1,FALSE)</f>
        <v>#N/A</v>
      </c>
      <c r="J4739" s="24" t="s">
        <v>3074</v>
      </c>
      <c r="K4739" s="16" t="s">
        <v>6401</v>
      </c>
      <c r="L4739" s="25"/>
      <c r="M4739" s="26" t="s">
        <v>6323</v>
      </c>
      <c r="N4739" s="28">
        <v>44445</v>
      </c>
      <c r="O4739" s="28" t="s">
        <v>457</v>
      </c>
      <c r="P4739" s="29">
        <v>6300</v>
      </c>
      <c r="Q4739" s="369">
        <v>12</v>
      </c>
      <c r="R4739" s="36">
        <f t="shared" si="106"/>
        <v>75600</v>
      </c>
      <c r="S4739" s="37">
        <v>202303</v>
      </c>
      <c r="T4739" s="375" t="s">
        <v>6424</v>
      </c>
      <c r="U4739" s="39"/>
      <c r="V4739" s="370"/>
      <c r="W4739" s="41"/>
      <c r="X4739" s="371">
        <v>44256</v>
      </c>
      <c r="Y4739" s="371">
        <v>46387</v>
      </c>
    </row>
    <row r="4740" s="9" customFormat="1" customHeight="1" spans="1:25">
      <c r="A4740" s="16" t="s">
        <v>401</v>
      </c>
      <c r="B4740" s="17" t="s">
        <v>6236</v>
      </c>
      <c r="C4740" s="17" t="s">
        <v>63</v>
      </c>
      <c r="D4740" s="17" t="s">
        <v>6237</v>
      </c>
      <c r="E4740" s="18" t="s">
        <v>6238</v>
      </c>
      <c r="F4740" s="16" t="s">
        <v>6239</v>
      </c>
      <c r="G4740" s="16" t="s">
        <v>88</v>
      </c>
      <c r="H4740" s="19" t="s">
        <v>6400</v>
      </c>
      <c r="I4740" s="23" t="e">
        <f>VLOOKUP(H4740,'合同综合查询数据（3月返）'!$A:$A,1,FALSE)</f>
        <v>#N/A</v>
      </c>
      <c r="J4740" s="24" t="s">
        <v>3074</v>
      </c>
      <c r="K4740" s="16" t="s">
        <v>6401</v>
      </c>
      <c r="L4740" s="25"/>
      <c r="M4740" s="26" t="s">
        <v>6323</v>
      </c>
      <c r="N4740" s="28">
        <v>44572</v>
      </c>
      <c r="O4740" s="28" t="s">
        <v>457</v>
      </c>
      <c r="P4740" s="29">
        <v>6300</v>
      </c>
      <c r="Q4740" s="369">
        <v>3</v>
      </c>
      <c r="R4740" s="173">
        <f t="shared" si="106"/>
        <v>18900</v>
      </c>
      <c r="S4740" s="37">
        <v>202303</v>
      </c>
      <c r="T4740" s="375" t="s">
        <v>6425</v>
      </c>
      <c r="U4740" s="39"/>
      <c r="V4740" s="370"/>
      <c r="W4740" s="41"/>
      <c r="X4740" s="371">
        <v>44256</v>
      </c>
      <c r="Y4740" s="371">
        <v>46387</v>
      </c>
    </row>
    <row r="4741" s="9" customFormat="1" customHeight="1" spans="1:25">
      <c r="A4741" s="16" t="s">
        <v>401</v>
      </c>
      <c r="B4741" s="17" t="s">
        <v>6236</v>
      </c>
      <c r="C4741" s="17" t="s">
        <v>63</v>
      </c>
      <c r="D4741" s="17" t="s">
        <v>6237</v>
      </c>
      <c r="E4741" s="18" t="s">
        <v>6238</v>
      </c>
      <c r="F4741" s="16" t="s">
        <v>6239</v>
      </c>
      <c r="G4741" s="16" t="s">
        <v>88</v>
      </c>
      <c r="H4741" s="19" t="s">
        <v>6400</v>
      </c>
      <c r="I4741" s="23" t="e">
        <f>VLOOKUP(H4741,'合同综合查询数据（3月返）'!$A:$A,1,FALSE)</f>
        <v>#N/A</v>
      </c>
      <c r="J4741" s="24" t="s">
        <v>3074</v>
      </c>
      <c r="K4741" s="16" t="s">
        <v>6401</v>
      </c>
      <c r="L4741" s="25"/>
      <c r="M4741" s="26" t="s">
        <v>6323</v>
      </c>
      <c r="N4741" s="28">
        <v>44576</v>
      </c>
      <c r="O4741" s="28" t="s">
        <v>457</v>
      </c>
      <c r="P4741" s="29">
        <v>6300</v>
      </c>
      <c r="Q4741" s="369">
        <v>16</v>
      </c>
      <c r="R4741" s="173">
        <f t="shared" si="106"/>
        <v>100800</v>
      </c>
      <c r="S4741" s="37">
        <v>202303</v>
      </c>
      <c r="T4741" s="375" t="s">
        <v>6426</v>
      </c>
      <c r="U4741" s="39"/>
      <c r="V4741" s="370"/>
      <c r="W4741" s="41"/>
      <c r="X4741" s="371">
        <v>44256</v>
      </c>
      <c r="Y4741" s="371">
        <v>46387</v>
      </c>
    </row>
    <row r="4742" s="9" customFormat="1" customHeight="1" spans="1:25">
      <c r="A4742" s="16" t="s">
        <v>401</v>
      </c>
      <c r="B4742" s="17" t="s">
        <v>6236</v>
      </c>
      <c r="C4742" s="17" t="s">
        <v>63</v>
      </c>
      <c r="D4742" s="17" t="s">
        <v>6237</v>
      </c>
      <c r="E4742" s="18" t="s">
        <v>6238</v>
      </c>
      <c r="F4742" s="16" t="s">
        <v>6239</v>
      </c>
      <c r="G4742" s="16" t="s">
        <v>88</v>
      </c>
      <c r="H4742" s="19" t="s">
        <v>6400</v>
      </c>
      <c r="I4742" s="23" t="e">
        <f>VLOOKUP(H4742,'合同综合查询数据（3月返）'!$A:$A,1,FALSE)</f>
        <v>#N/A</v>
      </c>
      <c r="J4742" s="24" t="s">
        <v>3074</v>
      </c>
      <c r="K4742" s="16" t="s">
        <v>6401</v>
      </c>
      <c r="L4742" s="25"/>
      <c r="M4742" s="26" t="s">
        <v>6323</v>
      </c>
      <c r="N4742" s="28">
        <v>44586</v>
      </c>
      <c r="O4742" s="28" t="s">
        <v>457</v>
      </c>
      <c r="P4742" s="29">
        <v>6300</v>
      </c>
      <c r="Q4742" s="369">
        <v>1</v>
      </c>
      <c r="R4742" s="173">
        <f t="shared" si="106"/>
        <v>6300</v>
      </c>
      <c r="S4742" s="37">
        <v>202303</v>
      </c>
      <c r="T4742" s="375" t="s">
        <v>6427</v>
      </c>
      <c r="U4742" s="39"/>
      <c r="V4742" s="370"/>
      <c r="W4742" s="41"/>
      <c r="X4742" s="371">
        <v>44256</v>
      </c>
      <c r="Y4742" s="371">
        <v>46387</v>
      </c>
    </row>
    <row r="4743" s="9" customFormat="1" customHeight="1" spans="1:25">
      <c r="A4743" s="16" t="s">
        <v>401</v>
      </c>
      <c r="B4743" s="17" t="s">
        <v>6236</v>
      </c>
      <c r="C4743" s="17" t="s">
        <v>63</v>
      </c>
      <c r="D4743" s="17" t="s">
        <v>6237</v>
      </c>
      <c r="E4743" s="18" t="s">
        <v>6238</v>
      </c>
      <c r="F4743" s="16" t="s">
        <v>6239</v>
      </c>
      <c r="G4743" s="16" t="s">
        <v>88</v>
      </c>
      <c r="H4743" s="19" t="s">
        <v>6400</v>
      </c>
      <c r="I4743" s="23" t="e">
        <f>VLOOKUP(H4743,'合同综合查询数据（3月返）'!$A:$A,1,FALSE)</f>
        <v>#N/A</v>
      </c>
      <c r="J4743" s="24" t="s">
        <v>3074</v>
      </c>
      <c r="K4743" s="16" t="s">
        <v>6401</v>
      </c>
      <c r="L4743" s="25"/>
      <c r="M4743" s="26" t="s">
        <v>6323</v>
      </c>
      <c r="N4743" s="28">
        <v>44860.5628009259</v>
      </c>
      <c r="O4743" s="28" t="s">
        <v>457</v>
      </c>
      <c r="P4743" s="29">
        <v>6300</v>
      </c>
      <c r="Q4743" s="369">
        <v>-5</v>
      </c>
      <c r="R4743" s="173">
        <f t="shared" si="106"/>
        <v>-31500</v>
      </c>
      <c r="S4743" s="37">
        <v>202303</v>
      </c>
      <c r="T4743" s="375" t="s">
        <v>6428</v>
      </c>
      <c r="U4743" s="39"/>
      <c r="V4743" s="370"/>
      <c r="W4743" s="41"/>
      <c r="X4743" s="371">
        <v>44256</v>
      </c>
      <c r="Y4743" s="371">
        <v>46387</v>
      </c>
    </row>
    <row r="4744" s="9" customFormat="1" customHeight="1" spans="1:25">
      <c r="A4744" s="16" t="s">
        <v>401</v>
      </c>
      <c r="B4744" s="17" t="s">
        <v>6236</v>
      </c>
      <c r="C4744" s="17" t="s">
        <v>63</v>
      </c>
      <c r="D4744" s="17" t="s">
        <v>6237</v>
      </c>
      <c r="E4744" s="18" t="s">
        <v>6238</v>
      </c>
      <c r="F4744" s="16" t="s">
        <v>6239</v>
      </c>
      <c r="G4744" s="16" t="s">
        <v>88</v>
      </c>
      <c r="H4744" s="19" t="s">
        <v>6400</v>
      </c>
      <c r="I4744" s="23" t="e">
        <f>VLOOKUP(H4744,'合同综合查询数据（3月返）'!$A:$A,1,FALSE)</f>
        <v>#N/A</v>
      </c>
      <c r="J4744" s="24" t="s">
        <v>3074</v>
      </c>
      <c r="K4744" s="16" t="s">
        <v>6401</v>
      </c>
      <c r="L4744" s="25"/>
      <c r="M4744" s="26" t="s">
        <v>6323</v>
      </c>
      <c r="N4744" s="28">
        <v>44867</v>
      </c>
      <c r="O4744" s="28" t="s">
        <v>457</v>
      </c>
      <c r="P4744" s="29">
        <v>6300</v>
      </c>
      <c r="Q4744" s="369">
        <v>-4</v>
      </c>
      <c r="R4744" s="173">
        <f t="shared" si="106"/>
        <v>-25200</v>
      </c>
      <c r="S4744" s="37">
        <v>202303</v>
      </c>
      <c r="T4744" s="375" t="s">
        <v>6429</v>
      </c>
      <c r="U4744" s="39"/>
      <c r="V4744" s="370"/>
      <c r="W4744" s="41"/>
      <c r="X4744" s="371">
        <v>44256</v>
      </c>
      <c r="Y4744" s="371">
        <v>46387</v>
      </c>
    </row>
    <row r="4745" s="9" customFormat="1" customHeight="1" spans="1:25">
      <c r="A4745" s="16" t="s">
        <v>401</v>
      </c>
      <c r="B4745" s="17" t="s">
        <v>6236</v>
      </c>
      <c r="C4745" s="17" t="s">
        <v>63</v>
      </c>
      <c r="D4745" s="17" t="s">
        <v>6237</v>
      </c>
      <c r="E4745" s="18" t="s">
        <v>6238</v>
      </c>
      <c r="F4745" s="16" t="s">
        <v>6239</v>
      </c>
      <c r="G4745" s="16" t="s">
        <v>88</v>
      </c>
      <c r="H4745" s="19" t="s">
        <v>6400</v>
      </c>
      <c r="I4745" s="23" t="e">
        <f>VLOOKUP(H4745,'合同综合查询数据（3月返）'!$A:$A,1,FALSE)</f>
        <v>#N/A</v>
      </c>
      <c r="J4745" s="24" t="s">
        <v>3074</v>
      </c>
      <c r="K4745" s="16" t="s">
        <v>6401</v>
      </c>
      <c r="L4745" s="25"/>
      <c r="M4745" s="26" t="s">
        <v>6323</v>
      </c>
      <c r="N4745" s="28">
        <v>44869</v>
      </c>
      <c r="O4745" s="28" t="s">
        <v>457</v>
      </c>
      <c r="P4745" s="29">
        <v>6300</v>
      </c>
      <c r="Q4745" s="369">
        <v>-1</v>
      </c>
      <c r="R4745" s="173">
        <f t="shared" si="106"/>
        <v>-6300</v>
      </c>
      <c r="S4745" s="37">
        <v>202303</v>
      </c>
      <c r="T4745" s="375" t="s">
        <v>6430</v>
      </c>
      <c r="U4745" s="39"/>
      <c r="V4745" s="370"/>
      <c r="W4745" s="41"/>
      <c r="X4745" s="371">
        <v>44256</v>
      </c>
      <c r="Y4745" s="371">
        <v>46387</v>
      </c>
    </row>
    <row r="4746" s="9" customFormat="1" customHeight="1" spans="1:25">
      <c r="A4746" s="16" t="s">
        <v>401</v>
      </c>
      <c r="B4746" s="17" t="s">
        <v>6236</v>
      </c>
      <c r="C4746" s="17" t="s">
        <v>63</v>
      </c>
      <c r="D4746" s="17" t="s">
        <v>6237</v>
      </c>
      <c r="E4746" s="18" t="s">
        <v>6238</v>
      </c>
      <c r="F4746" s="16" t="s">
        <v>6239</v>
      </c>
      <c r="G4746" s="16" t="s">
        <v>88</v>
      </c>
      <c r="H4746" s="19" t="s">
        <v>6431</v>
      </c>
      <c r="I4746" s="23" t="e">
        <f>VLOOKUP(H4746,'合同综合查询数据（3月返）'!$A:$A,1,FALSE)</f>
        <v>#N/A</v>
      </c>
      <c r="J4746" s="24" t="s">
        <v>3074</v>
      </c>
      <c r="K4746" s="16" t="s">
        <v>6432</v>
      </c>
      <c r="L4746" s="25"/>
      <c r="M4746" s="26" t="s">
        <v>6323</v>
      </c>
      <c r="N4746" s="28">
        <v>44347</v>
      </c>
      <c r="O4746" s="28" t="s">
        <v>457</v>
      </c>
      <c r="P4746" s="29">
        <v>6300</v>
      </c>
      <c r="Q4746" s="369">
        <v>25</v>
      </c>
      <c r="R4746" s="36">
        <f>ROUND(Q4746*P4746,2)</f>
        <v>157500</v>
      </c>
      <c r="S4746" s="37">
        <v>202303</v>
      </c>
      <c r="T4746" s="375" t="s">
        <v>6433</v>
      </c>
      <c r="U4746" s="39"/>
      <c r="V4746" s="370"/>
      <c r="W4746" s="41"/>
      <c r="X4746" s="371">
        <v>44347</v>
      </c>
      <c r="Y4746" s="371">
        <v>46537</v>
      </c>
    </row>
    <row r="4747" s="9" customFormat="1" customHeight="1" spans="1:25">
      <c r="A4747" s="16" t="s">
        <v>401</v>
      </c>
      <c r="B4747" s="17" t="s">
        <v>6236</v>
      </c>
      <c r="C4747" s="17" t="s">
        <v>63</v>
      </c>
      <c r="D4747" s="17" t="s">
        <v>6237</v>
      </c>
      <c r="E4747" s="18" t="s">
        <v>6238</v>
      </c>
      <c r="F4747" s="16" t="s">
        <v>6239</v>
      </c>
      <c r="G4747" s="16" t="s">
        <v>88</v>
      </c>
      <c r="H4747" s="19" t="s">
        <v>6431</v>
      </c>
      <c r="I4747" s="23" t="e">
        <f>VLOOKUP(H4747,'合同综合查询数据（3月返）'!$A:$A,1,FALSE)</f>
        <v>#N/A</v>
      </c>
      <c r="J4747" s="24" t="s">
        <v>3074</v>
      </c>
      <c r="K4747" s="16" t="s">
        <v>6432</v>
      </c>
      <c r="L4747" s="25"/>
      <c r="M4747" s="26" t="s">
        <v>6323</v>
      </c>
      <c r="N4747" s="28">
        <v>44350</v>
      </c>
      <c r="O4747" s="28" t="s">
        <v>457</v>
      </c>
      <c r="P4747" s="29">
        <v>6300</v>
      </c>
      <c r="Q4747" s="369">
        <v>44</v>
      </c>
      <c r="R4747" s="36">
        <f t="shared" ref="R4747:R4810" si="107">ROUND(P4747*Q4747,2)</f>
        <v>277200</v>
      </c>
      <c r="S4747" s="37">
        <v>202303</v>
      </c>
      <c r="T4747" s="375" t="s">
        <v>6434</v>
      </c>
      <c r="U4747" s="39"/>
      <c r="V4747" s="370"/>
      <c r="W4747" s="41"/>
      <c r="X4747" s="371">
        <v>44347</v>
      </c>
      <c r="Y4747" s="371">
        <v>46537</v>
      </c>
    </row>
    <row r="4748" s="9" customFormat="1" customHeight="1" spans="1:25">
      <c r="A4748" s="16" t="s">
        <v>401</v>
      </c>
      <c r="B4748" s="17" t="s">
        <v>6236</v>
      </c>
      <c r="C4748" s="17" t="s">
        <v>63</v>
      </c>
      <c r="D4748" s="17" t="s">
        <v>6237</v>
      </c>
      <c r="E4748" s="18" t="s">
        <v>6238</v>
      </c>
      <c r="F4748" s="16" t="s">
        <v>6239</v>
      </c>
      <c r="G4748" s="16" t="s">
        <v>88</v>
      </c>
      <c r="H4748" s="19" t="s">
        <v>6431</v>
      </c>
      <c r="I4748" s="23" t="e">
        <f>VLOOKUP(H4748,'合同综合查询数据（3月返）'!$A:$A,1,FALSE)</f>
        <v>#N/A</v>
      </c>
      <c r="J4748" s="24" t="s">
        <v>3074</v>
      </c>
      <c r="K4748" s="16" t="s">
        <v>6432</v>
      </c>
      <c r="L4748" s="25"/>
      <c r="M4748" s="26" t="s">
        <v>6323</v>
      </c>
      <c r="N4748" s="28">
        <v>44352</v>
      </c>
      <c r="O4748" s="28" t="s">
        <v>457</v>
      </c>
      <c r="P4748" s="29">
        <v>6300</v>
      </c>
      <c r="Q4748" s="369">
        <v>53</v>
      </c>
      <c r="R4748" s="36">
        <f t="shared" si="107"/>
        <v>333900</v>
      </c>
      <c r="S4748" s="37">
        <v>202303</v>
      </c>
      <c r="T4748" s="375" t="s">
        <v>6435</v>
      </c>
      <c r="U4748" s="39"/>
      <c r="V4748" s="370"/>
      <c r="W4748" s="41"/>
      <c r="X4748" s="371">
        <v>44347</v>
      </c>
      <c r="Y4748" s="371">
        <v>46537</v>
      </c>
    </row>
    <row r="4749" s="9" customFormat="1" customHeight="1" spans="1:25">
      <c r="A4749" s="16" t="s">
        <v>401</v>
      </c>
      <c r="B4749" s="17" t="s">
        <v>6236</v>
      </c>
      <c r="C4749" s="17" t="s">
        <v>63</v>
      </c>
      <c r="D4749" s="17" t="s">
        <v>6237</v>
      </c>
      <c r="E4749" s="18" t="s">
        <v>6238</v>
      </c>
      <c r="F4749" s="16" t="s">
        <v>6239</v>
      </c>
      <c r="G4749" s="16" t="s">
        <v>88</v>
      </c>
      <c r="H4749" s="19" t="s">
        <v>6431</v>
      </c>
      <c r="I4749" s="23" t="e">
        <f>VLOOKUP(H4749,'合同综合查询数据（3月返）'!$A:$A,1,FALSE)</f>
        <v>#N/A</v>
      </c>
      <c r="J4749" s="24" t="s">
        <v>3074</v>
      </c>
      <c r="K4749" s="16" t="s">
        <v>6432</v>
      </c>
      <c r="L4749" s="25"/>
      <c r="M4749" s="26" t="s">
        <v>6323</v>
      </c>
      <c r="N4749" s="28">
        <v>44354</v>
      </c>
      <c r="O4749" s="28" t="s">
        <v>457</v>
      </c>
      <c r="P4749" s="29">
        <v>6300</v>
      </c>
      <c r="Q4749" s="369">
        <v>18</v>
      </c>
      <c r="R4749" s="36">
        <f t="shared" si="107"/>
        <v>113400</v>
      </c>
      <c r="S4749" s="37">
        <v>202303</v>
      </c>
      <c r="T4749" s="375" t="s">
        <v>6436</v>
      </c>
      <c r="U4749" s="39"/>
      <c r="V4749" s="370"/>
      <c r="W4749" s="41"/>
      <c r="X4749" s="371">
        <v>44347</v>
      </c>
      <c r="Y4749" s="371">
        <v>46537</v>
      </c>
    </row>
    <row r="4750" s="9" customFormat="1" customHeight="1" spans="1:25">
      <c r="A4750" s="16" t="s">
        <v>401</v>
      </c>
      <c r="B4750" s="17" t="s">
        <v>6236</v>
      </c>
      <c r="C4750" s="17" t="s">
        <v>63</v>
      </c>
      <c r="D4750" s="17" t="s">
        <v>6237</v>
      </c>
      <c r="E4750" s="18" t="s">
        <v>6238</v>
      </c>
      <c r="F4750" s="16" t="s">
        <v>6239</v>
      </c>
      <c r="G4750" s="16" t="s">
        <v>88</v>
      </c>
      <c r="H4750" s="19" t="s">
        <v>6431</v>
      </c>
      <c r="I4750" s="23" t="e">
        <f>VLOOKUP(H4750,'合同综合查询数据（3月返）'!$A:$A,1,FALSE)</f>
        <v>#N/A</v>
      </c>
      <c r="J4750" s="24" t="s">
        <v>3074</v>
      </c>
      <c r="K4750" s="16" t="s">
        <v>6432</v>
      </c>
      <c r="L4750" s="25"/>
      <c r="M4750" s="26" t="s">
        <v>6323</v>
      </c>
      <c r="N4750" s="28">
        <v>44362</v>
      </c>
      <c r="O4750" s="28" t="s">
        <v>457</v>
      </c>
      <c r="P4750" s="29">
        <v>6300</v>
      </c>
      <c r="Q4750" s="369">
        <v>99</v>
      </c>
      <c r="R4750" s="36">
        <f t="shared" si="107"/>
        <v>623700</v>
      </c>
      <c r="S4750" s="37">
        <v>202303</v>
      </c>
      <c r="T4750" s="375" t="s">
        <v>6437</v>
      </c>
      <c r="U4750" s="39"/>
      <c r="V4750" s="370"/>
      <c r="W4750" s="41"/>
      <c r="X4750" s="371">
        <v>44347</v>
      </c>
      <c r="Y4750" s="371">
        <v>46537</v>
      </c>
    </row>
    <row r="4751" s="9" customFormat="1" customHeight="1" spans="1:25">
      <c r="A4751" s="16" t="s">
        <v>401</v>
      </c>
      <c r="B4751" s="17" t="s">
        <v>6236</v>
      </c>
      <c r="C4751" s="17" t="s">
        <v>63</v>
      </c>
      <c r="D4751" s="17" t="s">
        <v>6237</v>
      </c>
      <c r="E4751" s="18" t="s">
        <v>6238</v>
      </c>
      <c r="F4751" s="16" t="s">
        <v>6239</v>
      </c>
      <c r="G4751" s="16" t="s">
        <v>88</v>
      </c>
      <c r="H4751" s="19" t="s">
        <v>6431</v>
      </c>
      <c r="I4751" s="23" t="e">
        <f>VLOOKUP(H4751,'合同综合查询数据（3月返）'!$A:$A,1,FALSE)</f>
        <v>#N/A</v>
      </c>
      <c r="J4751" s="24" t="s">
        <v>3074</v>
      </c>
      <c r="K4751" s="16" t="s">
        <v>6432</v>
      </c>
      <c r="L4751" s="25"/>
      <c r="M4751" s="26" t="s">
        <v>6323</v>
      </c>
      <c r="N4751" s="28">
        <v>44365</v>
      </c>
      <c r="O4751" s="28" t="s">
        <v>457</v>
      </c>
      <c r="P4751" s="29">
        <v>6300</v>
      </c>
      <c r="Q4751" s="369">
        <v>37</v>
      </c>
      <c r="R4751" s="36">
        <f t="shared" si="107"/>
        <v>233100</v>
      </c>
      <c r="S4751" s="37">
        <v>202303</v>
      </c>
      <c r="T4751" s="375" t="s">
        <v>6438</v>
      </c>
      <c r="U4751" s="39"/>
      <c r="V4751" s="370"/>
      <c r="W4751" s="41"/>
      <c r="X4751" s="371">
        <v>44347</v>
      </c>
      <c r="Y4751" s="371">
        <v>46537</v>
      </c>
    </row>
    <row r="4752" s="9" customFormat="1" customHeight="1" spans="1:25">
      <c r="A4752" s="16" t="s">
        <v>401</v>
      </c>
      <c r="B4752" s="17" t="s">
        <v>6236</v>
      </c>
      <c r="C4752" s="17" t="s">
        <v>63</v>
      </c>
      <c r="D4752" s="17" t="s">
        <v>6237</v>
      </c>
      <c r="E4752" s="18" t="s">
        <v>6238</v>
      </c>
      <c r="F4752" s="16" t="s">
        <v>6239</v>
      </c>
      <c r="G4752" s="16" t="s">
        <v>88</v>
      </c>
      <c r="H4752" s="19" t="s">
        <v>6431</v>
      </c>
      <c r="I4752" s="23" t="e">
        <f>VLOOKUP(H4752,'合同综合查询数据（3月返）'!$A:$A,1,FALSE)</f>
        <v>#N/A</v>
      </c>
      <c r="J4752" s="24" t="s">
        <v>3074</v>
      </c>
      <c r="K4752" s="16" t="s">
        <v>6432</v>
      </c>
      <c r="L4752" s="25"/>
      <c r="M4752" s="26" t="s">
        <v>6323</v>
      </c>
      <c r="N4752" s="28">
        <v>44367</v>
      </c>
      <c r="O4752" s="28" t="s">
        <v>457</v>
      </c>
      <c r="P4752" s="29">
        <v>6300</v>
      </c>
      <c r="Q4752" s="369">
        <v>43</v>
      </c>
      <c r="R4752" s="36">
        <f t="shared" si="107"/>
        <v>270900</v>
      </c>
      <c r="S4752" s="37">
        <v>202303</v>
      </c>
      <c r="T4752" s="375" t="s">
        <v>6439</v>
      </c>
      <c r="U4752" s="39"/>
      <c r="V4752" s="370"/>
      <c r="W4752" s="41"/>
      <c r="X4752" s="371">
        <v>44347</v>
      </c>
      <c r="Y4752" s="371">
        <v>46537</v>
      </c>
    </row>
    <row r="4753" s="9" customFormat="1" customHeight="1" spans="1:25">
      <c r="A4753" s="16" t="s">
        <v>401</v>
      </c>
      <c r="B4753" s="17" t="s">
        <v>6236</v>
      </c>
      <c r="C4753" s="17" t="s">
        <v>63</v>
      </c>
      <c r="D4753" s="17" t="s">
        <v>6237</v>
      </c>
      <c r="E4753" s="18" t="s">
        <v>6238</v>
      </c>
      <c r="F4753" s="16" t="s">
        <v>6239</v>
      </c>
      <c r="G4753" s="16" t="s">
        <v>88</v>
      </c>
      <c r="H4753" s="19" t="s">
        <v>6431</v>
      </c>
      <c r="I4753" s="23" t="e">
        <f>VLOOKUP(H4753,'合同综合查询数据（3月返）'!$A:$A,1,FALSE)</f>
        <v>#N/A</v>
      </c>
      <c r="J4753" s="24" t="s">
        <v>3074</v>
      </c>
      <c r="K4753" s="16" t="s">
        <v>6432</v>
      </c>
      <c r="L4753" s="25"/>
      <c r="M4753" s="26" t="s">
        <v>6323</v>
      </c>
      <c r="N4753" s="28">
        <v>44370</v>
      </c>
      <c r="O4753" s="28" t="s">
        <v>457</v>
      </c>
      <c r="P4753" s="29">
        <v>6300</v>
      </c>
      <c r="Q4753" s="369">
        <v>50</v>
      </c>
      <c r="R4753" s="36">
        <f t="shared" si="107"/>
        <v>315000</v>
      </c>
      <c r="S4753" s="37">
        <v>202303</v>
      </c>
      <c r="T4753" s="375" t="s">
        <v>6440</v>
      </c>
      <c r="U4753" s="39"/>
      <c r="V4753" s="370"/>
      <c r="W4753" s="41"/>
      <c r="X4753" s="371">
        <v>44347</v>
      </c>
      <c r="Y4753" s="371">
        <v>46537</v>
      </c>
    </row>
    <row r="4754" s="9" customFormat="1" customHeight="1" spans="1:25">
      <c r="A4754" s="16" t="s">
        <v>401</v>
      </c>
      <c r="B4754" s="17" t="s">
        <v>6236</v>
      </c>
      <c r="C4754" s="17" t="s">
        <v>63</v>
      </c>
      <c r="D4754" s="17" t="s">
        <v>6237</v>
      </c>
      <c r="E4754" s="18" t="s">
        <v>6238</v>
      </c>
      <c r="F4754" s="16" t="s">
        <v>6239</v>
      </c>
      <c r="G4754" s="16" t="s">
        <v>88</v>
      </c>
      <c r="H4754" s="19" t="s">
        <v>6431</v>
      </c>
      <c r="I4754" s="23" t="e">
        <f>VLOOKUP(H4754,'合同综合查询数据（3月返）'!$A:$A,1,FALSE)</f>
        <v>#N/A</v>
      </c>
      <c r="J4754" s="24" t="s">
        <v>3074</v>
      </c>
      <c r="K4754" s="16" t="s">
        <v>6432</v>
      </c>
      <c r="L4754" s="25"/>
      <c r="M4754" s="26" t="s">
        <v>6323</v>
      </c>
      <c r="N4754" s="28">
        <v>44354</v>
      </c>
      <c r="O4754" s="28" t="s">
        <v>511</v>
      </c>
      <c r="P4754" s="29">
        <v>12888</v>
      </c>
      <c r="Q4754" s="369">
        <v>4</v>
      </c>
      <c r="R4754" s="36">
        <f t="shared" si="107"/>
        <v>51552</v>
      </c>
      <c r="S4754" s="37">
        <v>202303</v>
      </c>
      <c r="T4754" s="375" t="s">
        <v>6441</v>
      </c>
      <c r="U4754" s="39"/>
      <c r="V4754" s="370"/>
      <c r="W4754" s="41"/>
      <c r="X4754" s="371">
        <v>44347</v>
      </c>
      <c r="Y4754" s="371">
        <v>46537</v>
      </c>
    </row>
    <row r="4755" s="9" customFormat="1" customHeight="1" spans="1:25">
      <c r="A4755" s="16" t="s">
        <v>401</v>
      </c>
      <c r="B4755" s="17" t="s">
        <v>6236</v>
      </c>
      <c r="C4755" s="17" t="s">
        <v>63</v>
      </c>
      <c r="D4755" s="17" t="s">
        <v>6237</v>
      </c>
      <c r="E4755" s="18" t="s">
        <v>6238</v>
      </c>
      <c r="F4755" s="16" t="s">
        <v>6239</v>
      </c>
      <c r="G4755" s="16" t="s">
        <v>88</v>
      </c>
      <c r="H4755" s="19" t="s">
        <v>6431</v>
      </c>
      <c r="I4755" s="23" t="e">
        <f>VLOOKUP(H4755,'合同综合查询数据（3月返）'!$A:$A,1,FALSE)</f>
        <v>#N/A</v>
      </c>
      <c r="J4755" s="24" t="s">
        <v>3074</v>
      </c>
      <c r="K4755" s="16" t="s">
        <v>6432</v>
      </c>
      <c r="L4755" s="25"/>
      <c r="M4755" s="26" t="s">
        <v>6323</v>
      </c>
      <c r="N4755" s="28">
        <v>44354</v>
      </c>
      <c r="O4755" s="28" t="s">
        <v>3649</v>
      </c>
      <c r="P4755" s="29">
        <v>34368</v>
      </c>
      <c r="Q4755" s="369">
        <v>8</v>
      </c>
      <c r="R4755" s="36">
        <f t="shared" si="107"/>
        <v>274944</v>
      </c>
      <c r="S4755" s="37">
        <v>202303</v>
      </c>
      <c r="T4755" s="375" t="s">
        <v>6442</v>
      </c>
      <c r="U4755" s="39"/>
      <c r="V4755" s="370"/>
      <c r="W4755" s="41"/>
      <c r="X4755" s="371">
        <v>44347</v>
      </c>
      <c r="Y4755" s="371">
        <v>46537</v>
      </c>
    </row>
    <row r="4756" s="9" customFormat="1" customHeight="1" spans="1:25">
      <c r="A4756" s="16" t="s">
        <v>401</v>
      </c>
      <c r="B4756" s="17" t="s">
        <v>6236</v>
      </c>
      <c r="C4756" s="17" t="s">
        <v>63</v>
      </c>
      <c r="D4756" s="17" t="s">
        <v>6237</v>
      </c>
      <c r="E4756" s="18" t="s">
        <v>6238</v>
      </c>
      <c r="F4756" s="16" t="s">
        <v>6239</v>
      </c>
      <c r="G4756" s="16" t="s">
        <v>88</v>
      </c>
      <c r="H4756" s="19" t="s">
        <v>6431</v>
      </c>
      <c r="I4756" s="23" t="e">
        <f>VLOOKUP(H4756,'合同综合查询数据（3月返）'!$A:$A,1,FALSE)</f>
        <v>#N/A</v>
      </c>
      <c r="J4756" s="24" t="s">
        <v>3074</v>
      </c>
      <c r="K4756" s="16" t="s">
        <v>6432</v>
      </c>
      <c r="L4756" s="25"/>
      <c r="M4756" s="26" t="s">
        <v>6323</v>
      </c>
      <c r="N4756" s="28">
        <v>44385</v>
      </c>
      <c r="O4756" s="28" t="s">
        <v>457</v>
      </c>
      <c r="P4756" s="29">
        <v>6300</v>
      </c>
      <c r="Q4756" s="369">
        <v>10</v>
      </c>
      <c r="R4756" s="36">
        <f t="shared" si="107"/>
        <v>63000</v>
      </c>
      <c r="S4756" s="37">
        <v>202303</v>
      </c>
      <c r="T4756" s="375" t="s">
        <v>6443</v>
      </c>
      <c r="U4756" s="39"/>
      <c r="V4756" s="370"/>
      <c r="W4756" s="41"/>
      <c r="X4756" s="371">
        <v>44347</v>
      </c>
      <c r="Y4756" s="371">
        <v>46537</v>
      </c>
    </row>
    <row r="4757" s="9" customFormat="1" customHeight="1" spans="1:25">
      <c r="A4757" s="16" t="s">
        <v>401</v>
      </c>
      <c r="B4757" s="17" t="s">
        <v>6236</v>
      </c>
      <c r="C4757" s="17" t="s">
        <v>63</v>
      </c>
      <c r="D4757" s="17" t="s">
        <v>6237</v>
      </c>
      <c r="E4757" s="18" t="s">
        <v>6238</v>
      </c>
      <c r="F4757" s="16" t="s">
        <v>6239</v>
      </c>
      <c r="G4757" s="16" t="s">
        <v>88</v>
      </c>
      <c r="H4757" s="19" t="s">
        <v>6431</v>
      </c>
      <c r="I4757" s="23" t="e">
        <f>VLOOKUP(H4757,'合同综合查询数据（3月返）'!$A:$A,1,FALSE)</f>
        <v>#N/A</v>
      </c>
      <c r="J4757" s="24" t="s">
        <v>3074</v>
      </c>
      <c r="K4757" s="16" t="s">
        <v>6432</v>
      </c>
      <c r="L4757" s="25"/>
      <c r="M4757" s="26" t="s">
        <v>6323</v>
      </c>
      <c r="N4757" s="28">
        <v>44386</v>
      </c>
      <c r="O4757" s="28" t="s">
        <v>457</v>
      </c>
      <c r="P4757" s="29">
        <v>6300</v>
      </c>
      <c r="Q4757" s="369">
        <v>17</v>
      </c>
      <c r="R4757" s="36">
        <f t="shared" si="107"/>
        <v>107100</v>
      </c>
      <c r="S4757" s="37">
        <v>202303</v>
      </c>
      <c r="T4757" s="375" t="s">
        <v>6444</v>
      </c>
      <c r="U4757" s="39"/>
      <c r="V4757" s="370"/>
      <c r="W4757" s="41"/>
      <c r="X4757" s="371">
        <v>44347</v>
      </c>
      <c r="Y4757" s="371">
        <v>46537</v>
      </c>
    </row>
    <row r="4758" s="9" customFormat="1" customHeight="1" spans="1:25">
      <c r="A4758" s="16" t="s">
        <v>401</v>
      </c>
      <c r="B4758" s="17" t="s">
        <v>6236</v>
      </c>
      <c r="C4758" s="17" t="s">
        <v>63</v>
      </c>
      <c r="D4758" s="17" t="s">
        <v>6237</v>
      </c>
      <c r="E4758" s="18" t="s">
        <v>6238</v>
      </c>
      <c r="F4758" s="16" t="s">
        <v>6239</v>
      </c>
      <c r="G4758" s="16" t="s">
        <v>88</v>
      </c>
      <c r="H4758" s="19" t="s">
        <v>6431</v>
      </c>
      <c r="I4758" s="23" t="e">
        <f>VLOOKUP(H4758,'合同综合查询数据（3月返）'!$A:$A,1,FALSE)</f>
        <v>#N/A</v>
      </c>
      <c r="J4758" s="24" t="s">
        <v>3074</v>
      </c>
      <c r="K4758" s="16" t="s">
        <v>6432</v>
      </c>
      <c r="L4758" s="25"/>
      <c r="M4758" s="26" t="s">
        <v>6323</v>
      </c>
      <c r="N4758" s="28">
        <v>44389</v>
      </c>
      <c r="O4758" s="28" t="s">
        <v>457</v>
      </c>
      <c r="P4758" s="29">
        <v>6300</v>
      </c>
      <c r="Q4758" s="369">
        <v>5</v>
      </c>
      <c r="R4758" s="36">
        <f t="shared" si="107"/>
        <v>31500</v>
      </c>
      <c r="S4758" s="37">
        <v>202303</v>
      </c>
      <c r="T4758" s="375" t="s">
        <v>6445</v>
      </c>
      <c r="U4758" s="39"/>
      <c r="V4758" s="370"/>
      <c r="W4758" s="41"/>
      <c r="X4758" s="371">
        <v>44347</v>
      </c>
      <c r="Y4758" s="371">
        <v>46537</v>
      </c>
    </row>
    <row r="4759" s="9" customFormat="1" customHeight="1" spans="1:25">
      <c r="A4759" s="16" t="s">
        <v>401</v>
      </c>
      <c r="B4759" s="17" t="s">
        <v>6236</v>
      </c>
      <c r="C4759" s="17" t="s">
        <v>63</v>
      </c>
      <c r="D4759" s="17" t="s">
        <v>6237</v>
      </c>
      <c r="E4759" s="18" t="s">
        <v>6238</v>
      </c>
      <c r="F4759" s="16" t="s">
        <v>6239</v>
      </c>
      <c r="G4759" s="16" t="s">
        <v>88</v>
      </c>
      <c r="H4759" s="19" t="s">
        <v>6431</v>
      </c>
      <c r="I4759" s="23" t="e">
        <f>VLOOKUP(H4759,'合同综合查询数据（3月返）'!$A:$A,1,FALSE)</f>
        <v>#N/A</v>
      </c>
      <c r="J4759" s="24" t="s">
        <v>3074</v>
      </c>
      <c r="K4759" s="16" t="s">
        <v>6432</v>
      </c>
      <c r="L4759" s="25"/>
      <c r="M4759" s="26" t="s">
        <v>6323</v>
      </c>
      <c r="N4759" s="28">
        <v>44396</v>
      </c>
      <c r="O4759" s="28" t="s">
        <v>457</v>
      </c>
      <c r="P4759" s="29">
        <v>6300</v>
      </c>
      <c r="Q4759" s="369">
        <v>26</v>
      </c>
      <c r="R4759" s="36">
        <f t="shared" si="107"/>
        <v>163800</v>
      </c>
      <c r="S4759" s="37">
        <v>202303</v>
      </c>
      <c r="T4759" s="375" t="s">
        <v>6446</v>
      </c>
      <c r="U4759" s="39"/>
      <c r="V4759" s="370"/>
      <c r="W4759" s="41"/>
      <c r="X4759" s="371">
        <v>44347</v>
      </c>
      <c r="Y4759" s="371">
        <v>46537</v>
      </c>
    </row>
    <row r="4760" s="9" customFormat="1" customHeight="1" spans="1:25">
      <c r="A4760" s="16" t="s">
        <v>401</v>
      </c>
      <c r="B4760" s="17" t="s">
        <v>6236</v>
      </c>
      <c r="C4760" s="17" t="s">
        <v>63</v>
      </c>
      <c r="D4760" s="17" t="s">
        <v>6237</v>
      </c>
      <c r="E4760" s="18" t="s">
        <v>6238</v>
      </c>
      <c r="F4760" s="16" t="s">
        <v>6239</v>
      </c>
      <c r="G4760" s="16" t="s">
        <v>88</v>
      </c>
      <c r="H4760" s="19" t="s">
        <v>6431</v>
      </c>
      <c r="I4760" s="23" t="e">
        <f>VLOOKUP(H4760,'合同综合查询数据（3月返）'!$A:$A,1,FALSE)</f>
        <v>#N/A</v>
      </c>
      <c r="J4760" s="24" t="s">
        <v>3074</v>
      </c>
      <c r="K4760" s="16" t="s">
        <v>6432</v>
      </c>
      <c r="L4760" s="25"/>
      <c r="M4760" s="26" t="s">
        <v>6323</v>
      </c>
      <c r="N4760" s="28">
        <v>44400</v>
      </c>
      <c r="O4760" s="28" t="s">
        <v>457</v>
      </c>
      <c r="P4760" s="29">
        <v>6300</v>
      </c>
      <c r="Q4760" s="369">
        <v>82</v>
      </c>
      <c r="R4760" s="36">
        <f t="shared" si="107"/>
        <v>516600</v>
      </c>
      <c r="S4760" s="37">
        <v>202303</v>
      </c>
      <c r="T4760" s="375" t="s">
        <v>6447</v>
      </c>
      <c r="U4760" s="39"/>
      <c r="V4760" s="370"/>
      <c r="W4760" s="41"/>
      <c r="X4760" s="371">
        <v>44347</v>
      </c>
      <c r="Y4760" s="371">
        <v>46537</v>
      </c>
    </row>
    <row r="4761" s="9" customFormat="1" customHeight="1" spans="1:25">
      <c r="A4761" s="16" t="s">
        <v>401</v>
      </c>
      <c r="B4761" s="17" t="s">
        <v>6236</v>
      </c>
      <c r="C4761" s="17" t="s">
        <v>63</v>
      </c>
      <c r="D4761" s="17" t="s">
        <v>6237</v>
      </c>
      <c r="E4761" s="18" t="s">
        <v>6238</v>
      </c>
      <c r="F4761" s="16" t="s">
        <v>6239</v>
      </c>
      <c r="G4761" s="16" t="s">
        <v>88</v>
      </c>
      <c r="H4761" s="19" t="s">
        <v>6431</v>
      </c>
      <c r="I4761" s="23" t="e">
        <f>VLOOKUP(H4761,'合同综合查询数据（3月返）'!$A:$A,1,FALSE)</f>
        <v>#N/A</v>
      </c>
      <c r="J4761" s="24" t="s">
        <v>3074</v>
      </c>
      <c r="K4761" s="16" t="s">
        <v>6432</v>
      </c>
      <c r="L4761" s="25"/>
      <c r="M4761" s="26" t="s">
        <v>6323</v>
      </c>
      <c r="N4761" s="28">
        <v>44402</v>
      </c>
      <c r="O4761" s="28" t="s">
        <v>457</v>
      </c>
      <c r="P4761" s="29">
        <v>6300</v>
      </c>
      <c r="Q4761" s="369">
        <v>35</v>
      </c>
      <c r="R4761" s="36">
        <f t="shared" si="107"/>
        <v>220500</v>
      </c>
      <c r="S4761" s="37">
        <v>202303</v>
      </c>
      <c r="T4761" s="375" t="s">
        <v>6448</v>
      </c>
      <c r="U4761" s="39"/>
      <c r="V4761" s="370"/>
      <c r="W4761" s="41"/>
      <c r="X4761" s="371">
        <v>44347</v>
      </c>
      <c r="Y4761" s="371">
        <v>46537</v>
      </c>
    </row>
    <row r="4762" s="9" customFormat="1" customHeight="1" spans="1:25">
      <c r="A4762" s="16" t="s">
        <v>401</v>
      </c>
      <c r="B4762" s="17" t="s">
        <v>6236</v>
      </c>
      <c r="C4762" s="17" t="s">
        <v>63</v>
      </c>
      <c r="D4762" s="17" t="s">
        <v>6237</v>
      </c>
      <c r="E4762" s="18" t="s">
        <v>6238</v>
      </c>
      <c r="F4762" s="16" t="s">
        <v>6239</v>
      </c>
      <c r="G4762" s="16" t="s">
        <v>88</v>
      </c>
      <c r="H4762" s="19" t="s">
        <v>6431</v>
      </c>
      <c r="I4762" s="23" t="e">
        <f>VLOOKUP(H4762,'合同综合查询数据（3月返）'!$A:$A,1,FALSE)</f>
        <v>#N/A</v>
      </c>
      <c r="J4762" s="24" t="s">
        <v>3074</v>
      </c>
      <c r="K4762" s="16" t="s">
        <v>6432</v>
      </c>
      <c r="L4762" s="25"/>
      <c r="M4762" s="26" t="s">
        <v>6323</v>
      </c>
      <c r="N4762" s="28">
        <v>44403</v>
      </c>
      <c r="O4762" s="28" t="s">
        <v>457</v>
      </c>
      <c r="P4762" s="29">
        <v>6300</v>
      </c>
      <c r="Q4762" s="369">
        <v>54</v>
      </c>
      <c r="R4762" s="36">
        <f t="shared" si="107"/>
        <v>340200</v>
      </c>
      <c r="S4762" s="37">
        <v>202303</v>
      </c>
      <c r="T4762" s="375" t="s">
        <v>6449</v>
      </c>
      <c r="U4762" s="39"/>
      <c r="V4762" s="370"/>
      <c r="W4762" s="41"/>
      <c r="X4762" s="371">
        <v>44347</v>
      </c>
      <c r="Y4762" s="371">
        <v>46537</v>
      </c>
    </row>
    <row r="4763" s="9" customFormat="1" customHeight="1" spans="1:25">
      <c r="A4763" s="16" t="s">
        <v>401</v>
      </c>
      <c r="B4763" s="17" t="s">
        <v>6236</v>
      </c>
      <c r="C4763" s="17" t="s">
        <v>63</v>
      </c>
      <c r="D4763" s="17" t="s">
        <v>6237</v>
      </c>
      <c r="E4763" s="18" t="s">
        <v>6238</v>
      </c>
      <c r="F4763" s="16" t="s">
        <v>6239</v>
      </c>
      <c r="G4763" s="16" t="s">
        <v>88</v>
      </c>
      <c r="H4763" s="19" t="s">
        <v>6431</v>
      </c>
      <c r="I4763" s="23" t="e">
        <f>VLOOKUP(H4763,'合同综合查询数据（3月返）'!$A:$A,1,FALSE)</f>
        <v>#N/A</v>
      </c>
      <c r="J4763" s="24" t="s">
        <v>3074</v>
      </c>
      <c r="K4763" s="16" t="s">
        <v>6432</v>
      </c>
      <c r="L4763" s="25"/>
      <c r="M4763" s="26" t="s">
        <v>6323</v>
      </c>
      <c r="N4763" s="28">
        <v>44404</v>
      </c>
      <c r="O4763" s="28" t="s">
        <v>457</v>
      </c>
      <c r="P4763" s="29">
        <v>6300</v>
      </c>
      <c r="Q4763" s="369">
        <v>4</v>
      </c>
      <c r="R4763" s="36">
        <f t="shared" si="107"/>
        <v>25200</v>
      </c>
      <c r="S4763" s="37">
        <v>202303</v>
      </c>
      <c r="T4763" s="375" t="s">
        <v>6450</v>
      </c>
      <c r="U4763" s="39"/>
      <c r="V4763" s="370"/>
      <c r="W4763" s="41"/>
      <c r="X4763" s="371">
        <v>44347</v>
      </c>
      <c r="Y4763" s="371">
        <v>46537</v>
      </c>
    </row>
    <row r="4764" s="9" customFormat="1" customHeight="1" spans="1:25">
      <c r="A4764" s="16" t="s">
        <v>401</v>
      </c>
      <c r="B4764" s="17" t="s">
        <v>6236</v>
      </c>
      <c r="C4764" s="17" t="s">
        <v>63</v>
      </c>
      <c r="D4764" s="17" t="s">
        <v>6237</v>
      </c>
      <c r="E4764" s="18" t="s">
        <v>6238</v>
      </c>
      <c r="F4764" s="16" t="s">
        <v>6239</v>
      </c>
      <c r="G4764" s="16" t="s">
        <v>88</v>
      </c>
      <c r="H4764" s="19" t="s">
        <v>6431</v>
      </c>
      <c r="I4764" s="23" t="e">
        <f>VLOOKUP(H4764,'合同综合查询数据（3月返）'!$A:$A,1,FALSE)</f>
        <v>#N/A</v>
      </c>
      <c r="J4764" s="24" t="s">
        <v>3074</v>
      </c>
      <c r="K4764" s="16" t="s">
        <v>6432</v>
      </c>
      <c r="L4764" s="25"/>
      <c r="M4764" s="26" t="s">
        <v>6323</v>
      </c>
      <c r="N4764" s="28">
        <v>44406</v>
      </c>
      <c r="O4764" s="28" t="s">
        <v>457</v>
      </c>
      <c r="P4764" s="29">
        <v>6300</v>
      </c>
      <c r="Q4764" s="369">
        <v>5</v>
      </c>
      <c r="R4764" s="36">
        <f t="shared" si="107"/>
        <v>31500</v>
      </c>
      <c r="S4764" s="37">
        <v>202303</v>
      </c>
      <c r="T4764" s="375" t="s">
        <v>6451</v>
      </c>
      <c r="U4764" s="39"/>
      <c r="V4764" s="370"/>
      <c r="W4764" s="41"/>
      <c r="X4764" s="371">
        <v>44347</v>
      </c>
      <c r="Y4764" s="371">
        <v>46537</v>
      </c>
    </row>
    <row r="4765" s="9" customFormat="1" customHeight="1" spans="1:25">
      <c r="A4765" s="16" t="s">
        <v>401</v>
      </c>
      <c r="B4765" s="17" t="s">
        <v>6236</v>
      </c>
      <c r="C4765" s="17" t="s">
        <v>63</v>
      </c>
      <c r="D4765" s="17" t="s">
        <v>6237</v>
      </c>
      <c r="E4765" s="18" t="s">
        <v>6238</v>
      </c>
      <c r="F4765" s="16" t="s">
        <v>6239</v>
      </c>
      <c r="G4765" s="16" t="s">
        <v>88</v>
      </c>
      <c r="H4765" s="19" t="s">
        <v>6431</v>
      </c>
      <c r="I4765" s="23" t="e">
        <f>VLOOKUP(H4765,'合同综合查询数据（3月返）'!$A:$A,1,FALSE)</f>
        <v>#N/A</v>
      </c>
      <c r="J4765" s="24" t="s">
        <v>3074</v>
      </c>
      <c r="K4765" s="16" t="s">
        <v>6432</v>
      </c>
      <c r="L4765" s="25"/>
      <c r="M4765" s="26" t="s">
        <v>6323</v>
      </c>
      <c r="N4765" s="28">
        <v>44411</v>
      </c>
      <c r="O4765" s="28" t="s">
        <v>457</v>
      </c>
      <c r="P4765" s="29">
        <v>6300</v>
      </c>
      <c r="Q4765" s="369">
        <v>3</v>
      </c>
      <c r="R4765" s="36">
        <f t="shared" si="107"/>
        <v>18900</v>
      </c>
      <c r="S4765" s="37">
        <v>202303</v>
      </c>
      <c r="T4765" s="375" t="s">
        <v>6452</v>
      </c>
      <c r="U4765" s="39"/>
      <c r="V4765" s="370"/>
      <c r="W4765" s="41"/>
      <c r="X4765" s="371">
        <v>44347</v>
      </c>
      <c r="Y4765" s="371">
        <v>46537</v>
      </c>
    </row>
    <row r="4766" s="9" customFormat="1" customHeight="1" spans="1:25">
      <c r="A4766" s="16" t="s">
        <v>401</v>
      </c>
      <c r="B4766" s="17" t="s">
        <v>6236</v>
      </c>
      <c r="C4766" s="17" t="s">
        <v>63</v>
      </c>
      <c r="D4766" s="17" t="s">
        <v>6237</v>
      </c>
      <c r="E4766" s="18" t="s">
        <v>6238</v>
      </c>
      <c r="F4766" s="16" t="s">
        <v>6239</v>
      </c>
      <c r="G4766" s="16" t="s">
        <v>88</v>
      </c>
      <c r="H4766" s="19" t="s">
        <v>6431</v>
      </c>
      <c r="I4766" s="23" t="e">
        <f>VLOOKUP(H4766,'合同综合查询数据（3月返）'!$A:$A,1,FALSE)</f>
        <v>#N/A</v>
      </c>
      <c r="J4766" s="24" t="s">
        <v>3074</v>
      </c>
      <c r="K4766" s="16" t="s">
        <v>6432</v>
      </c>
      <c r="L4766" s="25"/>
      <c r="M4766" s="26" t="s">
        <v>6323</v>
      </c>
      <c r="N4766" s="28">
        <v>44412</v>
      </c>
      <c r="O4766" s="28" t="s">
        <v>457</v>
      </c>
      <c r="P4766" s="29">
        <v>6300</v>
      </c>
      <c r="Q4766" s="369">
        <v>5</v>
      </c>
      <c r="R4766" s="36">
        <f t="shared" si="107"/>
        <v>31500</v>
      </c>
      <c r="S4766" s="37">
        <v>202303</v>
      </c>
      <c r="T4766" s="375" t="s">
        <v>6453</v>
      </c>
      <c r="U4766" s="39"/>
      <c r="V4766" s="370"/>
      <c r="W4766" s="41"/>
      <c r="X4766" s="371">
        <v>44347</v>
      </c>
      <c r="Y4766" s="371">
        <v>46537</v>
      </c>
    </row>
    <row r="4767" s="9" customFormat="1" customHeight="1" spans="1:25">
      <c r="A4767" s="16" t="s">
        <v>401</v>
      </c>
      <c r="B4767" s="17" t="s">
        <v>6236</v>
      </c>
      <c r="C4767" s="17" t="s">
        <v>63</v>
      </c>
      <c r="D4767" s="17" t="s">
        <v>6237</v>
      </c>
      <c r="E4767" s="18" t="s">
        <v>6238</v>
      </c>
      <c r="F4767" s="16" t="s">
        <v>6239</v>
      </c>
      <c r="G4767" s="16" t="s">
        <v>88</v>
      </c>
      <c r="H4767" s="19" t="s">
        <v>6431</v>
      </c>
      <c r="I4767" s="23" t="e">
        <f>VLOOKUP(H4767,'合同综合查询数据（3月返）'!$A:$A,1,FALSE)</f>
        <v>#N/A</v>
      </c>
      <c r="J4767" s="24" t="s">
        <v>3074</v>
      </c>
      <c r="K4767" s="16" t="s">
        <v>6432</v>
      </c>
      <c r="L4767" s="25"/>
      <c r="M4767" s="26" t="s">
        <v>6323</v>
      </c>
      <c r="N4767" s="28">
        <v>44418</v>
      </c>
      <c r="O4767" s="28" t="s">
        <v>457</v>
      </c>
      <c r="P4767" s="29">
        <v>6300</v>
      </c>
      <c r="Q4767" s="369">
        <v>7</v>
      </c>
      <c r="R4767" s="36">
        <f t="shared" si="107"/>
        <v>44100</v>
      </c>
      <c r="S4767" s="37">
        <v>202303</v>
      </c>
      <c r="T4767" s="375" t="s">
        <v>6454</v>
      </c>
      <c r="U4767" s="39"/>
      <c r="V4767" s="370"/>
      <c r="W4767" s="41"/>
      <c r="X4767" s="371">
        <v>44347</v>
      </c>
      <c r="Y4767" s="371">
        <v>46537</v>
      </c>
    </row>
    <row r="4768" s="9" customFormat="1" customHeight="1" spans="1:25">
      <c r="A4768" s="16" t="s">
        <v>401</v>
      </c>
      <c r="B4768" s="17" t="s">
        <v>6236</v>
      </c>
      <c r="C4768" s="17" t="s">
        <v>63</v>
      </c>
      <c r="D4768" s="17" t="s">
        <v>6237</v>
      </c>
      <c r="E4768" s="18" t="s">
        <v>6238</v>
      </c>
      <c r="F4768" s="16" t="s">
        <v>6239</v>
      </c>
      <c r="G4768" s="16" t="s">
        <v>88</v>
      </c>
      <c r="H4768" s="19" t="s">
        <v>6431</v>
      </c>
      <c r="I4768" s="23" t="e">
        <f>VLOOKUP(H4768,'合同综合查询数据（3月返）'!$A:$A,1,FALSE)</f>
        <v>#N/A</v>
      </c>
      <c r="J4768" s="24" t="s">
        <v>3074</v>
      </c>
      <c r="K4768" s="16" t="s">
        <v>6432</v>
      </c>
      <c r="L4768" s="25"/>
      <c r="M4768" s="26" t="s">
        <v>6323</v>
      </c>
      <c r="N4768" s="28">
        <v>44420</v>
      </c>
      <c r="O4768" s="28" t="s">
        <v>457</v>
      </c>
      <c r="P4768" s="29">
        <v>6300</v>
      </c>
      <c r="Q4768" s="369">
        <v>18</v>
      </c>
      <c r="R4768" s="36">
        <f t="shared" si="107"/>
        <v>113400</v>
      </c>
      <c r="S4768" s="37">
        <v>202303</v>
      </c>
      <c r="T4768" s="375" t="s">
        <v>6455</v>
      </c>
      <c r="U4768" s="39"/>
      <c r="V4768" s="370"/>
      <c r="W4768" s="41"/>
      <c r="X4768" s="371">
        <v>44347</v>
      </c>
      <c r="Y4768" s="371">
        <v>46537</v>
      </c>
    </row>
    <row r="4769" s="9" customFormat="1" customHeight="1" spans="1:25">
      <c r="A4769" s="16" t="s">
        <v>401</v>
      </c>
      <c r="B4769" s="17" t="s">
        <v>6236</v>
      </c>
      <c r="C4769" s="17" t="s">
        <v>63</v>
      </c>
      <c r="D4769" s="17" t="s">
        <v>6237</v>
      </c>
      <c r="E4769" s="18" t="s">
        <v>6238</v>
      </c>
      <c r="F4769" s="16" t="s">
        <v>6239</v>
      </c>
      <c r="G4769" s="16" t="s">
        <v>88</v>
      </c>
      <c r="H4769" s="19" t="s">
        <v>6431</v>
      </c>
      <c r="I4769" s="23" t="e">
        <f>VLOOKUP(H4769,'合同综合查询数据（3月返）'!$A:$A,1,FALSE)</f>
        <v>#N/A</v>
      </c>
      <c r="J4769" s="24" t="s">
        <v>3074</v>
      </c>
      <c r="K4769" s="16" t="s">
        <v>6432</v>
      </c>
      <c r="L4769" s="25"/>
      <c r="M4769" s="26" t="s">
        <v>6323</v>
      </c>
      <c r="N4769" s="28">
        <v>44421</v>
      </c>
      <c r="O4769" s="28" t="s">
        <v>457</v>
      </c>
      <c r="P4769" s="29">
        <v>6300</v>
      </c>
      <c r="Q4769" s="369">
        <v>72</v>
      </c>
      <c r="R4769" s="36">
        <f t="shared" si="107"/>
        <v>453600</v>
      </c>
      <c r="S4769" s="37">
        <v>202303</v>
      </c>
      <c r="T4769" s="375" t="s">
        <v>6456</v>
      </c>
      <c r="U4769" s="39"/>
      <c r="V4769" s="370"/>
      <c r="W4769" s="41"/>
      <c r="X4769" s="371">
        <v>44347</v>
      </c>
      <c r="Y4769" s="371">
        <v>46537</v>
      </c>
    </row>
    <row r="4770" s="9" customFormat="1" customHeight="1" spans="1:25">
      <c r="A4770" s="16" t="s">
        <v>401</v>
      </c>
      <c r="B4770" s="17" t="s">
        <v>6236</v>
      </c>
      <c r="C4770" s="17" t="s">
        <v>63</v>
      </c>
      <c r="D4770" s="17" t="s">
        <v>6237</v>
      </c>
      <c r="E4770" s="18" t="s">
        <v>6238</v>
      </c>
      <c r="F4770" s="16" t="s">
        <v>6239</v>
      </c>
      <c r="G4770" s="16" t="s">
        <v>88</v>
      </c>
      <c r="H4770" s="19" t="s">
        <v>6431</v>
      </c>
      <c r="I4770" s="23" t="e">
        <f>VLOOKUP(H4770,'合同综合查询数据（3月返）'!$A:$A,1,FALSE)</f>
        <v>#N/A</v>
      </c>
      <c r="J4770" s="24" t="s">
        <v>3074</v>
      </c>
      <c r="K4770" s="16" t="s">
        <v>6432</v>
      </c>
      <c r="L4770" s="25"/>
      <c r="M4770" s="26" t="s">
        <v>6323</v>
      </c>
      <c r="N4770" s="28">
        <v>44441</v>
      </c>
      <c r="O4770" s="28" t="s">
        <v>457</v>
      </c>
      <c r="P4770" s="29">
        <v>6300</v>
      </c>
      <c r="Q4770" s="369">
        <v>23</v>
      </c>
      <c r="R4770" s="36">
        <f t="shared" si="107"/>
        <v>144900</v>
      </c>
      <c r="S4770" s="37">
        <v>202303</v>
      </c>
      <c r="T4770" s="375" t="s">
        <v>6457</v>
      </c>
      <c r="U4770" s="39"/>
      <c r="V4770" s="370"/>
      <c r="W4770" s="41"/>
      <c r="X4770" s="371">
        <v>44347</v>
      </c>
      <c r="Y4770" s="371">
        <v>46537</v>
      </c>
    </row>
    <row r="4771" s="9" customFormat="1" customHeight="1" spans="1:25">
      <c r="A4771" s="16" t="s">
        <v>401</v>
      </c>
      <c r="B4771" s="17" t="s">
        <v>6236</v>
      </c>
      <c r="C4771" s="17" t="s">
        <v>63</v>
      </c>
      <c r="D4771" s="17" t="s">
        <v>6237</v>
      </c>
      <c r="E4771" s="18" t="s">
        <v>6238</v>
      </c>
      <c r="F4771" s="16" t="s">
        <v>6239</v>
      </c>
      <c r="G4771" s="16" t="s">
        <v>88</v>
      </c>
      <c r="H4771" s="19" t="s">
        <v>6431</v>
      </c>
      <c r="I4771" s="23" t="e">
        <f>VLOOKUP(H4771,'合同综合查询数据（3月返）'!$A:$A,1,FALSE)</f>
        <v>#N/A</v>
      </c>
      <c r="J4771" s="24" t="s">
        <v>3074</v>
      </c>
      <c r="K4771" s="16" t="s">
        <v>6432</v>
      </c>
      <c r="L4771" s="25"/>
      <c r="M4771" s="26" t="s">
        <v>6323</v>
      </c>
      <c r="N4771" s="28">
        <v>44442</v>
      </c>
      <c r="O4771" s="28" t="s">
        <v>457</v>
      </c>
      <c r="P4771" s="29">
        <v>6300</v>
      </c>
      <c r="Q4771" s="369">
        <v>13</v>
      </c>
      <c r="R4771" s="36">
        <f t="shared" si="107"/>
        <v>81900</v>
      </c>
      <c r="S4771" s="37">
        <v>202303</v>
      </c>
      <c r="T4771" s="375" t="s">
        <v>6458</v>
      </c>
      <c r="U4771" s="39"/>
      <c r="V4771" s="370"/>
      <c r="W4771" s="41"/>
      <c r="X4771" s="371">
        <v>44347</v>
      </c>
      <c r="Y4771" s="371">
        <v>46537</v>
      </c>
    </row>
    <row r="4772" s="9" customFormat="1" customHeight="1" spans="1:25">
      <c r="A4772" s="16" t="s">
        <v>401</v>
      </c>
      <c r="B4772" s="17" t="s">
        <v>6236</v>
      </c>
      <c r="C4772" s="17" t="s">
        <v>63</v>
      </c>
      <c r="D4772" s="17" t="s">
        <v>6237</v>
      </c>
      <c r="E4772" s="18" t="s">
        <v>6238</v>
      </c>
      <c r="F4772" s="16" t="s">
        <v>6239</v>
      </c>
      <c r="G4772" s="16" t="s">
        <v>88</v>
      </c>
      <c r="H4772" s="19" t="s">
        <v>6431</v>
      </c>
      <c r="I4772" s="23" t="e">
        <f>VLOOKUP(H4772,'合同综合查询数据（3月返）'!$A:$A,1,FALSE)</f>
        <v>#N/A</v>
      </c>
      <c r="J4772" s="24" t="s">
        <v>3074</v>
      </c>
      <c r="K4772" s="16" t="s">
        <v>6432</v>
      </c>
      <c r="L4772" s="25"/>
      <c r="M4772" s="26" t="s">
        <v>6323</v>
      </c>
      <c r="N4772" s="28">
        <v>44445</v>
      </c>
      <c r="O4772" s="28" t="s">
        <v>457</v>
      </c>
      <c r="P4772" s="29">
        <v>6300</v>
      </c>
      <c r="Q4772" s="369">
        <v>8</v>
      </c>
      <c r="R4772" s="36">
        <f t="shared" si="107"/>
        <v>50400</v>
      </c>
      <c r="S4772" s="37">
        <v>202303</v>
      </c>
      <c r="T4772" s="375" t="s">
        <v>6459</v>
      </c>
      <c r="U4772" s="39"/>
      <c r="V4772" s="370"/>
      <c r="W4772" s="41"/>
      <c r="X4772" s="371">
        <v>44347</v>
      </c>
      <c r="Y4772" s="371">
        <v>46537</v>
      </c>
    </row>
    <row r="4773" s="9" customFormat="1" customHeight="1" spans="1:25">
      <c r="A4773" s="16" t="s">
        <v>401</v>
      </c>
      <c r="B4773" s="17" t="s">
        <v>6236</v>
      </c>
      <c r="C4773" s="17" t="s">
        <v>63</v>
      </c>
      <c r="D4773" s="17" t="s">
        <v>6237</v>
      </c>
      <c r="E4773" s="18" t="s">
        <v>6238</v>
      </c>
      <c r="F4773" s="16" t="s">
        <v>6239</v>
      </c>
      <c r="G4773" s="16" t="s">
        <v>88</v>
      </c>
      <c r="H4773" s="19" t="s">
        <v>6431</v>
      </c>
      <c r="I4773" s="23" t="e">
        <f>VLOOKUP(H4773,'合同综合查询数据（3月返）'!$A:$A,1,FALSE)</f>
        <v>#N/A</v>
      </c>
      <c r="J4773" s="24" t="s">
        <v>3074</v>
      </c>
      <c r="K4773" s="16" t="s">
        <v>6432</v>
      </c>
      <c r="L4773" s="25"/>
      <c r="M4773" s="26" t="s">
        <v>6323</v>
      </c>
      <c r="N4773" s="28">
        <v>44446</v>
      </c>
      <c r="O4773" s="28" t="s">
        <v>457</v>
      </c>
      <c r="P4773" s="29">
        <v>6300</v>
      </c>
      <c r="Q4773" s="369">
        <v>6</v>
      </c>
      <c r="R4773" s="36">
        <f t="shared" si="107"/>
        <v>37800</v>
      </c>
      <c r="S4773" s="37">
        <v>202303</v>
      </c>
      <c r="T4773" s="375" t="s">
        <v>6460</v>
      </c>
      <c r="U4773" s="39"/>
      <c r="V4773" s="370"/>
      <c r="W4773" s="41"/>
      <c r="X4773" s="371">
        <v>44347</v>
      </c>
      <c r="Y4773" s="371">
        <v>46537</v>
      </c>
    </row>
    <row r="4774" s="9" customFormat="1" customHeight="1" spans="1:25">
      <c r="A4774" s="16" t="s">
        <v>401</v>
      </c>
      <c r="B4774" s="17" t="s">
        <v>6236</v>
      </c>
      <c r="C4774" s="17" t="s">
        <v>63</v>
      </c>
      <c r="D4774" s="17" t="s">
        <v>6237</v>
      </c>
      <c r="E4774" s="18" t="s">
        <v>6238</v>
      </c>
      <c r="F4774" s="16" t="s">
        <v>6239</v>
      </c>
      <c r="G4774" s="16" t="s">
        <v>88</v>
      </c>
      <c r="H4774" s="19" t="s">
        <v>6431</v>
      </c>
      <c r="I4774" s="23" t="e">
        <f>VLOOKUP(H4774,'合同综合查询数据（3月返）'!$A:$A,1,FALSE)</f>
        <v>#N/A</v>
      </c>
      <c r="J4774" s="24" t="s">
        <v>3074</v>
      </c>
      <c r="K4774" s="16" t="s">
        <v>6432</v>
      </c>
      <c r="L4774" s="25"/>
      <c r="M4774" s="26" t="s">
        <v>6323</v>
      </c>
      <c r="N4774" s="28">
        <v>44449</v>
      </c>
      <c r="O4774" s="28" t="s">
        <v>457</v>
      </c>
      <c r="P4774" s="29">
        <v>6300</v>
      </c>
      <c r="Q4774" s="369">
        <v>21</v>
      </c>
      <c r="R4774" s="36">
        <f t="shared" si="107"/>
        <v>132300</v>
      </c>
      <c r="S4774" s="37">
        <v>202303</v>
      </c>
      <c r="T4774" s="375" t="s">
        <v>6461</v>
      </c>
      <c r="U4774" s="39"/>
      <c r="V4774" s="370"/>
      <c r="W4774" s="41"/>
      <c r="X4774" s="371">
        <v>44347</v>
      </c>
      <c r="Y4774" s="371">
        <v>46537</v>
      </c>
    </row>
    <row r="4775" s="9" customFormat="1" customHeight="1" spans="1:25">
      <c r="A4775" s="16" t="s">
        <v>401</v>
      </c>
      <c r="B4775" s="17" t="s">
        <v>6236</v>
      </c>
      <c r="C4775" s="17" t="s">
        <v>63</v>
      </c>
      <c r="D4775" s="17" t="s">
        <v>6237</v>
      </c>
      <c r="E4775" s="18" t="s">
        <v>6238</v>
      </c>
      <c r="F4775" s="16" t="s">
        <v>6239</v>
      </c>
      <c r="G4775" s="16" t="s">
        <v>88</v>
      </c>
      <c r="H4775" s="19" t="s">
        <v>6431</v>
      </c>
      <c r="I4775" s="23" t="e">
        <f>VLOOKUP(H4775,'合同综合查询数据（3月返）'!$A:$A,1,FALSE)</f>
        <v>#N/A</v>
      </c>
      <c r="J4775" s="24" t="s">
        <v>3074</v>
      </c>
      <c r="K4775" s="16" t="s">
        <v>6432</v>
      </c>
      <c r="L4775" s="25"/>
      <c r="M4775" s="26" t="s">
        <v>6323</v>
      </c>
      <c r="N4775" s="28">
        <v>44454</v>
      </c>
      <c r="O4775" s="28" t="s">
        <v>457</v>
      </c>
      <c r="P4775" s="29">
        <v>6300</v>
      </c>
      <c r="Q4775" s="369">
        <v>13</v>
      </c>
      <c r="R4775" s="36">
        <f t="shared" si="107"/>
        <v>81900</v>
      </c>
      <c r="S4775" s="37">
        <v>202303</v>
      </c>
      <c r="T4775" s="375" t="s">
        <v>6462</v>
      </c>
      <c r="U4775" s="39"/>
      <c r="V4775" s="370"/>
      <c r="W4775" s="41"/>
      <c r="X4775" s="371">
        <v>44347</v>
      </c>
      <c r="Y4775" s="371">
        <v>46537</v>
      </c>
    </row>
    <row r="4776" s="9" customFormat="1" customHeight="1" spans="1:25">
      <c r="A4776" s="16" t="s">
        <v>401</v>
      </c>
      <c r="B4776" s="17" t="s">
        <v>6236</v>
      </c>
      <c r="C4776" s="17" t="s">
        <v>63</v>
      </c>
      <c r="D4776" s="17" t="s">
        <v>6237</v>
      </c>
      <c r="E4776" s="18" t="s">
        <v>6238</v>
      </c>
      <c r="F4776" s="16" t="s">
        <v>6239</v>
      </c>
      <c r="G4776" s="16" t="s">
        <v>88</v>
      </c>
      <c r="H4776" s="19" t="s">
        <v>6431</v>
      </c>
      <c r="I4776" s="23" t="e">
        <f>VLOOKUP(H4776,'合同综合查询数据（3月返）'!$A:$A,1,FALSE)</f>
        <v>#N/A</v>
      </c>
      <c r="J4776" s="24" t="s">
        <v>3074</v>
      </c>
      <c r="K4776" s="16" t="s">
        <v>6432</v>
      </c>
      <c r="L4776" s="25"/>
      <c r="M4776" s="26" t="s">
        <v>6323</v>
      </c>
      <c r="N4776" s="28">
        <v>44456</v>
      </c>
      <c r="O4776" s="28" t="s">
        <v>457</v>
      </c>
      <c r="P4776" s="29">
        <v>6300</v>
      </c>
      <c r="Q4776" s="369">
        <v>14</v>
      </c>
      <c r="R4776" s="36">
        <f t="shared" si="107"/>
        <v>88200</v>
      </c>
      <c r="S4776" s="37">
        <v>202303</v>
      </c>
      <c r="T4776" s="375" t="s">
        <v>6463</v>
      </c>
      <c r="U4776" s="39"/>
      <c r="V4776" s="370"/>
      <c r="W4776" s="41"/>
      <c r="X4776" s="371">
        <v>44347</v>
      </c>
      <c r="Y4776" s="371">
        <v>46537</v>
      </c>
    </row>
    <row r="4777" s="9" customFormat="1" customHeight="1" spans="1:25">
      <c r="A4777" s="16" t="s">
        <v>401</v>
      </c>
      <c r="B4777" s="17" t="s">
        <v>6236</v>
      </c>
      <c r="C4777" s="17" t="s">
        <v>63</v>
      </c>
      <c r="D4777" s="17" t="s">
        <v>6237</v>
      </c>
      <c r="E4777" s="18" t="s">
        <v>6238</v>
      </c>
      <c r="F4777" s="16" t="s">
        <v>6239</v>
      </c>
      <c r="G4777" s="16" t="s">
        <v>88</v>
      </c>
      <c r="H4777" s="19" t="s">
        <v>6431</v>
      </c>
      <c r="I4777" s="23" t="e">
        <f>VLOOKUP(H4777,'合同综合查询数据（3月返）'!$A:$A,1,FALSE)</f>
        <v>#N/A</v>
      </c>
      <c r="J4777" s="24" t="s">
        <v>3074</v>
      </c>
      <c r="K4777" s="16" t="s">
        <v>6432</v>
      </c>
      <c r="L4777" s="25"/>
      <c r="M4777" s="26" t="s">
        <v>6323</v>
      </c>
      <c r="N4777" s="28">
        <v>44465</v>
      </c>
      <c r="O4777" s="28" t="s">
        <v>457</v>
      </c>
      <c r="P4777" s="29">
        <v>6300</v>
      </c>
      <c r="Q4777" s="369">
        <v>36</v>
      </c>
      <c r="R4777" s="36">
        <f t="shared" si="107"/>
        <v>226800</v>
      </c>
      <c r="S4777" s="37">
        <v>202303</v>
      </c>
      <c r="T4777" s="375" t="s">
        <v>6464</v>
      </c>
      <c r="U4777" s="39"/>
      <c r="V4777" s="370"/>
      <c r="W4777" s="41"/>
      <c r="X4777" s="371">
        <v>44347</v>
      </c>
      <c r="Y4777" s="371">
        <v>46537</v>
      </c>
    </row>
    <row r="4778" s="9" customFormat="1" customHeight="1" spans="1:25">
      <c r="A4778" s="16" t="s">
        <v>401</v>
      </c>
      <c r="B4778" s="17" t="s">
        <v>6236</v>
      </c>
      <c r="C4778" s="17" t="s">
        <v>63</v>
      </c>
      <c r="D4778" s="17" t="s">
        <v>6237</v>
      </c>
      <c r="E4778" s="18" t="s">
        <v>6238</v>
      </c>
      <c r="F4778" s="16" t="s">
        <v>6239</v>
      </c>
      <c r="G4778" s="16" t="s">
        <v>88</v>
      </c>
      <c r="H4778" s="19" t="s">
        <v>6465</v>
      </c>
      <c r="I4778" s="23" t="e">
        <f>VLOOKUP(H4778,'合同综合查询数据（3月返）'!$A:$A,1,FALSE)</f>
        <v>#N/A</v>
      </c>
      <c r="J4778" s="24" t="s">
        <v>3074</v>
      </c>
      <c r="K4778" s="16" t="s">
        <v>6466</v>
      </c>
      <c r="L4778" s="25"/>
      <c r="M4778" s="26" t="s">
        <v>6323</v>
      </c>
      <c r="N4778" s="28">
        <v>44470</v>
      </c>
      <c r="O4778" s="28" t="s">
        <v>457</v>
      </c>
      <c r="P4778" s="29">
        <v>6300</v>
      </c>
      <c r="Q4778" s="369">
        <v>164</v>
      </c>
      <c r="R4778" s="36">
        <f t="shared" si="107"/>
        <v>1033200</v>
      </c>
      <c r="S4778" s="37">
        <v>202303</v>
      </c>
      <c r="T4778" s="375" t="s">
        <v>6467</v>
      </c>
      <c r="U4778" s="39"/>
      <c r="V4778" s="370"/>
      <c r="W4778" s="41"/>
      <c r="X4778" s="371">
        <v>44470</v>
      </c>
      <c r="Y4778" s="371">
        <v>46660</v>
      </c>
    </row>
    <row r="4779" s="9" customFormat="1" customHeight="1" spans="1:25">
      <c r="A4779" s="16" t="s">
        <v>401</v>
      </c>
      <c r="B4779" s="17" t="s">
        <v>6236</v>
      </c>
      <c r="C4779" s="17" t="s">
        <v>63</v>
      </c>
      <c r="D4779" s="17" t="s">
        <v>6237</v>
      </c>
      <c r="E4779" s="18" t="s">
        <v>6238</v>
      </c>
      <c r="F4779" s="16" t="s">
        <v>6239</v>
      </c>
      <c r="G4779" s="16" t="s">
        <v>88</v>
      </c>
      <c r="H4779" s="19" t="s">
        <v>6465</v>
      </c>
      <c r="I4779" s="23" t="e">
        <f>VLOOKUP(H4779,'合同综合查询数据（3月返）'!$A:$A,1,FALSE)</f>
        <v>#N/A</v>
      </c>
      <c r="J4779" s="24" t="s">
        <v>3074</v>
      </c>
      <c r="K4779" s="16" t="s">
        <v>6466</v>
      </c>
      <c r="L4779" s="25"/>
      <c r="M4779" s="26" t="s">
        <v>6323</v>
      </c>
      <c r="N4779" s="28">
        <v>44476</v>
      </c>
      <c r="O4779" s="28" t="s">
        <v>457</v>
      </c>
      <c r="P4779" s="29">
        <v>6300</v>
      </c>
      <c r="Q4779" s="369">
        <v>13</v>
      </c>
      <c r="R4779" s="36">
        <f t="shared" si="107"/>
        <v>81900</v>
      </c>
      <c r="S4779" s="37">
        <v>202303</v>
      </c>
      <c r="T4779" s="375" t="s">
        <v>6468</v>
      </c>
      <c r="U4779" s="39"/>
      <c r="V4779" s="370"/>
      <c r="W4779" s="41"/>
      <c r="X4779" s="371">
        <v>44470</v>
      </c>
      <c r="Y4779" s="371">
        <v>46660</v>
      </c>
    </row>
    <row r="4780" s="9" customFormat="1" customHeight="1" spans="1:25">
      <c r="A4780" s="16" t="s">
        <v>401</v>
      </c>
      <c r="B4780" s="17" t="s">
        <v>6236</v>
      </c>
      <c r="C4780" s="17" t="s">
        <v>63</v>
      </c>
      <c r="D4780" s="17" t="s">
        <v>6237</v>
      </c>
      <c r="E4780" s="18" t="s">
        <v>6238</v>
      </c>
      <c r="F4780" s="16" t="s">
        <v>6239</v>
      </c>
      <c r="G4780" s="16" t="s">
        <v>88</v>
      </c>
      <c r="H4780" s="19" t="s">
        <v>6465</v>
      </c>
      <c r="I4780" s="23" t="e">
        <f>VLOOKUP(H4780,'合同综合查询数据（3月返）'!$A:$A,1,FALSE)</f>
        <v>#N/A</v>
      </c>
      <c r="J4780" s="24" t="s">
        <v>3074</v>
      </c>
      <c r="K4780" s="16" t="s">
        <v>6466</v>
      </c>
      <c r="L4780" s="25"/>
      <c r="M4780" s="26" t="s">
        <v>6323</v>
      </c>
      <c r="N4780" s="28">
        <v>44482</v>
      </c>
      <c r="O4780" s="28" t="s">
        <v>457</v>
      </c>
      <c r="P4780" s="29">
        <v>6300</v>
      </c>
      <c r="Q4780" s="369">
        <v>13</v>
      </c>
      <c r="R4780" s="36">
        <f t="shared" si="107"/>
        <v>81900</v>
      </c>
      <c r="S4780" s="37">
        <v>202303</v>
      </c>
      <c r="T4780" s="375" t="s">
        <v>6469</v>
      </c>
      <c r="U4780" s="39"/>
      <c r="V4780" s="370"/>
      <c r="W4780" s="41"/>
      <c r="X4780" s="371">
        <v>44470</v>
      </c>
      <c r="Y4780" s="371">
        <v>46660</v>
      </c>
    </row>
    <row r="4781" s="9" customFormat="1" customHeight="1" spans="1:25">
      <c r="A4781" s="16" t="s">
        <v>401</v>
      </c>
      <c r="B4781" s="17" t="s">
        <v>6236</v>
      </c>
      <c r="C4781" s="17" t="s">
        <v>63</v>
      </c>
      <c r="D4781" s="17" t="s">
        <v>6237</v>
      </c>
      <c r="E4781" s="18" t="s">
        <v>6238</v>
      </c>
      <c r="F4781" s="16" t="s">
        <v>6239</v>
      </c>
      <c r="G4781" s="16" t="s">
        <v>88</v>
      </c>
      <c r="H4781" s="19" t="s">
        <v>6465</v>
      </c>
      <c r="I4781" s="23" t="e">
        <f>VLOOKUP(H4781,'合同综合查询数据（3月返）'!$A:$A,1,FALSE)</f>
        <v>#N/A</v>
      </c>
      <c r="J4781" s="24" t="s">
        <v>3074</v>
      </c>
      <c r="K4781" s="16" t="s">
        <v>6466</v>
      </c>
      <c r="L4781" s="25"/>
      <c r="M4781" s="26" t="s">
        <v>6323</v>
      </c>
      <c r="N4781" s="28">
        <v>44489</v>
      </c>
      <c r="O4781" s="28" t="s">
        <v>457</v>
      </c>
      <c r="P4781" s="29">
        <v>6300</v>
      </c>
      <c r="Q4781" s="369">
        <v>16</v>
      </c>
      <c r="R4781" s="36">
        <f t="shared" si="107"/>
        <v>100800</v>
      </c>
      <c r="S4781" s="37">
        <v>202303</v>
      </c>
      <c r="T4781" s="375" t="s">
        <v>6470</v>
      </c>
      <c r="U4781" s="39"/>
      <c r="V4781" s="370"/>
      <c r="W4781" s="41"/>
      <c r="X4781" s="371">
        <v>44470</v>
      </c>
      <c r="Y4781" s="371">
        <v>46660</v>
      </c>
    </row>
    <row r="4782" s="9" customFormat="1" customHeight="1" spans="1:25">
      <c r="A4782" s="16" t="s">
        <v>401</v>
      </c>
      <c r="B4782" s="17" t="s">
        <v>6236</v>
      </c>
      <c r="C4782" s="17" t="s">
        <v>63</v>
      </c>
      <c r="D4782" s="17" t="s">
        <v>6237</v>
      </c>
      <c r="E4782" s="18" t="s">
        <v>6238</v>
      </c>
      <c r="F4782" s="16" t="s">
        <v>6239</v>
      </c>
      <c r="G4782" s="16" t="s">
        <v>88</v>
      </c>
      <c r="H4782" s="19" t="s">
        <v>6465</v>
      </c>
      <c r="I4782" s="23" t="e">
        <f>VLOOKUP(H4782,'合同综合查询数据（3月返）'!$A:$A,1,FALSE)</f>
        <v>#N/A</v>
      </c>
      <c r="J4782" s="24" t="s">
        <v>3074</v>
      </c>
      <c r="K4782" s="16" t="s">
        <v>6466</v>
      </c>
      <c r="L4782" s="25"/>
      <c r="M4782" s="26" t="s">
        <v>6323</v>
      </c>
      <c r="N4782" s="28">
        <v>44491</v>
      </c>
      <c r="O4782" s="28" t="s">
        <v>457</v>
      </c>
      <c r="P4782" s="29">
        <v>6300</v>
      </c>
      <c r="Q4782" s="369">
        <v>55</v>
      </c>
      <c r="R4782" s="36">
        <f t="shared" si="107"/>
        <v>346500</v>
      </c>
      <c r="S4782" s="37">
        <v>202303</v>
      </c>
      <c r="T4782" s="375" t="s">
        <v>6471</v>
      </c>
      <c r="U4782" s="39"/>
      <c r="V4782" s="370"/>
      <c r="W4782" s="41"/>
      <c r="X4782" s="371">
        <v>44470</v>
      </c>
      <c r="Y4782" s="371">
        <v>46660</v>
      </c>
    </row>
    <row r="4783" s="9" customFormat="1" customHeight="1" spans="1:25">
      <c r="A4783" s="16" t="s">
        <v>401</v>
      </c>
      <c r="B4783" s="17" t="s">
        <v>6236</v>
      </c>
      <c r="C4783" s="17" t="s">
        <v>63</v>
      </c>
      <c r="D4783" s="17" t="s">
        <v>6237</v>
      </c>
      <c r="E4783" s="18" t="s">
        <v>6238</v>
      </c>
      <c r="F4783" s="16" t="s">
        <v>6239</v>
      </c>
      <c r="G4783" s="16" t="s">
        <v>88</v>
      </c>
      <c r="H4783" s="19" t="s">
        <v>6465</v>
      </c>
      <c r="I4783" s="23" t="e">
        <f>VLOOKUP(H4783,'合同综合查询数据（3月返）'!$A:$A,1,FALSE)</f>
        <v>#N/A</v>
      </c>
      <c r="J4783" s="24" t="s">
        <v>3074</v>
      </c>
      <c r="K4783" s="16" t="s">
        <v>6466</v>
      </c>
      <c r="L4783" s="25"/>
      <c r="M4783" s="26" t="s">
        <v>6472</v>
      </c>
      <c r="N4783" s="28">
        <v>44494</v>
      </c>
      <c r="O4783" s="28" t="s">
        <v>457</v>
      </c>
      <c r="P4783" s="29">
        <v>6300</v>
      </c>
      <c r="Q4783" s="369">
        <v>4</v>
      </c>
      <c r="R4783" s="36">
        <f t="shared" si="107"/>
        <v>25200</v>
      </c>
      <c r="S4783" s="37">
        <v>202303</v>
      </c>
      <c r="T4783" s="375" t="s">
        <v>6473</v>
      </c>
      <c r="U4783" s="39"/>
      <c r="V4783" s="370"/>
      <c r="W4783" s="41"/>
      <c r="X4783" s="371">
        <v>44470</v>
      </c>
      <c r="Y4783" s="371">
        <v>46660</v>
      </c>
    </row>
    <row r="4784" s="9" customFormat="1" customHeight="1" spans="1:25">
      <c r="A4784" s="16" t="s">
        <v>401</v>
      </c>
      <c r="B4784" s="17" t="s">
        <v>6236</v>
      </c>
      <c r="C4784" s="17" t="s">
        <v>63</v>
      </c>
      <c r="D4784" s="17" t="s">
        <v>6237</v>
      </c>
      <c r="E4784" s="18" t="s">
        <v>6238</v>
      </c>
      <c r="F4784" s="16" t="s">
        <v>6239</v>
      </c>
      <c r="G4784" s="16" t="s">
        <v>88</v>
      </c>
      <c r="H4784" s="19" t="s">
        <v>6465</v>
      </c>
      <c r="I4784" s="23" t="e">
        <f>VLOOKUP(H4784,'合同综合查询数据（3月返）'!$A:$A,1,FALSE)</f>
        <v>#N/A</v>
      </c>
      <c r="J4784" s="24" t="s">
        <v>3074</v>
      </c>
      <c r="K4784" s="16" t="s">
        <v>6466</v>
      </c>
      <c r="L4784" s="25"/>
      <c r="M4784" s="26" t="s">
        <v>6323</v>
      </c>
      <c r="N4784" s="28">
        <v>44495</v>
      </c>
      <c r="O4784" s="28" t="s">
        <v>457</v>
      </c>
      <c r="P4784" s="29">
        <v>6300</v>
      </c>
      <c r="Q4784" s="369">
        <v>3</v>
      </c>
      <c r="R4784" s="36">
        <f t="shared" si="107"/>
        <v>18900</v>
      </c>
      <c r="S4784" s="37">
        <v>202303</v>
      </c>
      <c r="T4784" s="375" t="s">
        <v>6474</v>
      </c>
      <c r="U4784" s="39"/>
      <c r="V4784" s="370"/>
      <c r="W4784" s="41"/>
      <c r="X4784" s="371">
        <v>44470</v>
      </c>
      <c r="Y4784" s="371">
        <v>46660</v>
      </c>
    </row>
    <row r="4785" s="9" customFormat="1" customHeight="1" spans="1:25">
      <c r="A4785" s="16" t="s">
        <v>401</v>
      </c>
      <c r="B4785" s="17" t="s">
        <v>6236</v>
      </c>
      <c r="C4785" s="17" t="s">
        <v>63</v>
      </c>
      <c r="D4785" s="17" t="s">
        <v>6237</v>
      </c>
      <c r="E4785" s="18" t="s">
        <v>6238</v>
      </c>
      <c r="F4785" s="16" t="s">
        <v>6239</v>
      </c>
      <c r="G4785" s="16" t="s">
        <v>88</v>
      </c>
      <c r="H4785" s="19" t="s">
        <v>6465</v>
      </c>
      <c r="I4785" s="23" t="e">
        <f>VLOOKUP(H4785,'合同综合查询数据（3月返）'!$A:$A,1,FALSE)</f>
        <v>#N/A</v>
      </c>
      <c r="J4785" s="24" t="s">
        <v>3074</v>
      </c>
      <c r="K4785" s="16" t="s">
        <v>6466</v>
      </c>
      <c r="L4785" s="25"/>
      <c r="M4785" s="26" t="s">
        <v>6323</v>
      </c>
      <c r="N4785" s="28">
        <v>44499</v>
      </c>
      <c r="O4785" s="28" t="s">
        <v>457</v>
      </c>
      <c r="P4785" s="29">
        <v>6300</v>
      </c>
      <c r="Q4785" s="369">
        <v>43</v>
      </c>
      <c r="R4785" s="36">
        <f t="shared" si="107"/>
        <v>270900</v>
      </c>
      <c r="S4785" s="37">
        <v>202303</v>
      </c>
      <c r="T4785" s="375" t="s">
        <v>6475</v>
      </c>
      <c r="U4785" s="39"/>
      <c r="V4785" s="370"/>
      <c r="W4785" s="41"/>
      <c r="X4785" s="371">
        <v>44470</v>
      </c>
      <c r="Y4785" s="371">
        <v>46660</v>
      </c>
    </row>
    <row r="4786" s="9" customFormat="1" customHeight="1" spans="1:25">
      <c r="A4786" s="16" t="s">
        <v>401</v>
      </c>
      <c r="B4786" s="17" t="s">
        <v>6236</v>
      </c>
      <c r="C4786" s="17" t="s">
        <v>63</v>
      </c>
      <c r="D4786" s="17" t="s">
        <v>6237</v>
      </c>
      <c r="E4786" s="18" t="s">
        <v>6238</v>
      </c>
      <c r="F4786" s="16" t="s">
        <v>6239</v>
      </c>
      <c r="G4786" s="16" t="s">
        <v>88</v>
      </c>
      <c r="H4786" s="19" t="s">
        <v>6465</v>
      </c>
      <c r="I4786" s="23" t="e">
        <f>VLOOKUP(H4786,'合同综合查询数据（3月返）'!$A:$A,1,FALSE)</f>
        <v>#N/A</v>
      </c>
      <c r="J4786" s="24" t="s">
        <v>3074</v>
      </c>
      <c r="K4786" s="16" t="s">
        <v>6466</v>
      </c>
      <c r="L4786" s="25"/>
      <c r="M4786" s="26" t="s">
        <v>6323</v>
      </c>
      <c r="N4786" s="28">
        <v>44512</v>
      </c>
      <c r="O4786" s="28" t="s">
        <v>457</v>
      </c>
      <c r="P4786" s="29">
        <v>6300</v>
      </c>
      <c r="Q4786" s="369">
        <v>15</v>
      </c>
      <c r="R4786" s="36">
        <f t="shared" si="107"/>
        <v>94500</v>
      </c>
      <c r="S4786" s="37">
        <v>202303</v>
      </c>
      <c r="T4786" s="375" t="s">
        <v>6476</v>
      </c>
      <c r="U4786" s="39"/>
      <c r="V4786" s="370"/>
      <c r="W4786" s="41"/>
      <c r="X4786" s="371">
        <v>44470</v>
      </c>
      <c r="Y4786" s="371">
        <v>46660</v>
      </c>
    </row>
    <row r="4787" s="9" customFormat="1" customHeight="1" spans="1:25">
      <c r="A4787" s="16" t="s">
        <v>401</v>
      </c>
      <c r="B4787" s="17" t="s">
        <v>6236</v>
      </c>
      <c r="C4787" s="17" t="s">
        <v>63</v>
      </c>
      <c r="D4787" s="17" t="s">
        <v>6237</v>
      </c>
      <c r="E4787" s="18" t="s">
        <v>6238</v>
      </c>
      <c r="F4787" s="16" t="s">
        <v>6239</v>
      </c>
      <c r="G4787" s="16" t="s">
        <v>88</v>
      </c>
      <c r="H4787" s="19" t="s">
        <v>6465</v>
      </c>
      <c r="I4787" s="23" t="e">
        <f>VLOOKUP(H4787,'合同综合查询数据（3月返）'!$A:$A,1,FALSE)</f>
        <v>#N/A</v>
      </c>
      <c r="J4787" s="24" t="s">
        <v>3074</v>
      </c>
      <c r="K4787" s="16" t="s">
        <v>6466</v>
      </c>
      <c r="L4787" s="25"/>
      <c r="M4787" s="26" t="s">
        <v>6323</v>
      </c>
      <c r="N4787" s="28">
        <v>44517</v>
      </c>
      <c r="O4787" s="28" t="s">
        <v>457</v>
      </c>
      <c r="P4787" s="29">
        <v>6300</v>
      </c>
      <c r="Q4787" s="369">
        <v>2</v>
      </c>
      <c r="R4787" s="36">
        <f t="shared" si="107"/>
        <v>12600</v>
      </c>
      <c r="S4787" s="37">
        <v>202303</v>
      </c>
      <c r="T4787" s="375" t="s">
        <v>6477</v>
      </c>
      <c r="U4787" s="39"/>
      <c r="V4787" s="370"/>
      <c r="W4787" s="41"/>
      <c r="X4787" s="371">
        <v>44470</v>
      </c>
      <c r="Y4787" s="371">
        <v>46660</v>
      </c>
    </row>
    <row r="4788" s="9" customFormat="1" customHeight="1" spans="1:25">
      <c r="A4788" s="16" t="s">
        <v>401</v>
      </c>
      <c r="B4788" s="17" t="s">
        <v>6236</v>
      </c>
      <c r="C4788" s="17" t="s">
        <v>63</v>
      </c>
      <c r="D4788" s="17" t="s">
        <v>6237</v>
      </c>
      <c r="E4788" s="18" t="s">
        <v>6238</v>
      </c>
      <c r="F4788" s="16" t="s">
        <v>6239</v>
      </c>
      <c r="G4788" s="16" t="s">
        <v>88</v>
      </c>
      <c r="H4788" s="19" t="s">
        <v>6465</v>
      </c>
      <c r="I4788" s="23" t="e">
        <f>VLOOKUP(H4788,'合同综合查询数据（3月返）'!$A:$A,1,FALSE)</f>
        <v>#N/A</v>
      </c>
      <c r="J4788" s="24" t="s">
        <v>3074</v>
      </c>
      <c r="K4788" s="16" t="s">
        <v>6466</v>
      </c>
      <c r="L4788" s="25"/>
      <c r="M4788" s="26" t="s">
        <v>6323</v>
      </c>
      <c r="N4788" s="28">
        <v>44519</v>
      </c>
      <c r="O4788" s="28" t="s">
        <v>457</v>
      </c>
      <c r="P4788" s="29">
        <v>6300</v>
      </c>
      <c r="Q4788" s="369">
        <v>10</v>
      </c>
      <c r="R4788" s="36">
        <f t="shared" si="107"/>
        <v>63000</v>
      </c>
      <c r="S4788" s="37">
        <v>202303</v>
      </c>
      <c r="T4788" s="375" t="s">
        <v>6478</v>
      </c>
      <c r="U4788" s="39"/>
      <c r="V4788" s="370"/>
      <c r="W4788" s="41"/>
      <c r="X4788" s="371">
        <v>44470</v>
      </c>
      <c r="Y4788" s="371">
        <v>46660</v>
      </c>
    </row>
    <row r="4789" s="9" customFormat="1" customHeight="1" spans="1:25">
      <c r="A4789" s="16" t="s">
        <v>401</v>
      </c>
      <c r="B4789" s="17" t="s">
        <v>6236</v>
      </c>
      <c r="C4789" s="17" t="s">
        <v>63</v>
      </c>
      <c r="D4789" s="17" t="s">
        <v>6237</v>
      </c>
      <c r="E4789" s="18" t="s">
        <v>6238</v>
      </c>
      <c r="F4789" s="16" t="s">
        <v>6239</v>
      </c>
      <c r="G4789" s="16" t="s">
        <v>88</v>
      </c>
      <c r="H4789" s="19" t="s">
        <v>6465</v>
      </c>
      <c r="I4789" s="23" t="e">
        <f>VLOOKUP(H4789,'合同综合查询数据（3月返）'!$A:$A,1,FALSE)</f>
        <v>#N/A</v>
      </c>
      <c r="J4789" s="24" t="s">
        <v>3074</v>
      </c>
      <c r="K4789" s="16" t="s">
        <v>6466</v>
      </c>
      <c r="L4789" s="25"/>
      <c r="M4789" s="26" t="s">
        <v>6323</v>
      </c>
      <c r="N4789" s="28">
        <v>44522</v>
      </c>
      <c r="O4789" s="28" t="s">
        <v>457</v>
      </c>
      <c r="P4789" s="29">
        <v>6300</v>
      </c>
      <c r="Q4789" s="369">
        <v>1</v>
      </c>
      <c r="R4789" s="36">
        <f t="shared" si="107"/>
        <v>6300</v>
      </c>
      <c r="S4789" s="37">
        <v>202303</v>
      </c>
      <c r="T4789" s="375" t="s">
        <v>6479</v>
      </c>
      <c r="U4789" s="39"/>
      <c r="V4789" s="370"/>
      <c r="W4789" s="41"/>
      <c r="X4789" s="371">
        <v>44470</v>
      </c>
      <c r="Y4789" s="371">
        <v>46660</v>
      </c>
    </row>
    <row r="4790" s="9" customFormat="1" customHeight="1" spans="1:25">
      <c r="A4790" s="16" t="s">
        <v>401</v>
      </c>
      <c r="B4790" s="17" t="s">
        <v>6236</v>
      </c>
      <c r="C4790" s="17" t="s">
        <v>63</v>
      </c>
      <c r="D4790" s="17" t="s">
        <v>6237</v>
      </c>
      <c r="E4790" s="18" t="s">
        <v>6238</v>
      </c>
      <c r="F4790" s="16" t="s">
        <v>6239</v>
      </c>
      <c r="G4790" s="16" t="s">
        <v>88</v>
      </c>
      <c r="H4790" s="19" t="s">
        <v>6465</v>
      </c>
      <c r="I4790" s="23" t="e">
        <f>VLOOKUP(H4790,'合同综合查询数据（3月返）'!$A:$A,1,FALSE)</f>
        <v>#N/A</v>
      </c>
      <c r="J4790" s="24" t="s">
        <v>3074</v>
      </c>
      <c r="K4790" s="16" t="s">
        <v>6466</v>
      </c>
      <c r="L4790" s="25"/>
      <c r="M4790" s="26" t="s">
        <v>6323</v>
      </c>
      <c r="N4790" s="28">
        <v>44536</v>
      </c>
      <c r="O4790" s="28" t="s">
        <v>457</v>
      </c>
      <c r="P4790" s="29">
        <v>6300</v>
      </c>
      <c r="Q4790" s="369">
        <v>18</v>
      </c>
      <c r="R4790" s="36">
        <f t="shared" si="107"/>
        <v>113400</v>
      </c>
      <c r="S4790" s="37">
        <v>202303</v>
      </c>
      <c r="T4790" s="375" t="s">
        <v>6480</v>
      </c>
      <c r="U4790" s="39"/>
      <c r="V4790" s="370"/>
      <c r="W4790" s="41"/>
      <c r="X4790" s="371">
        <v>44470</v>
      </c>
      <c r="Y4790" s="371">
        <v>46660</v>
      </c>
    </row>
    <row r="4791" s="9" customFormat="1" customHeight="1" spans="1:25">
      <c r="A4791" s="16" t="s">
        <v>401</v>
      </c>
      <c r="B4791" s="17" t="s">
        <v>6236</v>
      </c>
      <c r="C4791" s="17" t="s">
        <v>63</v>
      </c>
      <c r="D4791" s="17" t="s">
        <v>6237</v>
      </c>
      <c r="E4791" s="18" t="s">
        <v>6238</v>
      </c>
      <c r="F4791" s="16" t="s">
        <v>6239</v>
      </c>
      <c r="G4791" s="16" t="s">
        <v>88</v>
      </c>
      <c r="H4791" s="19" t="s">
        <v>6465</v>
      </c>
      <c r="I4791" s="23" t="e">
        <f>VLOOKUP(H4791,'合同综合查询数据（3月返）'!$A:$A,1,FALSE)</f>
        <v>#N/A</v>
      </c>
      <c r="J4791" s="24" t="s">
        <v>3074</v>
      </c>
      <c r="K4791" s="16" t="s">
        <v>6466</v>
      </c>
      <c r="L4791" s="25"/>
      <c r="M4791" s="26" t="s">
        <v>6323</v>
      </c>
      <c r="N4791" s="28">
        <v>44550</v>
      </c>
      <c r="O4791" s="28" t="s">
        <v>457</v>
      </c>
      <c r="P4791" s="29">
        <v>6300</v>
      </c>
      <c r="Q4791" s="369">
        <v>9</v>
      </c>
      <c r="R4791" s="36">
        <f t="shared" si="107"/>
        <v>56700</v>
      </c>
      <c r="S4791" s="37">
        <v>202303</v>
      </c>
      <c r="T4791" s="375" t="s">
        <v>6481</v>
      </c>
      <c r="U4791" s="39"/>
      <c r="V4791" s="370"/>
      <c r="W4791" s="41"/>
      <c r="X4791" s="371">
        <v>44470</v>
      </c>
      <c r="Y4791" s="371">
        <v>46660</v>
      </c>
    </row>
    <row r="4792" s="9" customFormat="1" customHeight="1" spans="1:25">
      <c r="A4792" s="16" t="s">
        <v>401</v>
      </c>
      <c r="B4792" s="17" t="s">
        <v>6236</v>
      </c>
      <c r="C4792" s="17" t="s">
        <v>63</v>
      </c>
      <c r="D4792" s="17" t="s">
        <v>6237</v>
      </c>
      <c r="E4792" s="18" t="s">
        <v>6238</v>
      </c>
      <c r="F4792" s="16" t="s">
        <v>6239</v>
      </c>
      <c r="G4792" s="16" t="s">
        <v>88</v>
      </c>
      <c r="H4792" s="19" t="s">
        <v>6465</v>
      </c>
      <c r="I4792" s="23" t="e">
        <f>VLOOKUP(H4792,'合同综合查询数据（3月返）'!$A:$A,1,FALSE)</f>
        <v>#N/A</v>
      </c>
      <c r="J4792" s="24" t="s">
        <v>3074</v>
      </c>
      <c r="K4792" s="16" t="s">
        <v>6466</v>
      </c>
      <c r="L4792" s="25"/>
      <c r="M4792" s="26" t="s">
        <v>6472</v>
      </c>
      <c r="N4792" s="28">
        <v>44671</v>
      </c>
      <c r="O4792" s="28" t="s">
        <v>457</v>
      </c>
      <c r="P4792" s="29">
        <v>6300</v>
      </c>
      <c r="Q4792" s="369">
        <v>1</v>
      </c>
      <c r="R4792" s="36">
        <f t="shared" si="107"/>
        <v>6300</v>
      </c>
      <c r="S4792" s="37">
        <v>202303</v>
      </c>
      <c r="T4792" s="375" t="s">
        <v>6482</v>
      </c>
      <c r="U4792" s="39"/>
      <c r="V4792" s="370"/>
      <c r="W4792" s="41"/>
      <c r="X4792" s="371">
        <v>44470</v>
      </c>
      <c r="Y4792" s="371">
        <v>46660</v>
      </c>
    </row>
    <row r="4793" s="9" customFormat="1" customHeight="1" spans="1:25">
      <c r="A4793" s="16" t="s">
        <v>401</v>
      </c>
      <c r="B4793" s="17" t="s">
        <v>6236</v>
      </c>
      <c r="C4793" s="17" t="s">
        <v>63</v>
      </c>
      <c r="D4793" s="17" t="s">
        <v>6237</v>
      </c>
      <c r="E4793" s="18" t="s">
        <v>6238</v>
      </c>
      <c r="F4793" s="16" t="s">
        <v>6239</v>
      </c>
      <c r="G4793" s="16" t="s">
        <v>88</v>
      </c>
      <c r="H4793" s="19" t="s">
        <v>6483</v>
      </c>
      <c r="I4793" s="23" t="e">
        <f>VLOOKUP(H4793,'合同综合查询数据（3月返）'!$A:$A,1,FALSE)</f>
        <v>#N/A</v>
      </c>
      <c r="J4793" s="24" t="s">
        <v>3074</v>
      </c>
      <c r="K4793" s="16" t="s">
        <v>6484</v>
      </c>
      <c r="L4793" s="25"/>
      <c r="M4793" s="26" t="s">
        <v>6323</v>
      </c>
      <c r="N4793" s="28">
        <v>44531</v>
      </c>
      <c r="O4793" s="28" t="s">
        <v>457</v>
      </c>
      <c r="P4793" s="29">
        <v>6300</v>
      </c>
      <c r="Q4793" s="369">
        <v>209</v>
      </c>
      <c r="R4793" s="36">
        <f t="shared" si="107"/>
        <v>1316700</v>
      </c>
      <c r="S4793" s="37">
        <v>202303</v>
      </c>
      <c r="T4793" s="375" t="s">
        <v>6485</v>
      </c>
      <c r="U4793" s="39"/>
      <c r="V4793" s="370"/>
      <c r="W4793" s="41"/>
      <c r="X4793" s="371">
        <v>44531</v>
      </c>
      <c r="Y4793" s="371">
        <v>46721</v>
      </c>
    </row>
    <row r="4794" s="9" customFormat="1" customHeight="1" spans="1:25">
      <c r="A4794" s="16" t="s">
        <v>401</v>
      </c>
      <c r="B4794" s="17" t="s">
        <v>6236</v>
      </c>
      <c r="C4794" s="17" t="s">
        <v>63</v>
      </c>
      <c r="D4794" s="17" t="s">
        <v>6237</v>
      </c>
      <c r="E4794" s="18" t="s">
        <v>6238</v>
      </c>
      <c r="F4794" s="16" t="s">
        <v>6239</v>
      </c>
      <c r="G4794" s="16" t="s">
        <v>88</v>
      </c>
      <c r="H4794" s="19" t="s">
        <v>6483</v>
      </c>
      <c r="I4794" s="23" t="e">
        <f>VLOOKUP(H4794,'合同综合查询数据（3月返）'!$A:$A,1,FALSE)</f>
        <v>#N/A</v>
      </c>
      <c r="J4794" s="24" t="s">
        <v>3074</v>
      </c>
      <c r="K4794" s="16" t="s">
        <v>6484</v>
      </c>
      <c r="L4794" s="25"/>
      <c r="M4794" s="26" t="s">
        <v>6323</v>
      </c>
      <c r="N4794" s="28">
        <v>44532</v>
      </c>
      <c r="O4794" s="28" t="s">
        <v>457</v>
      </c>
      <c r="P4794" s="29">
        <v>6300</v>
      </c>
      <c r="Q4794" s="369">
        <v>1</v>
      </c>
      <c r="R4794" s="36">
        <f t="shared" si="107"/>
        <v>6300</v>
      </c>
      <c r="S4794" s="37">
        <v>202303</v>
      </c>
      <c r="T4794" s="375" t="s">
        <v>6486</v>
      </c>
      <c r="U4794" s="39"/>
      <c r="V4794" s="370"/>
      <c r="W4794" s="41"/>
      <c r="X4794" s="371">
        <v>44531</v>
      </c>
      <c r="Y4794" s="371">
        <v>46721</v>
      </c>
    </row>
    <row r="4795" s="9" customFormat="1" customHeight="1" spans="1:25">
      <c r="A4795" s="16" t="s">
        <v>401</v>
      </c>
      <c r="B4795" s="17" t="s">
        <v>6236</v>
      </c>
      <c r="C4795" s="17" t="s">
        <v>63</v>
      </c>
      <c r="D4795" s="17" t="s">
        <v>6237</v>
      </c>
      <c r="E4795" s="18" t="s">
        <v>6238</v>
      </c>
      <c r="F4795" s="16" t="s">
        <v>6239</v>
      </c>
      <c r="G4795" s="16" t="s">
        <v>88</v>
      </c>
      <c r="H4795" s="19" t="s">
        <v>6483</v>
      </c>
      <c r="I4795" s="23" t="e">
        <f>VLOOKUP(H4795,'合同综合查询数据（3月返）'!$A:$A,1,FALSE)</f>
        <v>#N/A</v>
      </c>
      <c r="J4795" s="24" t="s">
        <v>3074</v>
      </c>
      <c r="K4795" s="16" t="s">
        <v>6484</v>
      </c>
      <c r="L4795" s="25"/>
      <c r="M4795" s="26" t="s">
        <v>6323</v>
      </c>
      <c r="N4795" s="28">
        <v>44533</v>
      </c>
      <c r="O4795" s="28" t="s">
        <v>457</v>
      </c>
      <c r="P4795" s="29">
        <v>6300</v>
      </c>
      <c r="Q4795" s="369">
        <v>32</v>
      </c>
      <c r="R4795" s="36">
        <f t="shared" si="107"/>
        <v>201600</v>
      </c>
      <c r="S4795" s="37">
        <v>202303</v>
      </c>
      <c r="T4795" s="375" t="s">
        <v>6487</v>
      </c>
      <c r="U4795" s="39"/>
      <c r="V4795" s="370"/>
      <c r="W4795" s="41"/>
      <c r="X4795" s="371">
        <v>44531</v>
      </c>
      <c r="Y4795" s="371">
        <v>46721</v>
      </c>
    </row>
    <row r="4796" s="9" customFormat="1" customHeight="1" spans="1:25">
      <c r="A4796" s="16" t="s">
        <v>401</v>
      </c>
      <c r="B4796" s="17" t="s">
        <v>6236</v>
      </c>
      <c r="C4796" s="17" t="s">
        <v>63</v>
      </c>
      <c r="D4796" s="17" t="s">
        <v>6237</v>
      </c>
      <c r="E4796" s="18" t="s">
        <v>6238</v>
      </c>
      <c r="F4796" s="16" t="s">
        <v>6239</v>
      </c>
      <c r="G4796" s="16" t="s">
        <v>88</v>
      </c>
      <c r="H4796" s="19" t="s">
        <v>6483</v>
      </c>
      <c r="I4796" s="23" t="e">
        <f>VLOOKUP(H4796,'合同综合查询数据（3月返）'!$A:$A,1,FALSE)</f>
        <v>#N/A</v>
      </c>
      <c r="J4796" s="24" t="s">
        <v>3074</v>
      </c>
      <c r="K4796" s="16" t="s">
        <v>6484</v>
      </c>
      <c r="L4796" s="25"/>
      <c r="M4796" s="26" t="s">
        <v>6323</v>
      </c>
      <c r="N4796" s="28">
        <v>44536</v>
      </c>
      <c r="O4796" s="28" t="s">
        <v>457</v>
      </c>
      <c r="P4796" s="29">
        <v>6300</v>
      </c>
      <c r="Q4796" s="369">
        <v>49</v>
      </c>
      <c r="R4796" s="36">
        <f t="shared" si="107"/>
        <v>308700</v>
      </c>
      <c r="S4796" s="37">
        <v>202303</v>
      </c>
      <c r="T4796" s="375" t="s">
        <v>6488</v>
      </c>
      <c r="U4796" s="39"/>
      <c r="V4796" s="370"/>
      <c r="W4796" s="41"/>
      <c r="X4796" s="371">
        <v>44531</v>
      </c>
      <c r="Y4796" s="371">
        <v>46721</v>
      </c>
    </row>
    <row r="4797" s="9" customFormat="1" customHeight="1" spans="1:25">
      <c r="A4797" s="16" t="s">
        <v>401</v>
      </c>
      <c r="B4797" s="17" t="s">
        <v>6236</v>
      </c>
      <c r="C4797" s="17" t="s">
        <v>63</v>
      </c>
      <c r="D4797" s="17" t="s">
        <v>6237</v>
      </c>
      <c r="E4797" s="18" t="s">
        <v>6238</v>
      </c>
      <c r="F4797" s="16" t="s">
        <v>6239</v>
      </c>
      <c r="G4797" s="16" t="s">
        <v>88</v>
      </c>
      <c r="H4797" s="19" t="s">
        <v>6483</v>
      </c>
      <c r="I4797" s="23" t="e">
        <f>VLOOKUP(H4797,'合同综合查询数据（3月返）'!$A:$A,1,FALSE)</f>
        <v>#N/A</v>
      </c>
      <c r="J4797" s="24" t="s">
        <v>3074</v>
      </c>
      <c r="K4797" s="16" t="s">
        <v>6484</v>
      </c>
      <c r="L4797" s="25"/>
      <c r="M4797" s="26" t="s">
        <v>6323</v>
      </c>
      <c r="N4797" s="28">
        <v>44537</v>
      </c>
      <c r="O4797" s="28" t="s">
        <v>457</v>
      </c>
      <c r="P4797" s="29">
        <v>6300</v>
      </c>
      <c r="Q4797" s="369">
        <v>112</v>
      </c>
      <c r="R4797" s="36">
        <f t="shared" si="107"/>
        <v>705600</v>
      </c>
      <c r="S4797" s="37">
        <v>202303</v>
      </c>
      <c r="T4797" s="375" t="s">
        <v>6489</v>
      </c>
      <c r="U4797" s="39"/>
      <c r="V4797" s="370"/>
      <c r="W4797" s="41"/>
      <c r="X4797" s="371">
        <v>44531</v>
      </c>
      <c r="Y4797" s="371">
        <v>46721</v>
      </c>
    </row>
    <row r="4798" s="9" customFormat="1" customHeight="1" spans="1:25">
      <c r="A4798" s="16" t="s">
        <v>401</v>
      </c>
      <c r="B4798" s="17" t="s">
        <v>6236</v>
      </c>
      <c r="C4798" s="17" t="s">
        <v>63</v>
      </c>
      <c r="D4798" s="17" t="s">
        <v>6237</v>
      </c>
      <c r="E4798" s="18" t="s">
        <v>6238</v>
      </c>
      <c r="F4798" s="16" t="s">
        <v>6239</v>
      </c>
      <c r="G4798" s="16" t="s">
        <v>88</v>
      </c>
      <c r="H4798" s="19" t="s">
        <v>6483</v>
      </c>
      <c r="I4798" s="23" t="e">
        <f>VLOOKUP(H4798,'合同综合查询数据（3月返）'!$A:$A,1,FALSE)</f>
        <v>#N/A</v>
      </c>
      <c r="J4798" s="24" t="s">
        <v>3074</v>
      </c>
      <c r="K4798" s="16" t="s">
        <v>6484</v>
      </c>
      <c r="L4798" s="25"/>
      <c r="M4798" s="26" t="s">
        <v>6323</v>
      </c>
      <c r="N4798" s="28">
        <v>44539</v>
      </c>
      <c r="O4798" s="28" t="s">
        <v>457</v>
      </c>
      <c r="P4798" s="29">
        <v>6300</v>
      </c>
      <c r="Q4798" s="369">
        <v>3</v>
      </c>
      <c r="R4798" s="36">
        <f t="shared" si="107"/>
        <v>18900</v>
      </c>
      <c r="S4798" s="37">
        <v>202303</v>
      </c>
      <c r="T4798" s="375" t="s">
        <v>6490</v>
      </c>
      <c r="U4798" s="39"/>
      <c r="V4798" s="370"/>
      <c r="W4798" s="41"/>
      <c r="X4798" s="371">
        <v>44531</v>
      </c>
      <c r="Y4798" s="371">
        <v>46721</v>
      </c>
    </row>
    <row r="4799" s="9" customFormat="1" customHeight="1" spans="1:25">
      <c r="A4799" s="16" t="s">
        <v>401</v>
      </c>
      <c r="B4799" s="17" t="s">
        <v>6236</v>
      </c>
      <c r="C4799" s="17" t="s">
        <v>63</v>
      </c>
      <c r="D4799" s="17" t="s">
        <v>6237</v>
      </c>
      <c r="E4799" s="18" t="s">
        <v>6238</v>
      </c>
      <c r="F4799" s="16" t="s">
        <v>6239</v>
      </c>
      <c r="G4799" s="16" t="s">
        <v>88</v>
      </c>
      <c r="H4799" s="19" t="s">
        <v>6483</v>
      </c>
      <c r="I4799" s="23" t="e">
        <f>VLOOKUP(H4799,'合同综合查询数据（3月返）'!$A:$A,1,FALSE)</f>
        <v>#N/A</v>
      </c>
      <c r="J4799" s="24" t="s">
        <v>3074</v>
      </c>
      <c r="K4799" s="16" t="s">
        <v>6484</v>
      </c>
      <c r="L4799" s="25"/>
      <c r="M4799" s="26" t="s">
        <v>6323</v>
      </c>
      <c r="N4799" s="28">
        <v>44540</v>
      </c>
      <c r="O4799" s="28" t="s">
        <v>457</v>
      </c>
      <c r="P4799" s="29">
        <v>6300</v>
      </c>
      <c r="Q4799" s="369">
        <v>11</v>
      </c>
      <c r="R4799" s="36">
        <f t="shared" si="107"/>
        <v>69300</v>
      </c>
      <c r="S4799" s="37">
        <v>202303</v>
      </c>
      <c r="T4799" s="375" t="s">
        <v>6491</v>
      </c>
      <c r="U4799" s="39"/>
      <c r="V4799" s="370"/>
      <c r="W4799" s="41"/>
      <c r="X4799" s="371">
        <v>44531</v>
      </c>
      <c r="Y4799" s="371">
        <v>46721</v>
      </c>
    </row>
    <row r="4800" s="9" customFormat="1" customHeight="1" spans="1:25">
      <c r="A4800" s="16" t="s">
        <v>401</v>
      </c>
      <c r="B4800" s="17" t="s">
        <v>6236</v>
      </c>
      <c r="C4800" s="17" t="s">
        <v>63</v>
      </c>
      <c r="D4800" s="17" t="s">
        <v>6237</v>
      </c>
      <c r="E4800" s="18" t="s">
        <v>6238</v>
      </c>
      <c r="F4800" s="16" t="s">
        <v>6239</v>
      </c>
      <c r="G4800" s="16" t="s">
        <v>88</v>
      </c>
      <c r="H4800" s="19" t="s">
        <v>6483</v>
      </c>
      <c r="I4800" s="23" t="e">
        <f>VLOOKUP(H4800,'合同综合查询数据（3月返）'!$A:$A,1,FALSE)</f>
        <v>#N/A</v>
      </c>
      <c r="J4800" s="24" t="s">
        <v>3074</v>
      </c>
      <c r="K4800" s="16" t="s">
        <v>6484</v>
      </c>
      <c r="L4800" s="25"/>
      <c r="M4800" s="26" t="s">
        <v>6323</v>
      </c>
      <c r="N4800" s="28">
        <v>44541</v>
      </c>
      <c r="O4800" s="28" t="s">
        <v>457</v>
      </c>
      <c r="P4800" s="29">
        <v>6300</v>
      </c>
      <c r="Q4800" s="369">
        <v>3</v>
      </c>
      <c r="R4800" s="36">
        <f t="shared" si="107"/>
        <v>18900</v>
      </c>
      <c r="S4800" s="37">
        <v>202303</v>
      </c>
      <c r="T4800" s="375" t="s">
        <v>6492</v>
      </c>
      <c r="U4800" s="39"/>
      <c r="V4800" s="370"/>
      <c r="W4800" s="41"/>
      <c r="X4800" s="371">
        <v>44531</v>
      </c>
      <c r="Y4800" s="371">
        <v>46721</v>
      </c>
    </row>
    <row r="4801" s="9" customFormat="1" customHeight="1" spans="1:25">
      <c r="A4801" s="16" t="s">
        <v>401</v>
      </c>
      <c r="B4801" s="17" t="s">
        <v>6236</v>
      </c>
      <c r="C4801" s="17" t="s">
        <v>63</v>
      </c>
      <c r="D4801" s="17" t="s">
        <v>6237</v>
      </c>
      <c r="E4801" s="18" t="s">
        <v>6238</v>
      </c>
      <c r="F4801" s="16" t="s">
        <v>6239</v>
      </c>
      <c r="G4801" s="16" t="s">
        <v>88</v>
      </c>
      <c r="H4801" s="19" t="s">
        <v>6483</v>
      </c>
      <c r="I4801" s="23" t="e">
        <f>VLOOKUP(H4801,'合同综合查询数据（3月返）'!$A:$A,1,FALSE)</f>
        <v>#N/A</v>
      </c>
      <c r="J4801" s="24" t="s">
        <v>3074</v>
      </c>
      <c r="K4801" s="16" t="s">
        <v>6484</v>
      </c>
      <c r="L4801" s="25"/>
      <c r="M4801" s="26" t="s">
        <v>6323</v>
      </c>
      <c r="N4801" s="28">
        <v>44542</v>
      </c>
      <c r="O4801" s="28" t="s">
        <v>457</v>
      </c>
      <c r="P4801" s="29">
        <v>6300</v>
      </c>
      <c r="Q4801" s="369">
        <v>6</v>
      </c>
      <c r="R4801" s="36">
        <f t="shared" si="107"/>
        <v>37800</v>
      </c>
      <c r="S4801" s="37">
        <v>202303</v>
      </c>
      <c r="T4801" s="375" t="s">
        <v>6493</v>
      </c>
      <c r="U4801" s="39"/>
      <c r="V4801" s="370"/>
      <c r="W4801" s="41"/>
      <c r="X4801" s="371">
        <v>44531</v>
      </c>
      <c r="Y4801" s="371">
        <v>46721</v>
      </c>
    </row>
    <row r="4802" s="9" customFormat="1" customHeight="1" spans="1:25">
      <c r="A4802" s="16" t="s">
        <v>401</v>
      </c>
      <c r="B4802" s="17" t="s">
        <v>6236</v>
      </c>
      <c r="C4802" s="17" t="s">
        <v>63</v>
      </c>
      <c r="D4802" s="17" t="s">
        <v>6237</v>
      </c>
      <c r="E4802" s="18" t="s">
        <v>6238</v>
      </c>
      <c r="F4802" s="16" t="s">
        <v>6239</v>
      </c>
      <c r="G4802" s="16" t="s">
        <v>88</v>
      </c>
      <c r="H4802" s="19" t="s">
        <v>6483</v>
      </c>
      <c r="I4802" s="23" t="e">
        <f>VLOOKUP(H4802,'合同综合查询数据（3月返）'!$A:$A,1,FALSE)</f>
        <v>#N/A</v>
      </c>
      <c r="J4802" s="24" t="s">
        <v>3074</v>
      </c>
      <c r="K4802" s="16" t="s">
        <v>6484</v>
      </c>
      <c r="L4802" s="25"/>
      <c r="M4802" s="26" t="s">
        <v>6323</v>
      </c>
      <c r="N4802" s="28">
        <v>44545</v>
      </c>
      <c r="O4802" s="28" t="s">
        <v>457</v>
      </c>
      <c r="P4802" s="29">
        <v>6300</v>
      </c>
      <c r="Q4802" s="369">
        <v>17</v>
      </c>
      <c r="R4802" s="36">
        <f t="shared" si="107"/>
        <v>107100</v>
      </c>
      <c r="S4802" s="37">
        <v>202303</v>
      </c>
      <c r="T4802" s="375" t="s">
        <v>6494</v>
      </c>
      <c r="U4802" s="39"/>
      <c r="V4802" s="370"/>
      <c r="W4802" s="41"/>
      <c r="X4802" s="371">
        <v>44531</v>
      </c>
      <c r="Y4802" s="371">
        <v>46721</v>
      </c>
    </row>
    <row r="4803" s="9" customFormat="1" customHeight="1" spans="1:25">
      <c r="A4803" s="16" t="s">
        <v>401</v>
      </c>
      <c r="B4803" s="17" t="s">
        <v>6236</v>
      </c>
      <c r="C4803" s="17" t="s">
        <v>63</v>
      </c>
      <c r="D4803" s="17" t="s">
        <v>6237</v>
      </c>
      <c r="E4803" s="18" t="s">
        <v>6238</v>
      </c>
      <c r="F4803" s="16" t="s">
        <v>6239</v>
      </c>
      <c r="G4803" s="16" t="s">
        <v>88</v>
      </c>
      <c r="H4803" s="19" t="s">
        <v>6483</v>
      </c>
      <c r="I4803" s="23" t="e">
        <f>VLOOKUP(H4803,'合同综合查询数据（3月返）'!$A:$A,1,FALSE)</f>
        <v>#N/A</v>
      </c>
      <c r="J4803" s="24" t="s">
        <v>3074</v>
      </c>
      <c r="K4803" s="16" t="s">
        <v>6484</v>
      </c>
      <c r="L4803" s="25"/>
      <c r="M4803" s="26" t="s">
        <v>6323</v>
      </c>
      <c r="N4803" s="28">
        <v>44551</v>
      </c>
      <c r="O4803" s="28" t="s">
        <v>457</v>
      </c>
      <c r="P4803" s="29">
        <v>6300</v>
      </c>
      <c r="Q4803" s="369">
        <v>14</v>
      </c>
      <c r="R4803" s="36">
        <f t="shared" si="107"/>
        <v>88200</v>
      </c>
      <c r="S4803" s="37">
        <v>202303</v>
      </c>
      <c r="T4803" s="375" t="s">
        <v>6495</v>
      </c>
      <c r="U4803" s="39"/>
      <c r="V4803" s="370"/>
      <c r="W4803" s="41"/>
      <c r="X4803" s="371">
        <v>44531</v>
      </c>
      <c r="Y4803" s="371">
        <v>46721</v>
      </c>
    </row>
    <row r="4804" s="9" customFormat="1" customHeight="1" spans="1:25">
      <c r="A4804" s="16" t="s">
        <v>401</v>
      </c>
      <c r="B4804" s="17" t="s">
        <v>6236</v>
      </c>
      <c r="C4804" s="17" t="s">
        <v>63</v>
      </c>
      <c r="D4804" s="17" t="s">
        <v>6237</v>
      </c>
      <c r="E4804" s="18" t="s">
        <v>6238</v>
      </c>
      <c r="F4804" s="16" t="s">
        <v>6239</v>
      </c>
      <c r="G4804" s="16" t="s">
        <v>88</v>
      </c>
      <c r="H4804" s="19" t="s">
        <v>6483</v>
      </c>
      <c r="I4804" s="23" t="e">
        <f>VLOOKUP(H4804,'合同综合查询数据（3月返）'!$A:$A,1,FALSE)</f>
        <v>#N/A</v>
      </c>
      <c r="J4804" s="24" t="s">
        <v>3074</v>
      </c>
      <c r="K4804" s="16" t="s">
        <v>6484</v>
      </c>
      <c r="L4804" s="25"/>
      <c r="M4804" s="26" t="s">
        <v>6323</v>
      </c>
      <c r="N4804" s="28">
        <v>44553</v>
      </c>
      <c r="O4804" s="28" t="s">
        <v>457</v>
      </c>
      <c r="P4804" s="29">
        <v>6300</v>
      </c>
      <c r="Q4804" s="369">
        <v>46</v>
      </c>
      <c r="R4804" s="36">
        <f t="shared" si="107"/>
        <v>289800</v>
      </c>
      <c r="S4804" s="37">
        <v>202303</v>
      </c>
      <c r="T4804" s="375" t="s">
        <v>6496</v>
      </c>
      <c r="U4804" s="39"/>
      <c r="V4804" s="370"/>
      <c r="W4804" s="41"/>
      <c r="X4804" s="371">
        <v>44531</v>
      </c>
      <c r="Y4804" s="371">
        <v>46721</v>
      </c>
    </row>
    <row r="4805" s="9" customFormat="1" customHeight="1" spans="1:25">
      <c r="A4805" s="16" t="s">
        <v>401</v>
      </c>
      <c r="B4805" s="17" t="s">
        <v>6236</v>
      </c>
      <c r="C4805" s="17" t="s">
        <v>63</v>
      </c>
      <c r="D4805" s="17" t="s">
        <v>6237</v>
      </c>
      <c r="E4805" s="18" t="s">
        <v>6238</v>
      </c>
      <c r="F4805" s="16" t="s">
        <v>6239</v>
      </c>
      <c r="G4805" s="16" t="s">
        <v>88</v>
      </c>
      <c r="H4805" s="19" t="s">
        <v>6483</v>
      </c>
      <c r="I4805" s="23" t="e">
        <f>VLOOKUP(H4805,'合同综合查询数据（3月返）'!$A:$A,1,FALSE)</f>
        <v>#N/A</v>
      </c>
      <c r="J4805" s="24" t="s">
        <v>3074</v>
      </c>
      <c r="K4805" s="16" t="s">
        <v>6484</v>
      </c>
      <c r="L4805" s="25"/>
      <c r="M4805" s="26" t="s">
        <v>6323</v>
      </c>
      <c r="N4805" s="28">
        <v>44559</v>
      </c>
      <c r="O4805" s="28" t="s">
        <v>457</v>
      </c>
      <c r="P4805" s="29">
        <v>6300</v>
      </c>
      <c r="Q4805" s="369">
        <v>75</v>
      </c>
      <c r="R4805" s="36">
        <f t="shared" si="107"/>
        <v>472500</v>
      </c>
      <c r="S4805" s="37">
        <v>202303</v>
      </c>
      <c r="T4805" s="375" t="s">
        <v>6497</v>
      </c>
      <c r="U4805" s="39"/>
      <c r="V4805" s="370"/>
      <c r="W4805" s="41"/>
      <c r="X4805" s="371">
        <v>44531</v>
      </c>
      <c r="Y4805" s="371">
        <v>46721</v>
      </c>
    </row>
    <row r="4806" s="9" customFormat="1" customHeight="1" spans="1:25">
      <c r="A4806" s="16" t="s">
        <v>401</v>
      </c>
      <c r="B4806" s="17" t="s">
        <v>6236</v>
      </c>
      <c r="C4806" s="17" t="s">
        <v>63</v>
      </c>
      <c r="D4806" s="17" t="s">
        <v>6237</v>
      </c>
      <c r="E4806" s="18" t="s">
        <v>6238</v>
      </c>
      <c r="F4806" s="16" t="s">
        <v>6239</v>
      </c>
      <c r="G4806" s="16" t="s">
        <v>88</v>
      </c>
      <c r="H4806" s="19" t="s">
        <v>6483</v>
      </c>
      <c r="I4806" s="23" t="e">
        <f>VLOOKUP(H4806,'合同综合查询数据（3月返）'!$A:$A,1,FALSE)</f>
        <v>#N/A</v>
      </c>
      <c r="J4806" s="24" t="s">
        <v>3074</v>
      </c>
      <c r="K4806" s="16" t="s">
        <v>6484</v>
      </c>
      <c r="L4806" s="25"/>
      <c r="M4806" s="26" t="s">
        <v>6323</v>
      </c>
      <c r="N4806" s="28">
        <v>44561</v>
      </c>
      <c r="O4806" s="28" t="s">
        <v>457</v>
      </c>
      <c r="P4806" s="29">
        <v>6300</v>
      </c>
      <c r="Q4806" s="369">
        <v>6</v>
      </c>
      <c r="R4806" s="36">
        <f t="shared" si="107"/>
        <v>37800</v>
      </c>
      <c r="S4806" s="37">
        <v>202303</v>
      </c>
      <c r="T4806" s="375" t="s">
        <v>6498</v>
      </c>
      <c r="U4806" s="39"/>
      <c r="V4806" s="370"/>
      <c r="W4806" s="41"/>
      <c r="X4806" s="371">
        <v>44531</v>
      </c>
      <c r="Y4806" s="371">
        <v>46721</v>
      </c>
    </row>
    <row r="4807" s="9" customFormat="1" customHeight="1" spans="1:25">
      <c r="A4807" s="16" t="s">
        <v>401</v>
      </c>
      <c r="B4807" s="17" t="s">
        <v>6236</v>
      </c>
      <c r="C4807" s="17" t="s">
        <v>63</v>
      </c>
      <c r="D4807" s="17" t="s">
        <v>6237</v>
      </c>
      <c r="E4807" s="18" t="s">
        <v>6238</v>
      </c>
      <c r="F4807" s="16" t="s">
        <v>6239</v>
      </c>
      <c r="G4807" s="16" t="s">
        <v>88</v>
      </c>
      <c r="H4807" s="19" t="s">
        <v>6483</v>
      </c>
      <c r="I4807" s="23" t="e">
        <f>VLOOKUP(H4807,'合同综合查询数据（3月返）'!$A:$A,1,FALSE)</f>
        <v>#N/A</v>
      </c>
      <c r="J4807" s="24" t="s">
        <v>3074</v>
      </c>
      <c r="K4807" s="16" t="s">
        <v>6484</v>
      </c>
      <c r="L4807" s="25"/>
      <c r="M4807" s="26" t="s">
        <v>6323</v>
      </c>
      <c r="N4807" s="28">
        <v>44565</v>
      </c>
      <c r="O4807" s="28" t="s">
        <v>457</v>
      </c>
      <c r="P4807" s="29">
        <v>6300</v>
      </c>
      <c r="Q4807" s="369">
        <v>10</v>
      </c>
      <c r="R4807" s="173">
        <f t="shared" si="107"/>
        <v>63000</v>
      </c>
      <c r="S4807" s="37">
        <v>202303</v>
      </c>
      <c r="T4807" s="375" t="s">
        <v>6499</v>
      </c>
      <c r="U4807" s="39"/>
      <c r="V4807" s="370"/>
      <c r="W4807" s="41"/>
      <c r="X4807" s="371">
        <v>44531</v>
      </c>
      <c r="Y4807" s="371">
        <v>46721</v>
      </c>
    </row>
    <row r="4808" s="9" customFormat="1" customHeight="1" spans="1:25">
      <c r="A4808" s="16" t="s">
        <v>401</v>
      </c>
      <c r="B4808" s="17" t="s">
        <v>6236</v>
      </c>
      <c r="C4808" s="17" t="s">
        <v>63</v>
      </c>
      <c r="D4808" s="17" t="s">
        <v>6237</v>
      </c>
      <c r="E4808" s="18" t="s">
        <v>6238</v>
      </c>
      <c r="F4808" s="16" t="s">
        <v>6239</v>
      </c>
      <c r="G4808" s="16" t="s">
        <v>88</v>
      </c>
      <c r="H4808" s="19" t="s">
        <v>6483</v>
      </c>
      <c r="I4808" s="23" t="e">
        <f>VLOOKUP(H4808,'合同综合查询数据（3月返）'!$A:$A,1,FALSE)</f>
        <v>#N/A</v>
      </c>
      <c r="J4808" s="24" t="s">
        <v>3074</v>
      </c>
      <c r="K4808" s="16" t="s">
        <v>6484</v>
      </c>
      <c r="L4808" s="25"/>
      <c r="M4808" s="26" t="s">
        <v>6323</v>
      </c>
      <c r="N4808" s="28">
        <v>44566</v>
      </c>
      <c r="O4808" s="28" t="s">
        <v>457</v>
      </c>
      <c r="P4808" s="29">
        <v>6300</v>
      </c>
      <c r="Q4808" s="369">
        <v>2</v>
      </c>
      <c r="R4808" s="173">
        <f t="shared" si="107"/>
        <v>12600</v>
      </c>
      <c r="S4808" s="37">
        <v>202303</v>
      </c>
      <c r="T4808" s="375" t="s">
        <v>6500</v>
      </c>
      <c r="U4808" s="39"/>
      <c r="V4808" s="370"/>
      <c r="W4808" s="41"/>
      <c r="X4808" s="371">
        <v>44531</v>
      </c>
      <c r="Y4808" s="371">
        <v>46721</v>
      </c>
    </row>
    <row r="4809" s="9" customFormat="1" customHeight="1" spans="1:25">
      <c r="A4809" s="16" t="s">
        <v>401</v>
      </c>
      <c r="B4809" s="17" t="s">
        <v>6236</v>
      </c>
      <c r="C4809" s="17" t="s">
        <v>63</v>
      </c>
      <c r="D4809" s="17" t="s">
        <v>6237</v>
      </c>
      <c r="E4809" s="18" t="s">
        <v>6238</v>
      </c>
      <c r="F4809" s="16" t="s">
        <v>6239</v>
      </c>
      <c r="G4809" s="16" t="s">
        <v>88</v>
      </c>
      <c r="H4809" s="19" t="s">
        <v>6483</v>
      </c>
      <c r="I4809" s="23" t="e">
        <f>VLOOKUP(H4809,'合同综合查询数据（3月返）'!$A:$A,1,FALSE)</f>
        <v>#N/A</v>
      </c>
      <c r="J4809" s="24" t="s">
        <v>3074</v>
      </c>
      <c r="K4809" s="16" t="s">
        <v>6484</v>
      </c>
      <c r="L4809" s="25"/>
      <c r="M4809" s="26" t="s">
        <v>6323</v>
      </c>
      <c r="N4809" s="28">
        <v>44568</v>
      </c>
      <c r="O4809" s="28" t="s">
        <v>457</v>
      </c>
      <c r="P4809" s="29">
        <v>6300</v>
      </c>
      <c r="Q4809" s="369">
        <v>4</v>
      </c>
      <c r="R4809" s="173">
        <f t="shared" si="107"/>
        <v>25200</v>
      </c>
      <c r="S4809" s="37">
        <v>202303</v>
      </c>
      <c r="T4809" s="375" t="s">
        <v>6501</v>
      </c>
      <c r="U4809" s="39"/>
      <c r="V4809" s="370"/>
      <c r="W4809" s="41"/>
      <c r="X4809" s="371">
        <v>44531</v>
      </c>
      <c r="Y4809" s="371">
        <v>46721</v>
      </c>
    </row>
    <row r="4810" s="9" customFormat="1" customHeight="1" spans="1:25">
      <c r="A4810" s="16" t="s">
        <v>401</v>
      </c>
      <c r="B4810" s="17" t="s">
        <v>6236</v>
      </c>
      <c r="C4810" s="17" t="s">
        <v>63</v>
      </c>
      <c r="D4810" s="17" t="s">
        <v>6237</v>
      </c>
      <c r="E4810" s="18" t="s">
        <v>6238</v>
      </c>
      <c r="F4810" s="16" t="s">
        <v>6239</v>
      </c>
      <c r="G4810" s="16" t="s">
        <v>88</v>
      </c>
      <c r="H4810" s="19" t="s">
        <v>6483</v>
      </c>
      <c r="I4810" s="23" t="e">
        <f>VLOOKUP(H4810,'合同综合查询数据（3月返）'!$A:$A,1,FALSE)</f>
        <v>#N/A</v>
      </c>
      <c r="J4810" s="24" t="s">
        <v>3074</v>
      </c>
      <c r="K4810" s="16" t="s">
        <v>6484</v>
      </c>
      <c r="L4810" s="25"/>
      <c r="M4810" s="26" t="s">
        <v>6323</v>
      </c>
      <c r="N4810" s="28">
        <v>44574</v>
      </c>
      <c r="O4810" s="28" t="s">
        <v>457</v>
      </c>
      <c r="P4810" s="29">
        <v>6300</v>
      </c>
      <c r="Q4810" s="369">
        <v>18</v>
      </c>
      <c r="R4810" s="173">
        <f t="shared" si="107"/>
        <v>113400</v>
      </c>
      <c r="S4810" s="37">
        <v>202303</v>
      </c>
      <c r="T4810" s="375" t="s">
        <v>6502</v>
      </c>
      <c r="U4810" s="39"/>
      <c r="V4810" s="370"/>
      <c r="W4810" s="41"/>
      <c r="X4810" s="371">
        <v>44531</v>
      </c>
      <c r="Y4810" s="371">
        <v>46721</v>
      </c>
    </row>
    <row r="4811" s="9" customFormat="1" customHeight="1" spans="1:25">
      <c r="A4811" s="16" t="s">
        <v>401</v>
      </c>
      <c r="B4811" s="17" t="s">
        <v>6236</v>
      </c>
      <c r="C4811" s="17" t="s">
        <v>63</v>
      </c>
      <c r="D4811" s="17" t="s">
        <v>6237</v>
      </c>
      <c r="E4811" s="18" t="s">
        <v>6238</v>
      </c>
      <c r="F4811" s="16" t="s">
        <v>6239</v>
      </c>
      <c r="G4811" s="16" t="s">
        <v>88</v>
      </c>
      <c r="H4811" s="19" t="s">
        <v>6483</v>
      </c>
      <c r="I4811" s="23" t="e">
        <f>VLOOKUP(H4811,'合同综合查询数据（3月返）'!$A:$A,1,FALSE)</f>
        <v>#N/A</v>
      </c>
      <c r="J4811" s="24" t="s">
        <v>3074</v>
      </c>
      <c r="K4811" s="16" t="s">
        <v>6484</v>
      </c>
      <c r="L4811" s="25"/>
      <c r="M4811" s="26" t="s">
        <v>6323</v>
      </c>
      <c r="N4811" s="28">
        <v>44576</v>
      </c>
      <c r="O4811" s="28" t="s">
        <v>457</v>
      </c>
      <c r="P4811" s="29">
        <v>6300</v>
      </c>
      <c r="Q4811" s="369">
        <v>5</v>
      </c>
      <c r="R4811" s="173">
        <f t="shared" ref="R4811:R4874" si="108">ROUND(P4811*Q4811,2)</f>
        <v>31500</v>
      </c>
      <c r="S4811" s="37">
        <v>202303</v>
      </c>
      <c r="T4811" s="375" t="s">
        <v>6503</v>
      </c>
      <c r="U4811" s="39"/>
      <c r="V4811" s="370"/>
      <c r="W4811" s="41"/>
      <c r="X4811" s="371">
        <v>44531</v>
      </c>
      <c r="Y4811" s="371">
        <v>46721</v>
      </c>
    </row>
    <row r="4812" s="9" customFormat="1" customHeight="1" spans="1:25">
      <c r="A4812" s="16" t="s">
        <v>401</v>
      </c>
      <c r="B4812" s="17" t="s">
        <v>6236</v>
      </c>
      <c r="C4812" s="17" t="s">
        <v>63</v>
      </c>
      <c r="D4812" s="17" t="s">
        <v>6237</v>
      </c>
      <c r="E4812" s="18" t="s">
        <v>6238</v>
      </c>
      <c r="F4812" s="16" t="s">
        <v>6239</v>
      </c>
      <c r="G4812" s="16" t="s">
        <v>88</v>
      </c>
      <c r="H4812" s="19" t="s">
        <v>6483</v>
      </c>
      <c r="I4812" s="23" t="e">
        <f>VLOOKUP(H4812,'合同综合查询数据（3月返）'!$A:$A,1,FALSE)</f>
        <v>#N/A</v>
      </c>
      <c r="J4812" s="24" t="s">
        <v>3074</v>
      </c>
      <c r="K4812" s="16" t="s">
        <v>6484</v>
      </c>
      <c r="L4812" s="25"/>
      <c r="M4812" s="26" t="s">
        <v>6323</v>
      </c>
      <c r="N4812" s="28">
        <v>44580</v>
      </c>
      <c r="O4812" s="28" t="s">
        <v>457</v>
      </c>
      <c r="P4812" s="29">
        <v>6300</v>
      </c>
      <c r="Q4812" s="369">
        <v>20</v>
      </c>
      <c r="R4812" s="173">
        <f t="shared" si="108"/>
        <v>126000</v>
      </c>
      <c r="S4812" s="37">
        <v>202303</v>
      </c>
      <c r="T4812" s="375" t="s">
        <v>6504</v>
      </c>
      <c r="U4812" s="39"/>
      <c r="V4812" s="370"/>
      <c r="W4812" s="41"/>
      <c r="X4812" s="371">
        <v>44531</v>
      </c>
      <c r="Y4812" s="371">
        <v>46721</v>
      </c>
    </row>
    <row r="4813" s="9" customFormat="1" customHeight="1" spans="1:25">
      <c r="A4813" s="16" t="s">
        <v>401</v>
      </c>
      <c r="B4813" s="17" t="s">
        <v>6236</v>
      </c>
      <c r="C4813" s="17" t="s">
        <v>63</v>
      </c>
      <c r="D4813" s="17" t="s">
        <v>6237</v>
      </c>
      <c r="E4813" s="18" t="s">
        <v>6238</v>
      </c>
      <c r="F4813" s="16" t="s">
        <v>6239</v>
      </c>
      <c r="G4813" s="16" t="s">
        <v>88</v>
      </c>
      <c r="H4813" s="19" t="s">
        <v>6483</v>
      </c>
      <c r="I4813" s="23" t="e">
        <f>VLOOKUP(H4813,'合同综合查询数据（3月返）'!$A:$A,1,FALSE)</f>
        <v>#N/A</v>
      </c>
      <c r="J4813" s="24" t="s">
        <v>3074</v>
      </c>
      <c r="K4813" s="16" t="s">
        <v>6484</v>
      </c>
      <c r="L4813" s="25"/>
      <c r="M4813" s="26" t="s">
        <v>6323</v>
      </c>
      <c r="N4813" s="28">
        <v>44582</v>
      </c>
      <c r="O4813" s="28" t="s">
        <v>457</v>
      </c>
      <c r="P4813" s="29">
        <v>6300</v>
      </c>
      <c r="Q4813" s="369">
        <v>14</v>
      </c>
      <c r="R4813" s="173">
        <f t="shared" si="108"/>
        <v>88200</v>
      </c>
      <c r="S4813" s="37">
        <v>202303</v>
      </c>
      <c r="T4813" s="375" t="s">
        <v>6505</v>
      </c>
      <c r="U4813" s="39"/>
      <c r="V4813" s="370"/>
      <c r="W4813" s="41"/>
      <c r="X4813" s="371">
        <v>44531</v>
      </c>
      <c r="Y4813" s="371">
        <v>46721</v>
      </c>
    </row>
    <row r="4814" s="9" customFormat="1" customHeight="1" spans="1:25">
      <c r="A4814" s="16" t="s">
        <v>401</v>
      </c>
      <c r="B4814" s="17" t="s">
        <v>6236</v>
      </c>
      <c r="C4814" s="17" t="s">
        <v>63</v>
      </c>
      <c r="D4814" s="17" t="s">
        <v>6237</v>
      </c>
      <c r="E4814" s="18" t="s">
        <v>6238</v>
      </c>
      <c r="F4814" s="16" t="s">
        <v>6239</v>
      </c>
      <c r="G4814" s="16" t="s">
        <v>88</v>
      </c>
      <c r="H4814" s="19" t="s">
        <v>6483</v>
      </c>
      <c r="I4814" s="23" t="e">
        <f>VLOOKUP(H4814,'合同综合查询数据（3月返）'!$A:$A,1,FALSE)</f>
        <v>#N/A</v>
      </c>
      <c r="J4814" s="24" t="s">
        <v>3074</v>
      </c>
      <c r="K4814" s="16" t="s">
        <v>6484</v>
      </c>
      <c r="L4814" s="25"/>
      <c r="M4814" s="26" t="s">
        <v>6323</v>
      </c>
      <c r="N4814" s="28">
        <v>44583</v>
      </c>
      <c r="O4814" s="28" t="s">
        <v>457</v>
      </c>
      <c r="P4814" s="29">
        <v>6300</v>
      </c>
      <c r="Q4814" s="369">
        <v>4</v>
      </c>
      <c r="R4814" s="173">
        <f t="shared" si="108"/>
        <v>25200</v>
      </c>
      <c r="S4814" s="37">
        <v>202303</v>
      </c>
      <c r="T4814" s="375" t="s">
        <v>6506</v>
      </c>
      <c r="U4814" s="39"/>
      <c r="V4814" s="370"/>
      <c r="W4814" s="41"/>
      <c r="X4814" s="371">
        <v>44531</v>
      </c>
      <c r="Y4814" s="371">
        <v>46721</v>
      </c>
    </row>
    <row r="4815" s="9" customFormat="1" customHeight="1" spans="1:25">
      <c r="A4815" s="16" t="s">
        <v>401</v>
      </c>
      <c r="B4815" s="17" t="s">
        <v>6236</v>
      </c>
      <c r="C4815" s="17" t="s">
        <v>63</v>
      </c>
      <c r="D4815" s="17" t="s">
        <v>6237</v>
      </c>
      <c r="E4815" s="18" t="s">
        <v>6238</v>
      </c>
      <c r="F4815" s="16" t="s">
        <v>6239</v>
      </c>
      <c r="G4815" s="16" t="s">
        <v>88</v>
      </c>
      <c r="H4815" s="19" t="s">
        <v>6483</v>
      </c>
      <c r="I4815" s="23" t="e">
        <f>VLOOKUP(H4815,'合同综合查询数据（3月返）'!$A:$A,1,FALSE)</f>
        <v>#N/A</v>
      </c>
      <c r="J4815" s="24" t="s">
        <v>3074</v>
      </c>
      <c r="K4815" s="16" t="s">
        <v>6484</v>
      </c>
      <c r="L4815" s="25"/>
      <c r="M4815" s="26" t="s">
        <v>6323</v>
      </c>
      <c r="N4815" s="28">
        <v>44585</v>
      </c>
      <c r="O4815" s="28" t="s">
        <v>457</v>
      </c>
      <c r="P4815" s="29">
        <v>6300</v>
      </c>
      <c r="Q4815" s="369">
        <v>38</v>
      </c>
      <c r="R4815" s="173">
        <f t="shared" si="108"/>
        <v>239400</v>
      </c>
      <c r="S4815" s="37">
        <v>202303</v>
      </c>
      <c r="T4815" s="375" t="s">
        <v>6507</v>
      </c>
      <c r="U4815" s="39"/>
      <c r="V4815" s="370"/>
      <c r="W4815" s="41"/>
      <c r="X4815" s="371">
        <v>44531</v>
      </c>
      <c r="Y4815" s="371">
        <v>46721</v>
      </c>
    </row>
    <row r="4816" s="9" customFormat="1" customHeight="1" spans="1:25">
      <c r="A4816" s="16" t="s">
        <v>401</v>
      </c>
      <c r="B4816" s="17" t="s">
        <v>6236</v>
      </c>
      <c r="C4816" s="17" t="s">
        <v>63</v>
      </c>
      <c r="D4816" s="17" t="s">
        <v>6237</v>
      </c>
      <c r="E4816" s="18" t="s">
        <v>6238</v>
      </c>
      <c r="F4816" s="16" t="s">
        <v>6239</v>
      </c>
      <c r="G4816" s="16" t="s">
        <v>88</v>
      </c>
      <c r="H4816" s="19" t="s">
        <v>6483</v>
      </c>
      <c r="I4816" s="23" t="e">
        <f>VLOOKUP(H4816,'合同综合查询数据（3月返）'!$A:$A,1,FALSE)</f>
        <v>#N/A</v>
      </c>
      <c r="J4816" s="24" t="s">
        <v>3074</v>
      </c>
      <c r="K4816" s="16" t="s">
        <v>6484</v>
      </c>
      <c r="L4816" s="25"/>
      <c r="M4816" s="26" t="s">
        <v>6323</v>
      </c>
      <c r="N4816" s="28">
        <v>44606</v>
      </c>
      <c r="O4816" s="28" t="s">
        <v>457</v>
      </c>
      <c r="P4816" s="29">
        <v>6300</v>
      </c>
      <c r="Q4816" s="369">
        <v>66</v>
      </c>
      <c r="R4816" s="36">
        <f t="shared" si="108"/>
        <v>415800</v>
      </c>
      <c r="S4816" s="37">
        <v>202303</v>
      </c>
      <c r="T4816" s="375" t="s">
        <v>6508</v>
      </c>
      <c r="U4816" s="39"/>
      <c r="V4816" s="370"/>
      <c r="W4816" s="41"/>
      <c r="X4816" s="371">
        <v>44531</v>
      </c>
      <c r="Y4816" s="371">
        <v>46721</v>
      </c>
    </row>
    <row r="4817" s="9" customFormat="1" customHeight="1" spans="1:25">
      <c r="A4817" s="16" t="s">
        <v>401</v>
      </c>
      <c r="B4817" s="17" t="s">
        <v>6236</v>
      </c>
      <c r="C4817" s="17" t="s">
        <v>63</v>
      </c>
      <c r="D4817" s="17" t="s">
        <v>6237</v>
      </c>
      <c r="E4817" s="18" t="s">
        <v>6238</v>
      </c>
      <c r="F4817" s="16" t="s">
        <v>6239</v>
      </c>
      <c r="G4817" s="16" t="s">
        <v>88</v>
      </c>
      <c r="H4817" s="19" t="s">
        <v>6483</v>
      </c>
      <c r="I4817" s="23" t="e">
        <f>VLOOKUP(H4817,'合同综合查询数据（3月返）'!$A:$A,1,FALSE)</f>
        <v>#N/A</v>
      </c>
      <c r="J4817" s="24" t="s">
        <v>3074</v>
      </c>
      <c r="K4817" s="16" t="s">
        <v>6484</v>
      </c>
      <c r="L4817" s="25"/>
      <c r="M4817" s="26" t="s">
        <v>6323</v>
      </c>
      <c r="N4817" s="28">
        <v>44614</v>
      </c>
      <c r="O4817" s="28" t="s">
        <v>457</v>
      </c>
      <c r="P4817" s="29">
        <v>6300</v>
      </c>
      <c r="Q4817" s="369">
        <v>4</v>
      </c>
      <c r="R4817" s="36">
        <f t="shared" si="108"/>
        <v>25200</v>
      </c>
      <c r="S4817" s="37">
        <v>202303</v>
      </c>
      <c r="T4817" s="375" t="s">
        <v>6509</v>
      </c>
      <c r="U4817" s="39"/>
      <c r="V4817" s="370"/>
      <c r="W4817" s="41"/>
      <c r="X4817" s="371">
        <v>44531</v>
      </c>
      <c r="Y4817" s="371">
        <v>46721</v>
      </c>
    </row>
    <row r="4818" s="9" customFormat="1" customHeight="1" spans="1:25">
      <c r="A4818" s="16" t="s">
        <v>401</v>
      </c>
      <c r="B4818" s="17" t="s">
        <v>6236</v>
      </c>
      <c r="C4818" s="17" t="s">
        <v>63</v>
      </c>
      <c r="D4818" s="17" t="s">
        <v>6237</v>
      </c>
      <c r="E4818" s="18" t="s">
        <v>6238</v>
      </c>
      <c r="F4818" s="16" t="s">
        <v>6239</v>
      </c>
      <c r="G4818" s="16" t="s">
        <v>88</v>
      </c>
      <c r="H4818" s="19" t="s">
        <v>6483</v>
      </c>
      <c r="I4818" s="23" t="e">
        <f>VLOOKUP(H4818,'合同综合查询数据（3月返）'!$A:$A,1,FALSE)</f>
        <v>#N/A</v>
      </c>
      <c r="J4818" s="24" t="s">
        <v>3074</v>
      </c>
      <c r="K4818" s="16" t="s">
        <v>6484</v>
      </c>
      <c r="L4818" s="25"/>
      <c r="M4818" s="26" t="s">
        <v>6323</v>
      </c>
      <c r="N4818" s="28">
        <v>44616</v>
      </c>
      <c r="O4818" s="28" t="s">
        <v>457</v>
      </c>
      <c r="P4818" s="29">
        <v>6300</v>
      </c>
      <c r="Q4818" s="369">
        <v>47</v>
      </c>
      <c r="R4818" s="36">
        <f t="shared" si="108"/>
        <v>296100</v>
      </c>
      <c r="S4818" s="37">
        <v>202303</v>
      </c>
      <c r="T4818" s="375" t="s">
        <v>6510</v>
      </c>
      <c r="U4818" s="39"/>
      <c r="V4818" s="370"/>
      <c r="W4818" s="41"/>
      <c r="X4818" s="371">
        <v>44531</v>
      </c>
      <c r="Y4818" s="371">
        <v>46721</v>
      </c>
    </row>
    <row r="4819" s="9" customFormat="1" customHeight="1" spans="1:25">
      <c r="A4819" s="16" t="s">
        <v>401</v>
      </c>
      <c r="B4819" s="17" t="s">
        <v>6236</v>
      </c>
      <c r="C4819" s="17" t="s">
        <v>63</v>
      </c>
      <c r="D4819" s="17" t="s">
        <v>6237</v>
      </c>
      <c r="E4819" s="18" t="s">
        <v>6238</v>
      </c>
      <c r="F4819" s="16" t="s">
        <v>6239</v>
      </c>
      <c r="G4819" s="16" t="s">
        <v>88</v>
      </c>
      <c r="H4819" s="19" t="s">
        <v>6483</v>
      </c>
      <c r="I4819" s="23" t="e">
        <f>VLOOKUP(H4819,'合同综合查询数据（3月返）'!$A:$A,1,FALSE)</f>
        <v>#N/A</v>
      </c>
      <c r="J4819" s="24" t="s">
        <v>3074</v>
      </c>
      <c r="K4819" s="16" t="s">
        <v>6484</v>
      </c>
      <c r="L4819" s="25"/>
      <c r="M4819" s="26" t="s">
        <v>6323</v>
      </c>
      <c r="N4819" s="28">
        <v>44617</v>
      </c>
      <c r="O4819" s="28" t="s">
        <v>457</v>
      </c>
      <c r="P4819" s="29">
        <v>6300</v>
      </c>
      <c r="Q4819" s="369">
        <v>48</v>
      </c>
      <c r="R4819" s="36">
        <f t="shared" si="108"/>
        <v>302400</v>
      </c>
      <c r="S4819" s="37">
        <v>202303</v>
      </c>
      <c r="T4819" s="375" t="s">
        <v>6511</v>
      </c>
      <c r="U4819" s="39"/>
      <c r="V4819" s="370"/>
      <c r="W4819" s="41"/>
      <c r="X4819" s="371">
        <v>44531</v>
      </c>
      <c r="Y4819" s="371">
        <v>46721</v>
      </c>
    </row>
    <row r="4820" s="9" customFormat="1" customHeight="1" spans="1:25">
      <c r="A4820" s="16" t="s">
        <v>401</v>
      </c>
      <c r="B4820" s="17" t="s">
        <v>6236</v>
      </c>
      <c r="C4820" s="17" t="s">
        <v>63</v>
      </c>
      <c r="D4820" s="17" t="s">
        <v>6237</v>
      </c>
      <c r="E4820" s="18" t="s">
        <v>6238</v>
      </c>
      <c r="F4820" s="16" t="s">
        <v>6239</v>
      </c>
      <c r="G4820" s="16" t="s">
        <v>88</v>
      </c>
      <c r="H4820" s="19" t="s">
        <v>6483</v>
      </c>
      <c r="I4820" s="23" t="e">
        <f>VLOOKUP(H4820,'合同综合查询数据（3月返）'!$A:$A,1,FALSE)</f>
        <v>#N/A</v>
      </c>
      <c r="J4820" s="24" t="s">
        <v>3074</v>
      </c>
      <c r="K4820" s="16" t="s">
        <v>6484</v>
      </c>
      <c r="L4820" s="25"/>
      <c r="M4820" s="26" t="s">
        <v>6323</v>
      </c>
      <c r="N4820" s="28">
        <v>44620</v>
      </c>
      <c r="O4820" s="28" t="s">
        <v>457</v>
      </c>
      <c r="P4820" s="29">
        <v>6300</v>
      </c>
      <c r="Q4820" s="369">
        <v>1</v>
      </c>
      <c r="R4820" s="36">
        <f t="shared" si="108"/>
        <v>6300</v>
      </c>
      <c r="S4820" s="37">
        <v>202303</v>
      </c>
      <c r="T4820" s="375" t="s">
        <v>6512</v>
      </c>
      <c r="U4820" s="39"/>
      <c r="V4820" s="370"/>
      <c r="W4820" s="41"/>
      <c r="X4820" s="371">
        <v>44531</v>
      </c>
      <c r="Y4820" s="371">
        <v>46721</v>
      </c>
    </row>
    <row r="4821" s="9" customFormat="1" customHeight="1" spans="1:25">
      <c r="A4821" s="16" t="s">
        <v>401</v>
      </c>
      <c r="B4821" s="17" t="s">
        <v>6236</v>
      </c>
      <c r="C4821" s="17" t="s">
        <v>63</v>
      </c>
      <c r="D4821" s="17" t="s">
        <v>6237</v>
      </c>
      <c r="E4821" s="18" t="s">
        <v>6238</v>
      </c>
      <c r="F4821" s="16" t="s">
        <v>6239</v>
      </c>
      <c r="G4821" s="16" t="s">
        <v>88</v>
      </c>
      <c r="H4821" s="19" t="s">
        <v>6483</v>
      </c>
      <c r="I4821" s="23" t="e">
        <f>VLOOKUP(H4821,'合同综合查询数据（3月返）'!$A:$A,1,FALSE)</f>
        <v>#N/A</v>
      </c>
      <c r="J4821" s="24" t="s">
        <v>3074</v>
      </c>
      <c r="K4821" s="16" t="s">
        <v>6484</v>
      </c>
      <c r="L4821" s="25"/>
      <c r="M4821" s="26" t="s">
        <v>6323</v>
      </c>
      <c r="N4821" s="28">
        <v>44622</v>
      </c>
      <c r="O4821" s="28" t="s">
        <v>457</v>
      </c>
      <c r="P4821" s="29">
        <v>6300</v>
      </c>
      <c r="Q4821" s="369">
        <v>8</v>
      </c>
      <c r="R4821" s="36">
        <f t="shared" si="108"/>
        <v>50400</v>
      </c>
      <c r="S4821" s="37">
        <v>202303</v>
      </c>
      <c r="T4821" s="375" t="s">
        <v>6513</v>
      </c>
      <c r="U4821" s="39"/>
      <c r="V4821" s="370"/>
      <c r="W4821" s="41"/>
      <c r="X4821" s="371">
        <v>44531</v>
      </c>
      <c r="Y4821" s="371">
        <v>46721</v>
      </c>
    </row>
    <row r="4822" s="9" customFormat="1" customHeight="1" spans="1:25">
      <c r="A4822" s="16" t="s">
        <v>401</v>
      </c>
      <c r="B4822" s="17" t="s">
        <v>6236</v>
      </c>
      <c r="C4822" s="17" t="s">
        <v>63</v>
      </c>
      <c r="D4822" s="17" t="s">
        <v>6237</v>
      </c>
      <c r="E4822" s="18" t="s">
        <v>6238</v>
      </c>
      <c r="F4822" s="16" t="s">
        <v>6239</v>
      </c>
      <c r="G4822" s="16" t="s">
        <v>88</v>
      </c>
      <c r="H4822" s="19" t="s">
        <v>6483</v>
      </c>
      <c r="I4822" s="23" t="e">
        <f>VLOOKUP(H4822,'合同综合查询数据（3月返）'!$A:$A,1,FALSE)</f>
        <v>#N/A</v>
      </c>
      <c r="J4822" s="24" t="s">
        <v>3074</v>
      </c>
      <c r="K4822" s="16" t="s">
        <v>6484</v>
      </c>
      <c r="L4822" s="25"/>
      <c r="M4822" s="26" t="s">
        <v>6323</v>
      </c>
      <c r="N4822" s="28">
        <v>44712</v>
      </c>
      <c r="O4822" s="28" t="s">
        <v>457</v>
      </c>
      <c r="P4822" s="29">
        <v>6300</v>
      </c>
      <c r="Q4822" s="369">
        <v>2</v>
      </c>
      <c r="R4822" s="36">
        <f t="shared" si="108"/>
        <v>12600</v>
      </c>
      <c r="S4822" s="37">
        <v>202303</v>
      </c>
      <c r="T4822" s="375" t="s">
        <v>6514</v>
      </c>
      <c r="U4822" s="39"/>
      <c r="V4822" s="370"/>
      <c r="W4822" s="41"/>
      <c r="X4822" s="371">
        <v>44531</v>
      </c>
      <c r="Y4822" s="371">
        <v>46721</v>
      </c>
    </row>
    <row r="4823" s="9" customFormat="1" customHeight="1" spans="1:25">
      <c r="A4823" s="16" t="s">
        <v>401</v>
      </c>
      <c r="B4823" s="17" t="s">
        <v>6236</v>
      </c>
      <c r="C4823" s="17" t="s">
        <v>63</v>
      </c>
      <c r="D4823" s="17" t="s">
        <v>6237</v>
      </c>
      <c r="E4823" s="18" t="s">
        <v>6238</v>
      </c>
      <c r="F4823" s="16" t="s">
        <v>6239</v>
      </c>
      <c r="G4823" s="16" t="s">
        <v>88</v>
      </c>
      <c r="H4823" s="19" t="s">
        <v>6483</v>
      </c>
      <c r="I4823" s="23" t="e">
        <f>VLOOKUP(H4823,'合同综合查询数据（3月返）'!$A:$A,1,FALSE)</f>
        <v>#N/A</v>
      </c>
      <c r="J4823" s="24" t="s">
        <v>3074</v>
      </c>
      <c r="K4823" s="16" t="s">
        <v>6484</v>
      </c>
      <c r="L4823" s="25"/>
      <c r="M4823" s="26" t="s">
        <v>6323</v>
      </c>
      <c r="N4823" s="28">
        <v>44796</v>
      </c>
      <c r="O4823" s="28" t="s">
        <v>457</v>
      </c>
      <c r="P4823" s="29">
        <v>6300</v>
      </c>
      <c r="Q4823" s="369">
        <v>2</v>
      </c>
      <c r="R4823" s="36">
        <f t="shared" si="108"/>
        <v>12600</v>
      </c>
      <c r="S4823" s="37">
        <v>202303</v>
      </c>
      <c r="T4823" s="375" t="s">
        <v>6515</v>
      </c>
      <c r="U4823" s="39"/>
      <c r="V4823" s="370"/>
      <c r="W4823" s="41"/>
      <c r="X4823" s="371">
        <v>44531</v>
      </c>
      <c r="Y4823" s="371">
        <v>46721</v>
      </c>
    </row>
    <row r="4824" s="9" customFormat="1" customHeight="1" spans="1:25">
      <c r="A4824" s="16" t="s">
        <v>401</v>
      </c>
      <c r="B4824" s="17" t="s">
        <v>6236</v>
      </c>
      <c r="C4824" s="17" t="s">
        <v>63</v>
      </c>
      <c r="D4824" s="17" t="s">
        <v>6237</v>
      </c>
      <c r="E4824" s="18" t="s">
        <v>6238</v>
      </c>
      <c r="F4824" s="16" t="s">
        <v>6239</v>
      </c>
      <c r="G4824" s="16" t="s">
        <v>88</v>
      </c>
      <c r="H4824" s="19" t="s">
        <v>6483</v>
      </c>
      <c r="I4824" s="23" t="e">
        <f>VLOOKUP(H4824,'合同综合查询数据（3月返）'!$A:$A,1,FALSE)</f>
        <v>#N/A</v>
      </c>
      <c r="J4824" s="24" t="s">
        <v>3074</v>
      </c>
      <c r="K4824" s="16" t="s">
        <v>6484</v>
      </c>
      <c r="L4824" s="25"/>
      <c r="M4824" s="26" t="s">
        <v>6323</v>
      </c>
      <c r="N4824" s="28">
        <v>44867</v>
      </c>
      <c r="O4824" s="28" t="s">
        <v>457</v>
      </c>
      <c r="P4824" s="29">
        <v>6300</v>
      </c>
      <c r="Q4824" s="369">
        <v>-1</v>
      </c>
      <c r="R4824" s="173">
        <f t="shared" si="108"/>
        <v>-6300</v>
      </c>
      <c r="S4824" s="37">
        <v>202303</v>
      </c>
      <c r="T4824" s="375" t="s">
        <v>6516</v>
      </c>
      <c r="U4824" s="39"/>
      <c r="V4824" s="370"/>
      <c r="W4824" s="41"/>
      <c r="X4824" s="371">
        <v>44531</v>
      </c>
      <c r="Y4824" s="371">
        <v>46721</v>
      </c>
    </row>
    <row r="4825" s="9" customFormat="1" customHeight="1" spans="1:25">
      <c r="A4825" s="16" t="s">
        <v>401</v>
      </c>
      <c r="B4825" s="17" t="s">
        <v>6236</v>
      </c>
      <c r="C4825" s="17" t="s">
        <v>63</v>
      </c>
      <c r="D4825" s="17" t="s">
        <v>6237</v>
      </c>
      <c r="E4825" s="18" t="s">
        <v>6238</v>
      </c>
      <c r="F4825" s="16" t="s">
        <v>6239</v>
      </c>
      <c r="G4825" s="16" t="s">
        <v>88</v>
      </c>
      <c r="H4825" s="19" t="s">
        <v>6483</v>
      </c>
      <c r="I4825" s="23" t="e">
        <f>VLOOKUP(H4825,'合同综合查询数据（3月返）'!$A:$A,1,FALSE)</f>
        <v>#N/A</v>
      </c>
      <c r="J4825" s="24" t="s">
        <v>3074</v>
      </c>
      <c r="K4825" s="16" t="s">
        <v>6484</v>
      </c>
      <c r="L4825" s="25"/>
      <c r="M4825" s="26" t="s">
        <v>6323</v>
      </c>
      <c r="N4825" s="28">
        <v>44883</v>
      </c>
      <c r="O4825" s="28" t="s">
        <v>457</v>
      </c>
      <c r="P4825" s="29">
        <v>6300</v>
      </c>
      <c r="Q4825" s="369">
        <v>3</v>
      </c>
      <c r="R4825" s="173">
        <f t="shared" si="108"/>
        <v>18900</v>
      </c>
      <c r="S4825" s="37">
        <v>202303</v>
      </c>
      <c r="T4825" s="375" t="s">
        <v>6517</v>
      </c>
      <c r="U4825" s="39"/>
      <c r="V4825" s="370"/>
      <c r="W4825" s="41"/>
      <c r="X4825" s="371">
        <v>44531</v>
      </c>
      <c r="Y4825" s="371">
        <v>46721</v>
      </c>
    </row>
    <row r="4826" s="9" customFormat="1" customHeight="1" spans="1:25">
      <c r="A4826" s="16" t="s">
        <v>401</v>
      </c>
      <c r="B4826" s="17" t="s">
        <v>6236</v>
      </c>
      <c r="C4826" s="17" t="s">
        <v>63</v>
      </c>
      <c r="D4826" s="17" t="s">
        <v>6237</v>
      </c>
      <c r="E4826" s="18" t="s">
        <v>6238</v>
      </c>
      <c r="F4826" s="16" t="s">
        <v>6239</v>
      </c>
      <c r="G4826" s="16" t="s">
        <v>88</v>
      </c>
      <c r="H4826" s="19" t="s">
        <v>6518</v>
      </c>
      <c r="I4826" s="23" t="e">
        <f>VLOOKUP(H4826,'合同综合查询数据（3月返）'!$A:$A,1,FALSE)</f>
        <v>#N/A</v>
      </c>
      <c r="J4826" s="24" t="s">
        <v>3074</v>
      </c>
      <c r="K4826" s="16" t="s">
        <v>6519</v>
      </c>
      <c r="L4826" s="25"/>
      <c r="M4826" s="26" t="s">
        <v>6323</v>
      </c>
      <c r="N4826" s="28">
        <v>44587</v>
      </c>
      <c r="O4826" s="28" t="s">
        <v>457</v>
      </c>
      <c r="P4826" s="29">
        <v>6300</v>
      </c>
      <c r="Q4826" s="369">
        <v>88</v>
      </c>
      <c r="R4826" s="173">
        <f t="shared" si="108"/>
        <v>554400</v>
      </c>
      <c r="S4826" s="37">
        <v>202303</v>
      </c>
      <c r="T4826" s="379" t="s">
        <v>6520</v>
      </c>
      <c r="U4826" s="39"/>
      <c r="V4826" s="370"/>
      <c r="W4826" s="41"/>
      <c r="X4826" s="371">
        <v>44593</v>
      </c>
      <c r="Y4826" s="371">
        <v>46783</v>
      </c>
    </row>
    <row r="4827" s="9" customFormat="1" customHeight="1" spans="1:25">
      <c r="A4827" s="16" t="s">
        <v>401</v>
      </c>
      <c r="B4827" s="17" t="s">
        <v>6236</v>
      </c>
      <c r="C4827" s="17" t="s">
        <v>63</v>
      </c>
      <c r="D4827" s="17" t="s">
        <v>6237</v>
      </c>
      <c r="E4827" s="18" t="s">
        <v>6238</v>
      </c>
      <c r="F4827" s="16" t="s">
        <v>6239</v>
      </c>
      <c r="G4827" s="16" t="s">
        <v>88</v>
      </c>
      <c r="H4827" s="19" t="s">
        <v>6518</v>
      </c>
      <c r="I4827" s="23" t="e">
        <f>VLOOKUP(H4827,'合同综合查询数据（3月返）'!$A:$A,1,FALSE)</f>
        <v>#N/A</v>
      </c>
      <c r="J4827" s="24" t="s">
        <v>3074</v>
      </c>
      <c r="K4827" s="16" t="s">
        <v>6519</v>
      </c>
      <c r="L4827" s="25"/>
      <c r="M4827" s="26" t="s">
        <v>6323</v>
      </c>
      <c r="N4827" s="28">
        <v>44588</v>
      </c>
      <c r="O4827" s="28" t="s">
        <v>457</v>
      </c>
      <c r="P4827" s="29">
        <v>6300</v>
      </c>
      <c r="Q4827" s="369">
        <v>24</v>
      </c>
      <c r="R4827" s="173">
        <f t="shared" si="108"/>
        <v>151200</v>
      </c>
      <c r="S4827" s="37">
        <v>202303</v>
      </c>
      <c r="T4827" s="375" t="s">
        <v>6521</v>
      </c>
      <c r="U4827" s="39"/>
      <c r="V4827" s="370"/>
      <c r="W4827" s="41"/>
      <c r="X4827" s="371">
        <v>44593</v>
      </c>
      <c r="Y4827" s="371">
        <v>46783</v>
      </c>
    </row>
    <row r="4828" s="9" customFormat="1" customHeight="1" spans="1:25">
      <c r="A4828" s="16" t="s">
        <v>401</v>
      </c>
      <c r="B4828" s="17" t="s">
        <v>6236</v>
      </c>
      <c r="C4828" s="17" t="s">
        <v>63</v>
      </c>
      <c r="D4828" s="17" t="s">
        <v>6237</v>
      </c>
      <c r="E4828" s="18" t="s">
        <v>6238</v>
      </c>
      <c r="F4828" s="16" t="s">
        <v>6239</v>
      </c>
      <c r="G4828" s="16" t="s">
        <v>88</v>
      </c>
      <c r="H4828" s="19" t="s">
        <v>6518</v>
      </c>
      <c r="I4828" s="23" t="e">
        <f>VLOOKUP(H4828,'合同综合查询数据（3月返）'!$A:$A,1,FALSE)</f>
        <v>#N/A</v>
      </c>
      <c r="J4828" s="24" t="s">
        <v>3074</v>
      </c>
      <c r="K4828" s="16" t="s">
        <v>6519</v>
      </c>
      <c r="L4828" s="25"/>
      <c r="M4828" s="26" t="s">
        <v>6323</v>
      </c>
      <c r="N4828" s="28">
        <v>44594</v>
      </c>
      <c r="O4828" s="28" t="s">
        <v>457</v>
      </c>
      <c r="P4828" s="29">
        <v>6300</v>
      </c>
      <c r="Q4828" s="369">
        <v>9</v>
      </c>
      <c r="R4828" s="36">
        <f t="shared" si="108"/>
        <v>56700</v>
      </c>
      <c r="S4828" s="37">
        <v>202303</v>
      </c>
      <c r="T4828" s="375" t="s">
        <v>6522</v>
      </c>
      <c r="U4828" s="39"/>
      <c r="V4828" s="370"/>
      <c r="W4828" s="41"/>
      <c r="X4828" s="371">
        <v>44593</v>
      </c>
      <c r="Y4828" s="371">
        <v>46783</v>
      </c>
    </row>
    <row r="4829" s="9" customFormat="1" customHeight="1" spans="1:25">
      <c r="A4829" s="16" t="s">
        <v>401</v>
      </c>
      <c r="B4829" s="17" t="s">
        <v>6236</v>
      </c>
      <c r="C4829" s="17" t="s">
        <v>63</v>
      </c>
      <c r="D4829" s="17" t="s">
        <v>6237</v>
      </c>
      <c r="E4829" s="18" t="s">
        <v>6238</v>
      </c>
      <c r="F4829" s="16" t="s">
        <v>6239</v>
      </c>
      <c r="G4829" s="16" t="s">
        <v>88</v>
      </c>
      <c r="H4829" s="19" t="s">
        <v>6518</v>
      </c>
      <c r="I4829" s="23" t="e">
        <f>VLOOKUP(H4829,'合同综合查询数据（3月返）'!$A:$A,1,FALSE)</f>
        <v>#N/A</v>
      </c>
      <c r="J4829" s="24" t="s">
        <v>3074</v>
      </c>
      <c r="K4829" s="16" t="s">
        <v>6519</v>
      </c>
      <c r="L4829" s="25"/>
      <c r="M4829" s="26" t="s">
        <v>6323</v>
      </c>
      <c r="N4829" s="28">
        <v>44629</v>
      </c>
      <c r="O4829" s="28" t="s">
        <v>457</v>
      </c>
      <c r="P4829" s="29">
        <v>6300</v>
      </c>
      <c r="Q4829" s="369">
        <v>22</v>
      </c>
      <c r="R4829" s="36">
        <f t="shared" si="108"/>
        <v>138600</v>
      </c>
      <c r="S4829" s="37">
        <v>202303</v>
      </c>
      <c r="T4829" s="375" t="s">
        <v>6523</v>
      </c>
      <c r="U4829" s="39"/>
      <c r="V4829" s="370"/>
      <c r="W4829" s="41"/>
      <c r="X4829" s="371">
        <v>44593</v>
      </c>
      <c r="Y4829" s="371">
        <v>46783</v>
      </c>
    </row>
    <row r="4830" s="9" customFormat="1" customHeight="1" spans="1:25">
      <c r="A4830" s="16" t="s">
        <v>401</v>
      </c>
      <c r="B4830" s="17" t="s">
        <v>6236</v>
      </c>
      <c r="C4830" s="17" t="s">
        <v>63</v>
      </c>
      <c r="D4830" s="17" t="s">
        <v>6237</v>
      </c>
      <c r="E4830" s="18" t="s">
        <v>6238</v>
      </c>
      <c r="F4830" s="16" t="s">
        <v>6239</v>
      </c>
      <c r="G4830" s="16" t="s">
        <v>88</v>
      </c>
      <c r="H4830" s="19" t="s">
        <v>6518</v>
      </c>
      <c r="I4830" s="23" t="e">
        <f>VLOOKUP(H4830,'合同综合查询数据（3月返）'!$A:$A,1,FALSE)</f>
        <v>#N/A</v>
      </c>
      <c r="J4830" s="24" t="s">
        <v>3074</v>
      </c>
      <c r="K4830" s="16" t="s">
        <v>6519</v>
      </c>
      <c r="L4830" s="25"/>
      <c r="M4830" s="26" t="s">
        <v>6323</v>
      </c>
      <c r="N4830" s="28">
        <v>44631</v>
      </c>
      <c r="O4830" s="28" t="s">
        <v>457</v>
      </c>
      <c r="P4830" s="29">
        <v>6300</v>
      </c>
      <c r="Q4830" s="369">
        <v>-20</v>
      </c>
      <c r="R4830" s="36">
        <f t="shared" si="108"/>
        <v>-126000</v>
      </c>
      <c r="S4830" s="37">
        <v>202303</v>
      </c>
      <c r="T4830" s="375" t="s">
        <v>6524</v>
      </c>
      <c r="U4830" s="39"/>
      <c r="V4830" s="370"/>
      <c r="W4830" s="41"/>
      <c r="X4830" s="371">
        <v>44593</v>
      </c>
      <c r="Y4830" s="371">
        <v>46783</v>
      </c>
    </row>
    <row r="4831" s="9" customFormat="1" customHeight="1" spans="1:25">
      <c r="A4831" s="16" t="s">
        <v>401</v>
      </c>
      <c r="B4831" s="17" t="s">
        <v>6236</v>
      </c>
      <c r="C4831" s="17" t="s">
        <v>63</v>
      </c>
      <c r="D4831" s="17" t="s">
        <v>6237</v>
      </c>
      <c r="E4831" s="18" t="s">
        <v>6238</v>
      </c>
      <c r="F4831" s="16" t="s">
        <v>6239</v>
      </c>
      <c r="G4831" s="16" t="s">
        <v>88</v>
      </c>
      <c r="H4831" s="19" t="s">
        <v>6518</v>
      </c>
      <c r="I4831" s="23" t="e">
        <f>VLOOKUP(H4831,'合同综合查询数据（3月返）'!$A:$A,1,FALSE)</f>
        <v>#N/A</v>
      </c>
      <c r="J4831" s="24" t="s">
        <v>3074</v>
      </c>
      <c r="K4831" s="16" t="s">
        <v>6519</v>
      </c>
      <c r="L4831" s="25"/>
      <c r="M4831" s="26" t="s">
        <v>6323</v>
      </c>
      <c r="N4831" s="28">
        <v>44648</v>
      </c>
      <c r="O4831" s="28" t="s">
        <v>457</v>
      </c>
      <c r="P4831" s="29">
        <v>6300</v>
      </c>
      <c r="Q4831" s="369">
        <v>18</v>
      </c>
      <c r="R4831" s="36">
        <f t="shared" si="108"/>
        <v>113400</v>
      </c>
      <c r="S4831" s="37">
        <v>202303</v>
      </c>
      <c r="T4831" s="375" t="s">
        <v>6525</v>
      </c>
      <c r="U4831" s="39"/>
      <c r="V4831" s="370"/>
      <c r="W4831" s="41"/>
      <c r="X4831" s="371">
        <v>44593</v>
      </c>
      <c r="Y4831" s="371">
        <v>46783</v>
      </c>
    </row>
    <row r="4832" s="9" customFormat="1" customHeight="1" spans="1:25">
      <c r="A4832" s="16" t="s">
        <v>401</v>
      </c>
      <c r="B4832" s="17" t="s">
        <v>6236</v>
      </c>
      <c r="C4832" s="17" t="s">
        <v>63</v>
      </c>
      <c r="D4832" s="17" t="s">
        <v>6237</v>
      </c>
      <c r="E4832" s="18" t="s">
        <v>6238</v>
      </c>
      <c r="F4832" s="16" t="s">
        <v>6239</v>
      </c>
      <c r="G4832" s="16" t="s">
        <v>88</v>
      </c>
      <c r="H4832" s="19" t="s">
        <v>6518</v>
      </c>
      <c r="I4832" s="23" t="e">
        <f>VLOOKUP(H4832,'合同综合查询数据（3月返）'!$A:$A,1,FALSE)</f>
        <v>#N/A</v>
      </c>
      <c r="J4832" s="24" t="s">
        <v>3074</v>
      </c>
      <c r="K4832" s="16" t="s">
        <v>6519</v>
      </c>
      <c r="L4832" s="25"/>
      <c r="M4832" s="26" t="s">
        <v>6323</v>
      </c>
      <c r="N4832" s="28">
        <v>44657</v>
      </c>
      <c r="O4832" s="28" t="s">
        <v>457</v>
      </c>
      <c r="P4832" s="29">
        <v>6300</v>
      </c>
      <c r="Q4832" s="369">
        <v>2</v>
      </c>
      <c r="R4832" s="36">
        <f t="shared" si="108"/>
        <v>12600</v>
      </c>
      <c r="S4832" s="37">
        <v>202303</v>
      </c>
      <c r="T4832" s="375" t="s">
        <v>6526</v>
      </c>
      <c r="U4832" s="39"/>
      <c r="V4832" s="370"/>
      <c r="W4832" s="41"/>
      <c r="X4832" s="371">
        <v>44593</v>
      </c>
      <c r="Y4832" s="371">
        <v>46783</v>
      </c>
    </row>
    <row r="4833" s="9" customFormat="1" customHeight="1" spans="1:25">
      <c r="A4833" s="16" t="s">
        <v>401</v>
      </c>
      <c r="B4833" s="17" t="s">
        <v>6236</v>
      </c>
      <c r="C4833" s="17" t="s">
        <v>63</v>
      </c>
      <c r="D4833" s="17" t="s">
        <v>6237</v>
      </c>
      <c r="E4833" s="18" t="s">
        <v>6238</v>
      </c>
      <c r="F4833" s="16" t="s">
        <v>6239</v>
      </c>
      <c r="G4833" s="16" t="s">
        <v>88</v>
      </c>
      <c r="H4833" s="19" t="s">
        <v>6518</v>
      </c>
      <c r="I4833" s="23" t="e">
        <f>VLOOKUP(H4833,'合同综合查询数据（3月返）'!$A:$A,1,FALSE)</f>
        <v>#N/A</v>
      </c>
      <c r="J4833" s="24" t="s">
        <v>3074</v>
      </c>
      <c r="K4833" s="16" t="s">
        <v>6519</v>
      </c>
      <c r="L4833" s="25"/>
      <c r="M4833" s="26" t="s">
        <v>6323</v>
      </c>
      <c r="N4833" s="28">
        <v>44666</v>
      </c>
      <c r="O4833" s="28" t="s">
        <v>457</v>
      </c>
      <c r="P4833" s="29">
        <v>6300</v>
      </c>
      <c r="Q4833" s="369">
        <v>34</v>
      </c>
      <c r="R4833" s="36">
        <f t="shared" si="108"/>
        <v>214200</v>
      </c>
      <c r="S4833" s="37">
        <v>202303</v>
      </c>
      <c r="T4833" s="375" t="s">
        <v>6527</v>
      </c>
      <c r="U4833" s="39"/>
      <c r="V4833" s="370"/>
      <c r="W4833" s="41"/>
      <c r="X4833" s="371">
        <v>44593</v>
      </c>
      <c r="Y4833" s="371">
        <v>46783</v>
      </c>
    </row>
    <row r="4834" s="9" customFormat="1" customHeight="1" spans="1:25">
      <c r="A4834" s="16" t="s">
        <v>401</v>
      </c>
      <c r="B4834" s="17" t="s">
        <v>6236</v>
      </c>
      <c r="C4834" s="17" t="s">
        <v>63</v>
      </c>
      <c r="D4834" s="17" t="s">
        <v>6237</v>
      </c>
      <c r="E4834" s="18" t="s">
        <v>6238</v>
      </c>
      <c r="F4834" s="16" t="s">
        <v>6239</v>
      </c>
      <c r="G4834" s="16" t="s">
        <v>88</v>
      </c>
      <c r="H4834" s="19" t="s">
        <v>6518</v>
      </c>
      <c r="I4834" s="23" t="e">
        <f>VLOOKUP(H4834,'合同综合查询数据（3月返）'!$A:$A,1,FALSE)</f>
        <v>#N/A</v>
      </c>
      <c r="J4834" s="24" t="s">
        <v>3074</v>
      </c>
      <c r="K4834" s="16" t="s">
        <v>6519</v>
      </c>
      <c r="L4834" s="25"/>
      <c r="M4834" s="26" t="s">
        <v>6323</v>
      </c>
      <c r="N4834" s="28">
        <v>44670</v>
      </c>
      <c r="O4834" s="28" t="s">
        <v>457</v>
      </c>
      <c r="P4834" s="29">
        <v>6300</v>
      </c>
      <c r="Q4834" s="369">
        <v>36</v>
      </c>
      <c r="R4834" s="36">
        <f t="shared" si="108"/>
        <v>226800</v>
      </c>
      <c r="S4834" s="37">
        <v>202303</v>
      </c>
      <c r="T4834" s="375" t="s">
        <v>6528</v>
      </c>
      <c r="U4834" s="39"/>
      <c r="V4834" s="370"/>
      <c r="W4834" s="41"/>
      <c r="X4834" s="371">
        <v>44593</v>
      </c>
      <c r="Y4834" s="371">
        <v>46783</v>
      </c>
    </row>
    <row r="4835" s="9" customFormat="1" customHeight="1" spans="1:25">
      <c r="A4835" s="16" t="s">
        <v>401</v>
      </c>
      <c r="B4835" s="17" t="s">
        <v>6236</v>
      </c>
      <c r="C4835" s="17" t="s">
        <v>63</v>
      </c>
      <c r="D4835" s="17" t="s">
        <v>6237</v>
      </c>
      <c r="E4835" s="18" t="s">
        <v>6238</v>
      </c>
      <c r="F4835" s="16" t="s">
        <v>6239</v>
      </c>
      <c r="G4835" s="16" t="s">
        <v>88</v>
      </c>
      <c r="H4835" s="19" t="s">
        <v>6518</v>
      </c>
      <c r="I4835" s="23" t="e">
        <f>VLOOKUP(H4835,'合同综合查询数据（3月返）'!$A:$A,1,FALSE)</f>
        <v>#N/A</v>
      </c>
      <c r="J4835" s="24" t="s">
        <v>3074</v>
      </c>
      <c r="K4835" s="16" t="s">
        <v>6519</v>
      </c>
      <c r="L4835" s="25"/>
      <c r="M4835" s="26" t="s">
        <v>6323</v>
      </c>
      <c r="N4835" s="28">
        <v>44672</v>
      </c>
      <c r="O4835" s="28" t="s">
        <v>457</v>
      </c>
      <c r="P4835" s="29">
        <v>6300</v>
      </c>
      <c r="Q4835" s="369">
        <v>15</v>
      </c>
      <c r="R4835" s="36">
        <f t="shared" si="108"/>
        <v>94500</v>
      </c>
      <c r="S4835" s="37">
        <v>202303</v>
      </c>
      <c r="T4835" s="375" t="s">
        <v>6529</v>
      </c>
      <c r="U4835" s="39"/>
      <c r="V4835" s="370"/>
      <c r="W4835" s="41"/>
      <c r="X4835" s="371">
        <v>44593</v>
      </c>
      <c r="Y4835" s="371">
        <v>46783</v>
      </c>
    </row>
    <row r="4836" s="9" customFormat="1" customHeight="1" spans="1:25">
      <c r="A4836" s="16" t="s">
        <v>401</v>
      </c>
      <c r="B4836" s="17" t="s">
        <v>6236</v>
      </c>
      <c r="C4836" s="17" t="s">
        <v>63</v>
      </c>
      <c r="D4836" s="17" t="s">
        <v>6237</v>
      </c>
      <c r="E4836" s="18" t="s">
        <v>6238</v>
      </c>
      <c r="F4836" s="16" t="s">
        <v>6239</v>
      </c>
      <c r="G4836" s="16" t="s">
        <v>88</v>
      </c>
      <c r="H4836" s="19" t="s">
        <v>6518</v>
      </c>
      <c r="I4836" s="23" t="e">
        <f>VLOOKUP(H4836,'合同综合查询数据（3月返）'!$A:$A,1,FALSE)</f>
        <v>#N/A</v>
      </c>
      <c r="J4836" s="24" t="s">
        <v>3074</v>
      </c>
      <c r="K4836" s="16" t="s">
        <v>6519</v>
      </c>
      <c r="L4836" s="25"/>
      <c r="M4836" s="26" t="s">
        <v>6323</v>
      </c>
      <c r="N4836" s="28">
        <v>44673</v>
      </c>
      <c r="O4836" s="28" t="s">
        <v>457</v>
      </c>
      <c r="P4836" s="29">
        <v>6300</v>
      </c>
      <c r="Q4836" s="369">
        <v>18</v>
      </c>
      <c r="R4836" s="36">
        <f t="shared" si="108"/>
        <v>113400</v>
      </c>
      <c r="S4836" s="37">
        <v>202303</v>
      </c>
      <c r="T4836" s="375" t="s">
        <v>6530</v>
      </c>
      <c r="U4836" s="39"/>
      <c r="V4836" s="370"/>
      <c r="W4836" s="41"/>
      <c r="X4836" s="371">
        <v>44593</v>
      </c>
      <c r="Y4836" s="371">
        <v>46783</v>
      </c>
    </row>
    <row r="4837" s="9" customFormat="1" customHeight="1" spans="1:25">
      <c r="A4837" s="16" t="s">
        <v>401</v>
      </c>
      <c r="B4837" s="17" t="s">
        <v>6236</v>
      </c>
      <c r="C4837" s="17" t="s">
        <v>63</v>
      </c>
      <c r="D4837" s="17" t="s">
        <v>6237</v>
      </c>
      <c r="E4837" s="18" t="s">
        <v>6238</v>
      </c>
      <c r="F4837" s="16" t="s">
        <v>6239</v>
      </c>
      <c r="G4837" s="16" t="s">
        <v>88</v>
      </c>
      <c r="H4837" s="19" t="s">
        <v>6518</v>
      </c>
      <c r="I4837" s="23" t="e">
        <f>VLOOKUP(H4837,'合同综合查询数据（3月返）'!$A:$A,1,FALSE)</f>
        <v>#N/A</v>
      </c>
      <c r="J4837" s="24" t="s">
        <v>3074</v>
      </c>
      <c r="K4837" s="16" t="s">
        <v>6519</v>
      </c>
      <c r="L4837" s="25"/>
      <c r="M4837" s="26" t="s">
        <v>6323</v>
      </c>
      <c r="N4837" s="28">
        <v>44686</v>
      </c>
      <c r="O4837" s="28" t="s">
        <v>457</v>
      </c>
      <c r="P4837" s="29">
        <v>6300</v>
      </c>
      <c r="Q4837" s="369">
        <v>24</v>
      </c>
      <c r="R4837" s="36">
        <f t="shared" si="108"/>
        <v>151200</v>
      </c>
      <c r="S4837" s="37">
        <v>202303</v>
      </c>
      <c r="T4837" s="375" t="s">
        <v>6531</v>
      </c>
      <c r="U4837" s="39"/>
      <c r="V4837" s="370"/>
      <c r="W4837" s="41"/>
      <c r="X4837" s="371">
        <v>44593</v>
      </c>
      <c r="Y4837" s="371">
        <v>46783</v>
      </c>
    </row>
    <row r="4838" s="9" customFormat="1" customHeight="1" spans="1:25">
      <c r="A4838" s="16" t="s">
        <v>401</v>
      </c>
      <c r="B4838" s="17" t="s">
        <v>6236</v>
      </c>
      <c r="C4838" s="17" t="s">
        <v>63</v>
      </c>
      <c r="D4838" s="17" t="s">
        <v>6237</v>
      </c>
      <c r="E4838" s="18" t="s">
        <v>6238</v>
      </c>
      <c r="F4838" s="16" t="s">
        <v>6239</v>
      </c>
      <c r="G4838" s="16" t="s">
        <v>88</v>
      </c>
      <c r="H4838" s="19" t="s">
        <v>6518</v>
      </c>
      <c r="I4838" s="23" t="e">
        <f>VLOOKUP(H4838,'合同综合查询数据（3月返）'!$A:$A,1,FALSE)</f>
        <v>#N/A</v>
      </c>
      <c r="J4838" s="24" t="s">
        <v>3074</v>
      </c>
      <c r="K4838" s="16" t="s">
        <v>6519</v>
      </c>
      <c r="L4838" s="25"/>
      <c r="M4838" s="26" t="s">
        <v>6323</v>
      </c>
      <c r="N4838" s="28">
        <v>44734</v>
      </c>
      <c r="O4838" s="28" t="s">
        <v>457</v>
      </c>
      <c r="P4838" s="29">
        <v>6300</v>
      </c>
      <c r="Q4838" s="369">
        <v>14</v>
      </c>
      <c r="R4838" s="119">
        <f t="shared" si="108"/>
        <v>88200</v>
      </c>
      <c r="S4838" s="37">
        <v>202303</v>
      </c>
      <c r="T4838" s="375" t="s">
        <v>6532</v>
      </c>
      <c r="U4838" s="39"/>
      <c r="V4838" s="370"/>
      <c r="W4838" s="41"/>
      <c r="X4838" s="371">
        <v>44593</v>
      </c>
      <c r="Y4838" s="371">
        <v>46783</v>
      </c>
    </row>
    <row r="4839" s="9" customFormat="1" customHeight="1" spans="1:25">
      <c r="A4839" s="16" t="s">
        <v>401</v>
      </c>
      <c r="B4839" s="17" t="s">
        <v>6236</v>
      </c>
      <c r="C4839" s="17" t="s">
        <v>63</v>
      </c>
      <c r="D4839" s="17" t="s">
        <v>6237</v>
      </c>
      <c r="E4839" s="18" t="s">
        <v>6238</v>
      </c>
      <c r="F4839" s="16" t="s">
        <v>6239</v>
      </c>
      <c r="G4839" s="16" t="s">
        <v>88</v>
      </c>
      <c r="H4839" s="19" t="s">
        <v>6518</v>
      </c>
      <c r="I4839" s="23" t="e">
        <f>VLOOKUP(H4839,'合同综合查询数据（3月返）'!$A:$A,1,FALSE)</f>
        <v>#N/A</v>
      </c>
      <c r="J4839" s="24" t="s">
        <v>3074</v>
      </c>
      <c r="K4839" s="16" t="s">
        <v>6519</v>
      </c>
      <c r="L4839" s="25"/>
      <c r="M4839" s="26" t="s">
        <v>6323</v>
      </c>
      <c r="N4839" s="28">
        <v>44736</v>
      </c>
      <c r="O4839" s="28" t="s">
        <v>457</v>
      </c>
      <c r="P4839" s="29">
        <v>6300</v>
      </c>
      <c r="Q4839" s="369">
        <v>6</v>
      </c>
      <c r="R4839" s="119">
        <f t="shared" si="108"/>
        <v>37800</v>
      </c>
      <c r="S4839" s="37">
        <v>202303</v>
      </c>
      <c r="T4839" s="375" t="s">
        <v>6533</v>
      </c>
      <c r="U4839" s="39"/>
      <c r="V4839" s="370"/>
      <c r="W4839" s="41"/>
      <c r="X4839" s="371">
        <v>44593</v>
      </c>
      <c r="Y4839" s="371">
        <v>46783</v>
      </c>
    </row>
    <row r="4840" s="9" customFormat="1" customHeight="1" spans="1:25">
      <c r="A4840" s="16" t="s">
        <v>401</v>
      </c>
      <c r="B4840" s="17" t="s">
        <v>6236</v>
      </c>
      <c r="C4840" s="17" t="s">
        <v>63</v>
      </c>
      <c r="D4840" s="17" t="s">
        <v>6237</v>
      </c>
      <c r="E4840" s="18" t="s">
        <v>6238</v>
      </c>
      <c r="F4840" s="16" t="s">
        <v>6239</v>
      </c>
      <c r="G4840" s="16" t="s">
        <v>88</v>
      </c>
      <c r="H4840" s="19" t="s">
        <v>6518</v>
      </c>
      <c r="I4840" s="23" t="e">
        <f>VLOOKUP(H4840,'合同综合查询数据（3月返）'!$A:$A,1,FALSE)</f>
        <v>#N/A</v>
      </c>
      <c r="J4840" s="24" t="s">
        <v>3074</v>
      </c>
      <c r="K4840" s="16" t="s">
        <v>6519</v>
      </c>
      <c r="L4840" s="25"/>
      <c r="M4840" s="26" t="s">
        <v>6323</v>
      </c>
      <c r="N4840" s="28">
        <v>44742</v>
      </c>
      <c r="O4840" s="28" t="s">
        <v>457</v>
      </c>
      <c r="P4840" s="29">
        <v>6300</v>
      </c>
      <c r="Q4840" s="376">
        <v>2</v>
      </c>
      <c r="R4840" s="119">
        <f t="shared" si="108"/>
        <v>12600</v>
      </c>
      <c r="S4840" s="37">
        <v>202303</v>
      </c>
      <c r="T4840" s="375" t="s">
        <v>6534</v>
      </c>
      <c r="U4840" s="39"/>
      <c r="V4840" s="370"/>
      <c r="W4840" s="41"/>
      <c r="X4840" s="371">
        <v>44593</v>
      </c>
      <c r="Y4840" s="371">
        <v>46783</v>
      </c>
    </row>
    <row r="4841" s="9" customFormat="1" customHeight="1" spans="1:25">
      <c r="A4841" s="16" t="s">
        <v>401</v>
      </c>
      <c r="B4841" s="17" t="s">
        <v>6236</v>
      </c>
      <c r="C4841" s="17" t="s">
        <v>63</v>
      </c>
      <c r="D4841" s="17" t="s">
        <v>6237</v>
      </c>
      <c r="E4841" s="18" t="s">
        <v>6238</v>
      </c>
      <c r="F4841" s="16" t="s">
        <v>6239</v>
      </c>
      <c r="G4841" s="16" t="s">
        <v>88</v>
      </c>
      <c r="H4841" s="19" t="s">
        <v>6518</v>
      </c>
      <c r="I4841" s="23" t="e">
        <f>VLOOKUP(H4841,'合同综合查询数据（3月返）'!$A:$A,1,FALSE)</f>
        <v>#N/A</v>
      </c>
      <c r="J4841" s="24" t="s">
        <v>3074</v>
      </c>
      <c r="K4841" s="16" t="s">
        <v>6519</v>
      </c>
      <c r="L4841" s="25"/>
      <c r="M4841" s="26" t="s">
        <v>6323</v>
      </c>
      <c r="N4841" s="28">
        <v>44743</v>
      </c>
      <c r="O4841" s="28" t="s">
        <v>457</v>
      </c>
      <c r="P4841" s="29">
        <v>6300</v>
      </c>
      <c r="Q4841" s="369">
        <v>3</v>
      </c>
      <c r="R4841" s="119">
        <f t="shared" si="108"/>
        <v>18900</v>
      </c>
      <c r="S4841" s="37">
        <v>202303</v>
      </c>
      <c r="T4841" s="375" t="s">
        <v>6535</v>
      </c>
      <c r="U4841" s="39"/>
      <c r="V4841" s="370"/>
      <c r="W4841" s="41"/>
      <c r="X4841" s="371">
        <v>44593</v>
      </c>
      <c r="Y4841" s="371">
        <v>46783</v>
      </c>
    </row>
    <row r="4842" s="9" customFormat="1" customHeight="1" spans="1:25">
      <c r="A4842" s="16" t="s">
        <v>401</v>
      </c>
      <c r="B4842" s="17" t="s">
        <v>6236</v>
      </c>
      <c r="C4842" s="17" t="s">
        <v>63</v>
      </c>
      <c r="D4842" s="17" t="s">
        <v>6237</v>
      </c>
      <c r="E4842" s="18" t="s">
        <v>6238</v>
      </c>
      <c r="F4842" s="16" t="s">
        <v>6239</v>
      </c>
      <c r="G4842" s="16" t="s">
        <v>88</v>
      </c>
      <c r="H4842" s="19" t="s">
        <v>6518</v>
      </c>
      <c r="I4842" s="23" t="e">
        <f>VLOOKUP(H4842,'合同综合查询数据（3月返）'!$A:$A,1,FALSE)</f>
        <v>#N/A</v>
      </c>
      <c r="J4842" s="24" t="s">
        <v>3074</v>
      </c>
      <c r="K4842" s="16" t="s">
        <v>6519</v>
      </c>
      <c r="L4842" s="25"/>
      <c r="M4842" s="26" t="s">
        <v>6323</v>
      </c>
      <c r="N4842" s="28">
        <v>44746</v>
      </c>
      <c r="O4842" s="28" t="s">
        <v>457</v>
      </c>
      <c r="P4842" s="29">
        <v>6300</v>
      </c>
      <c r="Q4842" s="369">
        <v>9</v>
      </c>
      <c r="R4842" s="119">
        <f t="shared" si="108"/>
        <v>56700</v>
      </c>
      <c r="S4842" s="37">
        <v>202303</v>
      </c>
      <c r="T4842" s="375" t="s">
        <v>6536</v>
      </c>
      <c r="U4842" s="39"/>
      <c r="V4842" s="370"/>
      <c r="W4842" s="41"/>
      <c r="X4842" s="371">
        <v>44593</v>
      </c>
      <c r="Y4842" s="371">
        <v>46783</v>
      </c>
    </row>
    <row r="4843" s="9" customFormat="1" customHeight="1" spans="1:25">
      <c r="A4843" s="16" t="s">
        <v>401</v>
      </c>
      <c r="B4843" s="17" t="s">
        <v>6236</v>
      </c>
      <c r="C4843" s="17" t="s">
        <v>63</v>
      </c>
      <c r="D4843" s="17" t="s">
        <v>6237</v>
      </c>
      <c r="E4843" s="18" t="s">
        <v>6238</v>
      </c>
      <c r="F4843" s="16" t="s">
        <v>6239</v>
      </c>
      <c r="G4843" s="16" t="s">
        <v>88</v>
      </c>
      <c r="H4843" s="19" t="s">
        <v>6518</v>
      </c>
      <c r="I4843" s="23" t="e">
        <f>VLOOKUP(H4843,'合同综合查询数据（3月返）'!$A:$A,1,FALSE)</f>
        <v>#N/A</v>
      </c>
      <c r="J4843" s="24" t="s">
        <v>3074</v>
      </c>
      <c r="K4843" s="16" t="s">
        <v>6519</v>
      </c>
      <c r="L4843" s="25"/>
      <c r="M4843" s="26" t="s">
        <v>6323</v>
      </c>
      <c r="N4843" s="28">
        <v>44805</v>
      </c>
      <c r="O4843" s="28" t="s">
        <v>457</v>
      </c>
      <c r="P4843" s="29">
        <v>6300</v>
      </c>
      <c r="Q4843" s="369">
        <v>4</v>
      </c>
      <c r="R4843" s="119">
        <f t="shared" si="108"/>
        <v>25200</v>
      </c>
      <c r="S4843" s="37">
        <v>202303</v>
      </c>
      <c r="T4843" s="375" t="s">
        <v>6537</v>
      </c>
      <c r="U4843" s="39"/>
      <c r="V4843" s="370"/>
      <c r="W4843" s="41"/>
      <c r="X4843" s="371">
        <v>44593</v>
      </c>
      <c r="Y4843" s="371">
        <v>46783</v>
      </c>
    </row>
    <row r="4844" s="9" customFormat="1" customHeight="1" spans="1:25">
      <c r="A4844" s="16" t="s">
        <v>401</v>
      </c>
      <c r="B4844" s="17" t="s">
        <v>6236</v>
      </c>
      <c r="C4844" s="17" t="s">
        <v>63</v>
      </c>
      <c r="D4844" s="17" t="s">
        <v>6237</v>
      </c>
      <c r="E4844" s="18" t="s">
        <v>6238</v>
      </c>
      <c r="F4844" s="16" t="s">
        <v>6239</v>
      </c>
      <c r="G4844" s="16" t="s">
        <v>88</v>
      </c>
      <c r="H4844" s="19" t="s">
        <v>6518</v>
      </c>
      <c r="I4844" s="23" t="e">
        <f>VLOOKUP(H4844,'合同综合查询数据（3月返）'!$A:$A,1,FALSE)</f>
        <v>#N/A</v>
      </c>
      <c r="J4844" s="24" t="s">
        <v>3074</v>
      </c>
      <c r="K4844" s="16" t="s">
        <v>6519</v>
      </c>
      <c r="L4844" s="25"/>
      <c r="M4844" s="26" t="s">
        <v>6323</v>
      </c>
      <c r="N4844" s="28">
        <v>44843</v>
      </c>
      <c r="O4844" s="28" t="s">
        <v>461</v>
      </c>
      <c r="P4844" s="29">
        <v>12601.6</v>
      </c>
      <c r="Q4844" s="369">
        <v>8</v>
      </c>
      <c r="R4844" s="119">
        <f t="shared" si="108"/>
        <v>100812.8</v>
      </c>
      <c r="S4844" s="37">
        <v>202303</v>
      </c>
      <c r="T4844" s="375" t="s">
        <v>6538</v>
      </c>
      <c r="U4844" s="39"/>
      <c r="V4844" s="370"/>
      <c r="W4844" s="41"/>
      <c r="X4844" s="371">
        <v>44593</v>
      </c>
      <c r="Y4844" s="371">
        <v>46783</v>
      </c>
    </row>
    <row r="4845" s="9" customFormat="1" customHeight="1" spans="1:25">
      <c r="A4845" s="16" t="s">
        <v>401</v>
      </c>
      <c r="B4845" s="17" t="s">
        <v>6236</v>
      </c>
      <c r="C4845" s="17" t="s">
        <v>63</v>
      </c>
      <c r="D4845" s="17" t="s">
        <v>6237</v>
      </c>
      <c r="E4845" s="18" t="s">
        <v>6238</v>
      </c>
      <c r="F4845" s="16" t="s">
        <v>6239</v>
      </c>
      <c r="G4845" s="16" t="s">
        <v>88</v>
      </c>
      <c r="H4845" s="19" t="s">
        <v>6518</v>
      </c>
      <c r="I4845" s="23" t="e">
        <f>VLOOKUP(H4845,'合同综合查询数据（3月返）'!$A:$A,1,FALSE)</f>
        <v>#N/A</v>
      </c>
      <c r="J4845" s="24" t="s">
        <v>3074</v>
      </c>
      <c r="K4845" s="16" t="s">
        <v>6519</v>
      </c>
      <c r="L4845" s="25"/>
      <c r="M4845" s="26" t="s">
        <v>6323</v>
      </c>
      <c r="N4845" s="28">
        <v>44845</v>
      </c>
      <c r="O4845" s="28" t="s">
        <v>457</v>
      </c>
      <c r="P4845" s="29">
        <v>6300</v>
      </c>
      <c r="Q4845" s="369">
        <v>-36</v>
      </c>
      <c r="R4845" s="119">
        <f t="shared" si="108"/>
        <v>-226800</v>
      </c>
      <c r="S4845" s="37">
        <v>202303</v>
      </c>
      <c r="T4845" s="375" t="s">
        <v>6539</v>
      </c>
      <c r="U4845" s="39"/>
      <c r="V4845" s="370"/>
      <c r="W4845" s="41"/>
      <c r="X4845" s="371">
        <v>44593</v>
      </c>
      <c r="Y4845" s="371">
        <v>46783</v>
      </c>
    </row>
    <row r="4846" s="9" customFormat="1" customHeight="1" spans="1:25">
      <c r="A4846" s="16" t="s">
        <v>401</v>
      </c>
      <c r="B4846" s="17" t="s">
        <v>6236</v>
      </c>
      <c r="C4846" s="17" t="s">
        <v>63</v>
      </c>
      <c r="D4846" s="17" t="s">
        <v>6237</v>
      </c>
      <c r="E4846" s="18" t="s">
        <v>6238</v>
      </c>
      <c r="F4846" s="16" t="s">
        <v>6239</v>
      </c>
      <c r="G4846" s="16" t="s">
        <v>88</v>
      </c>
      <c r="H4846" s="19" t="s">
        <v>6518</v>
      </c>
      <c r="I4846" s="23" t="e">
        <f>VLOOKUP(H4846,'合同综合查询数据（3月返）'!$A:$A,1,FALSE)</f>
        <v>#N/A</v>
      </c>
      <c r="J4846" s="24" t="s">
        <v>3074</v>
      </c>
      <c r="K4846" s="16" t="s">
        <v>6519</v>
      </c>
      <c r="L4846" s="25"/>
      <c r="M4846" s="26" t="s">
        <v>6323</v>
      </c>
      <c r="N4846" s="28">
        <v>44869</v>
      </c>
      <c r="O4846" s="28" t="s">
        <v>457</v>
      </c>
      <c r="P4846" s="29">
        <v>6300</v>
      </c>
      <c r="Q4846" s="369">
        <v>-3</v>
      </c>
      <c r="R4846" s="173">
        <f t="shared" si="108"/>
        <v>-18900</v>
      </c>
      <c r="S4846" s="37">
        <v>202303</v>
      </c>
      <c r="T4846" s="375" t="s">
        <v>6540</v>
      </c>
      <c r="U4846" s="39"/>
      <c r="V4846" s="370"/>
      <c r="W4846" s="41"/>
      <c r="X4846" s="371">
        <v>44593</v>
      </c>
      <c r="Y4846" s="371">
        <v>46783</v>
      </c>
    </row>
    <row r="4847" s="9" customFormat="1" customHeight="1" spans="1:25">
      <c r="A4847" s="16" t="s">
        <v>401</v>
      </c>
      <c r="B4847" s="17" t="s">
        <v>6236</v>
      </c>
      <c r="C4847" s="17" t="s">
        <v>63</v>
      </c>
      <c r="D4847" s="17" t="s">
        <v>6237</v>
      </c>
      <c r="E4847" s="18" t="s">
        <v>6238</v>
      </c>
      <c r="F4847" s="16" t="s">
        <v>6239</v>
      </c>
      <c r="G4847" s="16" t="s">
        <v>88</v>
      </c>
      <c r="H4847" s="19" t="s">
        <v>6518</v>
      </c>
      <c r="I4847" s="23" t="e">
        <f>VLOOKUP(H4847,'合同综合查询数据（3月返）'!$A:$A,1,FALSE)</f>
        <v>#N/A</v>
      </c>
      <c r="J4847" s="24" t="s">
        <v>3074</v>
      </c>
      <c r="K4847" s="16" t="s">
        <v>6519</v>
      </c>
      <c r="L4847" s="25"/>
      <c r="M4847" s="26" t="s">
        <v>6323</v>
      </c>
      <c r="N4847" s="28">
        <v>44900</v>
      </c>
      <c r="O4847" s="28" t="s">
        <v>457</v>
      </c>
      <c r="P4847" s="29">
        <v>6300</v>
      </c>
      <c r="Q4847" s="369">
        <v>2</v>
      </c>
      <c r="R4847" s="119">
        <f t="shared" si="108"/>
        <v>12600</v>
      </c>
      <c r="S4847" s="37">
        <v>202303</v>
      </c>
      <c r="T4847" s="375" t="s">
        <v>6541</v>
      </c>
      <c r="U4847" s="39"/>
      <c r="V4847" s="370"/>
      <c r="W4847" s="41"/>
      <c r="X4847" s="371">
        <v>44593</v>
      </c>
      <c r="Y4847" s="371">
        <v>46783</v>
      </c>
    </row>
    <row r="4848" s="9" customFormat="1" customHeight="1" spans="1:25">
      <c r="A4848" s="16" t="s">
        <v>401</v>
      </c>
      <c r="B4848" s="17" t="s">
        <v>6236</v>
      </c>
      <c r="C4848" s="17" t="s">
        <v>63</v>
      </c>
      <c r="D4848" s="17" t="s">
        <v>6237</v>
      </c>
      <c r="E4848" s="18" t="s">
        <v>6238</v>
      </c>
      <c r="F4848" s="16" t="s">
        <v>6239</v>
      </c>
      <c r="G4848" s="16" t="s">
        <v>88</v>
      </c>
      <c r="H4848" s="19" t="s">
        <v>6518</v>
      </c>
      <c r="I4848" s="23" t="e">
        <f>VLOOKUP(H4848,'合同综合查询数据（3月返）'!$A:$A,1,FALSE)</f>
        <v>#N/A</v>
      </c>
      <c r="J4848" s="24" t="s">
        <v>3074</v>
      </c>
      <c r="K4848" s="16" t="s">
        <v>6519</v>
      </c>
      <c r="L4848" s="25"/>
      <c r="M4848" s="26" t="s">
        <v>6323</v>
      </c>
      <c r="N4848" s="28">
        <v>44943</v>
      </c>
      <c r="O4848" s="28" t="s">
        <v>457</v>
      </c>
      <c r="P4848" s="29">
        <v>6300</v>
      </c>
      <c r="Q4848" s="369">
        <v>1</v>
      </c>
      <c r="R4848" s="119">
        <f t="shared" si="108"/>
        <v>6300</v>
      </c>
      <c r="S4848" s="37">
        <v>202303</v>
      </c>
      <c r="T4848" s="375" t="s">
        <v>6542</v>
      </c>
      <c r="U4848" s="39"/>
      <c r="V4848" s="370"/>
      <c r="W4848" s="41"/>
      <c r="X4848" s="371">
        <v>44593</v>
      </c>
      <c r="Y4848" s="371">
        <v>46783</v>
      </c>
    </row>
    <row r="4849" s="9" customFormat="1" customHeight="1" spans="1:25">
      <c r="A4849" s="16" t="s">
        <v>401</v>
      </c>
      <c r="B4849" s="17" t="s">
        <v>6236</v>
      </c>
      <c r="C4849" s="17" t="s">
        <v>63</v>
      </c>
      <c r="D4849" s="17" t="s">
        <v>6237</v>
      </c>
      <c r="E4849" s="18" t="s">
        <v>6238</v>
      </c>
      <c r="F4849" s="16" t="s">
        <v>6239</v>
      </c>
      <c r="G4849" s="16" t="s">
        <v>88</v>
      </c>
      <c r="H4849" s="19" t="s">
        <v>6518</v>
      </c>
      <c r="I4849" s="23" t="e">
        <f>VLOOKUP(H4849,'合同综合查询数据（3月返）'!$A:$A,1,FALSE)</f>
        <v>#N/A</v>
      </c>
      <c r="J4849" s="24" t="s">
        <v>3074</v>
      </c>
      <c r="K4849" s="16" t="s">
        <v>6519</v>
      </c>
      <c r="L4849" s="25"/>
      <c r="M4849" s="26" t="s">
        <v>6323</v>
      </c>
      <c r="N4849" s="28">
        <v>44965</v>
      </c>
      <c r="O4849" s="28" t="s">
        <v>457</v>
      </c>
      <c r="P4849" s="29">
        <v>6300</v>
      </c>
      <c r="Q4849" s="369">
        <v>10</v>
      </c>
      <c r="R4849" s="119">
        <f t="shared" si="108"/>
        <v>63000</v>
      </c>
      <c r="S4849" s="37">
        <v>202303</v>
      </c>
      <c r="T4849" s="375" t="s">
        <v>6543</v>
      </c>
      <c r="U4849" s="39"/>
      <c r="V4849" s="370"/>
      <c r="W4849" s="41"/>
      <c r="X4849" s="371">
        <v>44593</v>
      </c>
      <c r="Y4849" s="371">
        <v>46783</v>
      </c>
    </row>
    <row r="4850" s="9" customFormat="1" customHeight="1" spans="1:25">
      <c r="A4850" s="16" t="s">
        <v>401</v>
      </c>
      <c r="B4850" s="17" t="s">
        <v>6236</v>
      </c>
      <c r="C4850" s="17" t="s">
        <v>63</v>
      </c>
      <c r="D4850" s="17" t="s">
        <v>6237</v>
      </c>
      <c r="E4850" s="18" t="s">
        <v>6238</v>
      </c>
      <c r="F4850" s="16" t="s">
        <v>6239</v>
      </c>
      <c r="G4850" s="16" t="s">
        <v>88</v>
      </c>
      <c r="H4850" s="19" t="s">
        <v>6518</v>
      </c>
      <c r="I4850" s="23" t="e">
        <f>VLOOKUP(H4850,'合同综合查询数据（3月返）'!$A:$A,1,FALSE)</f>
        <v>#N/A</v>
      </c>
      <c r="J4850" s="24" t="s">
        <v>3074</v>
      </c>
      <c r="K4850" s="16" t="s">
        <v>6519</v>
      </c>
      <c r="L4850" s="25"/>
      <c r="M4850" s="26" t="s">
        <v>6323</v>
      </c>
      <c r="N4850" s="28">
        <v>44983</v>
      </c>
      <c r="O4850" s="28" t="s">
        <v>457</v>
      </c>
      <c r="P4850" s="29">
        <v>6300</v>
      </c>
      <c r="Q4850" s="369">
        <v>38</v>
      </c>
      <c r="R4850" s="119">
        <f t="shared" si="108"/>
        <v>239400</v>
      </c>
      <c r="S4850" s="37">
        <v>202303</v>
      </c>
      <c r="T4850" s="375" t="s">
        <v>6544</v>
      </c>
      <c r="U4850" s="39"/>
      <c r="V4850" s="370"/>
      <c r="W4850" s="41"/>
      <c r="X4850" s="371">
        <v>44593</v>
      </c>
      <c r="Y4850" s="371">
        <v>46783</v>
      </c>
    </row>
    <row r="4851" s="9" customFormat="1" customHeight="1" spans="1:25">
      <c r="A4851" s="16" t="s">
        <v>401</v>
      </c>
      <c r="B4851" s="17" t="s">
        <v>6236</v>
      </c>
      <c r="C4851" s="17" t="s">
        <v>63</v>
      </c>
      <c r="D4851" s="17" t="s">
        <v>6237</v>
      </c>
      <c r="E4851" s="18" t="s">
        <v>6238</v>
      </c>
      <c r="F4851" s="16" t="s">
        <v>6239</v>
      </c>
      <c r="G4851" s="16" t="s">
        <v>88</v>
      </c>
      <c r="H4851" s="19" t="s">
        <v>6545</v>
      </c>
      <c r="I4851" s="23" t="e">
        <f>VLOOKUP(H4851,'合同综合查询数据（3月返）'!$A:$A,1,FALSE)</f>
        <v>#N/A</v>
      </c>
      <c r="J4851" s="24" t="s">
        <v>3074</v>
      </c>
      <c r="K4851" s="16" t="s">
        <v>6546</v>
      </c>
      <c r="L4851" s="25"/>
      <c r="M4851" s="26" t="s">
        <v>6323</v>
      </c>
      <c r="N4851" s="28">
        <v>44735</v>
      </c>
      <c r="O4851" s="28" t="s">
        <v>461</v>
      </c>
      <c r="P4851" s="29">
        <v>11500</v>
      </c>
      <c r="Q4851" s="369">
        <v>29</v>
      </c>
      <c r="R4851" s="119">
        <f t="shared" si="108"/>
        <v>333500</v>
      </c>
      <c r="S4851" s="37">
        <v>202303</v>
      </c>
      <c r="T4851" s="375" t="s">
        <v>6547</v>
      </c>
      <c r="U4851" s="39"/>
      <c r="V4851" s="370"/>
      <c r="W4851" s="41"/>
      <c r="X4851" s="371">
        <v>44743</v>
      </c>
      <c r="Y4851" s="371">
        <v>46934</v>
      </c>
    </row>
    <row r="4852" s="9" customFormat="1" customHeight="1" spans="1:25">
      <c r="A4852" s="16" t="s">
        <v>401</v>
      </c>
      <c r="B4852" s="17" t="s">
        <v>6236</v>
      </c>
      <c r="C4852" s="17" t="s">
        <v>63</v>
      </c>
      <c r="D4852" s="17" t="s">
        <v>6237</v>
      </c>
      <c r="E4852" s="18" t="s">
        <v>6238</v>
      </c>
      <c r="F4852" s="16" t="s">
        <v>6239</v>
      </c>
      <c r="G4852" s="16" t="s">
        <v>88</v>
      </c>
      <c r="H4852" s="19" t="s">
        <v>6545</v>
      </c>
      <c r="I4852" s="23" t="e">
        <f>VLOOKUP(H4852,'合同综合查询数据（3月返）'!$A:$A,1,FALSE)</f>
        <v>#N/A</v>
      </c>
      <c r="J4852" s="24" t="s">
        <v>3074</v>
      </c>
      <c r="K4852" s="16" t="s">
        <v>6546</v>
      </c>
      <c r="L4852" s="25"/>
      <c r="M4852" s="26" t="s">
        <v>6323</v>
      </c>
      <c r="N4852" s="28">
        <v>44740</v>
      </c>
      <c r="O4852" s="28" t="s">
        <v>461</v>
      </c>
      <c r="P4852" s="29">
        <v>11500</v>
      </c>
      <c r="Q4852" s="369">
        <v>14</v>
      </c>
      <c r="R4852" s="119">
        <f t="shared" si="108"/>
        <v>161000</v>
      </c>
      <c r="S4852" s="37">
        <v>202303</v>
      </c>
      <c r="T4852" s="375" t="s">
        <v>6548</v>
      </c>
      <c r="U4852" s="39"/>
      <c r="V4852" s="370"/>
      <c r="W4852" s="41"/>
      <c r="X4852" s="371">
        <v>44743</v>
      </c>
      <c r="Y4852" s="371">
        <v>46934</v>
      </c>
    </row>
    <row r="4853" s="9" customFormat="1" customHeight="1" spans="1:25">
      <c r="A4853" s="16" t="s">
        <v>401</v>
      </c>
      <c r="B4853" s="17" t="s">
        <v>6236</v>
      </c>
      <c r="C4853" s="17" t="s">
        <v>63</v>
      </c>
      <c r="D4853" s="17" t="s">
        <v>6237</v>
      </c>
      <c r="E4853" s="18" t="s">
        <v>6238</v>
      </c>
      <c r="F4853" s="16" t="s">
        <v>6239</v>
      </c>
      <c r="G4853" s="16" t="s">
        <v>88</v>
      </c>
      <c r="H4853" s="19" t="s">
        <v>6545</v>
      </c>
      <c r="I4853" s="23" t="e">
        <f>VLOOKUP(H4853,'合同综合查询数据（3月返）'!$A:$A,1,FALSE)</f>
        <v>#N/A</v>
      </c>
      <c r="J4853" s="24" t="s">
        <v>3074</v>
      </c>
      <c r="K4853" s="16" t="s">
        <v>6546</v>
      </c>
      <c r="L4853" s="25"/>
      <c r="M4853" s="26" t="s">
        <v>6323</v>
      </c>
      <c r="N4853" s="28">
        <v>44744</v>
      </c>
      <c r="O4853" s="28" t="s">
        <v>461</v>
      </c>
      <c r="P4853" s="29">
        <v>11500</v>
      </c>
      <c r="Q4853" s="369">
        <v>8</v>
      </c>
      <c r="R4853" s="119">
        <f t="shared" si="108"/>
        <v>92000</v>
      </c>
      <c r="S4853" s="37">
        <v>202303</v>
      </c>
      <c r="T4853" s="375" t="s">
        <v>6549</v>
      </c>
      <c r="U4853" s="39"/>
      <c r="V4853" s="370"/>
      <c r="W4853" s="41"/>
      <c r="X4853" s="371">
        <v>44743</v>
      </c>
      <c r="Y4853" s="371">
        <v>46934</v>
      </c>
    </row>
    <row r="4854" s="9" customFormat="1" customHeight="1" spans="1:25">
      <c r="A4854" s="16" t="s">
        <v>401</v>
      </c>
      <c r="B4854" s="17" t="s">
        <v>6236</v>
      </c>
      <c r="C4854" s="17" t="s">
        <v>63</v>
      </c>
      <c r="D4854" s="17" t="s">
        <v>6237</v>
      </c>
      <c r="E4854" s="18" t="s">
        <v>6238</v>
      </c>
      <c r="F4854" s="16" t="s">
        <v>6239</v>
      </c>
      <c r="G4854" s="16" t="s">
        <v>88</v>
      </c>
      <c r="H4854" s="19" t="s">
        <v>6545</v>
      </c>
      <c r="I4854" s="23" t="e">
        <f>VLOOKUP(H4854,'合同综合查询数据（3月返）'!$A:$A,1,FALSE)</f>
        <v>#N/A</v>
      </c>
      <c r="J4854" s="24" t="s">
        <v>3074</v>
      </c>
      <c r="K4854" s="16" t="s">
        <v>6546</v>
      </c>
      <c r="L4854" s="25"/>
      <c r="M4854" s="26" t="s">
        <v>6323</v>
      </c>
      <c r="N4854" s="28">
        <v>44760</v>
      </c>
      <c r="O4854" s="28" t="s">
        <v>461</v>
      </c>
      <c r="P4854" s="29">
        <v>11500</v>
      </c>
      <c r="Q4854" s="369">
        <v>12</v>
      </c>
      <c r="R4854" s="119">
        <f t="shared" si="108"/>
        <v>138000</v>
      </c>
      <c r="S4854" s="37">
        <v>202303</v>
      </c>
      <c r="T4854" s="375" t="s">
        <v>6550</v>
      </c>
      <c r="U4854" s="39"/>
      <c r="V4854" s="370"/>
      <c r="W4854" s="41"/>
      <c r="X4854" s="371">
        <v>44743</v>
      </c>
      <c r="Y4854" s="371">
        <v>46934</v>
      </c>
    </row>
    <row r="4855" s="9" customFormat="1" customHeight="1" spans="1:25">
      <c r="A4855" s="16" t="s">
        <v>401</v>
      </c>
      <c r="B4855" s="17" t="s">
        <v>6236</v>
      </c>
      <c r="C4855" s="17" t="s">
        <v>63</v>
      </c>
      <c r="D4855" s="17" t="s">
        <v>6237</v>
      </c>
      <c r="E4855" s="18" t="s">
        <v>6238</v>
      </c>
      <c r="F4855" s="16" t="s">
        <v>6239</v>
      </c>
      <c r="G4855" s="16" t="s">
        <v>88</v>
      </c>
      <c r="H4855" s="19" t="s">
        <v>6545</v>
      </c>
      <c r="I4855" s="23" t="e">
        <f>VLOOKUP(H4855,'合同综合查询数据（3月返）'!$A:$A,1,FALSE)</f>
        <v>#N/A</v>
      </c>
      <c r="J4855" s="24" t="s">
        <v>3074</v>
      </c>
      <c r="K4855" s="16" t="s">
        <v>6546</v>
      </c>
      <c r="L4855" s="25"/>
      <c r="M4855" s="26" t="s">
        <v>6323</v>
      </c>
      <c r="N4855" s="28">
        <v>44762</v>
      </c>
      <c r="O4855" s="28" t="s">
        <v>461</v>
      </c>
      <c r="P4855" s="29">
        <v>11500</v>
      </c>
      <c r="Q4855" s="369">
        <v>15</v>
      </c>
      <c r="R4855" s="119">
        <f t="shared" si="108"/>
        <v>172500</v>
      </c>
      <c r="S4855" s="37">
        <v>202303</v>
      </c>
      <c r="T4855" s="375" t="s">
        <v>6551</v>
      </c>
      <c r="U4855" s="39"/>
      <c r="V4855" s="370"/>
      <c r="W4855" s="41"/>
      <c r="X4855" s="371">
        <v>44743</v>
      </c>
      <c r="Y4855" s="371">
        <v>46934</v>
      </c>
    </row>
    <row r="4856" s="9" customFormat="1" customHeight="1" spans="1:25">
      <c r="A4856" s="16" t="s">
        <v>401</v>
      </c>
      <c r="B4856" s="17" t="s">
        <v>6236</v>
      </c>
      <c r="C4856" s="17" t="s">
        <v>63</v>
      </c>
      <c r="D4856" s="17" t="s">
        <v>6237</v>
      </c>
      <c r="E4856" s="18" t="s">
        <v>6238</v>
      </c>
      <c r="F4856" s="16" t="s">
        <v>6239</v>
      </c>
      <c r="G4856" s="16" t="s">
        <v>88</v>
      </c>
      <c r="H4856" s="19" t="s">
        <v>6545</v>
      </c>
      <c r="I4856" s="23" t="e">
        <f>VLOOKUP(H4856,'合同综合查询数据（3月返）'!$A:$A,1,FALSE)</f>
        <v>#N/A</v>
      </c>
      <c r="J4856" s="24" t="s">
        <v>3074</v>
      </c>
      <c r="K4856" s="16" t="s">
        <v>6546</v>
      </c>
      <c r="L4856" s="25"/>
      <c r="M4856" s="26" t="s">
        <v>6323</v>
      </c>
      <c r="N4856" s="28">
        <v>44767</v>
      </c>
      <c r="O4856" s="28" t="s">
        <v>461</v>
      </c>
      <c r="P4856" s="29">
        <v>11500</v>
      </c>
      <c r="Q4856" s="369">
        <v>21</v>
      </c>
      <c r="R4856" s="119">
        <f t="shared" si="108"/>
        <v>241500</v>
      </c>
      <c r="S4856" s="37">
        <v>202303</v>
      </c>
      <c r="T4856" s="375" t="s">
        <v>6552</v>
      </c>
      <c r="U4856" s="39"/>
      <c r="V4856" s="370"/>
      <c r="W4856" s="41"/>
      <c r="X4856" s="371">
        <v>44743</v>
      </c>
      <c r="Y4856" s="371">
        <v>46934</v>
      </c>
    </row>
    <row r="4857" s="9" customFormat="1" customHeight="1" spans="1:25">
      <c r="A4857" s="16" t="s">
        <v>401</v>
      </c>
      <c r="B4857" s="17" t="s">
        <v>6236</v>
      </c>
      <c r="C4857" s="17" t="s">
        <v>63</v>
      </c>
      <c r="D4857" s="17" t="s">
        <v>6237</v>
      </c>
      <c r="E4857" s="18" t="s">
        <v>6238</v>
      </c>
      <c r="F4857" s="16" t="s">
        <v>6239</v>
      </c>
      <c r="G4857" s="16" t="s">
        <v>88</v>
      </c>
      <c r="H4857" s="19" t="s">
        <v>6545</v>
      </c>
      <c r="I4857" s="23" t="e">
        <f>VLOOKUP(H4857,'合同综合查询数据（3月返）'!$A:$A,1,FALSE)</f>
        <v>#N/A</v>
      </c>
      <c r="J4857" s="24" t="s">
        <v>3074</v>
      </c>
      <c r="K4857" s="16" t="s">
        <v>6546</v>
      </c>
      <c r="L4857" s="25"/>
      <c r="M4857" s="26" t="s">
        <v>6323</v>
      </c>
      <c r="N4857" s="28">
        <v>44769</v>
      </c>
      <c r="O4857" s="28" t="s">
        <v>461</v>
      </c>
      <c r="P4857" s="29">
        <v>11500</v>
      </c>
      <c r="Q4857" s="369">
        <v>1</v>
      </c>
      <c r="R4857" s="119">
        <f t="shared" si="108"/>
        <v>11500</v>
      </c>
      <c r="S4857" s="37">
        <v>202303</v>
      </c>
      <c r="T4857" s="375" t="s">
        <v>6553</v>
      </c>
      <c r="U4857" s="39"/>
      <c r="V4857" s="370"/>
      <c r="W4857" s="41"/>
      <c r="X4857" s="371">
        <v>44743</v>
      </c>
      <c r="Y4857" s="371">
        <v>46934</v>
      </c>
    </row>
    <row r="4858" s="9" customFormat="1" customHeight="1" spans="1:25">
      <c r="A4858" s="16" t="s">
        <v>401</v>
      </c>
      <c r="B4858" s="17" t="s">
        <v>6236</v>
      </c>
      <c r="C4858" s="17" t="s">
        <v>63</v>
      </c>
      <c r="D4858" s="17" t="s">
        <v>6237</v>
      </c>
      <c r="E4858" s="18" t="s">
        <v>6238</v>
      </c>
      <c r="F4858" s="16" t="s">
        <v>6239</v>
      </c>
      <c r="G4858" s="16" t="s">
        <v>88</v>
      </c>
      <c r="H4858" s="19" t="s">
        <v>6545</v>
      </c>
      <c r="I4858" s="23" t="e">
        <f>VLOOKUP(H4858,'合同综合查询数据（3月返）'!$A:$A,1,FALSE)</f>
        <v>#N/A</v>
      </c>
      <c r="J4858" s="24" t="s">
        <v>3074</v>
      </c>
      <c r="K4858" s="16" t="s">
        <v>6546</v>
      </c>
      <c r="L4858" s="25"/>
      <c r="M4858" s="26" t="s">
        <v>6323</v>
      </c>
      <c r="N4858" s="28">
        <v>44776</v>
      </c>
      <c r="O4858" s="28" t="s">
        <v>461</v>
      </c>
      <c r="P4858" s="29">
        <v>11500</v>
      </c>
      <c r="Q4858" s="369">
        <v>1</v>
      </c>
      <c r="R4858" s="36">
        <f t="shared" si="108"/>
        <v>11500</v>
      </c>
      <c r="S4858" s="37">
        <v>202303</v>
      </c>
      <c r="T4858" s="375" t="s">
        <v>6554</v>
      </c>
      <c r="U4858" s="39"/>
      <c r="V4858" s="370"/>
      <c r="W4858" s="41"/>
      <c r="X4858" s="371">
        <v>44743</v>
      </c>
      <c r="Y4858" s="371">
        <v>46934</v>
      </c>
    </row>
    <row r="4859" s="9" customFormat="1" customHeight="1" spans="1:25">
      <c r="A4859" s="16" t="s">
        <v>401</v>
      </c>
      <c r="B4859" s="17" t="s">
        <v>6236</v>
      </c>
      <c r="C4859" s="17" t="s">
        <v>63</v>
      </c>
      <c r="D4859" s="17" t="s">
        <v>6237</v>
      </c>
      <c r="E4859" s="18" t="s">
        <v>6238</v>
      </c>
      <c r="F4859" s="16" t="s">
        <v>6239</v>
      </c>
      <c r="G4859" s="16" t="s">
        <v>88</v>
      </c>
      <c r="H4859" s="19" t="s">
        <v>6545</v>
      </c>
      <c r="I4859" s="23" t="e">
        <f>VLOOKUP(H4859,'合同综合查询数据（3月返）'!$A:$A,1,FALSE)</f>
        <v>#N/A</v>
      </c>
      <c r="J4859" s="24" t="s">
        <v>3074</v>
      </c>
      <c r="K4859" s="16" t="s">
        <v>6546</v>
      </c>
      <c r="L4859" s="25"/>
      <c r="M4859" s="26" t="s">
        <v>6323</v>
      </c>
      <c r="N4859" s="28">
        <v>44784</v>
      </c>
      <c r="O4859" s="28" t="s">
        <v>461</v>
      </c>
      <c r="P4859" s="29">
        <v>11500</v>
      </c>
      <c r="Q4859" s="369">
        <v>4</v>
      </c>
      <c r="R4859" s="36">
        <f t="shared" si="108"/>
        <v>46000</v>
      </c>
      <c r="S4859" s="37">
        <v>202303</v>
      </c>
      <c r="T4859" s="375" t="s">
        <v>6555</v>
      </c>
      <c r="U4859" s="39"/>
      <c r="V4859" s="370"/>
      <c r="W4859" s="41"/>
      <c r="X4859" s="371">
        <v>44743</v>
      </c>
      <c r="Y4859" s="371">
        <v>46934</v>
      </c>
    </row>
    <row r="4860" s="9" customFormat="1" customHeight="1" spans="1:25">
      <c r="A4860" s="16" t="s">
        <v>401</v>
      </c>
      <c r="B4860" s="17" t="s">
        <v>6236</v>
      </c>
      <c r="C4860" s="17" t="s">
        <v>63</v>
      </c>
      <c r="D4860" s="17" t="s">
        <v>6237</v>
      </c>
      <c r="E4860" s="18" t="s">
        <v>6238</v>
      </c>
      <c r="F4860" s="16" t="s">
        <v>6239</v>
      </c>
      <c r="G4860" s="16" t="s">
        <v>88</v>
      </c>
      <c r="H4860" s="19" t="s">
        <v>6545</v>
      </c>
      <c r="I4860" s="23" t="e">
        <f>VLOOKUP(H4860,'合同综合查询数据（3月返）'!$A:$A,1,FALSE)</f>
        <v>#N/A</v>
      </c>
      <c r="J4860" s="24" t="s">
        <v>3074</v>
      </c>
      <c r="K4860" s="16" t="s">
        <v>6546</v>
      </c>
      <c r="L4860" s="25"/>
      <c r="M4860" s="26" t="s">
        <v>6323</v>
      </c>
      <c r="N4860" s="28">
        <v>44809</v>
      </c>
      <c r="O4860" s="28" t="s">
        <v>461</v>
      </c>
      <c r="P4860" s="29">
        <v>11500</v>
      </c>
      <c r="Q4860" s="369">
        <v>8</v>
      </c>
      <c r="R4860" s="36">
        <f t="shared" si="108"/>
        <v>92000</v>
      </c>
      <c r="S4860" s="37">
        <v>202303</v>
      </c>
      <c r="T4860" s="375" t="s">
        <v>6556</v>
      </c>
      <c r="U4860" s="39"/>
      <c r="V4860" s="370"/>
      <c r="W4860" s="41"/>
      <c r="X4860" s="371">
        <v>44743</v>
      </c>
      <c r="Y4860" s="371">
        <v>46934</v>
      </c>
    </row>
    <row r="4861" s="9" customFormat="1" customHeight="1" spans="1:25">
      <c r="A4861" s="16" t="s">
        <v>401</v>
      </c>
      <c r="B4861" s="17" t="s">
        <v>6236</v>
      </c>
      <c r="C4861" s="17" t="s">
        <v>63</v>
      </c>
      <c r="D4861" s="17" t="s">
        <v>6237</v>
      </c>
      <c r="E4861" s="18" t="s">
        <v>6238</v>
      </c>
      <c r="F4861" s="16" t="s">
        <v>6239</v>
      </c>
      <c r="G4861" s="16" t="s">
        <v>88</v>
      </c>
      <c r="H4861" s="19" t="s">
        <v>6545</v>
      </c>
      <c r="I4861" s="23" t="e">
        <f>VLOOKUP(H4861,'合同综合查询数据（3月返）'!$A:$A,1,FALSE)</f>
        <v>#N/A</v>
      </c>
      <c r="J4861" s="24" t="s">
        <v>3074</v>
      </c>
      <c r="K4861" s="16" t="s">
        <v>6546</v>
      </c>
      <c r="L4861" s="25"/>
      <c r="M4861" s="26" t="s">
        <v>6323</v>
      </c>
      <c r="N4861" s="28">
        <v>44818</v>
      </c>
      <c r="O4861" s="28" t="s">
        <v>461</v>
      </c>
      <c r="P4861" s="29">
        <v>11500</v>
      </c>
      <c r="Q4861" s="369">
        <v>3</v>
      </c>
      <c r="R4861" s="36">
        <f t="shared" si="108"/>
        <v>34500</v>
      </c>
      <c r="S4861" s="37">
        <v>202303</v>
      </c>
      <c r="T4861" s="375" t="s">
        <v>6557</v>
      </c>
      <c r="U4861" s="39"/>
      <c r="V4861" s="370"/>
      <c r="W4861" s="41"/>
      <c r="X4861" s="371">
        <v>44743</v>
      </c>
      <c r="Y4861" s="371">
        <v>46934</v>
      </c>
    </row>
    <row r="4862" s="9" customFormat="1" customHeight="1" spans="1:25">
      <c r="A4862" s="16" t="s">
        <v>401</v>
      </c>
      <c r="B4862" s="17" t="s">
        <v>6236</v>
      </c>
      <c r="C4862" s="17" t="s">
        <v>63</v>
      </c>
      <c r="D4862" s="17" t="s">
        <v>6237</v>
      </c>
      <c r="E4862" s="18" t="s">
        <v>6238</v>
      </c>
      <c r="F4862" s="16" t="s">
        <v>6239</v>
      </c>
      <c r="G4862" s="16" t="s">
        <v>88</v>
      </c>
      <c r="H4862" s="19" t="s">
        <v>6545</v>
      </c>
      <c r="I4862" s="23" t="e">
        <f>VLOOKUP(H4862,'合同综合查询数据（3月返）'!$A:$A,1,FALSE)</f>
        <v>#N/A</v>
      </c>
      <c r="J4862" s="24" t="s">
        <v>3074</v>
      </c>
      <c r="K4862" s="16" t="s">
        <v>6546</v>
      </c>
      <c r="L4862" s="25"/>
      <c r="M4862" s="26" t="s">
        <v>6323</v>
      </c>
      <c r="N4862" s="28">
        <v>44834</v>
      </c>
      <c r="O4862" s="28" t="s">
        <v>461</v>
      </c>
      <c r="P4862" s="29">
        <v>11500</v>
      </c>
      <c r="Q4862" s="369">
        <v>2</v>
      </c>
      <c r="R4862" s="36">
        <f t="shared" si="108"/>
        <v>23000</v>
      </c>
      <c r="S4862" s="37">
        <v>202303</v>
      </c>
      <c r="T4862" s="375" t="s">
        <v>6558</v>
      </c>
      <c r="U4862" s="39"/>
      <c r="V4862" s="370"/>
      <c r="W4862" s="41"/>
      <c r="X4862" s="371">
        <v>44743</v>
      </c>
      <c r="Y4862" s="371">
        <v>46934</v>
      </c>
    </row>
    <row r="4863" s="9" customFormat="1" customHeight="1" spans="1:25">
      <c r="A4863" s="16" t="s">
        <v>401</v>
      </c>
      <c r="B4863" s="17" t="s">
        <v>6236</v>
      </c>
      <c r="C4863" s="17" t="s">
        <v>63</v>
      </c>
      <c r="D4863" s="17" t="s">
        <v>6237</v>
      </c>
      <c r="E4863" s="18" t="s">
        <v>6238</v>
      </c>
      <c r="F4863" s="16" t="s">
        <v>6239</v>
      </c>
      <c r="G4863" s="16" t="s">
        <v>88</v>
      </c>
      <c r="H4863" s="19" t="s">
        <v>6545</v>
      </c>
      <c r="I4863" s="23" t="e">
        <f>VLOOKUP(H4863,'合同综合查询数据（3月返）'!$A:$A,1,FALSE)</f>
        <v>#N/A</v>
      </c>
      <c r="J4863" s="24" t="s">
        <v>3074</v>
      </c>
      <c r="K4863" s="16" t="s">
        <v>6546</v>
      </c>
      <c r="L4863" s="25"/>
      <c r="M4863" s="26" t="s">
        <v>6323</v>
      </c>
      <c r="N4863" s="28">
        <v>44843</v>
      </c>
      <c r="O4863" s="28" t="s">
        <v>461</v>
      </c>
      <c r="P4863" s="29">
        <v>11500</v>
      </c>
      <c r="Q4863" s="369">
        <v>6</v>
      </c>
      <c r="R4863" s="36">
        <f t="shared" si="108"/>
        <v>69000</v>
      </c>
      <c r="S4863" s="37">
        <v>202303</v>
      </c>
      <c r="T4863" s="375" t="s">
        <v>6559</v>
      </c>
      <c r="U4863" s="39"/>
      <c r="V4863" s="370"/>
      <c r="W4863" s="41"/>
      <c r="X4863" s="371">
        <v>44743</v>
      </c>
      <c r="Y4863" s="371">
        <v>46934</v>
      </c>
    </row>
    <row r="4864" s="9" customFormat="1" customHeight="1" spans="1:25">
      <c r="A4864" s="16" t="s">
        <v>401</v>
      </c>
      <c r="B4864" s="17" t="s">
        <v>6236</v>
      </c>
      <c r="C4864" s="17" t="s">
        <v>63</v>
      </c>
      <c r="D4864" s="17" t="s">
        <v>6237</v>
      </c>
      <c r="E4864" s="18" t="s">
        <v>6238</v>
      </c>
      <c r="F4864" s="16" t="s">
        <v>6239</v>
      </c>
      <c r="G4864" s="16" t="s">
        <v>88</v>
      </c>
      <c r="H4864" s="19" t="s">
        <v>6545</v>
      </c>
      <c r="I4864" s="23" t="e">
        <f>VLOOKUP(H4864,'合同综合查询数据（3月返）'!$A:$A,1,FALSE)</f>
        <v>#N/A</v>
      </c>
      <c r="J4864" s="24" t="s">
        <v>3074</v>
      </c>
      <c r="K4864" s="16" t="s">
        <v>6546</v>
      </c>
      <c r="L4864" s="25"/>
      <c r="M4864" s="26" t="s">
        <v>6323</v>
      </c>
      <c r="N4864" s="28">
        <v>44848</v>
      </c>
      <c r="O4864" s="28" t="s">
        <v>461</v>
      </c>
      <c r="P4864" s="29">
        <v>11500</v>
      </c>
      <c r="Q4864" s="369">
        <v>6</v>
      </c>
      <c r="R4864" s="36">
        <f t="shared" si="108"/>
        <v>69000</v>
      </c>
      <c r="S4864" s="37">
        <v>202303</v>
      </c>
      <c r="T4864" s="375" t="s">
        <v>6560</v>
      </c>
      <c r="U4864" s="39"/>
      <c r="V4864" s="370"/>
      <c r="W4864" s="41"/>
      <c r="X4864" s="371">
        <v>44743</v>
      </c>
      <c r="Y4864" s="371">
        <v>46934</v>
      </c>
    </row>
    <row r="4865" s="9" customFormat="1" customHeight="1" spans="1:25">
      <c r="A4865" s="16" t="s">
        <v>401</v>
      </c>
      <c r="B4865" s="17" t="s">
        <v>6236</v>
      </c>
      <c r="C4865" s="17" t="s">
        <v>63</v>
      </c>
      <c r="D4865" s="17" t="s">
        <v>6237</v>
      </c>
      <c r="E4865" s="18" t="s">
        <v>6238</v>
      </c>
      <c r="F4865" s="16" t="s">
        <v>6239</v>
      </c>
      <c r="G4865" s="16" t="s">
        <v>88</v>
      </c>
      <c r="H4865" s="19" t="s">
        <v>6545</v>
      </c>
      <c r="I4865" s="23" t="e">
        <f>VLOOKUP(H4865,'合同综合查询数据（3月返）'!$A:$A,1,FALSE)</f>
        <v>#N/A</v>
      </c>
      <c r="J4865" s="24" t="s">
        <v>3074</v>
      </c>
      <c r="K4865" s="16" t="s">
        <v>6546</v>
      </c>
      <c r="L4865" s="25"/>
      <c r="M4865" s="26" t="s">
        <v>6323</v>
      </c>
      <c r="N4865" s="28">
        <v>44859</v>
      </c>
      <c r="O4865" s="28" t="s">
        <v>461</v>
      </c>
      <c r="P4865" s="29">
        <v>11500</v>
      </c>
      <c r="Q4865" s="369">
        <v>2</v>
      </c>
      <c r="R4865" s="36">
        <f t="shared" si="108"/>
        <v>23000</v>
      </c>
      <c r="S4865" s="37">
        <v>202303</v>
      </c>
      <c r="T4865" s="375" t="s">
        <v>6561</v>
      </c>
      <c r="U4865" s="39"/>
      <c r="V4865" s="370"/>
      <c r="W4865" s="41"/>
      <c r="X4865" s="371">
        <v>44743</v>
      </c>
      <c r="Y4865" s="371">
        <v>46934</v>
      </c>
    </row>
    <row r="4866" s="9" customFormat="1" customHeight="1" spans="1:25">
      <c r="A4866" s="16" t="s">
        <v>401</v>
      </c>
      <c r="B4866" s="17" t="s">
        <v>6236</v>
      </c>
      <c r="C4866" s="17" t="s">
        <v>63</v>
      </c>
      <c r="D4866" s="17" t="s">
        <v>6237</v>
      </c>
      <c r="E4866" s="18" t="s">
        <v>6238</v>
      </c>
      <c r="F4866" s="16" t="s">
        <v>6239</v>
      </c>
      <c r="G4866" s="16" t="s">
        <v>88</v>
      </c>
      <c r="H4866" s="19" t="s">
        <v>6545</v>
      </c>
      <c r="I4866" s="23" t="e">
        <f>VLOOKUP(H4866,'合同综合查询数据（3月返）'!$A:$A,1,FALSE)</f>
        <v>#N/A</v>
      </c>
      <c r="J4866" s="24" t="s">
        <v>3074</v>
      </c>
      <c r="K4866" s="16" t="s">
        <v>6546</v>
      </c>
      <c r="L4866" s="25"/>
      <c r="M4866" s="26" t="s">
        <v>6323</v>
      </c>
      <c r="N4866" s="28">
        <v>44860</v>
      </c>
      <c r="O4866" s="28" t="s">
        <v>461</v>
      </c>
      <c r="P4866" s="29">
        <v>11500</v>
      </c>
      <c r="Q4866" s="369">
        <v>16</v>
      </c>
      <c r="R4866" s="36">
        <f t="shared" si="108"/>
        <v>184000</v>
      </c>
      <c r="S4866" s="37">
        <v>202303</v>
      </c>
      <c r="T4866" s="375" t="s">
        <v>6562</v>
      </c>
      <c r="U4866" s="39"/>
      <c r="V4866" s="370"/>
      <c r="W4866" s="41"/>
      <c r="X4866" s="371">
        <v>44743</v>
      </c>
      <c r="Y4866" s="371">
        <v>46934</v>
      </c>
    </row>
    <row r="4867" s="9" customFormat="1" customHeight="1" spans="1:25">
      <c r="A4867" s="16" t="s">
        <v>401</v>
      </c>
      <c r="B4867" s="17" t="s">
        <v>6236</v>
      </c>
      <c r="C4867" s="17" t="s">
        <v>63</v>
      </c>
      <c r="D4867" s="17" t="s">
        <v>6237</v>
      </c>
      <c r="E4867" s="18" t="s">
        <v>6238</v>
      </c>
      <c r="F4867" s="16" t="s">
        <v>6239</v>
      </c>
      <c r="G4867" s="16" t="s">
        <v>88</v>
      </c>
      <c r="H4867" s="19" t="s">
        <v>6545</v>
      </c>
      <c r="I4867" s="23" t="e">
        <f>VLOOKUP(H4867,'合同综合查询数据（3月返）'!$A:$A,1,FALSE)</f>
        <v>#N/A</v>
      </c>
      <c r="J4867" s="24" t="s">
        <v>3074</v>
      </c>
      <c r="K4867" s="16" t="s">
        <v>6546</v>
      </c>
      <c r="L4867" s="25"/>
      <c r="M4867" s="26" t="s">
        <v>6323</v>
      </c>
      <c r="N4867" s="28">
        <v>44861</v>
      </c>
      <c r="O4867" s="28" t="s">
        <v>461</v>
      </c>
      <c r="P4867" s="29">
        <v>11500</v>
      </c>
      <c r="Q4867" s="369">
        <v>1</v>
      </c>
      <c r="R4867" s="36">
        <f t="shared" si="108"/>
        <v>11500</v>
      </c>
      <c r="S4867" s="37">
        <v>202303</v>
      </c>
      <c r="T4867" s="375" t="s">
        <v>6563</v>
      </c>
      <c r="U4867" s="39"/>
      <c r="V4867" s="370"/>
      <c r="W4867" s="41"/>
      <c r="X4867" s="371">
        <v>44743</v>
      </c>
      <c r="Y4867" s="371">
        <v>46934</v>
      </c>
    </row>
    <row r="4868" s="9" customFormat="1" customHeight="1" spans="1:25">
      <c r="A4868" s="16" t="s">
        <v>401</v>
      </c>
      <c r="B4868" s="17" t="s">
        <v>6236</v>
      </c>
      <c r="C4868" s="17" t="s">
        <v>63</v>
      </c>
      <c r="D4868" s="17" t="s">
        <v>6237</v>
      </c>
      <c r="E4868" s="18" t="s">
        <v>6238</v>
      </c>
      <c r="F4868" s="16" t="s">
        <v>6239</v>
      </c>
      <c r="G4868" s="16" t="s">
        <v>88</v>
      </c>
      <c r="H4868" s="19" t="s">
        <v>6545</v>
      </c>
      <c r="I4868" s="23" t="e">
        <f>VLOOKUP(H4868,'合同综合查询数据（3月返）'!$A:$A,1,FALSE)</f>
        <v>#N/A</v>
      </c>
      <c r="J4868" s="24" t="s">
        <v>3074</v>
      </c>
      <c r="K4868" s="16" t="s">
        <v>6546</v>
      </c>
      <c r="L4868" s="25"/>
      <c r="M4868" s="26" t="s">
        <v>6323</v>
      </c>
      <c r="N4868" s="28">
        <v>44865</v>
      </c>
      <c r="O4868" s="28" t="s">
        <v>461</v>
      </c>
      <c r="P4868" s="29">
        <v>11500</v>
      </c>
      <c r="Q4868" s="369">
        <v>1</v>
      </c>
      <c r="R4868" s="36">
        <f t="shared" si="108"/>
        <v>11500</v>
      </c>
      <c r="S4868" s="37">
        <v>202303</v>
      </c>
      <c r="T4868" s="375" t="s">
        <v>6564</v>
      </c>
      <c r="U4868" s="39"/>
      <c r="V4868" s="370"/>
      <c r="W4868" s="41"/>
      <c r="X4868" s="371">
        <v>44743</v>
      </c>
      <c r="Y4868" s="371">
        <v>46934</v>
      </c>
    </row>
    <row r="4869" s="9" customFormat="1" customHeight="1" spans="1:25">
      <c r="A4869" s="16" t="s">
        <v>401</v>
      </c>
      <c r="B4869" s="17" t="s">
        <v>6236</v>
      </c>
      <c r="C4869" s="17" t="s">
        <v>63</v>
      </c>
      <c r="D4869" s="17" t="s">
        <v>6237</v>
      </c>
      <c r="E4869" s="18" t="s">
        <v>6238</v>
      </c>
      <c r="F4869" s="16" t="s">
        <v>6239</v>
      </c>
      <c r="G4869" s="16" t="s">
        <v>88</v>
      </c>
      <c r="H4869" s="19" t="s">
        <v>6545</v>
      </c>
      <c r="I4869" s="23" t="e">
        <f>VLOOKUP(H4869,'合同综合查询数据（3月返）'!$A:$A,1,FALSE)</f>
        <v>#N/A</v>
      </c>
      <c r="J4869" s="24" t="s">
        <v>3074</v>
      </c>
      <c r="K4869" s="16" t="s">
        <v>6546</v>
      </c>
      <c r="L4869" s="25"/>
      <c r="M4869" s="26" t="s">
        <v>6323</v>
      </c>
      <c r="N4869" s="28">
        <v>44867</v>
      </c>
      <c r="O4869" s="28" t="s">
        <v>461</v>
      </c>
      <c r="P4869" s="29">
        <v>11500</v>
      </c>
      <c r="Q4869" s="369">
        <v>2</v>
      </c>
      <c r="R4869" s="173">
        <f t="shared" si="108"/>
        <v>23000</v>
      </c>
      <c r="S4869" s="37">
        <v>202303</v>
      </c>
      <c r="T4869" s="375" t="s">
        <v>6565</v>
      </c>
      <c r="U4869" s="39"/>
      <c r="V4869" s="370"/>
      <c r="W4869" s="41"/>
      <c r="X4869" s="371">
        <v>44743</v>
      </c>
      <c r="Y4869" s="371">
        <v>46934</v>
      </c>
    </row>
    <row r="4870" s="9" customFormat="1" customHeight="1" spans="1:25">
      <c r="A4870" s="16" t="s">
        <v>401</v>
      </c>
      <c r="B4870" s="17" t="s">
        <v>6236</v>
      </c>
      <c r="C4870" s="17" t="s">
        <v>63</v>
      </c>
      <c r="D4870" s="17" t="s">
        <v>6237</v>
      </c>
      <c r="E4870" s="18" t="s">
        <v>6238</v>
      </c>
      <c r="F4870" s="16" t="s">
        <v>6239</v>
      </c>
      <c r="G4870" s="16" t="s">
        <v>88</v>
      </c>
      <c r="H4870" s="19" t="s">
        <v>6545</v>
      </c>
      <c r="I4870" s="23" t="e">
        <f>VLOOKUP(H4870,'合同综合查询数据（3月返）'!$A:$A,1,FALSE)</f>
        <v>#N/A</v>
      </c>
      <c r="J4870" s="24" t="s">
        <v>3074</v>
      </c>
      <c r="K4870" s="16" t="s">
        <v>6546</v>
      </c>
      <c r="L4870" s="25"/>
      <c r="M4870" s="26" t="s">
        <v>6323</v>
      </c>
      <c r="N4870" s="28">
        <v>44872</v>
      </c>
      <c r="O4870" s="28" t="s">
        <v>461</v>
      </c>
      <c r="P4870" s="29">
        <v>11500</v>
      </c>
      <c r="Q4870" s="369">
        <v>6</v>
      </c>
      <c r="R4870" s="173">
        <f t="shared" si="108"/>
        <v>69000</v>
      </c>
      <c r="S4870" s="37">
        <v>202303</v>
      </c>
      <c r="T4870" s="375" t="s">
        <v>6566</v>
      </c>
      <c r="U4870" s="39"/>
      <c r="V4870" s="370"/>
      <c r="W4870" s="41"/>
      <c r="X4870" s="371">
        <v>44743</v>
      </c>
      <c r="Y4870" s="371">
        <v>46934</v>
      </c>
    </row>
    <row r="4871" s="9" customFormat="1" customHeight="1" spans="1:25">
      <c r="A4871" s="16" t="s">
        <v>401</v>
      </c>
      <c r="B4871" s="17" t="s">
        <v>6236</v>
      </c>
      <c r="C4871" s="17" t="s">
        <v>63</v>
      </c>
      <c r="D4871" s="17" t="s">
        <v>6237</v>
      </c>
      <c r="E4871" s="18" t="s">
        <v>6238</v>
      </c>
      <c r="F4871" s="16" t="s">
        <v>6239</v>
      </c>
      <c r="G4871" s="16" t="s">
        <v>88</v>
      </c>
      <c r="H4871" s="19" t="s">
        <v>6545</v>
      </c>
      <c r="I4871" s="23" t="e">
        <f>VLOOKUP(H4871,'合同综合查询数据（3月返）'!$A:$A,1,FALSE)</f>
        <v>#N/A</v>
      </c>
      <c r="J4871" s="24" t="s">
        <v>3074</v>
      </c>
      <c r="K4871" s="16" t="s">
        <v>6546</v>
      </c>
      <c r="L4871" s="25"/>
      <c r="M4871" s="26" t="s">
        <v>6323</v>
      </c>
      <c r="N4871" s="28">
        <v>44876</v>
      </c>
      <c r="O4871" s="28" t="s">
        <v>461</v>
      </c>
      <c r="P4871" s="29">
        <v>11500</v>
      </c>
      <c r="Q4871" s="369">
        <v>4</v>
      </c>
      <c r="R4871" s="173">
        <f t="shared" si="108"/>
        <v>46000</v>
      </c>
      <c r="S4871" s="37">
        <v>202303</v>
      </c>
      <c r="T4871" s="375" t="s">
        <v>6567</v>
      </c>
      <c r="U4871" s="39"/>
      <c r="V4871" s="370"/>
      <c r="W4871" s="41"/>
      <c r="X4871" s="371">
        <v>44743</v>
      </c>
      <c r="Y4871" s="371">
        <v>46934</v>
      </c>
    </row>
    <row r="4872" s="9" customFormat="1" customHeight="1" spans="1:25">
      <c r="A4872" s="16" t="s">
        <v>401</v>
      </c>
      <c r="B4872" s="17" t="s">
        <v>6236</v>
      </c>
      <c r="C4872" s="17" t="s">
        <v>63</v>
      </c>
      <c r="D4872" s="17" t="s">
        <v>6237</v>
      </c>
      <c r="E4872" s="18" t="s">
        <v>6238</v>
      </c>
      <c r="F4872" s="16" t="s">
        <v>6239</v>
      </c>
      <c r="G4872" s="16" t="s">
        <v>88</v>
      </c>
      <c r="H4872" s="19" t="s">
        <v>6545</v>
      </c>
      <c r="I4872" s="23" t="e">
        <f>VLOOKUP(H4872,'合同综合查询数据（3月返）'!$A:$A,1,FALSE)</f>
        <v>#N/A</v>
      </c>
      <c r="J4872" s="24" t="s">
        <v>3074</v>
      </c>
      <c r="K4872" s="16" t="s">
        <v>6546</v>
      </c>
      <c r="L4872" s="25"/>
      <c r="M4872" s="26" t="s">
        <v>6323</v>
      </c>
      <c r="N4872" s="28">
        <v>44883</v>
      </c>
      <c r="O4872" s="28" t="s">
        <v>461</v>
      </c>
      <c r="P4872" s="29">
        <v>11500</v>
      </c>
      <c r="Q4872" s="369">
        <v>10</v>
      </c>
      <c r="R4872" s="173">
        <f t="shared" si="108"/>
        <v>115000</v>
      </c>
      <c r="S4872" s="37">
        <v>202303</v>
      </c>
      <c r="T4872" s="375" t="s">
        <v>6568</v>
      </c>
      <c r="U4872" s="39"/>
      <c r="V4872" s="370"/>
      <c r="W4872" s="41"/>
      <c r="X4872" s="371">
        <v>44743</v>
      </c>
      <c r="Y4872" s="371">
        <v>46934</v>
      </c>
    </row>
    <row r="4873" s="9" customFormat="1" customHeight="1" spans="1:25">
      <c r="A4873" s="16" t="s">
        <v>401</v>
      </c>
      <c r="B4873" s="17" t="s">
        <v>6236</v>
      </c>
      <c r="C4873" s="17" t="s">
        <v>63</v>
      </c>
      <c r="D4873" s="17" t="s">
        <v>6237</v>
      </c>
      <c r="E4873" s="18" t="s">
        <v>6238</v>
      </c>
      <c r="F4873" s="16" t="s">
        <v>6239</v>
      </c>
      <c r="G4873" s="16" t="s">
        <v>88</v>
      </c>
      <c r="H4873" s="19" t="s">
        <v>6545</v>
      </c>
      <c r="I4873" s="23" t="e">
        <f>VLOOKUP(H4873,'合同综合查询数据（3月返）'!$A:$A,1,FALSE)</f>
        <v>#N/A</v>
      </c>
      <c r="J4873" s="24" t="s">
        <v>3074</v>
      </c>
      <c r="K4873" s="16" t="s">
        <v>6546</v>
      </c>
      <c r="L4873" s="25"/>
      <c r="M4873" s="26" t="s">
        <v>6323</v>
      </c>
      <c r="N4873" s="28">
        <v>44883</v>
      </c>
      <c r="O4873" s="28" t="s">
        <v>457</v>
      </c>
      <c r="P4873" s="29">
        <v>5750</v>
      </c>
      <c r="Q4873" s="369">
        <v>4</v>
      </c>
      <c r="R4873" s="36">
        <f t="shared" si="108"/>
        <v>23000</v>
      </c>
      <c r="S4873" s="37">
        <v>202303</v>
      </c>
      <c r="T4873" s="375" t="s">
        <v>6569</v>
      </c>
      <c r="U4873" s="39"/>
      <c r="V4873" s="370"/>
      <c r="W4873" s="41"/>
      <c r="X4873" s="371">
        <v>44743</v>
      </c>
      <c r="Y4873" s="371">
        <v>46934</v>
      </c>
    </row>
    <row r="4874" s="9" customFormat="1" customHeight="1" spans="1:25">
      <c r="A4874" s="16" t="s">
        <v>401</v>
      </c>
      <c r="B4874" s="17" t="s">
        <v>6236</v>
      </c>
      <c r="C4874" s="17" t="s">
        <v>63</v>
      </c>
      <c r="D4874" s="17" t="s">
        <v>6237</v>
      </c>
      <c r="E4874" s="18" t="s">
        <v>6238</v>
      </c>
      <c r="F4874" s="16" t="s">
        <v>6239</v>
      </c>
      <c r="G4874" s="16" t="s">
        <v>88</v>
      </c>
      <c r="H4874" s="19" t="s">
        <v>6545</v>
      </c>
      <c r="I4874" s="23" t="e">
        <f>VLOOKUP(H4874,'合同综合查询数据（3月返）'!$A:$A,1,FALSE)</f>
        <v>#N/A</v>
      </c>
      <c r="J4874" s="24" t="s">
        <v>3074</v>
      </c>
      <c r="K4874" s="16" t="s">
        <v>6546</v>
      </c>
      <c r="L4874" s="25"/>
      <c r="M4874" s="26" t="s">
        <v>6323</v>
      </c>
      <c r="N4874" s="28">
        <v>44889</v>
      </c>
      <c r="O4874" s="28" t="s">
        <v>461</v>
      </c>
      <c r="P4874" s="29">
        <v>11500</v>
      </c>
      <c r="Q4874" s="369">
        <v>-10</v>
      </c>
      <c r="R4874" s="36">
        <f t="shared" si="108"/>
        <v>-115000</v>
      </c>
      <c r="S4874" s="37">
        <v>202303</v>
      </c>
      <c r="T4874" s="375" t="s">
        <v>6568</v>
      </c>
      <c r="U4874" s="39"/>
      <c r="V4874" s="370"/>
      <c r="W4874" s="41"/>
      <c r="X4874" s="371">
        <v>44743</v>
      </c>
      <c r="Y4874" s="371">
        <v>46934</v>
      </c>
    </row>
    <row r="4875" s="9" customFormat="1" customHeight="1" spans="1:25">
      <c r="A4875" s="16" t="s">
        <v>401</v>
      </c>
      <c r="B4875" s="17" t="s">
        <v>6236</v>
      </c>
      <c r="C4875" s="17" t="s">
        <v>63</v>
      </c>
      <c r="D4875" s="17" t="s">
        <v>6237</v>
      </c>
      <c r="E4875" s="18" t="s">
        <v>6238</v>
      </c>
      <c r="F4875" s="16" t="s">
        <v>6239</v>
      </c>
      <c r="G4875" s="16" t="s">
        <v>88</v>
      </c>
      <c r="H4875" s="19" t="s">
        <v>6545</v>
      </c>
      <c r="I4875" s="23" t="e">
        <f>VLOOKUP(H4875,'合同综合查询数据（3月返）'!$A:$A,1,FALSE)</f>
        <v>#N/A</v>
      </c>
      <c r="J4875" s="24" t="s">
        <v>3074</v>
      </c>
      <c r="K4875" s="16" t="s">
        <v>6546</v>
      </c>
      <c r="L4875" s="25"/>
      <c r="M4875" s="26" t="s">
        <v>6323</v>
      </c>
      <c r="N4875" s="28">
        <v>44889</v>
      </c>
      <c r="O4875" s="28" t="s">
        <v>457</v>
      </c>
      <c r="P4875" s="29">
        <v>5750</v>
      </c>
      <c r="Q4875" s="369">
        <v>-4</v>
      </c>
      <c r="R4875" s="36">
        <f t="shared" ref="R4875:R4902" si="109">ROUND(P4875*Q4875,2)</f>
        <v>-23000</v>
      </c>
      <c r="S4875" s="37">
        <v>202303</v>
      </c>
      <c r="T4875" s="375" t="s">
        <v>6569</v>
      </c>
      <c r="U4875" s="39"/>
      <c r="V4875" s="370"/>
      <c r="W4875" s="41"/>
      <c r="X4875" s="371">
        <v>44743</v>
      </c>
      <c r="Y4875" s="371">
        <v>46934</v>
      </c>
    </row>
    <row r="4876" s="9" customFormat="1" customHeight="1" spans="1:25">
      <c r="A4876" s="16" t="s">
        <v>401</v>
      </c>
      <c r="B4876" s="17" t="s">
        <v>6236</v>
      </c>
      <c r="C4876" s="17" t="s">
        <v>63</v>
      </c>
      <c r="D4876" s="17" t="s">
        <v>6237</v>
      </c>
      <c r="E4876" s="18" t="s">
        <v>6238</v>
      </c>
      <c r="F4876" s="16" t="s">
        <v>6239</v>
      </c>
      <c r="G4876" s="16" t="s">
        <v>88</v>
      </c>
      <c r="H4876" s="19" t="s">
        <v>6545</v>
      </c>
      <c r="I4876" s="23" t="e">
        <f>VLOOKUP(H4876,'合同综合查询数据（3月返）'!$A:$A,1,FALSE)</f>
        <v>#N/A</v>
      </c>
      <c r="J4876" s="24" t="s">
        <v>3074</v>
      </c>
      <c r="K4876" s="16" t="s">
        <v>6546</v>
      </c>
      <c r="L4876" s="25"/>
      <c r="M4876" s="26" t="s">
        <v>6323</v>
      </c>
      <c r="N4876" s="28">
        <v>44900</v>
      </c>
      <c r="O4876" s="28" t="s">
        <v>461</v>
      </c>
      <c r="P4876" s="29">
        <v>11500</v>
      </c>
      <c r="Q4876" s="369">
        <v>15</v>
      </c>
      <c r="R4876" s="36">
        <f t="shared" si="109"/>
        <v>172500</v>
      </c>
      <c r="S4876" s="37">
        <v>202303</v>
      </c>
      <c r="T4876" s="375" t="s">
        <v>6570</v>
      </c>
      <c r="U4876" s="39"/>
      <c r="V4876" s="370"/>
      <c r="W4876" s="41"/>
      <c r="X4876" s="371">
        <v>44743</v>
      </c>
      <c r="Y4876" s="371">
        <v>46934</v>
      </c>
    </row>
    <row r="4877" s="9" customFormat="1" customHeight="1" spans="1:25">
      <c r="A4877" s="16" t="s">
        <v>401</v>
      </c>
      <c r="B4877" s="17" t="s">
        <v>6236</v>
      </c>
      <c r="C4877" s="17" t="s">
        <v>63</v>
      </c>
      <c r="D4877" s="17" t="s">
        <v>6237</v>
      </c>
      <c r="E4877" s="18" t="s">
        <v>6238</v>
      </c>
      <c r="F4877" s="16" t="s">
        <v>6239</v>
      </c>
      <c r="G4877" s="16" t="s">
        <v>88</v>
      </c>
      <c r="H4877" s="19" t="s">
        <v>6545</v>
      </c>
      <c r="I4877" s="23" t="e">
        <f>VLOOKUP(H4877,'合同综合查询数据（3月返）'!$A:$A,1,FALSE)</f>
        <v>#N/A</v>
      </c>
      <c r="J4877" s="24" t="s">
        <v>3074</v>
      </c>
      <c r="K4877" s="16" t="s">
        <v>6546</v>
      </c>
      <c r="L4877" s="25"/>
      <c r="M4877" s="26" t="s">
        <v>6323</v>
      </c>
      <c r="N4877" s="28">
        <v>44901</v>
      </c>
      <c r="O4877" s="28" t="s">
        <v>461</v>
      </c>
      <c r="P4877" s="29">
        <v>11500</v>
      </c>
      <c r="Q4877" s="369">
        <v>4</v>
      </c>
      <c r="R4877" s="36">
        <f t="shared" si="109"/>
        <v>46000</v>
      </c>
      <c r="S4877" s="37">
        <v>202303</v>
      </c>
      <c r="T4877" s="375" t="s">
        <v>6571</v>
      </c>
      <c r="U4877" s="39"/>
      <c r="V4877" s="370"/>
      <c r="W4877" s="41"/>
      <c r="X4877" s="371">
        <v>44743</v>
      </c>
      <c r="Y4877" s="371">
        <v>46934</v>
      </c>
    </row>
    <row r="4878" s="9" customFormat="1" customHeight="1" spans="1:25">
      <c r="A4878" s="16" t="s">
        <v>401</v>
      </c>
      <c r="B4878" s="17" t="s">
        <v>6236</v>
      </c>
      <c r="C4878" s="17" t="s">
        <v>63</v>
      </c>
      <c r="D4878" s="17" t="s">
        <v>6237</v>
      </c>
      <c r="E4878" s="18" t="s">
        <v>6238</v>
      </c>
      <c r="F4878" s="16" t="s">
        <v>6239</v>
      </c>
      <c r="G4878" s="16" t="s">
        <v>88</v>
      </c>
      <c r="H4878" s="19" t="s">
        <v>6545</v>
      </c>
      <c r="I4878" s="23" t="e">
        <f>VLOOKUP(H4878,'合同综合查询数据（3月返）'!$A:$A,1,FALSE)</f>
        <v>#N/A</v>
      </c>
      <c r="J4878" s="24" t="s">
        <v>3074</v>
      </c>
      <c r="K4878" s="16" t="s">
        <v>6546</v>
      </c>
      <c r="L4878" s="25"/>
      <c r="M4878" s="26" t="s">
        <v>6323</v>
      </c>
      <c r="N4878" s="28">
        <v>44902</v>
      </c>
      <c r="O4878" s="28" t="s">
        <v>461</v>
      </c>
      <c r="P4878" s="29">
        <v>11500</v>
      </c>
      <c r="Q4878" s="369">
        <v>1</v>
      </c>
      <c r="R4878" s="36">
        <f t="shared" si="109"/>
        <v>11500</v>
      </c>
      <c r="S4878" s="37">
        <v>202303</v>
      </c>
      <c r="T4878" s="375" t="s">
        <v>6572</v>
      </c>
      <c r="U4878" s="39"/>
      <c r="V4878" s="370"/>
      <c r="W4878" s="41"/>
      <c r="X4878" s="371">
        <v>44743</v>
      </c>
      <c r="Y4878" s="371">
        <v>46934</v>
      </c>
    </row>
    <row r="4879" s="9" customFormat="1" customHeight="1" spans="1:25">
      <c r="A4879" s="16" t="s">
        <v>401</v>
      </c>
      <c r="B4879" s="17" t="s">
        <v>6236</v>
      </c>
      <c r="C4879" s="17" t="s">
        <v>63</v>
      </c>
      <c r="D4879" s="17" t="s">
        <v>6237</v>
      </c>
      <c r="E4879" s="18" t="s">
        <v>6238</v>
      </c>
      <c r="F4879" s="16" t="s">
        <v>6239</v>
      </c>
      <c r="G4879" s="16" t="s">
        <v>88</v>
      </c>
      <c r="H4879" s="19" t="s">
        <v>6545</v>
      </c>
      <c r="I4879" s="23" t="e">
        <f>VLOOKUP(H4879,'合同综合查询数据（3月返）'!$A:$A,1,FALSE)</f>
        <v>#N/A</v>
      </c>
      <c r="J4879" s="24" t="s">
        <v>3074</v>
      </c>
      <c r="K4879" s="16" t="s">
        <v>6546</v>
      </c>
      <c r="L4879" s="25"/>
      <c r="M4879" s="26" t="s">
        <v>6323</v>
      </c>
      <c r="N4879" s="28">
        <v>44903</v>
      </c>
      <c r="O4879" s="28" t="s">
        <v>461</v>
      </c>
      <c r="P4879" s="29">
        <v>11500</v>
      </c>
      <c r="Q4879" s="369">
        <v>8</v>
      </c>
      <c r="R4879" s="36">
        <f t="shared" si="109"/>
        <v>92000</v>
      </c>
      <c r="S4879" s="37">
        <v>202303</v>
      </c>
      <c r="T4879" s="375" t="s">
        <v>6573</v>
      </c>
      <c r="U4879" s="39"/>
      <c r="V4879" s="370"/>
      <c r="W4879" s="41"/>
      <c r="X4879" s="371">
        <v>44743</v>
      </c>
      <c r="Y4879" s="371">
        <v>46934</v>
      </c>
    </row>
    <row r="4880" s="9" customFormat="1" customHeight="1" spans="1:25">
      <c r="A4880" s="16" t="s">
        <v>401</v>
      </c>
      <c r="B4880" s="17" t="s">
        <v>6236</v>
      </c>
      <c r="C4880" s="17" t="s">
        <v>63</v>
      </c>
      <c r="D4880" s="17" t="s">
        <v>6237</v>
      </c>
      <c r="E4880" s="18" t="s">
        <v>6238</v>
      </c>
      <c r="F4880" s="16" t="s">
        <v>6239</v>
      </c>
      <c r="G4880" s="16" t="s">
        <v>88</v>
      </c>
      <c r="H4880" s="19" t="s">
        <v>6545</v>
      </c>
      <c r="I4880" s="23" t="e">
        <f>VLOOKUP(H4880,'合同综合查询数据（3月返）'!$A:$A,1,FALSE)</f>
        <v>#N/A</v>
      </c>
      <c r="J4880" s="24" t="s">
        <v>3074</v>
      </c>
      <c r="K4880" s="16" t="s">
        <v>6546</v>
      </c>
      <c r="L4880" s="25"/>
      <c r="M4880" s="26" t="s">
        <v>6323</v>
      </c>
      <c r="N4880" s="28">
        <v>44906</v>
      </c>
      <c r="O4880" s="28" t="s">
        <v>461</v>
      </c>
      <c r="P4880" s="29">
        <v>11500</v>
      </c>
      <c r="Q4880" s="369">
        <v>2</v>
      </c>
      <c r="R4880" s="36">
        <f t="shared" si="109"/>
        <v>23000</v>
      </c>
      <c r="S4880" s="37">
        <v>202303</v>
      </c>
      <c r="T4880" s="375" t="s">
        <v>6574</v>
      </c>
      <c r="U4880" s="39"/>
      <c r="V4880" s="370"/>
      <c r="W4880" s="41"/>
      <c r="X4880" s="371">
        <v>44743</v>
      </c>
      <c r="Y4880" s="371">
        <v>46934</v>
      </c>
    </row>
    <row r="4881" s="9" customFormat="1" customHeight="1" spans="1:25">
      <c r="A4881" s="16" t="s">
        <v>401</v>
      </c>
      <c r="B4881" s="17" t="s">
        <v>6236</v>
      </c>
      <c r="C4881" s="17" t="s">
        <v>63</v>
      </c>
      <c r="D4881" s="17" t="s">
        <v>6237</v>
      </c>
      <c r="E4881" s="18" t="s">
        <v>6238</v>
      </c>
      <c r="F4881" s="16" t="s">
        <v>6239</v>
      </c>
      <c r="G4881" s="16" t="s">
        <v>88</v>
      </c>
      <c r="H4881" s="19" t="s">
        <v>6545</v>
      </c>
      <c r="I4881" s="23" t="e">
        <f>VLOOKUP(H4881,'合同综合查询数据（3月返）'!$A:$A,1,FALSE)</f>
        <v>#N/A</v>
      </c>
      <c r="J4881" s="24" t="s">
        <v>3074</v>
      </c>
      <c r="K4881" s="16" t="s">
        <v>6546</v>
      </c>
      <c r="L4881" s="25"/>
      <c r="M4881" s="26" t="s">
        <v>6323</v>
      </c>
      <c r="N4881" s="28">
        <v>44909</v>
      </c>
      <c r="O4881" s="28" t="s">
        <v>461</v>
      </c>
      <c r="P4881" s="29">
        <v>11500</v>
      </c>
      <c r="Q4881" s="369">
        <v>10</v>
      </c>
      <c r="R4881" s="36">
        <f t="shared" si="109"/>
        <v>115000</v>
      </c>
      <c r="S4881" s="37">
        <v>202303</v>
      </c>
      <c r="T4881" s="375" t="s">
        <v>6575</v>
      </c>
      <c r="U4881" s="39"/>
      <c r="V4881" s="370"/>
      <c r="W4881" s="41"/>
      <c r="X4881" s="371">
        <v>44743</v>
      </c>
      <c r="Y4881" s="371">
        <v>46934</v>
      </c>
    </row>
    <row r="4882" s="9" customFormat="1" customHeight="1" spans="1:25">
      <c r="A4882" s="16" t="s">
        <v>401</v>
      </c>
      <c r="B4882" s="17" t="s">
        <v>6236</v>
      </c>
      <c r="C4882" s="17" t="s">
        <v>63</v>
      </c>
      <c r="D4882" s="17" t="s">
        <v>6237</v>
      </c>
      <c r="E4882" s="18" t="s">
        <v>6238</v>
      </c>
      <c r="F4882" s="16" t="s">
        <v>6239</v>
      </c>
      <c r="G4882" s="16" t="s">
        <v>88</v>
      </c>
      <c r="H4882" s="19" t="s">
        <v>6545</v>
      </c>
      <c r="I4882" s="23" t="e">
        <f>VLOOKUP(H4882,'合同综合查询数据（3月返）'!$A:$A,1,FALSE)</f>
        <v>#N/A</v>
      </c>
      <c r="J4882" s="24" t="s">
        <v>3074</v>
      </c>
      <c r="K4882" s="16" t="s">
        <v>6546</v>
      </c>
      <c r="L4882" s="25"/>
      <c r="M4882" s="26" t="s">
        <v>6323</v>
      </c>
      <c r="N4882" s="28">
        <v>44912</v>
      </c>
      <c r="O4882" s="28" t="s">
        <v>461</v>
      </c>
      <c r="P4882" s="29">
        <v>11500</v>
      </c>
      <c r="Q4882" s="369">
        <v>5</v>
      </c>
      <c r="R4882" s="36">
        <f t="shared" si="109"/>
        <v>57500</v>
      </c>
      <c r="S4882" s="37">
        <v>202303</v>
      </c>
      <c r="T4882" s="375" t="s">
        <v>6576</v>
      </c>
      <c r="U4882" s="39"/>
      <c r="V4882" s="370"/>
      <c r="W4882" s="41"/>
      <c r="X4882" s="371">
        <v>44743</v>
      </c>
      <c r="Y4882" s="371">
        <v>46934</v>
      </c>
    </row>
    <row r="4883" s="9" customFormat="1" customHeight="1" spans="1:25">
      <c r="A4883" s="16" t="s">
        <v>401</v>
      </c>
      <c r="B4883" s="17" t="s">
        <v>6236</v>
      </c>
      <c r="C4883" s="17" t="s">
        <v>63</v>
      </c>
      <c r="D4883" s="17" t="s">
        <v>6237</v>
      </c>
      <c r="E4883" s="18" t="s">
        <v>6238</v>
      </c>
      <c r="F4883" s="16" t="s">
        <v>6239</v>
      </c>
      <c r="G4883" s="16" t="s">
        <v>88</v>
      </c>
      <c r="H4883" s="19" t="s">
        <v>6545</v>
      </c>
      <c r="I4883" s="23" t="e">
        <f>VLOOKUP(H4883,'合同综合查询数据（3月返）'!$A:$A,1,FALSE)</f>
        <v>#N/A</v>
      </c>
      <c r="J4883" s="24" t="s">
        <v>3074</v>
      </c>
      <c r="K4883" s="16" t="s">
        <v>6546</v>
      </c>
      <c r="L4883" s="25"/>
      <c r="M4883" s="26" t="s">
        <v>6323</v>
      </c>
      <c r="N4883" s="28">
        <v>44914</v>
      </c>
      <c r="O4883" s="28" t="s">
        <v>461</v>
      </c>
      <c r="P4883" s="29">
        <v>11500</v>
      </c>
      <c r="Q4883" s="369">
        <v>1</v>
      </c>
      <c r="R4883" s="36">
        <f t="shared" si="109"/>
        <v>11500</v>
      </c>
      <c r="S4883" s="37">
        <v>202303</v>
      </c>
      <c r="T4883" s="375" t="s">
        <v>6577</v>
      </c>
      <c r="U4883" s="39"/>
      <c r="V4883" s="370"/>
      <c r="W4883" s="41"/>
      <c r="X4883" s="371">
        <v>44743</v>
      </c>
      <c r="Y4883" s="371">
        <v>46934</v>
      </c>
    </row>
    <row r="4884" s="9" customFormat="1" customHeight="1" spans="1:25">
      <c r="A4884" s="16" t="s">
        <v>401</v>
      </c>
      <c r="B4884" s="17" t="s">
        <v>6236</v>
      </c>
      <c r="C4884" s="17" t="s">
        <v>63</v>
      </c>
      <c r="D4884" s="17" t="s">
        <v>6237</v>
      </c>
      <c r="E4884" s="18" t="s">
        <v>6238</v>
      </c>
      <c r="F4884" s="16" t="s">
        <v>6239</v>
      </c>
      <c r="G4884" s="16" t="s">
        <v>88</v>
      </c>
      <c r="H4884" s="19" t="s">
        <v>6545</v>
      </c>
      <c r="I4884" s="23" t="e">
        <f>VLOOKUP(H4884,'合同综合查询数据（3月返）'!$A:$A,1,FALSE)</f>
        <v>#N/A</v>
      </c>
      <c r="J4884" s="24" t="s">
        <v>3074</v>
      </c>
      <c r="K4884" s="16" t="s">
        <v>6546</v>
      </c>
      <c r="L4884" s="25"/>
      <c r="M4884" s="26" t="s">
        <v>6323</v>
      </c>
      <c r="N4884" s="28">
        <v>44915</v>
      </c>
      <c r="O4884" s="28" t="s">
        <v>461</v>
      </c>
      <c r="P4884" s="29">
        <v>11500</v>
      </c>
      <c r="Q4884" s="369">
        <v>2</v>
      </c>
      <c r="R4884" s="36">
        <f t="shared" si="109"/>
        <v>23000</v>
      </c>
      <c r="S4884" s="37">
        <v>202303</v>
      </c>
      <c r="T4884" s="375" t="s">
        <v>6578</v>
      </c>
      <c r="U4884" s="39"/>
      <c r="V4884" s="370"/>
      <c r="W4884" s="41"/>
      <c r="X4884" s="371">
        <v>44743</v>
      </c>
      <c r="Y4884" s="371">
        <v>46934</v>
      </c>
    </row>
    <row r="4885" s="9" customFormat="1" customHeight="1" spans="1:25">
      <c r="A4885" s="16" t="s">
        <v>401</v>
      </c>
      <c r="B4885" s="17" t="s">
        <v>6236</v>
      </c>
      <c r="C4885" s="17" t="s">
        <v>63</v>
      </c>
      <c r="D4885" s="17" t="s">
        <v>6237</v>
      </c>
      <c r="E4885" s="18" t="s">
        <v>6238</v>
      </c>
      <c r="F4885" s="16" t="s">
        <v>6239</v>
      </c>
      <c r="G4885" s="16" t="s">
        <v>88</v>
      </c>
      <c r="H4885" s="19" t="s">
        <v>6545</v>
      </c>
      <c r="I4885" s="23" t="e">
        <f>VLOOKUP(H4885,'合同综合查询数据（3月返）'!$A:$A,1,FALSE)</f>
        <v>#N/A</v>
      </c>
      <c r="J4885" s="24" t="s">
        <v>3074</v>
      </c>
      <c r="K4885" s="16" t="s">
        <v>6546</v>
      </c>
      <c r="L4885" s="25"/>
      <c r="M4885" s="26" t="s">
        <v>6323</v>
      </c>
      <c r="N4885" s="28">
        <v>44918</v>
      </c>
      <c r="O4885" s="28" t="s">
        <v>461</v>
      </c>
      <c r="P4885" s="29">
        <v>11500</v>
      </c>
      <c r="Q4885" s="369">
        <v>23</v>
      </c>
      <c r="R4885" s="36">
        <f t="shared" si="109"/>
        <v>264500</v>
      </c>
      <c r="S4885" s="37">
        <v>202303</v>
      </c>
      <c r="T4885" s="375" t="s">
        <v>6579</v>
      </c>
      <c r="U4885" s="39"/>
      <c r="V4885" s="370"/>
      <c r="W4885" s="41"/>
      <c r="X4885" s="371">
        <v>44743</v>
      </c>
      <c r="Y4885" s="371">
        <v>46934</v>
      </c>
    </row>
    <row r="4886" s="9" customFormat="1" customHeight="1" spans="1:25">
      <c r="A4886" s="16" t="s">
        <v>401</v>
      </c>
      <c r="B4886" s="17" t="s">
        <v>6236</v>
      </c>
      <c r="C4886" s="17" t="s">
        <v>63</v>
      </c>
      <c r="D4886" s="17" t="s">
        <v>6237</v>
      </c>
      <c r="E4886" s="18" t="s">
        <v>6238</v>
      </c>
      <c r="F4886" s="16" t="s">
        <v>6239</v>
      </c>
      <c r="G4886" s="16" t="s">
        <v>88</v>
      </c>
      <c r="H4886" s="19" t="s">
        <v>6545</v>
      </c>
      <c r="I4886" s="23" t="e">
        <f>VLOOKUP(H4886,'合同综合查询数据（3月返）'!$A:$A,1,FALSE)</f>
        <v>#N/A</v>
      </c>
      <c r="J4886" s="24" t="s">
        <v>3074</v>
      </c>
      <c r="K4886" s="16" t="s">
        <v>6546</v>
      </c>
      <c r="L4886" s="25"/>
      <c r="M4886" s="26" t="s">
        <v>6323</v>
      </c>
      <c r="N4886" s="28">
        <v>44921</v>
      </c>
      <c r="O4886" s="28" t="s">
        <v>461</v>
      </c>
      <c r="P4886" s="29">
        <v>11500</v>
      </c>
      <c r="Q4886" s="369">
        <v>20</v>
      </c>
      <c r="R4886" s="36">
        <f t="shared" si="109"/>
        <v>230000</v>
      </c>
      <c r="S4886" s="37">
        <v>202303</v>
      </c>
      <c r="T4886" s="375" t="s">
        <v>6580</v>
      </c>
      <c r="U4886" s="39"/>
      <c r="V4886" s="370"/>
      <c r="W4886" s="41"/>
      <c r="X4886" s="371">
        <v>44743</v>
      </c>
      <c r="Y4886" s="371">
        <v>46934</v>
      </c>
    </row>
    <row r="4887" s="9" customFormat="1" customHeight="1" spans="1:25">
      <c r="A4887" s="16" t="s">
        <v>401</v>
      </c>
      <c r="B4887" s="17" t="s">
        <v>6236</v>
      </c>
      <c r="C4887" s="17" t="s">
        <v>63</v>
      </c>
      <c r="D4887" s="17" t="s">
        <v>6237</v>
      </c>
      <c r="E4887" s="18" t="s">
        <v>6238</v>
      </c>
      <c r="F4887" s="16" t="s">
        <v>6239</v>
      </c>
      <c r="G4887" s="16" t="s">
        <v>88</v>
      </c>
      <c r="H4887" s="19" t="s">
        <v>6545</v>
      </c>
      <c r="I4887" s="23" t="e">
        <f>VLOOKUP(H4887,'合同综合查询数据（3月返）'!$A:$A,1,FALSE)</f>
        <v>#N/A</v>
      </c>
      <c r="J4887" s="24" t="s">
        <v>3074</v>
      </c>
      <c r="K4887" s="16" t="s">
        <v>6546</v>
      </c>
      <c r="L4887" s="25"/>
      <c r="M4887" s="26" t="s">
        <v>6323</v>
      </c>
      <c r="N4887" s="28">
        <v>44923</v>
      </c>
      <c r="O4887" s="28" t="s">
        <v>461</v>
      </c>
      <c r="P4887" s="29">
        <v>11500</v>
      </c>
      <c r="Q4887" s="369">
        <v>6</v>
      </c>
      <c r="R4887" s="36">
        <f t="shared" si="109"/>
        <v>69000</v>
      </c>
      <c r="S4887" s="37">
        <v>202303</v>
      </c>
      <c r="T4887" s="375" t="s">
        <v>6581</v>
      </c>
      <c r="U4887" s="39"/>
      <c r="V4887" s="370"/>
      <c r="W4887" s="41"/>
      <c r="X4887" s="371">
        <v>44743</v>
      </c>
      <c r="Y4887" s="371">
        <v>46934</v>
      </c>
    </row>
    <row r="4888" s="9" customFormat="1" customHeight="1" spans="1:25">
      <c r="A4888" s="16" t="s">
        <v>401</v>
      </c>
      <c r="B4888" s="17" t="s">
        <v>6236</v>
      </c>
      <c r="C4888" s="17" t="s">
        <v>63</v>
      </c>
      <c r="D4888" s="17" t="s">
        <v>6237</v>
      </c>
      <c r="E4888" s="18" t="s">
        <v>6238</v>
      </c>
      <c r="F4888" s="16" t="s">
        <v>6239</v>
      </c>
      <c r="G4888" s="16" t="s">
        <v>88</v>
      </c>
      <c r="H4888" s="19" t="s">
        <v>6545</v>
      </c>
      <c r="I4888" s="23" t="e">
        <f>VLOOKUP(H4888,'合同综合查询数据（3月返）'!$A:$A,1,FALSE)</f>
        <v>#N/A</v>
      </c>
      <c r="J4888" s="24" t="s">
        <v>3074</v>
      </c>
      <c r="K4888" s="16" t="s">
        <v>6546</v>
      </c>
      <c r="L4888" s="25"/>
      <c r="M4888" s="26" t="s">
        <v>6323</v>
      </c>
      <c r="N4888" s="28">
        <v>44938</v>
      </c>
      <c r="O4888" s="28" t="s">
        <v>461</v>
      </c>
      <c r="P4888" s="29">
        <v>11500</v>
      </c>
      <c r="Q4888" s="369">
        <v>6</v>
      </c>
      <c r="R4888" s="119">
        <f t="shared" si="109"/>
        <v>69000</v>
      </c>
      <c r="S4888" s="37">
        <v>202303</v>
      </c>
      <c r="T4888" s="375" t="s">
        <v>6582</v>
      </c>
      <c r="U4888" s="39"/>
      <c r="V4888" s="370"/>
      <c r="W4888" s="41"/>
      <c r="X4888" s="371">
        <v>44743</v>
      </c>
      <c r="Y4888" s="371">
        <v>46934</v>
      </c>
    </row>
    <row r="4889" s="9" customFormat="1" customHeight="1" spans="1:25">
      <c r="A4889" s="16" t="s">
        <v>401</v>
      </c>
      <c r="B4889" s="17" t="s">
        <v>6236</v>
      </c>
      <c r="C4889" s="17" t="s">
        <v>63</v>
      </c>
      <c r="D4889" s="17" t="s">
        <v>6237</v>
      </c>
      <c r="E4889" s="18" t="s">
        <v>6238</v>
      </c>
      <c r="F4889" s="16" t="s">
        <v>6239</v>
      </c>
      <c r="G4889" s="16" t="s">
        <v>88</v>
      </c>
      <c r="H4889" s="19" t="s">
        <v>6545</v>
      </c>
      <c r="I4889" s="23" t="e">
        <f>VLOOKUP(H4889,'合同综合查询数据（3月返）'!$A:$A,1,FALSE)</f>
        <v>#N/A</v>
      </c>
      <c r="J4889" s="24" t="s">
        <v>3074</v>
      </c>
      <c r="K4889" s="16" t="s">
        <v>6546</v>
      </c>
      <c r="L4889" s="25"/>
      <c r="M4889" s="26" t="s">
        <v>6323</v>
      </c>
      <c r="N4889" s="28">
        <v>44939</v>
      </c>
      <c r="O4889" s="28" t="s">
        <v>461</v>
      </c>
      <c r="P4889" s="29">
        <v>11500</v>
      </c>
      <c r="Q4889" s="369">
        <v>2</v>
      </c>
      <c r="R4889" s="119">
        <f t="shared" si="109"/>
        <v>23000</v>
      </c>
      <c r="S4889" s="37">
        <v>202303</v>
      </c>
      <c r="T4889" s="375" t="s">
        <v>6583</v>
      </c>
      <c r="U4889" s="39"/>
      <c r="V4889" s="370"/>
      <c r="W4889" s="41"/>
      <c r="X4889" s="371">
        <v>44743</v>
      </c>
      <c r="Y4889" s="371">
        <v>46934</v>
      </c>
    </row>
    <row r="4890" s="9" customFormat="1" customHeight="1" spans="1:25">
      <c r="A4890" s="16" t="s">
        <v>401</v>
      </c>
      <c r="B4890" s="17" t="s">
        <v>6236</v>
      </c>
      <c r="C4890" s="17" t="s">
        <v>63</v>
      </c>
      <c r="D4890" s="17" t="s">
        <v>6237</v>
      </c>
      <c r="E4890" s="18" t="s">
        <v>6238</v>
      </c>
      <c r="F4890" s="16" t="s">
        <v>6239</v>
      </c>
      <c r="G4890" s="16" t="s">
        <v>88</v>
      </c>
      <c r="H4890" s="19" t="s">
        <v>6545</v>
      </c>
      <c r="I4890" s="23" t="e">
        <f>VLOOKUP(H4890,'合同综合查询数据（3月返）'!$A:$A,1,FALSE)</f>
        <v>#N/A</v>
      </c>
      <c r="J4890" s="24" t="s">
        <v>3074</v>
      </c>
      <c r="K4890" s="16" t="s">
        <v>6546</v>
      </c>
      <c r="L4890" s="25"/>
      <c r="M4890" s="26" t="s">
        <v>6323</v>
      </c>
      <c r="N4890" s="28">
        <v>44941</v>
      </c>
      <c r="O4890" s="28" t="s">
        <v>461</v>
      </c>
      <c r="P4890" s="29">
        <v>11500</v>
      </c>
      <c r="Q4890" s="369">
        <v>25</v>
      </c>
      <c r="R4890" s="119">
        <f t="shared" si="109"/>
        <v>287500</v>
      </c>
      <c r="S4890" s="37">
        <v>202303</v>
      </c>
      <c r="T4890" s="375" t="s">
        <v>6584</v>
      </c>
      <c r="U4890" s="39"/>
      <c r="V4890" s="370"/>
      <c r="W4890" s="41"/>
      <c r="X4890" s="371">
        <v>44743</v>
      </c>
      <c r="Y4890" s="371">
        <v>46934</v>
      </c>
    </row>
    <row r="4891" s="9" customFormat="1" customHeight="1" spans="1:25">
      <c r="A4891" s="16" t="s">
        <v>401</v>
      </c>
      <c r="B4891" s="17" t="s">
        <v>6236</v>
      </c>
      <c r="C4891" s="17" t="s">
        <v>63</v>
      </c>
      <c r="D4891" s="17" t="s">
        <v>6237</v>
      </c>
      <c r="E4891" s="18" t="s">
        <v>6238</v>
      </c>
      <c r="F4891" s="16" t="s">
        <v>6239</v>
      </c>
      <c r="G4891" s="16" t="s">
        <v>88</v>
      </c>
      <c r="H4891" s="19" t="s">
        <v>6545</v>
      </c>
      <c r="I4891" s="23" t="e">
        <f>VLOOKUP(H4891,'合同综合查询数据（3月返）'!$A:$A,1,FALSE)</f>
        <v>#N/A</v>
      </c>
      <c r="J4891" s="24" t="s">
        <v>3074</v>
      </c>
      <c r="K4891" s="16" t="s">
        <v>6546</v>
      </c>
      <c r="L4891" s="25"/>
      <c r="M4891" s="26" t="s">
        <v>6323</v>
      </c>
      <c r="N4891" s="28">
        <v>44942</v>
      </c>
      <c r="O4891" s="28" t="s">
        <v>461</v>
      </c>
      <c r="P4891" s="29">
        <v>11500</v>
      </c>
      <c r="Q4891" s="369">
        <v>16</v>
      </c>
      <c r="R4891" s="119">
        <f t="shared" si="109"/>
        <v>184000</v>
      </c>
      <c r="S4891" s="37">
        <v>202303</v>
      </c>
      <c r="T4891" s="375" t="s">
        <v>6585</v>
      </c>
      <c r="U4891" s="39"/>
      <c r="V4891" s="370"/>
      <c r="W4891" s="41"/>
      <c r="X4891" s="371">
        <v>44743</v>
      </c>
      <c r="Y4891" s="371">
        <v>46934</v>
      </c>
    </row>
    <row r="4892" s="9" customFormat="1" customHeight="1" spans="1:25">
      <c r="A4892" s="16" t="s">
        <v>401</v>
      </c>
      <c r="B4892" s="17" t="s">
        <v>6236</v>
      </c>
      <c r="C4892" s="17" t="s">
        <v>63</v>
      </c>
      <c r="D4892" s="17" t="s">
        <v>6237</v>
      </c>
      <c r="E4892" s="18" t="s">
        <v>6238</v>
      </c>
      <c r="F4892" s="16" t="s">
        <v>6239</v>
      </c>
      <c r="G4892" s="16" t="s">
        <v>88</v>
      </c>
      <c r="H4892" s="19" t="s">
        <v>6545</v>
      </c>
      <c r="I4892" s="23" t="e">
        <f>VLOOKUP(H4892,'合同综合查询数据（3月返）'!$A:$A,1,FALSE)</f>
        <v>#N/A</v>
      </c>
      <c r="J4892" s="24" t="s">
        <v>3074</v>
      </c>
      <c r="K4892" s="16" t="s">
        <v>6546</v>
      </c>
      <c r="L4892" s="25"/>
      <c r="M4892" s="26" t="s">
        <v>6323</v>
      </c>
      <c r="N4892" s="28">
        <v>44956</v>
      </c>
      <c r="O4892" s="28" t="s">
        <v>461</v>
      </c>
      <c r="P4892" s="29">
        <v>11500</v>
      </c>
      <c r="Q4892" s="369">
        <v>5</v>
      </c>
      <c r="R4892" s="119">
        <f t="shared" si="109"/>
        <v>57500</v>
      </c>
      <c r="S4892" s="37">
        <v>202303</v>
      </c>
      <c r="T4892" s="375" t="s">
        <v>6586</v>
      </c>
      <c r="U4892" s="39"/>
      <c r="V4892" s="370"/>
      <c r="W4892" s="41"/>
      <c r="X4892" s="371">
        <v>44743</v>
      </c>
      <c r="Y4892" s="371">
        <v>46934</v>
      </c>
    </row>
    <row r="4893" s="9" customFormat="1" customHeight="1" spans="1:25">
      <c r="A4893" s="16" t="s">
        <v>401</v>
      </c>
      <c r="B4893" s="17" t="s">
        <v>6236</v>
      </c>
      <c r="C4893" s="17" t="s">
        <v>63</v>
      </c>
      <c r="D4893" s="17" t="s">
        <v>6237</v>
      </c>
      <c r="E4893" s="18" t="s">
        <v>6238</v>
      </c>
      <c r="F4893" s="16" t="s">
        <v>6239</v>
      </c>
      <c r="G4893" s="16" t="s">
        <v>88</v>
      </c>
      <c r="H4893" s="19" t="s">
        <v>6545</v>
      </c>
      <c r="I4893" s="23" t="e">
        <f>VLOOKUP(H4893,'合同综合查询数据（3月返）'!$A:$A,1,FALSE)</f>
        <v>#N/A</v>
      </c>
      <c r="J4893" s="24" t="s">
        <v>3074</v>
      </c>
      <c r="K4893" s="16" t="s">
        <v>6546</v>
      </c>
      <c r="L4893" s="25"/>
      <c r="M4893" s="26" t="s">
        <v>6323</v>
      </c>
      <c r="N4893" s="28">
        <v>44966</v>
      </c>
      <c r="O4893" s="28" t="s">
        <v>461</v>
      </c>
      <c r="P4893" s="29">
        <v>11500</v>
      </c>
      <c r="Q4893" s="369">
        <v>5</v>
      </c>
      <c r="R4893" s="119">
        <f t="shared" si="109"/>
        <v>57500</v>
      </c>
      <c r="S4893" s="37">
        <v>202303</v>
      </c>
      <c r="T4893" s="375" t="s">
        <v>6587</v>
      </c>
      <c r="U4893" s="39"/>
      <c r="V4893" s="370"/>
      <c r="W4893" s="41"/>
      <c r="X4893" s="371">
        <v>44743</v>
      </c>
      <c r="Y4893" s="371">
        <v>46934</v>
      </c>
    </row>
    <row r="4894" s="9" customFormat="1" customHeight="1" spans="1:25">
      <c r="A4894" s="16" t="s">
        <v>401</v>
      </c>
      <c r="B4894" s="17" t="s">
        <v>6236</v>
      </c>
      <c r="C4894" s="17" t="s">
        <v>63</v>
      </c>
      <c r="D4894" s="17" t="s">
        <v>6237</v>
      </c>
      <c r="E4894" s="18" t="s">
        <v>6238</v>
      </c>
      <c r="F4894" s="16" t="s">
        <v>6239</v>
      </c>
      <c r="G4894" s="16" t="s">
        <v>88</v>
      </c>
      <c r="H4894" s="19" t="s">
        <v>6545</v>
      </c>
      <c r="I4894" s="23" t="e">
        <f>VLOOKUP(H4894,'合同综合查询数据（3月返）'!$A:$A,1,FALSE)</f>
        <v>#N/A</v>
      </c>
      <c r="J4894" s="24" t="s">
        <v>3074</v>
      </c>
      <c r="K4894" s="16" t="s">
        <v>6546</v>
      </c>
      <c r="L4894" s="25"/>
      <c r="M4894" s="26" t="s">
        <v>6323</v>
      </c>
      <c r="N4894" s="28">
        <v>44967</v>
      </c>
      <c r="O4894" s="28" t="s">
        <v>461</v>
      </c>
      <c r="P4894" s="29">
        <v>11500</v>
      </c>
      <c r="Q4894" s="369">
        <v>2</v>
      </c>
      <c r="R4894" s="119">
        <f t="shared" si="109"/>
        <v>23000</v>
      </c>
      <c r="S4894" s="37">
        <v>202303</v>
      </c>
      <c r="T4894" s="375" t="s">
        <v>6588</v>
      </c>
      <c r="U4894" s="39"/>
      <c r="V4894" s="370"/>
      <c r="W4894" s="41"/>
      <c r="X4894" s="371">
        <v>44743</v>
      </c>
      <c r="Y4894" s="371">
        <v>46934</v>
      </c>
    </row>
    <row r="4895" s="9" customFormat="1" customHeight="1" spans="1:25">
      <c r="A4895" s="16" t="s">
        <v>401</v>
      </c>
      <c r="B4895" s="17" t="s">
        <v>6236</v>
      </c>
      <c r="C4895" s="17" t="s">
        <v>63</v>
      </c>
      <c r="D4895" s="17" t="s">
        <v>6237</v>
      </c>
      <c r="E4895" s="18" t="s">
        <v>6238</v>
      </c>
      <c r="F4895" s="16" t="s">
        <v>6239</v>
      </c>
      <c r="G4895" s="16" t="s">
        <v>88</v>
      </c>
      <c r="H4895" s="19" t="s">
        <v>6545</v>
      </c>
      <c r="I4895" s="23" t="e">
        <f>VLOOKUP(H4895,'合同综合查询数据（3月返）'!$A:$A,1,FALSE)</f>
        <v>#N/A</v>
      </c>
      <c r="J4895" s="24" t="s">
        <v>3074</v>
      </c>
      <c r="K4895" s="16" t="s">
        <v>6546</v>
      </c>
      <c r="L4895" s="25"/>
      <c r="M4895" s="26" t="s">
        <v>6323</v>
      </c>
      <c r="N4895" s="28">
        <v>44970</v>
      </c>
      <c r="O4895" s="28" t="s">
        <v>461</v>
      </c>
      <c r="P4895" s="29">
        <v>11500</v>
      </c>
      <c r="Q4895" s="369">
        <v>15</v>
      </c>
      <c r="R4895" s="119">
        <f t="shared" si="109"/>
        <v>172500</v>
      </c>
      <c r="S4895" s="37">
        <v>202303</v>
      </c>
      <c r="T4895" s="375" t="s">
        <v>6589</v>
      </c>
      <c r="U4895" s="39"/>
      <c r="V4895" s="370"/>
      <c r="W4895" s="41"/>
      <c r="X4895" s="371">
        <v>44743</v>
      </c>
      <c r="Y4895" s="371">
        <v>46934</v>
      </c>
    </row>
    <row r="4896" s="9" customFormat="1" customHeight="1" spans="1:25">
      <c r="A4896" s="16" t="s">
        <v>401</v>
      </c>
      <c r="B4896" s="17" t="s">
        <v>6236</v>
      </c>
      <c r="C4896" s="17" t="s">
        <v>63</v>
      </c>
      <c r="D4896" s="17" t="s">
        <v>6237</v>
      </c>
      <c r="E4896" s="18" t="s">
        <v>6238</v>
      </c>
      <c r="F4896" s="16" t="s">
        <v>6239</v>
      </c>
      <c r="G4896" s="16" t="s">
        <v>88</v>
      </c>
      <c r="H4896" s="19" t="s">
        <v>6545</v>
      </c>
      <c r="I4896" s="23" t="e">
        <f>VLOOKUP(H4896,'合同综合查询数据（3月返）'!$A:$A,1,FALSE)</f>
        <v>#N/A</v>
      </c>
      <c r="J4896" s="24" t="s">
        <v>3074</v>
      </c>
      <c r="K4896" s="16" t="s">
        <v>6546</v>
      </c>
      <c r="L4896" s="25"/>
      <c r="M4896" s="26" t="s">
        <v>6323</v>
      </c>
      <c r="N4896" s="28">
        <v>44971</v>
      </c>
      <c r="O4896" s="28" t="s">
        <v>461</v>
      </c>
      <c r="P4896" s="29">
        <v>11500</v>
      </c>
      <c r="Q4896" s="369">
        <v>1</v>
      </c>
      <c r="R4896" s="119">
        <f t="shared" si="109"/>
        <v>11500</v>
      </c>
      <c r="S4896" s="37">
        <v>202303</v>
      </c>
      <c r="T4896" s="375" t="s">
        <v>6590</v>
      </c>
      <c r="U4896" s="39"/>
      <c r="V4896" s="370"/>
      <c r="W4896" s="41"/>
      <c r="X4896" s="371">
        <v>44743</v>
      </c>
      <c r="Y4896" s="371">
        <v>46934</v>
      </c>
    </row>
    <row r="4897" s="9" customFormat="1" customHeight="1" spans="1:25">
      <c r="A4897" s="16" t="s">
        <v>401</v>
      </c>
      <c r="B4897" s="17" t="s">
        <v>6236</v>
      </c>
      <c r="C4897" s="17" t="s">
        <v>63</v>
      </c>
      <c r="D4897" s="17" t="s">
        <v>6237</v>
      </c>
      <c r="E4897" s="18" t="s">
        <v>6238</v>
      </c>
      <c r="F4897" s="16" t="s">
        <v>6239</v>
      </c>
      <c r="G4897" s="16" t="s">
        <v>88</v>
      </c>
      <c r="H4897" s="19" t="s">
        <v>6545</v>
      </c>
      <c r="I4897" s="23" t="e">
        <f>VLOOKUP(H4897,'合同综合查询数据（3月返）'!$A:$A,1,FALSE)</f>
        <v>#N/A</v>
      </c>
      <c r="J4897" s="24" t="s">
        <v>3074</v>
      </c>
      <c r="K4897" s="16" t="s">
        <v>6546</v>
      </c>
      <c r="L4897" s="25"/>
      <c r="M4897" s="26" t="s">
        <v>6323</v>
      </c>
      <c r="N4897" s="28">
        <v>44973</v>
      </c>
      <c r="O4897" s="28" t="s">
        <v>461</v>
      </c>
      <c r="P4897" s="29">
        <v>11500</v>
      </c>
      <c r="Q4897" s="369">
        <v>15</v>
      </c>
      <c r="R4897" s="119">
        <f t="shared" si="109"/>
        <v>172500</v>
      </c>
      <c r="S4897" s="37">
        <v>202303</v>
      </c>
      <c r="T4897" s="375" t="s">
        <v>6591</v>
      </c>
      <c r="U4897" s="39"/>
      <c r="V4897" s="370"/>
      <c r="W4897" s="41"/>
      <c r="X4897" s="371">
        <v>44743</v>
      </c>
      <c r="Y4897" s="371">
        <v>46934</v>
      </c>
    </row>
    <row r="4898" s="9" customFormat="1" customHeight="1" spans="1:25">
      <c r="A4898" s="16" t="s">
        <v>401</v>
      </c>
      <c r="B4898" s="17" t="s">
        <v>6236</v>
      </c>
      <c r="C4898" s="17" t="s">
        <v>63</v>
      </c>
      <c r="D4898" s="17" t="s">
        <v>6237</v>
      </c>
      <c r="E4898" s="18" t="s">
        <v>6238</v>
      </c>
      <c r="F4898" s="16" t="s">
        <v>6239</v>
      </c>
      <c r="G4898" s="16" t="s">
        <v>88</v>
      </c>
      <c r="H4898" s="19" t="s">
        <v>6545</v>
      </c>
      <c r="I4898" s="23" t="e">
        <f>VLOOKUP(H4898,'合同综合查询数据（3月返）'!$A:$A,1,FALSE)</f>
        <v>#N/A</v>
      </c>
      <c r="J4898" s="24" t="s">
        <v>3074</v>
      </c>
      <c r="K4898" s="16" t="s">
        <v>6546</v>
      </c>
      <c r="L4898" s="25"/>
      <c r="M4898" s="26" t="s">
        <v>6323</v>
      </c>
      <c r="N4898" s="28">
        <v>44977</v>
      </c>
      <c r="O4898" s="28" t="s">
        <v>461</v>
      </c>
      <c r="P4898" s="29">
        <v>11500</v>
      </c>
      <c r="Q4898" s="369">
        <v>5</v>
      </c>
      <c r="R4898" s="119">
        <f t="shared" si="109"/>
        <v>57500</v>
      </c>
      <c r="S4898" s="37">
        <v>202303</v>
      </c>
      <c r="T4898" s="375" t="s">
        <v>6592</v>
      </c>
      <c r="U4898" s="39"/>
      <c r="V4898" s="370"/>
      <c r="W4898" s="41"/>
      <c r="X4898" s="371">
        <v>44743</v>
      </c>
      <c r="Y4898" s="371">
        <v>46934</v>
      </c>
    </row>
    <row r="4899" s="9" customFormat="1" customHeight="1" spans="1:25">
      <c r="A4899" s="16" t="s">
        <v>401</v>
      </c>
      <c r="B4899" s="17" t="s">
        <v>6236</v>
      </c>
      <c r="C4899" s="17" t="s">
        <v>63</v>
      </c>
      <c r="D4899" s="17" t="s">
        <v>6237</v>
      </c>
      <c r="E4899" s="18" t="s">
        <v>6238</v>
      </c>
      <c r="F4899" s="16" t="s">
        <v>6239</v>
      </c>
      <c r="G4899" s="16" t="s">
        <v>88</v>
      </c>
      <c r="H4899" s="19" t="s">
        <v>6545</v>
      </c>
      <c r="I4899" s="23" t="e">
        <f>VLOOKUP(H4899,'合同综合查询数据（3月返）'!$A:$A,1,FALSE)</f>
        <v>#N/A</v>
      </c>
      <c r="J4899" s="24" t="s">
        <v>3074</v>
      </c>
      <c r="K4899" s="16" t="s">
        <v>6546</v>
      </c>
      <c r="L4899" s="25"/>
      <c r="M4899" s="26" t="s">
        <v>6323</v>
      </c>
      <c r="N4899" s="28">
        <v>44978</v>
      </c>
      <c r="O4899" s="28" t="s">
        <v>461</v>
      </c>
      <c r="P4899" s="29">
        <v>11500</v>
      </c>
      <c r="Q4899" s="369">
        <v>3</v>
      </c>
      <c r="R4899" s="119">
        <f t="shared" si="109"/>
        <v>34500</v>
      </c>
      <c r="S4899" s="37">
        <v>202303</v>
      </c>
      <c r="T4899" s="375" t="s">
        <v>6593</v>
      </c>
      <c r="U4899" s="39"/>
      <c r="V4899" s="370"/>
      <c r="W4899" s="41"/>
      <c r="X4899" s="371">
        <v>44743</v>
      </c>
      <c r="Y4899" s="371">
        <v>46934</v>
      </c>
    </row>
    <row r="4900" s="9" customFormat="1" customHeight="1" spans="1:25">
      <c r="A4900" s="16" t="s">
        <v>401</v>
      </c>
      <c r="B4900" s="17" t="s">
        <v>6236</v>
      </c>
      <c r="C4900" s="17" t="s">
        <v>63</v>
      </c>
      <c r="D4900" s="17" t="s">
        <v>6237</v>
      </c>
      <c r="E4900" s="18" t="s">
        <v>6238</v>
      </c>
      <c r="F4900" s="16" t="s">
        <v>6239</v>
      </c>
      <c r="G4900" s="16" t="s">
        <v>88</v>
      </c>
      <c r="H4900" s="19" t="s">
        <v>6545</v>
      </c>
      <c r="I4900" s="23" t="e">
        <f>VLOOKUP(H4900,'合同综合查询数据（3月返）'!$A:$A,1,FALSE)</f>
        <v>#N/A</v>
      </c>
      <c r="J4900" s="24" t="s">
        <v>3074</v>
      </c>
      <c r="K4900" s="16" t="s">
        <v>6546</v>
      </c>
      <c r="L4900" s="25"/>
      <c r="M4900" s="26" t="s">
        <v>6323</v>
      </c>
      <c r="N4900" s="28">
        <v>44980</v>
      </c>
      <c r="O4900" s="28" t="s">
        <v>461</v>
      </c>
      <c r="P4900" s="29">
        <v>11500</v>
      </c>
      <c r="Q4900" s="369">
        <v>13</v>
      </c>
      <c r="R4900" s="119">
        <f t="shared" si="109"/>
        <v>149500</v>
      </c>
      <c r="S4900" s="37">
        <v>202303</v>
      </c>
      <c r="T4900" s="375" t="s">
        <v>6594</v>
      </c>
      <c r="U4900" s="39"/>
      <c r="V4900" s="370"/>
      <c r="W4900" s="41"/>
      <c r="X4900" s="371">
        <v>44743</v>
      </c>
      <c r="Y4900" s="371">
        <v>46934</v>
      </c>
    </row>
    <row r="4901" s="9" customFormat="1" customHeight="1" spans="1:25">
      <c r="A4901" s="16" t="s">
        <v>401</v>
      </c>
      <c r="B4901" s="17" t="s">
        <v>6236</v>
      </c>
      <c r="C4901" s="17" t="s">
        <v>63</v>
      </c>
      <c r="D4901" s="17" t="s">
        <v>6237</v>
      </c>
      <c r="E4901" s="18" t="s">
        <v>6238</v>
      </c>
      <c r="F4901" s="16" t="s">
        <v>6239</v>
      </c>
      <c r="G4901" s="16" t="s">
        <v>88</v>
      </c>
      <c r="H4901" s="19" t="s">
        <v>6545</v>
      </c>
      <c r="I4901" s="23" t="e">
        <f>VLOOKUP(H4901,'合同综合查询数据（3月返）'!$A:$A,1,FALSE)</f>
        <v>#N/A</v>
      </c>
      <c r="J4901" s="24" t="s">
        <v>3074</v>
      </c>
      <c r="K4901" s="16" t="s">
        <v>6546</v>
      </c>
      <c r="L4901" s="25"/>
      <c r="M4901" s="26" t="s">
        <v>6323</v>
      </c>
      <c r="N4901" s="28">
        <v>44981</v>
      </c>
      <c r="O4901" s="28" t="s">
        <v>461</v>
      </c>
      <c r="P4901" s="29">
        <v>11500</v>
      </c>
      <c r="Q4901" s="369">
        <v>5</v>
      </c>
      <c r="R4901" s="119">
        <f t="shared" si="109"/>
        <v>57500</v>
      </c>
      <c r="S4901" s="37">
        <v>202303</v>
      </c>
      <c r="T4901" s="375" t="s">
        <v>6595</v>
      </c>
      <c r="U4901" s="39"/>
      <c r="V4901" s="370"/>
      <c r="W4901" s="41"/>
      <c r="X4901" s="371">
        <v>44743</v>
      </c>
      <c r="Y4901" s="371">
        <v>46934</v>
      </c>
    </row>
    <row r="4902" s="9" customFormat="1" customHeight="1" spans="1:25">
      <c r="A4902" s="16" t="s">
        <v>401</v>
      </c>
      <c r="B4902" s="17" t="s">
        <v>6236</v>
      </c>
      <c r="C4902" s="17" t="s">
        <v>63</v>
      </c>
      <c r="D4902" s="17" t="s">
        <v>6237</v>
      </c>
      <c r="E4902" s="18" t="s">
        <v>6238</v>
      </c>
      <c r="F4902" s="16" t="s">
        <v>6239</v>
      </c>
      <c r="G4902" s="16" t="s">
        <v>88</v>
      </c>
      <c r="H4902" s="19" t="s">
        <v>6545</v>
      </c>
      <c r="I4902" s="23" t="e">
        <f>VLOOKUP(H4902,'合同综合查询数据（3月返）'!$A:$A,1,FALSE)</f>
        <v>#N/A</v>
      </c>
      <c r="J4902" s="24" t="s">
        <v>3074</v>
      </c>
      <c r="K4902" s="16" t="s">
        <v>6546</v>
      </c>
      <c r="L4902" s="25"/>
      <c r="M4902" s="26" t="s">
        <v>6323</v>
      </c>
      <c r="N4902" s="28">
        <v>44986</v>
      </c>
      <c r="O4902" s="28" t="s">
        <v>461</v>
      </c>
      <c r="P4902" s="29">
        <v>11500</v>
      </c>
      <c r="Q4902" s="369">
        <v>4</v>
      </c>
      <c r="R4902" s="119">
        <f t="shared" si="109"/>
        <v>46000</v>
      </c>
      <c r="S4902" s="37">
        <v>202303</v>
      </c>
      <c r="T4902" s="380" t="s">
        <v>6596</v>
      </c>
      <c r="U4902" s="39"/>
      <c r="V4902" s="370"/>
      <c r="W4902" s="41"/>
      <c r="X4902" s="371"/>
      <c r="Y4902" s="371"/>
    </row>
    <row r="4903" s="9" customFormat="1" customHeight="1" spans="1:25">
      <c r="A4903" s="16" t="s">
        <v>401</v>
      </c>
      <c r="B4903" s="17" t="s">
        <v>6236</v>
      </c>
      <c r="C4903" s="17" t="s">
        <v>63</v>
      </c>
      <c r="D4903" s="17" t="s">
        <v>6237</v>
      </c>
      <c r="E4903" s="18" t="s">
        <v>6238</v>
      </c>
      <c r="F4903" s="16" t="s">
        <v>6239</v>
      </c>
      <c r="G4903" s="16" t="s">
        <v>88</v>
      </c>
      <c r="H4903" s="19" t="s">
        <v>6545</v>
      </c>
      <c r="I4903" s="23" t="e">
        <f>VLOOKUP(H4903,'合同综合查询数据（3月返）'!$A:$A,1,FALSE)</f>
        <v>#N/A</v>
      </c>
      <c r="J4903" s="24" t="s">
        <v>3074</v>
      </c>
      <c r="K4903" s="16" t="s">
        <v>6546</v>
      </c>
      <c r="L4903" s="25"/>
      <c r="M4903" s="26" t="s">
        <v>6323</v>
      </c>
      <c r="N4903" s="28">
        <v>44987</v>
      </c>
      <c r="O4903" s="28" t="s">
        <v>461</v>
      </c>
      <c r="P4903" s="29">
        <v>11500</v>
      </c>
      <c r="Q4903" s="369">
        <v>1</v>
      </c>
      <c r="R4903" s="119">
        <f>ROUND(P4903*Q4903*30/31,2)</f>
        <v>11129.03</v>
      </c>
      <c r="S4903" s="37">
        <v>202303</v>
      </c>
      <c r="T4903" s="380" t="s">
        <v>6597</v>
      </c>
      <c r="U4903" s="39"/>
      <c r="V4903" s="370"/>
      <c r="W4903" s="41"/>
      <c r="X4903" s="371"/>
      <c r="Y4903" s="371"/>
    </row>
    <row r="4904" s="9" customFormat="1" customHeight="1" spans="1:25">
      <c r="A4904" s="16" t="s">
        <v>401</v>
      </c>
      <c r="B4904" s="17" t="s">
        <v>6236</v>
      </c>
      <c r="C4904" s="17" t="s">
        <v>63</v>
      </c>
      <c r="D4904" s="17" t="s">
        <v>6237</v>
      </c>
      <c r="E4904" s="18" t="s">
        <v>6238</v>
      </c>
      <c r="F4904" s="16" t="s">
        <v>6239</v>
      </c>
      <c r="G4904" s="16" t="s">
        <v>88</v>
      </c>
      <c r="H4904" s="19" t="s">
        <v>6545</v>
      </c>
      <c r="I4904" s="23" t="e">
        <f>VLOOKUP(H4904,'合同综合查询数据（3月返）'!$A:$A,1,FALSE)</f>
        <v>#N/A</v>
      </c>
      <c r="J4904" s="24" t="s">
        <v>3074</v>
      </c>
      <c r="K4904" s="16" t="s">
        <v>6546</v>
      </c>
      <c r="L4904" s="25"/>
      <c r="M4904" s="26" t="s">
        <v>6323</v>
      </c>
      <c r="N4904" s="28">
        <v>44988</v>
      </c>
      <c r="O4904" s="28" t="s">
        <v>461</v>
      </c>
      <c r="P4904" s="29">
        <v>11500</v>
      </c>
      <c r="Q4904" s="369">
        <v>2</v>
      </c>
      <c r="R4904" s="119">
        <f>ROUND(P4904*Q4904*29/31,2)</f>
        <v>21516.13</v>
      </c>
      <c r="S4904" s="37">
        <v>202303</v>
      </c>
      <c r="T4904" s="380" t="s">
        <v>6598</v>
      </c>
      <c r="U4904" s="39"/>
      <c r="V4904" s="370"/>
      <c r="W4904" s="41"/>
      <c r="X4904" s="371"/>
      <c r="Y4904" s="371"/>
    </row>
    <row r="4905" s="9" customFormat="1" customHeight="1" spans="1:25">
      <c r="A4905" s="16" t="s">
        <v>401</v>
      </c>
      <c r="B4905" s="17" t="s">
        <v>6236</v>
      </c>
      <c r="C4905" s="17" t="s">
        <v>63</v>
      </c>
      <c r="D4905" s="17" t="s">
        <v>6237</v>
      </c>
      <c r="E4905" s="18" t="s">
        <v>6238</v>
      </c>
      <c r="F4905" s="16" t="s">
        <v>6239</v>
      </c>
      <c r="G4905" s="16" t="s">
        <v>88</v>
      </c>
      <c r="H4905" s="19" t="s">
        <v>6545</v>
      </c>
      <c r="I4905" s="23" t="e">
        <f>VLOOKUP(H4905,'合同综合查询数据（3月返）'!$A:$A,1,FALSE)</f>
        <v>#N/A</v>
      </c>
      <c r="J4905" s="24" t="s">
        <v>3074</v>
      </c>
      <c r="K4905" s="16" t="s">
        <v>6546</v>
      </c>
      <c r="L4905" s="25"/>
      <c r="M4905" s="26" t="s">
        <v>6323</v>
      </c>
      <c r="N4905" s="28">
        <v>44988</v>
      </c>
      <c r="O4905" s="28" t="s">
        <v>461</v>
      </c>
      <c r="P4905" s="29">
        <v>11500</v>
      </c>
      <c r="Q4905" s="369">
        <v>-2</v>
      </c>
      <c r="R4905" s="119">
        <f>ROUND(P4905*Q4905*28/31,2)</f>
        <v>-20774.19</v>
      </c>
      <c r="S4905" s="37">
        <v>202303</v>
      </c>
      <c r="T4905" s="380" t="s">
        <v>6599</v>
      </c>
      <c r="U4905" s="39"/>
      <c r="V4905" s="370"/>
      <c r="W4905" s="41"/>
      <c r="X4905" s="371"/>
      <c r="Y4905" s="371"/>
    </row>
    <row r="4906" s="9" customFormat="1" customHeight="1" spans="1:25">
      <c r="A4906" s="16" t="s">
        <v>401</v>
      </c>
      <c r="B4906" s="17" t="s">
        <v>6236</v>
      </c>
      <c r="C4906" s="17" t="s">
        <v>63</v>
      </c>
      <c r="D4906" s="17" t="s">
        <v>6237</v>
      </c>
      <c r="E4906" s="18" t="s">
        <v>6238</v>
      </c>
      <c r="F4906" s="16" t="s">
        <v>6239</v>
      </c>
      <c r="G4906" s="16" t="s">
        <v>88</v>
      </c>
      <c r="H4906" s="19" t="s">
        <v>6545</v>
      </c>
      <c r="I4906" s="23" t="e">
        <f>VLOOKUP(H4906,'合同综合查询数据（3月返）'!$A:$A,1,FALSE)</f>
        <v>#N/A</v>
      </c>
      <c r="J4906" s="24" t="s">
        <v>3074</v>
      </c>
      <c r="K4906" s="16" t="s">
        <v>6546</v>
      </c>
      <c r="L4906" s="25"/>
      <c r="M4906" s="26" t="s">
        <v>6323</v>
      </c>
      <c r="N4906" s="28">
        <v>44993</v>
      </c>
      <c r="O4906" s="28" t="s">
        <v>461</v>
      </c>
      <c r="P4906" s="29">
        <v>11500</v>
      </c>
      <c r="Q4906" s="369">
        <v>4</v>
      </c>
      <c r="R4906" s="119">
        <f>ROUND(P4906*Q4906*24/31,2)</f>
        <v>35612.9</v>
      </c>
      <c r="S4906" s="37">
        <v>202303</v>
      </c>
      <c r="T4906" s="380" t="s">
        <v>6600</v>
      </c>
      <c r="U4906" s="39"/>
      <c r="V4906" s="370"/>
      <c r="W4906" s="41"/>
      <c r="X4906" s="371"/>
      <c r="Y4906" s="371"/>
    </row>
    <row r="4907" s="9" customFormat="1" customHeight="1" spans="1:25">
      <c r="A4907" s="16" t="s">
        <v>401</v>
      </c>
      <c r="B4907" s="17" t="s">
        <v>6236</v>
      </c>
      <c r="C4907" s="17" t="s">
        <v>63</v>
      </c>
      <c r="D4907" s="17" t="s">
        <v>6237</v>
      </c>
      <c r="E4907" s="18" t="s">
        <v>6238</v>
      </c>
      <c r="F4907" s="16" t="s">
        <v>6239</v>
      </c>
      <c r="G4907" s="16" t="s">
        <v>88</v>
      </c>
      <c r="H4907" s="19" t="s">
        <v>6545</v>
      </c>
      <c r="I4907" s="23" t="e">
        <f>VLOOKUP(H4907,'合同综合查询数据（3月返）'!$A:$A,1,FALSE)</f>
        <v>#N/A</v>
      </c>
      <c r="J4907" s="24" t="s">
        <v>3074</v>
      </c>
      <c r="K4907" s="16" t="s">
        <v>6546</v>
      </c>
      <c r="L4907" s="25"/>
      <c r="M4907" s="26" t="s">
        <v>6323</v>
      </c>
      <c r="N4907" s="28">
        <v>44994</v>
      </c>
      <c r="O4907" s="28" t="s">
        <v>461</v>
      </c>
      <c r="P4907" s="29">
        <v>11500</v>
      </c>
      <c r="Q4907" s="369">
        <v>7</v>
      </c>
      <c r="R4907" s="119">
        <f>ROUND(P4907*Q4907*23/31,2)</f>
        <v>59725.81</v>
      </c>
      <c r="S4907" s="37">
        <v>202303</v>
      </c>
      <c r="T4907" s="381" t="s">
        <v>6601</v>
      </c>
      <c r="U4907" s="39"/>
      <c r="V4907" s="370"/>
      <c r="W4907" s="41"/>
      <c r="X4907" s="371"/>
      <c r="Y4907" s="371"/>
    </row>
    <row r="4908" s="9" customFormat="1" customHeight="1" spans="1:25">
      <c r="A4908" s="16" t="s">
        <v>401</v>
      </c>
      <c r="B4908" s="17" t="s">
        <v>6236</v>
      </c>
      <c r="C4908" s="17" t="s">
        <v>63</v>
      </c>
      <c r="D4908" s="17" t="s">
        <v>6237</v>
      </c>
      <c r="E4908" s="18" t="s">
        <v>6238</v>
      </c>
      <c r="F4908" s="16" t="s">
        <v>6239</v>
      </c>
      <c r="G4908" s="16" t="s">
        <v>88</v>
      </c>
      <c r="H4908" s="19" t="s">
        <v>6545</v>
      </c>
      <c r="I4908" s="23" t="e">
        <f>VLOOKUP(H4908,'合同综合查询数据（3月返）'!$A:$A,1,FALSE)</f>
        <v>#N/A</v>
      </c>
      <c r="J4908" s="24" t="s">
        <v>3074</v>
      </c>
      <c r="K4908" s="16" t="s">
        <v>6546</v>
      </c>
      <c r="L4908" s="25"/>
      <c r="M4908" s="26" t="s">
        <v>6323</v>
      </c>
      <c r="N4908" s="28">
        <v>45002</v>
      </c>
      <c r="O4908" s="28" t="s">
        <v>461</v>
      </c>
      <c r="P4908" s="29">
        <v>11500</v>
      </c>
      <c r="Q4908" s="369">
        <v>1</v>
      </c>
      <c r="R4908" s="119">
        <f>ROUND(P4908*Q4908*15/31,2)</f>
        <v>5564.52</v>
      </c>
      <c r="S4908" s="37">
        <v>202303</v>
      </c>
      <c r="T4908" s="380" t="s">
        <v>6602</v>
      </c>
      <c r="U4908" s="39"/>
      <c r="V4908" s="370"/>
      <c r="W4908" s="41"/>
      <c r="X4908" s="371"/>
      <c r="Y4908" s="371"/>
    </row>
    <row r="4909" s="9" customFormat="1" customHeight="1" spans="1:25">
      <c r="A4909" s="16" t="s">
        <v>401</v>
      </c>
      <c r="B4909" s="17" t="s">
        <v>6236</v>
      </c>
      <c r="C4909" s="17" t="s">
        <v>63</v>
      </c>
      <c r="D4909" s="17" t="s">
        <v>6237</v>
      </c>
      <c r="E4909" s="18" t="s">
        <v>6238</v>
      </c>
      <c r="F4909" s="16" t="s">
        <v>6239</v>
      </c>
      <c r="G4909" s="16" t="s">
        <v>88</v>
      </c>
      <c r="H4909" s="19" t="s">
        <v>6545</v>
      </c>
      <c r="I4909" s="23" t="e">
        <f>VLOOKUP(H4909,'合同综合查询数据（3月返）'!$A:$A,1,FALSE)</f>
        <v>#N/A</v>
      </c>
      <c r="J4909" s="24" t="s">
        <v>3074</v>
      </c>
      <c r="K4909" s="16" t="s">
        <v>6546</v>
      </c>
      <c r="L4909" s="25"/>
      <c r="M4909" s="26" t="s">
        <v>6323</v>
      </c>
      <c r="N4909" s="28">
        <v>45011</v>
      </c>
      <c r="O4909" s="28" t="s">
        <v>461</v>
      </c>
      <c r="P4909" s="29">
        <v>11500</v>
      </c>
      <c r="Q4909" s="369">
        <v>18</v>
      </c>
      <c r="R4909" s="119">
        <f>ROUND(P4909*Q4909*6/31,2)</f>
        <v>40064.52</v>
      </c>
      <c r="S4909" s="37">
        <v>202303</v>
      </c>
      <c r="T4909" s="380" t="s">
        <v>6603</v>
      </c>
      <c r="U4909" s="39"/>
      <c r="V4909" s="370"/>
      <c r="W4909" s="41"/>
      <c r="X4909" s="371"/>
      <c r="Y4909" s="371"/>
    </row>
    <row r="4910" s="10" customFormat="1" customHeight="1" spans="1:25">
      <c r="A4910" s="42" t="s">
        <v>401</v>
      </c>
      <c r="B4910" s="43" t="s">
        <v>6236</v>
      </c>
      <c r="C4910" s="43" t="s">
        <v>63</v>
      </c>
      <c r="D4910" s="43" t="s">
        <v>6237</v>
      </c>
      <c r="E4910" s="44" t="s">
        <v>6238</v>
      </c>
      <c r="F4910" s="42" t="s">
        <v>6239</v>
      </c>
      <c r="G4910" s="42" t="s">
        <v>67</v>
      </c>
      <c r="H4910" s="45" t="s">
        <v>6604</v>
      </c>
      <c r="I4910" s="47" t="e">
        <f>VLOOKUP(H4910,'合同综合查询数据（3月返）'!$A:$A,1,FALSE)</f>
        <v>#N/A</v>
      </c>
      <c r="J4910" s="48" t="s">
        <v>67</v>
      </c>
      <c r="K4910" s="42" t="s">
        <v>6605</v>
      </c>
      <c r="L4910" s="49"/>
      <c r="M4910" s="50"/>
      <c r="N4910" s="51">
        <v>39455</v>
      </c>
      <c r="O4910" s="51" t="s">
        <v>71</v>
      </c>
      <c r="P4910" s="366">
        <v>390</v>
      </c>
      <c r="Q4910" s="372">
        <v>18</v>
      </c>
      <c r="R4910" s="54">
        <f t="shared" ref="R4910:R4973" si="110">ROUND(P4910*Q4910,2)</f>
        <v>7020</v>
      </c>
      <c r="S4910" s="55">
        <v>202303</v>
      </c>
      <c r="T4910" s="56" t="s">
        <v>6606</v>
      </c>
      <c r="U4910" s="57"/>
      <c r="V4910" s="373"/>
      <c r="W4910" s="59"/>
      <c r="X4910" s="374"/>
      <c r="Y4910" s="374"/>
    </row>
    <row r="4911" s="10" customFormat="1" customHeight="1" spans="1:25">
      <c r="A4911" s="42" t="s">
        <v>401</v>
      </c>
      <c r="B4911" s="43" t="s">
        <v>6236</v>
      </c>
      <c r="C4911" s="43" t="s">
        <v>63</v>
      </c>
      <c r="D4911" s="43" t="s">
        <v>6237</v>
      </c>
      <c r="E4911" s="44" t="s">
        <v>6238</v>
      </c>
      <c r="F4911" s="42" t="s">
        <v>6239</v>
      </c>
      <c r="G4911" s="42" t="s">
        <v>67</v>
      </c>
      <c r="H4911" s="45" t="s">
        <v>6604</v>
      </c>
      <c r="I4911" s="47" t="e">
        <f>VLOOKUP(H4911,'合同综合查询数据（3月返）'!$A:$A,1,FALSE)</f>
        <v>#N/A</v>
      </c>
      <c r="J4911" s="48" t="s">
        <v>67</v>
      </c>
      <c r="K4911" s="42" t="s">
        <v>6605</v>
      </c>
      <c r="L4911" s="49"/>
      <c r="M4911" s="50"/>
      <c r="N4911" s="51">
        <v>44286</v>
      </c>
      <c r="O4911" s="51" t="s">
        <v>71</v>
      </c>
      <c r="P4911" s="366">
        <v>390</v>
      </c>
      <c r="Q4911" s="372">
        <v>-18</v>
      </c>
      <c r="R4911" s="54">
        <f t="shared" si="110"/>
        <v>-7020</v>
      </c>
      <c r="S4911" s="55">
        <v>202303</v>
      </c>
      <c r="T4911" s="382" t="s">
        <v>6607</v>
      </c>
      <c r="U4911" s="57"/>
      <c r="V4911" s="373"/>
      <c r="W4911" s="59"/>
      <c r="X4911" s="374"/>
      <c r="Y4911" s="374"/>
    </row>
    <row r="4912" s="10" customFormat="1" customHeight="1" spans="1:25">
      <c r="A4912" s="42" t="s">
        <v>401</v>
      </c>
      <c r="B4912" s="43" t="s">
        <v>6236</v>
      </c>
      <c r="C4912" s="43" t="s">
        <v>63</v>
      </c>
      <c r="D4912" s="43" t="s">
        <v>6237</v>
      </c>
      <c r="E4912" s="44" t="s">
        <v>6238</v>
      </c>
      <c r="F4912" s="42" t="s">
        <v>6239</v>
      </c>
      <c r="G4912" s="42" t="s">
        <v>67</v>
      </c>
      <c r="H4912" s="45" t="s">
        <v>6604</v>
      </c>
      <c r="I4912" s="47" t="e">
        <f>VLOOKUP(H4912,'合同综合查询数据（3月返）'!$A:$A,1,FALSE)</f>
        <v>#N/A</v>
      </c>
      <c r="J4912" s="48" t="s">
        <v>67</v>
      </c>
      <c r="K4912" s="42" t="s">
        <v>6608</v>
      </c>
      <c r="L4912" s="49"/>
      <c r="M4912" s="50"/>
      <c r="N4912" s="51">
        <v>40072</v>
      </c>
      <c r="O4912" s="51" t="s">
        <v>71</v>
      </c>
      <c r="P4912" s="366">
        <v>390</v>
      </c>
      <c r="Q4912" s="372">
        <v>45</v>
      </c>
      <c r="R4912" s="54">
        <f t="shared" si="110"/>
        <v>17550</v>
      </c>
      <c r="S4912" s="55">
        <v>202303</v>
      </c>
      <c r="T4912" s="56" t="s">
        <v>6609</v>
      </c>
      <c r="U4912" s="57"/>
      <c r="V4912" s="373"/>
      <c r="W4912" s="59"/>
      <c r="X4912" s="374"/>
      <c r="Y4912" s="374"/>
    </row>
    <row r="4913" s="10" customFormat="1" customHeight="1" spans="1:25">
      <c r="A4913" s="42" t="s">
        <v>401</v>
      </c>
      <c r="B4913" s="43" t="s">
        <v>6236</v>
      </c>
      <c r="C4913" s="43" t="s">
        <v>63</v>
      </c>
      <c r="D4913" s="43" t="s">
        <v>6237</v>
      </c>
      <c r="E4913" s="44" t="s">
        <v>6238</v>
      </c>
      <c r="F4913" s="42" t="s">
        <v>6239</v>
      </c>
      <c r="G4913" s="42" t="s">
        <v>67</v>
      </c>
      <c r="H4913" s="45" t="s">
        <v>6604</v>
      </c>
      <c r="I4913" s="47" t="e">
        <f>VLOOKUP(H4913,'合同综合查询数据（3月返）'!$A:$A,1,FALSE)</f>
        <v>#N/A</v>
      </c>
      <c r="J4913" s="48" t="s">
        <v>67</v>
      </c>
      <c r="K4913" s="42" t="s">
        <v>6608</v>
      </c>
      <c r="L4913" s="49"/>
      <c r="M4913" s="50"/>
      <c r="N4913" s="51">
        <v>44246</v>
      </c>
      <c r="O4913" s="51" t="s">
        <v>71</v>
      </c>
      <c r="P4913" s="366">
        <v>390</v>
      </c>
      <c r="Q4913" s="372">
        <v>-45</v>
      </c>
      <c r="R4913" s="54">
        <f t="shared" si="110"/>
        <v>-17550</v>
      </c>
      <c r="S4913" s="55">
        <v>202303</v>
      </c>
      <c r="T4913" s="56" t="s">
        <v>6609</v>
      </c>
      <c r="U4913" s="57"/>
      <c r="V4913" s="373"/>
      <c r="W4913" s="59"/>
      <c r="X4913" s="374"/>
      <c r="Y4913" s="374"/>
    </row>
    <row r="4914" s="10" customFormat="1" customHeight="1" spans="1:25">
      <c r="A4914" s="42" t="s">
        <v>401</v>
      </c>
      <c r="B4914" s="43" t="s">
        <v>6236</v>
      </c>
      <c r="C4914" s="43" t="s">
        <v>63</v>
      </c>
      <c r="D4914" s="43" t="s">
        <v>6237</v>
      </c>
      <c r="E4914" s="44" t="s">
        <v>6238</v>
      </c>
      <c r="F4914" s="42" t="s">
        <v>6239</v>
      </c>
      <c r="G4914" s="42" t="s">
        <v>67</v>
      </c>
      <c r="H4914" s="45" t="s">
        <v>6604</v>
      </c>
      <c r="I4914" s="47" t="e">
        <f>VLOOKUP(H4914,'合同综合查询数据（3月返）'!$A:$A,1,FALSE)</f>
        <v>#N/A</v>
      </c>
      <c r="J4914" s="48" t="s">
        <v>67</v>
      </c>
      <c r="K4914" s="42" t="s">
        <v>6608</v>
      </c>
      <c r="L4914" s="49"/>
      <c r="M4914" s="50"/>
      <c r="N4914" s="51">
        <v>40262</v>
      </c>
      <c r="O4914" s="51" t="s">
        <v>71</v>
      </c>
      <c r="P4914" s="366">
        <v>390</v>
      </c>
      <c r="Q4914" s="372">
        <v>18</v>
      </c>
      <c r="R4914" s="54">
        <f t="shared" si="110"/>
        <v>7020</v>
      </c>
      <c r="S4914" s="55">
        <v>202303</v>
      </c>
      <c r="T4914" s="56" t="s">
        <v>6610</v>
      </c>
      <c r="U4914" s="57"/>
      <c r="V4914" s="373"/>
      <c r="W4914" s="59"/>
      <c r="X4914" s="374"/>
      <c r="Y4914" s="374"/>
    </row>
    <row r="4915" s="10" customFormat="1" customHeight="1" spans="1:25">
      <c r="A4915" s="42" t="s">
        <v>401</v>
      </c>
      <c r="B4915" s="43" t="s">
        <v>6236</v>
      </c>
      <c r="C4915" s="43" t="s">
        <v>63</v>
      </c>
      <c r="D4915" s="43" t="s">
        <v>6237</v>
      </c>
      <c r="E4915" s="44" t="s">
        <v>6238</v>
      </c>
      <c r="F4915" s="42" t="s">
        <v>6239</v>
      </c>
      <c r="G4915" s="42" t="s">
        <v>67</v>
      </c>
      <c r="H4915" s="45" t="s">
        <v>6604</v>
      </c>
      <c r="I4915" s="47" t="e">
        <f>VLOOKUP(H4915,'合同综合查询数据（3月返）'!$A:$A,1,FALSE)</f>
        <v>#N/A</v>
      </c>
      <c r="J4915" s="48" t="s">
        <v>67</v>
      </c>
      <c r="K4915" s="42" t="s">
        <v>6608</v>
      </c>
      <c r="L4915" s="49"/>
      <c r="M4915" s="50"/>
      <c r="N4915" s="51">
        <v>44246</v>
      </c>
      <c r="O4915" s="51" t="s">
        <v>71</v>
      </c>
      <c r="P4915" s="366">
        <v>390</v>
      </c>
      <c r="Q4915" s="372">
        <v>-18</v>
      </c>
      <c r="R4915" s="54">
        <f t="shared" si="110"/>
        <v>-7020</v>
      </c>
      <c r="S4915" s="55">
        <v>202303</v>
      </c>
      <c r="T4915" s="56" t="s">
        <v>6610</v>
      </c>
      <c r="U4915" s="57"/>
      <c r="V4915" s="373"/>
      <c r="W4915" s="59"/>
      <c r="X4915" s="374"/>
      <c r="Y4915" s="374"/>
    </row>
    <row r="4916" s="10" customFormat="1" customHeight="1" spans="1:25">
      <c r="A4916" s="42" t="s">
        <v>401</v>
      </c>
      <c r="B4916" s="43" t="s">
        <v>6236</v>
      </c>
      <c r="C4916" s="43" t="s">
        <v>63</v>
      </c>
      <c r="D4916" s="43" t="s">
        <v>6237</v>
      </c>
      <c r="E4916" s="44" t="s">
        <v>6238</v>
      </c>
      <c r="F4916" s="42" t="s">
        <v>6239</v>
      </c>
      <c r="G4916" s="42" t="s">
        <v>67</v>
      </c>
      <c r="H4916" s="45" t="s">
        <v>6604</v>
      </c>
      <c r="I4916" s="47" t="e">
        <f>VLOOKUP(H4916,'合同综合查询数据（3月返）'!$A:$A,1,FALSE)</f>
        <v>#N/A</v>
      </c>
      <c r="J4916" s="48" t="s">
        <v>67</v>
      </c>
      <c r="K4916" s="42" t="s">
        <v>6611</v>
      </c>
      <c r="L4916" s="49"/>
      <c r="M4916" s="50"/>
      <c r="N4916" s="51">
        <v>40773</v>
      </c>
      <c r="O4916" s="51" t="s">
        <v>71</v>
      </c>
      <c r="P4916" s="366">
        <v>390</v>
      </c>
      <c r="Q4916" s="372">
        <v>31.3</v>
      </c>
      <c r="R4916" s="54">
        <f t="shared" si="110"/>
        <v>12207</v>
      </c>
      <c r="S4916" s="55">
        <v>202303</v>
      </c>
      <c r="T4916" s="56" t="s">
        <v>6612</v>
      </c>
      <c r="U4916" s="57"/>
      <c r="V4916" s="373"/>
      <c r="W4916" s="59"/>
      <c r="X4916" s="374"/>
      <c r="Y4916" s="374"/>
    </row>
    <row r="4917" s="10" customFormat="1" customHeight="1" spans="1:25">
      <c r="A4917" s="42" t="s">
        <v>401</v>
      </c>
      <c r="B4917" s="43" t="s">
        <v>6236</v>
      </c>
      <c r="C4917" s="43" t="s">
        <v>63</v>
      </c>
      <c r="D4917" s="43" t="s">
        <v>6237</v>
      </c>
      <c r="E4917" s="44" t="s">
        <v>6238</v>
      </c>
      <c r="F4917" s="42" t="s">
        <v>6239</v>
      </c>
      <c r="G4917" s="42" t="s">
        <v>67</v>
      </c>
      <c r="H4917" s="45" t="s">
        <v>6604</v>
      </c>
      <c r="I4917" s="47" t="e">
        <f>VLOOKUP(H4917,'合同综合查询数据（3月返）'!$A:$A,1,FALSE)</f>
        <v>#N/A</v>
      </c>
      <c r="J4917" s="48" t="s">
        <v>67</v>
      </c>
      <c r="K4917" s="42" t="s">
        <v>6613</v>
      </c>
      <c r="L4917" s="49"/>
      <c r="M4917" s="50"/>
      <c r="N4917" s="51">
        <v>40773</v>
      </c>
      <c r="O4917" s="51" t="s">
        <v>71</v>
      </c>
      <c r="P4917" s="366">
        <v>390</v>
      </c>
      <c r="Q4917" s="372">
        <v>28.2</v>
      </c>
      <c r="R4917" s="54">
        <f t="shared" si="110"/>
        <v>10998</v>
      </c>
      <c r="S4917" s="55">
        <v>202303</v>
      </c>
      <c r="T4917" s="56" t="s">
        <v>6614</v>
      </c>
      <c r="U4917" s="57"/>
      <c r="V4917" s="373"/>
      <c r="W4917" s="59"/>
      <c r="X4917" s="374"/>
      <c r="Y4917" s="374"/>
    </row>
    <row r="4918" s="10" customFormat="1" customHeight="1" spans="1:25">
      <c r="A4918" s="42" t="s">
        <v>401</v>
      </c>
      <c r="B4918" s="43" t="s">
        <v>6236</v>
      </c>
      <c r="C4918" s="43" t="s">
        <v>63</v>
      </c>
      <c r="D4918" s="43" t="s">
        <v>6237</v>
      </c>
      <c r="E4918" s="44" t="s">
        <v>6238</v>
      </c>
      <c r="F4918" s="42" t="s">
        <v>6239</v>
      </c>
      <c r="G4918" s="42" t="s">
        <v>67</v>
      </c>
      <c r="H4918" s="45" t="s">
        <v>6604</v>
      </c>
      <c r="I4918" s="47" t="e">
        <f>VLOOKUP(H4918,'合同综合查询数据（3月返）'!$A:$A,1,FALSE)</f>
        <v>#N/A</v>
      </c>
      <c r="J4918" s="48" t="s">
        <v>67</v>
      </c>
      <c r="K4918" s="42" t="s">
        <v>6613</v>
      </c>
      <c r="L4918" s="49"/>
      <c r="M4918" s="50"/>
      <c r="N4918" s="51">
        <v>44246</v>
      </c>
      <c r="O4918" s="51" t="s">
        <v>71</v>
      </c>
      <c r="P4918" s="366">
        <v>390</v>
      </c>
      <c r="Q4918" s="372">
        <v>-28.2</v>
      </c>
      <c r="R4918" s="54">
        <f t="shared" si="110"/>
        <v>-10998</v>
      </c>
      <c r="S4918" s="55">
        <v>202303</v>
      </c>
      <c r="T4918" s="56" t="s">
        <v>6614</v>
      </c>
      <c r="U4918" s="57"/>
      <c r="V4918" s="373"/>
      <c r="W4918" s="59"/>
      <c r="X4918" s="374"/>
      <c r="Y4918" s="374"/>
    </row>
    <row r="4919" s="10" customFormat="1" customHeight="1" spans="1:25">
      <c r="A4919" s="42" t="s">
        <v>401</v>
      </c>
      <c r="B4919" s="43" t="s">
        <v>6236</v>
      </c>
      <c r="C4919" s="43" t="s">
        <v>63</v>
      </c>
      <c r="D4919" s="43" t="s">
        <v>6237</v>
      </c>
      <c r="E4919" s="44" t="s">
        <v>6238</v>
      </c>
      <c r="F4919" s="42" t="s">
        <v>6239</v>
      </c>
      <c r="G4919" s="42" t="s">
        <v>67</v>
      </c>
      <c r="H4919" s="45" t="s">
        <v>6604</v>
      </c>
      <c r="I4919" s="47" t="e">
        <f>VLOOKUP(H4919,'合同综合查询数据（3月返）'!$A:$A,1,FALSE)</f>
        <v>#N/A</v>
      </c>
      <c r="J4919" s="48" t="s">
        <v>67</v>
      </c>
      <c r="K4919" s="42" t="s">
        <v>6615</v>
      </c>
      <c r="L4919" s="49"/>
      <c r="M4919" s="50"/>
      <c r="N4919" s="51">
        <v>40773</v>
      </c>
      <c r="O4919" s="51" t="s">
        <v>71</v>
      </c>
      <c r="P4919" s="366">
        <v>390</v>
      </c>
      <c r="Q4919" s="372">
        <v>21</v>
      </c>
      <c r="R4919" s="54">
        <f t="shared" si="110"/>
        <v>8190</v>
      </c>
      <c r="S4919" s="55">
        <v>202303</v>
      </c>
      <c r="T4919" s="56" t="s">
        <v>6616</v>
      </c>
      <c r="U4919" s="57"/>
      <c r="V4919" s="373"/>
      <c r="W4919" s="59"/>
      <c r="X4919" s="374"/>
      <c r="Y4919" s="374"/>
    </row>
    <row r="4920" s="10" customFormat="1" customHeight="1" spans="1:25">
      <c r="A4920" s="42" t="s">
        <v>401</v>
      </c>
      <c r="B4920" s="43" t="s">
        <v>6236</v>
      </c>
      <c r="C4920" s="43" t="s">
        <v>63</v>
      </c>
      <c r="D4920" s="43" t="s">
        <v>6237</v>
      </c>
      <c r="E4920" s="44" t="s">
        <v>6238</v>
      </c>
      <c r="F4920" s="42" t="s">
        <v>6239</v>
      </c>
      <c r="G4920" s="42" t="s">
        <v>67</v>
      </c>
      <c r="H4920" s="45" t="s">
        <v>6604</v>
      </c>
      <c r="I4920" s="47" t="e">
        <f>VLOOKUP(H4920,'合同综合查询数据（3月返）'!$A:$A,1,FALSE)</f>
        <v>#N/A</v>
      </c>
      <c r="J4920" s="48" t="s">
        <v>67</v>
      </c>
      <c r="K4920" s="42" t="s">
        <v>6615</v>
      </c>
      <c r="L4920" s="49"/>
      <c r="M4920" s="50"/>
      <c r="N4920" s="51">
        <v>44246</v>
      </c>
      <c r="O4920" s="51" t="s">
        <v>71</v>
      </c>
      <c r="P4920" s="366">
        <v>390</v>
      </c>
      <c r="Q4920" s="372">
        <v>-21</v>
      </c>
      <c r="R4920" s="54">
        <f t="shared" si="110"/>
        <v>-8190</v>
      </c>
      <c r="S4920" s="55">
        <v>202303</v>
      </c>
      <c r="T4920" s="56" t="s">
        <v>6616</v>
      </c>
      <c r="U4920" s="57"/>
      <c r="V4920" s="373"/>
      <c r="W4920" s="59"/>
      <c r="X4920" s="374"/>
      <c r="Y4920" s="374"/>
    </row>
    <row r="4921" s="10" customFormat="1" customHeight="1" spans="1:25">
      <c r="A4921" s="42" t="s">
        <v>401</v>
      </c>
      <c r="B4921" s="43" t="s">
        <v>6236</v>
      </c>
      <c r="C4921" s="43" t="s">
        <v>63</v>
      </c>
      <c r="D4921" s="43" t="s">
        <v>6237</v>
      </c>
      <c r="E4921" s="44" t="s">
        <v>6238</v>
      </c>
      <c r="F4921" s="42" t="s">
        <v>6239</v>
      </c>
      <c r="G4921" s="42" t="s">
        <v>67</v>
      </c>
      <c r="H4921" s="45" t="s">
        <v>6604</v>
      </c>
      <c r="I4921" s="47" t="e">
        <f>VLOOKUP(H4921,'合同综合查询数据（3月返）'!$A:$A,1,FALSE)</f>
        <v>#N/A</v>
      </c>
      <c r="J4921" s="48" t="s">
        <v>67</v>
      </c>
      <c r="K4921" s="42" t="s">
        <v>6617</v>
      </c>
      <c r="L4921" s="49"/>
      <c r="M4921" s="50"/>
      <c r="N4921" s="51">
        <v>41426</v>
      </c>
      <c r="O4921" s="51" t="s">
        <v>71</v>
      </c>
      <c r="P4921" s="366">
        <v>390</v>
      </c>
      <c r="Q4921" s="372">
        <v>54.7</v>
      </c>
      <c r="R4921" s="54">
        <f t="shared" si="110"/>
        <v>21333</v>
      </c>
      <c r="S4921" s="55">
        <v>202303</v>
      </c>
      <c r="T4921" s="56" t="s">
        <v>6618</v>
      </c>
      <c r="U4921" s="57"/>
      <c r="V4921" s="373"/>
      <c r="W4921" s="59"/>
      <c r="X4921" s="374"/>
      <c r="Y4921" s="374"/>
    </row>
    <row r="4922" s="10" customFormat="1" customHeight="1" spans="1:25">
      <c r="A4922" s="42" t="s">
        <v>401</v>
      </c>
      <c r="B4922" s="43" t="s">
        <v>6236</v>
      </c>
      <c r="C4922" s="43" t="s">
        <v>63</v>
      </c>
      <c r="D4922" s="43" t="s">
        <v>6237</v>
      </c>
      <c r="E4922" s="44" t="s">
        <v>6238</v>
      </c>
      <c r="F4922" s="42" t="s">
        <v>6239</v>
      </c>
      <c r="G4922" s="42" t="s">
        <v>67</v>
      </c>
      <c r="H4922" s="45" t="s">
        <v>6604</v>
      </c>
      <c r="I4922" s="47" t="e">
        <f>VLOOKUP(H4922,'合同综合查询数据（3月返）'!$A:$A,1,FALSE)</f>
        <v>#N/A</v>
      </c>
      <c r="J4922" s="48" t="s">
        <v>67</v>
      </c>
      <c r="K4922" s="42" t="s">
        <v>6617</v>
      </c>
      <c r="L4922" s="49"/>
      <c r="M4922" s="50"/>
      <c r="N4922" s="51">
        <v>44571</v>
      </c>
      <c r="O4922" s="51" t="s">
        <v>71</v>
      </c>
      <c r="P4922" s="366">
        <v>390</v>
      </c>
      <c r="Q4922" s="372">
        <v>-54.7</v>
      </c>
      <c r="R4922" s="144">
        <f t="shared" si="110"/>
        <v>-21333</v>
      </c>
      <c r="S4922" s="55">
        <v>202303</v>
      </c>
      <c r="T4922" s="56" t="s">
        <v>6619</v>
      </c>
      <c r="U4922" s="57"/>
      <c r="V4922" s="373"/>
      <c r="W4922" s="59"/>
      <c r="X4922" s="374"/>
      <c r="Y4922" s="374"/>
    </row>
    <row r="4923" s="10" customFormat="1" customHeight="1" spans="1:25">
      <c r="A4923" s="42" t="s">
        <v>401</v>
      </c>
      <c r="B4923" s="43" t="s">
        <v>6236</v>
      </c>
      <c r="C4923" s="43" t="s">
        <v>63</v>
      </c>
      <c r="D4923" s="43" t="s">
        <v>6237</v>
      </c>
      <c r="E4923" s="44" t="s">
        <v>6238</v>
      </c>
      <c r="F4923" s="42" t="s">
        <v>6239</v>
      </c>
      <c r="G4923" s="42" t="s">
        <v>67</v>
      </c>
      <c r="H4923" s="45" t="s">
        <v>6604</v>
      </c>
      <c r="I4923" s="47" t="e">
        <f>VLOOKUP(H4923,'合同综合查询数据（3月返）'!$A:$A,1,FALSE)</f>
        <v>#N/A</v>
      </c>
      <c r="J4923" s="48" t="s">
        <v>67</v>
      </c>
      <c r="K4923" s="42" t="s">
        <v>6617</v>
      </c>
      <c r="L4923" s="49"/>
      <c r="M4923" s="50"/>
      <c r="N4923" s="51">
        <v>41426</v>
      </c>
      <c r="O4923" s="51" t="s">
        <v>71</v>
      </c>
      <c r="P4923" s="366">
        <v>390</v>
      </c>
      <c r="Q4923" s="372">
        <v>69</v>
      </c>
      <c r="R4923" s="54">
        <f t="shared" si="110"/>
        <v>26910</v>
      </c>
      <c r="S4923" s="55">
        <v>202303</v>
      </c>
      <c r="T4923" s="56" t="s">
        <v>6620</v>
      </c>
      <c r="U4923" s="57"/>
      <c r="V4923" s="373"/>
      <c r="W4923" s="59"/>
      <c r="X4923" s="374"/>
      <c r="Y4923" s="374"/>
    </row>
    <row r="4924" s="10" customFormat="1" customHeight="1" spans="1:25">
      <c r="A4924" s="42" t="s">
        <v>401</v>
      </c>
      <c r="B4924" s="43" t="s">
        <v>6236</v>
      </c>
      <c r="C4924" s="43" t="s">
        <v>63</v>
      </c>
      <c r="D4924" s="43" t="s">
        <v>6237</v>
      </c>
      <c r="E4924" s="44" t="s">
        <v>6238</v>
      </c>
      <c r="F4924" s="42" t="s">
        <v>6239</v>
      </c>
      <c r="G4924" s="42" t="s">
        <v>67</v>
      </c>
      <c r="H4924" s="45" t="s">
        <v>6604</v>
      </c>
      <c r="I4924" s="47" t="e">
        <f>VLOOKUP(H4924,'合同综合查询数据（3月返）'!$A:$A,1,FALSE)</f>
        <v>#N/A</v>
      </c>
      <c r="J4924" s="48" t="s">
        <v>67</v>
      </c>
      <c r="K4924" s="42" t="s">
        <v>6617</v>
      </c>
      <c r="L4924" s="49"/>
      <c r="M4924" s="50"/>
      <c r="N4924" s="51">
        <v>44571</v>
      </c>
      <c r="O4924" s="51" t="s">
        <v>71</v>
      </c>
      <c r="P4924" s="366">
        <v>390</v>
      </c>
      <c r="Q4924" s="372">
        <v>-69</v>
      </c>
      <c r="R4924" s="144">
        <f t="shared" si="110"/>
        <v>-26910</v>
      </c>
      <c r="S4924" s="55">
        <v>202303</v>
      </c>
      <c r="T4924" s="56" t="s">
        <v>6619</v>
      </c>
      <c r="U4924" s="57"/>
      <c r="V4924" s="373"/>
      <c r="W4924" s="59"/>
      <c r="X4924" s="374"/>
      <c r="Y4924" s="374"/>
    </row>
    <row r="4925" s="10" customFormat="1" customHeight="1" spans="1:25">
      <c r="A4925" s="42" t="s">
        <v>401</v>
      </c>
      <c r="B4925" s="43" t="s">
        <v>6236</v>
      </c>
      <c r="C4925" s="43" t="s">
        <v>63</v>
      </c>
      <c r="D4925" s="43" t="s">
        <v>6237</v>
      </c>
      <c r="E4925" s="44" t="s">
        <v>6238</v>
      </c>
      <c r="F4925" s="42" t="s">
        <v>6239</v>
      </c>
      <c r="G4925" s="42" t="s">
        <v>67</v>
      </c>
      <c r="H4925" s="45" t="s">
        <v>6604</v>
      </c>
      <c r="I4925" s="47" t="e">
        <f>VLOOKUP(H4925,'合同综合查询数据（3月返）'!$A:$A,1,FALSE)</f>
        <v>#N/A</v>
      </c>
      <c r="J4925" s="48" t="s">
        <v>67</v>
      </c>
      <c r="K4925" s="42" t="s">
        <v>6621</v>
      </c>
      <c r="L4925" s="49"/>
      <c r="M4925" s="50"/>
      <c r="N4925" s="51">
        <v>41426</v>
      </c>
      <c r="O4925" s="51" t="s">
        <v>71</v>
      </c>
      <c r="P4925" s="366">
        <v>390</v>
      </c>
      <c r="Q4925" s="372">
        <v>60.5</v>
      </c>
      <c r="R4925" s="54">
        <f t="shared" si="110"/>
        <v>23595</v>
      </c>
      <c r="S4925" s="55">
        <v>202303</v>
      </c>
      <c r="T4925" s="56" t="s">
        <v>6622</v>
      </c>
      <c r="U4925" s="57"/>
      <c r="V4925" s="373"/>
      <c r="W4925" s="59"/>
      <c r="X4925" s="374"/>
      <c r="Y4925" s="374"/>
    </row>
    <row r="4926" s="10" customFormat="1" customHeight="1" spans="1:25">
      <c r="A4926" s="42" t="s">
        <v>401</v>
      </c>
      <c r="B4926" s="43" t="s">
        <v>6236</v>
      </c>
      <c r="C4926" s="43" t="s">
        <v>63</v>
      </c>
      <c r="D4926" s="43" t="s">
        <v>6237</v>
      </c>
      <c r="E4926" s="44" t="s">
        <v>6238</v>
      </c>
      <c r="F4926" s="42" t="s">
        <v>6239</v>
      </c>
      <c r="G4926" s="42" t="s">
        <v>67</v>
      </c>
      <c r="H4926" s="45" t="s">
        <v>6604</v>
      </c>
      <c r="I4926" s="47" t="e">
        <f>VLOOKUP(H4926,'合同综合查询数据（3月返）'!$A:$A,1,FALSE)</f>
        <v>#N/A</v>
      </c>
      <c r="J4926" s="48" t="s">
        <v>67</v>
      </c>
      <c r="K4926" s="42" t="s">
        <v>6621</v>
      </c>
      <c r="L4926" s="49"/>
      <c r="M4926" s="50"/>
      <c r="N4926" s="51">
        <v>44571</v>
      </c>
      <c r="O4926" s="51" t="s">
        <v>71</v>
      </c>
      <c r="P4926" s="366">
        <v>390</v>
      </c>
      <c r="Q4926" s="372">
        <v>-60.5</v>
      </c>
      <c r="R4926" s="144">
        <f t="shared" si="110"/>
        <v>-23595</v>
      </c>
      <c r="S4926" s="55">
        <v>202303</v>
      </c>
      <c r="T4926" s="56" t="s">
        <v>6619</v>
      </c>
      <c r="U4926" s="57"/>
      <c r="V4926" s="373"/>
      <c r="W4926" s="59"/>
      <c r="X4926" s="374"/>
      <c r="Y4926" s="374"/>
    </row>
    <row r="4927" s="10" customFormat="1" customHeight="1" spans="1:25">
      <c r="A4927" s="42" t="s">
        <v>401</v>
      </c>
      <c r="B4927" s="43" t="s">
        <v>6236</v>
      </c>
      <c r="C4927" s="43" t="s">
        <v>63</v>
      </c>
      <c r="D4927" s="43" t="s">
        <v>6237</v>
      </c>
      <c r="E4927" s="44" t="s">
        <v>6238</v>
      </c>
      <c r="F4927" s="42" t="s">
        <v>6239</v>
      </c>
      <c r="G4927" s="42" t="s">
        <v>67</v>
      </c>
      <c r="H4927" s="45" t="s">
        <v>6604</v>
      </c>
      <c r="I4927" s="47" t="e">
        <f>VLOOKUP(H4927,'合同综合查询数据（3月返）'!$A:$A,1,FALSE)</f>
        <v>#N/A</v>
      </c>
      <c r="J4927" s="48" t="s">
        <v>67</v>
      </c>
      <c r="K4927" s="42" t="s">
        <v>6621</v>
      </c>
      <c r="L4927" s="49"/>
      <c r="M4927" s="50"/>
      <c r="N4927" s="51">
        <v>41426</v>
      </c>
      <c r="O4927" s="51" t="s">
        <v>71</v>
      </c>
      <c r="P4927" s="366">
        <v>390</v>
      </c>
      <c r="Q4927" s="372">
        <v>68.5</v>
      </c>
      <c r="R4927" s="54">
        <f t="shared" si="110"/>
        <v>26715</v>
      </c>
      <c r="S4927" s="55">
        <v>202303</v>
      </c>
      <c r="T4927" s="56" t="s">
        <v>6623</v>
      </c>
      <c r="U4927" s="57"/>
      <c r="V4927" s="373"/>
      <c r="W4927" s="59"/>
      <c r="X4927" s="374"/>
      <c r="Y4927" s="374"/>
    </row>
    <row r="4928" s="10" customFormat="1" customHeight="1" spans="1:25">
      <c r="A4928" s="42" t="s">
        <v>401</v>
      </c>
      <c r="B4928" s="43" t="s">
        <v>6236</v>
      </c>
      <c r="C4928" s="43" t="s">
        <v>63</v>
      </c>
      <c r="D4928" s="43" t="s">
        <v>6237</v>
      </c>
      <c r="E4928" s="44" t="s">
        <v>6238</v>
      </c>
      <c r="F4928" s="42" t="s">
        <v>6239</v>
      </c>
      <c r="G4928" s="42" t="s">
        <v>67</v>
      </c>
      <c r="H4928" s="45" t="s">
        <v>6604</v>
      </c>
      <c r="I4928" s="47" t="e">
        <f>VLOOKUP(H4928,'合同综合查询数据（3月返）'!$A:$A,1,FALSE)</f>
        <v>#N/A</v>
      </c>
      <c r="J4928" s="48" t="s">
        <v>67</v>
      </c>
      <c r="K4928" s="42" t="s">
        <v>6621</v>
      </c>
      <c r="L4928" s="49"/>
      <c r="M4928" s="50"/>
      <c r="N4928" s="51">
        <v>44571</v>
      </c>
      <c r="O4928" s="51" t="s">
        <v>71</v>
      </c>
      <c r="P4928" s="366">
        <v>390</v>
      </c>
      <c r="Q4928" s="372">
        <v>-68.5</v>
      </c>
      <c r="R4928" s="144">
        <f t="shared" si="110"/>
        <v>-26715</v>
      </c>
      <c r="S4928" s="55">
        <v>202303</v>
      </c>
      <c r="T4928" s="56" t="s">
        <v>6619</v>
      </c>
      <c r="U4928" s="57"/>
      <c r="V4928" s="373"/>
      <c r="W4928" s="59"/>
      <c r="X4928" s="374"/>
      <c r="Y4928" s="374"/>
    </row>
    <row r="4929" s="9" customFormat="1" customHeight="1" spans="1:25">
      <c r="A4929" s="16" t="s">
        <v>401</v>
      </c>
      <c r="B4929" s="17" t="s">
        <v>6236</v>
      </c>
      <c r="C4929" s="17" t="s">
        <v>63</v>
      </c>
      <c r="D4929" s="17" t="s">
        <v>6237</v>
      </c>
      <c r="E4929" s="18" t="s">
        <v>6238</v>
      </c>
      <c r="F4929" s="16" t="s">
        <v>6239</v>
      </c>
      <c r="G4929" s="16" t="s">
        <v>302</v>
      </c>
      <c r="H4929" s="19" t="s">
        <v>6624</v>
      </c>
      <c r="I4929" s="23" t="e">
        <f>VLOOKUP(H4929,'合同综合查询数据（3月返）'!$A:$A,1,FALSE)</f>
        <v>#N/A</v>
      </c>
      <c r="J4929" s="24" t="s">
        <v>6625</v>
      </c>
      <c r="K4929" s="16" t="s">
        <v>6626</v>
      </c>
      <c r="L4929" s="25"/>
      <c r="M4929" s="26"/>
      <c r="N4929" s="28">
        <v>43710</v>
      </c>
      <c r="O4929" s="28"/>
      <c r="P4929" s="365">
        <v>5800</v>
      </c>
      <c r="Q4929" s="369">
        <v>1</v>
      </c>
      <c r="R4929" s="36">
        <f t="shared" si="110"/>
        <v>5800</v>
      </c>
      <c r="S4929" s="37">
        <v>202303</v>
      </c>
      <c r="T4929" s="38" t="s">
        <v>6627</v>
      </c>
      <c r="U4929" s="39"/>
      <c r="V4929" s="370"/>
      <c r="W4929" s="41"/>
      <c r="X4929" s="371">
        <v>44501</v>
      </c>
      <c r="Y4929" s="371">
        <v>45230</v>
      </c>
    </row>
    <row r="4930" s="9" customFormat="1" customHeight="1" spans="1:25">
      <c r="A4930" s="16" t="s">
        <v>401</v>
      </c>
      <c r="B4930" s="17" t="s">
        <v>6236</v>
      </c>
      <c r="C4930" s="17" t="s">
        <v>63</v>
      </c>
      <c r="D4930" s="17" t="s">
        <v>6237</v>
      </c>
      <c r="E4930" s="18" t="s">
        <v>6238</v>
      </c>
      <c r="F4930" s="16" t="s">
        <v>6239</v>
      </c>
      <c r="G4930" s="16" t="s">
        <v>67</v>
      </c>
      <c r="H4930" s="19" t="s">
        <v>6628</v>
      </c>
      <c r="I4930" s="23" t="e">
        <f>VLOOKUP(H4930,'合同综合查询数据（3月返）'!$A:$A,1,FALSE)</f>
        <v>#N/A</v>
      </c>
      <c r="J4930" s="24" t="s">
        <v>67</v>
      </c>
      <c r="K4930" s="16" t="s">
        <v>6629</v>
      </c>
      <c r="L4930" s="25"/>
      <c r="M4930" s="26"/>
      <c r="N4930" s="28">
        <v>43485</v>
      </c>
      <c r="O4930" s="28" t="s">
        <v>71</v>
      </c>
      <c r="P4930" s="365">
        <v>390</v>
      </c>
      <c r="Q4930" s="369">
        <v>83.02</v>
      </c>
      <c r="R4930" s="36">
        <f t="shared" si="110"/>
        <v>32377.8</v>
      </c>
      <c r="S4930" s="37">
        <v>202303</v>
      </c>
      <c r="T4930" s="38" t="s">
        <v>6630</v>
      </c>
      <c r="U4930" s="39"/>
      <c r="V4930" s="370"/>
      <c r="W4930" s="41"/>
      <c r="X4930" s="371">
        <v>43435</v>
      </c>
      <c r="Y4930" s="371">
        <v>45626</v>
      </c>
    </row>
    <row r="4931" s="9" customFormat="1" customHeight="1" spans="1:25">
      <c r="A4931" s="16" t="s">
        <v>401</v>
      </c>
      <c r="B4931" s="17" t="s">
        <v>6236</v>
      </c>
      <c r="C4931" s="17" t="s">
        <v>63</v>
      </c>
      <c r="D4931" s="17" t="s">
        <v>6237</v>
      </c>
      <c r="E4931" s="18" t="s">
        <v>6238</v>
      </c>
      <c r="F4931" s="16" t="s">
        <v>6239</v>
      </c>
      <c r="G4931" s="16" t="s">
        <v>67</v>
      </c>
      <c r="H4931" s="19" t="s">
        <v>6628</v>
      </c>
      <c r="I4931" s="23" t="e">
        <f>VLOOKUP(H4931,'合同综合查询数据（3月返）'!$A:$A,1,FALSE)</f>
        <v>#N/A</v>
      </c>
      <c r="J4931" s="24" t="s">
        <v>67</v>
      </c>
      <c r="K4931" s="16" t="s">
        <v>6631</v>
      </c>
      <c r="L4931" s="25"/>
      <c r="M4931" s="26"/>
      <c r="N4931" s="28">
        <v>43521</v>
      </c>
      <c r="O4931" s="28" t="s">
        <v>71</v>
      </c>
      <c r="P4931" s="365">
        <v>390</v>
      </c>
      <c r="Q4931" s="369">
        <v>77.4</v>
      </c>
      <c r="R4931" s="36">
        <f t="shared" si="110"/>
        <v>30186</v>
      </c>
      <c r="S4931" s="37">
        <v>202303</v>
      </c>
      <c r="T4931" s="38" t="s">
        <v>6632</v>
      </c>
      <c r="U4931" s="39"/>
      <c r="V4931" s="370"/>
      <c r="W4931" s="41"/>
      <c r="X4931" s="371">
        <v>43435</v>
      </c>
      <c r="Y4931" s="371">
        <v>45626</v>
      </c>
    </row>
    <row r="4932" s="9" customFormat="1" customHeight="1" spans="1:25">
      <c r="A4932" s="16" t="s">
        <v>401</v>
      </c>
      <c r="B4932" s="17" t="s">
        <v>6236</v>
      </c>
      <c r="C4932" s="17" t="s">
        <v>63</v>
      </c>
      <c r="D4932" s="17" t="s">
        <v>6237</v>
      </c>
      <c r="E4932" s="18" t="s">
        <v>6238</v>
      </c>
      <c r="F4932" s="16" t="s">
        <v>6239</v>
      </c>
      <c r="G4932" s="16" t="s">
        <v>67</v>
      </c>
      <c r="H4932" s="19" t="s">
        <v>6633</v>
      </c>
      <c r="I4932" s="23" t="e">
        <f>VLOOKUP(H4932,'合同综合查询数据（3月返）'!$A:$A,1,FALSE)</f>
        <v>#N/A</v>
      </c>
      <c r="J4932" s="24" t="s">
        <v>67</v>
      </c>
      <c r="K4932" s="16" t="s">
        <v>6629</v>
      </c>
      <c r="L4932" s="25"/>
      <c r="M4932" s="26"/>
      <c r="N4932" s="28">
        <v>43490</v>
      </c>
      <c r="O4932" s="28" t="s">
        <v>71</v>
      </c>
      <c r="P4932" s="365">
        <v>605</v>
      </c>
      <c r="Q4932" s="369">
        <v>89.8</v>
      </c>
      <c r="R4932" s="36">
        <f t="shared" si="110"/>
        <v>54329</v>
      </c>
      <c r="S4932" s="37">
        <v>202303</v>
      </c>
      <c r="T4932" s="38" t="s">
        <v>6634</v>
      </c>
      <c r="U4932" s="39"/>
      <c r="V4932" s="370"/>
      <c r="W4932" s="41"/>
      <c r="X4932" s="371">
        <v>43435</v>
      </c>
      <c r="Y4932" s="371">
        <v>45626</v>
      </c>
    </row>
    <row r="4933" s="9" customFormat="1" customHeight="1" spans="1:25">
      <c r="A4933" s="16" t="s">
        <v>401</v>
      </c>
      <c r="B4933" s="17" t="s">
        <v>6236</v>
      </c>
      <c r="C4933" s="17" t="s">
        <v>63</v>
      </c>
      <c r="D4933" s="17" t="s">
        <v>6237</v>
      </c>
      <c r="E4933" s="18" t="s">
        <v>6238</v>
      </c>
      <c r="F4933" s="16" t="s">
        <v>6239</v>
      </c>
      <c r="G4933" s="16" t="s">
        <v>67</v>
      </c>
      <c r="H4933" s="19" t="s">
        <v>6633</v>
      </c>
      <c r="I4933" s="23" t="e">
        <f>VLOOKUP(H4933,'合同综合查询数据（3月返）'!$A:$A,1,FALSE)</f>
        <v>#N/A</v>
      </c>
      <c r="J4933" s="24" t="s">
        <v>67</v>
      </c>
      <c r="K4933" s="16" t="s">
        <v>6635</v>
      </c>
      <c r="L4933" s="25"/>
      <c r="M4933" s="26"/>
      <c r="N4933" s="28">
        <v>43460</v>
      </c>
      <c r="O4933" s="28" t="s">
        <v>71</v>
      </c>
      <c r="P4933" s="365">
        <v>605</v>
      </c>
      <c r="Q4933" s="369">
        <v>54.02</v>
      </c>
      <c r="R4933" s="36">
        <f t="shared" si="110"/>
        <v>32682.1</v>
      </c>
      <c r="S4933" s="37">
        <v>202303</v>
      </c>
      <c r="T4933" s="38" t="s">
        <v>6636</v>
      </c>
      <c r="U4933" s="39"/>
      <c r="V4933" s="370"/>
      <c r="W4933" s="41"/>
      <c r="X4933" s="371">
        <v>43435</v>
      </c>
      <c r="Y4933" s="371">
        <v>45626</v>
      </c>
    </row>
    <row r="4934" s="9" customFormat="1" customHeight="1" spans="1:25">
      <c r="A4934" s="16" t="s">
        <v>401</v>
      </c>
      <c r="B4934" s="17" t="s">
        <v>6236</v>
      </c>
      <c r="C4934" s="17" t="s">
        <v>63</v>
      </c>
      <c r="D4934" s="17" t="s">
        <v>6237</v>
      </c>
      <c r="E4934" s="18" t="s">
        <v>6238</v>
      </c>
      <c r="F4934" s="16" t="s">
        <v>6239</v>
      </c>
      <c r="G4934" s="16" t="s">
        <v>67</v>
      </c>
      <c r="H4934" s="19" t="s">
        <v>6633</v>
      </c>
      <c r="I4934" s="23" t="e">
        <f>VLOOKUP(H4934,'合同综合查询数据（3月返）'!$A:$A,1,FALSE)</f>
        <v>#N/A</v>
      </c>
      <c r="J4934" s="24" t="s">
        <v>67</v>
      </c>
      <c r="K4934" s="16" t="s">
        <v>6635</v>
      </c>
      <c r="L4934" s="25"/>
      <c r="M4934" s="26"/>
      <c r="N4934" s="28">
        <v>43474</v>
      </c>
      <c r="O4934" s="28" t="s">
        <v>71</v>
      </c>
      <c r="P4934" s="365">
        <v>605</v>
      </c>
      <c r="Q4934" s="369">
        <v>84.17</v>
      </c>
      <c r="R4934" s="36">
        <f t="shared" si="110"/>
        <v>50922.85</v>
      </c>
      <c r="S4934" s="37">
        <v>202303</v>
      </c>
      <c r="T4934" s="38" t="s">
        <v>6637</v>
      </c>
      <c r="U4934" s="39"/>
      <c r="V4934" s="370"/>
      <c r="W4934" s="41"/>
      <c r="X4934" s="371">
        <v>43435</v>
      </c>
      <c r="Y4934" s="371">
        <v>45626</v>
      </c>
    </row>
    <row r="4935" s="9" customFormat="1" customHeight="1" spans="1:25">
      <c r="A4935" s="16" t="s">
        <v>401</v>
      </c>
      <c r="B4935" s="17" t="s">
        <v>6236</v>
      </c>
      <c r="C4935" s="17" t="s">
        <v>63</v>
      </c>
      <c r="D4935" s="17" t="s">
        <v>6237</v>
      </c>
      <c r="E4935" s="18" t="s">
        <v>6238</v>
      </c>
      <c r="F4935" s="16" t="s">
        <v>6239</v>
      </c>
      <c r="G4935" s="16" t="s">
        <v>67</v>
      </c>
      <c r="H4935" s="19" t="s">
        <v>6633</v>
      </c>
      <c r="I4935" s="23" t="e">
        <f>VLOOKUP(H4935,'合同综合查询数据（3月返）'!$A:$A,1,FALSE)</f>
        <v>#N/A</v>
      </c>
      <c r="J4935" s="24" t="s">
        <v>67</v>
      </c>
      <c r="K4935" s="16" t="s">
        <v>6638</v>
      </c>
      <c r="L4935" s="25"/>
      <c r="M4935" s="26"/>
      <c r="N4935" s="28">
        <v>43460</v>
      </c>
      <c r="O4935" s="28" t="s">
        <v>71</v>
      </c>
      <c r="P4935" s="365">
        <v>605</v>
      </c>
      <c r="Q4935" s="369">
        <v>75.9</v>
      </c>
      <c r="R4935" s="36">
        <f t="shared" si="110"/>
        <v>45919.5</v>
      </c>
      <c r="S4935" s="37">
        <v>202303</v>
      </c>
      <c r="T4935" s="38" t="s">
        <v>6636</v>
      </c>
      <c r="U4935" s="39"/>
      <c r="V4935" s="370"/>
      <c r="W4935" s="41"/>
      <c r="X4935" s="371">
        <v>43435</v>
      </c>
      <c r="Y4935" s="371">
        <v>45626</v>
      </c>
    </row>
    <row r="4936" s="9" customFormat="1" customHeight="1" spans="1:25">
      <c r="A4936" s="16" t="s">
        <v>401</v>
      </c>
      <c r="B4936" s="17" t="s">
        <v>6236</v>
      </c>
      <c r="C4936" s="17" t="s">
        <v>63</v>
      </c>
      <c r="D4936" s="17" t="s">
        <v>6237</v>
      </c>
      <c r="E4936" s="18" t="s">
        <v>6238</v>
      </c>
      <c r="F4936" s="16" t="s">
        <v>6239</v>
      </c>
      <c r="G4936" s="16" t="s">
        <v>67</v>
      </c>
      <c r="H4936" s="19" t="s">
        <v>6633</v>
      </c>
      <c r="I4936" s="23" t="e">
        <f>VLOOKUP(H4936,'合同综合查询数据（3月返）'!$A:$A,1,FALSE)</f>
        <v>#N/A</v>
      </c>
      <c r="J4936" s="24" t="s">
        <v>67</v>
      </c>
      <c r="K4936" s="16" t="s">
        <v>6638</v>
      </c>
      <c r="L4936" s="25"/>
      <c r="M4936" s="26"/>
      <c r="N4936" s="28">
        <v>44571</v>
      </c>
      <c r="O4936" s="28" t="s">
        <v>71</v>
      </c>
      <c r="P4936" s="365">
        <v>605</v>
      </c>
      <c r="Q4936" s="369">
        <v>-75.9</v>
      </c>
      <c r="R4936" s="173">
        <f t="shared" si="110"/>
        <v>-45919.5</v>
      </c>
      <c r="S4936" s="37">
        <v>202303</v>
      </c>
      <c r="T4936" s="38" t="s">
        <v>6619</v>
      </c>
      <c r="U4936" s="39"/>
      <c r="V4936" s="370"/>
      <c r="W4936" s="41"/>
      <c r="X4936" s="371">
        <v>43435</v>
      </c>
      <c r="Y4936" s="371">
        <v>45626</v>
      </c>
    </row>
    <row r="4937" s="9" customFormat="1" customHeight="1" spans="1:25">
      <c r="A4937" s="16" t="s">
        <v>401</v>
      </c>
      <c r="B4937" s="17" t="s">
        <v>6236</v>
      </c>
      <c r="C4937" s="17" t="s">
        <v>63</v>
      </c>
      <c r="D4937" s="17" t="s">
        <v>6237</v>
      </c>
      <c r="E4937" s="18" t="s">
        <v>6238</v>
      </c>
      <c r="F4937" s="16" t="s">
        <v>6239</v>
      </c>
      <c r="G4937" s="16" t="s">
        <v>67</v>
      </c>
      <c r="H4937" s="19" t="s">
        <v>6633</v>
      </c>
      <c r="I4937" s="23" t="e">
        <f>VLOOKUP(H4937,'合同综合查询数据（3月返）'!$A:$A,1,FALSE)</f>
        <v>#N/A</v>
      </c>
      <c r="J4937" s="24" t="s">
        <v>67</v>
      </c>
      <c r="K4937" s="16" t="s">
        <v>6638</v>
      </c>
      <c r="L4937" s="25"/>
      <c r="M4937" s="26"/>
      <c r="N4937" s="28">
        <v>43523</v>
      </c>
      <c r="O4937" s="28" t="s">
        <v>71</v>
      </c>
      <c r="P4937" s="365">
        <v>605</v>
      </c>
      <c r="Q4937" s="369">
        <v>78.7</v>
      </c>
      <c r="R4937" s="36">
        <f t="shared" si="110"/>
        <v>47613.5</v>
      </c>
      <c r="S4937" s="37">
        <v>202303</v>
      </c>
      <c r="T4937" s="38" t="s">
        <v>6639</v>
      </c>
      <c r="U4937" s="39"/>
      <c r="V4937" s="370"/>
      <c r="W4937" s="41"/>
      <c r="X4937" s="371">
        <v>43435</v>
      </c>
      <c r="Y4937" s="371">
        <v>45626</v>
      </c>
    </row>
    <row r="4938" s="9" customFormat="1" customHeight="1" spans="1:25">
      <c r="A4938" s="16" t="s">
        <v>401</v>
      </c>
      <c r="B4938" s="17" t="s">
        <v>6236</v>
      </c>
      <c r="C4938" s="17" t="s">
        <v>63</v>
      </c>
      <c r="D4938" s="17" t="s">
        <v>6237</v>
      </c>
      <c r="E4938" s="18" t="s">
        <v>6238</v>
      </c>
      <c r="F4938" s="16" t="s">
        <v>6239</v>
      </c>
      <c r="G4938" s="16" t="s">
        <v>67</v>
      </c>
      <c r="H4938" s="19" t="s">
        <v>6633</v>
      </c>
      <c r="I4938" s="23" t="e">
        <f>VLOOKUP(H4938,'合同综合查询数据（3月返）'!$A:$A,1,FALSE)</f>
        <v>#N/A</v>
      </c>
      <c r="J4938" s="24" t="s">
        <v>67</v>
      </c>
      <c r="K4938" s="16" t="s">
        <v>6638</v>
      </c>
      <c r="L4938" s="25"/>
      <c r="M4938" s="26"/>
      <c r="N4938" s="28">
        <v>44571</v>
      </c>
      <c r="O4938" s="28" t="s">
        <v>71</v>
      </c>
      <c r="P4938" s="365">
        <v>605</v>
      </c>
      <c r="Q4938" s="369">
        <v>-78.7</v>
      </c>
      <c r="R4938" s="173">
        <f t="shared" si="110"/>
        <v>-47613.5</v>
      </c>
      <c r="S4938" s="37">
        <v>202303</v>
      </c>
      <c r="T4938" s="38" t="s">
        <v>6619</v>
      </c>
      <c r="U4938" s="39"/>
      <c r="V4938" s="370"/>
      <c r="W4938" s="41"/>
      <c r="X4938" s="371">
        <v>43435</v>
      </c>
      <c r="Y4938" s="371">
        <v>45626</v>
      </c>
    </row>
    <row r="4939" s="9" customFormat="1" customHeight="1" spans="1:25">
      <c r="A4939" s="16" t="s">
        <v>401</v>
      </c>
      <c r="B4939" s="17" t="s">
        <v>6236</v>
      </c>
      <c r="C4939" s="17" t="s">
        <v>63</v>
      </c>
      <c r="D4939" s="17" t="s">
        <v>6237</v>
      </c>
      <c r="E4939" s="18" t="s">
        <v>6238</v>
      </c>
      <c r="F4939" s="16" t="s">
        <v>6239</v>
      </c>
      <c r="G4939" s="16" t="s">
        <v>67</v>
      </c>
      <c r="H4939" s="19" t="s">
        <v>6633</v>
      </c>
      <c r="I4939" s="23" t="e">
        <f>VLOOKUP(H4939,'合同综合查询数据（3月返）'!$A:$A,1,FALSE)</f>
        <v>#N/A</v>
      </c>
      <c r="J4939" s="24" t="s">
        <v>67</v>
      </c>
      <c r="K4939" s="16" t="s">
        <v>6640</v>
      </c>
      <c r="L4939" s="25"/>
      <c r="M4939" s="26"/>
      <c r="N4939" s="28">
        <v>43460</v>
      </c>
      <c r="O4939" s="28" t="s">
        <v>71</v>
      </c>
      <c r="P4939" s="365">
        <v>605</v>
      </c>
      <c r="Q4939" s="369">
        <v>71.4</v>
      </c>
      <c r="R4939" s="36">
        <f t="shared" si="110"/>
        <v>43197</v>
      </c>
      <c r="S4939" s="37">
        <v>202303</v>
      </c>
      <c r="T4939" s="38" t="s">
        <v>6636</v>
      </c>
      <c r="U4939" s="39"/>
      <c r="V4939" s="370"/>
      <c r="W4939" s="41"/>
      <c r="X4939" s="371">
        <v>43435</v>
      </c>
      <c r="Y4939" s="371">
        <v>45626</v>
      </c>
    </row>
    <row r="4940" s="9" customFormat="1" customHeight="1" spans="1:25">
      <c r="A4940" s="16" t="s">
        <v>401</v>
      </c>
      <c r="B4940" s="17" t="s">
        <v>6236</v>
      </c>
      <c r="C4940" s="17" t="s">
        <v>63</v>
      </c>
      <c r="D4940" s="17" t="s">
        <v>6237</v>
      </c>
      <c r="E4940" s="18" t="s">
        <v>6238</v>
      </c>
      <c r="F4940" s="16" t="s">
        <v>6239</v>
      </c>
      <c r="G4940" s="16" t="s">
        <v>67</v>
      </c>
      <c r="H4940" s="19" t="s">
        <v>6633</v>
      </c>
      <c r="I4940" s="23" t="e">
        <f>VLOOKUP(H4940,'合同综合查询数据（3月返）'!$A:$A,1,FALSE)</f>
        <v>#N/A</v>
      </c>
      <c r="J4940" s="24" t="s">
        <v>67</v>
      </c>
      <c r="K4940" s="16" t="s">
        <v>6640</v>
      </c>
      <c r="L4940" s="28"/>
      <c r="M4940" s="28"/>
      <c r="N4940" s="28">
        <v>44967</v>
      </c>
      <c r="O4940" s="28" t="s">
        <v>71</v>
      </c>
      <c r="P4940" s="365">
        <v>605</v>
      </c>
      <c r="Q4940" s="369">
        <v>-71.4</v>
      </c>
      <c r="R4940" s="36">
        <f t="shared" si="110"/>
        <v>-43197</v>
      </c>
      <c r="S4940" s="37">
        <v>202303</v>
      </c>
      <c r="T4940" s="38" t="s">
        <v>6641</v>
      </c>
      <c r="U4940" s="39"/>
      <c r="V4940" s="370"/>
      <c r="W4940" s="41"/>
      <c r="X4940" s="371">
        <v>43435</v>
      </c>
      <c r="Y4940" s="371">
        <v>45626</v>
      </c>
    </row>
    <row r="4941" s="9" customFormat="1" customHeight="1" spans="1:25">
      <c r="A4941" s="16" t="s">
        <v>401</v>
      </c>
      <c r="B4941" s="17" t="s">
        <v>6236</v>
      </c>
      <c r="C4941" s="17" t="s">
        <v>63</v>
      </c>
      <c r="D4941" s="17" t="s">
        <v>6237</v>
      </c>
      <c r="E4941" s="18" t="s">
        <v>6238</v>
      </c>
      <c r="F4941" s="16" t="s">
        <v>6239</v>
      </c>
      <c r="G4941" s="16" t="s">
        <v>67</v>
      </c>
      <c r="H4941" s="19" t="s">
        <v>6633</v>
      </c>
      <c r="I4941" s="23" t="e">
        <f>VLOOKUP(H4941,'合同综合查询数据（3月返）'!$A:$A,1,FALSE)</f>
        <v>#N/A</v>
      </c>
      <c r="J4941" s="24" t="s">
        <v>67</v>
      </c>
      <c r="K4941" s="16" t="s">
        <v>6640</v>
      </c>
      <c r="L4941" s="25"/>
      <c r="M4941" s="26"/>
      <c r="N4941" s="28">
        <v>43474</v>
      </c>
      <c r="O4941" s="28" t="s">
        <v>71</v>
      </c>
      <c r="P4941" s="365">
        <v>605</v>
      </c>
      <c r="Q4941" s="369">
        <v>80</v>
      </c>
      <c r="R4941" s="36">
        <f t="shared" si="110"/>
        <v>48400</v>
      </c>
      <c r="S4941" s="37">
        <v>202303</v>
      </c>
      <c r="T4941" s="38" t="s">
        <v>6637</v>
      </c>
      <c r="U4941" s="39"/>
      <c r="V4941" s="370"/>
      <c r="W4941" s="41"/>
      <c r="X4941" s="371">
        <v>43435</v>
      </c>
      <c r="Y4941" s="371">
        <v>45626</v>
      </c>
    </row>
    <row r="4942" s="9" customFormat="1" customHeight="1" spans="1:25">
      <c r="A4942" s="16" t="s">
        <v>401</v>
      </c>
      <c r="B4942" s="17" t="s">
        <v>6236</v>
      </c>
      <c r="C4942" s="17" t="s">
        <v>63</v>
      </c>
      <c r="D4942" s="17" t="s">
        <v>6237</v>
      </c>
      <c r="E4942" s="18" t="s">
        <v>6238</v>
      </c>
      <c r="F4942" s="16" t="s">
        <v>6239</v>
      </c>
      <c r="G4942" s="16" t="s">
        <v>67</v>
      </c>
      <c r="H4942" s="19" t="s">
        <v>6633</v>
      </c>
      <c r="I4942" s="23" t="e">
        <f>VLOOKUP(H4942,'合同综合查询数据（3月返）'!$A:$A,1,FALSE)</f>
        <v>#N/A</v>
      </c>
      <c r="J4942" s="24" t="s">
        <v>67</v>
      </c>
      <c r="K4942" s="16" t="s">
        <v>6640</v>
      </c>
      <c r="L4942" s="25"/>
      <c r="M4942" s="26"/>
      <c r="N4942" s="28">
        <v>44967</v>
      </c>
      <c r="O4942" s="28" t="s">
        <v>71</v>
      </c>
      <c r="P4942" s="365">
        <v>605</v>
      </c>
      <c r="Q4942" s="369">
        <v>-80</v>
      </c>
      <c r="R4942" s="36">
        <f t="shared" si="110"/>
        <v>-48400</v>
      </c>
      <c r="S4942" s="37">
        <v>202303</v>
      </c>
      <c r="T4942" s="38" t="s">
        <v>6641</v>
      </c>
      <c r="U4942" s="39"/>
      <c r="V4942" s="370"/>
      <c r="W4942" s="41"/>
      <c r="X4942" s="371">
        <v>43435</v>
      </c>
      <c r="Y4942" s="371">
        <v>45626</v>
      </c>
    </row>
    <row r="4943" s="9" customFormat="1" customHeight="1" spans="1:25">
      <c r="A4943" s="16" t="s">
        <v>401</v>
      </c>
      <c r="B4943" s="17" t="s">
        <v>6236</v>
      </c>
      <c r="C4943" s="17" t="s">
        <v>63</v>
      </c>
      <c r="D4943" s="17" t="s">
        <v>6237</v>
      </c>
      <c r="E4943" s="18" t="s">
        <v>6238</v>
      </c>
      <c r="F4943" s="16" t="s">
        <v>6239</v>
      </c>
      <c r="G4943" s="16" t="s">
        <v>67</v>
      </c>
      <c r="H4943" s="19" t="s">
        <v>6633</v>
      </c>
      <c r="I4943" s="23" t="e">
        <f>VLOOKUP(H4943,'合同综合查询数据（3月返）'!$A:$A,1,FALSE)</f>
        <v>#N/A</v>
      </c>
      <c r="J4943" s="24" t="s">
        <v>67</v>
      </c>
      <c r="K4943" s="16" t="s">
        <v>6631</v>
      </c>
      <c r="L4943" s="25"/>
      <c r="M4943" s="26"/>
      <c r="N4943" s="28">
        <v>43523</v>
      </c>
      <c r="O4943" s="28" t="s">
        <v>71</v>
      </c>
      <c r="P4943" s="365">
        <v>605</v>
      </c>
      <c r="Q4943" s="369">
        <v>78.9</v>
      </c>
      <c r="R4943" s="36">
        <f t="shared" si="110"/>
        <v>47734.5</v>
      </c>
      <c r="S4943" s="37">
        <v>202303</v>
      </c>
      <c r="T4943" s="38" t="s">
        <v>6639</v>
      </c>
      <c r="U4943" s="39"/>
      <c r="V4943" s="370"/>
      <c r="W4943" s="41"/>
      <c r="X4943" s="371">
        <v>43435</v>
      </c>
      <c r="Y4943" s="371">
        <v>45626</v>
      </c>
    </row>
    <row r="4944" s="9" customFormat="1" customHeight="1" spans="1:25">
      <c r="A4944" s="16" t="s">
        <v>401</v>
      </c>
      <c r="B4944" s="17" t="s">
        <v>6236</v>
      </c>
      <c r="C4944" s="17" t="s">
        <v>63</v>
      </c>
      <c r="D4944" s="17" t="s">
        <v>6237</v>
      </c>
      <c r="E4944" s="18" t="s">
        <v>6238</v>
      </c>
      <c r="F4944" s="16" t="s">
        <v>6239</v>
      </c>
      <c r="G4944" s="16" t="s">
        <v>67</v>
      </c>
      <c r="H4944" s="19" t="s">
        <v>6642</v>
      </c>
      <c r="I4944" s="23" t="e">
        <f>VLOOKUP(H4944,'合同综合查询数据（3月返）'!$A:$A,1,FALSE)</f>
        <v>#N/A</v>
      </c>
      <c r="J4944" s="24" t="s">
        <v>67</v>
      </c>
      <c r="K4944" s="16" t="s">
        <v>6643</v>
      </c>
      <c r="L4944" s="25"/>
      <c r="M4944" s="26"/>
      <c r="N4944" s="28">
        <v>43714</v>
      </c>
      <c r="O4944" s="28" t="s">
        <v>71</v>
      </c>
      <c r="P4944" s="365">
        <v>605</v>
      </c>
      <c r="Q4944" s="369">
        <v>65.79</v>
      </c>
      <c r="R4944" s="36">
        <f t="shared" si="110"/>
        <v>39802.95</v>
      </c>
      <c r="S4944" s="37">
        <v>202303</v>
      </c>
      <c r="T4944" s="38" t="s">
        <v>6644</v>
      </c>
      <c r="U4944" s="39"/>
      <c r="V4944" s="370"/>
      <c r="W4944" s="41"/>
      <c r="X4944" s="371">
        <v>43709</v>
      </c>
      <c r="Y4944" s="371">
        <v>45535</v>
      </c>
    </row>
    <row r="4945" s="9" customFormat="1" customHeight="1" spans="1:25">
      <c r="A4945" s="16" t="s">
        <v>401</v>
      </c>
      <c r="B4945" s="17" t="s">
        <v>6236</v>
      </c>
      <c r="C4945" s="17" t="s">
        <v>63</v>
      </c>
      <c r="D4945" s="17" t="s">
        <v>6237</v>
      </c>
      <c r="E4945" s="18" t="s">
        <v>6238</v>
      </c>
      <c r="F4945" s="16" t="s">
        <v>6239</v>
      </c>
      <c r="G4945" s="16" t="s">
        <v>67</v>
      </c>
      <c r="H4945" s="19" t="s">
        <v>6642</v>
      </c>
      <c r="I4945" s="23" t="e">
        <f>VLOOKUP(H4945,'合同综合查询数据（3月返）'!$A:$A,1,FALSE)</f>
        <v>#N/A</v>
      </c>
      <c r="J4945" s="24" t="s">
        <v>67</v>
      </c>
      <c r="K4945" s="16" t="s">
        <v>6643</v>
      </c>
      <c r="L4945" s="25"/>
      <c r="M4945" s="26"/>
      <c r="N4945" s="28">
        <v>44571</v>
      </c>
      <c r="O4945" s="28" t="s">
        <v>71</v>
      </c>
      <c r="P4945" s="365">
        <v>605</v>
      </c>
      <c r="Q4945" s="369">
        <v>-65.79</v>
      </c>
      <c r="R4945" s="173">
        <f t="shared" si="110"/>
        <v>-39802.95</v>
      </c>
      <c r="S4945" s="37">
        <v>202303</v>
      </c>
      <c r="T4945" s="38" t="s">
        <v>6619</v>
      </c>
      <c r="U4945" s="39"/>
      <c r="V4945" s="370"/>
      <c r="W4945" s="41"/>
      <c r="X4945" s="371">
        <v>43709</v>
      </c>
      <c r="Y4945" s="371">
        <v>45535</v>
      </c>
    </row>
    <row r="4946" s="9" customFormat="1" customHeight="1" spans="1:25">
      <c r="A4946" s="16" t="s">
        <v>401</v>
      </c>
      <c r="B4946" s="17" t="s">
        <v>6236</v>
      </c>
      <c r="C4946" s="17" t="s">
        <v>63</v>
      </c>
      <c r="D4946" s="17" t="s">
        <v>6237</v>
      </c>
      <c r="E4946" s="18" t="s">
        <v>6238</v>
      </c>
      <c r="F4946" s="16" t="s">
        <v>6239</v>
      </c>
      <c r="G4946" s="16" t="s">
        <v>67</v>
      </c>
      <c r="H4946" s="19" t="s">
        <v>6642</v>
      </c>
      <c r="I4946" s="23" t="e">
        <f>VLOOKUP(H4946,'合同综合查询数据（3月返）'!$A:$A,1,FALSE)</f>
        <v>#N/A</v>
      </c>
      <c r="J4946" s="24" t="s">
        <v>67</v>
      </c>
      <c r="K4946" s="16" t="s">
        <v>6643</v>
      </c>
      <c r="L4946" s="25"/>
      <c r="M4946" s="26"/>
      <c r="N4946" s="28">
        <v>43714</v>
      </c>
      <c r="O4946" s="28" t="s">
        <v>71</v>
      </c>
      <c r="P4946" s="365">
        <v>605</v>
      </c>
      <c r="Q4946" s="369">
        <v>30.01</v>
      </c>
      <c r="R4946" s="36">
        <f t="shared" si="110"/>
        <v>18156.05</v>
      </c>
      <c r="S4946" s="37">
        <v>202303</v>
      </c>
      <c r="T4946" s="38" t="s">
        <v>6644</v>
      </c>
      <c r="U4946" s="39"/>
      <c r="V4946" s="370"/>
      <c r="W4946" s="41"/>
      <c r="X4946" s="371">
        <v>43709</v>
      </c>
      <c r="Y4946" s="371">
        <v>45535</v>
      </c>
    </row>
    <row r="4947" s="9" customFormat="1" customHeight="1" spans="1:25">
      <c r="A4947" s="16" t="s">
        <v>401</v>
      </c>
      <c r="B4947" s="17" t="s">
        <v>6236</v>
      </c>
      <c r="C4947" s="17" t="s">
        <v>63</v>
      </c>
      <c r="D4947" s="17" t="s">
        <v>6237</v>
      </c>
      <c r="E4947" s="18" t="s">
        <v>6238</v>
      </c>
      <c r="F4947" s="16" t="s">
        <v>6239</v>
      </c>
      <c r="G4947" s="16" t="s">
        <v>67</v>
      </c>
      <c r="H4947" s="19" t="s">
        <v>6642</v>
      </c>
      <c r="I4947" s="23" t="e">
        <f>VLOOKUP(H4947,'合同综合查询数据（3月返）'!$A:$A,1,FALSE)</f>
        <v>#N/A</v>
      </c>
      <c r="J4947" s="24" t="s">
        <v>67</v>
      </c>
      <c r="K4947" s="16" t="s">
        <v>6643</v>
      </c>
      <c r="L4947" s="25"/>
      <c r="M4947" s="26"/>
      <c r="N4947" s="28">
        <v>44571</v>
      </c>
      <c r="O4947" s="28" t="s">
        <v>71</v>
      </c>
      <c r="P4947" s="365">
        <v>605</v>
      </c>
      <c r="Q4947" s="369">
        <v>-30.01</v>
      </c>
      <c r="R4947" s="173">
        <f t="shared" si="110"/>
        <v>-18156.05</v>
      </c>
      <c r="S4947" s="37">
        <v>202303</v>
      </c>
      <c r="T4947" s="38" t="s">
        <v>6619</v>
      </c>
      <c r="U4947" s="39"/>
      <c r="V4947" s="370"/>
      <c r="W4947" s="41"/>
      <c r="X4947" s="371">
        <v>43709</v>
      </c>
      <c r="Y4947" s="371">
        <v>45535</v>
      </c>
    </row>
    <row r="4948" s="9" customFormat="1" customHeight="1" spans="1:25">
      <c r="A4948" s="16" t="s">
        <v>401</v>
      </c>
      <c r="B4948" s="17" t="s">
        <v>6236</v>
      </c>
      <c r="C4948" s="17" t="s">
        <v>63</v>
      </c>
      <c r="D4948" s="17" t="s">
        <v>6237</v>
      </c>
      <c r="E4948" s="18" t="s">
        <v>6238</v>
      </c>
      <c r="F4948" s="16" t="s">
        <v>6239</v>
      </c>
      <c r="G4948" s="16" t="s">
        <v>67</v>
      </c>
      <c r="H4948" s="19" t="s">
        <v>6642</v>
      </c>
      <c r="I4948" s="23" t="e">
        <f>VLOOKUP(H4948,'合同综合查询数据（3月返）'!$A:$A,1,FALSE)</f>
        <v>#N/A</v>
      </c>
      <c r="J4948" s="24" t="s">
        <v>67</v>
      </c>
      <c r="K4948" s="16" t="s">
        <v>6643</v>
      </c>
      <c r="L4948" s="25"/>
      <c r="M4948" s="26"/>
      <c r="N4948" s="28">
        <v>43714</v>
      </c>
      <c r="O4948" s="28" t="s">
        <v>71</v>
      </c>
      <c r="P4948" s="365">
        <v>605</v>
      </c>
      <c r="Q4948" s="369">
        <v>30.01</v>
      </c>
      <c r="R4948" s="36">
        <f t="shared" si="110"/>
        <v>18156.05</v>
      </c>
      <c r="S4948" s="37">
        <v>202303</v>
      </c>
      <c r="T4948" s="38" t="s">
        <v>6644</v>
      </c>
      <c r="U4948" s="39"/>
      <c r="V4948" s="370"/>
      <c r="W4948" s="41"/>
      <c r="X4948" s="371">
        <v>43709</v>
      </c>
      <c r="Y4948" s="371">
        <v>45535</v>
      </c>
    </row>
    <row r="4949" s="9" customFormat="1" customHeight="1" spans="1:25">
      <c r="A4949" s="16" t="s">
        <v>401</v>
      </c>
      <c r="B4949" s="17" t="s">
        <v>6236</v>
      </c>
      <c r="C4949" s="17" t="s">
        <v>63</v>
      </c>
      <c r="D4949" s="17" t="s">
        <v>6237</v>
      </c>
      <c r="E4949" s="18" t="s">
        <v>6238</v>
      </c>
      <c r="F4949" s="16" t="s">
        <v>6239</v>
      </c>
      <c r="G4949" s="16" t="s">
        <v>67</v>
      </c>
      <c r="H4949" s="19" t="s">
        <v>6642</v>
      </c>
      <c r="I4949" s="23" t="e">
        <f>VLOOKUP(H4949,'合同综合查询数据（3月返）'!$A:$A,1,FALSE)</f>
        <v>#N/A</v>
      </c>
      <c r="J4949" s="24" t="s">
        <v>67</v>
      </c>
      <c r="K4949" s="16" t="s">
        <v>6643</v>
      </c>
      <c r="L4949" s="25"/>
      <c r="M4949" s="26"/>
      <c r="N4949" s="28">
        <v>44571</v>
      </c>
      <c r="O4949" s="28" t="s">
        <v>71</v>
      </c>
      <c r="P4949" s="365">
        <v>605</v>
      </c>
      <c r="Q4949" s="369">
        <v>-30.01</v>
      </c>
      <c r="R4949" s="173">
        <f t="shared" si="110"/>
        <v>-18156.05</v>
      </c>
      <c r="S4949" s="37">
        <v>202303</v>
      </c>
      <c r="T4949" s="38" t="s">
        <v>6619</v>
      </c>
      <c r="U4949" s="39"/>
      <c r="V4949" s="370"/>
      <c r="W4949" s="41"/>
      <c r="X4949" s="371">
        <v>43709</v>
      </c>
      <c r="Y4949" s="371">
        <v>45535</v>
      </c>
    </row>
    <row r="4950" s="9" customFormat="1" customHeight="1" spans="1:25">
      <c r="A4950" s="16" t="s">
        <v>401</v>
      </c>
      <c r="B4950" s="17" t="s">
        <v>6236</v>
      </c>
      <c r="C4950" s="17" t="s">
        <v>63</v>
      </c>
      <c r="D4950" s="17" t="s">
        <v>6237</v>
      </c>
      <c r="E4950" s="18" t="s">
        <v>6238</v>
      </c>
      <c r="F4950" s="16" t="s">
        <v>6239</v>
      </c>
      <c r="G4950" s="16" t="s">
        <v>67</v>
      </c>
      <c r="H4950" s="19" t="s">
        <v>6642</v>
      </c>
      <c r="I4950" s="23" t="e">
        <f>VLOOKUP(H4950,'合同综合查询数据（3月返）'!$A:$A,1,FALSE)</f>
        <v>#N/A</v>
      </c>
      <c r="J4950" s="24" t="s">
        <v>67</v>
      </c>
      <c r="K4950" s="16" t="s">
        <v>6643</v>
      </c>
      <c r="L4950" s="25"/>
      <c r="M4950" s="26"/>
      <c r="N4950" s="28">
        <v>43714</v>
      </c>
      <c r="O4950" s="28" t="s">
        <v>71</v>
      </c>
      <c r="P4950" s="365">
        <v>605</v>
      </c>
      <c r="Q4950" s="369">
        <v>29.39</v>
      </c>
      <c r="R4950" s="36">
        <f t="shared" si="110"/>
        <v>17780.95</v>
      </c>
      <c r="S4950" s="37">
        <v>202303</v>
      </c>
      <c r="T4950" s="38" t="s">
        <v>6644</v>
      </c>
      <c r="U4950" s="39"/>
      <c r="V4950" s="370"/>
      <c r="W4950" s="41"/>
      <c r="X4950" s="371">
        <v>43709</v>
      </c>
      <c r="Y4950" s="371">
        <v>45535</v>
      </c>
    </row>
    <row r="4951" s="9" customFormat="1" customHeight="1" spans="1:25">
      <c r="A4951" s="16" t="s">
        <v>401</v>
      </c>
      <c r="B4951" s="17" t="s">
        <v>6236</v>
      </c>
      <c r="C4951" s="17" t="s">
        <v>63</v>
      </c>
      <c r="D4951" s="17" t="s">
        <v>6237</v>
      </c>
      <c r="E4951" s="18" t="s">
        <v>6238</v>
      </c>
      <c r="F4951" s="16" t="s">
        <v>6239</v>
      </c>
      <c r="G4951" s="16" t="s">
        <v>67</v>
      </c>
      <c r="H4951" s="19" t="s">
        <v>6642</v>
      </c>
      <c r="I4951" s="23" t="e">
        <f>VLOOKUP(H4951,'合同综合查询数据（3月返）'!$A:$A,1,FALSE)</f>
        <v>#N/A</v>
      </c>
      <c r="J4951" s="24" t="s">
        <v>67</v>
      </c>
      <c r="K4951" s="16" t="s">
        <v>6643</v>
      </c>
      <c r="L4951" s="25"/>
      <c r="M4951" s="26"/>
      <c r="N4951" s="28">
        <v>44571</v>
      </c>
      <c r="O4951" s="28" t="s">
        <v>71</v>
      </c>
      <c r="P4951" s="365">
        <v>605</v>
      </c>
      <c r="Q4951" s="369">
        <v>-29.39</v>
      </c>
      <c r="R4951" s="173">
        <f t="shared" si="110"/>
        <v>-17780.95</v>
      </c>
      <c r="S4951" s="37">
        <v>202303</v>
      </c>
      <c r="T4951" s="38" t="s">
        <v>6619</v>
      </c>
      <c r="U4951" s="39"/>
      <c r="V4951" s="370"/>
      <c r="W4951" s="41"/>
      <c r="X4951" s="371">
        <v>43709</v>
      </c>
      <c r="Y4951" s="371">
        <v>45535</v>
      </c>
    </row>
    <row r="4952" s="9" customFormat="1" customHeight="1" spans="1:25">
      <c r="A4952" s="16" t="s">
        <v>401</v>
      </c>
      <c r="B4952" s="17" t="s">
        <v>6236</v>
      </c>
      <c r="C4952" s="17" t="s">
        <v>63</v>
      </c>
      <c r="D4952" s="17" t="s">
        <v>6237</v>
      </c>
      <c r="E4952" s="18" t="s">
        <v>6238</v>
      </c>
      <c r="F4952" s="16" t="s">
        <v>6239</v>
      </c>
      <c r="G4952" s="16" t="s">
        <v>67</v>
      </c>
      <c r="H4952" s="19" t="s">
        <v>6645</v>
      </c>
      <c r="I4952" s="23" t="e">
        <f>VLOOKUP(H4952,'合同综合查询数据（3月返）'!$A:$A,1,FALSE)</f>
        <v>#N/A</v>
      </c>
      <c r="J4952" s="24" t="s">
        <v>67</v>
      </c>
      <c r="K4952" s="16" t="s">
        <v>6646</v>
      </c>
      <c r="L4952" s="25"/>
      <c r="M4952" s="26"/>
      <c r="N4952" s="28">
        <v>44378</v>
      </c>
      <c r="O4952" s="28" t="s">
        <v>71</v>
      </c>
      <c r="P4952" s="365">
        <v>605</v>
      </c>
      <c r="Q4952" s="369">
        <v>92.2</v>
      </c>
      <c r="R4952" s="36">
        <f t="shared" si="110"/>
        <v>55781</v>
      </c>
      <c r="S4952" s="37">
        <v>202303</v>
      </c>
      <c r="T4952" s="38" t="s">
        <v>6647</v>
      </c>
      <c r="U4952" s="39"/>
      <c r="V4952" s="370"/>
      <c r="W4952" s="41"/>
      <c r="X4952" s="371">
        <v>44378</v>
      </c>
      <c r="Y4952" s="371">
        <v>46721</v>
      </c>
    </row>
    <row r="4953" s="9" customFormat="1" customHeight="1" spans="1:25">
      <c r="A4953" s="16" t="s">
        <v>401</v>
      </c>
      <c r="B4953" s="17" t="s">
        <v>6236</v>
      </c>
      <c r="C4953" s="17" t="s">
        <v>63</v>
      </c>
      <c r="D4953" s="17" t="s">
        <v>6237</v>
      </c>
      <c r="E4953" s="18" t="s">
        <v>6238</v>
      </c>
      <c r="F4953" s="16" t="s">
        <v>6239</v>
      </c>
      <c r="G4953" s="16" t="s">
        <v>67</v>
      </c>
      <c r="H4953" s="19" t="s">
        <v>6645</v>
      </c>
      <c r="I4953" s="23" t="e">
        <f>VLOOKUP(H4953,'合同综合查询数据（3月返）'!$A:$A,1,FALSE)</f>
        <v>#N/A</v>
      </c>
      <c r="J4953" s="24" t="s">
        <v>67</v>
      </c>
      <c r="K4953" s="16" t="s">
        <v>6646</v>
      </c>
      <c r="L4953" s="25"/>
      <c r="M4953" s="26"/>
      <c r="N4953" s="28">
        <v>44378</v>
      </c>
      <c r="O4953" s="28" t="s">
        <v>71</v>
      </c>
      <c r="P4953" s="365">
        <v>605</v>
      </c>
      <c r="Q4953" s="369">
        <v>88</v>
      </c>
      <c r="R4953" s="36">
        <f t="shared" si="110"/>
        <v>53240</v>
      </c>
      <c r="S4953" s="37">
        <v>202303</v>
      </c>
      <c r="T4953" s="38" t="s">
        <v>6648</v>
      </c>
      <c r="U4953" s="39"/>
      <c r="V4953" s="370"/>
      <c r="W4953" s="41"/>
      <c r="X4953" s="371">
        <v>44378</v>
      </c>
      <c r="Y4953" s="371">
        <v>46721</v>
      </c>
    </row>
    <row r="4954" s="9" customFormat="1" customHeight="1" spans="1:25">
      <c r="A4954" s="16" t="s">
        <v>401</v>
      </c>
      <c r="B4954" s="17" t="s">
        <v>6236</v>
      </c>
      <c r="C4954" s="17" t="s">
        <v>63</v>
      </c>
      <c r="D4954" s="17" t="s">
        <v>6237</v>
      </c>
      <c r="E4954" s="18" t="s">
        <v>6238</v>
      </c>
      <c r="F4954" s="16" t="s">
        <v>6239</v>
      </c>
      <c r="G4954" s="16" t="s">
        <v>67</v>
      </c>
      <c r="H4954" s="19" t="s">
        <v>6645</v>
      </c>
      <c r="I4954" s="23" t="e">
        <f>VLOOKUP(H4954,'合同综合查询数据（3月返）'!$A:$A,1,FALSE)</f>
        <v>#N/A</v>
      </c>
      <c r="J4954" s="24" t="s">
        <v>67</v>
      </c>
      <c r="K4954" s="16" t="s">
        <v>6646</v>
      </c>
      <c r="L4954" s="25"/>
      <c r="M4954" s="26"/>
      <c r="N4954" s="28">
        <v>44378</v>
      </c>
      <c r="O4954" s="28" t="s">
        <v>71</v>
      </c>
      <c r="P4954" s="365">
        <v>605</v>
      </c>
      <c r="Q4954" s="369">
        <v>43.1</v>
      </c>
      <c r="R4954" s="36">
        <f t="shared" si="110"/>
        <v>26075.5</v>
      </c>
      <c r="S4954" s="37">
        <v>202303</v>
      </c>
      <c r="T4954" s="38" t="s">
        <v>6649</v>
      </c>
      <c r="U4954" s="39"/>
      <c r="V4954" s="370"/>
      <c r="W4954" s="41"/>
      <c r="X4954" s="371">
        <v>44378</v>
      </c>
      <c r="Y4954" s="371">
        <v>46721</v>
      </c>
    </row>
    <row r="4955" s="9" customFormat="1" customHeight="1" spans="1:25">
      <c r="A4955" s="16" t="s">
        <v>401</v>
      </c>
      <c r="B4955" s="17" t="s">
        <v>6236</v>
      </c>
      <c r="C4955" s="17" t="s">
        <v>63</v>
      </c>
      <c r="D4955" s="17" t="s">
        <v>6237</v>
      </c>
      <c r="E4955" s="18" t="s">
        <v>6238</v>
      </c>
      <c r="F4955" s="16" t="s">
        <v>6239</v>
      </c>
      <c r="G4955" s="16" t="s">
        <v>67</v>
      </c>
      <c r="H4955" s="19" t="s">
        <v>6645</v>
      </c>
      <c r="I4955" s="23" t="e">
        <f>VLOOKUP(H4955,'合同综合查询数据（3月返）'!$A:$A,1,FALSE)</f>
        <v>#N/A</v>
      </c>
      <c r="J4955" s="24" t="s">
        <v>67</v>
      </c>
      <c r="K4955" s="16" t="s">
        <v>6646</v>
      </c>
      <c r="L4955" s="25"/>
      <c r="M4955" s="26"/>
      <c r="N4955" s="28">
        <v>44378</v>
      </c>
      <c r="O4955" s="28" t="s">
        <v>71</v>
      </c>
      <c r="P4955" s="365">
        <v>605</v>
      </c>
      <c r="Q4955" s="369">
        <v>81.5</v>
      </c>
      <c r="R4955" s="36">
        <f t="shared" si="110"/>
        <v>49307.5</v>
      </c>
      <c r="S4955" s="37">
        <v>202303</v>
      </c>
      <c r="T4955" s="38" t="s">
        <v>6650</v>
      </c>
      <c r="U4955" s="39"/>
      <c r="V4955" s="370"/>
      <c r="W4955" s="41"/>
      <c r="X4955" s="371">
        <v>44378</v>
      </c>
      <c r="Y4955" s="371">
        <v>46721</v>
      </c>
    </row>
    <row r="4956" s="9" customFormat="1" customHeight="1" spans="1:25">
      <c r="A4956" s="16" t="s">
        <v>401</v>
      </c>
      <c r="B4956" s="17" t="s">
        <v>6236</v>
      </c>
      <c r="C4956" s="17" t="s">
        <v>63</v>
      </c>
      <c r="D4956" s="17" t="s">
        <v>6237</v>
      </c>
      <c r="E4956" s="18" t="s">
        <v>6238</v>
      </c>
      <c r="F4956" s="16" t="s">
        <v>6239</v>
      </c>
      <c r="G4956" s="16" t="s">
        <v>67</v>
      </c>
      <c r="H4956" s="19" t="s">
        <v>6645</v>
      </c>
      <c r="I4956" s="23" t="e">
        <f>VLOOKUP(H4956,'合同综合查询数据（3月返）'!$A:$A,1,FALSE)</f>
        <v>#N/A</v>
      </c>
      <c r="J4956" s="24" t="s">
        <v>67</v>
      </c>
      <c r="K4956" s="16" t="s">
        <v>6646</v>
      </c>
      <c r="L4956" s="25"/>
      <c r="M4956" s="26"/>
      <c r="N4956" s="28">
        <v>44378</v>
      </c>
      <c r="O4956" s="28" t="s">
        <v>71</v>
      </c>
      <c r="P4956" s="365">
        <v>605</v>
      </c>
      <c r="Q4956" s="369">
        <v>76.2</v>
      </c>
      <c r="R4956" s="36">
        <f t="shared" si="110"/>
        <v>46101</v>
      </c>
      <c r="S4956" s="37">
        <v>202303</v>
      </c>
      <c r="T4956" s="38" t="s">
        <v>6651</v>
      </c>
      <c r="U4956" s="39"/>
      <c r="V4956" s="370"/>
      <c r="W4956" s="41"/>
      <c r="X4956" s="371">
        <v>44378</v>
      </c>
      <c r="Y4956" s="371">
        <v>46721</v>
      </c>
    </row>
    <row r="4957" s="9" customFormat="1" customHeight="1" spans="1:25">
      <c r="A4957" s="16" t="s">
        <v>401</v>
      </c>
      <c r="B4957" s="17" t="s">
        <v>6236</v>
      </c>
      <c r="C4957" s="17" t="s">
        <v>63</v>
      </c>
      <c r="D4957" s="17" t="s">
        <v>6237</v>
      </c>
      <c r="E4957" s="18" t="s">
        <v>6238</v>
      </c>
      <c r="F4957" s="16" t="s">
        <v>6239</v>
      </c>
      <c r="G4957" s="16" t="s">
        <v>67</v>
      </c>
      <c r="H4957" s="19" t="s">
        <v>6645</v>
      </c>
      <c r="I4957" s="23" t="e">
        <f>VLOOKUP(H4957,'合同综合查询数据（3月返）'!$A:$A,1,FALSE)</f>
        <v>#N/A</v>
      </c>
      <c r="J4957" s="24" t="s">
        <v>67</v>
      </c>
      <c r="K4957" s="16" t="s">
        <v>6646</v>
      </c>
      <c r="L4957" s="25"/>
      <c r="M4957" s="26"/>
      <c r="N4957" s="28">
        <v>44378</v>
      </c>
      <c r="O4957" s="28" t="s">
        <v>71</v>
      </c>
      <c r="P4957" s="365">
        <v>605</v>
      </c>
      <c r="Q4957" s="369">
        <v>72.9</v>
      </c>
      <c r="R4957" s="36">
        <f t="shared" si="110"/>
        <v>44104.5</v>
      </c>
      <c r="S4957" s="37">
        <v>202303</v>
      </c>
      <c r="T4957" s="38" t="s">
        <v>6652</v>
      </c>
      <c r="U4957" s="39"/>
      <c r="V4957" s="370"/>
      <c r="W4957" s="41"/>
      <c r="X4957" s="371">
        <v>44378</v>
      </c>
      <c r="Y4957" s="371">
        <v>46721</v>
      </c>
    </row>
    <row r="4958" s="10" customFormat="1" customHeight="1" spans="1:25">
      <c r="A4958" s="42" t="s">
        <v>401</v>
      </c>
      <c r="B4958" s="43" t="s">
        <v>6236</v>
      </c>
      <c r="C4958" s="43" t="s">
        <v>63</v>
      </c>
      <c r="D4958" s="43" t="s">
        <v>6237</v>
      </c>
      <c r="E4958" s="44" t="s">
        <v>6238</v>
      </c>
      <c r="F4958" s="42" t="s">
        <v>6239</v>
      </c>
      <c r="G4958" s="42" t="s">
        <v>31</v>
      </c>
      <c r="H4958" s="45" t="s">
        <v>6653</v>
      </c>
      <c r="I4958" s="47" t="e">
        <f>VLOOKUP(H4958,'合同综合查询数据（3月返）'!$A:$A,1,FALSE)</f>
        <v>#N/A</v>
      </c>
      <c r="J4958" s="48" t="s">
        <v>6654</v>
      </c>
      <c r="K4958" s="42"/>
      <c r="L4958" s="49"/>
      <c r="M4958" s="50"/>
      <c r="N4958" s="51">
        <v>43871</v>
      </c>
      <c r="O4958" s="51"/>
      <c r="P4958" s="366">
        <v>5000</v>
      </c>
      <c r="Q4958" s="372">
        <v>1</v>
      </c>
      <c r="R4958" s="54">
        <f t="shared" si="110"/>
        <v>5000</v>
      </c>
      <c r="S4958" s="55">
        <v>202303</v>
      </c>
      <c r="T4958" s="56" t="s">
        <v>6655</v>
      </c>
      <c r="U4958" s="57"/>
      <c r="V4958" s="373"/>
      <c r="W4958" s="59"/>
      <c r="X4958" s="374"/>
      <c r="Y4958" s="374"/>
    </row>
    <row r="4959" s="9" customFormat="1" customHeight="1" spans="1:25">
      <c r="A4959" s="16" t="s">
        <v>401</v>
      </c>
      <c r="B4959" s="17" t="s">
        <v>6236</v>
      </c>
      <c r="C4959" s="17" t="s">
        <v>63</v>
      </c>
      <c r="D4959" s="17" t="s">
        <v>6237</v>
      </c>
      <c r="E4959" s="18" t="s">
        <v>6238</v>
      </c>
      <c r="F4959" s="16" t="s">
        <v>6239</v>
      </c>
      <c r="G4959" s="16" t="s">
        <v>88</v>
      </c>
      <c r="H4959" s="19" t="s">
        <v>6272</v>
      </c>
      <c r="I4959" s="23" t="e">
        <f>VLOOKUP(H4959,'合同综合查询数据（3月返）'!$A:$A,1,FALSE)</f>
        <v>#N/A</v>
      </c>
      <c r="J4959" s="24" t="s">
        <v>126</v>
      </c>
      <c r="K4959" s="16" t="s">
        <v>6656</v>
      </c>
      <c r="L4959" s="25" t="s">
        <v>6657</v>
      </c>
      <c r="M4959" s="26" t="s">
        <v>6658</v>
      </c>
      <c r="N4959" s="28">
        <v>43487</v>
      </c>
      <c r="O4959" s="28" t="s">
        <v>127</v>
      </c>
      <c r="P4959" s="365">
        <v>6030</v>
      </c>
      <c r="Q4959" s="369">
        <v>6</v>
      </c>
      <c r="R4959" s="173">
        <f t="shared" si="110"/>
        <v>36180</v>
      </c>
      <c r="S4959" s="37">
        <v>202303</v>
      </c>
      <c r="T4959" s="38" t="s">
        <v>6659</v>
      </c>
      <c r="U4959" s="39"/>
      <c r="V4959" s="370"/>
      <c r="W4959" s="41"/>
      <c r="X4959" s="371">
        <v>44593</v>
      </c>
      <c r="Y4959" s="391">
        <v>44834</v>
      </c>
    </row>
    <row r="4960" s="9" customFormat="1" customHeight="1" spans="1:25">
      <c r="A4960" s="16" t="s">
        <v>401</v>
      </c>
      <c r="B4960" s="17" t="s">
        <v>6236</v>
      </c>
      <c r="C4960" s="17" t="s">
        <v>63</v>
      </c>
      <c r="D4960" s="17" t="s">
        <v>6237</v>
      </c>
      <c r="E4960" s="18" t="s">
        <v>6238</v>
      </c>
      <c r="F4960" s="16" t="s">
        <v>6239</v>
      </c>
      <c r="G4960" s="16" t="s">
        <v>88</v>
      </c>
      <c r="H4960" s="19" t="s">
        <v>6272</v>
      </c>
      <c r="I4960" s="23" t="e">
        <f>VLOOKUP(H4960,'合同综合查询数据（3月返）'!$A:$A,1,FALSE)</f>
        <v>#N/A</v>
      </c>
      <c r="J4960" s="24" t="s">
        <v>126</v>
      </c>
      <c r="K4960" s="16" t="s">
        <v>6656</v>
      </c>
      <c r="L4960" s="25" t="s">
        <v>6657</v>
      </c>
      <c r="M4960" s="26" t="s">
        <v>6658</v>
      </c>
      <c r="N4960" s="28">
        <v>44712</v>
      </c>
      <c r="O4960" s="28" t="s">
        <v>127</v>
      </c>
      <c r="P4960" s="365">
        <v>6030</v>
      </c>
      <c r="Q4960" s="369">
        <v>-6</v>
      </c>
      <c r="R4960" s="173">
        <f t="shared" si="110"/>
        <v>-36180</v>
      </c>
      <c r="S4960" s="37">
        <v>202303</v>
      </c>
      <c r="T4960" s="38" t="s">
        <v>6660</v>
      </c>
      <c r="U4960" s="39"/>
      <c r="V4960" s="370"/>
      <c r="W4960" s="41"/>
      <c r="X4960" s="371">
        <v>44593</v>
      </c>
      <c r="Y4960" s="391">
        <v>44834</v>
      </c>
    </row>
    <row r="4961" s="9" customFormat="1" customHeight="1" spans="1:25">
      <c r="A4961" s="96" t="s">
        <v>401</v>
      </c>
      <c r="B4961" s="17" t="s">
        <v>6236</v>
      </c>
      <c r="C4961" s="94" t="s">
        <v>63</v>
      </c>
      <c r="D4961" s="17" t="s">
        <v>6237</v>
      </c>
      <c r="E4961" s="105" t="s">
        <v>6238</v>
      </c>
      <c r="F4961" s="96" t="s">
        <v>6239</v>
      </c>
      <c r="G4961" s="96" t="s">
        <v>31</v>
      </c>
      <c r="H4961" s="19" t="s">
        <v>6272</v>
      </c>
      <c r="I4961" s="23" t="e">
        <f>VLOOKUP(H4961,'合同综合查询数据（3月返）'!$A:$A,1,FALSE)</f>
        <v>#N/A</v>
      </c>
      <c r="J4961" s="24" t="s">
        <v>33</v>
      </c>
      <c r="K4961" s="16" t="s">
        <v>6656</v>
      </c>
      <c r="L4961" s="25" t="s">
        <v>6657</v>
      </c>
      <c r="M4961" s="26" t="s">
        <v>6658</v>
      </c>
      <c r="N4961" s="28" t="s">
        <v>1225</v>
      </c>
      <c r="O4961" s="28" t="s">
        <v>37</v>
      </c>
      <c r="P4961" s="365">
        <v>0</v>
      </c>
      <c r="Q4961" s="369">
        <v>288</v>
      </c>
      <c r="R4961" s="173">
        <f t="shared" si="110"/>
        <v>0</v>
      </c>
      <c r="S4961" s="37">
        <v>202303</v>
      </c>
      <c r="T4961" s="38" t="s">
        <v>6661</v>
      </c>
      <c r="U4961" s="39"/>
      <c r="V4961" s="370"/>
      <c r="W4961" s="41"/>
      <c r="X4961" s="371">
        <v>44593</v>
      </c>
      <c r="Y4961" s="391">
        <v>44834</v>
      </c>
    </row>
    <row r="4962" s="9" customFormat="1" customHeight="1" spans="1:25">
      <c r="A4962" s="96" t="s">
        <v>401</v>
      </c>
      <c r="B4962" s="17" t="s">
        <v>6236</v>
      </c>
      <c r="C4962" s="94" t="s">
        <v>63</v>
      </c>
      <c r="D4962" s="17" t="s">
        <v>6237</v>
      </c>
      <c r="E4962" s="105" t="s">
        <v>6238</v>
      </c>
      <c r="F4962" s="96" t="s">
        <v>6239</v>
      </c>
      <c r="G4962" s="96" t="s">
        <v>31</v>
      </c>
      <c r="H4962" s="19" t="s">
        <v>6272</v>
      </c>
      <c r="I4962" s="23" t="e">
        <f>VLOOKUP(H4962,'合同综合查询数据（3月返）'!$A:$A,1,FALSE)</f>
        <v>#N/A</v>
      </c>
      <c r="J4962" s="24" t="s">
        <v>33</v>
      </c>
      <c r="K4962" s="16" t="s">
        <v>6656</v>
      </c>
      <c r="L4962" s="25" t="s">
        <v>6657</v>
      </c>
      <c r="M4962" s="26" t="s">
        <v>6658</v>
      </c>
      <c r="N4962" s="28">
        <v>44712</v>
      </c>
      <c r="O4962" s="28" t="s">
        <v>37</v>
      </c>
      <c r="P4962" s="365">
        <v>0</v>
      </c>
      <c r="Q4962" s="369">
        <v>-288</v>
      </c>
      <c r="R4962" s="173">
        <f t="shared" si="110"/>
        <v>0</v>
      </c>
      <c r="S4962" s="37">
        <v>202303</v>
      </c>
      <c r="T4962" s="38" t="s">
        <v>6662</v>
      </c>
      <c r="U4962" s="39"/>
      <c r="V4962" s="370"/>
      <c r="W4962" s="41"/>
      <c r="X4962" s="371">
        <v>44593</v>
      </c>
      <c r="Y4962" s="391">
        <v>44834</v>
      </c>
    </row>
    <row r="4963" s="9" customFormat="1" customHeight="1" spans="1:25">
      <c r="A4963" s="96" t="s">
        <v>401</v>
      </c>
      <c r="B4963" s="17" t="s">
        <v>6236</v>
      </c>
      <c r="C4963" s="94" t="s">
        <v>63</v>
      </c>
      <c r="D4963" s="17" t="s">
        <v>6237</v>
      </c>
      <c r="E4963" s="105" t="s">
        <v>6238</v>
      </c>
      <c r="F4963" s="96" t="s">
        <v>6239</v>
      </c>
      <c r="G4963" s="96" t="s">
        <v>31</v>
      </c>
      <c r="H4963" s="19" t="s">
        <v>6272</v>
      </c>
      <c r="I4963" s="23" t="e">
        <f>VLOOKUP(H4963,'合同综合查询数据（3月返）'!$A:$A,1,FALSE)</f>
        <v>#N/A</v>
      </c>
      <c r="J4963" s="24" t="s">
        <v>33</v>
      </c>
      <c r="K4963" s="16" t="s">
        <v>6656</v>
      </c>
      <c r="L4963" s="25" t="s">
        <v>6239</v>
      </c>
      <c r="M4963" s="26"/>
      <c r="N4963" s="28" t="s">
        <v>1225</v>
      </c>
      <c r="O4963" s="28" t="s">
        <v>37</v>
      </c>
      <c r="P4963" s="365">
        <v>0</v>
      </c>
      <c r="Q4963" s="369">
        <v>640</v>
      </c>
      <c r="R4963" s="173">
        <f t="shared" si="110"/>
        <v>0</v>
      </c>
      <c r="S4963" s="37">
        <v>202303</v>
      </c>
      <c r="T4963" s="38" t="s">
        <v>6663</v>
      </c>
      <c r="U4963" s="39"/>
      <c r="V4963" s="370"/>
      <c r="W4963" s="41"/>
      <c r="X4963" s="371">
        <v>44593</v>
      </c>
      <c r="Y4963" s="391">
        <v>44834</v>
      </c>
    </row>
    <row r="4964" s="9" customFormat="1" customHeight="1" spans="1:25">
      <c r="A4964" s="96" t="s">
        <v>401</v>
      </c>
      <c r="B4964" s="17" t="s">
        <v>6236</v>
      </c>
      <c r="C4964" s="94" t="s">
        <v>63</v>
      </c>
      <c r="D4964" s="17" t="s">
        <v>6237</v>
      </c>
      <c r="E4964" s="105" t="s">
        <v>6238</v>
      </c>
      <c r="F4964" s="96" t="s">
        <v>6239</v>
      </c>
      <c r="G4964" s="96" t="s">
        <v>31</v>
      </c>
      <c r="H4964" s="19" t="s">
        <v>6272</v>
      </c>
      <c r="I4964" s="23" t="e">
        <f>VLOOKUP(H4964,'合同综合查询数据（3月返）'!$A:$A,1,FALSE)</f>
        <v>#N/A</v>
      </c>
      <c r="J4964" s="24" t="s">
        <v>33</v>
      </c>
      <c r="K4964" s="16" t="s">
        <v>6656</v>
      </c>
      <c r="L4964" s="25" t="s">
        <v>6239</v>
      </c>
      <c r="M4964" s="26"/>
      <c r="N4964" s="28">
        <v>44712</v>
      </c>
      <c r="O4964" s="28" t="s">
        <v>37</v>
      </c>
      <c r="P4964" s="365">
        <v>0</v>
      </c>
      <c r="Q4964" s="369">
        <v>-640</v>
      </c>
      <c r="R4964" s="173">
        <f t="shared" si="110"/>
        <v>0</v>
      </c>
      <c r="S4964" s="37">
        <v>202303</v>
      </c>
      <c r="T4964" s="38" t="s">
        <v>6664</v>
      </c>
      <c r="U4964" s="39"/>
      <c r="V4964" s="370"/>
      <c r="W4964" s="41"/>
      <c r="X4964" s="371">
        <v>44593</v>
      </c>
      <c r="Y4964" s="391">
        <v>44834</v>
      </c>
    </row>
    <row r="4965" s="10" customFormat="1" customHeight="1" spans="1:25">
      <c r="A4965" s="42" t="s">
        <v>401</v>
      </c>
      <c r="B4965" s="43" t="s">
        <v>6236</v>
      </c>
      <c r="C4965" s="43" t="s">
        <v>63</v>
      </c>
      <c r="D4965" s="43" t="s">
        <v>6237</v>
      </c>
      <c r="E4965" s="44" t="s">
        <v>6238</v>
      </c>
      <c r="F4965" s="42" t="s">
        <v>6239</v>
      </c>
      <c r="G4965" s="42" t="s">
        <v>78</v>
      </c>
      <c r="H4965" s="45" t="s">
        <v>6665</v>
      </c>
      <c r="I4965" s="47" t="e">
        <f>VLOOKUP(H4965,'合同综合查询数据（3月返）'!$A:$A,1,FALSE)</f>
        <v>#N/A</v>
      </c>
      <c r="J4965" s="48" t="s">
        <v>6666</v>
      </c>
      <c r="K4965" s="42"/>
      <c r="L4965" s="49"/>
      <c r="M4965" s="50"/>
      <c r="N4965" s="51"/>
      <c r="O4965" s="51"/>
      <c r="P4965" s="366">
        <v>2500</v>
      </c>
      <c r="Q4965" s="372">
        <v>4</v>
      </c>
      <c r="R4965" s="144">
        <f t="shared" si="110"/>
        <v>10000</v>
      </c>
      <c r="S4965" s="55">
        <v>202303</v>
      </c>
      <c r="T4965" s="56" t="s">
        <v>6667</v>
      </c>
      <c r="U4965" s="57"/>
      <c r="V4965" s="373"/>
      <c r="W4965" s="59"/>
      <c r="X4965" s="374"/>
      <c r="Y4965" s="392"/>
    </row>
    <row r="4966" s="10" customFormat="1" customHeight="1" spans="1:25">
      <c r="A4966" s="42" t="s">
        <v>401</v>
      </c>
      <c r="B4966" s="43" t="s">
        <v>6236</v>
      </c>
      <c r="C4966" s="43" t="s">
        <v>63</v>
      </c>
      <c r="D4966" s="43" t="s">
        <v>6237</v>
      </c>
      <c r="E4966" s="44" t="s">
        <v>6238</v>
      </c>
      <c r="F4966" s="42" t="s">
        <v>6239</v>
      </c>
      <c r="G4966" s="42" t="s">
        <v>78</v>
      </c>
      <c r="H4966" s="45" t="s">
        <v>6665</v>
      </c>
      <c r="I4966" s="47" t="e">
        <f>VLOOKUP(H4966,'合同综合查询数据（3月返）'!$A:$A,1,FALSE)</f>
        <v>#N/A</v>
      </c>
      <c r="J4966" s="48" t="s">
        <v>6666</v>
      </c>
      <c r="K4966" s="42"/>
      <c r="L4966" s="49"/>
      <c r="M4966" s="50"/>
      <c r="N4966" s="51"/>
      <c r="O4966" s="51"/>
      <c r="P4966" s="366">
        <v>2500</v>
      </c>
      <c r="Q4966" s="372">
        <v>-2</v>
      </c>
      <c r="R4966" s="144">
        <f t="shared" si="110"/>
        <v>-5000</v>
      </c>
      <c r="S4966" s="55">
        <v>202303</v>
      </c>
      <c r="T4966" s="56" t="s">
        <v>6668</v>
      </c>
      <c r="U4966" s="57"/>
      <c r="V4966" s="373"/>
      <c r="W4966" s="59"/>
      <c r="X4966" s="374"/>
      <c r="Y4966" s="392"/>
    </row>
    <row r="4967" s="10" customFormat="1" customHeight="1" spans="1:25">
      <c r="A4967" s="42" t="s">
        <v>401</v>
      </c>
      <c r="B4967" s="43" t="s">
        <v>6236</v>
      </c>
      <c r="C4967" s="43" t="s">
        <v>63</v>
      </c>
      <c r="D4967" s="43" t="s">
        <v>6237</v>
      </c>
      <c r="E4967" s="44" t="s">
        <v>6238</v>
      </c>
      <c r="F4967" s="42" t="s">
        <v>6239</v>
      </c>
      <c r="G4967" s="42" t="s">
        <v>78</v>
      </c>
      <c r="H4967" s="45" t="s">
        <v>6669</v>
      </c>
      <c r="I4967" s="47" t="e">
        <f>VLOOKUP(H4967,'合同综合查询数据（3月返）'!$A:$A,1,FALSE)</f>
        <v>#N/A</v>
      </c>
      <c r="J4967" s="48" t="s">
        <v>6670</v>
      </c>
      <c r="K4967" s="42" t="s">
        <v>6671</v>
      </c>
      <c r="L4967" s="49" t="s">
        <v>6672</v>
      </c>
      <c r="M4967" s="50"/>
      <c r="N4967" s="51" t="s">
        <v>6673</v>
      </c>
      <c r="O4967" s="51"/>
      <c r="P4967" s="366">
        <v>2500</v>
      </c>
      <c r="Q4967" s="372">
        <v>5</v>
      </c>
      <c r="R4967" s="144">
        <f t="shared" si="110"/>
        <v>12500</v>
      </c>
      <c r="S4967" s="55">
        <v>202303</v>
      </c>
      <c r="T4967" s="56" t="s">
        <v>6674</v>
      </c>
      <c r="U4967" s="57"/>
      <c r="V4967" s="373"/>
      <c r="W4967" s="59"/>
      <c r="X4967" s="374"/>
      <c r="Y4967" s="392"/>
    </row>
    <row r="4968" s="9" customFormat="1" customHeight="1" spans="1:25">
      <c r="A4968" s="16" t="s">
        <v>401</v>
      </c>
      <c r="B4968" s="17" t="s">
        <v>6236</v>
      </c>
      <c r="C4968" s="17" t="s">
        <v>63</v>
      </c>
      <c r="D4968" s="17" t="s">
        <v>6237</v>
      </c>
      <c r="E4968" s="18" t="s">
        <v>6238</v>
      </c>
      <c r="F4968" s="16" t="s">
        <v>6239</v>
      </c>
      <c r="G4968" s="129" t="s">
        <v>302</v>
      </c>
      <c r="H4968" s="19" t="s">
        <v>6624</v>
      </c>
      <c r="I4968" s="23" t="e">
        <f>VLOOKUP(H4968,'合同综合查询数据（3月返）'!$A:$A,1,FALSE)</f>
        <v>#N/A</v>
      </c>
      <c r="J4968" s="129" t="s">
        <v>302</v>
      </c>
      <c r="K4968" s="387"/>
      <c r="L4968" s="387"/>
      <c r="M4968" s="387"/>
      <c r="N4968" s="227">
        <v>43958</v>
      </c>
      <c r="O4968" s="28" t="s">
        <v>308</v>
      </c>
      <c r="P4968" s="365">
        <v>400</v>
      </c>
      <c r="Q4968" s="376">
        <v>1</v>
      </c>
      <c r="R4968" s="173">
        <f t="shared" si="110"/>
        <v>400</v>
      </c>
      <c r="S4968" s="37">
        <v>202303</v>
      </c>
      <c r="T4968" s="38" t="s">
        <v>6675</v>
      </c>
      <c r="U4968" s="39"/>
      <c r="V4968" s="370"/>
      <c r="W4968" s="41"/>
      <c r="X4968" s="371">
        <v>44501</v>
      </c>
      <c r="Y4968" s="371">
        <v>45230</v>
      </c>
    </row>
    <row r="4969" s="9" customFormat="1" customHeight="1" spans="1:25">
      <c r="A4969" s="16" t="s">
        <v>401</v>
      </c>
      <c r="B4969" s="17" t="s">
        <v>6236</v>
      </c>
      <c r="C4969" s="17" t="s">
        <v>63</v>
      </c>
      <c r="D4969" s="17" t="s">
        <v>6237</v>
      </c>
      <c r="E4969" s="18" t="s">
        <v>6238</v>
      </c>
      <c r="F4969" s="16" t="s">
        <v>6239</v>
      </c>
      <c r="G4969" s="129" t="s">
        <v>302</v>
      </c>
      <c r="H4969" s="19" t="s">
        <v>6624</v>
      </c>
      <c r="I4969" s="23" t="e">
        <f>VLOOKUP(H4969,'合同综合查询数据（3月返）'!$A:$A,1,FALSE)</f>
        <v>#N/A</v>
      </c>
      <c r="J4969" s="129" t="s">
        <v>302</v>
      </c>
      <c r="K4969" s="387"/>
      <c r="L4969" s="387"/>
      <c r="M4969" s="387"/>
      <c r="N4969" s="227">
        <v>44628</v>
      </c>
      <c r="O4969" s="28" t="s">
        <v>308</v>
      </c>
      <c r="P4969" s="365">
        <v>400</v>
      </c>
      <c r="Q4969" s="376">
        <v>-1</v>
      </c>
      <c r="R4969" s="173">
        <f t="shared" si="110"/>
        <v>-400</v>
      </c>
      <c r="S4969" s="37">
        <v>202303</v>
      </c>
      <c r="T4969" s="38" t="s">
        <v>6676</v>
      </c>
      <c r="U4969" s="39"/>
      <c r="V4969" s="370"/>
      <c r="W4969" s="41"/>
      <c r="X4969" s="371">
        <v>44501</v>
      </c>
      <c r="Y4969" s="371">
        <v>45230</v>
      </c>
    </row>
    <row r="4970" s="9" customFormat="1" customHeight="1" spans="1:25">
      <c r="A4970" s="16" t="s">
        <v>401</v>
      </c>
      <c r="B4970" s="17" t="s">
        <v>6236</v>
      </c>
      <c r="C4970" s="17" t="s">
        <v>63</v>
      </c>
      <c r="D4970" s="17" t="s">
        <v>6237</v>
      </c>
      <c r="E4970" s="18" t="s">
        <v>6238</v>
      </c>
      <c r="F4970" s="16" t="s">
        <v>6239</v>
      </c>
      <c r="G4970" s="129" t="s">
        <v>302</v>
      </c>
      <c r="H4970" s="19" t="s">
        <v>6624</v>
      </c>
      <c r="I4970" s="23" t="e">
        <f>VLOOKUP(H4970,'合同综合查询数据（3月返）'!$A:$A,1,FALSE)</f>
        <v>#N/A</v>
      </c>
      <c r="J4970" s="129" t="s">
        <v>302</v>
      </c>
      <c r="K4970" s="387"/>
      <c r="L4970" s="387"/>
      <c r="M4970" s="387"/>
      <c r="N4970" s="227">
        <v>43958</v>
      </c>
      <c r="O4970" s="28" t="s">
        <v>311</v>
      </c>
      <c r="P4970" s="365">
        <v>1340</v>
      </c>
      <c r="Q4970" s="376">
        <v>1</v>
      </c>
      <c r="R4970" s="173">
        <f t="shared" si="110"/>
        <v>1340</v>
      </c>
      <c r="S4970" s="37">
        <v>202303</v>
      </c>
      <c r="T4970" s="38" t="s">
        <v>6677</v>
      </c>
      <c r="U4970" s="39"/>
      <c r="V4970" s="370"/>
      <c r="W4970" s="41"/>
      <c r="X4970" s="371">
        <v>44501</v>
      </c>
      <c r="Y4970" s="371">
        <v>45230</v>
      </c>
    </row>
    <row r="4971" s="9" customFormat="1" customHeight="1" spans="1:25">
      <c r="A4971" s="16" t="s">
        <v>401</v>
      </c>
      <c r="B4971" s="17" t="s">
        <v>6236</v>
      </c>
      <c r="C4971" s="17" t="s">
        <v>63</v>
      </c>
      <c r="D4971" s="17" t="s">
        <v>6237</v>
      </c>
      <c r="E4971" s="18" t="s">
        <v>6238</v>
      </c>
      <c r="F4971" s="16" t="s">
        <v>6239</v>
      </c>
      <c r="G4971" s="129" t="s">
        <v>302</v>
      </c>
      <c r="H4971" s="19" t="s">
        <v>6624</v>
      </c>
      <c r="I4971" s="23" t="e">
        <f>VLOOKUP(H4971,'合同综合查询数据（3月返）'!$A:$A,1,FALSE)</f>
        <v>#N/A</v>
      </c>
      <c r="J4971" s="129" t="s">
        <v>302</v>
      </c>
      <c r="K4971" s="387"/>
      <c r="L4971" s="387"/>
      <c r="M4971" s="387"/>
      <c r="N4971" s="227">
        <v>43958</v>
      </c>
      <c r="O4971" s="28" t="s">
        <v>308</v>
      </c>
      <c r="P4971" s="365">
        <v>400</v>
      </c>
      <c r="Q4971" s="376">
        <v>1</v>
      </c>
      <c r="R4971" s="173">
        <f t="shared" si="110"/>
        <v>400</v>
      </c>
      <c r="S4971" s="37">
        <v>202303</v>
      </c>
      <c r="T4971" s="38" t="s">
        <v>6678</v>
      </c>
      <c r="U4971" s="39"/>
      <c r="V4971" s="370"/>
      <c r="W4971" s="41"/>
      <c r="X4971" s="371">
        <v>44501</v>
      </c>
      <c r="Y4971" s="371">
        <v>45230</v>
      </c>
    </row>
    <row r="4972" s="9" customFormat="1" customHeight="1" spans="1:25">
      <c r="A4972" s="16" t="s">
        <v>401</v>
      </c>
      <c r="B4972" s="17" t="s">
        <v>6236</v>
      </c>
      <c r="C4972" s="17" t="s">
        <v>63</v>
      </c>
      <c r="D4972" s="17" t="s">
        <v>6237</v>
      </c>
      <c r="E4972" s="18" t="s">
        <v>6238</v>
      </c>
      <c r="F4972" s="16" t="s">
        <v>6239</v>
      </c>
      <c r="G4972" s="129" t="s">
        <v>302</v>
      </c>
      <c r="H4972" s="19" t="s">
        <v>6624</v>
      </c>
      <c r="I4972" s="23" t="e">
        <f>VLOOKUP(H4972,'合同综合查询数据（3月返）'!$A:$A,1,FALSE)</f>
        <v>#N/A</v>
      </c>
      <c r="J4972" s="129" t="s">
        <v>302</v>
      </c>
      <c r="K4972" s="387"/>
      <c r="L4972" s="387"/>
      <c r="M4972" s="387"/>
      <c r="N4972" s="227">
        <v>43958</v>
      </c>
      <c r="O4972" s="28" t="s">
        <v>308</v>
      </c>
      <c r="P4972" s="388">
        <v>400</v>
      </c>
      <c r="Q4972" s="376">
        <v>1</v>
      </c>
      <c r="R4972" s="173">
        <f t="shared" si="110"/>
        <v>400</v>
      </c>
      <c r="S4972" s="37">
        <v>202303</v>
      </c>
      <c r="T4972" s="38" t="s">
        <v>6679</v>
      </c>
      <c r="U4972" s="39"/>
      <c r="V4972" s="370"/>
      <c r="W4972" s="41"/>
      <c r="X4972" s="371">
        <v>44501</v>
      </c>
      <c r="Y4972" s="371">
        <v>45230</v>
      </c>
    </row>
    <row r="4973" s="9" customFormat="1" customHeight="1" spans="1:25">
      <c r="A4973" s="16" t="s">
        <v>401</v>
      </c>
      <c r="B4973" s="17" t="s">
        <v>6236</v>
      </c>
      <c r="C4973" s="17" t="s">
        <v>63</v>
      </c>
      <c r="D4973" s="17" t="s">
        <v>6237</v>
      </c>
      <c r="E4973" s="18" t="s">
        <v>6238</v>
      </c>
      <c r="F4973" s="16" t="s">
        <v>6239</v>
      </c>
      <c r="G4973" s="129" t="s">
        <v>302</v>
      </c>
      <c r="H4973" s="19" t="s">
        <v>6624</v>
      </c>
      <c r="I4973" s="23" t="e">
        <f>VLOOKUP(H4973,'合同综合查询数据（3月返）'!$A:$A,1,FALSE)</f>
        <v>#N/A</v>
      </c>
      <c r="J4973" s="129" t="s">
        <v>302</v>
      </c>
      <c r="K4973" s="387"/>
      <c r="L4973" s="387"/>
      <c r="M4973" s="387"/>
      <c r="N4973" s="227">
        <v>44628</v>
      </c>
      <c r="O4973" s="28" t="s">
        <v>308</v>
      </c>
      <c r="P4973" s="388">
        <v>400</v>
      </c>
      <c r="Q4973" s="376">
        <v>-1</v>
      </c>
      <c r="R4973" s="173">
        <f t="shared" si="110"/>
        <v>-400</v>
      </c>
      <c r="S4973" s="37">
        <v>202303</v>
      </c>
      <c r="T4973" s="38" t="s">
        <v>6680</v>
      </c>
      <c r="U4973" s="39"/>
      <c r="V4973" s="370"/>
      <c r="W4973" s="41"/>
      <c r="X4973" s="371">
        <v>44501</v>
      </c>
      <c r="Y4973" s="371">
        <v>45230</v>
      </c>
    </row>
    <row r="4974" s="9" customFormat="1" customHeight="1" spans="1:25">
      <c r="A4974" s="16" t="s">
        <v>401</v>
      </c>
      <c r="B4974" s="17" t="s">
        <v>6236</v>
      </c>
      <c r="C4974" s="17" t="s">
        <v>63</v>
      </c>
      <c r="D4974" s="17" t="s">
        <v>6237</v>
      </c>
      <c r="E4974" s="18" t="s">
        <v>6238</v>
      </c>
      <c r="F4974" s="16" t="s">
        <v>6239</v>
      </c>
      <c r="G4974" s="129" t="s">
        <v>302</v>
      </c>
      <c r="H4974" s="19" t="s">
        <v>6624</v>
      </c>
      <c r="I4974" s="23" t="e">
        <f>VLOOKUP(H4974,'合同综合查询数据（3月返）'!$A:$A,1,FALSE)</f>
        <v>#N/A</v>
      </c>
      <c r="J4974" s="129" t="s">
        <v>302</v>
      </c>
      <c r="K4974" s="387"/>
      <c r="L4974" s="387"/>
      <c r="M4974" s="387"/>
      <c r="N4974" s="227" t="s">
        <v>6681</v>
      </c>
      <c r="O4974" s="28" t="s">
        <v>6682</v>
      </c>
      <c r="P4974" s="388">
        <v>2120</v>
      </c>
      <c r="Q4974" s="376">
        <v>1</v>
      </c>
      <c r="R4974" s="173">
        <f t="shared" ref="R4974:R5037" si="111">ROUND(P4974*Q4974,2)</f>
        <v>2120</v>
      </c>
      <c r="S4974" s="37">
        <v>202303</v>
      </c>
      <c r="T4974" s="38" t="s">
        <v>6683</v>
      </c>
      <c r="U4974" s="39"/>
      <c r="V4974" s="370"/>
      <c r="W4974" s="41"/>
      <c r="X4974" s="371">
        <v>44501</v>
      </c>
      <c r="Y4974" s="371">
        <v>45230</v>
      </c>
    </row>
    <row r="4975" s="9" customFormat="1" customHeight="1" spans="1:25">
      <c r="A4975" s="16" t="s">
        <v>401</v>
      </c>
      <c r="B4975" s="17" t="s">
        <v>6236</v>
      </c>
      <c r="C4975" s="17" t="s">
        <v>63</v>
      </c>
      <c r="D4975" s="17" t="s">
        <v>6237</v>
      </c>
      <c r="E4975" s="18" t="s">
        <v>6238</v>
      </c>
      <c r="F4975" s="16" t="s">
        <v>6239</v>
      </c>
      <c r="G4975" s="129" t="s">
        <v>302</v>
      </c>
      <c r="H4975" s="19" t="s">
        <v>6624</v>
      </c>
      <c r="I4975" s="23" t="e">
        <f>VLOOKUP(H4975,'合同综合查询数据（3月返）'!$A:$A,1,FALSE)</f>
        <v>#N/A</v>
      </c>
      <c r="J4975" s="129" t="s">
        <v>302</v>
      </c>
      <c r="K4975" s="387"/>
      <c r="L4975" s="387"/>
      <c r="M4975" s="387"/>
      <c r="N4975" s="227">
        <v>43958</v>
      </c>
      <c r="O4975" s="28" t="s">
        <v>308</v>
      </c>
      <c r="P4975" s="365">
        <v>2000</v>
      </c>
      <c r="Q4975" s="376">
        <v>1</v>
      </c>
      <c r="R4975" s="173">
        <f t="shared" si="111"/>
        <v>2000</v>
      </c>
      <c r="S4975" s="37">
        <v>202303</v>
      </c>
      <c r="T4975" s="38" t="s">
        <v>6684</v>
      </c>
      <c r="U4975" s="39"/>
      <c r="V4975" s="370"/>
      <c r="W4975" s="41"/>
      <c r="X4975" s="371">
        <v>44501</v>
      </c>
      <c r="Y4975" s="371">
        <v>45230</v>
      </c>
    </row>
    <row r="4976" s="9" customFormat="1" customHeight="1" spans="1:25">
      <c r="A4976" s="16" t="s">
        <v>401</v>
      </c>
      <c r="B4976" s="17" t="s">
        <v>6236</v>
      </c>
      <c r="C4976" s="17" t="s">
        <v>63</v>
      </c>
      <c r="D4976" s="17" t="s">
        <v>6237</v>
      </c>
      <c r="E4976" s="18" t="s">
        <v>6238</v>
      </c>
      <c r="F4976" s="16" t="s">
        <v>6239</v>
      </c>
      <c r="G4976" s="129" t="s">
        <v>302</v>
      </c>
      <c r="H4976" s="19" t="s">
        <v>6624</v>
      </c>
      <c r="I4976" s="23" t="e">
        <f>VLOOKUP(H4976,'合同综合查询数据（3月返）'!$A:$A,1,FALSE)</f>
        <v>#N/A</v>
      </c>
      <c r="J4976" s="129" t="s">
        <v>302</v>
      </c>
      <c r="K4976" s="387"/>
      <c r="L4976" s="387"/>
      <c r="M4976" s="387"/>
      <c r="N4976" s="227" t="s">
        <v>6685</v>
      </c>
      <c r="O4976" s="28" t="s">
        <v>6686</v>
      </c>
      <c r="P4976" s="388">
        <v>2000</v>
      </c>
      <c r="Q4976" s="376">
        <v>1</v>
      </c>
      <c r="R4976" s="173">
        <f t="shared" si="111"/>
        <v>2000</v>
      </c>
      <c r="S4976" s="37">
        <v>202303</v>
      </c>
      <c r="T4976" s="38" t="s">
        <v>6687</v>
      </c>
      <c r="U4976" s="39"/>
      <c r="V4976" s="370"/>
      <c r="W4976" s="41"/>
      <c r="X4976" s="371">
        <v>44501</v>
      </c>
      <c r="Y4976" s="371">
        <v>45230</v>
      </c>
    </row>
    <row r="4977" s="9" customFormat="1" customHeight="1" spans="1:25">
      <c r="A4977" s="16" t="s">
        <v>401</v>
      </c>
      <c r="B4977" s="17" t="s">
        <v>6236</v>
      </c>
      <c r="C4977" s="17" t="s">
        <v>63</v>
      </c>
      <c r="D4977" s="17" t="s">
        <v>6237</v>
      </c>
      <c r="E4977" s="18" t="s">
        <v>6238</v>
      </c>
      <c r="F4977" s="16" t="s">
        <v>6239</v>
      </c>
      <c r="G4977" s="129" t="s">
        <v>302</v>
      </c>
      <c r="H4977" s="19" t="s">
        <v>6624</v>
      </c>
      <c r="I4977" s="23" t="e">
        <f>VLOOKUP(H4977,'合同综合查询数据（3月返）'!$A:$A,1,FALSE)</f>
        <v>#N/A</v>
      </c>
      <c r="J4977" s="129" t="s">
        <v>302</v>
      </c>
      <c r="K4977" s="387"/>
      <c r="L4977" s="387"/>
      <c r="M4977" s="387"/>
      <c r="N4977" s="227" t="s">
        <v>6688</v>
      </c>
      <c r="O4977" s="28" t="s">
        <v>6686</v>
      </c>
      <c r="P4977" s="388">
        <v>2000</v>
      </c>
      <c r="Q4977" s="376">
        <v>1</v>
      </c>
      <c r="R4977" s="173">
        <f t="shared" si="111"/>
        <v>2000</v>
      </c>
      <c r="S4977" s="37">
        <v>202303</v>
      </c>
      <c r="T4977" s="38" t="s">
        <v>6689</v>
      </c>
      <c r="U4977" s="39"/>
      <c r="V4977" s="370"/>
      <c r="W4977" s="41"/>
      <c r="X4977" s="371">
        <v>44501</v>
      </c>
      <c r="Y4977" s="371">
        <v>45230</v>
      </c>
    </row>
    <row r="4978" s="9" customFormat="1" customHeight="1" spans="1:25">
      <c r="A4978" s="16" t="s">
        <v>401</v>
      </c>
      <c r="B4978" s="17" t="s">
        <v>6236</v>
      </c>
      <c r="C4978" s="17" t="s">
        <v>63</v>
      </c>
      <c r="D4978" s="17" t="s">
        <v>6237</v>
      </c>
      <c r="E4978" s="18" t="s">
        <v>6238</v>
      </c>
      <c r="F4978" s="16" t="s">
        <v>6239</v>
      </c>
      <c r="G4978" s="129" t="s">
        <v>302</v>
      </c>
      <c r="H4978" s="19" t="s">
        <v>6624</v>
      </c>
      <c r="I4978" s="23" t="e">
        <f>VLOOKUP(H4978,'合同综合查询数据（3月返）'!$A:$A,1,FALSE)</f>
        <v>#N/A</v>
      </c>
      <c r="J4978" s="129" t="s">
        <v>302</v>
      </c>
      <c r="K4978" s="387"/>
      <c r="L4978" s="387"/>
      <c r="M4978" s="387"/>
      <c r="N4978" s="227">
        <v>43936</v>
      </c>
      <c r="O4978" s="28" t="s">
        <v>308</v>
      </c>
      <c r="P4978" s="365">
        <v>600</v>
      </c>
      <c r="Q4978" s="376">
        <v>1</v>
      </c>
      <c r="R4978" s="173">
        <f t="shared" si="111"/>
        <v>600</v>
      </c>
      <c r="S4978" s="37">
        <v>202303</v>
      </c>
      <c r="T4978" s="38" t="s">
        <v>6690</v>
      </c>
      <c r="U4978" s="39"/>
      <c r="V4978" s="370"/>
      <c r="W4978" s="41"/>
      <c r="X4978" s="371">
        <v>44501</v>
      </c>
      <c r="Y4978" s="371">
        <v>45230</v>
      </c>
    </row>
    <row r="4979" s="9" customFormat="1" customHeight="1" spans="1:25">
      <c r="A4979" s="16" t="s">
        <v>401</v>
      </c>
      <c r="B4979" s="17" t="s">
        <v>6236</v>
      </c>
      <c r="C4979" s="17" t="s">
        <v>63</v>
      </c>
      <c r="D4979" s="17" t="s">
        <v>6237</v>
      </c>
      <c r="E4979" s="18" t="s">
        <v>6238</v>
      </c>
      <c r="F4979" s="16" t="s">
        <v>6239</v>
      </c>
      <c r="G4979" s="129" t="s">
        <v>302</v>
      </c>
      <c r="H4979" s="19" t="s">
        <v>6624</v>
      </c>
      <c r="I4979" s="23" t="e">
        <f>VLOOKUP(H4979,'合同综合查询数据（3月返）'!$A:$A,1,FALSE)</f>
        <v>#N/A</v>
      </c>
      <c r="J4979" s="129" t="s">
        <v>302</v>
      </c>
      <c r="K4979" s="387"/>
      <c r="L4979" s="387"/>
      <c r="M4979" s="387"/>
      <c r="N4979" s="227">
        <v>44783</v>
      </c>
      <c r="O4979" s="28" t="s">
        <v>308</v>
      </c>
      <c r="P4979" s="365">
        <v>600</v>
      </c>
      <c r="Q4979" s="376">
        <v>-1</v>
      </c>
      <c r="R4979" s="36">
        <f t="shared" si="111"/>
        <v>-600</v>
      </c>
      <c r="S4979" s="37">
        <v>202303</v>
      </c>
      <c r="T4979" s="38" t="s">
        <v>6691</v>
      </c>
      <c r="U4979" s="39"/>
      <c r="V4979" s="370"/>
      <c r="W4979" s="41"/>
      <c r="X4979" s="371">
        <v>44501</v>
      </c>
      <c r="Y4979" s="371">
        <v>45230</v>
      </c>
    </row>
    <row r="4980" s="9" customFormat="1" customHeight="1" spans="1:25">
      <c r="A4980" s="16" t="s">
        <v>401</v>
      </c>
      <c r="B4980" s="17" t="s">
        <v>6236</v>
      </c>
      <c r="C4980" s="17" t="s">
        <v>63</v>
      </c>
      <c r="D4980" s="17" t="s">
        <v>6237</v>
      </c>
      <c r="E4980" s="18" t="s">
        <v>6238</v>
      </c>
      <c r="F4980" s="16" t="s">
        <v>6239</v>
      </c>
      <c r="G4980" s="129" t="s">
        <v>302</v>
      </c>
      <c r="H4980" s="19" t="s">
        <v>6624</v>
      </c>
      <c r="I4980" s="23" t="e">
        <f>VLOOKUP(H4980,'合同综合查询数据（3月返）'!$A:$A,1,FALSE)</f>
        <v>#N/A</v>
      </c>
      <c r="J4980" s="129" t="s">
        <v>302</v>
      </c>
      <c r="K4980" s="387"/>
      <c r="L4980" s="387"/>
      <c r="M4980" s="387"/>
      <c r="N4980" s="227">
        <v>43935</v>
      </c>
      <c r="O4980" s="28" t="s">
        <v>308</v>
      </c>
      <c r="P4980" s="365">
        <v>400</v>
      </c>
      <c r="Q4980" s="376">
        <v>1</v>
      </c>
      <c r="R4980" s="173">
        <f t="shared" si="111"/>
        <v>400</v>
      </c>
      <c r="S4980" s="37">
        <v>202303</v>
      </c>
      <c r="T4980" s="38" t="s">
        <v>6692</v>
      </c>
      <c r="U4980" s="39"/>
      <c r="V4980" s="370"/>
      <c r="W4980" s="41"/>
      <c r="X4980" s="371">
        <v>44501</v>
      </c>
      <c r="Y4980" s="371">
        <v>45230</v>
      </c>
    </row>
    <row r="4981" s="9" customFormat="1" customHeight="1" spans="1:25">
      <c r="A4981" s="16" t="s">
        <v>401</v>
      </c>
      <c r="B4981" s="17" t="s">
        <v>6236</v>
      </c>
      <c r="C4981" s="17" t="s">
        <v>63</v>
      </c>
      <c r="D4981" s="17" t="s">
        <v>6237</v>
      </c>
      <c r="E4981" s="18" t="s">
        <v>6238</v>
      </c>
      <c r="F4981" s="16" t="s">
        <v>6239</v>
      </c>
      <c r="G4981" s="129" t="s">
        <v>302</v>
      </c>
      <c r="H4981" s="19" t="s">
        <v>6624</v>
      </c>
      <c r="I4981" s="23" t="e">
        <f>VLOOKUP(H4981,'合同综合查询数据（3月返）'!$A:$A,1,FALSE)</f>
        <v>#N/A</v>
      </c>
      <c r="J4981" s="129" t="s">
        <v>302</v>
      </c>
      <c r="K4981" s="387"/>
      <c r="L4981" s="387"/>
      <c r="M4981" s="387"/>
      <c r="N4981" s="227">
        <v>44671</v>
      </c>
      <c r="O4981" s="28" t="s">
        <v>308</v>
      </c>
      <c r="P4981" s="365">
        <v>400</v>
      </c>
      <c r="Q4981" s="376">
        <v>-1</v>
      </c>
      <c r="R4981" s="173">
        <f t="shared" si="111"/>
        <v>-400</v>
      </c>
      <c r="S4981" s="37">
        <v>202303</v>
      </c>
      <c r="T4981" s="38" t="s">
        <v>6693</v>
      </c>
      <c r="U4981" s="39"/>
      <c r="V4981" s="370"/>
      <c r="W4981" s="41"/>
      <c r="X4981" s="371">
        <v>44501</v>
      </c>
      <c r="Y4981" s="371">
        <v>45230</v>
      </c>
    </row>
    <row r="4982" s="9" customFormat="1" customHeight="1" spans="1:25">
      <c r="A4982" s="16" t="s">
        <v>401</v>
      </c>
      <c r="B4982" s="17" t="s">
        <v>6236</v>
      </c>
      <c r="C4982" s="17" t="s">
        <v>63</v>
      </c>
      <c r="D4982" s="17" t="s">
        <v>6237</v>
      </c>
      <c r="E4982" s="18" t="s">
        <v>6238</v>
      </c>
      <c r="F4982" s="16" t="s">
        <v>6239</v>
      </c>
      <c r="G4982" s="129" t="s">
        <v>302</v>
      </c>
      <c r="H4982" s="19" t="s">
        <v>6624</v>
      </c>
      <c r="I4982" s="23" t="e">
        <f>VLOOKUP(H4982,'合同综合查询数据（3月返）'!$A:$A,1,FALSE)</f>
        <v>#N/A</v>
      </c>
      <c r="J4982" s="129" t="s">
        <v>302</v>
      </c>
      <c r="K4982" s="387"/>
      <c r="L4982" s="387"/>
      <c r="M4982" s="387"/>
      <c r="N4982" s="227">
        <v>44207</v>
      </c>
      <c r="O4982" s="28" t="s">
        <v>311</v>
      </c>
      <c r="P4982" s="365">
        <v>1340</v>
      </c>
      <c r="Q4982" s="376">
        <v>1</v>
      </c>
      <c r="R4982" s="173">
        <f t="shared" si="111"/>
        <v>1340</v>
      </c>
      <c r="S4982" s="37">
        <v>202303</v>
      </c>
      <c r="T4982" s="38" t="s">
        <v>6694</v>
      </c>
      <c r="U4982" s="39"/>
      <c r="V4982" s="370"/>
      <c r="W4982" s="41"/>
      <c r="X4982" s="371">
        <v>44501</v>
      </c>
      <c r="Y4982" s="371">
        <v>45230</v>
      </c>
    </row>
    <row r="4983" s="9" customFormat="1" customHeight="1" spans="1:25">
      <c r="A4983" s="16" t="s">
        <v>401</v>
      </c>
      <c r="B4983" s="17" t="s">
        <v>6236</v>
      </c>
      <c r="C4983" s="17" t="s">
        <v>63</v>
      </c>
      <c r="D4983" s="17" t="s">
        <v>6237</v>
      </c>
      <c r="E4983" s="18" t="s">
        <v>6238</v>
      </c>
      <c r="F4983" s="16" t="s">
        <v>6239</v>
      </c>
      <c r="G4983" s="129" t="s">
        <v>302</v>
      </c>
      <c r="H4983" s="19" t="s">
        <v>6624</v>
      </c>
      <c r="I4983" s="23" t="e">
        <f>VLOOKUP(H4983,'合同综合查询数据（3月返）'!$A:$A,1,FALSE)</f>
        <v>#N/A</v>
      </c>
      <c r="J4983" s="129" t="s">
        <v>302</v>
      </c>
      <c r="K4983" s="387"/>
      <c r="L4983" s="387"/>
      <c r="M4983" s="387"/>
      <c r="N4983" s="227" t="s">
        <v>6695</v>
      </c>
      <c r="O4983" s="28" t="s">
        <v>6696</v>
      </c>
      <c r="P4983" s="365">
        <v>660</v>
      </c>
      <c r="Q4983" s="376">
        <v>1</v>
      </c>
      <c r="R4983" s="173">
        <f t="shared" si="111"/>
        <v>660</v>
      </c>
      <c r="S4983" s="37">
        <v>202303</v>
      </c>
      <c r="T4983" s="38" t="s">
        <v>6697</v>
      </c>
      <c r="U4983" s="39"/>
      <c r="V4983" s="370"/>
      <c r="W4983" s="41"/>
      <c r="X4983" s="371">
        <v>44501</v>
      </c>
      <c r="Y4983" s="371">
        <v>45230</v>
      </c>
    </row>
    <row r="4984" s="9" customFormat="1" customHeight="1" spans="1:25">
      <c r="A4984" s="16" t="s">
        <v>401</v>
      </c>
      <c r="B4984" s="17" t="s">
        <v>6236</v>
      </c>
      <c r="C4984" s="17" t="s">
        <v>63</v>
      </c>
      <c r="D4984" s="17" t="s">
        <v>6237</v>
      </c>
      <c r="E4984" s="18" t="s">
        <v>6238</v>
      </c>
      <c r="F4984" s="16" t="s">
        <v>6239</v>
      </c>
      <c r="G4984" s="129" t="s">
        <v>302</v>
      </c>
      <c r="H4984" s="19" t="s">
        <v>6624</v>
      </c>
      <c r="I4984" s="23" t="e">
        <f>VLOOKUP(H4984,'合同综合查询数据（3月返）'!$A:$A,1,FALSE)</f>
        <v>#N/A</v>
      </c>
      <c r="J4984" s="129" t="s">
        <v>302</v>
      </c>
      <c r="K4984" s="387"/>
      <c r="L4984" s="387"/>
      <c r="M4984" s="387"/>
      <c r="N4984" s="227">
        <v>43935</v>
      </c>
      <c r="O4984" s="28" t="s">
        <v>311</v>
      </c>
      <c r="P4984" s="365">
        <v>1340</v>
      </c>
      <c r="Q4984" s="376">
        <v>1</v>
      </c>
      <c r="R4984" s="173">
        <f t="shared" si="111"/>
        <v>1340</v>
      </c>
      <c r="S4984" s="37">
        <v>202303</v>
      </c>
      <c r="T4984" s="38" t="s">
        <v>6698</v>
      </c>
      <c r="U4984" s="39"/>
      <c r="V4984" s="370"/>
      <c r="W4984" s="41"/>
      <c r="X4984" s="371">
        <v>44501</v>
      </c>
      <c r="Y4984" s="371">
        <v>45230</v>
      </c>
    </row>
    <row r="4985" s="9" customFormat="1" customHeight="1" spans="1:25">
      <c r="A4985" s="16" t="s">
        <v>401</v>
      </c>
      <c r="B4985" s="17" t="s">
        <v>6236</v>
      </c>
      <c r="C4985" s="17" t="s">
        <v>63</v>
      </c>
      <c r="D4985" s="17" t="s">
        <v>6237</v>
      </c>
      <c r="E4985" s="18" t="s">
        <v>6238</v>
      </c>
      <c r="F4985" s="16" t="s">
        <v>6239</v>
      </c>
      <c r="G4985" s="129" t="s">
        <v>302</v>
      </c>
      <c r="H4985" s="19" t="s">
        <v>6624</v>
      </c>
      <c r="I4985" s="23" t="e">
        <f>VLOOKUP(H4985,'合同综合查询数据（3月返）'!$A:$A,1,FALSE)</f>
        <v>#N/A</v>
      </c>
      <c r="J4985" s="129" t="s">
        <v>302</v>
      </c>
      <c r="K4985" s="387"/>
      <c r="L4985" s="387"/>
      <c r="M4985" s="387"/>
      <c r="N4985" s="227">
        <v>43935</v>
      </c>
      <c r="O4985" s="28" t="s">
        <v>311</v>
      </c>
      <c r="P4985" s="365">
        <v>1340</v>
      </c>
      <c r="Q4985" s="376">
        <v>1</v>
      </c>
      <c r="R4985" s="173">
        <f t="shared" si="111"/>
        <v>1340</v>
      </c>
      <c r="S4985" s="37">
        <v>202303</v>
      </c>
      <c r="T4985" s="38" t="s">
        <v>6699</v>
      </c>
      <c r="U4985" s="39"/>
      <c r="V4985" s="370"/>
      <c r="W4985" s="41"/>
      <c r="X4985" s="371">
        <v>44501</v>
      </c>
      <c r="Y4985" s="371">
        <v>45230</v>
      </c>
    </row>
    <row r="4986" s="9" customFormat="1" customHeight="1" spans="1:25">
      <c r="A4986" s="16" t="s">
        <v>401</v>
      </c>
      <c r="B4986" s="17" t="s">
        <v>6236</v>
      </c>
      <c r="C4986" s="17" t="s">
        <v>63</v>
      </c>
      <c r="D4986" s="17" t="s">
        <v>6237</v>
      </c>
      <c r="E4986" s="18" t="s">
        <v>6238</v>
      </c>
      <c r="F4986" s="16" t="s">
        <v>6239</v>
      </c>
      <c r="G4986" s="129" t="s">
        <v>302</v>
      </c>
      <c r="H4986" s="19" t="s">
        <v>6624</v>
      </c>
      <c r="I4986" s="23" t="e">
        <f>VLOOKUP(H4986,'合同综合查询数据（3月返）'!$A:$A,1,FALSE)</f>
        <v>#N/A</v>
      </c>
      <c r="J4986" s="129" t="s">
        <v>302</v>
      </c>
      <c r="K4986" s="387"/>
      <c r="L4986" s="387"/>
      <c r="M4986" s="387"/>
      <c r="N4986" s="227">
        <v>43935</v>
      </c>
      <c r="O4986" s="28" t="s">
        <v>311</v>
      </c>
      <c r="P4986" s="365">
        <v>1340</v>
      </c>
      <c r="Q4986" s="376">
        <v>1</v>
      </c>
      <c r="R4986" s="173">
        <f t="shared" si="111"/>
        <v>1340</v>
      </c>
      <c r="S4986" s="37">
        <v>202303</v>
      </c>
      <c r="T4986" s="38" t="s">
        <v>6700</v>
      </c>
      <c r="U4986" s="39"/>
      <c r="V4986" s="370"/>
      <c r="W4986" s="41"/>
      <c r="X4986" s="371">
        <v>44501</v>
      </c>
      <c r="Y4986" s="371">
        <v>45230</v>
      </c>
    </row>
    <row r="4987" s="9" customFormat="1" customHeight="1" spans="1:25">
      <c r="A4987" s="16" t="s">
        <v>401</v>
      </c>
      <c r="B4987" s="17" t="s">
        <v>6236</v>
      </c>
      <c r="C4987" s="17" t="s">
        <v>63</v>
      </c>
      <c r="D4987" s="17" t="s">
        <v>6237</v>
      </c>
      <c r="E4987" s="18" t="s">
        <v>6238</v>
      </c>
      <c r="F4987" s="16" t="s">
        <v>6239</v>
      </c>
      <c r="G4987" s="16" t="s">
        <v>31</v>
      </c>
      <c r="H4987" s="223" t="s">
        <v>6701</v>
      </c>
      <c r="I4987" s="23" t="e">
        <f>VLOOKUP(H4987,'合同综合查询数据（3月返）'!$A:$A,1,FALSE)</f>
        <v>#N/A</v>
      </c>
      <c r="J4987" s="129" t="s">
        <v>451</v>
      </c>
      <c r="K4987" s="387"/>
      <c r="L4987" s="387"/>
      <c r="M4987" s="129" t="s">
        <v>6273</v>
      </c>
      <c r="N4987" s="227">
        <v>44022</v>
      </c>
      <c r="O4987" s="28" t="s">
        <v>37</v>
      </c>
      <c r="P4987" s="365">
        <v>0</v>
      </c>
      <c r="Q4987" s="376">
        <v>512</v>
      </c>
      <c r="R4987" s="173">
        <f t="shared" si="111"/>
        <v>0</v>
      </c>
      <c r="S4987" s="37">
        <v>202303</v>
      </c>
      <c r="T4987" s="38" t="s">
        <v>1171</v>
      </c>
      <c r="U4987" s="39"/>
      <c r="V4987" s="370"/>
      <c r="W4987" s="41"/>
      <c r="X4987" s="371">
        <v>44013</v>
      </c>
      <c r="Y4987" s="371">
        <v>45838</v>
      </c>
    </row>
    <row r="4988" s="10" customFormat="1" customHeight="1" spans="1:25">
      <c r="A4988" s="42" t="s">
        <v>401</v>
      </c>
      <c r="B4988" s="43" t="s">
        <v>6236</v>
      </c>
      <c r="C4988" s="43" t="s">
        <v>63</v>
      </c>
      <c r="D4988" s="43" t="s">
        <v>6237</v>
      </c>
      <c r="E4988" s="44" t="s">
        <v>6238</v>
      </c>
      <c r="F4988" s="42" t="s">
        <v>6239</v>
      </c>
      <c r="G4988" s="42" t="s">
        <v>31</v>
      </c>
      <c r="H4988" s="383" t="s">
        <v>6702</v>
      </c>
      <c r="I4988" s="47" t="e">
        <f>VLOOKUP(H4988,'合同综合查询数据（3月返）'!$A:$A,1,FALSE)</f>
        <v>#N/A</v>
      </c>
      <c r="J4988" s="135" t="s">
        <v>6654</v>
      </c>
      <c r="K4988" s="389"/>
      <c r="L4988" s="389"/>
      <c r="M4988" s="135" t="s">
        <v>6323</v>
      </c>
      <c r="N4988" s="337">
        <v>44026</v>
      </c>
      <c r="O4988" s="51" t="s">
        <v>37</v>
      </c>
      <c r="P4988" s="366">
        <v>2500</v>
      </c>
      <c r="Q4988" s="390">
        <v>4</v>
      </c>
      <c r="R4988" s="144">
        <f t="shared" si="111"/>
        <v>10000</v>
      </c>
      <c r="S4988" s="55">
        <v>202303</v>
      </c>
      <c r="T4988" s="56" t="s">
        <v>6703</v>
      </c>
      <c r="U4988" s="57"/>
      <c r="V4988" s="373"/>
      <c r="W4988" s="59"/>
      <c r="X4988" s="374"/>
      <c r="Y4988" s="374"/>
    </row>
    <row r="4989" s="10" customFormat="1" customHeight="1" spans="1:25">
      <c r="A4989" s="384" t="s">
        <v>401</v>
      </c>
      <c r="B4989" s="43" t="s">
        <v>6236</v>
      </c>
      <c r="C4989" s="385" t="s">
        <v>63</v>
      </c>
      <c r="D4989" s="385" t="s">
        <v>6237</v>
      </c>
      <c r="E4989" s="386" t="s">
        <v>6238</v>
      </c>
      <c r="F4989" s="384" t="s">
        <v>6239</v>
      </c>
      <c r="G4989" s="384" t="s">
        <v>31</v>
      </c>
      <c r="H4989" s="143" t="s">
        <v>6704</v>
      </c>
      <c r="I4989" s="47" t="e">
        <f>VLOOKUP(H4989,'合同综合查询数据（3月返）'!$A:$A,1,FALSE)</f>
        <v>#N/A</v>
      </c>
      <c r="J4989" s="389" t="s">
        <v>6654</v>
      </c>
      <c r="K4989" s="389"/>
      <c r="L4989" s="389"/>
      <c r="M4989" s="135" t="s">
        <v>6705</v>
      </c>
      <c r="N4989" s="337">
        <v>44103</v>
      </c>
      <c r="O4989" s="51" t="s">
        <v>37</v>
      </c>
      <c r="P4989" s="366">
        <v>0</v>
      </c>
      <c r="Q4989" s="390">
        <v>640</v>
      </c>
      <c r="R4989" s="144">
        <f t="shared" si="111"/>
        <v>0</v>
      </c>
      <c r="S4989" s="55">
        <v>202303</v>
      </c>
      <c r="T4989" s="56" t="s">
        <v>6706</v>
      </c>
      <c r="U4989" s="57"/>
      <c r="V4989" s="373"/>
      <c r="W4989" s="59"/>
      <c r="X4989" s="374"/>
      <c r="Y4989" s="374"/>
    </row>
    <row r="4990" s="10" customFormat="1" customHeight="1" spans="1:25">
      <c r="A4990" s="42" t="s">
        <v>401</v>
      </c>
      <c r="B4990" s="43" t="s">
        <v>6236</v>
      </c>
      <c r="C4990" s="43" t="s">
        <v>63</v>
      </c>
      <c r="D4990" s="43" t="s">
        <v>6237</v>
      </c>
      <c r="E4990" s="44" t="s">
        <v>6707</v>
      </c>
      <c r="F4990" s="42" t="s">
        <v>6708</v>
      </c>
      <c r="G4990" s="42" t="s">
        <v>78</v>
      </c>
      <c r="H4990" s="45" t="s">
        <v>6709</v>
      </c>
      <c r="I4990" s="47" t="e">
        <f>VLOOKUP(H4990,'合同综合查询数据（3月返）'!$A:$A,1,FALSE)</f>
        <v>#N/A</v>
      </c>
      <c r="J4990" s="48" t="s">
        <v>878</v>
      </c>
      <c r="K4990" s="42"/>
      <c r="L4990" s="49"/>
      <c r="M4990" s="50"/>
      <c r="N4990" s="51">
        <v>43739</v>
      </c>
      <c r="O4990" s="51"/>
      <c r="P4990" s="366">
        <v>190400</v>
      </c>
      <c r="Q4990" s="372">
        <v>1</v>
      </c>
      <c r="R4990" s="54">
        <f t="shared" si="111"/>
        <v>190400</v>
      </c>
      <c r="S4990" s="55">
        <v>202303</v>
      </c>
      <c r="T4990" s="382" t="s">
        <v>6710</v>
      </c>
      <c r="U4990" s="57"/>
      <c r="V4990" s="373"/>
      <c r="W4990" s="59"/>
      <c r="X4990" s="374"/>
      <c r="Y4990" s="374"/>
    </row>
    <row r="4991" s="10" customFormat="1" customHeight="1" spans="1:25">
      <c r="A4991" s="42" t="s">
        <v>399</v>
      </c>
      <c r="B4991" s="43" t="s">
        <v>6236</v>
      </c>
      <c r="C4991" s="43" t="s">
        <v>63</v>
      </c>
      <c r="D4991" s="43" t="s">
        <v>6237</v>
      </c>
      <c r="E4991" s="44" t="s">
        <v>6711</v>
      </c>
      <c r="F4991" s="42" t="s">
        <v>6712</v>
      </c>
      <c r="G4991" s="42" t="s">
        <v>31</v>
      </c>
      <c r="H4991" s="45" t="s">
        <v>6713</v>
      </c>
      <c r="I4991" s="47" t="e">
        <f>VLOOKUP(H4991,'合同综合查询数据（3月返）'!$A:$A,1,FALSE)</f>
        <v>#N/A</v>
      </c>
      <c r="J4991" s="48" t="s">
        <v>33</v>
      </c>
      <c r="K4991" s="42" t="s">
        <v>6714</v>
      </c>
      <c r="L4991" s="49" t="s">
        <v>6712</v>
      </c>
      <c r="M4991" s="135" t="s">
        <v>6715</v>
      </c>
      <c r="N4991" s="51" t="s">
        <v>1225</v>
      </c>
      <c r="O4991" s="51" t="s">
        <v>37</v>
      </c>
      <c r="P4991" s="366">
        <v>0</v>
      </c>
      <c r="Q4991" s="372">
        <v>288</v>
      </c>
      <c r="R4991" s="144">
        <f t="shared" si="111"/>
        <v>0</v>
      </c>
      <c r="S4991" s="55">
        <v>202303</v>
      </c>
      <c r="T4991" s="56" t="s">
        <v>6716</v>
      </c>
      <c r="U4991" s="57"/>
      <c r="V4991" s="373"/>
      <c r="W4991" s="59"/>
      <c r="X4991" s="374"/>
      <c r="Y4991" s="374"/>
    </row>
    <row r="4992" s="10" customFormat="1" customHeight="1" spans="1:25">
      <c r="A4992" s="42" t="s">
        <v>399</v>
      </c>
      <c r="B4992" s="43" t="s">
        <v>6236</v>
      </c>
      <c r="C4992" s="43" t="s">
        <v>63</v>
      </c>
      <c r="D4992" s="43" t="s">
        <v>6237</v>
      </c>
      <c r="E4992" s="44" t="s">
        <v>6711</v>
      </c>
      <c r="F4992" s="42" t="s">
        <v>6712</v>
      </c>
      <c r="G4992" s="42" t="s">
        <v>88</v>
      </c>
      <c r="H4992" s="45" t="s">
        <v>6713</v>
      </c>
      <c r="I4992" s="47" t="e">
        <f>VLOOKUP(H4992,'合同综合查询数据（3月返）'!$A:$A,1,FALSE)</f>
        <v>#N/A</v>
      </c>
      <c r="J4992" s="48" t="s">
        <v>126</v>
      </c>
      <c r="K4992" s="42" t="s">
        <v>6714</v>
      </c>
      <c r="L4992" s="49"/>
      <c r="M4992" s="50" t="s">
        <v>6715</v>
      </c>
      <c r="N4992" s="51">
        <v>43491</v>
      </c>
      <c r="O4992" s="51" t="s">
        <v>92</v>
      </c>
      <c r="P4992" s="366">
        <v>4000</v>
      </c>
      <c r="Q4992" s="372">
        <v>6</v>
      </c>
      <c r="R4992" s="144">
        <f t="shared" si="111"/>
        <v>24000</v>
      </c>
      <c r="S4992" s="55">
        <v>202303</v>
      </c>
      <c r="T4992" s="56" t="s">
        <v>6717</v>
      </c>
      <c r="U4992" s="57"/>
      <c r="V4992" s="373"/>
      <c r="W4992" s="59"/>
      <c r="X4992" s="374"/>
      <c r="Y4992" s="374"/>
    </row>
    <row r="4993" s="10" customFormat="1" customHeight="1" spans="1:25">
      <c r="A4993" s="42" t="s">
        <v>399</v>
      </c>
      <c r="B4993" s="43" t="s">
        <v>6236</v>
      </c>
      <c r="C4993" s="43" t="s">
        <v>63</v>
      </c>
      <c r="D4993" s="43" t="s">
        <v>6237</v>
      </c>
      <c r="E4993" s="44" t="s">
        <v>6711</v>
      </c>
      <c r="F4993" s="42" t="s">
        <v>6712</v>
      </c>
      <c r="G4993" s="42" t="s">
        <v>88</v>
      </c>
      <c r="H4993" s="45" t="s">
        <v>6713</v>
      </c>
      <c r="I4993" s="47" t="e">
        <f>VLOOKUP(H4993,'合同综合查询数据（3月返）'!$A:$A,1,FALSE)</f>
        <v>#N/A</v>
      </c>
      <c r="J4993" s="48" t="s">
        <v>126</v>
      </c>
      <c r="K4993" s="42" t="s">
        <v>6714</v>
      </c>
      <c r="L4993" s="49"/>
      <c r="M4993" s="50" t="s">
        <v>6715</v>
      </c>
      <c r="N4993" s="51">
        <v>44732</v>
      </c>
      <c r="O4993" s="51" t="s">
        <v>92</v>
      </c>
      <c r="P4993" s="366">
        <v>4000</v>
      </c>
      <c r="Q4993" s="372">
        <v>-5</v>
      </c>
      <c r="R4993" s="69">
        <f t="shared" si="111"/>
        <v>-20000</v>
      </c>
      <c r="S4993" s="55">
        <v>202303</v>
      </c>
      <c r="T4993" s="56" t="s">
        <v>6718</v>
      </c>
      <c r="U4993" s="57"/>
      <c r="V4993" s="373"/>
      <c r="W4993" s="59"/>
      <c r="X4993" s="374"/>
      <c r="Y4993" s="374"/>
    </row>
    <row r="4994" s="9" customFormat="1" customHeight="1" spans="1:25">
      <c r="A4994" s="16" t="s">
        <v>399</v>
      </c>
      <c r="B4994" s="17" t="s">
        <v>6236</v>
      </c>
      <c r="C4994" s="17" t="s">
        <v>63</v>
      </c>
      <c r="D4994" s="17" t="s">
        <v>6237</v>
      </c>
      <c r="E4994" s="18" t="s">
        <v>6711</v>
      </c>
      <c r="F4994" s="16" t="s">
        <v>6712</v>
      </c>
      <c r="G4994" s="16" t="s">
        <v>88</v>
      </c>
      <c r="H4994" s="19" t="s">
        <v>6719</v>
      </c>
      <c r="I4994" s="23" t="e">
        <f>VLOOKUP(H4994,'合同综合查询数据（3月返）'!$A:$A,1,FALSE)</f>
        <v>#N/A</v>
      </c>
      <c r="J4994" s="24" t="s">
        <v>3074</v>
      </c>
      <c r="K4994" s="16" t="s">
        <v>6720</v>
      </c>
      <c r="L4994" s="25"/>
      <c r="M4994" s="26" t="s">
        <v>6721</v>
      </c>
      <c r="N4994" s="28">
        <v>43141</v>
      </c>
      <c r="O4994" s="28" t="s">
        <v>457</v>
      </c>
      <c r="P4994" s="365">
        <v>6200</v>
      </c>
      <c r="Q4994" s="369">
        <v>33</v>
      </c>
      <c r="R4994" s="173">
        <f t="shared" si="111"/>
        <v>204600</v>
      </c>
      <c r="S4994" s="37">
        <v>202303</v>
      </c>
      <c r="T4994" s="38"/>
      <c r="U4994" s="39"/>
      <c r="V4994" s="370"/>
      <c r="W4994" s="41"/>
      <c r="X4994" s="371">
        <v>43374</v>
      </c>
      <c r="Y4994" s="371">
        <v>45331</v>
      </c>
    </row>
    <row r="4995" s="9" customFormat="1" customHeight="1" spans="1:25">
      <c r="A4995" s="16" t="s">
        <v>399</v>
      </c>
      <c r="B4995" s="17" t="s">
        <v>6236</v>
      </c>
      <c r="C4995" s="17" t="s">
        <v>63</v>
      </c>
      <c r="D4995" s="17" t="s">
        <v>6237</v>
      </c>
      <c r="E4995" s="18" t="s">
        <v>6711</v>
      </c>
      <c r="F4995" s="16" t="s">
        <v>6712</v>
      </c>
      <c r="G4995" s="16" t="s">
        <v>88</v>
      </c>
      <c r="H4995" s="19" t="s">
        <v>6719</v>
      </c>
      <c r="I4995" s="23" t="e">
        <f>VLOOKUP(H4995,'合同综合查询数据（3月返）'!$A:$A,1,FALSE)</f>
        <v>#N/A</v>
      </c>
      <c r="J4995" s="24" t="s">
        <v>3074</v>
      </c>
      <c r="K4995" s="16" t="s">
        <v>6720</v>
      </c>
      <c r="L4995" s="25"/>
      <c r="M4995" s="26" t="s">
        <v>6721</v>
      </c>
      <c r="N4995" s="28">
        <v>43141</v>
      </c>
      <c r="O4995" s="28" t="s">
        <v>6722</v>
      </c>
      <c r="P4995" s="365">
        <v>18600</v>
      </c>
      <c r="Q4995" s="369">
        <v>6</v>
      </c>
      <c r="R4995" s="173">
        <f t="shared" si="111"/>
        <v>111600</v>
      </c>
      <c r="S4995" s="37">
        <v>202303</v>
      </c>
      <c r="T4995" s="38"/>
      <c r="U4995" s="39"/>
      <c r="V4995" s="370"/>
      <c r="W4995" s="41"/>
      <c r="X4995" s="371">
        <v>43374</v>
      </c>
      <c r="Y4995" s="371">
        <v>45331</v>
      </c>
    </row>
    <row r="4996" s="9" customFormat="1" customHeight="1" spans="1:25">
      <c r="A4996" s="16" t="s">
        <v>399</v>
      </c>
      <c r="B4996" s="17" t="s">
        <v>6236</v>
      </c>
      <c r="C4996" s="17" t="s">
        <v>63</v>
      </c>
      <c r="D4996" s="17" t="s">
        <v>6237</v>
      </c>
      <c r="E4996" s="18" t="s">
        <v>6711</v>
      </c>
      <c r="F4996" s="16" t="s">
        <v>6712</v>
      </c>
      <c r="G4996" s="16" t="s">
        <v>88</v>
      </c>
      <c r="H4996" s="19" t="s">
        <v>6719</v>
      </c>
      <c r="I4996" s="23" t="e">
        <f>VLOOKUP(H4996,'合同综合查询数据（3月返）'!$A:$A,1,FALSE)</f>
        <v>#N/A</v>
      </c>
      <c r="J4996" s="24" t="s">
        <v>3074</v>
      </c>
      <c r="K4996" s="16" t="s">
        <v>6720</v>
      </c>
      <c r="L4996" s="25"/>
      <c r="M4996" s="26" t="s">
        <v>6721</v>
      </c>
      <c r="N4996" s="28">
        <v>43141</v>
      </c>
      <c r="O4996" s="28" t="s">
        <v>461</v>
      </c>
      <c r="P4996" s="365">
        <v>12400</v>
      </c>
      <c r="Q4996" s="369">
        <v>2</v>
      </c>
      <c r="R4996" s="173">
        <f t="shared" si="111"/>
        <v>24800</v>
      </c>
      <c r="S4996" s="37">
        <v>202303</v>
      </c>
      <c r="T4996" s="38"/>
      <c r="U4996" s="39"/>
      <c r="V4996" s="370"/>
      <c r="W4996" s="41"/>
      <c r="X4996" s="371">
        <v>43374</v>
      </c>
      <c r="Y4996" s="371">
        <v>45331</v>
      </c>
    </row>
    <row r="4997" s="9" customFormat="1" customHeight="1" spans="1:25">
      <c r="A4997" s="16" t="s">
        <v>399</v>
      </c>
      <c r="B4997" s="17" t="s">
        <v>6236</v>
      </c>
      <c r="C4997" s="17" t="s">
        <v>63</v>
      </c>
      <c r="D4997" s="17" t="s">
        <v>6237</v>
      </c>
      <c r="E4997" s="18" t="s">
        <v>6711</v>
      </c>
      <c r="F4997" s="16" t="s">
        <v>6712</v>
      </c>
      <c r="G4997" s="16" t="s">
        <v>88</v>
      </c>
      <c r="H4997" s="19" t="s">
        <v>6719</v>
      </c>
      <c r="I4997" s="23" t="e">
        <f>VLOOKUP(H4997,'合同综合查询数据（3月返）'!$A:$A,1,FALSE)</f>
        <v>#N/A</v>
      </c>
      <c r="J4997" s="24" t="s">
        <v>3074</v>
      </c>
      <c r="K4997" s="16" t="s">
        <v>6720</v>
      </c>
      <c r="L4997" s="25"/>
      <c r="M4997" s="26" t="s">
        <v>6721</v>
      </c>
      <c r="N4997" s="28">
        <v>43141</v>
      </c>
      <c r="O4997" s="28" t="s">
        <v>461</v>
      </c>
      <c r="P4997" s="365">
        <v>12400</v>
      </c>
      <c r="Q4997" s="369">
        <v>2</v>
      </c>
      <c r="R4997" s="173">
        <f t="shared" si="111"/>
        <v>24800</v>
      </c>
      <c r="S4997" s="37">
        <v>202303</v>
      </c>
      <c r="T4997" s="38"/>
      <c r="U4997" s="39"/>
      <c r="V4997" s="370"/>
      <c r="W4997" s="41"/>
      <c r="X4997" s="371">
        <v>43374</v>
      </c>
      <c r="Y4997" s="371">
        <v>45331</v>
      </c>
    </row>
    <row r="4998" s="9" customFormat="1" customHeight="1" spans="1:25">
      <c r="A4998" s="16" t="s">
        <v>399</v>
      </c>
      <c r="B4998" s="17" t="s">
        <v>6236</v>
      </c>
      <c r="C4998" s="17" t="s">
        <v>63</v>
      </c>
      <c r="D4998" s="17" t="s">
        <v>6237</v>
      </c>
      <c r="E4998" s="18" t="s">
        <v>6711</v>
      </c>
      <c r="F4998" s="16" t="s">
        <v>6712</v>
      </c>
      <c r="G4998" s="16" t="s">
        <v>88</v>
      </c>
      <c r="H4998" s="19" t="s">
        <v>6719</v>
      </c>
      <c r="I4998" s="23" t="e">
        <f>VLOOKUP(H4998,'合同综合查询数据（3月返）'!$A:$A,1,FALSE)</f>
        <v>#N/A</v>
      </c>
      <c r="J4998" s="24" t="s">
        <v>3074</v>
      </c>
      <c r="K4998" s="16" t="s">
        <v>6720</v>
      </c>
      <c r="L4998" s="25"/>
      <c r="M4998" s="26" t="s">
        <v>6721</v>
      </c>
      <c r="N4998" s="28">
        <v>43208</v>
      </c>
      <c r="O4998" s="28" t="s">
        <v>457</v>
      </c>
      <c r="P4998" s="365">
        <v>6200</v>
      </c>
      <c r="Q4998" s="369">
        <v>3</v>
      </c>
      <c r="R4998" s="173">
        <f t="shared" si="111"/>
        <v>18600</v>
      </c>
      <c r="S4998" s="37">
        <v>202303</v>
      </c>
      <c r="T4998" s="38"/>
      <c r="U4998" s="39"/>
      <c r="V4998" s="370"/>
      <c r="W4998" s="41"/>
      <c r="X4998" s="371">
        <v>43374</v>
      </c>
      <c r="Y4998" s="371">
        <v>45331</v>
      </c>
    </row>
    <row r="4999" s="9" customFormat="1" customHeight="1" spans="1:25">
      <c r="A4999" s="16" t="s">
        <v>399</v>
      </c>
      <c r="B4999" s="17" t="s">
        <v>6236</v>
      </c>
      <c r="C4999" s="17" t="s">
        <v>63</v>
      </c>
      <c r="D4999" s="17" t="s">
        <v>6237</v>
      </c>
      <c r="E4999" s="18" t="s">
        <v>6711</v>
      </c>
      <c r="F4999" s="16" t="s">
        <v>6712</v>
      </c>
      <c r="G4999" s="16" t="s">
        <v>88</v>
      </c>
      <c r="H4999" s="19" t="s">
        <v>6719</v>
      </c>
      <c r="I4999" s="23" t="e">
        <f>VLOOKUP(H4999,'合同综合查询数据（3月返）'!$A:$A,1,FALSE)</f>
        <v>#N/A</v>
      </c>
      <c r="J4999" s="24" t="s">
        <v>3074</v>
      </c>
      <c r="K4999" s="16" t="s">
        <v>6720</v>
      </c>
      <c r="L4999" s="25"/>
      <c r="M4999" s="26" t="s">
        <v>6721</v>
      </c>
      <c r="N4999" s="28">
        <v>43234</v>
      </c>
      <c r="O4999" s="28" t="s">
        <v>6722</v>
      </c>
      <c r="P4999" s="365">
        <v>18600</v>
      </c>
      <c r="Q4999" s="369">
        <v>4</v>
      </c>
      <c r="R4999" s="173">
        <f t="shared" si="111"/>
        <v>74400</v>
      </c>
      <c r="S4999" s="37">
        <v>202303</v>
      </c>
      <c r="T4999" s="38" t="s">
        <v>6723</v>
      </c>
      <c r="U4999" s="39"/>
      <c r="V4999" s="370"/>
      <c r="W4999" s="41"/>
      <c r="X4999" s="371">
        <v>43374</v>
      </c>
      <c r="Y4999" s="371">
        <v>45331</v>
      </c>
    </row>
    <row r="5000" s="9" customFormat="1" customHeight="1" spans="1:25">
      <c r="A5000" s="16" t="s">
        <v>399</v>
      </c>
      <c r="B5000" s="17" t="s">
        <v>6236</v>
      </c>
      <c r="C5000" s="17" t="s">
        <v>63</v>
      </c>
      <c r="D5000" s="17" t="s">
        <v>6237</v>
      </c>
      <c r="E5000" s="18" t="s">
        <v>6711</v>
      </c>
      <c r="F5000" s="16" t="s">
        <v>6712</v>
      </c>
      <c r="G5000" s="16" t="s">
        <v>88</v>
      </c>
      <c r="H5000" s="19" t="s">
        <v>6719</v>
      </c>
      <c r="I5000" s="23" t="e">
        <f>VLOOKUP(H5000,'合同综合查询数据（3月返）'!$A:$A,1,FALSE)</f>
        <v>#N/A</v>
      </c>
      <c r="J5000" s="24" t="s">
        <v>3074</v>
      </c>
      <c r="K5000" s="16" t="s">
        <v>6720</v>
      </c>
      <c r="L5000" s="25"/>
      <c r="M5000" s="26" t="s">
        <v>6721</v>
      </c>
      <c r="N5000" s="28">
        <v>43237</v>
      </c>
      <c r="O5000" s="28" t="s">
        <v>457</v>
      </c>
      <c r="P5000" s="365">
        <v>6200</v>
      </c>
      <c r="Q5000" s="369">
        <v>9</v>
      </c>
      <c r="R5000" s="173">
        <f t="shared" si="111"/>
        <v>55800</v>
      </c>
      <c r="S5000" s="37">
        <v>202303</v>
      </c>
      <c r="T5000" s="38"/>
      <c r="U5000" s="39"/>
      <c r="V5000" s="370"/>
      <c r="W5000" s="41"/>
      <c r="X5000" s="371">
        <v>43374</v>
      </c>
      <c r="Y5000" s="371">
        <v>45331</v>
      </c>
    </row>
    <row r="5001" s="9" customFormat="1" customHeight="1" spans="1:25">
      <c r="A5001" s="16" t="s">
        <v>399</v>
      </c>
      <c r="B5001" s="17" t="s">
        <v>6236</v>
      </c>
      <c r="C5001" s="17" t="s">
        <v>63</v>
      </c>
      <c r="D5001" s="17" t="s">
        <v>6237</v>
      </c>
      <c r="E5001" s="18" t="s">
        <v>6711</v>
      </c>
      <c r="F5001" s="16" t="s">
        <v>6712</v>
      </c>
      <c r="G5001" s="16" t="s">
        <v>88</v>
      </c>
      <c r="H5001" s="19" t="s">
        <v>6719</v>
      </c>
      <c r="I5001" s="23" t="e">
        <f>VLOOKUP(H5001,'合同综合查询数据（3月返）'!$A:$A,1,FALSE)</f>
        <v>#N/A</v>
      </c>
      <c r="J5001" s="24" t="s">
        <v>3074</v>
      </c>
      <c r="K5001" s="16" t="s">
        <v>6720</v>
      </c>
      <c r="L5001" s="25"/>
      <c r="M5001" s="26" t="s">
        <v>6721</v>
      </c>
      <c r="N5001" s="28">
        <v>43243</v>
      </c>
      <c r="O5001" s="28" t="s">
        <v>457</v>
      </c>
      <c r="P5001" s="365">
        <v>6200</v>
      </c>
      <c r="Q5001" s="369">
        <v>22</v>
      </c>
      <c r="R5001" s="173">
        <f t="shared" si="111"/>
        <v>136400</v>
      </c>
      <c r="S5001" s="37">
        <v>202303</v>
      </c>
      <c r="T5001" s="38"/>
      <c r="U5001" s="39"/>
      <c r="V5001" s="370"/>
      <c r="W5001" s="41"/>
      <c r="X5001" s="371">
        <v>43374</v>
      </c>
      <c r="Y5001" s="371">
        <v>45331</v>
      </c>
    </row>
    <row r="5002" s="9" customFormat="1" customHeight="1" spans="1:25">
      <c r="A5002" s="16" t="s">
        <v>399</v>
      </c>
      <c r="B5002" s="17" t="s">
        <v>6236</v>
      </c>
      <c r="C5002" s="17" t="s">
        <v>63</v>
      </c>
      <c r="D5002" s="17" t="s">
        <v>6237</v>
      </c>
      <c r="E5002" s="18" t="s">
        <v>6711</v>
      </c>
      <c r="F5002" s="16" t="s">
        <v>6712</v>
      </c>
      <c r="G5002" s="16" t="s">
        <v>88</v>
      </c>
      <c r="H5002" s="19" t="s">
        <v>6719</v>
      </c>
      <c r="I5002" s="23" t="e">
        <f>VLOOKUP(H5002,'合同综合查询数据（3月返）'!$A:$A,1,FALSE)</f>
        <v>#N/A</v>
      </c>
      <c r="J5002" s="24" t="s">
        <v>3074</v>
      </c>
      <c r="K5002" s="16" t="s">
        <v>6720</v>
      </c>
      <c r="L5002" s="25"/>
      <c r="M5002" s="26" t="s">
        <v>6721</v>
      </c>
      <c r="N5002" s="28">
        <v>43252</v>
      </c>
      <c r="O5002" s="28" t="s">
        <v>457</v>
      </c>
      <c r="P5002" s="365">
        <v>6200</v>
      </c>
      <c r="Q5002" s="369">
        <v>3</v>
      </c>
      <c r="R5002" s="173">
        <f t="shared" si="111"/>
        <v>18600</v>
      </c>
      <c r="S5002" s="37">
        <v>202303</v>
      </c>
      <c r="T5002" s="38"/>
      <c r="U5002" s="39"/>
      <c r="V5002" s="370"/>
      <c r="W5002" s="41"/>
      <c r="X5002" s="371">
        <v>43374</v>
      </c>
      <c r="Y5002" s="371">
        <v>45331</v>
      </c>
    </row>
    <row r="5003" s="9" customFormat="1" customHeight="1" spans="1:25">
      <c r="A5003" s="16" t="s">
        <v>399</v>
      </c>
      <c r="B5003" s="17" t="s">
        <v>6236</v>
      </c>
      <c r="C5003" s="17" t="s">
        <v>63</v>
      </c>
      <c r="D5003" s="17" t="s">
        <v>6237</v>
      </c>
      <c r="E5003" s="18" t="s">
        <v>6711</v>
      </c>
      <c r="F5003" s="16" t="s">
        <v>6712</v>
      </c>
      <c r="G5003" s="16" t="s">
        <v>88</v>
      </c>
      <c r="H5003" s="19" t="s">
        <v>6719</v>
      </c>
      <c r="I5003" s="23" t="e">
        <f>VLOOKUP(H5003,'合同综合查询数据（3月返）'!$A:$A,1,FALSE)</f>
        <v>#N/A</v>
      </c>
      <c r="J5003" s="24" t="s">
        <v>3074</v>
      </c>
      <c r="K5003" s="16" t="s">
        <v>6720</v>
      </c>
      <c r="L5003" s="25"/>
      <c r="M5003" s="26" t="s">
        <v>6721</v>
      </c>
      <c r="N5003" s="28">
        <v>43252</v>
      </c>
      <c r="O5003" s="28" t="s">
        <v>457</v>
      </c>
      <c r="P5003" s="365">
        <v>6200</v>
      </c>
      <c r="Q5003" s="369">
        <v>11</v>
      </c>
      <c r="R5003" s="173">
        <f t="shared" si="111"/>
        <v>68200</v>
      </c>
      <c r="S5003" s="37">
        <v>202303</v>
      </c>
      <c r="T5003" s="38"/>
      <c r="U5003" s="39"/>
      <c r="V5003" s="370"/>
      <c r="W5003" s="41"/>
      <c r="X5003" s="371">
        <v>43374</v>
      </c>
      <c r="Y5003" s="371">
        <v>45331</v>
      </c>
    </row>
    <row r="5004" s="9" customFormat="1" customHeight="1" spans="1:25">
      <c r="A5004" s="16" t="s">
        <v>399</v>
      </c>
      <c r="B5004" s="17" t="s">
        <v>6236</v>
      </c>
      <c r="C5004" s="17" t="s">
        <v>63</v>
      </c>
      <c r="D5004" s="17" t="s">
        <v>6237</v>
      </c>
      <c r="E5004" s="18" t="s">
        <v>6711</v>
      </c>
      <c r="F5004" s="16" t="s">
        <v>6712</v>
      </c>
      <c r="G5004" s="16" t="s">
        <v>88</v>
      </c>
      <c r="H5004" s="19" t="s">
        <v>6719</v>
      </c>
      <c r="I5004" s="23" t="e">
        <f>VLOOKUP(H5004,'合同综合查询数据（3月返）'!$A:$A,1,FALSE)</f>
        <v>#N/A</v>
      </c>
      <c r="J5004" s="24" t="s">
        <v>3074</v>
      </c>
      <c r="K5004" s="16" t="s">
        <v>6720</v>
      </c>
      <c r="L5004" s="25"/>
      <c r="M5004" s="26" t="s">
        <v>6721</v>
      </c>
      <c r="N5004" s="28">
        <v>43252</v>
      </c>
      <c r="O5004" s="28" t="s">
        <v>457</v>
      </c>
      <c r="P5004" s="365">
        <v>6200</v>
      </c>
      <c r="Q5004" s="369">
        <v>1</v>
      </c>
      <c r="R5004" s="173">
        <f t="shared" si="111"/>
        <v>6200</v>
      </c>
      <c r="S5004" s="37">
        <v>202303</v>
      </c>
      <c r="T5004" s="38"/>
      <c r="U5004" s="39"/>
      <c r="V5004" s="370"/>
      <c r="W5004" s="41"/>
      <c r="X5004" s="371">
        <v>43374</v>
      </c>
      <c r="Y5004" s="371">
        <v>45331</v>
      </c>
    </row>
    <row r="5005" s="9" customFormat="1" customHeight="1" spans="1:25">
      <c r="A5005" s="16" t="s">
        <v>399</v>
      </c>
      <c r="B5005" s="17" t="s">
        <v>6236</v>
      </c>
      <c r="C5005" s="17" t="s">
        <v>63</v>
      </c>
      <c r="D5005" s="17" t="s">
        <v>6237</v>
      </c>
      <c r="E5005" s="18" t="s">
        <v>6711</v>
      </c>
      <c r="F5005" s="16" t="s">
        <v>6712</v>
      </c>
      <c r="G5005" s="16" t="s">
        <v>88</v>
      </c>
      <c r="H5005" s="19" t="s">
        <v>6719</v>
      </c>
      <c r="I5005" s="23" t="e">
        <f>VLOOKUP(H5005,'合同综合查询数据（3月返）'!$A:$A,1,FALSE)</f>
        <v>#N/A</v>
      </c>
      <c r="J5005" s="24" t="s">
        <v>3074</v>
      </c>
      <c r="K5005" s="16" t="s">
        <v>6720</v>
      </c>
      <c r="L5005" s="25"/>
      <c r="M5005" s="26" t="s">
        <v>6721</v>
      </c>
      <c r="N5005" s="28">
        <v>43256</v>
      </c>
      <c r="O5005" s="28" t="s">
        <v>457</v>
      </c>
      <c r="P5005" s="365">
        <v>6200</v>
      </c>
      <c r="Q5005" s="369">
        <v>10</v>
      </c>
      <c r="R5005" s="173">
        <f t="shared" si="111"/>
        <v>62000</v>
      </c>
      <c r="S5005" s="37">
        <v>202303</v>
      </c>
      <c r="T5005" s="38"/>
      <c r="U5005" s="39"/>
      <c r="V5005" s="370"/>
      <c r="W5005" s="41"/>
      <c r="X5005" s="371">
        <v>43374</v>
      </c>
      <c r="Y5005" s="371">
        <v>45331</v>
      </c>
    </row>
    <row r="5006" s="9" customFormat="1" customHeight="1" spans="1:25">
      <c r="A5006" s="16" t="s">
        <v>399</v>
      </c>
      <c r="B5006" s="17" t="s">
        <v>6236</v>
      </c>
      <c r="C5006" s="17" t="s">
        <v>63</v>
      </c>
      <c r="D5006" s="17" t="s">
        <v>6237</v>
      </c>
      <c r="E5006" s="18" t="s">
        <v>6711</v>
      </c>
      <c r="F5006" s="16" t="s">
        <v>6712</v>
      </c>
      <c r="G5006" s="16" t="s">
        <v>88</v>
      </c>
      <c r="H5006" s="19" t="s">
        <v>6719</v>
      </c>
      <c r="I5006" s="23" t="e">
        <f>VLOOKUP(H5006,'合同综合查询数据（3月返）'!$A:$A,1,FALSE)</f>
        <v>#N/A</v>
      </c>
      <c r="J5006" s="24" t="s">
        <v>3074</v>
      </c>
      <c r="K5006" s="16" t="s">
        <v>6720</v>
      </c>
      <c r="L5006" s="25"/>
      <c r="M5006" s="26" t="s">
        <v>6721</v>
      </c>
      <c r="N5006" s="28">
        <v>43259</v>
      </c>
      <c r="O5006" s="28" t="s">
        <v>457</v>
      </c>
      <c r="P5006" s="365">
        <v>6200</v>
      </c>
      <c r="Q5006" s="369">
        <v>11</v>
      </c>
      <c r="R5006" s="173">
        <f t="shared" si="111"/>
        <v>68200</v>
      </c>
      <c r="S5006" s="37">
        <v>202303</v>
      </c>
      <c r="T5006" s="38"/>
      <c r="U5006" s="39"/>
      <c r="V5006" s="370"/>
      <c r="W5006" s="41"/>
      <c r="X5006" s="371">
        <v>43374</v>
      </c>
      <c r="Y5006" s="371">
        <v>45331</v>
      </c>
    </row>
    <row r="5007" s="9" customFormat="1" customHeight="1" spans="1:25">
      <c r="A5007" s="16" t="s">
        <v>399</v>
      </c>
      <c r="B5007" s="17" t="s">
        <v>6236</v>
      </c>
      <c r="C5007" s="17" t="s">
        <v>63</v>
      </c>
      <c r="D5007" s="17" t="s">
        <v>6237</v>
      </c>
      <c r="E5007" s="18" t="s">
        <v>6711</v>
      </c>
      <c r="F5007" s="16" t="s">
        <v>6712</v>
      </c>
      <c r="G5007" s="16" t="s">
        <v>88</v>
      </c>
      <c r="H5007" s="19" t="s">
        <v>6719</v>
      </c>
      <c r="I5007" s="23" t="e">
        <f>VLOOKUP(H5007,'合同综合查询数据（3月返）'!$A:$A,1,FALSE)</f>
        <v>#N/A</v>
      </c>
      <c r="J5007" s="24" t="s">
        <v>3074</v>
      </c>
      <c r="K5007" s="16" t="s">
        <v>6720</v>
      </c>
      <c r="L5007" s="25"/>
      <c r="M5007" s="26" t="s">
        <v>6721</v>
      </c>
      <c r="N5007" s="28">
        <v>43259</v>
      </c>
      <c r="O5007" s="28" t="s">
        <v>457</v>
      </c>
      <c r="P5007" s="365">
        <v>6200</v>
      </c>
      <c r="Q5007" s="369">
        <v>22</v>
      </c>
      <c r="R5007" s="173">
        <f t="shared" si="111"/>
        <v>136400</v>
      </c>
      <c r="S5007" s="37">
        <v>202303</v>
      </c>
      <c r="T5007" s="38"/>
      <c r="U5007" s="39"/>
      <c r="V5007" s="370"/>
      <c r="W5007" s="41"/>
      <c r="X5007" s="371">
        <v>43374</v>
      </c>
      <c r="Y5007" s="371">
        <v>45331</v>
      </c>
    </row>
    <row r="5008" s="9" customFormat="1" customHeight="1" spans="1:25">
      <c r="A5008" s="16" t="s">
        <v>399</v>
      </c>
      <c r="B5008" s="17" t="s">
        <v>6236</v>
      </c>
      <c r="C5008" s="17" t="s">
        <v>63</v>
      </c>
      <c r="D5008" s="17" t="s">
        <v>6237</v>
      </c>
      <c r="E5008" s="18" t="s">
        <v>6711</v>
      </c>
      <c r="F5008" s="16" t="s">
        <v>6712</v>
      </c>
      <c r="G5008" s="16" t="s">
        <v>88</v>
      </c>
      <c r="H5008" s="19" t="s">
        <v>6719</v>
      </c>
      <c r="I5008" s="23" t="e">
        <f>VLOOKUP(H5008,'合同综合查询数据（3月返）'!$A:$A,1,FALSE)</f>
        <v>#N/A</v>
      </c>
      <c r="J5008" s="24" t="s">
        <v>3074</v>
      </c>
      <c r="K5008" s="16" t="s">
        <v>6720</v>
      </c>
      <c r="L5008" s="25"/>
      <c r="M5008" s="26" t="s">
        <v>6721</v>
      </c>
      <c r="N5008" s="28">
        <v>43262</v>
      </c>
      <c r="O5008" s="28" t="s">
        <v>457</v>
      </c>
      <c r="P5008" s="365">
        <v>6200</v>
      </c>
      <c r="Q5008" s="369">
        <v>31</v>
      </c>
      <c r="R5008" s="173">
        <f t="shared" si="111"/>
        <v>192200</v>
      </c>
      <c r="S5008" s="37">
        <v>202303</v>
      </c>
      <c r="T5008" s="38"/>
      <c r="U5008" s="39"/>
      <c r="V5008" s="370"/>
      <c r="W5008" s="41"/>
      <c r="X5008" s="371">
        <v>43374</v>
      </c>
      <c r="Y5008" s="371">
        <v>45331</v>
      </c>
    </row>
    <row r="5009" s="9" customFormat="1" customHeight="1" spans="1:25">
      <c r="A5009" s="16" t="s">
        <v>399</v>
      </c>
      <c r="B5009" s="17" t="s">
        <v>6236</v>
      </c>
      <c r="C5009" s="17" t="s">
        <v>63</v>
      </c>
      <c r="D5009" s="17" t="s">
        <v>6237</v>
      </c>
      <c r="E5009" s="18" t="s">
        <v>6711</v>
      </c>
      <c r="F5009" s="16" t="s">
        <v>6712</v>
      </c>
      <c r="G5009" s="16" t="s">
        <v>88</v>
      </c>
      <c r="H5009" s="19" t="s">
        <v>6719</v>
      </c>
      <c r="I5009" s="23" t="e">
        <f>VLOOKUP(H5009,'合同综合查询数据（3月返）'!$A:$A,1,FALSE)</f>
        <v>#N/A</v>
      </c>
      <c r="J5009" s="24" t="s">
        <v>3074</v>
      </c>
      <c r="K5009" s="16" t="s">
        <v>6720</v>
      </c>
      <c r="L5009" s="25"/>
      <c r="M5009" s="26" t="s">
        <v>6721</v>
      </c>
      <c r="N5009" s="28">
        <v>43264</v>
      </c>
      <c r="O5009" s="28" t="s">
        <v>457</v>
      </c>
      <c r="P5009" s="365">
        <v>6200</v>
      </c>
      <c r="Q5009" s="369">
        <v>2</v>
      </c>
      <c r="R5009" s="173">
        <f t="shared" si="111"/>
        <v>12400</v>
      </c>
      <c r="S5009" s="37">
        <v>202303</v>
      </c>
      <c r="T5009" s="38"/>
      <c r="U5009" s="39"/>
      <c r="V5009" s="370"/>
      <c r="W5009" s="41"/>
      <c r="X5009" s="371">
        <v>43374</v>
      </c>
      <c r="Y5009" s="371">
        <v>45331</v>
      </c>
    </row>
    <row r="5010" s="9" customFormat="1" customHeight="1" spans="1:25">
      <c r="A5010" s="16" t="s">
        <v>399</v>
      </c>
      <c r="B5010" s="17" t="s">
        <v>6236</v>
      </c>
      <c r="C5010" s="17" t="s">
        <v>63</v>
      </c>
      <c r="D5010" s="17" t="s">
        <v>6237</v>
      </c>
      <c r="E5010" s="18" t="s">
        <v>6711</v>
      </c>
      <c r="F5010" s="16" t="s">
        <v>6712</v>
      </c>
      <c r="G5010" s="16" t="s">
        <v>88</v>
      </c>
      <c r="H5010" s="19" t="s">
        <v>6719</v>
      </c>
      <c r="I5010" s="23" t="e">
        <f>VLOOKUP(H5010,'合同综合查询数据（3月返）'!$A:$A,1,FALSE)</f>
        <v>#N/A</v>
      </c>
      <c r="J5010" s="24" t="s">
        <v>3074</v>
      </c>
      <c r="K5010" s="16" t="s">
        <v>6720</v>
      </c>
      <c r="L5010" s="25"/>
      <c r="M5010" s="26" t="s">
        <v>6721</v>
      </c>
      <c r="N5010" s="28">
        <v>43266</v>
      </c>
      <c r="O5010" s="28" t="s">
        <v>457</v>
      </c>
      <c r="P5010" s="365">
        <v>6200</v>
      </c>
      <c r="Q5010" s="369">
        <v>40</v>
      </c>
      <c r="R5010" s="173">
        <f t="shared" si="111"/>
        <v>248000</v>
      </c>
      <c r="S5010" s="37">
        <v>202303</v>
      </c>
      <c r="T5010" s="38"/>
      <c r="U5010" s="39"/>
      <c r="V5010" s="370"/>
      <c r="W5010" s="41"/>
      <c r="X5010" s="371">
        <v>43374</v>
      </c>
      <c r="Y5010" s="371">
        <v>45331</v>
      </c>
    </row>
    <row r="5011" s="9" customFormat="1" customHeight="1" spans="1:25">
      <c r="A5011" s="16" t="s">
        <v>399</v>
      </c>
      <c r="B5011" s="17" t="s">
        <v>6236</v>
      </c>
      <c r="C5011" s="17" t="s">
        <v>63</v>
      </c>
      <c r="D5011" s="17" t="s">
        <v>6237</v>
      </c>
      <c r="E5011" s="18" t="s">
        <v>6711</v>
      </c>
      <c r="F5011" s="16" t="s">
        <v>6712</v>
      </c>
      <c r="G5011" s="16" t="s">
        <v>88</v>
      </c>
      <c r="H5011" s="19" t="s">
        <v>6719</v>
      </c>
      <c r="I5011" s="23" t="e">
        <f>VLOOKUP(H5011,'合同综合查询数据（3月返）'!$A:$A,1,FALSE)</f>
        <v>#N/A</v>
      </c>
      <c r="J5011" s="24" t="s">
        <v>3074</v>
      </c>
      <c r="K5011" s="16" t="s">
        <v>6720</v>
      </c>
      <c r="L5011" s="25"/>
      <c r="M5011" s="26" t="s">
        <v>6721</v>
      </c>
      <c r="N5011" s="28">
        <v>43266</v>
      </c>
      <c r="O5011" s="28" t="s">
        <v>457</v>
      </c>
      <c r="P5011" s="365">
        <v>6200</v>
      </c>
      <c r="Q5011" s="369">
        <v>1</v>
      </c>
      <c r="R5011" s="173">
        <f t="shared" si="111"/>
        <v>6200</v>
      </c>
      <c r="S5011" s="37">
        <v>202303</v>
      </c>
      <c r="T5011" s="38"/>
      <c r="U5011" s="39"/>
      <c r="V5011" s="370"/>
      <c r="W5011" s="41"/>
      <c r="X5011" s="371">
        <v>43374</v>
      </c>
      <c r="Y5011" s="371">
        <v>45331</v>
      </c>
    </row>
    <row r="5012" s="9" customFormat="1" customHeight="1" spans="1:25">
      <c r="A5012" s="16" t="s">
        <v>399</v>
      </c>
      <c r="B5012" s="17" t="s">
        <v>6236</v>
      </c>
      <c r="C5012" s="17" t="s">
        <v>63</v>
      </c>
      <c r="D5012" s="17" t="s">
        <v>6237</v>
      </c>
      <c r="E5012" s="18" t="s">
        <v>6711</v>
      </c>
      <c r="F5012" s="16" t="s">
        <v>6712</v>
      </c>
      <c r="G5012" s="16" t="s">
        <v>88</v>
      </c>
      <c r="H5012" s="19" t="s">
        <v>6719</v>
      </c>
      <c r="I5012" s="23" t="e">
        <f>VLOOKUP(H5012,'合同综合查询数据（3月返）'!$A:$A,1,FALSE)</f>
        <v>#N/A</v>
      </c>
      <c r="J5012" s="24" t="s">
        <v>3074</v>
      </c>
      <c r="K5012" s="16" t="s">
        <v>6720</v>
      </c>
      <c r="L5012" s="25"/>
      <c r="M5012" s="26" t="s">
        <v>6721</v>
      </c>
      <c r="N5012" s="28">
        <v>43273</v>
      </c>
      <c r="O5012" s="28" t="s">
        <v>457</v>
      </c>
      <c r="P5012" s="365">
        <v>6200</v>
      </c>
      <c r="Q5012" s="369">
        <v>5</v>
      </c>
      <c r="R5012" s="173">
        <f t="shared" si="111"/>
        <v>31000</v>
      </c>
      <c r="S5012" s="37">
        <v>202303</v>
      </c>
      <c r="T5012" s="38"/>
      <c r="U5012" s="39"/>
      <c r="V5012" s="370"/>
      <c r="W5012" s="41"/>
      <c r="X5012" s="371">
        <v>43374</v>
      </c>
      <c r="Y5012" s="371">
        <v>45331</v>
      </c>
    </row>
    <row r="5013" s="9" customFormat="1" customHeight="1" spans="1:25">
      <c r="A5013" s="16" t="s">
        <v>399</v>
      </c>
      <c r="B5013" s="17" t="s">
        <v>6236</v>
      </c>
      <c r="C5013" s="17" t="s">
        <v>63</v>
      </c>
      <c r="D5013" s="17" t="s">
        <v>6237</v>
      </c>
      <c r="E5013" s="18" t="s">
        <v>6711</v>
      </c>
      <c r="F5013" s="16" t="s">
        <v>6712</v>
      </c>
      <c r="G5013" s="16" t="s">
        <v>88</v>
      </c>
      <c r="H5013" s="19" t="s">
        <v>6719</v>
      </c>
      <c r="I5013" s="23" t="e">
        <f>VLOOKUP(H5013,'合同综合查询数据（3月返）'!$A:$A,1,FALSE)</f>
        <v>#N/A</v>
      </c>
      <c r="J5013" s="24" t="s">
        <v>3074</v>
      </c>
      <c r="K5013" s="16" t="s">
        <v>6720</v>
      </c>
      <c r="L5013" s="25"/>
      <c r="M5013" s="26" t="s">
        <v>6721</v>
      </c>
      <c r="N5013" s="28">
        <v>43277</v>
      </c>
      <c r="O5013" s="28" t="s">
        <v>457</v>
      </c>
      <c r="P5013" s="365">
        <v>6200</v>
      </c>
      <c r="Q5013" s="369">
        <v>77</v>
      </c>
      <c r="R5013" s="173">
        <f t="shared" si="111"/>
        <v>477400</v>
      </c>
      <c r="S5013" s="37">
        <v>202303</v>
      </c>
      <c r="T5013" s="38"/>
      <c r="U5013" s="39"/>
      <c r="V5013" s="370"/>
      <c r="W5013" s="41"/>
      <c r="X5013" s="371">
        <v>43374</v>
      </c>
      <c r="Y5013" s="371">
        <v>45331</v>
      </c>
    </row>
    <row r="5014" s="9" customFormat="1" customHeight="1" spans="1:25">
      <c r="A5014" s="16" t="s">
        <v>399</v>
      </c>
      <c r="B5014" s="17" t="s">
        <v>6236</v>
      </c>
      <c r="C5014" s="17" t="s">
        <v>63</v>
      </c>
      <c r="D5014" s="17" t="s">
        <v>6237</v>
      </c>
      <c r="E5014" s="18" t="s">
        <v>6711</v>
      </c>
      <c r="F5014" s="16" t="s">
        <v>6712</v>
      </c>
      <c r="G5014" s="16" t="s">
        <v>88</v>
      </c>
      <c r="H5014" s="19" t="s">
        <v>6719</v>
      </c>
      <c r="I5014" s="23" t="e">
        <f>VLOOKUP(H5014,'合同综合查询数据（3月返）'!$A:$A,1,FALSE)</f>
        <v>#N/A</v>
      </c>
      <c r="J5014" s="24" t="s">
        <v>3074</v>
      </c>
      <c r="K5014" s="16" t="s">
        <v>6720</v>
      </c>
      <c r="L5014" s="25"/>
      <c r="M5014" s="26" t="s">
        <v>6721</v>
      </c>
      <c r="N5014" s="28">
        <v>43282</v>
      </c>
      <c r="O5014" s="28" t="s">
        <v>457</v>
      </c>
      <c r="P5014" s="365">
        <v>6200</v>
      </c>
      <c r="Q5014" s="369">
        <v>29</v>
      </c>
      <c r="R5014" s="173">
        <f t="shared" si="111"/>
        <v>179800</v>
      </c>
      <c r="S5014" s="37">
        <v>202303</v>
      </c>
      <c r="T5014" s="38"/>
      <c r="U5014" s="39"/>
      <c r="V5014" s="370"/>
      <c r="W5014" s="41"/>
      <c r="X5014" s="371">
        <v>43374</v>
      </c>
      <c r="Y5014" s="371">
        <v>45331</v>
      </c>
    </row>
    <row r="5015" s="9" customFormat="1" customHeight="1" spans="1:25">
      <c r="A5015" s="16" t="s">
        <v>399</v>
      </c>
      <c r="B5015" s="17" t="s">
        <v>6236</v>
      </c>
      <c r="C5015" s="17" t="s">
        <v>63</v>
      </c>
      <c r="D5015" s="17" t="s">
        <v>6237</v>
      </c>
      <c r="E5015" s="18" t="s">
        <v>6711</v>
      </c>
      <c r="F5015" s="16" t="s">
        <v>6712</v>
      </c>
      <c r="G5015" s="16" t="s">
        <v>88</v>
      </c>
      <c r="H5015" s="19" t="s">
        <v>6719</v>
      </c>
      <c r="I5015" s="23" t="e">
        <f>VLOOKUP(H5015,'合同综合查询数据（3月返）'!$A:$A,1,FALSE)</f>
        <v>#N/A</v>
      </c>
      <c r="J5015" s="24" t="s">
        <v>3074</v>
      </c>
      <c r="K5015" s="16" t="s">
        <v>6720</v>
      </c>
      <c r="L5015" s="25"/>
      <c r="M5015" s="26" t="s">
        <v>6721</v>
      </c>
      <c r="N5015" s="28">
        <v>43280</v>
      </c>
      <c r="O5015" s="28" t="s">
        <v>457</v>
      </c>
      <c r="P5015" s="365">
        <v>6200</v>
      </c>
      <c r="Q5015" s="369">
        <v>17</v>
      </c>
      <c r="R5015" s="173">
        <f t="shared" si="111"/>
        <v>105400</v>
      </c>
      <c r="S5015" s="37">
        <v>202303</v>
      </c>
      <c r="T5015" s="38"/>
      <c r="U5015" s="39"/>
      <c r="V5015" s="370"/>
      <c r="W5015" s="41"/>
      <c r="X5015" s="371">
        <v>43374</v>
      </c>
      <c r="Y5015" s="371">
        <v>45331</v>
      </c>
    </row>
    <row r="5016" s="9" customFormat="1" customHeight="1" spans="1:25">
      <c r="A5016" s="16" t="s">
        <v>399</v>
      </c>
      <c r="B5016" s="17" t="s">
        <v>6236</v>
      </c>
      <c r="C5016" s="17" t="s">
        <v>63</v>
      </c>
      <c r="D5016" s="17" t="s">
        <v>6237</v>
      </c>
      <c r="E5016" s="18" t="s">
        <v>6711</v>
      </c>
      <c r="F5016" s="16" t="s">
        <v>6712</v>
      </c>
      <c r="G5016" s="16" t="s">
        <v>88</v>
      </c>
      <c r="H5016" s="19" t="s">
        <v>6719</v>
      </c>
      <c r="I5016" s="23" t="e">
        <f>VLOOKUP(H5016,'合同综合查询数据（3月返）'!$A:$A,1,FALSE)</f>
        <v>#N/A</v>
      </c>
      <c r="J5016" s="24" t="s">
        <v>3074</v>
      </c>
      <c r="K5016" s="16" t="s">
        <v>6720</v>
      </c>
      <c r="L5016" s="25"/>
      <c r="M5016" s="26" t="s">
        <v>6721</v>
      </c>
      <c r="N5016" s="28">
        <v>43283</v>
      </c>
      <c r="O5016" s="28" t="s">
        <v>457</v>
      </c>
      <c r="P5016" s="365">
        <v>6200</v>
      </c>
      <c r="Q5016" s="369">
        <v>56</v>
      </c>
      <c r="R5016" s="173">
        <f t="shared" si="111"/>
        <v>347200</v>
      </c>
      <c r="S5016" s="37">
        <v>202303</v>
      </c>
      <c r="T5016" s="38"/>
      <c r="U5016" s="39"/>
      <c r="V5016" s="370"/>
      <c r="W5016" s="41"/>
      <c r="X5016" s="371">
        <v>43374</v>
      </c>
      <c r="Y5016" s="371">
        <v>45331</v>
      </c>
    </row>
    <row r="5017" s="9" customFormat="1" customHeight="1" spans="1:25">
      <c r="A5017" s="16" t="s">
        <v>399</v>
      </c>
      <c r="B5017" s="17" t="s">
        <v>6236</v>
      </c>
      <c r="C5017" s="17" t="s">
        <v>63</v>
      </c>
      <c r="D5017" s="17" t="s">
        <v>6237</v>
      </c>
      <c r="E5017" s="18" t="s">
        <v>6711</v>
      </c>
      <c r="F5017" s="16" t="s">
        <v>6712</v>
      </c>
      <c r="G5017" s="16" t="s">
        <v>88</v>
      </c>
      <c r="H5017" s="19" t="s">
        <v>6719</v>
      </c>
      <c r="I5017" s="23" t="e">
        <f>VLOOKUP(H5017,'合同综合查询数据（3月返）'!$A:$A,1,FALSE)</f>
        <v>#N/A</v>
      </c>
      <c r="J5017" s="24" t="s">
        <v>3074</v>
      </c>
      <c r="K5017" s="16" t="s">
        <v>6720</v>
      </c>
      <c r="L5017" s="25"/>
      <c r="M5017" s="26" t="s">
        <v>6721</v>
      </c>
      <c r="N5017" s="28">
        <v>43285</v>
      </c>
      <c r="O5017" s="28" t="s">
        <v>457</v>
      </c>
      <c r="P5017" s="365">
        <v>6200</v>
      </c>
      <c r="Q5017" s="369">
        <v>21</v>
      </c>
      <c r="R5017" s="173">
        <f t="shared" si="111"/>
        <v>130200</v>
      </c>
      <c r="S5017" s="37">
        <v>202303</v>
      </c>
      <c r="T5017" s="38"/>
      <c r="U5017" s="39"/>
      <c r="V5017" s="370"/>
      <c r="W5017" s="41"/>
      <c r="X5017" s="371">
        <v>43374</v>
      </c>
      <c r="Y5017" s="371">
        <v>45331</v>
      </c>
    </row>
    <row r="5018" s="9" customFormat="1" customHeight="1" spans="1:25">
      <c r="A5018" s="16" t="s">
        <v>399</v>
      </c>
      <c r="B5018" s="17" t="s">
        <v>6236</v>
      </c>
      <c r="C5018" s="17" t="s">
        <v>63</v>
      </c>
      <c r="D5018" s="17" t="s">
        <v>6237</v>
      </c>
      <c r="E5018" s="18" t="s">
        <v>6711</v>
      </c>
      <c r="F5018" s="16" t="s">
        <v>6712</v>
      </c>
      <c r="G5018" s="16" t="s">
        <v>88</v>
      </c>
      <c r="H5018" s="19" t="s">
        <v>6719</v>
      </c>
      <c r="I5018" s="23" t="e">
        <f>VLOOKUP(H5018,'合同综合查询数据（3月返）'!$A:$A,1,FALSE)</f>
        <v>#N/A</v>
      </c>
      <c r="J5018" s="24" t="s">
        <v>3074</v>
      </c>
      <c r="K5018" s="16" t="s">
        <v>6720</v>
      </c>
      <c r="L5018" s="25"/>
      <c r="M5018" s="26" t="s">
        <v>6721</v>
      </c>
      <c r="N5018" s="28">
        <v>43297</v>
      </c>
      <c r="O5018" s="28" t="s">
        <v>457</v>
      </c>
      <c r="P5018" s="365">
        <v>6200</v>
      </c>
      <c r="Q5018" s="369">
        <v>16</v>
      </c>
      <c r="R5018" s="173">
        <f t="shared" si="111"/>
        <v>99200</v>
      </c>
      <c r="S5018" s="37">
        <v>202303</v>
      </c>
      <c r="T5018" s="38"/>
      <c r="U5018" s="39"/>
      <c r="V5018" s="370"/>
      <c r="W5018" s="41"/>
      <c r="X5018" s="371">
        <v>43374</v>
      </c>
      <c r="Y5018" s="371">
        <v>45331</v>
      </c>
    </row>
    <row r="5019" s="9" customFormat="1" customHeight="1" spans="1:25">
      <c r="A5019" s="16" t="s">
        <v>399</v>
      </c>
      <c r="B5019" s="17" t="s">
        <v>6236</v>
      </c>
      <c r="C5019" s="17" t="s">
        <v>63</v>
      </c>
      <c r="D5019" s="17" t="s">
        <v>6237</v>
      </c>
      <c r="E5019" s="18" t="s">
        <v>6711</v>
      </c>
      <c r="F5019" s="16" t="s">
        <v>6712</v>
      </c>
      <c r="G5019" s="16" t="s">
        <v>88</v>
      </c>
      <c r="H5019" s="19" t="s">
        <v>6719</v>
      </c>
      <c r="I5019" s="23" t="e">
        <f>VLOOKUP(H5019,'合同综合查询数据（3月返）'!$A:$A,1,FALSE)</f>
        <v>#N/A</v>
      </c>
      <c r="J5019" s="24" t="s">
        <v>3074</v>
      </c>
      <c r="K5019" s="16" t="s">
        <v>6720</v>
      </c>
      <c r="L5019" s="25"/>
      <c r="M5019" s="26" t="s">
        <v>6721</v>
      </c>
      <c r="N5019" s="28">
        <v>43299</v>
      </c>
      <c r="O5019" s="28" t="s">
        <v>457</v>
      </c>
      <c r="P5019" s="365">
        <v>6200</v>
      </c>
      <c r="Q5019" s="369">
        <v>1</v>
      </c>
      <c r="R5019" s="173">
        <f t="shared" si="111"/>
        <v>6200</v>
      </c>
      <c r="S5019" s="37">
        <v>202303</v>
      </c>
      <c r="T5019" s="38"/>
      <c r="U5019" s="39"/>
      <c r="V5019" s="370"/>
      <c r="W5019" s="41"/>
      <c r="X5019" s="371">
        <v>43374</v>
      </c>
      <c r="Y5019" s="371">
        <v>45331</v>
      </c>
    </row>
    <row r="5020" s="9" customFormat="1" customHeight="1" spans="1:25">
      <c r="A5020" s="16" t="s">
        <v>399</v>
      </c>
      <c r="B5020" s="17" t="s">
        <v>6236</v>
      </c>
      <c r="C5020" s="17" t="s">
        <v>63</v>
      </c>
      <c r="D5020" s="17" t="s">
        <v>6237</v>
      </c>
      <c r="E5020" s="18" t="s">
        <v>6711</v>
      </c>
      <c r="F5020" s="16" t="s">
        <v>6712</v>
      </c>
      <c r="G5020" s="16" t="s">
        <v>88</v>
      </c>
      <c r="H5020" s="19" t="s">
        <v>6719</v>
      </c>
      <c r="I5020" s="23" t="e">
        <f>VLOOKUP(H5020,'合同综合查询数据（3月返）'!$A:$A,1,FALSE)</f>
        <v>#N/A</v>
      </c>
      <c r="J5020" s="24" t="s">
        <v>3074</v>
      </c>
      <c r="K5020" s="16" t="s">
        <v>6720</v>
      </c>
      <c r="L5020" s="25"/>
      <c r="M5020" s="26" t="s">
        <v>6721</v>
      </c>
      <c r="N5020" s="28">
        <v>43308</v>
      </c>
      <c r="O5020" s="28" t="s">
        <v>457</v>
      </c>
      <c r="P5020" s="365">
        <v>6200</v>
      </c>
      <c r="Q5020" s="369">
        <v>15</v>
      </c>
      <c r="R5020" s="173">
        <f t="shared" si="111"/>
        <v>93000</v>
      </c>
      <c r="S5020" s="37">
        <v>202303</v>
      </c>
      <c r="T5020" s="38"/>
      <c r="U5020" s="39"/>
      <c r="V5020" s="370"/>
      <c r="W5020" s="41"/>
      <c r="X5020" s="371">
        <v>43374</v>
      </c>
      <c r="Y5020" s="371">
        <v>45331</v>
      </c>
    </row>
    <row r="5021" s="9" customFormat="1" customHeight="1" spans="1:25">
      <c r="A5021" s="16" t="s">
        <v>399</v>
      </c>
      <c r="B5021" s="17" t="s">
        <v>6236</v>
      </c>
      <c r="C5021" s="17" t="s">
        <v>63</v>
      </c>
      <c r="D5021" s="17" t="s">
        <v>6237</v>
      </c>
      <c r="E5021" s="18" t="s">
        <v>6711</v>
      </c>
      <c r="F5021" s="16" t="s">
        <v>6712</v>
      </c>
      <c r="G5021" s="16" t="s">
        <v>88</v>
      </c>
      <c r="H5021" s="19" t="s">
        <v>6719</v>
      </c>
      <c r="I5021" s="23" t="e">
        <f>VLOOKUP(H5021,'合同综合查询数据（3月返）'!$A:$A,1,FALSE)</f>
        <v>#N/A</v>
      </c>
      <c r="J5021" s="24" t="s">
        <v>3074</v>
      </c>
      <c r="K5021" s="16" t="s">
        <v>6720</v>
      </c>
      <c r="L5021" s="25"/>
      <c r="M5021" s="26" t="s">
        <v>6721</v>
      </c>
      <c r="N5021" s="28">
        <v>43313</v>
      </c>
      <c r="O5021" s="28" t="s">
        <v>457</v>
      </c>
      <c r="P5021" s="365">
        <v>6200</v>
      </c>
      <c r="Q5021" s="369">
        <v>1</v>
      </c>
      <c r="R5021" s="173">
        <f t="shared" si="111"/>
        <v>6200</v>
      </c>
      <c r="S5021" s="37">
        <v>202303</v>
      </c>
      <c r="T5021" s="38"/>
      <c r="U5021" s="39"/>
      <c r="V5021" s="370"/>
      <c r="W5021" s="41"/>
      <c r="X5021" s="371">
        <v>43374</v>
      </c>
      <c r="Y5021" s="371">
        <v>45331</v>
      </c>
    </row>
    <row r="5022" s="9" customFormat="1" customHeight="1" spans="1:25">
      <c r="A5022" s="16" t="s">
        <v>399</v>
      </c>
      <c r="B5022" s="17" t="s">
        <v>6236</v>
      </c>
      <c r="C5022" s="17" t="s">
        <v>63</v>
      </c>
      <c r="D5022" s="17" t="s">
        <v>6237</v>
      </c>
      <c r="E5022" s="18" t="s">
        <v>6711</v>
      </c>
      <c r="F5022" s="16" t="s">
        <v>6712</v>
      </c>
      <c r="G5022" s="16" t="s">
        <v>88</v>
      </c>
      <c r="H5022" s="19" t="s">
        <v>6719</v>
      </c>
      <c r="I5022" s="23" t="e">
        <f>VLOOKUP(H5022,'合同综合查询数据（3月返）'!$A:$A,1,FALSE)</f>
        <v>#N/A</v>
      </c>
      <c r="J5022" s="24" t="s">
        <v>3074</v>
      </c>
      <c r="K5022" s="16" t="s">
        <v>6720</v>
      </c>
      <c r="L5022" s="25"/>
      <c r="M5022" s="26" t="s">
        <v>6721</v>
      </c>
      <c r="N5022" s="28">
        <v>43314</v>
      </c>
      <c r="O5022" s="28" t="s">
        <v>457</v>
      </c>
      <c r="P5022" s="365">
        <v>6200</v>
      </c>
      <c r="Q5022" s="369">
        <v>6</v>
      </c>
      <c r="R5022" s="173">
        <f t="shared" si="111"/>
        <v>37200</v>
      </c>
      <c r="S5022" s="37">
        <v>202303</v>
      </c>
      <c r="T5022" s="38"/>
      <c r="U5022" s="39"/>
      <c r="V5022" s="370"/>
      <c r="W5022" s="41"/>
      <c r="X5022" s="371">
        <v>43374</v>
      </c>
      <c r="Y5022" s="371">
        <v>45331</v>
      </c>
    </row>
    <row r="5023" s="9" customFormat="1" customHeight="1" spans="1:25">
      <c r="A5023" s="16" t="s">
        <v>399</v>
      </c>
      <c r="B5023" s="17" t="s">
        <v>6236</v>
      </c>
      <c r="C5023" s="17" t="s">
        <v>63</v>
      </c>
      <c r="D5023" s="17" t="s">
        <v>6237</v>
      </c>
      <c r="E5023" s="18" t="s">
        <v>6711</v>
      </c>
      <c r="F5023" s="16" t="s">
        <v>6712</v>
      </c>
      <c r="G5023" s="16" t="s">
        <v>88</v>
      </c>
      <c r="H5023" s="19" t="s">
        <v>6719</v>
      </c>
      <c r="I5023" s="23" t="e">
        <f>VLOOKUP(H5023,'合同综合查询数据（3月返）'!$A:$A,1,FALSE)</f>
        <v>#N/A</v>
      </c>
      <c r="J5023" s="24" t="s">
        <v>3074</v>
      </c>
      <c r="K5023" s="16" t="s">
        <v>6720</v>
      </c>
      <c r="L5023" s="25"/>
      <c r="M5023" s="26" t="s">
        <v>6721</v>
      </c>
      <c r="N5023" s="28">
        <v>43322</v>
      </c>
      <c r="O5023" s="28" t="s">
        <v>457</v>
      </c>
      <c r="P5023" s="365">
        <v>6200</v>
      </c>
      <c r="Q5023" s="369">
        <v>45</v>
      </c>
      <c r="R5023" s="173">
        <f t="shared" si="111"/>
        <v>279000</v>
      </c>
      <c r="S5023" s="37">
        <v>202303</v>
      </c>
      <c r="T5023" s="38"/>
      <c r="U5023" s="39"/>
      <c r="V5023" s="370"/>
      <c r="W5023" s="41"/>
      <c r="X5023" s="371">
        <v>43374</v>
      </c>
      <c r="Y5023" s="371">
        <v>45331</v>
      </c>
    </row>
    <row r="5024" s="9" customFormat="1" customHeight="1" spans="1:25">
      <c r="A5024" s="16" t="s">
        <v>399</v>
      </c>
      <c r="B5024" s="17" t="s">
        <v>6236</v>
      </c>
      <c r="C5024" s="17" t="s">
        <v>63</v>
      </c>
      <c r="D5024" s="17" t="s">
        <v>6237</v>
      </c>
      <c r="E5024" s="18" t="s">
        <v>6711</v>
      </c>
      <c r="F5024" s="16" t="s">
        <v>6712</v>
      </c>
      <c r="G5024" s="16" t="s">
        <v>88</v>
      </c>
      <c r="H5024" s="19" t="s">
        <v>6719</v>
      </c>
      <c r="I5024" s="23" t="e">
        <f>VLOOKUP(H5024,'合同综合查询数据（3月返）'!$A:$A,1,FALSE)</f>
        <v>#N/A</v>
      </c>
      <c r="J5024" s="24" t="s">
        <v>3074</v>
      </c>
      <c r="K5024" s="16" t="s">
        <v>6720</v>
      </c>
      <c r="L5024" s="25"/>
      <c r="M5024" s="26" t="s">
        <v>6721</v>
      </c>
      <c r="N5024" s="28">
        <v>43325</v>
      </c>
      <c r="O5024" s="28" t="s">
        <v>457</v>
      </c>
      <c r="P5024" s="365">
        <v>6200</v>
      </c>
      <c r="Q5024" s="369">
        <v>9</v>
      </c>
      <c r="R5024" s="173">
        <f t="shared" si="111"/>
        <v>55800</v>
      </c>
      <c r="S5024" s="37">
        <v>202303</v>
      </c>
      <c r="T5024" s="38"/>
      <c r="U5024" s="39"/>
      <c r="V5024" s="370"/>
      <c r="W5024" s="41"/>
      <c r="X5024" s="371">
        <v>43374</v>
      </c>
      <c r="Y5024" s="371">
        <v>45331</v>
      </c>
    </row>
    <row r="5025" s="9" customFormat="1" customHeight="1" spans="1:25">
      <c r="A5025" s="16" t="s">
        <v>399</v>
      </c>
      <c r="B5025" s="17" t="s">
        <v>6236</v>
      </c>
      <c r="C5025" s="17" t="s">
        <v>63</v>
      </c>
      <c r="D5025" s="17" t="s">
        <v>6237</v>
      </c>
      <c r="E5025" s="18" t="s">
        <v>6711</v>
      </c>
      <c r="F5025" s="16" t="s">
        <v>6712</v>
      </c>
      <c r="G5025" s="16" t="s">
        <v>88</v>
      </c>
      <c r="H5025" s="19" t="s">
        <v>6719</v>
      </c>
      <c r="I5025" s="23" t="e">
        <f>VLOOKUP(H5025,'合同综合查询数据（3月返）'!$A:$A,1,FALSE)</f>
        <v>#N/A</v>
      </c>
      <c r="J5025" s="24" t="s">
        <v>3074</v>
      </c>
      <c r="K5025" s="16" t="s">
        <v>6720</v>
      </c>
      <c r="L5025" s="25"/>
      <c r="M5025" s="26" t="s">
        <v>6721</v>
      </c>
      <c r="N5025" s="28">
        <v>43326</v>
      </c>
      <c r="O5025" s="28" t="s">
        <v>457</v>
      </c>
      <c r="P5025" s="365">
        <v>6200</v>
      </c>
      <c r="Q5025" s="369">
        <v>1</v>
      </c>
      <c r="R5025" s="173">
        <f t="shared" si="111"/>
        <v>6200</v>
      </c>
      <c r="S5025" s="37">
        <v>202303</v>
      </c>
      <c r="T5025" s="38"/>
      <c r="U5025" s="39"/>
      <c r="V5025" s="370"/>
      <c r="W5025" s="41"/>
      <c r="X5025" s="371">
        <v>43374</v>
      </c>
      <c r="Y5025" s="371">
        <v>45331</v>
      </c>
    </row>
    <row r="5026" s="9" customFormat="1" customHeight="1" spans="1:25">
      <c r="A5026" s="16" t="s">
        <v>399</v>
      </c>
      <c r="B5026" s="17" t="s">
        <v>6236</v>
      </c>
      <c r="C5026" s="17" t="s">
        <v>63</v>
      </c>
      <c r="D5026" s="17" t="s">
        <v>6237</v>
      </c>
      <c r="E5026" s="18" t="s">
        <v>6711</v>
      </c>
      <c r="F5026" s="16" t="s">
        <v>6712</v>
      </c>
      <c r="G5026" s="16" t="s">
        <v>88</v>
      </c>
      <c r="H5026" s="19" t="s">
        <v>6719</v>
      </c>
      <c r="I5026" s="23" t="e">
        <f>VLOOKUP(H5026,'合同综合查询数据（3月返）'!$A:$A,1,FALSE)</f>
        <v>#N/A</v>
      </c>
      <c r="J5026" s="24" t="s">
        <v>3074</v>
      </c>
      <c r="K5026" s="16" t="s">
        <v>6720</v>
      </c>
      <c r="L5026" s="25"/>
      <c r="M5026" s="26" t="s">
        <v>6721</v>
      </c>
      <c r="N5026" s="28">
        <v>43327</v>
      </c>
      <c r="O5026" s="28" t="s">
        <v>457</v>
      </c>
      <c r="P5026" s="365">
        <v>6200</v>
      </c>
      <c r="Q5026" s="369">
        <v>3</v>
      </c>
      <c r="R5026" s="173">
        <f t="shared" si="111"/>
        <v>18600</v>
      </c>
      <c r="S5026" s="37">
        <v>202303</v>
      </c>
      <c r="T5026" s="38"/>
      <c r="U5026" s="39"/>
      <c r="V5026" s="370"/>
      <c r="W5026" s="41"/>
      <c r="X5026" s="371">
        <v>43374</v>
      </c>
      <c r="Y5026" s="371">
        <v>45331</v>
      </c>
    </row>
    <row r="5027" s="9" customFormat="1" customHeight="1" spans="1:25">
      <c r="A5027" s="16" t="s">
        <v>399</v>
      </c>
      <c r="B5027" s="17" t="s">
        <v>6236</v>
      </c>
      <c r="C5027" s="17" t="s">
        <v>63</v>
      </c>
      <c r="D5027" s="17" t="s">
        <v>6237</v>
      </c>
      <c r="E5027" s="18" t="s">
        <v>6711</v>
      </c>
      <c r="F5027" s="16" t="s">
        <v>6712</v>
      </c>
      <c r="G5027" s="16" t="s">
        <v>88</v>
      </c>
      <c r="H5027" s="19" t="s">
        <v>6719</v>
      </c>
      <c r="I5027" s="23" t="e">
        <f>VLOOKUP(H5027,'合同综合查询数据（3月返）'!$A:$A,1,FALSE)</f>
        <v>#N/A</v>
      </c>
      <c r="J5027" s="24" t="s">
        <v>3074</v>
      </c>
      <c r="K5027" s="16" t="s">
        <v>6720</v>
      </c>
      <c r="L5027" s="25"/>
      <c r="M5027" s="26" t="s">
        <v>6721</v>
      </c>
      <c r="N5027" s="28">
        <v>43344</v>
      </c>
      <c r="O5027" s="28" t="s">
        <v>457</v>
      </c>
      <c r="P5027" s="365">
        <v>6200</v>
      </c>
      <c r="Q5027" s="369">
        <v>23</v>
      </c>
      <c r="R5027" s="173">
        <f t="shared" si="111"/>
        <v>142600</v>
      </c>
      <c r="S5027" s="37">
        <v>202303</v>
      </c>
      <c r="T5027" s="38"/>
      <c r="U5027" s="39"/>
      <c r="V5027" s="370"/>
      <c r="W5027" s="41"/>
      <c r="X5027" s="371">
        <v>43374</v>
      </c>
      <c r="Y5027" s="371">
        <v>45331</v>
      </c>
    </row>
    <row r="5028" s="9" customFormat="1" customHeight="1" spans="1:25">
      <c r="A5028" s="16" t="s">
        <v>399</v>
      </c>
      <c r="B5028" s="17" t="s">
        <v>6236</v>
      </c>
      <c r="C5028" s="17" t="s">
        <v>63</v>
      </c>
      <c r="D5028" s="17" t="s">
        <v>6237</v>
      </c>
      <c r="E5028" s="18" t="s">
        <v>6711</v>
      </c>
      <c r="F5028" s="16" t="s">
        <v>6712</v>
      </c>
      <c r="G5028" s="16" t="s">
        <v>88</v>
      </c>
      <c r="H5028" s="19" t="s">
        <v>6719</v>
      </c>
      <c r="I5028" s="23" t="e">
        <f>VLOOKUP(H5028,'合同综合查询数据（3月返）'!$A:$A,1,FALSE)</f>
        <v>#N/A</v>
      </c>
      <c r="J5028" s="24" t="s">
        <v>3074</v>
      </c>
      <c r="K5028" s="16" t="s">
        <v>6720</v>
      </c>
      <c r="L5028" s="25"/>
      <c r="M5028" s="26" t="s">
        <v>6721</v>
      </c>
      <c r="N5028" s="28">
        <v>43346</v>
      </c>
      <c r="O5028" s="28" t="s">
        <v>457</v>
      </c>
      <c r="P5028" s="365">
        <v>6200</v>
      </c>
      <c r="Q5028" s="369">
        <v>14</v>
      </c>
      <c r="R5028" s="173">
        <f t="shared" si="111"/>
        <v>86800</v>
      </c>
      <c r="S5028" s="37">
        <v>202303</v>
      </c>
      <c r="T5028" s="38"/>
      <c r="U5028" s="39"/>
      <c r="V5028" s="370"/>
      <c r="W5028" s="41"/>
      <c r="X5028" s="371">
        <v>43374</v>
      </c>
      <c r="Y5028" s="371">
        <v>45331</v>
      </c>
    </row>
    <row r="5029" s="9" customFormat="1" customHeight="1" spans="1:25">
      <c r="A5029" s="16" t="s">
        <v>399</v>
      </c>
      <c r="B5029" s="17" t="s">
        <v>6236</v>
      </c>
      <c r="C5029" s="17" t="s">
        <v>63</v>
      </c>
      <c r="D5029" s="17" t="s">
        <v>6237</v>
      </c>
      <c r="E5029" s="18" t="s">
        <v>6711</v>
      </c>
      <c r="F5029" s="16" t="s">
        <v>6712</v>
      </c>
      <c r="G5029" s="16" t="s">
        <v>88</v>
      </c>
      <c r="H5029" s="19" t="s">
        <v>6719</v>
      </c>
      <c r="I5029" s="23" t="e">
        <f>VLOOKUP(H5029,'合同综合查询数据（3月返）'!$A:$A,1,FALSE)</f>
        <v>#N/A</v>
      </c>
      <c r="J5029" s="24" t="s">
        <v>3074</v>
      </c>
      <c r="K5029" s="16" t="s">
        <v>6720</v>
      </c>
      <c r="L5029" s="25"/>
      <c r="M5029" s="26" t="s">
        <v>6721</v>
      </c>
      <c r="N5029" s="28">
        <v>43369</v>
      </c>
      <c r="O5029" s="28" t="s">
        <v>457</v>
      </c>
      <c r="P5029" s="365">
        <v>6200</v>
      </c>
      <c r="Q5029" s="369">
        <v>2</v>
      </c>
      <c r="R5029" s="173">
        <f t="shared" si="111"/>
        <v>12400</v>
      </c>
      <c r="S5029" s="37">
        <v>202303</v>
      </c>
      <c r="T5029" s="38"/>
      <c r="U5029" s="39"/>
      <c r="V5029" s="370"/>
      <c r="W5029" s="41"/>
      <c r="X5029" s="371">
        <v>43374</v>
      </c>
      <c r="Y5029" s="371">
        <v>45331</v>
      </c>
    </row>
    <row r="5030" s="9" customFormat="1" customHeight="1" spans="1:25">
      <c r="A5030" s="16" t="s">
        <v>399</v>
      </c>
      <c r="B5030" s="17" t="s">
        <v>6236</v>
      </c>
      <c r="C5030" s="17" t="s">
        <v>63</v>
      </c>
      <c r="D5030" s="17" t="s">
        <v>6237</v>
      </c>
      <c r="E5030" s="18" t="s">
        <v>6711</v>
      </c>
      <c r="F5030" s="16" t="s">
        <v>6712</v>
      </c>
      <c r="G5030" s="16" t="s">
        <v>88</v>
      </c>
      <c r="H5030" s="19" t="s">
        <v>6719</v>
      </c>
      <c r="I5030" s="23" t="e">
        <f>VLOOKUP(H5030,'合同综合查询数据（3月返）'!$A:$A,1,FALSE)</f>
        <v>#N/A</v>
      </c>
      <c r="J5030" s="24" t="s">
        <v>3074</v>
      </c>
      <c r="K5030" s="16" t="s">
        <v>6720</v>
      </c>
      <c r="L5030" s="25"/>
      <c r="M5030" s="26" t="s">
        <v>6721</v>
      </c>
      <c r="N5030" s="28">
        <v>43369</v>
      </c>
      <c r="O5030" s="28" t="s">
        <v>457</v>
      </c>
      <c r="P5030" s="365">
        <v>6200</v>
      </c>
      <c r="Q5030" s="369">
        <v>23</v>
      </c>
      <c r="R5030" s="173">
        <f t="shared" si="111"/>
        <v>142600</v>
      </c>
      <c r="S5030" s="37">
        <v>202303</v>
      </c>
      <c r="T5030" s="38"/>
      <c r="U5030" s="39"/>
      <c r="V5030" s="370"/>
      <c r="W5030" s="41"/>
      <c r="X5030" s="371">
        <v>43374</v>
      </c>
      <c r="Y5030" s="371">
        <v>45331</v>
      </c>
    </row>
    <row r="5031" s="9" customFormat="1" customHeight="1" spans="1:25">
      <c r="A5031" s="16" t="s">
        <v>399</v>
      </c>
      <c r="B5031" s="17" t="s">
        <v>6236</v>
      </c>
      <c r="C5031" s="17" t="s">
        <v>63</v>
      </c>
      <c r="D5031" s="17" t="s">
        <v>6237</v>
      </c>
      <c r="E5031" s="18" t="s">
        <v>6711</v>
      </c>
      <c r="F5031" s="16" t="s">
        <v>6712</v>
      </c>
      <c r="G5031" s="16" t="s">
        <v>88</v>
      </c>
      <c r="H5031" s="19" t="s">
        <v>6719</v>
      </c>
      <c r="I5031" s="23" t="e">
        <f>VLOOKUP(H5031,'合同综合查询数据（3月返）'!$A:$A,1,FALSE)</f>
        <v>#N/A</v>
      </c>
      <c r="J5031" s="24" t="s">
        <v>3074</v>
      </c>
      <c r="K5031" s="16" t="s">
        <v>6720</v>
      </c>
      <c r="L5031" s="25"/>
      <c r="M5031" s="26" t="s">
        <v>6721</v>
      </c>
      <c r="N5031" s="28">
        <v>43370</v>
      </c>
      <c r="O5031" s="28" t="s">
        <v>457</v>
      </c>
      <c r="P5031" s="365">
        <v>6200</v>
      </c>
      <c r="Q5031" s="369">
        <v>38</v>
      </c>
      <c r="R5031" s="173">
        <f t="shared" si="111"/>
        <v>235600</v>
      </c>
      <c r="S5031" s="37">
        <v>202303</v>
      </c>
      <c r="T5031" s="38"/>
      <c r="U5031" s="39"/>
      <c r="V5031" s="370"/>
      <c r="W5031" s="41"/>
      <c r="X5031" s="371">
        <v>43374</v>
      </c>
      <c r="Y5031" s="371">
        <v>45331</v>
      </c>
    </row>
    <row r="5032" s="9" customFormat="1" customHeight="1" spans="1:25">
      <c r="A5032" s="16" t="s">
        <v>399</v>
      </c>
      <c r="B5032" s="17" t="s">
        <v>6236</v>
      </c>
      <c r="C5032" s="17" t="s">
        <v>63</v>
      </c>
      <c r="D5032" s="17" t="s">
        <v>6237</v>
      </c>
      <c r="E5032" s="18" t="s">
        <v>6711</v>
      </c>
      <c r="F5032" s="16" t="s">
        <v>6712</v>
      </c>
      <c r="G5032" s="16" t="s">
        <v>88</v>
      </c>
      <c r="H5032" s="19" t="s">
        <v>6719</v>
      </c>
      <c r="I5032" s="23" t="e">
        <f>VLOOKUP(H5032,'合同综合查询数据（3月返）'!$A:$A,1,FALSE)</f>
        <v>#N/A</v>
      </c>
      <c r="J5032" s="24" t="s">
        <v>3074</v>
      </c>
      <c r="K5032" s="16" t="s">
        <v>6720</v>
      </c>
      <c r="L5032" s="25"/>
      <c r="M5032" s="26" t="s">
        <v>6721</v>
      </c>
      <c r="N5032" s="28">
        <v>43372</v>
      </c>
      <c r="O5032" s="28" t="s">
        <v>457</v>
      </c>
      <c r="P5032" s="365">
        <v>6200</v>
      </c>
      <c r="Q5032" s="369">
        <v>12</v>
      </c>
      <c r="R5032" s="173">
        <f t="shared" si="111"/>
        <v>74400</v>
      </c>
      <c r="S5032" s="37">
        <v>202303</v>
      </c>
      <c r="T5032" s="38"/>
      <c r="U5032" s="39"/>
      <c r="V5032" s="370"/>
      <c r="W5032" s="41"/>
      <c r="X5032" s="371">
        <v>43374</v>
      </c>
      <c r="Y5032" s="371">
        <v>45331</v>
      </c>
    </row>
    <row r="5033" s="9" customFormat="1" customHeight="1" spans="1:25">
      <c r="A5033" s="16" t="s">
        <v>399</v>
      </c>
      <c r="B5033" s="17" t="s">
        <v>6236</v>
      </c>
      <c r="C5033" s="17" t="s">
        <v>63</v>
      </c>
      <c r="D5033" s="17" t="s">
        <v>6237</v>
      </c>
      <c r="E5033" s="18" t="s">
        <v>6711</v>
      </c>
      <c r="F5033" s="16" t="s">
        <v>6712</v>
      </c>
      <c r="G5033" s="16" t="s">
        <v>88</v>
      </c>
      <c r="H5033" s="19" t="s">
        <v>6719</v>
      </c>
      <c r="I5033" s="23" t="e">
        <f>VLOOKUP(H5033,'合同综合查询数据（3月返）'!$A:$A,1,FALSE)</f>
        <v>#N/A</v>
      </c>
      <c r="J5033" s="24" t="s">
        <v>3074</v>
      </c>
      <c r="K5033" s="16" t="s">
        <v>6720</v>
      </c>
      <c r="L5033" s="25"/>
      <c r="M5033" s="26" t="s">
        <v>6721</v>
      </c>
      <c r="N5033" s="28">
        <v>43370</v>
      </c>
      <c r="O5033" s="28" t="s">
        <v>457</v>
      </c>
      <c r="P5033" s="365">
        <v>6200</v>
      </c>
      <c r="Q5033" s="369">
        <v>6</v>
      </c>
      <c r="R5033" s="173">
        <f t="shared" si="111"/>
        <v>37200</v>
      </c>
      <c r="S5033" s="37">
        <v>202303</v>
      </c>
      <c r="T5033" s="38"/>
      <c r="U5033" s="39"/>
      <c r="V5033" s="370"/>
      <c r="W5033" s="41"/>
      <c r="X5033" s="371">
        <v>43374</v>
      </c>
      <c r="Y5033" s="371">
        <v>45331</v>
      </c>
    </row>
    <row r="5034" s="9" customFormat="1" customHeight="1" spans="1:25">
      <c r="A5034" s="16" t="s">
        <v>399</v>
      </c>
      <c r="B5034" s="17" t="s">
        <v>6236</v>
      </c>
      <c r="C5034" s="17" t="s">
        <v>63</v>
      </c>
      <c r="D5034" s="17" t="s">
        <v>6237</v>
      </c>
      <c r="E5034" s="18" t="s">
        <v>6711</v>
      </c>
      <c r="F5034" s="16" t="s">
        <v>6712</v>
      </c>
      <c r="G5034" s="16" t="s">
        <v>88</v>
      </c>
      <c r="H5034" s="19" t="s">
        <v>6719</v>
      </c>
      <c r="I5034" s="23" t="e">
        <f>VLOOKUP(H5034,'合同综合查询数据（3月返）'!$A:$A,1,FALSE)</f>
        <v>#N/A</v>
      </c>
      <c r="J5034" s="24" t="s">
        <v>3074</v>
      </c>
      <c r="K5034" s="16" t="s">
        <v>6720</v>
      </c>
      <c r="L5034" s="25"/>
      <c r="M5034" s="26" t="s">
        <v>6721</v>
      </c>
      <c r="N5034" s="28">
        <v>43370</v>
      </c>
      <c r="O5034" s="28" t="s">
        <v>457</v>
      </c>
      <c r="P5034" s="365">
        <v>6200</v>
      </c>
      <c r="Q5034" s="369">
        <v>26</v>
      </c>
      <c r="R5034" s="173">
        <f t="shared" si="111"/>
        <v>161200</v>
      </c>
      <c r="S5034" s="37">
        <v>202303</v>
      </c>
      <c r="T5034" s="38"/>
      <c r="U5034" s="39"/>
      <c r="V5034" s="370"/>
      <c r="W5034" s="41"/>
      <c r="X5034" s="371">
        <v>43374</v>
      </c>
      <c r="Y5034" s="371">
        <v>45331</v>
      </c>
    </row>
    <row r="5035" s="9" customFormat="1" customHeight="1" spans="1:25">
      <c r="A5035" s="16" t="s">
        <v>399</v>
      </c>
      <c r="B5035" s="17" t="s">
        <v>6236</v>
      </c>
      <c r="C5035" s="17" t="s">
        <v>63</v>
      </c>
      <c r="D5035" s="17" t="s">
        <v>6237</v>
      </c>
      <c r="E5035" s="18" t="s">
        <v>6711</v>
      </c>
      <c r="F5035" s="16" t="s">
        <v>6712</v>
      </c>
      <c r="G5035" s="16" t="s">
        <v>88</v>
      </c>
      <c r="H5035" s="19" t="s">
        <v>6719</v>
      </c>
      <c r="I5035" s="23" t="e">
        <f>VLOOKUP(H5035,'合同综合查询数据（3月返）'!$A:$A,1,FALSE)</f>
        <v>#N/A</v>
      </c>
      <c r="J5035" s="24" t="s">
        <v>3074</v>
      </c>
      <c r="K5035" s="16" t="s">
        <v>6720</v>
      </c>
      <c r="L5035" s="25"/>
      <c r="M5035" s="26" t="s">
        <v>6721</v>
      </c>
      <c r="N5035" s="28">
        <v>43373</v>
      </c>
      <c r="O5035" s="28" t="s">
        <v>457</v>
      </c>
      <c r="P5035" s="365">
        <v>6200</v>
      </c>
      <c r="Q5035" s="369">
        <v>11</v>
      </c>
      <c r="R5035" s="173">
        <f t="shared" si="111"/>
        <v>68200</v>
      </c>
      <c r="S5035" s="37">
        <v>202303</v>
      </c>
      <c r="T5035" s="38"/>
      <c r="U5035" s="39"/>
      <c r="V5035" s="370"/>
      <c r="W5035" s="41"/>
      <c r="X5035" s="371">
        <v>43374</v>
      </c>
      <c r="Y5035" s="371">
        <v>45331</v>
      </c>
    </row>
    <row r="5036" s="9" customFormat="1" customHeight="1" spans="1:25">
      <c r="A5036" s="16" t="s">
        <v>399</v>
      </c>
      <c r="B5036" s="17" t="s">
        <v>6236</v>
      </c>
      <c r="C5036" s="17" t="s">
        <v>63</v>
      </c>
      <c r="D5036" s="17" t="s">
        <v>6237</v>
      </c>
      <c r="E5036" s="18" t="s">
        <v>6711</v>
      </c>
      <c r="F5036" s="16" t="s">
        <v>6712</v>
      </c>
      <c r="G5036" s="16" t="s">
        <v>88</v>
      </c>
      <c r="H5036" s="19" t="s">
        <v>6719</v>
      </c>
      <c r="I5036" s="23" t="e">
        <f>VLOOKUP(H5036,'合同综合查询数据（3月返）'!$A:$A,1,FALSE)</f>
        <v>#N/A</v>
      </c>
      <c r="J5036" s="24" t="s">
        <v>3074</v>
      </c>
      <c r="K5036" s="16" t="s">
        <v>6720</v>
      </c>
      <c r="L5036" s="25"/>
      <c r="M5036" s="26" t="s">
        <v>6721</v>
      </c>
      <c r="N5036" s="28">
        <v>43371</v>
      </c>
      <c r="O5036" s="28" t="s">
        <v>457</v>
      </c>
      <c r="P5036" s="365">
        <v>6200</v>
      </c>
      <c r="Q5036" s="369">
        <v>2</v>
      </c>
      <c r="R5036" s="173">
        <f t="shared" si="111"/>
        <v>12400</v>
      </c>
      <c r="S5036" s="37">
        <v>202303</v>
      </c>
      <c r="T5036" s="38"/>
      <c r="U5036" s="39"/>
      <c r="V5036" s="370"/>
      <c r="W5036" s="41"/>
      <c r="X5036" s="371">
        <v>43374</v>
      </c>
      <c r="Y5036" s="371">
        <v>45331</v>
      </c>
    </row>
    <row r="5037" s="9" customFormat="1" customHeight="1" spans="1:25">
      <c r="A5037" s="16" t="s">
        <v>399</v>
      </c>
      <c r="B5037" s="17" t="s">
        <v>6236</v>
      </c>
      <c r="C5037" s="17" t="s">
        <v>63</v>
      </c>
      <c r="D5037" s="17" t="s">
        <v>6237</v>
      </c>
      <c r="E5037" s="18" t="s">
        <v>6711</v>
      </c>
      <c r="F5037" s="16" t="s">
        <v>6712</v>
      </c>
      <c r="G5037" s="16" t="s">
        <v>88</v>
      </c>
      <c r="H5037" s="19" t="s">
        <v>6719</v>
      </c>
      <c r="I5037" s="23" t="e">
        <f>VLOOKUP(H5037,'合同综合查询数据（3月返）'!$A:$A,1,FALSE)</f>
        <v>#N/A</v>
      </c>
      <c r="J5037" s="24" t="s">
        <v>3074</v>
      </c>
      <c r="K5037" s="16" t="s">
        <v>6720</v>
      </c>
      <c r="L5037" s="25"/>
      <c r="M5037" s="26" t="s">
        <v>6721</v>
      </c>
      <c r="N5037" s="28">
        <v>43372</v>
      </c>
      <c r="O5037" s="28" t="s">
        <v>457</v>
      </c>
      <c r="P5037" s="365">
        <v>6200</v>
      </c>
      <c r="Q5037" s="369">
        <v>14</v>
      </c>
      <c r="R5037" s="173">
        <f t="shared" si="111"/>
        <v>86800</v>
      </c>
      <c r="S5037" s="37">
        <v>202303</v>
      </c>
      <c r="T5037" s="38"/>
      <c r="U5037" s="39"/>
      <c r="V5037" s="370"/>
      <c r="W5037" s="41"/>
      <c r="X5037" s="371">
        <v>43374</v>
      </c>
      <c r="Y5037" s="371">
        <v>45331</v>
      </c>
    </row>
    <row r="5038" s="9" customFormat="1" customHeight="1" spans="1:25">
      <c r="A5038" s="16" t="s">
        <v>399</v>
      </c>
      <c r="B5038" s="17" t="s">
        <v>6236</v>
      </c>
      <c r="C5038" s="17" t="s">
        <v>63</v>
      </c>
      <c r="D5038" s="17" t="s">
        <v>6237</v>
      </c>
      <c r="E5038" s="18" t="s">
        <v>6711</v>
      </c>
      <c r="F5038" s="16" t="s">
        <v>6712</v>
      </c>
      <c r="G5038" s="16" t="s">
        <v>88</v>
      </c>
      <c r="H5038" s="19" t="s">
        <v>6719</v>
      </c>
      <c r="I5038" s="23" t="e">
        <f>VLOOKUP(H5038,'合同综合查询数据（3月返）'!$A:$A,1,FALSE)</f>
        <v>#N/A</v>
      </c>
      <c r="J5038" s="24" t="s">
        <v>3074</v>
      </c>
      <c r="K5038" s="16" t="s">
        <v>6720</v>
      </c>
      <c r="L5038" s="25"/>
      <c r="M5038" s="26" t="s">
        <v>6721</v>
      </c>
      <c r="N5038" s="28">
        <v>43376</v>
      </c>
      <c r="O5038" s="28" t="s">
        <v>457</v>
      </c>
      <c r="P5038" s="365">
        <v>6200</v>
      </c>
      <c r="Q5038" s="369">
        <v>13</v>
      </c>
      <c r="R5038" s="173">
        <f t="shared" ref="R5038:R5101" si="112">ROUND(P5038*Q5038,2)</f>
        <v>80600</v>
      </c>
      <c r="S5038" s="37">
        <v>202303</v>
      </c>
      <c r="T5038" s="38"/>
      <c r="U5038" s="39"/>
      <c r="V5038" s="370"/>
      <c r="W5038" s="41"/>
      <c r="X5038" s="371">
        <v>43374</v>
      </c>
      <c r="Y5038" s="371">
        <v>45331</v>
      </c>
    </row>
    <row r="5039" s="9" customFormat="1" customHeight="1" spans="1:25">
      <c r="A5039" s="16" t="s">
        <v>399</v>
      </c>
      <c r="B5039" s="17" t="s">
        <v>6236</v>
      </c>
      <c r="C5039" s="17" t="s">
        <v>63</v>
      </c>
      <c r="D5039" s="17" t="s">
        <v>6237</v>
      </c>
      <c r="E5039" s="18" t="s">
        <v>6711</v>
      </c>
      <c r="F5039" s="16" t="s">
        <v>6712</v>
      </c>
      <c r="G5039" s="16" t="s">
        <v>88</v>
      </c>
      <c r="H5039" s="19" t="s">
        <v>6719</v>
      </c>
      <c r="I5039" s="23" t="e">
        <f>VLOOKUP(H5039,'合同综合查询数据（3月返）'!$A:$A,1,FALSE)</f>
        <v>#N/A</v>
      </c>
      <c r="J5039" s="24" t="s">
        <v>3074</v>
      </c>
      <c r="K5039" s="16" t="s">
        <v>6720</v>
      </c>
      <c r="L5039" s="25"/>
      <c r="M5039" s="26" t="s">
        <v>6721</v>
      </c>
      <c r="N5039" s="28">
        <v>43389</v>
      </c>
      <c r="O5039" s="28" t="s">
        <v>457</v>
      </c>
      <c r="P5039" s="365">
        <v>6200</v>
      </c>
      <c r="Q5039" s="369">
        <v>45</v>
      </c>
      <c r="R5039" s="173">
        <f t="shared" si="112"/>
        <v>279000</v>
      </c>
      <c r="S5039" s="37">
        <v>202303</v>
      </c>
      <c r="T5039" s="38"/>
      <c r="U5039" s="39"/>
      <c r="V5039" s="370"/>
      <c r="W5039" s="41"/>
      <c r="X5039" s="371">
        <v>43374</v>
      </c>
      <c r="Y5039" s="371">
        <v>45331</v>
      </c>
    </row>
    <row r="5040" s="9" customFormat="1" customHeight="1" spans="1:25">
      <c r="A5040" s="16" t="s">
        <v>399</v>
      </c>
      <c r="B5040" s="17" t="s">
        <v>6236</v>
      </c>
      <c r="C5040" s="17" t="s">
        <v>63</v>
      </c>
      <c r="D5040" s="17" t="s">
        <v>6237</v>
      </c>
      <c r="E5040" s="18" t="s">
        <v>6711</v>
      </c>
      <c r="F5040" s="16" t="s">
        <v>6712</v>
      </c>
      <c r="G5040" s="16" t="s">
        <v>88</v>
      </c>
      <c r="H5040" s="19" t="s">
        <v>6719</v>
      </c>
      <c r="I5040" s="23" t="e">
        <f>VLOOKUP(H5040,'合同综合查询数据（3月返）'!$A:$A,1,FALSE)</f>
        <v>#N/A</v>
      </c>
      <c r="J5040" s="24" t="s">
        <v>3074</v>
      </c>
      <c r="K5040" s="16" t="s">
        <v>6720</v>
      </c>
      <c r="L5040" s="25"/>
      <c r="M5040" s="26" t="s">
        <v>6721</v>
      </c>
      <c r="N5040" s="28">
        <v>43402</v>
      </c>
      <c r="O5040" s="28" t="s">
        <v>457</v>
      </c>
      <c r="P5040" s="365">
        <v>6200</v>
      </c>
      <c r="Q5040" s="369">
        <v>3</v>
      </c>
      <c r="R5040" s="173">
        <f t="shared" si="112"/>
        <v>18600</v>
      </c>
      <c r="S5040" s="37">
        <v>202303</v>
      </c>
      <c r="T5040" s="38"/>
      <c r="U5040" s="39"/>
      <c r="V5040" s="370"/>
      <c r="W5040" s="41"/>
      <c r="X5040" s="371">
        <v>43374</v>
      </c>
      <c r="Y5040" s="371">
        <v>45331</v>
      </c>
    </row>
    <row r="5041" s="9" customFormat="1" customHeight="1" spans="1:25">
      <c r="A5041" s="16" t="s">
        <v>399</v>
      </c>
      <c r="B5041" s="17" t="s">
        <v>6236</v>
      </c>
      <c r="C5041" s="17" t="s">
        <v>63</v>
      </c>
      <c r="D5041" s="17" t="s">
        <v>6237</v>
      </c>
      <c r="E5041" s="18" t="s">
        <v>6711</v>
      </c>
      <c r="F5041" s="16" t="s">
        <v>6712</v>
      </c>
      <c r="G5041" s="16" t="s">
        <v>88</v>
      </c>
      <c r="H5041" s="19" t="s">
        <v>6719</v>
      </c>
      <c r="I5041" s="23" t="e">
        <f>VLOOKUP(H5041,'合同综合查询数据（3月返）'!$A:$A,1,FALSE)</f>
        <v>#N/A</v>
      </c>
      <c r="J5041" s="24" t="s">
        <v>3074</v>
      </c>
      <c r="K5041" s="16" t="s">
        <v>6720</v>
      </c>
      <c r="L5041" s="25"/>
      <c r="M5041" s="26" t="s">
        <v>6721</v>
      </c>
      <c r="N5041" s="28">
        <v>43453</v>
      </c>
      <c r="O5041" s="28" t="s">
        <v>6722</v>
      </c>
      <c r="P5041" s="365">
        <v>18600</v>
      </c>
      <c r="Q5041" s="369">
        <v>2</v>
      </c>
      <c r="R5041" s="173">
        <f t="shared" si="112"/>
        <v>37200</v>
      </c>
      <c r="S5041" s="37">
        <v>202303</v>
      </c>
      <c r="T5041" s="38"/>
      <c r="U5041" s="39"/>
      <c r="V5041" s="370"/>
      <c r="W5041" s="41"/>
      <c r="X5041" s="371">
        <v>43374</v>
      </c>
      <c r="Y5041" s="371">
        <v>45331</v>
      </c>
    </row>
    <row r="5042" s="9" customFormat="1" customHeight="1" spans="1:25">
      <c r="A5042" s="16" t="s">
        <v>399</v>
      </c>
      <c r="B5042" s="17" t="s">
        <v>6236</v>
      </c>
      <c r="C5042" s="17" t="s">
        <v>63</v>
      </c>
      <c r="D5042" s="17" t="s">
        <v>6237</v>
      </c>
      <c r="E5042" s="18" t="s">
        <v>6711</v>
      </c>
      <c r="F5042" s="16" t="s">
        <v>6712</v>
      </c>
      <c r="G5042" s="16" t="s">
        <v>88</v>
      </c>
      <c r="H5042" s="19" t="s">
        <v>6719</v>
      </c>
      <c r="I5042" s="23" t="e">
        <f>VLOOKUP(H5042,'合同综合查询数据（3月返）'!$A:$A,1,FALSE)</f>
        <v>#N/A</v>
      </c>
      <c r="J5042" s="24" t="s">
        <v>3074</v>
      </c>
      <c r="K5042" s="16" t="s">
        <v>6720</v>
      </c>
      <c r="L5042" s="25"/>
      <c r="M5042" s="26" t="s">
        <v>6721</v>
      </c>
      <c r="N5042" s="28">
        <v>43455</v>
      </c>
      <c r="O5042" s="28" t="s">
        <v>6722</v>
      </c>
      <c r="P5042" s="365">
        <v>18600</v>
      </c>
      <c r="Q5042" s="369">
        <v>2</v>
      </c>
      <c r="R5042" s="173">
        <f t="shared" si="112"/>
        <v>37200</v>
      </c>
      <c r="S5042" s="37">
        <v>202303</v>
      </c>
      <c r="T5042" s="38"/>
      <c r="U5042" s="39"/>
      <c r="V5042" s="370"/>
      <c r="W5042" s="41"/>
      <c r="X5042" s="371">
        <v>43374</v>
      </c>
      <c r="Y5042" s="371">
        <v>45331</v>
      </c>
    </row>
    <row r="5043" s="9" customFormat="1" customHeight="1" spans="1:25">
      <c r="A5043" s="16" t="s">
        <v>399</v>
      </c>
      <c r="B5043" s="17" t="s">
        <v>6236</v>
      </c>
      <c r="C5043" s="17" t="s">
        <v>63</v>
      </c>
      <c r="D5043" s="17" t="s">
        <v>6237</v>
      </c>
      <c r="E5043" s="18" t="s">
        <v>6711</v>
      </c>
      <c r="F5043" s="16" t="s">
        <v>6712</v>
      </c>
      <c r="G5043" s="16" t="s">
        <v>88</v>
      </c>
      <c r="H5043" s="19" t="s">
        <v>6724</v>
      </c>
      <c r="I5043" s="23" t="e">
        <f>VLOOKUP(H5043,'合同综合查询数据（3月返）'!$A:$A,1,FALSE)</f>
        <v>#N/A</v>
      </c>
      <c r="J5043" s="24" t="s">
        <v>3074</v>
      </c>
      <c r="K5043" s="16" t="s">
        <v>6720</v>
      </c>
      <c r="L5043" s="25"/>
      <c r="M5043" s="26" t="s">
        <v>6721</v>
      </c>
      <c r="N5043" s="28">
        <v>43432</v>
      </c>
      <c r="O5043" s="28" t="s">
        <v>457</v>
      </c>
      <c r="P5043" s="365">
        <v>6200</v>
      </c>
      <c r="Q5043" s="369">
        <v>46</v>
      </c>
      <c r="R5043" s="173">
        <f t="shared" si="112"/>
        <v>285200</v>
      </c>
      <c r="S5043" s="37">
        <v>202303</v>
      </c>
      <c r="T5043" s="38" t="s">
        <v>6725</v>
      </c>
      <c r="U5043" s="39"/>
      <c r="V5043" s="370"/>
      <c r="W5043" s="41"/>
      <c r="X5043" s="371">
        <v>43405</v>
      </c>
      <c r="Y5043" s="371">
        <v>45331</v>
      </c>
    </row>
    <row r="5044" s="9" customFormat="1" customHeight="1" spans="1:25">
      <c r="A5044" s="16" t="s">
        <v>399</v>
      </c>
      <c r="B5044" s="17" t="s">
        <v>6236</v>
      </c>
      <c r="C5044" s="17" t="s">
        <v>63</v>
      </c>
      <c r="D5044" s="17" t="s">
        <v>6237</v>
      </c>
      <c r="E5044" s="18" t="s">
        <v>6711</v>
      </c>
      <c r="F5044" s="16" t="s">
        <v>6712</v>
      </c>
      <c r="G5044" s="16" t="s">
        <v>88</v>
      </c>
      <c r="H5044" s="19" t="s">
        <v>6724</v>
      </c>
      <c r="I5044" s="23" t="e">
        <f>VLOOKUP(H5044,'合同综合查询数据（3月返）'!$A:$A,1,FALSE)</f>
        <v>#N/A</v>
      </c>
      <c r="J5044" s="24" t="s">
        <v>3074</v>
      </c>
      <c r="K5044" s="16" t="s">
        <v>6720</v>
      </c>
      <c r="L5044" s="25"/>
      <c r="M5044" s="26" t="s">
        <v>6721</v>
      </c>
      <c r="N5044" s="28">
        <v>43462</v>
      </c>
      <c r="O5044" s="28" t="s">
        <v>457</v>
      </c>
      <c r="P5044" s="365">
        <v>6200</v>
      </c>
      <c r="Q5044" s="369">
        <v>2</v>
      </c>
      <c r="R5044" s="173">
        <f t="shared" si="112"/>
        <v>12400</v>
      </c>
      <c r="S5044" s="37">
        <v>202303</v>
      </c>
      <c r="T5044" s="38" t="s">
        <v>6726</v>
      </c>
      <c r="U5044" s="39"/>
      <c r="V5044" s="370"/>
      <c r="W5044" s="41"/>
      <c r="X5044" s="371">
        <v>43405</v>
      </c>
      <c r="Y5044" s="371">
        <v>45331</v>
      </c>
    </row>
    <row r="5045" s="9" customFormat="1" customHeight="1" spans="1:25">
      <c r="A5045" s="16" t="s">
        <v>399</v>
      </c>
      <c r="B5045" s="17" t="s">
        <v>6236</v>
      </c>
      <c r="C5045" s="17" t="s">
        <v>63</v>
      </c>
      <c r="D5045" s="17" t="s">
        <v>6237</v>
      </c>
      <c r="E5045" s="18" t="s">
        <v>6711</v>
      </c>
      <c r="F5045" s="16" t="s">
        <v>6712</v>
      </c>
      <c r="G5045" s="16" t="s">
        <v>88</v>
      </c>
      <c r="H5045" s="19" t="s">
        <v>6719</v>
      </c>
      <c r="I5045" s="23" t="e">
        <f>VLOOKUP(H5045,'合同综合查询数据（3月返）'!$A:$A,1,FALSE)</f>
        <v>#N/A</v>
      </c>
      <c r="J5045" s="24" t="s">
        <v>3074</v>
      </c>
      <c r="K5045" s="16" t="s">
        <v>6720</v>
      </c>
      <c r="L5045" s="25"/>
      <c r="M5045" s="26" t="s">
        <v>6727</v>
      </c>
      <c r="N5045" s="28">
        <v>44551</v>
      </c>
      <c r="O5045" s="28" t="s">
        <v>457</v>
      </c>
      <c r="P5045" s="365">
        <v>6200</v>
      </c>
      <c r="Q5045" s="369">
        <v>-10</v>
      </c>
      <c r="R5045" s="36">
        <f t="shared" si="112"/>
        <v>-62000</v>
      </c>
      <c r="S5045" s="37">
        <v>202303</v>
      </c>
      <c r="T5045" s="38" t="s">
        <v>6728</v>
      </c>
      <c r="U5045" s="39"/>
      <c r="V5045" s="370"/>
      <c r="W5045" s="41"/>
      <c r="X5045" s="371">
        <v>43374</v>
      </c>
      <c r="Y5045" s="371">
        <v>45331</v>
      </c>
    </row>
    <row r="5046" s="9" customFormat="1" customHeight="1" spans="1:25">
      <c r="A5046" s="16" t="s">
        <v>399</v>
      </c>
      <c r="B5046" s="17" t="s">
        <v>6236</v>
      </c>
      <c r="C5046" s="17" t="s">
        <v>63</v>
      </c>
      <c r="D5046" s="17" t="s">
        <v>6237</v>
      </c>
      <c r="E5046" s="18" t="s">
        <v>6711</v>
      </c>
      <c r="F5046" s="16" t="s">
        <v>6712</v>
      </c>
      <c r="G5046" s="16" t="s">
        <v>88</v>
      </c>
      <c r="H5046" s="19" t="s">
        <v>6724</v>
      </c>
      <c r="I5046" s="23" t="e">
        <f>VLOOKUP(H5046,'合同综合查询数据（3月返）'!$A:$A,1,FALSE)</f>
        <v>#N/A</v>
      </c>
      <c r="J5046" s="24" t="s">
        <v>3074</v>
      </c>
      <c r="K5046" s="16" t="s">
        <v>6720</v>
      </c>
      <c r="L5046" s="25"/>
      <c r="M5046" s="26" t="s">
        <v>6727</v>
      </c>
      <c r="N5046" s="28">
        <v>44551</v>
      </c>
      <c r="O5046" s="28" t="s">
        <v>457</v>
      </c>
      <c r="P5046" s="365">
        <v>6200</v>
      </c>
      <c r="Q5046" s="369">
        <v>-12</v>
      </c>
      <c r="R5046" s="36">
        <f t="shared" si="112"/>
        <v>-74400</v>
      </c>
      <c r="S5046" s="37">
        <v>202303</v>
      </c>
      <c r="T5046" s="38" t="s">
        <v>6729</v>
      </c>
      <c r="U5046" s="39"/>
      <c r="V5046" s="370"/>
      <c r="W5046" s="41"/>
      <c r="X5046" s="371">
        <v>43405</v>
      </c>
      <c r="Y5046" s="371">
        <v>45331</v>
      </c>
    </row>
    <row r="5047" s="9" customFormat="1" customHeight="1" spans="1:25">
      <c r="A5047" s="16" t="s">
        <v>399</v>
      </c>
      <c r="B5047" s="17" t="s">
        <v>6236</v>
      </c>
      <c r="C5047" s="17" t="s">
        <v>63</v>
      </c>
      <c r="D5047" s="17" t="s">
        <v>6237</v>
      </c>
      <c r="E5047" s="18" t="s">
        <v>6711</v>
      </c>
      <c r="F5047" s="16" t="s">
        <v>6712</v>
      </c>
      <c r="G5047" s="16" t="s">
        <v>88</v>
      </c>
      <c r="H5047" s="19" t="s">
        <v>6719</v>
      </c>
      <c r="I5047" s="23" t="e">
        <f>VLOOKUP(H5047,'合同综合查询数据（3月返）'!$A:$A,1,FALSE)</f>
        <v>#N/A</v>
      </c>
      <c r="J5047" s="24" t="s">
        <v>3074</v>
      </c>
      <c r="K5047" s="16" t="s">
        <v>6720</v>
      </c>
      <c r="L5047" s="25"/>
      <c r="M5047" s="26" t="s">
        <v>6727</v>
      </c>
      <c r="N5047" s="28">
        <v>44610</v>
      </c>
      <c r="O5047" s="28" t="s">
        <v>457</v>
      </c>
      <c r="P5047" s="365">
        <v>6200</v>
      </c>
      <c r="Q5047" s="369">
        <v>-28</v>
      </c>
      <c r="R5047" s="36">
        <f t="shared" si="112"/>
        <v>-173600</v>
      </c>
      <c r="S5047" s="37">
        <v>202303</v>
      </c>
      <c r="T5047" s="38" t="s">
        <v>6730</v>
      </c>
      <c r="U5047" s="39"/>
      <c r="V5047" s="370"/>
      <c r="W5047" s="41"/>
      <c r="X5047" s="371">
        <v>43374</v>
      </c>
      <c r="Y5047" s="371">
        <v>45331</v>
      </c>
    </row>
    <row r="5048" s="9" customFormat="1" customHeight="1" spans="1:25">
      <c r="A5048" s="16" t="s">
        <v>399</v>
      </c>
      <c r="B5048" s="17" t="s">
        <v>6236</v>
      </c>
      <c r="C5048" s="17" t="s">
        <v>63</v>
      </c>
      <c r="D5048" s="17" t="s">
        <v>6237</v>
      </c>
      <c r="E5048" s="18" t="s">
        <v>6711</v>
      </c>
      <c r="F5048" s="16" t="s">
        <v>6712</v>
      </c>
      <c r="G5048" s="16" t="s">
        <v>88</v>
      </c>
      <c r="H5048" s="19" t="s">
        <v>6719</v>
      </c>
      <c r="I5048" s="23" t="e">
        <f>VLOOKUP(H5048,'合同综合查询数据（3月返）'!$A:$A,1,FALSE)</f>
        <v>#N/A</v>
      </c>
      <c r="J5048" s="24" t="s">
        <v>3074</v>
      </c>
      <c r="K5048" s="16" t="s">
        <v>6720</v>
      </c>
      <c r="L5048" s="25"/>
      <c r="M5048" s="26" t="s">
        <v>6727</v>
      </c>
      <c r="N5048" s="28">
        <v>44610</v>
      </c>
      <c r="O5048" s="28" t="s">
        <v>457</v>
      </c>
      <c r="P5048" s="365">
        <v>6200</v>
      </c>
      <c r="Q5048" s="369">
        <v>-35</v>
      </c>
      <c r="R5048" s="36">
        <f t="shared" si="112"/>
        <v>-217000</v>
      </c>
      <c r="S5048" s="37">
        <v>202303</v>
      </c>
      <c r="T5048" s="38" t="s">
        <v>6731</v>
      </c>
      <c r="U5048" s="39"/>
      <c r="V5048" s="370"/>
      <c r="W5048" s="41"/>
      <c r="X5048" s="371">
        <v>43374</v>
      </c>
      <c r="Y5048" s="371">
        <v>45331</v>
      </c>
    </row>
    <row r="5049" s="9" customFormat="1" customHeight="1" spans="1:25">
      <c r="A5049" s="16" t="s">
        <v>399</v>
      </c>
      <c r="B5049" s="17" t="s">
        <v>6236</v>
      </c>
      <c r="C5049" s="17" t="s">
        <v>63</v>
      </c>
      <c r="D5049" s="17" t="s">
        <v>6237</v>
      </c>
      <c r="E5049" s="18" t="s">
        <v>6711</v>
      </c>
      <c r="F5049" s="16" t="s">
        <v>6712</v>
      </c>
      <c r="G5049" s="16" t="s">
        <v>88</v>
      </c>
      <c r="H5049" s="19" t="s">
        <v>6724</v>
      </c>
      <c r="I5049" s="23" t="e">
        <f>VLOOKUP(H5049,'合同综合查询数据（3月返）'!$A:$A,1,FALSE)</f>
        <v>#N/A</v>
      </c>
      <c r="J5049" s="24" t="s">
        <v>3074</v>
      </c>
      <c r="K5049" s="16" t="s">
        <v>6720</v>
      </c>
      <c r="L5049" s="25"/>
      <c r="M5049" s="26" t="s">
        <v>6727</v>
      </c>
      <c r="N5049" s="28">
        <v>44610</v>
      </c>
      <c r="O5049" s="28" t="s">
        <v>457</v>
      </c>
      <c r="P5049" s="365">
        <v>6200</v>
      </c>
      <c r="Q5049" s="369">
        <v>-21</v>
      </c>
      <c r="R5049" s="36">
        <f t="shared" si="112"/>
        <v>-130200</v>
      </c>
      <c r="S5049" s="37">
        <v>202303</v>
      </c>
      <c r="T5049" s="38" t="s">
        <v>6732</v>
      </c>
      <c r="U5049" s="39"/>
      <c r="V5049" s="370"/>
      <c r="W5049" s="41"/>
      <c r="X5049" s="371">
        <v>43405</v>
      </c>
      <c r="Y5049" s="371">
        <v>45331</v>
      </c>
    </row>
    <row r="5050" s="9" customFormat="1" customHeight="1" spans="1:25">
      <c r="A5050" s="16" t="s">
        <v>399</v>
      </c>
      <c r="B5050" s="17" t="s">
        <v>6236</v>
      </c>
      <c r="C5050" s="17" t="s">
        <v>63</v>
      </c>
      <c r="D5050" s="17" t="s">
        <v>6237</v>
      </c>
      <c r="E5050" s="18" t="s">
        <v>6711</v>
      </c>
      <c r="F5050" s="16" t="s">
        <v>6712</v>
      </c>
      <c r="G5050" s="16" t="s">
        <v>88</v>
      </c>
      <c r="H5050" s="19" t="s">
        <v>6724</v>
      </c>
      <c r="I5050" s="23" t="e">
        <f>VLOOKUP(H5050,'合同综合查询数据（3月返）'!$A:$A,1,FALSE)</f>
        <v>#N/A</v>
      </c>
      <c r="J5050" s="24" t="s">
        <v>3074</v>
      </c>
      <c r="K5050" s="16" t="s">
        <v>6720</v>
      </c>
      <c r="L5050" s="25"/>
      <c r="M5050" s="26" t="s">
        <v>6727</v>
      </c>
      <c r="N5050" s="28">
        <v>44613</v>
      </c>
      <c r="O5050" s="28" t="s">
        <v>457</v>
      </c>
      <c r="P5050" s="365">
        <v>6200</v>
      </c>
      <c r="Q5050" s="369">
        <v>-15</v>
      </c>
      <c r="R5050" s="36">
        <f t="shared" si="112"/>
        <v>-93000</v>
      </c>
      <c r="S5050" s="37">
        <v>202303</v>
      </c>
      <c r="T5050" s="38" t="s">
        <v>6733</v>
      </c>
      <c r="U5050" s="39"/>
      <c r="V5050" s="370"/>
      <c r="W5050" s="41"/>
      <c r="X5050" s="371">
        <v>43405</v>
      </c>
      <c r="Y5050" s="371">
        <v>45331</v>
      </c>
    </row>
    <row r="5051" s="9" customFormat="1" customHeight="1" spans="1:25">
      <c r="A5051" s="16" t="s">
        <v>399</v>
      </c>
      <c r="B5051" s="17" t="s">
        <v>6236</v>
      </c>
      <c r="C5051" s="17" t="s">
        <v>63</v>
      </c>
      <c r="D5051" s="17" t="s">
        <v>6237</v>
      </c>
      <c r="E5051" s="18" t="s">
        <v>6711</v>
      </c>
      <c r="F5051" s="16" t="s">
        <v>6712</v>
      </c>
      <c r="G5051" s="16" t="s">
        <v>88</v>
      </c>
      <c r="H5051" s="19" t="s">
        <v>6719</v>
      </c>
      <c r="I5051" s="23" t="e">
        <f>VLOOKUP(H5051,'合同综合查询数据（3月返）'!$A:$A,1,FALSE)</f>
        <v>#N/A</v>
      </c>
      <c r="J5051" s="24" t="s">
        <v>3074</v>
      </c>
      <c r="K5051" s="16" t="s">
        <v>6720</v>
      </c>
      <c r="L5051" s="25"/>
      <c r="M5051" s="26" t="s">
        <v>6734</v>
      </c>
      <c r="N5051" s="28">
        <v>44673</v>
      </c>
      <c r="O5051" s="28" t="s">
        <v>457</v>
      </c>
      <c r="P5051" s="365">
        <v>6200</v>
      </c>
      <c r="Q5051" s="369">
        <v>1</v>
      </c>
      <c r="R5051" s="36">
        <f t="shared" si="112"/>
        <v>6200</v>
      </c>
      <c r="S5051" s="37">
        <v>202303</v>
      </c>
      <c r="T5051" s="38" t="s">
        <v>6735</v>
      </c>
      <c r="U5051" s="39"/>
      <c r="V5051" s="370"/>
      <c r="W5051" s="41"/>
      <c r="X5051" s="371">
        <v>43374</v>
      </c>
      <c r="Y5051" s="371">
        <v>45331</v>
      </c>
    </row>
    <row r="5052" s="9" customFormat="1" customHeight="1" spans="1:25">
      <c r="A5052" s="16" t="s">
        <v>399</v>
      </c>
      <c r="B5052" s="17" t="s">
        <v>6236</v>
      </c>
      <c r="C5052" s="17" t="s">
        <v>63</v>
      </c>
      <c r="D5052" s="17" t="s">
        <v>6237</v>
      </c>
      <c r="E5052" s="18" t="s">
        <v>6711</v>
      </c>
      <c r="F5052" s="16" t="s">
        <v>6712</v>
      </c>
      <c r="G5052" s="16" t="s">
        <v>88</v>
      </c>
      <c r="H5052" s="19" t="s">
        <v>6719</v>
      </c>
      <c r="I5052" s="23" t="e">
        <f>VLOOKUP(H5052,'合同综合查询数据（3月返）'!$A:$A,1,FALSE)</f>
        <v>#N/A</v>
      </c>
      <c r="J5052" s="24" t="s">
        <v>3074</v>
      </c>
      <c r="K5052" s="16" t="s">
        <v>6720</v>
      </c>
      <c r="L5052" s="25"/>
      <c r="M5052" s="26" t="s">
        <v>6727</v>
      </c>
      <c r="N5052" s="28">
        <v>44673</v>
      </c>
      <c r="O5052" s="28" t="s">
        <v>457</v>
      </c>
      <c r="P5052" s="365">
        <v>6200</v>
      </c>
      <c r="Q5052" s="369">
        <v>-187</v>
      </c>
      <c r="R5052" s="36">
        <f t="shared" si="112"/>
        <v>-1159400</v>
      </c>
      <c r="S5052" s="37">
        <v>202303</v>
      </c>
      <c r="T5052" s="38" t="s">
        <v>6736</v>
      </c>
      <c r="U5052" s="39"/>
      <c r="V5052" s="370"/>
      <c r="W5052" s="41"/>
      <c r="X5052" s="371">
        <v>43374</v>
      </c>
      <c r="Y5052" s="371">
        <v>45331</v>
      </c>
    </row>
    <row r="5053" s="9" customFormat="1" customHeight="1" spans="1:25">
      <c r="A5053" s="16" t="s">
        <v>399</v>
      </c>
      <c r="B5053" s="17" t="s">
        <v>6236</v>
      </c>
      <c r="C5053" s="17" t="s">
        <v>63</v>
      </c>
      <c r="D5053" s="17" t="s">
        <v>6237</v>
      </c>
      <c r="E5053" s="18" t="s">
        <v>6711</v>
      </c>
      <c r="F5053" s="16" t="s">
        <v>6712</v>
      </c>
      <c r="G5053" s="16" t="s">
        <v>88</v>
      </c>
      <c r="H5053" s="19" t="s">
        <v>6719</v>
      </c>
      <c r="I5053" s="23" t="e">
        <f>VLOOKUP(H5053,'合同综合查询数据（3月返）'!$A:$A,1,FALSE)</f>
        <v>#N/A</v>
      </c>
      <c r="J5053" s="24" t="s">
        <v>3074</v>
      </c>
      <c r="K5053" s="16" t="s">
        <v>6720</v>
      </c>
      <c r="L5053" s="25"/>
      <c r="M5053" s="26" t="s">
        <v>6734</v>
      </c>
      <c r="N5053" s="28">
        <v>44687</v>
      </c>
      <c r="O5053" s="28" t="s">
        <v>457</v>
      </c>
      <c r="P5053" s="365">
        <v>6200</v>
      </c>
      <c r="Q5053" s="369">
        <v>25</v>
      </c>
      <c r="R5053" s="36">
        <f t="shared" si="112"/>
        <v>155000</v>
      </c>
      <c r="S5053" s="37">
        <v>202303</v>
      </c>
      <c r="T5053" s="38" t="s">
        <v>6737</v>
      </c>
      <c r="U5053" s="39"/>
      <c r="V5053" s="370"/>
      <c r="W5053" s="41"/>
      <c r="X5053" s="371">
        <v>43374</v>
      </c>
      <c r="Y5053" s="371">
        <v>45331</v>
      </c>
    </row>
    <row r="5054" s="9" customFormat="1" customHeight="1" spans="1:25">
      <c r="A5054" s="16" t="s">
        <v>399</v>
      </c>
      <c r="B5054" s="17" t="s">
        <v>6236</v>
      </c>
      <c r="C5054" s="17" t="s">
        <v>63</v>
      </c>
      <c r="D5054" s="17" t="s">
        <v>6237</v>
      </c>
      <c r="E5054" s="18" t="s">
        <v>6711</v>
      </c>
      <c r="F5054" s="16" t="s">
        <v>6712</v>
      </c>
      <c r="G5054" s="16" t="s">
        <v>88</v>
      </c>
      <c r="H5054" s="19" t="s">
        <v>6719</v>
      </c>
      <c r="I5054" s="23" t="e">
        <f>VLOOKUP(H5054,'合同综合查询数据（3月返）'!$A:$A,1,FALSE)</f>
        <v>#N/A</v>
      </c>
      <c r="J5054" s="24" t="s">
        <v>3074</v>
      </c>
      <c r="K5054" s="16" t="s">
        <v>6720</v>
      </c>
      <c r="L5054" s="25"/>
      <c r="M5054" s="26" t="s">
        <v>6734</v>
      </c>
      <c r="N5054" s="28">
        <v>44690</v>
      </c>
      <c r="O5054" s="28" t="s">
        <v>457</v>
      </c>
      <c r="P5054" s="365">
        <v>6200</v>
      </c>
      <c r="Q5054" s="369">
        <v>4</v>
      </c>
      <c r="R5054" s="36">
        <f t="shared" si="112"/>
        <v>24800</v>
      </c>
      <c r="S5054" s="37">
        <v>202303</v>
      </c>
      <c r="T5054" s="38" t="s">
        <v>6738</v>
      </c>
      <c r="U5054" s="39"/>
      <c r="V5054" s="370"/>
      <c r="W5054" s="41"/>
      <c r="X5054" s="371">
        <v>43374</v>
      </c>
      <c r="Y5054" s="371">
        <v>45331</v>
      </c>
    </row>
    <row r="5055" s="9" customFormat="1" customHeight="1" spans="1:25">
      <c r="A5055" s="16" t="s">
        <v>399</v>
      </c>
      <c r="B5055" s="17" t="s">
        <v>6236</v>
      </c>
      <c r="C5055" s="17" t="s">
        <v>63</v>
      </c>
      <c r="D5055" s="17" t="s">
        <v>6237</v>
      </c>
      <c r="E5055" s="18" t="s">
        <v>6711</v>
      </c>
      <c r="F5055" s="16" t="s">
        <v>6712</v>
      </c>
      <c r="G5055" s="16" t="s">
        <v>88</v>
      </c>
      <c r="H5055" s="19" t="s">
        <v>6719</v>
      </c>
      <c r="I5055" s="23" t="e">
        <f>VLOOKUP(H5055,'合同综合查询数据（3月返）'!$A:$A,1,FALSE)</f>
        <v>#N/A</v>
      </c>
      <c r="J5055" s="24" t="s">
        <v>3074</v>
      </c>
      <c r="K5055" s="16" t="s">
        <v>6720</v>
      </c>
      <c r="L5055" s="25"/>
      <c r="M5055" s="26" t="s">
        <v>6727</v>
      </c>
      <c r="N5055" s="28">
        <v>44692</v>
      </c>
      <c r="O5055" s="28" t="s">
        <v>457</v>
      </c>
      <c r="P5055" s="365">
        <v>6200</v>
      </c>
      <c r="Q5055" s="369">
        <v>-4</v>
      </c>
      <c r="R5055" s="36">
        <f t="shared" si="112"/>
        <v>-24800</v>
      </c>
      <c r="S5055" s="37">
        <v>202303</v>
      </c>
      <c r="T5055" s="38" t="s">
        <v>6739</v>
      </c>
      <c r="U5055" s="39"/>
      <c r="V5055" s="370"/>
      <c r="W5055" s="41"/>
      <c r="X5055" s="371">
        <v>43374</v>
      </c>
      <c r="Y5055" s="371">
        <v>45331</v>
      </c>
    </row>
    <row r="5056" s="9" customFormat="1" customHeight="1" spans="1:25">
      <c r="A5056" s="16" t="s">
        <v>399</v>
      </c>
      <c r="B5056" s="17" t="s">
        <v>6236</v>
      </c>
      <c r="C5056" s="17" t="s">
        <v>63</v>
      </c>
      <c r="D5056" s="17" t="s">
        <v>6237</v>
      </c>
      <c r="E5056" s="18" t="s">
        <v>6711</v>
      </c>
      <c r="F5056" s="16" t="s">
        <v>6712</v>
      </c>
      <c r="G5056" s="16" t="s">
        <v>88</v>
      </c>
      <c r="H5056" s="19" t="s">
        <v>6719</v>
      </c>
      <c r="I5056" s="23" t="e">
        <f>VLOOKUP(H5056,'合同综合查询数据（3月返）'!$A:$A,1,FALSE)</f>
        <v>#N/A</v>
      </c>
      <c r="J5056" s="24" t="s">
        <v>3074</v>
      </c>
      <c r="K5056" s="16" t="s">
        <v>6720</v>
      </c>
      <c r="L5056" s="25"/>
      <c r="M5056" s="26" t="s">
        <v>6727</v>
      </c>
      <c r="N5056" s="28">
        <v>44709</v>
      </c>
      <c r="O5056" s="28" t="s">
        <v>457</v>
      </c>
      <c r="P5056" s="365">
        <v>6200</v>
      </c>
      <c r="Q5056" s="369">
        <v>-258</v>
      </c>
      <c r="R5056" s="36">
        <f t="shared" si="112"/>
        <v>-1599600</v>
      </c>
      <c r="S5056" s="37">
        <v>202303</v>
      </c>
      <c r="T5056" s="38" t="s">
        <v>6740</v>
      </c>
      <c r="U5056" s="39"/>
      <c r="V5056" s="370"/>
      <c r="W5056" s="41"/>
      <c r="X5056" s="371">
        <v>43374</v>
      </c>
      <c r="Y5056" s="371">
        <v>45331</v>
      </c>
    </row>
    <row r="5057" s="9" customFormat="1" customHeight="1" spans="1:25">
      <c r="A5057" s="16" t="s">
        <v>399</v>
      </c>
      <c r="B5057" s="17" t="s">
        <v>6236</v>
      </c>
      <c r="C5057" s="17" t="s">
        <v>63</v>
      </c>
      <c r="D5057" s="17" t="s">
        <v>6237</v>
      </c>
      <c r="E5057" s="18" t="s">
        <v>6711</v>
      </c>
      <c r="F5057" s="16" t="s">
        <v>6712</v>
      </c>
      <c r="G5057" s="16" t="s">
        <v>88</v>
      </c>
      <c r="H5057" s="19" t="s">
        <v>6719</v>
      </c>
      <c r="I5057" s="23" t="e">
        <f>VLOOKUP(H5057,'合同综合查询数据（3月返）'!$A:$A,1,FALSE)</f>
        <v>#N/A</v>
      </c>
      <c r="J5057" s="24" t="s">
        <v>3074</v>
      </c>
      <c r="K5057" s="16" t="s">
        <v>6720</v>
      </c>
      <c r="L5057" s="25"/>
      <c r="M5057" s="26" t="s">
        <v>6734</v>
      </c>
      <c r="N5057" s="28">
        <v>44714</v>
      </c>
      <c r="O5057" s="28" t="s">
        <v>457</v>
      </c>
      <c r="P5057" s="365">
        <v>6200</v>
      </c>
      <c r="Q5057" s="369">
        <v>5</v>
      </c>
      <c r="R5057" s="119">
        <f t="shared" si="112"/>
        <v>31000</v>
      </c>
      <c r="S5057" s="37">
        <v>202303</v>
      </c>
      <c r="T5057" s="38" t="s">
        <v>6741</v>
      </c>
      <c r="U5057" s="39"/>
      <c r="V5057" s="370"/>
      <c r="W5057" s="41"/>
      <c r="X5057" s="371">
        <v>43374</v>
      </c>
      <c r="Y5057" s="371">
        <v>45331</v>
      </c>
    </row>
    <row r="5058" s="9" customFormat="1" customHeight="1" spans="1:25">
      <c r="A5058" s="16" t="s">
        <v>399</v>
      </c>
      <c r="B5058" s="17" t="s">
        <v>6236</v>
      </c>
      <c r="C5058" s="17" t="s">
        <v>63</v>
      </c>
      <c r="D5058" s="17" t="s">
        <v>6237</v>
      </c>
      <c r="E5058" s="18" t="s">
        <v>6711</v>
      </c>
      <c r="F5058" s="16" t="s">
        <v>6712</v>
      </c>
      <c r="G5058" s="16" t="s">
        <v>88</v>
      </c>
      <c r="H5058" s="19" t="s">
        <v>6719</v>
      </c>
      <c r="I5058" s="23" t="e">
        <f>VLOOKUP(H5058,'合同综合查询数据（3月返）'!$A:$A,1,FALSE)</f>
        <v>#N/A</v>
      </c>
      <c r="J5058" s="24" t="s">
        <v>3074</v>
      </c>
      <c r="K5058" s="16" t="s">
        <v>6720</v>
      </c>
      <c r="L5058" s="25"/>
      <c r="M5058" s="26" t="s">
        <v>6734</v>
      </c>
      <c r="N5058" s="28">
        <v>44806</v>
      </c>
      <c r="O5058" s="28" t="s">
        <v>457</v>
      </c>
      <c r="P5058" s="365">
        <v>6200</v>
      </c>
      <c r="Q5058" s="369">
        <v>1</v>
      </c>
      <c r="R5058" s="119">
        <f t="shared" si="112"/>
        <v>6200</v>
      </c>
      <c r="S5058" s="37">
        <v>202303</v>
      </c>
      <c r="T5058" s="38" t="s">
        <v>6742</v>
      </c>
      <c r="U5058" s="39"/>
      <c r="V5058" s="370"/>
      <c r="W5058" s="41"/>
      <c r="X5058" s="371">
        <v>43374</v>
      </c>
      <c r="Y5058" s="371">
        <v>45331</v>
      </c>
    </row>
    <row r="5059" s="9" customFormat="1" customHeight="1" spans="1:25">
      <c r="A5059" s="16" t="s">
        <v>399</v>
      </c>
      <c r="B5059" s="17" t="s">
        <v>6236</v>
      </c>
      <c r="C5059" s="17" t="s">
        <v>63</v>
      </c>
      <c r="D5059" s="17" t="s">
        <v>6237</v>
      </c>
      <c r="E5059" s="18" t="s">
        <v>6711</v>
      </c>
      <c r="F5059" s="16" t="s">
        <v>6712</v>
      </c>
      <c r="G5059" s="16" t="s">
        <v>88</v>
      </c>
      <c r="H5059" s="19" t="s">
        <v>6719</v>
      </c>
      <c r="I5059" s="23" t="e">
        <f>VLOOKUP(H5059,'合同综合查询数据（3月返）'!$A:$A,1,FALSE)</f>
        <v>#N/A</v>
      </c>
      <c r="J5059" s="24" t="s">
        <v>3074</v>
      </c>
      <c r="K5059" s="16" t="s">
        <v>6720</v>
      </c>
      <c r="L5059" s="25"/>
      <c r="M5059" s="26" t="s">
        <v>6734</v>
      </c>
      <c r="N5059" s="28">
        <v>44833</v>
      </c>
      <c r="O5059" s="28" t="s">
        <v>457</v>
      </c>
      <c r="P5059" s="365">
        <v>6200</v>
      </c>
      <c r="Q5059" s="369">
        <v>7</v>
      </c>
      <c r="R5059" s="119">
        <f t="shared" si="112"/>
        <v>43400</v>
      </c>
      <c r="S5059" s="37">
        <v>202303</v>
      </c>
      <c r="T5059" s="38" t="s">
        <v>6743</v>
      </c>
      <c r="U5059" s="39"/>
      <c r="V5059" s="370"/>
      <c r="W5059" s="41"/>
      <c r="X5059" s="371">
        <v>43374</v>
      </c>
      <c r="Y5059" s="371">
        <v>45331</v>
      </c>
    </row>
    <row r="5060" s="9" customFormat="1" customHeight="1" spans="1:25">
      <c r="A5060" s="16" t="s">
        <v>399</v>
      </c>
      <c r="B5060" s="17" t="s">
        <v>6236</v>
      </c>
      <c r="C5060" s="17" t="s">
        <v>63</v>
      </c>
      <c r="D5060" s="17" t="s">
        <v>6237</v>
      </c>
      <c r="E5060" s="18" t="s">
        <v>6711</v>
      </c>
      <c r="F5060" s="16" t="s">
        <v>6712</v>
      </c>
      <c r="G5060" s="16" t="s">
        <v>88</v>
      </c>
      <c r="H5060" s="19" t="s">
        <v>6719</v>
      </c>
      <c r="I5060" s="23" t="e">
        <f>VLOOKUP(H5060,'合同综合查询数据（3月返）'!$A:$A,1,FALSE)</f>
        <v>#N/A</v>
      </c>
      <c r="J5060" s="24" t="s">
        <v>3074</v>
      </c>
      <c r="K5060" s="16" t="s">
        <v>6720</v>
      </c>
      <c r="L5060" s="25"/>
      <c r="M5060" s="26" t="s">
        <v>6734</v>
      </c>
      <c r="N5060" s="28">
        <v>44847</v>
      </c>
      <c r="O5060" s="28" t="s">
        <v>457</v>
      </c>
      <c r="P5060" s="365">
        <v>6200</v>
      </c>
      <c r="Q5060" s="369">
        <v>4</v>
      </c>
      <c r="R5060" s="119">
        <f t="shared" si="112"/>
        <v>24800</v>
      </c>
      <c r="S5060" s="37">
        <v>202303</v>
      </c>
      <c r="T5060" s="38" t="s">
        <v>6744</v>
      </c>
      <c r="U5060" s="39"/>
      <c r="V5060" s="370"/>
      <c r="W5060" s="41"/>
      <c r="X5060" s="371">
        <v>43374</v>
      </c>
      <c r="Y5060" s="371">
        <v>45331</v>
      </c>
    </row>
    <row r="5061" s="9" customFormat="1" customHeight="1" spans="1:25">
      <c r="A5061" s="16" t="s">
        <v>399</v>
      </c>
      <c r="B5061" s="17" t="s">
        <v>6236</v>
      </c>
      <c r="C5061" s="17" t="s">
        <v>63</v>
      </c>
      <c r="D5061" s="17" t="s">
        <v>6237</v>
      </c>
      <c r="E5061" s="18" t="s">
        <v>6711</v>
      </c>
      <c r="F5061" s="16" t="s">
        <v>6712</v>
      </c>
      <c r="G5061" s="16" t="s">
        <v>88</v>
      </c>
      <c r="H5061" s="19" t="s">
        <v>6719</v>
      </c>
      <c r="I5061" s="23" t="e">
        <f>VLOOKUP(H5061,'合同综合查询数据（3月返）'!$A:$A,1,FALSE)</f>
        <v>#N/A</v>
      </c>
      <c r="J5061" s="24" t="s">
        <v>3074</v>
      </c>
      <c r="K5061" s="16" t="s">
        <v>6720</v>
      </c>
      <c r="L5061" s="25"/>
      <c r="M5061" s="26" t="s">
        <v>6734</v>
      </c>
      <c r="N5061" s="28">
        <v>44848</v>
      </c>
      <c r="O5061" s="28" t="s">
        <v>457</v>
      </c>
      <c r="P5061" s="365">
        <v>6200</v>
      </c>
      <c r="Q5061" s="369">
        <v>1</v>
      </c>
      <c r="R5061" s="119">
        <f t="shared" si="112"/>
        <v>6200</v>
      </c>
      <c r="S5061" s="37">
        <v>202303</v>
      </c>
      <c r="T5061" s="38" t="s">
        <v>6745</v>
      </c>
      <c r="U5061" s="39"/>
      <c r="V5061" s="370"/>
      <c r="W5061" s="41"/>
      <c r="X5061" s="371">
        <v>43374</v>
      </c>
      <c r="Y5061" s="371">
        <v>45331</v>
      </c>
    </row>
    <row r="5062" s="9" customFormat="1" customHeight="1" spans="1:25">
      <c r="A5062" s="16" t="s">
        <v>399</v>
      </c>
      <c r="B5062" s="17" t="s">
        <v>6236</v>
      </c>
      <c r="C5062" s="17" t="s">
        <v>63</v>
      </c>
      <c r="D5062" s="17" t="s">
        <v>6237</v>
      </c>
      <c r="E5062" s="18" t="s">
        <v>6711</v>
      </c>
      <c r="F5062" s="16" t="s">
        <v>6712</v>
      </c>
      <c r="G5062" s="16" t="s">
        <v>88</v>
      </c>
      <c r="H5062" s="19" t="s">
        <v>6719</v>
      </c>
      <c r="I5062" s="23" t="e">
        <f>VLOOKUP(H5062,'合同综合查询数据（3月返）'!$A:$A,1,FALSE)</f>
        <v>#N/A</v>
      </c>
      <c r="J5062" s="24" t="s">
        <v>3074</v>
      </c>
      <c r="K5062" s="16" t="s">
        <v>6720</v>
      </c>
      <c r="L5062" s="25"/>
      <c r="M5062" s="26" t="s">
        <v>6734</v>
      </c>
      <c r="N5062" s="28">
        <v>44866</v>
      </c>
      <c r="O5062" s="28" t="s">
        <v>457</v>
      </c>
      <c r="P5062" s="365">
        <v>6200</v>
      </c>
      <c r="Q5062" s="369">
        <v>4</v>
      </c>
      <c r="R5062" s="119">
        <f t="shared" si="112"/>
        <v>24800</v>
      </c>
      <c r="S5062" s="37">
        <v>202303</v>
      </c>
      <c r="T5062" s="38" t="s">
        <v>6746</v>
      </c>
      <c r="U5062" s="39"/>
      <c r="V5062" s="370"/>
      <c r="W5062" s="41"/>
      <c r="X5062" s="371">
        <v>43374</v>
      </c>
      <c r="Y5062" s="371">
        <v>45331</v>
      </c>
    </row>
    <row r="5063" s="9" customFormat="1" customHeight="1" spans="1:25">
      <c r="A5063" s="16" t="s">
        <v>399</v>
      </c>
      <c r="B5063" s="17" t="s">
        <v>6236</v>
      </c>
      <c r="C5063" s="17" t="s">
        <v>63</v>
      </c>
      <c r="D5063" s="17" t="s">
        <v>6237</v>
      </c>
      <c r="E5063" s="18" t="s">
        <v>6711</v>
      </c>
      <c r="F5063" s="16" t="s">
        <v>6712</v>
      </c>
      <c r="G5063" s="16" t="s">
        <v>88</v>
      </c>
      <c r="H5063" s="19" t="s">
        <v>6719</v>
      </c>
      <c r="I5063" s="23" t="e">
        <f>VLOOKUP(H5063,'合同综合查询数据（3月返）'!$A:$A,1,FALSE)</f>
        <v>#N/A</v>
      </c>
      <c r="J5063" s="24" t="s">
        <v>3074</v>
      </c>
      <c r="K5063" s="16" t="s">
        <v>6720</v>
      </c>
      <c r="L5063" s="25"/>
      <c r="M5063" s="26" t="s">
        <v>6734</v>
      </c>
      <c r="N5063" s="28">
        <v>44867</v>
      </c>
      <c r="O5063" s="28" t="s">
        <v>457</v>
      </c>
      <c r="P5063" s="365">
        <v>6200</v>
      </c>
      <c r="Q5063" s="369">
        <v>2</v>
      </c>
      <c r="R5063" s="119">
        <f t="shared" si="112"/>
        <v>12400</v>
      </c>
      <c r="S5063" s="37">
        <v>202303</v>
      </c>
      <c r="T5063" s="38" t="s">
        <v>6747</v>
      </c>
      <c r="U5063" s="39"/>
      <c r="V5063" s="370"/>
      <c r="W5063" s="41"/>
      <c r="X5063" s="371">
        <v>43374</v>
      </c>
      <c r="Y5063" s="371">
        <v>45331</v>
      </c>
    </row>
    <row r="5064" s="9" customFormat="1" customHeight="1" spans="1:25">
      <c r="A5064" s="16" t="s">
        <v>399</v>
      </c>
      <c r="B5064" s="17" t="s">
        <v>6236</v>
      </c>
      <c r="C5064" s="17" t="s">
        <v>63</v>
      </c>
      <c r="D5064" s="17" t="s">
        <v>6237</v>
      </c>
      <c r="E5064" s="18" t="s">
        <v>6711</v>
      </c>
      <c r="F5064" s="16" t="s">
        <v>6712</v>
      </c>
      <c r="G5064" s="16" t="s">
        <v>88</v>
      </c>
      <c r="H5064" s="19" t="s">
        <v>6719</v>
      </c>
      <c r="I5064" s="23" t="e">
        <f>VLOOKUP(H5064,'合同综合查询数据（3月返）'!$A:$A,1,FALSE)</f>
        <v>#N/A</v>
      </c>
      <c r="J5064" s="24" t="s">
        <v>3074</v>
      </c>
      <c r="K5064" s="16" t="s">
        <v>6720</v>
      </c>
      <c r="L5064" s="25"/>
      <c r="M5064" s="26" t="s">
        <v>6734</v>
      </c>
      <c r="N5064" s="28">
        <v>44879</v>
      </c>
      <c r="O5064" s="28" t="s">
        <v>457</v>
      </c>
      <c r="P5064" s="365">
        <v>6200</v>
      </c>
      <c r="Q5064" s="369">
        <v>2</v>
      </c>
      <c r="R5064" s="119">
        <f t="shared" si="112"/>
        <v>12400</v>
      </c>
      <c r="S5064" s="37">
        <v>202303</v>
      </c>
      <c r="T5064" s="38" t="s">
        <v>6748</v>
      </c>
      <c r="U5064" s="39"/>
      <c r="V5064" s="370"/>
      <c r="W5064" s="41"/>
      <c r="X5064" s="371">
        <v>43374</v>
      </c>
      <c r="Y5064" s="371">
        <v>45331</v>
      </c>
    </row>
    <row r="5065" s="9" customFormat="1" customHeight="1" spans="1:25">
      <c r="A5065" s="16" t="s">
        <v>399</v>
      </c>
      <c r="B5065" s="17" t="s">
        <v>6236</v>
      </c>
      <c r="C5065" s="17" t="s">
        <v>63</v>
      </c>
      <c r="D5065" s="17" t="s">
        <v>6237</v>
      </c>
      <c r="E5065" s="18" t="s">
        <v>6711</v>
      </c>
      <c r="F5065" s="16" t="s">
        <v>6712</v>
      </c>
      <c r="G5065" s="16" t="s">
        <v>88</v>
      </c>
      <c r="H5065" s="19" t="s">
        <v>6719</v>
      </c>
      <c r="I5065" s="23" t="e">
        <f>VLOOKUP(H5065,'合同综合查询数据（3月返）'!$A:$A,1,FALSE)</f>
        <v>#N/A</v>
      </c>
      <c r="J5065" s="24" t="s">
        <v>3074</v>
      </c>
      <c r="K5065" s="16" t="s">
        <v>6720</v>
      </c>
      <c r="L5065" s="25"/>
      <c r="M5065" s="26" t="s">
        <v>6734</v>
      </c>
      <c r="N5065" s="28">
        <v>44901</v>
      </c>
      <c r="O5065" s="28" t="s">
        <v>457</v>
      </c>
      <c r="P5065" s="365">
        <v>6200</v>
      </c>
      <c r="Q5065" s="369">
        <v>3</v>
      </c>
      <c r="R5065" s="36">
        <f t="shared" si="112"/>
        <v>18600</v>
      </c>
      <c r="S5065" s="37">
        <v>202303</v>
      </c>
      <c r="T5065" s="38" t="s">
        <v>6749</v>
      </c>
      <c r="U5065" s="39"/>
      <c r="V5065" s="370"/>
      <c r="W5065" s="41"/>
      <c r="X5065" s="371">
        <v>43374</v>
      </c>
      <c r="Y5065" s="371">
        <v>45331</v>
      </c>
    </row>
    <row r="5066" s="9" customFormat="1" customHeight="1" spans="1:25">
      <c r="A5066" s="16" t="s">
        <v>399</v>
      </c>
      <c r="B5066" s="17" t="s">
        <v>6236</v>
      </c>
      <c r="C5066" s="17" t="s">
        <v>63</v>
      </c>
      <c r="D5066" s="17" t="s">
        <v>6237</v>
      </c>
      <c r="E5066" s="18" t="s">
        <v>6711</v>
      </c>
      <c r="F5066" s="16" t="s">
        <v>6712</v>
      </c>
      <c r="G5066" s="16" t="s">
        <v>88</v>
      </c>
      <c r="H5066" s="19" t="s">
        <v>6719</v>
      </c>
      <c r="I5066" s="23" t="e">
        <f>VLOOKUP(H5066,'合同综合查询数据（3月返）'!$A:$A,1,FALSE)</f>
        <v>#N/A</v>
      </c>
      <c r="J5066" s="24" t="s">
        <v>3074</v>
      </c>
      <c r="K5066" s="16" t="s">
        <v>6720</v>
      </c>
      <c r="L5066" s="25"/>
      <c r="M5066" s="26" t="s">
        <v>6734</v>
      </c>
      <c r="N5066" s="28">
        <v>44918</v>
      </c>
      <c r="O5066" s="28" t="s">
        <v>457</v>
      </c>
      <c r="P5066" s="365">
        <v>6200</v>
      </c>
      <c r="Q5066" s="369">
        <v>5</v>
      </c>
      <c r="R5066" s="36">
        <f t="shared" si="112"/>
        <v>31000</v>
      </c>
      <c r="S5066" s="37">
        <v>202303</v>
      </c>
      <c r="T5066" s="38" t="s">
        <v>6750</v>
      </c>
      <c r="U5066" s="39"/>
      <c r="V5066" s="370"/>
      <c r="W5066" s="41"/>
      <c r="X5066" s="371">
        <v>43374</v>
      </c>
      <c r="Y5066" s="371">
        <v>45331</v>
      </c>
    </row>
    <row r="5067" s="9" customFormat="1" customHeight="1" spans="1:25">
      <c r="A5067" s="16" t="s">
        <v>399</v>
      </c>
      <c r="B5067" s="17" t="s">
        <v>6236</v>
      </c>
      <c r="C5067" s="17" t="s">
        <v>63</v>
      </c>
      <c r="D5067" s="17" t="s">
        <v>6237</v>
      </c>
      <c r="E5067" s="18" t="s">
        <v>6711</v>
      </c>
      <c r="F5067" s="16" t="s">
        <v>6712</v>
      </c>
      <c r="G5067" s="16" t="s">
        <v>78</v>
      </c>
      <c r="H5067" s="19" t="s">
        <v>6719</v>
      </c>
      <c r="I5067" s="23" t="e">
        <f>VLOOKUP(H5067,'合同综合查询数据（3月返）'!$A:$A,1,FALSE)</f>
        <v>#N/A</v>
      </c>
      <c r="J5067" s="24" t="s">
        <v>475</v>
      </c>
      <c r="K5067" s="16" t="s">
        <v>6720</v>
      </c>
      <c r="L5067" s="25"/>
      <c r="M5067" s="26"/>
      <c r="N5067" s="28"/>
      <c r="O5067" s="28"/>
      <c r="P5067" s="365">
        <v>3200</v>
      </c>
      <c r="Q5067" s="369">
        <v>29</v>
      </c>
      <c r="R5067" s="173">
        <f t="shared" si="112"/>
        <v>92800</v>
      </c>
      <c r="S5067" s="37">
        <v>202303</v>
      </c>
      <c r="T5067" s="38" t="s">
        <v>6751</v>
      </c>
      <c r="U5067" s="39"/>
      <c r="V5067" s="370"/>
      <c r="W5067" s="41"/>
      <c r="X5067" s="371">
        <v>43374</v>
      </c>
      <c r="Y5067" s="371">
        <v>45331</v>
      </c>
    </row>
    <row r="5068" s="9" customFormat="1" customHeight="1" spans="1:25">
      <c r="A5068" s="16" t="s">
        <v>399</v>
      </c>
      <c r="B5068" s="17" t="s">
        <v>6236</v>
      </c>
      <c r="C5068" s="17" t="s">
        <v>63</v>
      </c>
      <c r="D5068" s="17" t="s">
        <v>6237</v>
      </c>
      <c r="E5068" s="18" t="s">
        <v>6711</v>
      </c>
      <c r="F5068" s="16" t="s">
        <v>6712</v>
      </c>
      <c r="G5068" s="16" t="s">
        <v>78</v>
      </c>
      <c r="H5068" s="19" t="s">
        <v>6719</v>
      </c>
      <c r="I5068" s="23" t="e">
        <f>VLOOKUP(H5068,'合同综合查询数据（3月返）'!$A:$A,1,FALSE)</f>
        <v>#N/A</v>
      </c>
      <c r="J5068" s="24" t="s">
        <v>475</v>
      </c>
      <c r="K5068" s="16" t="s">
        <v>6720</v>
      </c>
      <c r="L5068" s="25"/>
      <c r="M5068" s="26"/>
      <c r="N5068" s="28"/>
      <c r="O5068" s="28"/>
      <c r="P5068" s="365">
        <v>3200</v>
      </c>
      <c r="Q5068" s="369">
        <v>-29</v>
      </c>
      <c r="R5068" s="173">
        <f t="shared" si="112"/>
        <v>-92800</v>
      </c>
      <c r="S5068" s="37">
        <v>202303</v>
      </c>
      <c r="T5068" s="38" t="s">
        <v>6752</v>
      </c>
      <c r="U5068" s="39"/>
      <c r="V5068" s="370"/>
      <c r="W5068" s="41"/>
      <c r="X5068" s="371">
        <v>43374</v>
      </c>
      <c r="Y5068" s="371">
        <v>45331</v>
      </c>
    </row>
    <row r="5069" s="9" customFormat="1" customHeight="1" spans="1:25">
      <c r="A5069" s="16" t="s">
        <v>399</v>
      </c>
      <c r="B5069" s="17" t="s">
        <v>6236</v>
      </c>
      <c r="C5069" s="17" t="s">
        <v>63</v>
      </c>
      <c r="D5069" s="17" t="s">
        <v>6237</v>
      </c>
      <c r="E5069" s="18" t="s">
        <v>6711</v>
      </c>
      <c r="F5069" s="16" t="s">
        <v>6712</v>
      </c>
      <c r="G5069" s="16" t="s">
        <v>78</v>
      </c>
      <c r="H5069" s="19" t="s">
        <v>6724</v>
      </c>
      <c r="I5069" s="23" t="e">
        <f>VLOOKUP(H5069,'合同综合查询数据（3月返）'!$A:$A,1,FALSE)</f>
        <v>#N/A</v>
      </c>
      <c r="J5069" s="24" t="s">
        <v>475</v>
      </c>
      <c r="K5069" s="16" t="s">
        <v>6720</v>
      </c>
      <c r="L5069" s="25"/>
      <c r="M5069" s="26"/>
      <c r="N5069" s="28"/>
      <c r="O5069" s="28"/>
      <c r="P5069" s="365">
        <v>0</v>
      </c>
      <c r="Q5069" s="376">
        <v>0</v>
      </c>
      <c r="R5069" s="173">
        <f t="shared" si="112"/>
        <v>0</v>
      </c>
      <c r="S5069" s="37">
        <v>202303</v>
      </c>
      <c r="T5069" s="38" t="s">
        <v>6753</v>
      </c>
      <c r="U5069" s="39"/>
      <c r="V5069" s="370"/>
      <c r="W5069" s="41"/>
      <c r="X5069" s="371">
        <v>43405</v>
      </c>
      <c r="Y5069" s="371">
        <v>45331</v>
      </c>
    </row>
    <row r="5070" s="9" customFormat="1" customHeight="1" spans="1:25">
      <c r="A5070" s="16" t="s">
        <v>399</v>
      </c>
      <c r="B5070" s="17" t="s">
        <v>6236</v>
      </c>
      <c r="C5070" s="17" t="s">
        <v>63</v>
      </c>
      <c r="D5070" s="17" t="s">
        <v>6237</v>
      </c>
      <c r="E5070" s="18" t="s">
        <v>6711</v>
      </c>
      <c r="F5070" s="16" t="s">
        <v>6712</v>
      </c>
      <c r="G5070" s="16" t="s">
        <v>67</v>
      </c>
      <c r="H5070" s="19" t="s">
        <v>6719</v>
      </c>
      <c r="I5070" s="23" t="e">
        <f>VLOOKUP(H5070,'合同综合查询数据（3月返）'!$A:$A,1,FALSE)</f>
        <v>#N/A</v>
      </c>
      <c r="J5070" s="24" t="s">
        <v>67</v>
      </c>
      <c r="K5070" s="16"/>
      <c r="L5070" s="25"/>
      <c r="M5070" s="26"/>
      <c r="N5070" s="28">
        <v>43577</v>
      </c>
      <c r="O5070" s="28" t="s">
        <v>71</v>
      </c>
      <c r="P5070" s="365">
        <v>390</v>
      </c>
      <c r="Q5070" s="369">
        <v>125</v>
      </c>
      <c r="R5070" s="173">
        <f t="shared" si="112"/>
        <v>48750</v>
      </c>
      <c r="S5070" s="37">
        <v>202303</v>
      </c>
      <c r="T5070" s="38"/>
      <c r="U5070" s="39"/>
      <c r="V5070" s="370"/>
      <c r="W5070" s="41"/>
      <c r="X5070" s="371">
        <v>43374</v>
      </c>
      <c r="Y5070" s="371">
        <v>45331</v>
      </c>
    </row>
    <row r="5071" s="9" customFormat="1" customHeight="1" spans="1:25">
      <c r="A5071" s="16" t="s">
        <v>399</v>
      </c>
      <c r="B5071" s="17" t="s">
        <v>6236</v>
      </c>
      <c r="C5071" s="17" t="s">
        <v>63</v>
      </c>
      <c r="D5071" s="17" t="s">
        <v>6237</v>
      </c>
      <c r="E5071" s="18" t="s">
        <v>6711</v>
      </c>
      <c r="F5071" s="16" t="s">
        <v>6712</v>
      </c>
      <c r="G5071" s="16" t="s">
        <v>67</v>
      </c>
      <c r="H5071" s="19" t="s">
        <v>6719</v>
      </c>
      <c r="I5071" s="23" t="e">
        <f>VLOOKUP(H5071,'合同综合查询数据（3月返）'!$A:$A,1,FALSE)</f>
        <v>#N/A</v>
      </c>
      <c r="J5071" s="24" t="s">
        <v>67</v>
      </c>
      <c r="K5071" s="16"/>
      <c r="L5071" s="28"/>
      <c r="M5071" s="28"/>
      <c r="N5071" s="28">
        <v>44985</v>
      </c>
      <c r="O5071" s="28" t="s">
        <v>71</v>
      </c>
      <c r="P5071" s="365">
        <v>390</v>
      </c>
      <c r="Q5071" s="369">
        <v>-125</v>
      </c>
      <c r="R5071" s="173">
        <f t="shared" si="112"/>
        <v>-48750</v>
      </c>
      <c r="S5071" s="37">
        <v>202303</v>
      </c>
      <c r="T5071" s="38" t="s">
        <v>6754</v>
      </c>
      <c r="U5071" s="39"/>
      <c r="V5071" s="370"/>
      <c r="W5071" s="41"/>
      <c r="X5071" s="371">
        <v>43374</v>
      </c>
      <c r="Y5071" s="371">
        <v>45331</v>
      </c>
    </row>
    <row r="5072" s="9" customFormat="1" customHeight="1" spans="1:25">
      <c r="A5072" s="16" t="s">
        <v>399</v>
      </c>
      <c r="B5072" s="17" t="s">
        <v>6236</v>
      </c>
      <c r="C5072" s="17" t="s">
        <v>63</v>
      </c>
      <c r="D5072" s="17" t="s">
        <v>6237</v>
      </c>
      <c r="E5072" s="18" t="s">
        <v>6711</v>
      </c>
      <c r="F5072" s="16" t="s">
        <v>6712</v>
      </c>
      <c r="G5072" s="16" t="s">
        <v>67</v>
      </c>
      <c r="H5072" s="19" t="s">
        <v>6719</v>
      </c>
      <c r="I5072" s="23" t="e">
        <f>VLOOKUP(H5072,'合同综合查询数据（3月返）'!$A:$A,1,FALSE)</f>
        <v>#N/A</v>
      </c>
      <c r="J5072" s="24" t="s">
        <v>67</v>
      </c>
      <c r="K5072" s="16"/>
      <c r="L5072" s="25"/>
      <c r="M5072" s="26"/>
      <c r="N5072" s="28">
        <v>43577</v>
      </c>
      <c r="O5072" s="28" t="s">
        <v>71</v>
      </c>
      <c r="P5072" s="365">
        <v>390</v>
      </c>
      <c r="Q5072" s="369">
        <v>78</v>
      </c>
      <c r="R5072" s="173">
        <f t="shared" si="112"/>
        <v>30420</v>
      </c>
      <c r="S5072" s="37">
        <v>202303</v>
      </c>
      <c r="T5072" s="38"/>
      <c r="U5072" s="39"/>
      <c r="V5072" s="370"/>
      <c r="W5072" s="41"/>
      <c r="X5072" s="371">
        <v>43374</v>
      </c>
      <c r="Y5072" s="371">
        <v>45331</v>
      </c>
    </row>
    <row r="5073" s="9" customFormat="1" customHeight="1" spans="1:25">
      <c r="A5073" s="16" t="s">
        <v>399</v>
      </c>
      <c r="B5073" s="17" t="s">
        <v>6236</v>
      </c>
      <c r="C5073" s="17" t="s">
        <v>63</v>
      </c>
      <c r="D5073" s="17" t="s">
        <v>6237</v>
      </c>
      <c r="E5073" s="18" t="s">
        <v>6711</v>
      </c>
      <c r="F5073" s="16" t="s">
        <v>6712</v>
      </c>
      <c r="G5073" s="16" t="s">
        <v>31</v>
      </c>
      <c r="H5073" s="19" t="s">
        <v>6755</v>
      </c>
      <c r="I5073" s="23" t="e">
        <f>VLOOKUP(H5073,'合同综合查询数据（3月返）'!$A:$A,1,FALSE)</f>
        <v>#N/A</v>
      </c>
      <c r="J5073" s="24" t="s">
        <v>451</v>
      </c>
      <c r="K5073" s="16" t="s">
        <v>6756</v>
      </c>
      <c r="L5073" s="25" t="s">
        <v>6757</v>
      </c>
      <c r="M5073" s="26"/>
      <c r="N5073" s="28">
        <v>40330</v>
      </c>
      <c r="O5073" s="28" t="s">
        <v>37</v>
      </c>
      <c r="P5073" s="365">
        <v>0</v>
      </c>
      <c r="Q5073" s="369">
        <v>5120</v>
      </c>
      <c r="R5073" s="173">
        <f t="shared" si="112"/>
        <v>0</v>
      </c>
      <c r="S5073" s="37">
        <v>202303</v>
      </c>
      <c r="T5073" s="38" t="s">
        <v>6758</v>
      </c>
      <c r="U5073" s="39"/>
      <c r="V5073" s="370"/>
      <c r="W5073" s="41"/>
      <c r="X5073" s="371">
        <v>43466</v>
      </c>
      <c r="Y5073" s="371">
        <v>45657</v>
      </c>
    </row>
    <row r="5074" s="9" customFormat="1" customHeight="1" spans="1:25">
      <c r="A5074" s="16" t="s">
        <v>399</v>
      </c>
      <c r="B5074" s="17" t="s">
        <v>6236</v>
      </c>
      <c r="C5074" s="17" t="s">
        <v>63</v>
      </c>
      <c r="D5074" s="17" t="s">
        <v>6237</v>
      </c>
      <c r="E5074" s="18" t="s">
        <v>6711</v>
      </c>
      <c r="F5074" s="16" t="s">
        <v>6712</v>
      </c>
      <c r="G5074" s="16" t="s">
        <v>88</v>
      </c>
      <c r="H5074" s="19" t="s">
        <v>6755</v>
      </c>
      <c r="I5074" s="23" t="e">
        <f>VLOOKUP(H5074,'合同综合查询数据（3月返）'!$A:$A,1,FALSE)</f>
        <v>#N/A</v>
      </c>
      <c r="J5074" s="24" t="s">
        <v>3074</v>
      </c>
      <c r="K5074" s="16" t="s">
        <v>6759</v>
      </c>
      <c r="L5074" s="25"/>
      <c r="M5074" s="26" t="s">
        <v>6760</v>
      </c>
      <c r="N5074" s="28">
        <v>43473</v>
      </c>
      <c r="O5074" s="28" t="s">
        <v>3649</v>
      </c>
      <c r="P5074" s="365">
        <v>32812.5</v>
      </c>
      <c r="Q5074" s="369">
        <v>20</v>
      </c>
      <c r="R5074" s="36">
        <f t="shared" si="112"/>
        <v>656250</v>
      </c>
      <c r="S5074" s="37">
        <v>202303</v>
      </c>
      <c r="T5074" s="38" t="s">
        <v>6761</v>
      </c>
      <c r="U5074" s="39"/>
      <c r="V5074" s="370"/>
      <c r="W5074" s="41"/>
      <c r="X5074" s="371">
        <v>43466</v>
      </c>
      <c r="Y5074" s="371">
        <v>45657</v>
      </c>
    </row>
    <row r="5075" s="9" customFormat="1" customHeight="1" spans="1:25">
      <c r="A5075" s="16" t="s">
        <v>399</v>
      </c>
      <c r="B5075" s="17" t="s">
        <v>6236</v>
      </c>
      <c r="C5075" s="17" t="s">
        <v>63</v>
      </c>
      <c r="D5075" s="17" t="s">
        <v>6237</v>
      </c>
      <c r="E5075" s="18" t="s">
        <v>6711</v>
      </c>
      <c r="F5075" s="16" t="s">
        <v>6712</v>
      </c>
      <c r="G5075" s="16" t="s">
        <v>88</v>
      </c>
      <c r="H5075" s="19" t="s">
        <v>6755</v>
      </c>
      <c r="I5075" s="23" t="e">
        <f>VLOOKUP(H5075,'合同综合查询数据（3月返）'!$A:$A,1,FALSE)</f>
        <v>#N/A</v>
      </c>
      <c r="J5075" s="24" t="s">
        <v>3074</v>
      </c>
      <c r="K5075" s="16" t="s">
        <v>6759</v>
      </c>
      <c r="L5075" s="25"/>
      <c r="M5075" s="26" t="s">
        <v>6760</v>
      </c>
      <c r="N5075" s="28">
        <v>43473</v>
      </c>
      <c r="O5075" s="28" t="s">
        <v>461</v>
      </c>
      <c r="P5075" s="365">
        <v>12761.7</v>
      </c>
      <c r="Q5075" s="369">
        <v>8</v>
      </c>
      <c r="R5075" s="36">
        <f t="shared" si="112"/>
        <v>102093.6</v>
      </c>
      <c r="S5075" s="37">
        <v>202303</v>
      </c>
      <c r="T5075" s="38" t="s">
        <v>6762</v>
      </c>
      <c r="U5075" s="39"/>
      <c r="V5075" s="370"/>
      <c r="W5075" s="41"/>
      <c r="X5075" s="371">
        <v>43466</v>
      </c>
      <c r="Y5075" s="371">
        <v>45657</v>
      </c>
    </row>
    <row r="5076" s="9" customFormat="1" customHeight="1" spans="1:25">
      <c r="A5076" s="16" t="s">
        <v>399</v>
      </c>
      <c r="B5076" s="17" t="s">
        <v>6236</v>
      </c>
      <c r="C5076" s="17" t="s">
        <v>63</v>
      </c>
      <c r="D5076" s="17" t="s">
        <v>6237</v>
      </c>
      <c r="E5076" s="18" t="s">
        <v>6711</v>
      </c>
      <c r="F5076" s="16" t="s">
        <v>6712</v>
      </c>
      <c r="G5076" s="16" t="s">
        <v>88</v>
      </c>
      <c r="H5076" s="19" t="s">
        <v>6755</v>
      </c>
      <c r="I5076" s="23" t="e">
        <f>VLOOKUP(H5076,'合同综合查询数据（3月返）'!$A:$A,1,FALSE)</f>
        <v>#N/A</v>
      </c>
      <c r="J5076" s="24" t="s">
        <v>3074</v>
      </c>
      <c r="K5076" s="16" t="s">
        <v>6759</v>
      </c>
      <c r="L5076" s="25"/>
      <c r="M5076" s="26" t="s">
        <v>6760</v>
      </c>
      <c r="N5076" s="28">
        <v>43473</v>
      </c>
      <c r="O5076" s="28" t="s">
        <v>457</v>
      </c>
      <c r="P5076" s="365">
        <v>6510</v>
      </c>
      <c r="Q5076" s="369">
        <v>25</v>
      </c>
      <c r="R5076" s="36">
        <f t="shared" si="112"/>
        <v>162750</v>
      </c>
      <c r="S5076" s="37">
        <v>202303</v>
      </c>
      <c r="T5076" s="38" t="s">
        <v>6763</v>
      </c>
      <c r="U5076" s="39"/>
      <c r="V5076" s="370"/>
      <c r="W5076" s="41"/>
      <c r="X5076" s="371">
        <v>43466</v>
      </c>
      <c r="Y5076" s="371">
        <v>45657</v>
      </c>
    </row>
    <row r="5077" s="9" customFormat="1" customHeight="1" spans="1:25">
      <c r="A5077" s="16" t="s">
        <v>399</v>
      </c>
      <c r="B5077" s="17" t="s">
        <v>6236</v>
      </c>
      <c r="C5077" s="17" t="s">
        <v>63</v>
      </c>
      <c r="D5077" s="17" t="s">
        <v>6237</v>
      </c>
      <c r="E5077" s="18" t="s">
        <v>6711</v>
      </c>
      <c r="F5077" s="16" t="s">
        <v>6712</v>
      </c>
      <c r="G5077" s="16" t="s">
        <v>88</v>
      </c>
      <c r="H5077" s="19" t="s">
        <v>6755</v>
      </c>
      <c r="I5077" s="23" t="e">
        <f>VLOOKUP(H5077,'合同综合查询数据（3月返）'!$A:$A,1,FALSE)</f>
        <v>#N/A</v>
      </c>
      <c r="J5077" s="24" t="s">
        <v>3074</v>
      </c>
      <c r="K5077" s="16" t="s">
        <v>6759</v>
      </c>
      <c r="L5077" s="25"/>
      <c r="M5077" s="26" t="s">
        <v>6760</v>
      </c>
      <c r="N5077" s="28">
        <v>43473</v>
      </c>
      <c r="O5077" s="28" t="s">
        <v>457</v>
      </c>
      <c r="P5077" s="365">
        <v>6510</v>
      </c>
      <c r="Q5077" s="369">
        <v>8</v>
      </c>
      <c r="R5077" s="36">
        <f t="shared" si="112"/>
        <v>52080</v>
      </c>
      <c r="S5077" s="37">
        <v>202303</v>
      </c>
      <c r="T5077" s="38" t="s">
        <v>6764</v>
      </c>
      <c r="U5077" s="39"/>
      <c r="V5077" s="370"/>
      <c r="W5077" s="41"/>
      <c r="X5077" s="371">
        <v>43466</v>
      </c>
      <c r="Y5077" s="371">
        <v>45657</v>
      </c>
    </row>
    <row r="5078" s="9" customFormat="1" customHeight="1" spans="1:25">
      <c r="A5078" s="16" t="s">
        <v>399</v>
      </c>
      <c r="B5078" s="17" t="s">
        <v>6236</v>
      </c>
      <c r="C5078" s="17" t="s">
        <v>63</v>
      </c>
      <c r="D5078" s="17" t="s">
        <v>6237</v>
      </c>
      <c r="E5078" s="18" t="s">
        <v>6711</v>
      </c>
      <c r="F5078" s="16" t="s">
        <v>6712</v>
      </c>
      <c r="G5078" s="16" t="s">
        <v>88</v>
      </c>
      <c r="H5078" s="19" t="s">
        <v>6755</v>
      </c>
      <c r="I5078" s="23" t="e">
        <f>VLOOKUP(H5078,'合同综合查询数据（3月返）'!$A:$A,1,FALSE)</f>
        <v>#N/A</v>
      </c>
      <c r="J5078" s="24" t="s">
        <v>3074</v>
      </c>
      <c r="K5078" s="16" t="s">
        <v>6759</v>
      </c>
      <c r="L5078" s="25"/>
      <c r="M5078" s="26" t="s">
        <v>6760</v>
      </c>
      <c r="N5078" s="28">
        <v>43473</v>
      </c>
      <c r="O5078" s="28" t="s">
        <v>545</v>
      </c>
      <c r="P5078" s="365">
        <v>3255</v>
      </c>
      <c r="Q5078" s="369">
        <v>28</v>
      </c>
      <c r="R5078" s="36">
        <f t="shared" si="112"/>
        <v>91140</v>
      </c>
      <c r="S5078" s="37">
        <v>202303</v>
      </c>
      <c r="T5078" s="38" t="s">
        <v>6765</v>
      </c>
      <c r="U5078" s="39"/>
      <c r="V5078" s="370"/>
      <c r="W5078" s="41"/>
      <c r="X5078" s="371">
        <v>43466</v>
      </c>
      <c r="Y5078" s="371">
        <v>45657</v>
      </c>
    </row>
    <row r="5079" s="9" customFormat="1" customHeight="1" spans="1:25">
      <c r="A5079" s="16" t="s">
        <v>399</v>
      </c>
      <c r="B5079" s="17" t="s">
        <v>6236</v>
      </c>
      <c r="C5079" s="17" t="s">
        <v>63</v>
      </c>
      <c r="D5079" s="17" t="s">
        <v>6237</v>
      </c>
      <c r="E5079" s="18" t="s">
        <v>6711</v>
      </c>
      <c r="F5079" s="16" t="s">
        <v>6712</v>
      </c>
      <c r="G5079" s="16" t="s">
        <v>88</v>
      </c>
      <c r="H5079" s="19" t="s">
        <v>6755</v>
      </c>
      <c r="I5079" s="23" t="e">
        <f>VLOOKUP(H5079,'合同综合查询数据（3月返）'!$A:$A,1,FALSE)</f>
        <v>#N/A</v>
      </c>
      <c r="J5079" s="24" t="s">
        <v>3074</v>
      </c>
      <c r="K5079" s="16" t="s">
        <v>6759</v>
      </c>
      <c r="L5079" s="25"/>
      <c r="M5079" s="26" t="s">
        <v>6760</v>
      </c>
      <c r="N5079" s="28">
        <v>44043</v>
      </c>
      <c r="O5079" s="28" t="s">
        <v>545</v>
      </c>
      <c r="P5079" s="365">
        <v>3255</v>
      </c>
      <c r="Q5079" s="369">
        <v>-2</v>
      </c>
      <c r="R5079" s="36">
        <f t="shared" si="112"/>
        <v>-6510</v>
      </c>
      <c r="S5079" s="37">
        <v>202303</v>
      </c>
      <c r="T5079" s="38" t="s">
        <v>6766</v>
      </c>
      <c r="U5079" s="39"/>
      <c r="V5079" s="370"/>
      <c r="W5079" s="41"/>
      <c r="X5079" s="371">
        <v>43466</v>
      </c>
      <c r="Y5079" s="371">
        <v>45657</v>
      </c>
    </row>
    <row r="5080" s="9" customFormat="1" customHeight="1" spans="1:25">
      <c r="A5080" s="16" t="s">
        <v>399</v>
      </c>
      <c r="B5080" s="17" t="s">
        <v>6236</v>
      </c>
      <c r="C5080" s="17" t="s">
        <v>63</v>
      </c>
      <c r="D5080" s="17" t="s">
        <v>6237</v>
      </c>
      <c r="E5080" s="18" t="s">
        <v>6711</v>
      </c>
      <c r="F5080" s="16" t="s">
        <v>6712</v>
      </c>
      <c r="G5080" s="16" t="s">
        <v>88</v>
      </c>
      <c r="H5080" s="19" t="s">
        <v>6755</v>
      </c>
      <c r="I5080" s="23" t="e">
        <f>VLOOKUP(H5080,'合同综合查询数据（3月返）'!$A:$A,1,FALSE)</f>
        <v>#N/A</v>
      </c>
      <c r="J5080" s="24" t="s">
        <v>3074</v>
      </c>
      <c r="K5080" s="16" t="s">
        <v>6759</v>
      </c>
      <c r="L5080" s="25"/>
      <c r="M5080" s="26" t="s">
        <v>6760</v>
      </c>
      <c r="N5080" s="28">
        <v>43473</v>
      </c>
      <c r="O5080" s="28" t="s">
        <v>461</v>
      </c>
      <c r="P5080" s="365">
        <v>12495</v>
      </c>
      <c r="Q5080" s="369">
        <v>58</v>
      </c>
      <c r="R5080" s="36">
        <f t="shared" si="112"/>
        <v>724710</v>
      </c>
      <c r="S5080" s="37">
        <v>202303</v>
      </c>
      <c r="T5080" s="38" t="s">
        <v>6767</v>
      </c>
      <c r="U5080" s="39"/>
      <c r="V5080" s="370"/>
      <c r="W5080" s="41"/>
      <c r="X5080" s="371">
        <v>43466</v>
      </c>
      <c r="Y5080" s="371">
        <v>45657</v>
      </c>
    </row>
    <row r="5081" s="9" customFormat="1" customHeight="1" spans="1:25">
      <c r="A5081" s="16" t="s">
        <v>399</v>
      </c>
      <c r="B5081" s="17" t="s">
        <v>6236</v>
      </c>
      <c r="C5081" s="17" t="s">
        <v>63</v>
      </c>
      <c r="D5081" s="17" t="s">
        <v>6237</v>
      </c>
      <c r="E5081" s="18" t="s">
        <v>6711</v>
      </c>
      <c r="F5081" s="16" t="s">
        <v>6712</v>
      </c>
      <c r="G5081" s="16" t="s">
        <v>88</v>
      </c>
      <c r="H5081" s="19" t="s">
        <v>6755</v>
      </c>
      <c r="I5081" s="23" t="e">
        <f>VLOOKUP(H5081,'合同综合查询数据（3月返）'!$A:$A,1,FALSE)</f>
        <v>#N/A</v>
      </c>
      <c r="J5081" s="24" t="s">
        <v>3074</v>
      </c>
      <c r="K5081" s="16" t="s">
        <v>6759</v>
      </c>
      <c r="L5081" s="25"/>
      <c r="M5081" s="26" t="s">
        <v>6760</v>
      </c>
      <c r="N5081" s="28">
        <v>43473</v>
      </c>
      <c r="O5081" s="28" t="s">
        <v>461</v>
      </c>
      <c r="P5081" s="365">
        <v>12495</v>
      </c>
      <c r="Q5081" s="369">
        <v>335</v>
      </c>
      <c r="R5081" s="36">
        <f t="shared" si="112"/>
        <v>4185825</v>
      </c>
      <c r="S5081" s="37">
        <v>202303</v>
      </c>
      <c r="T5081" s="38" t="s">
        <v>6768</v>
      </c>
      <c r="U5081" s="39"/>
      <c r="V5081" s="370"/>
      <c r="W5081" s="41"/>
      <c r="X5081" s="371">
        <v>43466</v>
      </c>
      <c r="Y5081" s="371">
        <v>45657</v>
      </c>
    </row>
    <row r="5082" s="9" customFormat="1" customHeight="1" spans="1:25">
      <c r="A5082" s="16" t="s">
        <v>399</v>
      </c>
      <c r="B5082" s="17" t="s">
        <v>6236</v>
      </c>
      <c r="C5082" s="17" t="s">
        <v>63</v>
      </c>
      <c r="D5082" s="17" t="s">
        <v>6237</v>
      </c>
      <c r="E5082" s="18" t="s">
        <v>6711</v>
      </c>
      <c r="F5082" s="16" t="s">
        <v>6712</v>
      </c>
      <c r="G5082" s="16" t="s">
        <v>88</v>
      </c>
      <c r="H5082" s="19" t="s">
        <v>6755</v>
      </c>
      <c r="I5082" s="23" t="e">
        <f>VLOOKUP(H5082,'合同综合查询数据（3月返）'!$A:$A,1,FALSE)</f>
        <v>#N/A</v>
      </c>
      <c r="J5082" s="24" t="s">
        <v>3074</v>
      </c>
      <c r="K5082" s="16" t="s">
        <v>6759</v>
      </c>
      <c r="L5082" s="25"/>
      <c r="M5082" s="26" t="s">
        <v>6760</v>
      </c>
      <c r="N5082" s="28">
        <v>43474</v>
      </c>
      <c r="O5082" s="28" t="s">
        <v>461</v>
      </c>
      <c r="P5082" s="365">
        <v>12495</v>
      </c>
      <c r="Q5082" s="369">
        <v>262</v>
      </c>
      <c r="R5082" s="36">
        <f t="shared" si="112"/>
        <v>3273690</v>
      </c>
      <c r="S5082" s="37">
        <v>202303</v>
      </c>
      <c r="T5082" s="38" t="s">
        <v>6768</v>
      </c>
      <c r="U5082" s="39"/>
      <c r="V5082" s="370"/>
      <c r="W5082" s="41"/>
      <c r="X5082" s="371">
        <v>43466</v>
      </c>
      <c r="Y5082" s="371">
        <v>45657</v>
      </c>
    </row>
    <row r="5083" s="9" customFormat="1" customHeight="1" spans="1:25">
      <c r="A5083" s="16" t="s">
        <v>399</v>
      </c>
      <c r="B5083" s="17" t="s">
        <v>6236</v>
      </c>
      <c r="C5083" s="17" t="s">
        <v>63</v>
      </c>
      <c r="D5083" s="17" t="s">
        <v>6237</v>
      </c>
      <c r="E5083" s="18" t="s">
        <v>6711</v>
      </c>
      <c r="F5083" s="16" t="s">
        <v>6712</v>
      </c>
      <c r="G5083" s="16" t="s">
        <v>88</v>
      </c>
      <c r="H5083" s="19" t="s">
        <v>6755</v>
      </c>
      <c r="I5083" s="23" t="e">
        <f>VLOOKUP(H5083,'合同综合查询数据（3月返）'!$A:$A,1,FALSE)</f>
        <v>#N/A</v>
      </c>
      <c r="J5083" s="24" t="s">
        <v>3074</v>
      </c>
      <c r="K5083" s="16" t="s">
        <v>6759</v>
      </c>
      <c r="L5083" s="25"/>
      <c r="M5083" s="26" t="s">
        <v>6760</v>
      </c>
      <c r="N5083" s="28">
        <v>43475</v>
      </c>
      <c r="O5083" s="28" t="s">
        <v>461</v>
      </c>
      <c r="P5083" s="365">
        <v>12495</v>
      </c>
      <c r="Q5083" s="369">
        <v>358</v>
      </c>
      <c r="R5083" s="36">
        <f t="shared" si="112"/>
        <v>4473210</v>
      </c>
      <c r="S5083" s="37">
        <v>202303</v>
      </c>
      <c r="T5083" s="38" t="s">
        <v>6768</v>
      </c>
      <c r="U5083" s="39"/>
      <c r="V5083" s="370"/>
      <c r="W5083" s="41"/>
      <c r="X5083" s="371">
        <v>43466</v>
      </c>
      <c r="Y5083" s="371">
        <v>45657</v>
      </c>
    </row>
    <row r="5084" s="9" customFormat="1" customHeight="1" spans="1:25">
      <c r="A5084" s="16" t="s">
        <v>399</v>
      </c>
      <c r="B5084" s="17" t="s">
        <v>6236</v>
      </c>
      <c r="C5084" s="17" t="s">
        <v>63</v>
      </c>
      <c r="D5084" s="17" t="s">
        <v>6237</v>
      </c>
      <c r="E5084" s="18" t="s">
        <v>6711</v>
      </c>
      <c r="F5084" s="16" t="s">
        <v>6712</v>
      </c>
      <c r="G5084" s="16" t="s">
        <v>88</v>
      </c>
      <c r="H5084" s="19" t="s">
        <v>6755</v>
      </c>
      <c r="I5084" s="23" t="e">
        <f>VLOOKUP(H5084,'合同综合查询数据（3月返）'!$A:$A,1,FALSE)</f>
        <v>#N/A</v>
      </c>
      <c r="J5084" s="24" t="s">
        <v>3074</v>
      </c>
      <c r="K5084" s="16" t="s">
        <v>6759</v>
      </c>
      <c r="L5084" s="25"/>
      <c r="M5084" s="26" t="s">
        <v>6760</v>
      </c>
      <c r="N5084" s="28">
        <v>43476</v>
      </c>
      <c r="O5084" s="28" t="s">
        <v>461</v>
      </c>
      <c r="P5084" s="365">
        <v>12495</v>
      </c>
      <c r="Q5084" s="369">
        <v>65</v>
      </c>
      <c r="R5084" s="36">
        <f t="shared" si="112"/>
        <v>812175</v>
      </c>
      <c r="S5084" s="37">
        <v>202303</v>
      </c>
      <c r="T5084" s="38" t="s">
        <v>6768</v>
      </c>
      <c r="U5084" s="39"/>
      <c r="V5084" s="370"/>
      <c r="W5084" s="41"/>
      <c r="X5084" s="371">
        <v>43466</v>
      </c>
      <c r="Y5084" s="371">
        <v>45657</v>
      </c>
    </row>
    <row r="5085" s="9" customFormat="1" customHeight="1" spans="1:25">
      <c r="A5085" s="16" t="s">
        <v>399</v>
      </c>
      <c r="B5085" s="17" t="s">
        <v>6236</v>
      </c>
      <c r="C5085" s="17" t="s">
        <v>63</v>
      </c>
      <c r="D5085" s="17" t="s">
        <v>6237</v>
      </c>
      <c r="E5085" s="18" t="s">
        <v>6711</v>
      </c>
      <c r="F5085" s="16" t="s">
        <v>6712</v>
      </c>
      <c r="G5085" s="16" t="s">
        <v>88</v>
      </c>
      <c r="H5085" s="19" t="s">
        <v>6755</v>
      </c>
      <c r="I5085" s="23" t="e">
        <f>VLOOKUP(H5085,'合同综合查询数据（3月返）'!$A:$A,1,FALSE)</f>
        <v>#N/A</v>
      </c>
      <c r="J5085" s="24" t="s">
        <v>3074</v>
      </c>
      <c r="K5085" s="16" t="s">
        <v>6759</v>
      </c>
      <c r="L5085" s="25"/>
      <c r="M5085" s="26" t="s">
        <v>6760</v>
      </c>
      <c r="N5085" s="28">
        <v>43477</v>
      </c>
      <c r="O5085" s="28" t="s">
        <v>461</v>
      </c>
      <c r="P5085" s="365">
        <v>12495</v>
      </c>
      <c r="Q5085" s="369">
        <v>40</v>
      </c>
      <c r="R5085" s="36">
        <f t="shared" si="112"/>
        <v>499800</v>
      </c>
      <c r="S5085" s="37">
        <v>202303</v>
      </c>
      <c r="T5085" s="38" t="s">
        <v>6768</v>
      </c>
      <c r="U5085" s="39"/>
      <c r="V5085" s="370"/>
      <c r="W5085" s="41"/>
      <c r="X5085" s="371">
        <v>43466</v>
      </c>
      <c r="Y5085" s="371">
        <v>45657</v>
      </c>
    </row>
    <row r="5086" s="9" customFormat="1" customHeight="1" spans="1:25">
      <c r="A5086" s="16" t="s">
        <v>399</v>
      </c>
      <c r="B5086" s="17" t="s">
        <v>6236</v>
      </c>
      <c r="C5086" s="17" t="s">
        <v>63</v>
      </c>
      <c r="D5086" s="17" t="s">
        <v>6237</v>
      </c>
      <c r="E5086" s="18" t="s">
        <v>6711</v>
      </c>
      <c r="F5086" s="16" t="s">
        <v>6712</v>
      </c>
      <c r="G5086" s="16" t="s">
        <v>88</v>
      </c>
      <c r="H5086" s="19" t="s">
        <v>6755</v>
      </c>
      <c r="I5086" s="23" t="e">
        <f>VLOOKUP(H5086,'合同综合查询数据（3月返）'!$A:$A,1,FALSE)</f>
        <v>#N/A</v>
      </c>
      <c r="J5086" s="24" t="s">
        <v>3074</v>
      </c>
      <c r="K5086" s="16" t="s">
        <v>6759</v>
      </c>
      <c r="L5086" s="25"/>
      <c r="M5086" s="26" t="s">
        <v>6760</v>
      </c>
      <c r="N5086" s="28">
        <v>43479</v>
      </c>
      <c r="O5086" s="28" t="s">
        <v>461</v>
      </c>
      <c r="P5086" s="365">
        <v>12495</v>
      </c>
      <c r="Q5086" s="369">
        <v>23</v>
      </c>
      <c r="R5086" s="36">
        <f t="shared" si="112"/>
        <v>287385</v>
      </c>
      <c r="S5086" s="37">
        <v>202303</v>
      </c>
      <c r="T5086" s="38" t="s">
        <v>6768</v>
      </c>
      <c r="U5086" s="39"/>
      <c r="V5086" s="370"/>
      <c r="W5086" s="41"/>
      <c r="X5086" s="371">
        <v>43466</v>
      </c>
      <c r="Y5086" s="371">
        <v>45657</v>
      </c>
    </row>
    <row r="5087" s="9" customFormat="1" customHeight="1" spans="1:25">
      <c r="A5087" s="16" t="s">
        <v>399</v>
      </c>
      <c r="B5087" s="17" t="s">
        <v>6236</v>
      </c>
      <c r="C5087" s="17" t="s">
        <v>63</v>
      </c>
      <c r="D5087" s="17" t="s">
        <v>6237</v>
      </c>
      <c r="E5087" s="18" t="s">
        <v>6711</v>
      </c>
      <c r="F5087" s="16" t="s">
        <v>6712</v>
      </c>
      <c r="G5087" s="16" t="s">
        <v>88</v>
      </c>
      <c r="H5087" s="19" t="s">
        <v>6755</v>
      </c>
      <c r="I5087" s="23" t="e">
        <f>VLOOKUP(H5087,'合同综合查询数据（3月返）'!$A:$A,1,FALSE)</f>
        <v>#N/A</v>
      </c>
      <c r="J5087" s="24" t="s">
        <v>3074</v>
      </c>
      <c r="K5087" s="16" t="s">
        <v>6759</v>
      </c>
      <c r="L5087" s="25"/>
      <c r="M5087" s="26" t="s">
        <v>6760</v>
      </c>
      <c r="N5087" s="28">
        <v>43480</v>
      </c>
      <c r="O5087" s="28" t="s">
        <v>461</v>
      </c>
      <c r="P5087" s="365">
        <v>12495</v>
      </c>
      <c r="Q5087" s="369">
        <v>5</v>
      </c>
      <c r="R5087" s="36">
        <f t="shared" si="112"/>
        <v>62475</v>
      </c>
      <c r="S5087" s="37">
        <v>202303</v>
      </c>
      <c r="T5087" s="38" t="s">
        <v>6768</v>
      </c>
      <c r="U5087" s="39"/>
      <c r="V5087" s="370"/>
      <c r="W5087" s="41"/>
      <c r="X5087" s="371">
        <v>43466</v>
      </c>
      <c r="Y5087" s="371">
        <v>45657</v>
      </c>
    </row>
    <row r="5088" s="9" customFormat="1" customHeight="1" spans="1:25">
      <c r="A5088" s="16" t="s">
        <v>399</v>
      </c>
      <c r="B5088" s="17" t="s">
        <v>6236</v>
      </c>
      <c r="C5088" s="17" t="s">
        <v>63</v>
      </c>
      <c r="D5088" s="17" t="s">
        <v>6237</v>
      </c>
      <c r="E5088" s="18" t="s">
        <v>6711</v>
      </c>
      <c r="F5088" s="16" t="s">
        <v>6712</v>
      </c>
      <c r="G5088" s="16" t="s">
        <v>88</v>
      </c>
      <c r="H5088" s="19" t="s">
        <v>6755</v>
      </c>
      <c r="I5088" s="23" t="e">
        <f>VLOOKUP(H5088,'合同综合查询数据（3月返）'!$A:$A,1,FALSE)</f>
        <v>#N/A</v>
      </c>
      <c r="J5088" s="24" t="s">
        <v>3074</v>
      </c>
      <c r="K5088" s="16" t="s">
        <v>6759</v>
      </c>
      <c r="L5088" s="25"/>
      <c r="M5088" s="26" t="s">
        <v>6760</v>
      </c>
      <c r="N5088" s="28">
        <v>43485</v>
      </c>
      <c r="O5088" s="28" t="s">
        <v>461</v>
      </c>
      <c r="P5088" s="365">
        <v>12495</v>
      </c>
      <c r="Q5088" s="369">
        <v>1</v>
      </c>
      <c r="R5088" s="36">
        <f t="shared" si="112"/>
        <v>12495</v>
      </c>
      <c r="S5088" s="37">
        <v>202303</v>
      </c>
      <c r="T5088" s="38" t="s">
        <v>6768</v>
      </c>
      <c r="U5088" s="39"/>
      <c r="V5088" s="370"/>
      <c r="W5088" s="41"/>
      <c r="X5088" s="371">
        <v>43466</v>
      </c>
      <c r="Y5088" s="371">
        <v>45657</v>
      </c>
    </row>
    <row r="5089" s="9" customFormat="1" customHeight="1" spans="1:25">
      <c r="A5089" s="16" t="s">
        <v>399</v>
      </c>
      <c r="B5089" s="17" t="s">
        <v>6236</v>
      </c>
      <c r="C5089" s="17" t="s">
        <v>63</v>
      </c>
      <c r="D5089" s="17" t="s">
        <v>6237</v>
      </c>
      <c r="E5089" s="18" t="s">
        <v>6711</v>
      </c>
      <c r="F5089" s="16" t="s">
        <v>6712</v>
      </c>
      <c r="G5089" s="16" t="s">
        <v>88</v>
      </c>
      <c r="H5089" s="19" t="s">
        <v>6755</v>
      </c>
      <c r="I5089" s="23" t="e">
        <f>VLOOKUP(H5089,'合同综合查询数据（3月返）'!$A:$A,1,FALSE)</f>
        <v>#N/A</v>
      </c>
      <c r="J5089" s="24" t="s">
        <v>3074</v>
      </c>
      <c r="K5089" s="16" t="s">
        <v>6759</v>
      </c>
      <c r="L5089" s="25"/>
      <c r="M5089" s="26" t="s">
        <v>6760</v>
      </c>
      <c r="N5089" s="28">
        <v>43559</v>
      </c>
      <c r="O5089" s="28" t="s">
        <v>461</v>
      </c>
      <c r="P5089" s="365">
        <v>12495</v>
      </c>
      <c r="Q5089" s="369">
        <v>4</v>
      </c>
      <c r="R5089" s="36">
        <f t="shared" si="112"/>
        <v>49980</v>
      </c>
      <c r="S5089" s="37">
        <v>202303</v>
      </c>
      <c r="T5089" s="38" t="s">
        <v>6769</v>
      </c>
      <c r="U5089" s="39"/>
      <c r="V5089" s="370"/>
      <c r="W5089" s="41"/>
      <c r="X5089" s="371">
        <v>43466</v>
      </c>
      <c r="Y5089" s="371">
        <v>45657</v>
      </c>
    </row>
    <row r="5090" s="9" customFormat="1" customHeight="1" spans="1:25">
      <c r="A5090" s="16" t="s">
        <v>399</v>
      </c>
      <c r="B5090" s="17" t="s">
        <v>6236</v>
      </c>
      <c r="C5090" s="17" t="s">
        <v>63</v>
      </c>
      <c r="D5090" s="17" t="s">
        <v>6237</v>
      </c>
      <c r="E5090" s="18" t="s">
        <v>6711</v>
      </c>
      <c r="F5090" s="16" t="s">
        <v>6712</v>
      </c>
      <c r="G5090" s="16" t="s">
        <v>88</v>
      </c>
      <c r="H5090" s="19" t="s">
        <v>6755</v>
      </c>
      <c r="I5090" s="23" t="e">
        <f>VLOOKUP(H5090,'合同综合查询数据（3月返）'!$A:$A,1,FALSE)</f>
        <v>#N/A</v>
      </c>
      <c r="J5090" s="24" t="s">
        <v>3074</v>
      </c>
      <c r="K5090" s="16" t="s">
        <v>6759</v>
      </c>
      <c r="L5090" s="25"/>
      <c r="M5090" s="26" t="s">
        <v>6760</v>
      </c>
      <c r="N5090" s="28">
        <v>43574</v>
      </c>
      <c r="O5090" s="28" t="s">
        <v>461</v>
      </c>
      <c r="P5090" s="365">
        <v>12495</v>
      </c>
      <c r="Q5090" s="369">
        <v>4</v>
      </c>
      <c r="R5090" s="36">
        <f t="shared" si="112"/>
        <v>49980</v>
      </c>
      <c r="S5090" s="37">
        <v>202303</v>
      </c>
      <c r="T5090" s="38" t="s">
        <v>6770</v>
      </c>
      <c r="U5090" s="39"/>
      <c r="V5090" s="370"/>
      <c r="W5090" s="41"/>
      <c r="X5090" s="371">
        <v>43466</v>
      </c>
      <c r="Y5090" s="371">
        <v>45657</v>
      </c>
    </row>
    <row r="5091" s="9" customFormat="1" customHeight="1" spans="1:25">
      <c r="A5091" s="16" t="s">
        <v>399</v>
      </c>
      <c r="B5091" s="17" t="s">
        <v>6236</v>
      </c>
      <c r="C5091" s="17" t="s">
        <v>63</v>
      </c>
      <c r="D5091" s="17" t="s">
        <v>6237</v>
      </c>
      <c r="E5091" s="18" t="s">
        <v>6711</v>
      </c>
      <c r="F5091" s="16" t="s">
        <v>6712</v>
      </c>
      <c r="G5091" s="16" t="s">
        <v>88</v>
      </c>
      <c r="H5091" s="19" t="s">
        <v>6755</v>
      </c>
      <c r="I5091" s="23" t="e">
        <f>VLOOKUP(H5091,'合同综合查询数据（3月返）'!$A:$A,1,FALSE)</f>
        <v>#N/A</v>
      </c>
      <c r="J5091" s="24" t="s">
        <v>3074</v>
      </c>
      <c r="K5091" s="16" t="s">
        <v>6759</v>
      </c>
      <c r="L5091" s="25"/>
      <c r="M5091" s="26" t="s">
        <v>6760</v>
      </c>
      <c r="N5091" s="28">
        <v>43629</v>
      </c>
      <c r="O5091" s="28" t="s">
        <v>461</v>
      </c>
      <c r="P5091" s="365">
        <v>12495</v>
      </c>
      <c r="Q5091" s="369">
        <v>1</v>
      </c>
      <c r="R5091" s="36">
        <f t="shared" si="112"/>
        <v>12495</v>
      </c>
      <c r="S5091" s="37">
        <v>202303</v>
      </c>
      <c r="T5091" s="38" t="s">
        <v>6771</v>
      </c>
      <c r="U5091" s="39"/>
      <c r="V5091" s="370"/>
      <c r="W5091" s="41"/>
      <c r="X5091" s="371">
        <v>43466</v>
      </c>
      <c r="Y5091" s="371">
        <v>45657</v>
      </c>
    </row>
    <row r="5092" s="9" customFormat="1" customHeight="1" spans="1:25">
      <c r="A5092" s="16" t="s">
        <v>399</v>
      </c>
      <c r="B5092" s="17" t="s">
        <v>6236</v>
      </c>
      <c r="C5092" s="17" t="s">
        <v>63</v>
      </c>
      <c r="D5092" s="17" t="s">
        <v>6237</v>
      </c>
      <c r="E5092" s="18" t="s">
        <v>6711</v>
      </c>
      <c r="F5092" s="16" t="s">
        <v>6712</v>
      </c>
      <c r="G5092" s="16" t="s">
        <v>88</v>
      </c>
      <c r="H5092" s="19" t="s">
        <v>6755</v>
      </c>
      <c r="I5092" s="23" t="e">
        <f>VLOOKUP(H5092,'合同综合查询数据（3月返）'!$A:$A,1,FALSE)</f>
        <v>#N/A</v>
      </c>
      <c r="J5092" s="24" t="s">
        <v>3074</v>
      </c>
      <c r="K5092" s="16" t="s">
        <v>6759</v>
      </c>
      <c r="L5092" s="25"/>
      <c r="M5092" s="26" t="s">
        <v>6760</v>
      </c>
      <c r="N5092" s="28">
        <v>43630</v>
      </c>
      <c r="O5092" s="28" t="s">
        <v>461</v>
      </c>
      <c r="P5092" s="365">
        <v>12495</v>
      </c>
      <c r="Q5092" s="369">
        <v>1</v>
      </c>
      <c r="R5092" s="36">
        <f t="shared" si="112"/>
        <v>12495</v>
      </c>
      <c r="S5092" s="37">
        <v>202303</v>
      </c>
      <c r="T5092" s="38" t="s">
        <v>6772</v>
      </c>
      <c r="U5092" s="39"/>
      <c r="V5092" s="370"/>
      <c r="W5092" s="41"/>
      <c r="X5092" s="371">
        <v>43466</v>
      </c>
      <c r="Y5092" s="371">
        <v>45657</v>
      </c>
    </row>
    <row r="5093" s="9" customFormat="1" customHeight="1" spans="1:25">
      <c r="A5093" s="16" t="s">
        <v>399</v>
      </c>
      <c r="B5093" s="17" t="s">
        <v>6236</v>
      </c>
      <c r="C5093" s="17" t="s">
        <v>63</v>
      </c>
      <c r="D5093" s="17" t="s">
        <v>6237</v>
      </c>
      <c r="E5093" s="18" t="s">
        <v>6711</v>
      </c>
      <c r="F5093" s="16" t="s">
        <v>6712</v>
      </c>
      <c r="G5093" s="16" t="s">
        <v>88</v>
      </c>
      <c r="H5093" s="19" t="s">
        <v>6755</v>
      </c>
      <c r="I5093" s="23" t="e">
        <f>VLOOKUP(H5093,'合同综合查询数据（3月返）'!$A:$A,1,FALSE)</f>
        <v>#N/A</v>
      </c>
      <c r="J5093" s="24" t="s">
        <v>3074</v>
      </c>
      <c r="K5093" s="16" t="s">
        <v>6759</v>
      </c>
      <c r="L5093" s="25"/>
      <c r="M5093" s="26" t="s">
        <v>6760</v>
      </c>
      <c r="N5093" s="28">
        <v>43643</v>
      </c>
      <c r="O5093" s="28" t="s">
        <v>461</v>
      </c>
      <c r="P5093" s="365">
        <v>12495</v>
      </c>
      <c r="Q5093" s="369">
        <v>4</v>
      </c>
      <c r="R5093" s="36">
        <f t="shared" si="112"/>
        <v>49980</v>
      </c>
      <c r="S5093" s="37">
        <v>202303</v>
      </c>
      <c r="T5093" s="38" t="s">
        <v>6773</v>
      </c>
      <c r="U5093" s="39"/>
      <c r="V5093" s="370"/>
      <c r="W5093" s="41"/>
      <c r="X5093" s="371">
        <v>43466</v>
      </c>
      <c r="Y5093" s="371">
        <v>45657</v>
      </c>
    </row>
    <row r="5094" s="9" customFormat="1" customHeight="1" spans="1:25">
      <c r="A5094" s="16" t="s">
        <v>399</v>
      </c>
      <c r="B5094" s="17" t="s">
        <v>6236</v>
      </c>
      <c r="C5094" s="17" t="s">
        <v>63</v>
      </c>
      <c r="D5094" s="17" t="s">
        <v>6237</v>
      </c>
      <c r="E5094" s="18" t="s">
        <v>6711</v>
      </c>
      <c r="F5094" s="16" t="s">
        <v>6712</v>
      </c>
      <c r="G5094" s="16" t="s">
        <v>88</v>
      </c>
      <c r="H5094" s="19" t="s">
        <v>6755</v>
      </c>
      <c r="I5094" s="23" t="e">
        <f>VLOOKUP(H5094,'合同综合查询数据（3月返）'!$A:$A,1,FALSE)</f>
        <v>#N/A</v>
      </c>
      <c r="J5094" s="24" t="s">
        <v>3074</v>
      </c>
      <c r="K5094" s="16" t="s">
        <v>6759</v>
      </c>
      <c r="L5094" s="25"/>
      <c r="M5094" s="26" t="s">
        <v>6760</v>
      </c>
      <c r="N5094" s="28">
        <v>43648</v>
      </c>
      <c r="O5094" s="28" t="s">
        <v>461</v>
      </c>
      <c r="P5094" s="365">
        <v>12495</v>
      </c>
      <c r="Q5094" s="369">
        <v>82</v>
      </c>
      <c r="R5094" s="36">
        <f t="shared" si="112"/>
        <v>1024590</v>
      </c>
      <c r="S5094" s="37">
        <v>202303</v>
      </c>
      <c r="T5094" s="38" t="s">
        <v>6773</v>
      </c>
      <c r="U5094" s="39"/>
      <c r="V5094" s="370"/>
      <c r="W5094" s="41"/>
      <c r="X5094" s="371">
        <v>43466</v>
      </c>
      <c r="Y5094" s="371">
        <v>45657</v>
      </c>
    </row>
    <row r="5095" s="9" customFormat="1" customHeight="1" spans="1:25">
      <c r="A5095" s="16" t="s">
        <v>399</v>
      </c>
      <c r="B5095" s="17" t="s">
        <v>6236</v>
      </c>
      <c r="C5095" s="17" t="s">
        <v>63</v>
      </c>
      <c r="D5095" s="17" t="s">
        <v>6237</v>
      </c>
      <c r="E5095" s="18" t="s">
        <v>6711</v>
      </c>
      <c r="F5095" s="16" t="s">
        <v>6712</v>
      </c>
      <c r="G5095" s="16" t="s">
        <v>88</v>
      </c>
      <c r="H5095" s="19" t="s">
        <v>6755</v>
      </c>
      <c r="I5095" s="23" t="e">
        <f>VLOOKUP(H5095,'合同综合查询数据（3月返）'!$A:$A,1,FALSE)</f>
        <v>#N/A</v>
      </c>
      <c r="J5095" s="24" t="s">
        <v>3074</v>
      </c>
      <c r="K5095" s="16" t="s">
        <v>6759</v>
      </c>
      <c r="L5095" s="25"/>
      <c r="M5095" s="26" t="s">
        <v>6760</v>
      </c>
      <c r="N5095" s="28">
        <v>43650</v>
      </c>
      <c r="O5095" s="28" t="s">
        <v>461</v>
      </c>
      <c r="P5095" s="365">
        <v>12495</v>
      </c>
      <c r="Q5095" s="369">
        <v>10</v>
      </c>
      <c r="R5095" s="36">
        <f t="shared" si="112"/>
        <v>124950</v>
      </c>
      <c r="S5095" s="37">
        <v>202303</v>
      </c>
      <c r="T5095" s="38" t="s">
        <v>6773</v>
      </c>
      <c r="U5095" s="39"/>
      <c r="V5095" s="370"/>
      <c r="W5095" s="41"/>
      <c r="X5095" s="371">
        <v>43466</v>
      </c>
      <c r="Y5095" s="371">
        <v>45657</v>
      </c>
    </row>
    <row r="5096" s="9" customFormat="1" customHeight="1" spans="1:25">
      <c r="A5096" s="16" t="s">
        <v>399</v>
      </c>
      <c r="B5096" s="17" t="s">
        <v>6236</v>
      </c>
      <c r="C5096" s="17" t="s">
        <v>63</v>
      </c>
      <c r="D5096" s="17" t="s">
        <v>6237</v>
      </c>
      <c r="E5096" s="18" t="s">
        <v>6711</v>
      </c>
      <c r="F5096" s="16" t="s">
        <v>6712</v>
      </c>
      <c r="G5096" s="16" t="s">
        <v>88</v>
      </c>
      <c r="H5096" s="19" t="s">
        <v>6755</v>
      </c>
      <c r="I5096" s="23" t="e">
        <f>VLOOKUP(H5096,'合同综合查询数据（3月返）'!$A:$A,1,FALSE)</f>
        <v>#N/A</v>
      </c>
      <c r="J5096" s="24" t="s">
        <v>3074</v>
      </c>
      <c r="K5096" s="16" t="s">
        <v>6759</v>
      </c>
      <c r="L5096" s="25"/>
      <c r="M5096" s="26" t="s">
        <v>6760</v>
      </c>
      <c r="N5096" s="28">
        <v>43693</v>
      </c>
      <c r="O5096" s="28" t="s">
        <v>461</v>
      </c>
      <c r="P5096" s="365">
        <v>12495</v>
      </c>
      <c r="Q5096" s="369">
        <v>1</v>
      </c>
      <c r="R5096" s="36">
        <f t="shared" si="112"/>
        <v>12495</v>
      </c>
      <c r="S5096" s="37">
        <v>202303</v>
      </c>
      <c r="T5096" s="38" t="s">
        <v>6774</v>
      </c>
      <c r="U5096" s="39"/>
      <c r="V5096" s="370"/>
      <c r="W5096" s="41"/>
      <c r="X5096" s="371">
        <v>43466</v>
      </c>
      <c r="Y5096" s="371">
        <v>45657</v>
      </c>
    </row>
    <row r="5097" s="9" customFormat="1" customHeight="1" spans="1:25">
      <c r="A5097" s="16" t="s">
        <v>399</v>
      </c>
      <c r="B5097" s="17" t="s">
        <v>6236</v>
      </c>
      <c r="C5097" s="17" t="s">
        <v>63</v>
      </c>
      <c r="D5097" s="17" t="s">
        <v>6237</v>
      </c>
      <c r="E5097" s="18" t="s">
        <v>6711</v>
      </c>
      <c r="F5097" s="16" t="s">
        <v>6712</v>
      </c>
      <c r="G5097" s="16" t="s">
        <v>88</v>
      </c>
      <c r="H5097" s="19" t="s">
        <v>6755</v>
      </c>
      <c r="I5097" s="23" t="e">
        <f>VLOOKUP(H5097,'合同综合查询数据（3月返）'!$A:$A,1,FALSE)</f>
        <v>#N/A</v>
      </c>
      <c r="J5097" s="24" t="s">
        <v>3074</v>
      </c>
      <c r="K5097" s="16" t="s">
        <v>6759</v>
      </c>
      <c r="L5097" s="25"/>
      <c r="M5097" s="26" t="s">
        <v>6760</v>
      </c>
      <c r="N5097" s="28">
        <v>43712</v>
      </c>
      <c r="O5097" s="28" t="s">
        <v>461</v>
      </c>
      <c r="P5097" s="365">
        <v>12495</v>
      </c>
      <c r="Q5097" s="369">
        <v>52</v>
      </c>
      <c r="R5097" s="36">
        <f t="shared" si="112"/>
        <v>649740</v>
      </c>
      <c r="S5097" s="37">
        <v>202303</v>
      </c>
      <c r="T5097" s="38" t="s">
        <v>6325</v>
      </c>
      <c r="U5097" s="39"/>
      <c r="V5097" s="370"/>
      <c r="W5097" s="41"/>
      <c r="X5097" s="371">
        <v>43466</v>
      </c>
      <c r="Y5097" s="371">
        <v>45657</v>
      </c>
    </row>
    <row r="5098" s="9" customFormat="1" customHeight="1" spans="1:25">
      <c r="A5098" s="16" t="s">
        <v>399</v>
      </c>
      <c r="B5098" s="17" t="s">
        <v>6236</v>
      </c>
      <c r="C5098" s="17" t="s">
        <v>63</v>
      </c>
      <c r="D5098" s="17" t="s">
        <v>6237</v>
      </c>
      <c r="E5098" s="18" t="s">
        <v>6711</v>
      </c>
      <c r="F5098" s="16" t="s">
        <v>6712</v>
      </c>
      <c r="G5098" s="16" t="s">
        <v>88</v>
      </c>
      <c r="H5098" s="19" t="s">
        <v>6755</v>
      </c>
      <c r="I5098" s="23" t="e">
        <f>VLOOKUP(H5098,'合同综合查询数据（3月返）'!$A:$A,1,FALSE)</f>
        <v>#N/A</v>
      </c>
      <c r="J5098" s="24" t="s">
        <v>3074</v>
      </c>
      <c r="K5098" s="16" t="s">
        <v>6759</v>
      </c>
      <c r="L5098" s="25"/>
      <c r="M5098" s="26" t="s">
        <v>6760</v>
      </c>
      <c r="N5098" s="28">
        <v>43758</v>
      </c>
      <c r="O5098" s="28" t="s">
        <v>461</v>
      </c>
      <c r="P5098" s="365">
        <v>12495</v>
      </c>
      <c r="Q5098" s="369">
        <v>18</v>
      </c>
      <c r="R5098" s="36">
        <f t="shared" si="112"/>
        <v>224910</v>
      </c>
      <c r="S5098" s="37">
        <v>202303</v>
      </c>
      <c r="T5098" s="38" t="s">
        <v>6775</v>
      </c>
      <c r="U5098" s="39"/>
      <c r="V5098" s="370"/>
      <c r="W5098" s="41"/>
      <c r="X5098" s="371">
        <v>43466</v>
      </c>
      <c r="Y5098" s="371">
        <v>45657</v>
      </c>
    </row>
    <row r="5099" s="9" customFormat="1" customHeight="1" spans="1:25">
      <c r="A5099" s="16" t="s">
        <v>399</v>
      </c>
      <c r="B5099" s="17" t="s">
        <v>6236</v>
      </c>
      <c r="C5099" s="17" t="s">
        <v>63</v>
      </c>
      <c r="D5099" s="17" t="s">
        <v>6237</v>
      </c>
      <c r="E5099" s="18" t="s">
        <v>6711</v>
      </c>
      <c r="F5099" s="16" t="s">
        <v>6712</v>
      </c>
      <c r="G5099" s="16" t="s">
        <v>88</v>
      </c>
      <c r="H5099" s="19" t="s">
        <v>6755</v>
      </c>
      <c r="I5099" s="23" t="e">
        <f>VLOOKUP(H5099,'合同综合查询数据（3月返）'!$A:$A,1,FALSE)</f>
        <v>#N/A</v>
      </c>
      <c r="J5099" s="24" t="s">
        <v>3074</v>
      </c>
      <c r="K5099" s="16" t="s">
        <v>6759</v>
      </c>
      <c r="L5099" s="25"/>
      <c r="M5099" s="26" t="s">
        <v>6760</v>
      </c>
      <c r="N5099" s="28">
        <v>43804</v>
      </c>
      <c r="O5099" s="28" t="s">
        <v>461</v>
      </c>
      <c r="P5099" s="365">
        <v>12495</v>
      </c>
      <c r="Q5099" s="369">
        <v>18</v>
      </c>
      <c r="R5099" s="36">
        <f t="shared" si="112"/>
        <v>224910</v>
      </c>
      <c r="S5099" s="37">
        <v>202303</v>
      </c>
      <c r="T5099" s="38" t="s">
        <v>6776</v>
      </c>
      <c r="U5099" s="39"/>
      <c r="V5099" s="370"/>
      <c r="W5099" s="41"/>
      <c r="X5099" s="371">
        <v>43466</v>
      </c>
      <c r="Y5099" s="371">
        <v>45657</v>
      </c>
    </row>
    <row r="5100" s="9" customFormat="1" customHeight="1" spans="1:25">
      <c r="A5100" s="16" t="s">
        <v>399</v>
      </c>
      <c r="B5100" s="17" t="s">
        <v>6236</v>
      </c>
      <c r="C5100" s="17" t="s">
        <v>63</v>
      </c>
      <c r="D5100" s="17" t="s">
        <v>6237</v>
      </c>
      <c r="E5100" s="18" t="s">
        <v>6711</v>
      </c>
      <c r="F5100" s="16" t="s">
        <v>6712</v>
      </c>
      <c r="G5100" s="16" t="s">
        <v>88</v>
      </c>
      <c r="H5100" s="19" t="s">
        <v>6755</v>
      </c>
      <c r="I5100" s="23" t="e">
        <f>VLOOKUP(H5100,'合同综合查询数据（3月返）'!$A:$A,1,FALSE)</f>
        <v>#N/A</v>
      </c>
      <c r="J5100" s="24" t="s">
        <v>3074</v>
      </c>
      <c r="K5100" s="16" t="s">
        <v>6759</v>
      </c>
      <c r="L5100" s="25"/>
      <c r="M5100" s="26" t="s">
        <v>6760</v>
      </c>
      <c r="N5100" s="28">
        <v>43804</v>
      </c>
      <c r="O5100" s="28" t="s">
        <v>457</v>
      </c>
      <c r="P5100" s="365">
        <v>6510</v>
      </c>
      <c r="Q5100" s="369">
        <v>13</v>
      </c>
      <c r="R5100" s="36">
        <f t="shared" si="112"/>
        <v>84630</v>
      </c>
      <c r="S5100" s="37">
        <v>202303</v>
      </c>
      <c r="T5100" s="38" t="s">
        <v>6777</v>
      </c>
      <c r="U5100" s="39"/>
      <c r="V5100" s="370"/>
      <c r="W5100" s="41"/>
      <c r="X5100" s="371">
        <v>43466</v>
      </c>
      <c r="Y5100" s="371">
        <v>45657</v>
      </c>
    </row>
    <row r="5101" s="9" customFormat="1" customHeight="1" spans="1:25">
      <c r="A5101" s="16" t="s">
        <v>399</v>
      </c>
      <c r="B5101" s="17" t="s">
        <v>6236</v>
      </c>
      <c r="C5101" s="17" t="s">
        <v>63</v>
      </c>
      <c r="D5101" s="17" t="s">
        <v>6237</v>
      </c>
      <c r="E5101" s="18" t="s">
        <v>6711</v>
      </c>
      <c r="F5101" s="16" t="s">
        <v>6712</v>
      </c>
      <c r="G5101" s="16" t="s">
        <v>88</v>
      </c>
      <c r="H5101" s="19" t="s">
        <v>6755</v>
      </c>
      <c r="I5101" s="23" t="e">
        <f>VLOOKUP(H5101,'合同综合查询数据（3月返）'!$A:$A,1,FALSE)</f>
        <v>#N/A</v>
      </c>
      <c r="J5101" s="24" t="s">
        <v>3074</v>
      </c>
      <c r="K5101" s="16" t="s">
        <v>6759</v>
      </c>
      <c r="L5101" s="25"/>
      <c r="M5101" s="26" t="s">
        <v>6760</v>
      </c>
      <c r="N5101" s="28">
        <v>43797</v>
      </c>
      <c r="O5101" s="28" t="s">
        <v>457</v>
      </c>
      <c r="P5101" s="365">
        <v>6510</v>
      </c>
      <c r="Q5101" s="369">
        <v>3</v>
      </c>
      <c r="R5101" s="36">
        <f t="shared" si="112"/>
        <v>19530</v>
      </c>
      <c r="S5101" s="37">
        <v>202303</v>
      </c>
      <c r="T5101" s="38" t="s">
        <v>6778</v>
      </c>
      <c r="U5101" s="39"/>
      <c r="V5101" s="370"/>
      <c r="W5101" s="41"/>
      <c r="X5101" s="371">
        <v>43466</v>
      </c>
      <c r="Y5101" s="371">
        <v>45657</v>
      </c>
    </row>
    <row r="5102" s="9" customFormat="1" customHeight="1" spans="1:25">
      <c r="A5102" s="16" t="s">
        <v>399</v>
      </c>
      <c r="B5102" s="17" t="s">
        <v>6236</v>
      </c>
      <c r="C5102" s="17" t="s">
        <v>63</v>
      </c>
      <c r="D5102" s="17" t="s">
        <v>6237</v>
      </c>
      <c r="E5102" s="18" t="s">
        <v>6711</v>
      </c>
      <c r="F5102" s="16" t="s">
        <v>6712</v>
      </c>
      <c r="G5102" s="16" t="s">
        <v>88</v>
      </c>
      <c r="H5102" s="19" t="s">
        <v>6755</v>
      </c>
      <c r="I5102" s="23" t="e">
        <f>VLOOKUP(H5102,'合同综合查询数据（3月返）'!$A:$A,1,FALSE)</f>
        <v>#N/A</v>
      </c>
      <c r="J5102" s="24" t="s">
        <v>3074</v>
      </c>
      <c r="K5102" s="16" t="s">
        <v>6759</v>
      </c>
      <c r="L5102" s="25"/>
      <c r="M5102" s="26" t="s">
        <v>6760</v>
      </c>
      <c r="N5102" s="28">
        <v>43798</v>
      </c>
      <c r="O5102" s="28" t="s">
        <v>457</v>
      </c>
      <c r="P5102" s="365">
        <v>6510</v>
      </c>
      <c r="Q5102" s="369">
        <v>5</v>
      </c>
      <c r="R5102" s="36">
        <f>ROUND(P5102*Q5102,2)</f>
        <v>32550</v>
      </c>
      <c r="S5102" s="37">
        <v>202303</v>
      </c>
      <c r="T5102" s="38" t="s">
        <v>6778</v>
      </c>
      <c r="U5102" s="39"/>
      <c r="V5102" s="370"/>
      <c r="W5102" s="41"/>
      <c r="X5102" s="371">
        <v>43466</v>
      </c>
      <c r="Y5102" s="371">
        <v>45657</v>
      </c>
    </row>
    <row r="5103" s="9" customFormat="1" customHeight="1" spans="1:25">
      <c r="A5103" s="16" t="s">
        <v>399</v>
      </c>
      <c r="B5103" s="17" t="s">
        <v>6236</v>
      </c>
      <c r="C5103" s="17" t="s">
        <v>63</v>
      </c>
      <c r="D5103" s="17" t="s">
        <v>6237</v>
      </c>
      <c r="E5103" s="18" t="s">
        <v>6711</v>
      </c>
      <c r="F5103" s="16" t="s">
        <v>6712</v>
      </c>
      <c r="G5103" s="16" t="s">
        <v>88</v>
      </c>
      <c r="H5103" s="19" t="s">
        <v>6755</v>
      </c>
      <c r="I5103" s="23" t="e">
        <f>VLOOKUP(H5103,'合同综合查询数据（3月返）'!$A:$A,1,FALSE)</f>
        <v>#N/A</v>
      </c>
      <c r="J5103" s="24" t="s">
        <v>3074</v>
      </c>
      <c r="K5103" s="16" t="s">
        <v>6759</v>
      </c>
      <c r="L5103" s="25"/>
      <c r="M5103" s="26" t="s">
        <v>6760</v>
      </c>
      <c r="N5103" s="28" t="s">
        <v>6779</v>
      </c>
      <c r="O5103" s="28" t="s">
        <v>457</v>
      </c>
      <c r="P5103" s="365">
        <v>6510</v>
      </c>
      <c r="Q5103" s="369">
        <v>-7</v>
      </c>
      <c r="R5103" s="36">
        <f>ROUND(P5103*Q5103,2)</f>
        <v>-45570</v>
      </c>
      <c r="S5103" s="37">
        <v>202303</v>
      </c>
      <c r="T5103" s="38" t="s">
        <v>6780</v>
      </c>
      <c r="U5103" s="39"/>
      <c r="V5103" s="370"/>
      <c r="W5103" s="41"/>
      <c r="X5103" s="371">
        <v>43466</v>
      </c>
      <c r="Y5103" s="371">
        <v>45657</v>
      </c>
    </row>
    <row r="5104" s="9" customFormat="1" customHeight="1" spans="1:25">
      <c r="A5104" s="16" t="s">
        <v>399</v>
      </c>
      <c r="B5104" s="17" t="s">
        <v>6236</v>
      </c>
      <c r="C5104" s="17" t="s">
        <v>63</v>
      </c>
      <c r="D5104" s="17" t="s">
        <v>6237</v>
      </c>
      <c r="E5104" s="18" t="s">
        <v>6711</v>
      </c>
      <c r="F5104" s="16" t="s">
        <v>6712</v>
      </c>
      <c r="G5104" s="16" t="s">
        <v>88</v>
      </c>
      <c r="H5104" s="19" t="s">
        <v>6781</v>
      </c>
      <c r="I5104" s="23" t="e">
        <f>VLOOKUP(H5104,'合同综合查询数据（3月返）'!$A:$A,1,FALSE)</f>
        <v>#N/A</v>
      </c>
      <c r="J5104" s="24" t="s">
        <v>3074</v>
      </c>
      <c r="K5104" s="16" t="s">
        <v>6759</v>
      </c>
      <c r="L5104" s="25"/>
      <c r="M5104" s="26" t="s">
        <v>6760</v>
      </c>
      <c r="N5104" s="28">
        <v>43805</v>
      </c>
      <c r="O5104" s="17" t="s">
        <v>461</v>
      </c>
      <c r="P5104" s="29">
        <v>7300</v>
      </c>
      <c r="Q5104" s="369">
        <v>10</v>
      </c>
      <c r="R5104" s="173">
        <f>ROUND(P5104*Q5104,2)</f>
        <v>73000</v>
      </c>
      <c r="S5104" s="37">
        <v>202303</v>
      </c>
      <c r="T5104" s="393" t="s">
        <v>6782</v>
      </c>
      <c r="U5104" s="39"/>
      <c r="V5104" s="370"/>
      <c r="W5104" s="41"/>
      <c r="X5104" s="371">
        <v>44287</v>
      </c>
      <c r="Y5104" s="371">
        <v>45657</v>
      </c>
    </row>
    <row r="5105" s="9" customFormat="1" customHeight="1" spans="1:25">
      <c r="A5105" s="16" t="s">
        <v>399</v>
      </c>
      <c r="B5105" s="17" t="s">
        <v>6236</v>
      </c>
      <c r="C5105" s="17" t="s">
        <v>63</v>
      </c>
      <c r="D5105" s="17" t="s">
        <v>6237</v>
      </c>
      <c r="E5105" s="18" t="s">
        <v>6711</v>
      </c>
      <c r="F5105" s="16" t="s">
        <v>6712</v>
      </c>
      <c r="G5105" s="16" t="s">
        <v>88</v>
      </c>
      <c r="H5105" s="19" t="s">
        <v>6755</v>
      </c>
      <c r="I5105" s="23" t="e">
        <f>VLOOKUP(H5105,'合同综合查询数据（3月返）'!$A:$A,1,FALSE)</f>
        <v>#N/A</v>
      </c>
      <c r="J5105" s="24" t="s">
        <v>3074</v>
      </c>
      <c r="K5105" s="16" t="s">
        <v>6759</v>
      </c>
      <c r="L5105" s="25"/>
      <c r="M5105" s="26" t="s">
        <v>6760</v>
      </c>
      <c r="N5105" s="28">
        <v>44077</v>
      </c>
      <c r="O5105" s="17" t="s">
        <v>457</v>
      </c>
      <c r="P5105" s="29">
        <v>6510</v>
      </c>
      <c r="Q5105" s="369">
        <v>-7</v>
      </c>
      <c r="R5105" s="36">
        <f>ROUND(P5105*Q5105,2)</f>
        <v>-45570</v>
      </c>
      <c r="S5105" s="37">
        <v>202303</v>
      </c>
      <c r="T5105" s="393" t="s">
        <v>6783</v>
      </c>
      <c r="U5105" s="39"/>
      <c r="V5105" s="370"/>
      <c r="W5105" s="41"/>
      <c r="X5105" s="371">
        <v>43466</v>
      </c>
      <c r="Y5105" s="371">
        <v>45657</v>
      </c>
    </row>
    <row r="5106" s="9" customFormat="1" customHeight="1" spans="1:25">
      <c r="A5106" s="16" t="s">
        <v>399</v>
      </c>
      <c r="B5106" s="17" t="s">
        <v>6236</v>
      </c>
      <c r="C5106" s="17" t="s">
        <v>63</v>
      </c>
      <c r="D5106" s="17" t="s">
        <v>6237</v>
      </c>
      <c r="E5106" s="18" t="s">
        <v>6711</v>
      </c>
      <c r="F5106" s="16" t="s">
        <v>6712</v>
      </c>
      <c r="G5106" s="16" t="s">
        <v>88</v>
      </c>
      <c r="H5106" s="19" t="s">
        <v>6755</v>
      </c>
      <c r="I5106" s="23" t="e">
        <f>VLOOKUP(H5106,'合同综合查询数据（3月返）'!$A:$A,1,FALSE)</f>
        <v>#N/A</v>
      </c>
      <c r="J5106" s="24" t="s">
        <v>3074</v>
      </c>
      <c r="K5106" s="16" t="s">
        <v>6759</v>
      </c>
      <c r="L5106" s="25"/>
      <c r="M5106" s="26" t="s">
        <v>6760</v>
      </c>
      <c r="N5106" s="28">
        <v>44095</v>
      </c>
      <c r="O5106" s="17" t="s">
        <v>461</v>
      </c>
      <c r="P5106" s="29">
        <v>12495</v>
      </c>
      <c r="Q5106" s="369">
        <v>-6</v>
      </c>
      <c r="R5106" s="36">
        <f>ROUND(P5106*Q5106,2)</f>
        <v>-74970</v>
      </c>
      <c r="S5106" s="37">
        <v>202303</v>
      </c>
      <c r="T5106" s="393" t="s">
        <v>6784</v>
      </c>
      <c r="U5106" s="39"/>
      <c r="V5106" s="370"/>
      <c r="W5106" s="41"/>
      <c r="X5106" s="371">
        <v>43466</v>
      </c>
      <c r="Y5106" s="371">
        <v>45657</v>
      </c>
    </row>
    <row r="5107" s="9" customFormat="1" customHeight="1" spans="1:25">
      <c r="A5107" s="16" t="s">
        <v>399</v>
      </c>
      <c r="B5107" s="17" t="s">
        <v>6236</v>
      </c>
      <c r="C5107" s="17" t="s">
        <v>63</v>
      </c>
      <c r="D5107" s="17" t="s">
        <v>6237</v>
      </c>
      <c r="E5107" s="18" t="s">
        <v>6711</v>
      </c>
      <c r="F5107" s="16" t="s">
        <v>6712</v>
      </c>
      <c r="G5107" s="16" t="s">
        <v>88</v>
      </c>
      <c r="H5107" s="19" t="s">
        <v>6755</v>
      </c>
      <c r="I5107" s="23" t="e">
        <f>VLOOKUP(H5107,'合同综合查询数据（3月返）'!$A:$A,1,FALSE)</f>
        <v>#N/A</v>
      </c>
      <c r="J5107" s="24" t="s">
        <v>3074</v>
      </c>
      <c r="K5107" s="16" t="s">
        <v>6759</v>
      </c>
      <c r="L5107" s="25"/>
      <c r="M5107" s="26" t="s">
        <v>6760</v>
      </c>
      <c r="N5107" s="28">
        <v>44167</v>
      </c>
      <c r="O5107" s="17" t="s">
        <v>457</v>
      </c>
      <c r="P5107" s="29">
        <v>6510</v>
      </c>
      <c r="Q5107" s="369">
        <v>2</v>
      </c>
      <c r="R5107" s="173">
        <f>ROUND(Q5107*P5107,2)</f>
        <v>13020</v>
      </c>
      <c r="S5107" s="37">
        <v>202303</v>
      </c>
      <c r="T5107" s="393" t="s">
        <v>6785</v>
      </c>
      <c r="U5107" s="39"/>
      <c r="V5107" s="370"/>
      <c r="W5107" s="41"/>
      <c r="X5107" s="371">
        <v>43466</v>
      </c>
      <c r="Y5107" s="371">
        <v>45657</v>
      </c>
    </row>
    <row r="5108" s="9" customFormat="1" customHeight="1" spans="1:25">
      <c r="A5108" s="16" t="s">
        <v>399</v>
      </c>
      <c r="B5108" s="17" t="s">
        <v>6236</v>
      </c>
      <c r="C5108" s="17" t="s">
        <v>63</v>
      </c>
      <c r="D5108" s="17" t="s">
        <v>6237</v>
      </c>
      <c r="E5108" s="18" t="s">
        <v>6711</v>
      </c>
      <c r="F5108" s="16" t="s">
        <v>6712</v>
      </c>
      <c r="G5108" s="16" t="s">
        <v>88</v>
      </c>
      <c r="H5108" s="19" t="s">
        <v>6755</v>
      </c>
      <c r="I5108" s="23" t="e">
        <f>VLOOKUP(H5108,'合同综合查询数据（3月返）'!$A:$A,1,FALSE)</f>
        <v>#N/A</v>
      </c>
      <c r="J5108" s="24" t="s">
        <v>3074</v>
      </c>
      <c r="K5108" s="16" t="s">
        <v>6759</v>
      </c>
      <c r="L5108" s="25"/>
      <c r="M5108" s="26" t="s">
        <v>6760</v>
      </c>
      <c r="N5108" s="28">
        <v>44190</v>
      </c>
      <c r="O5108" s="17" t="s">
        <v>461</v>
      </c>
      <c r="P5108" s="29">
        <v>12495</v>
      </c>
      <c r="Q5108" s="369">
        <v>6</v>
      </c>
      <c r="R5108" s="173">
        <f>ROUND(Q5108*P5108,2)</f>
        <v>74970</v>
      </c>
      <c r="S5108" s="37">
        <v>202303</v>
      </c>
      <c r="T5108" s="393" t="s">
        <v>6786</v>
      </c>
      <c r="U5108" s="39"/>
      <c r="V5108" s="370"/>
      <c r="W5108" s="41"/>
      <c r="X5108" s="371">
        <v>43466</v>
      </c>
      <c r="Y5108" s="371">
        <v>45657</v>
      </c>
    </row>
    <row r="5109" s="9" customFormat="1" customHeight="1" spans="1:25">
      <c r="A5109" s="16" t="s">
        <v>399</v>
      </c>
      <c r="B5109" s="17" t="s">
        <v>6236</v>
      </c>
      <c r="C5109" s="17" t="s">
        <v>63</v>
      </c>
      <c r="D5109" s="17" t="s">
        <v>6237</v>
      </c>
      <c r="E5109" s="18" t="s">
        <v>6711</v>
      </c>
      <c r="F5109" s="16" t="s">
        <v>6712</v>
      </c>
      <c r="G5109" s="16" t="s">
        <v>88</v>
      </c>
      <c r="H5109" s="19" t="s">
        <v>6755</v>
      </c>
      <c r="I5109" s="23" t="e">
        <f>VLOOKUP(H5109,'合同综合查询数据（3月返）'!$A:$A,1,FALSE)</f>
        <v>#N/A</v>
      </c>
      <c r="J5109" s="24" t="s">
        <v>3074</v>
      </c>
      <c r="K5109" s="16" t="s">
        <v>6759</v>
      </c>
      <c r="L5109" s="25"/>
      <c r="M5109" s="26" t="s">
        <v>6760</v>
      </c>
      <c r="N5109" s="28">
        <v>44274</v>
      </c>
      <c r="O5109" s="17" t="s">
        <v>457</v>
      </c>
      <c r="P5109" s="29">
        <v>6510</v>
      </c>
      <c r="Q5109" s="369">
        <v>3</v>
      </c>
      <c r="R5109" s="173">
        <f>ROUND(Q5109*P5109,2)</f>
        <v>19530</v>
      </c>
      <c r="S5109" s="37">
        <v>202303</v>
      </c>
      <c r="T5109" s="393" t="s">
        <v>6787</v>
      </c>
      <c r="U5109" s="39"/>
      <c r="V5109" s="370"/>
      <c r="W5109" s="41"/>
      <c r="X5109" s="371">
        <v>43466</v>
      </c>
      <c r="Y5109" s="371">
        <v>45657</v>
      </c>
    </row>
    <row r="5110" s="9" customFormat="1" customHeight="1" spans="1:25">
      <c r="A5110" s="16" t="s">
        <v>399</v>
      </c>
      <c r="B5110" s="17" t="s">
        <v>6236</v>
      </c>
      <c r="C5110" s="17" t="s">
        <v>63</v>
      </c>
      <c r="D5110" s="17" t="s">
        <v>6237</v>
      </c>
      <c r="E5110" s="18" t="s">
        <v>6711</v>
      </c>
      <c r="F5110" s="16" t="s">
        <v>6712</v>
      </c>
      <c r="G5110" s="16" t="s">
        <v>88</v>
      </c>
      <c r="H5110" s="19" t="s">
        <v>6755</v>
      </c>
      <c r="I5110" s="23" t="e">
        <f>VLOOKUP(H5110,'合同综合查询数据（3月返）'!$A:$A,1,FALSE)</f>
        <v>#N/A</v>
      </c>
      <c r="J5110" s="24" t="s">
        <v>3074</v>
      </c>
      <c r="K5110" s="16" t="s">
        <v>6759</v>
      </c>
      <c r="L5110" s="25"/>
      <c r="M5110" s="26" t="s">
        <v>6760</v>
      </c>
      <c r="N5110" s="28">
        <v>44284</v>
      </c>
      <c r="O5110" s="17" t="s">
        <v>461</v>
      </c>
      <c r="P5110" s="29">
        <v>12495</v>
      </c>
      <c r="Q5110" s="369">
        <v>1</v>
      </c>
      <c r="R5110" s="173">
        <f>ROUND(Q5110*P5110,2)</f>
        <v>12495</v>
      </c>
      <c r="S5110" s="37">
        <v>202303</v>
      </c>
      <c r="T5110" s="393" t="s">
        <v>6788</v>
      </c>
      <c r="U5110" s="39"/>
      <c r="V5110" s="370"/>
      <c r="W5110" s="41"/>
      <c r="X5110" s="371">
        <v>43466</v>
      </c>
      <c r="Y5110" s="371">
        <v>45657</v>
      </c>
    </row>
    <row r="5111" s="9" customFormat="1" customHeight="1" spans="1:25">
      <c r="A5111" s="16" t="s">
        <v>399</v>
      </c>
      <c r="B5111" s="17" t="s">
        <v>6236</v>
      </c>
      <c r="C5111" s="17" t="s">
        <v>63</v>
      </c>
      <c r="D5111" s="17" t="s">
        <v>6237</v>
      </c>
      <c r="E5111" s="18" t="s">
        <v>6711</v>
      </c>
      <c r="F5111" s="16" t="s">
        <v>6712</v>
      </c>
      <c r="G5111" s="16" t="s">
        <v>88</v>
      </c>
      <c r="H5111" s="19" t="s">
        <v>6755</v>
      </c>
      <c r="I5111" s="23" t="e">
        <f>VLOOKUP(H5111,'合同综合查询数据（3月返）'!$A:$A,1,FALSE)</f>
        <v>#N/A</v>
      </c>
      <c r="J5111" s="24" t="s">
        <v>3074</v>
      </c>
      <c r="K5111" s="16" t="s">
        <v>6759</v>
      </c>
      <c r="L5111" s="25"/>
      <c r="M5111" s="26" t="s">
        <v>6760</v>
      </c>
      <c r="N5111" s="28">
        <v>44487.4461689815</v>
      </c>
      <c r="O5111" s="17" t="s">
        <v>457</v>
      </c>
      <c r="P5111" s="29">
        <v>6510</v>
      </c>
      <c r="Q5111" s="369">
        <v>-6</v>
      </c>
      <c r="R5111" s="36">
        <f>ROUND(P5111*Q5111,2)</f>
        <v>-39060</v>
      </c>
      <c r="S5111" s="37">
        <v>202303</v>
      </c>
      <c r="T5111" s="393" t="s">
        <v>6789</v>
      </c>
      <c r="U5111" s="39"/>
      <c r="V5111" s="370"/>
      <c r="W5111" s="41"/>
      <c r="X5111" s="371">
        <v>43466</v>
      </c>
      <c r="Y5111" s="371">
        <v>45657</v>
      </c>
    </row>
    <row r="5112" s="9" customFormat="1" customHeight="1" spans="1:25">
      <c r="A5112" s="16" t="s">
        <v>399</v>
      </c>
      <c r="B5112" s="17" t="s">
        <v>6236</v>
      </c>
      <c r="C5112" s="17" t="s">
        <v>63</v>
      </c>
      <c r="D5112" s="17" t="s">
        <v>6237</v>
      </c>
      <c r="E5112" s="18" t="s">
        <v>6711</v>
      </c>
      <c r="F5112" s="16" t="s">
        <v>6712</v>
      </c>
      <c r="G5112" s="16" t="s">
        <v>88</v>
      </c>
      <c r="H5112" s="19" t="s">
        <v>6781</v>
      </c>
      <c r="I5112" s="23" t="e">
        <f>VLOOKUP(H5112,'合同综合查询数据（3月返）'!$A:$A,1,FALSE)</f>
        <v>#N/A</v>
      </c>
      <c r="J5112" s="24" t="s">
        <v>3074</v>
      </c>
      <c r="K5112" s="16" t="s">
        <v>6759</v>
      </c>
      <c r="L5112" s="25"/>
      <c r="M5112" s="26" t="s">
        <v>6760</v>
      </c>
      <c r="N5112" s="28">
        <v>44284</v>
      </c>
      <c r="O5112" s="17" t="s">
        <v>461</v>
      </c>
      <c r="P5112" s="29">
        <v>7300</v>
      </c>
      <c r="Q5112" s="369">
        <v>14</v>
      </c>
      <c r="R5112" s="173">
        <f>ROUND(Q5112*P5112,2)</f>
        <v>102200</v>
      </c>
      <c r="S5112" s="37">
        <v>202303</v>
      </c>
      <c r="T5112" s="393" t="s">
        <v>6790</v>
      </c>
      <c r="U5112" s="39"/>
      <c r="V5112" s="370"/>
      <c r="W5112" s="41"/>
      <c r="X5112" s="371">
        <v>44287</v>
      </c>
      <c r="Y5112" s="371">
        <v>45657</v>
      </c>
    </row>
    <row r="5113" s="9" customFormat="1" customHeight="1" spans="1:25">
      <c r="A5113" s="16" t="s">
        <v>399</v>
      </c>
      <c r="B5113" s="17" t="s">
        <v>6236</v>
      </c>
      <c r="C5113" s="17" t="s">
        <v>63</v>
      </c>
      <c r="D5113" s="17" t="s">
        <v>6237</v>
      </c>
      <c r="E5113" s="18" t="s">
        <v>6711</v>
      </c>
      <c r="F5113" s="16" t="s">
        <v>6712</v>
      </c>
      <c r="G5113" s="16" t="s">
        <v>88</v>
      </c>
      <c r="H5113" s="19" t="s">
        <v>6755</v>
      </c>
      <c r="I5113" s="23" t="e">
        <f>VLOOKUP(H5113,'合同综合查询数据（3月返）'!$A:$A,1,FALSE)</f>
        <v>#N/A</v>
      </c>
      <c r="J5113" s="24" t="s">
        <v>3074</v>
      </c>
      <c r="K5113" s="16" t="s">
        <v>6759</v>
      </c>
      <c r="L5113" s="25"/>
      <c r="M5113" s="26" t="s">
        <v>6760</v>
      </c>
      <c r="N5113" s="28">
        <v>44707</v>
      </c>
      <c r="O5113" s="17" t="s">
        <v>461</v>
      </c>
      <c r="P5113" s="29">
        <v>12495</v>
      </c>
      <c r="Q5113" s="369">
        <v>-3</v>
      </c>
      <c r="R5113" s="173">
        <f>ROUND(Q5113*P5113,2)</f>
        <v>-37485</v>
      </c>
      <c r="S5113" s="37">
        <v>202303</v>
      </c>
      <c r="T5113" s="393" t="s">
        <v>6791</v>
      </c>
      <c r="U5113" s="39"/>
      <c r="V5113" s="370"/>
      <c r="W5113" s="41"/>
      <c r="X5113" s="371">
        <v>43466</v>
      </c>
      <c r="Y5113" s="371">
        <v>45657</v>
      </c>
    </row>
    <row r="5114" s="10" customFormat="1" customHeight="1" spans="1:25">
      <c r="A5114" s="42" t="s">
        <v>399</v>
      </c>
      <c r="B5114" s="43" t="s">
        <v>6236</v>
      </c>
      <c r="C5114" s="43" t="s">
        <v>63</v>
      </c>
      <c r="D5114" s="43" t="s">
        <v>6237</v>
      </c>
      <c r="E5114" s="44" t="s">
        <v>6711</v>
      </c>
      <c r="F5114" s="42" t="s">
        <v>6712</v>
      </c>
      <c r="G5114" s="42" t="s">
        <v>88</v>
      </c>
      <c r="H5114" s="45" t="s">
        <v>6792</v>
      </c>
      <c r="I5114" s="47" t="e">
        <f>VLOOKUP(H5114,'合同综合查询数据（3月返）'!$A:$A,1,FALSE)</f>
        <v>#N/A</v>
      </c>
      <c r="J5114" s="48" t="s">
        <v>3074</v>
      </c>
      <c r="K5114" s="42" t="s">
        <v>6759</v>
      </c>
      <c r="L5114" s="49"/>
      <c r="M5114" s="50" t="s">
        <v>6760</v>
      </c>
      <c r="N5114" s="51">
        <v>45000</v>
      </c>
      <c r="O5114" s="43" t="s">
        <v>457</v>
      </c>
      <c r="P5114" s="52">
        <v>6510</v>
      </c>
      <c r="Q5114" s="372">
        <v>2</v>
      </c>
      <c r="R5114" s="144">
        <f>ROUND(Q5114*P5114*4*17/31,R4522)</f>
        <v>28560</v>
      </c>
      <c r="S5114" s="55">
        <v>202303</v>
      </c>
      <c r="T5114" s="394" t="s">
        <v>6793</v>
      </c>
      <c r="U5114" s="57"/>
      <c r="V5114" s="373"/>
      <c r="W5114" s="59"/>
      <c r="X5114" s="374">
        <v>43466</v>
      </c>
      <c r="Y5114" s="374">
        <v>45657</v>
      </c>
    </row>
    <row r="5115" s="10" customFormat="1" customHeight="1" spans="1:25">
      <c r="A5115" s="42" t="s">
        <v>399</v>
      </c>
      <c r="B5115" s="43" t="s">
        <v>6236</v>
      </c>
      <c r="C5115" s="43" t="s">
        <v>63</v>
      </c>
      <c r="D5115" s="43" t="s">
        <v>6237</v>
      </c>
      <c r="E5115" s="44" t="s">
        <v>6711</v>
      </c>
      <c r="F5115" s="42" t="s">
        <v>6712</v>
      </c>
      <c r="G5115" s="42" t="s">
        <v>88</v>
      </c>
      <c r="H5115" s="45" t="s">
        <v>6792</v>
      </c>
      <c r="I5115" s="47" t="e">
        <f>VLOOKUP(H5115,'合同综合查询数据（3月返）'!$A:$A,1,FALSE)</f>
        <v>#N/A</v>
      </c>
      <c r="J5115" s="48" t="s">
        <v>3074</v>
      </c>
      <c r="K5115" s="42" t="s">
        <v>6759</v>
      </c>
      <c r="L5115" s="49"/>
      <c r="M5115" s="50" t="s">
        <v>6760</v>
      </c>
      <c r="N5115" s="51">
        <v>45005</v>
      </c>
      <c r="O5115" s="43" t="s">
        <v>457</v>
      </c>
      <c r="P5115" s="52">
        <v>6510</v>
      </c>
      <c r="Q5115" s="372">
        <v>2</v>
      </c>
      <c r="R5115" s="144">
        <f>ROUND(Q5115*P5115*3*12/31,R4523)</f>
        <v>15120</v>
      </c>
      <c r="S5115" s="55">
        <v>202303</v>
      </c>
      <c r="T5115" s="394" t="s">
        <v>6794</v>
      </c>
      <c r="U5115" s="57"/>
      <c r="V5115" s="373"/>
      <c r="W5115" s="59"/>
      <c r="X5115" s="374">
        <v>43466</v>
      </c>
      <c r="Y5115" s="374">
        <v>45657</v>
      </c>
    </row>
    <row r="5116" s="9" customFormat="1" customHeight="1" spans="1:25">
      <c r="A5116" s="16" t="s">
        <v>399</v>
      </c>
      <c r="B5116" s="17" t="s">
        <v>6236</v>
      </c>
      <c r="C5116" s="17" t="s">
        <v>63</v>
      </c>
      <c r="D5116" s="17" t="s">
        <v>6237</v>
      </c>
      <c r="E5116" s="18" t="s">
        <v>6711</v>
      </c>
      <c r="F5116" s="16" t="s">
        <v>6712</v>
      </c>
      <c r="G5116" s="16" t="s">
        <v>78</v>
      </c>
      <c r="H5116" s="19" t="s">
        <v>6755</v>
      </c>
      <c r="I5116" s="23" t="e">
        <f>VLOOKUP(H5116,'合同综合查询数据（3月返）'!$A:$A,1,FALSE)</f>
        <v>#N/A</v>
      </c>
      <c r="J5116" s="24" t="s">
        <v>475</v>
      </c>
      <c r="K5116" s="16" t="s">
        <v>6759</v>
      </c>
      <c r="L5116" s="25"/>
      <c r="M5116" s="26"/>
      <c r="N5116" s="28"/>
      <c r="O5116" s="28"/>
      <c r="P5116" s="365"/>
      <c r="Q5116" s="369"/>
      <c r="R5116" s="36"/>
      <c r="S5116" s="37">
        <v>202303</v>
      </c>
      <c r="T5116" s="38" t="s">
        <v>6795</v>
      </c>
      <c r="U5116" s="39"/>
      <c r="V5116" s="370"/>
      <c r="W5116" s="41"/>
      <c r="X5116" s="371">
        <v>43466</v>
      </c>
      <c r="Y5116" s="371">
        <v>45657</v>
      </c>
    </row>
    <row r="5117" s="9" customFormat="1" customHeight="1" spans="1:25">
      <c r="A5117" s="16" t="s">
        <v>399</v>
      </c>
      <c r="B5117" s="17" t="s">
        <v>6236</v>
      </c>
      <c r="C5117" s="17" t="s">
        <v>63</v>
      </c>
      <c r="D5117" s="17" t="s">
        <v>6237</v>
      </c>
      <c r="E5117" s="18" t="s">
        <v>6711</v>
      </c>
      <c r="F5117" s="16" t="s">
        <v>6712</v>
      </c>
      <c r="G5117" s="16" t="s">
        <v>67</v>
      </c>
      <c r="H5117" s="19" t="s">
        <v>6755</v>
      </c>
      <c r="I5117" s="23" t="e">
        <f>VLOOKUP(H5117,'合同综合查询数据（3月返）'!$A:$A,1,FALSE)</f>
        <v>#N/A</v>
      </c>
      <c r="J5117" s="24" t="s">
        <v>67</v>
      </c>
      <c r="K5117" s="16" t="s">
        <v>6796</v>
      </c>
      <c r="L5117" s="25"/>
      <c r="M5117" s="26"/>
      <c r="N5117" s="28">
        <v>43454</v>
      </c>
      <c r="O5117" s="28" t="s">
        <v>71</v>
      </c>
      <c r="P5117" s="365">
        <v>390</v>
      </c>
      <c r="Q5117" s="369">
        <v>63</v>
      </c>
      <c r="R5117" s="36">
        <f t="shared" ref="R5117:R5122" si="113">ROUND(P5117*Q5117,2)</f>
        <v>24570</v>
      </c>
      <c r="S5117" s="37">
        <v>202303</v>
      </c>
      <c r="T5117" s="38"/>
      <c r="U5117" s="39"/>
      <c r="V5117" s="370"/>
      <c r="W5117" s="41"/>
      <c r="X5117" s="371">
        <v>43466</v>
      </c>
      <c r="Y5117" s="371">
        <v>45657</v>
      </c>
    </row>
    <row r="5118" s="9" customFormat="1" customHeight="1" spans="1:25">
      <c r="A5118" s="16" t="s">
        <v>399</v>
      </c>
      <c r="B5118" s="17" t="s">
        <v>6236</v>
      </c>
      <c r="C5118" s="17" t="s">
        <v>63</v>
      </c>
      <c r="D5118" s="17" t="s">
        <v>6237</v>
      </c>
      <c r="E5118" s="18" t="s">
        <v>6711</v>
      </c>
      <c r="F5118" s="16" t="s">
        <v>6712</v>
      </c>
      <c r="G5118" s="16" t="s">
        <v>67</v>
      </c>
      <c r="H5118" s="19" t="s">
        <v>6755</v>
      </c>
      <c r="I5118" s="23" t="e">
        <f>VLOOKUP(H5118,'合同综合查询数据（3月返）'!$A:$A,1,FALSE)</f>
        <v>#N/A</v>
      </c>
      <c r="J5118" s="24" t="s">
        <v>67</v>
      </c>
      <c r="K5118" s="16" t="s">
        <v>6797</v>
      </c>
      <c r="L5118" s="25"/>
      <c r="M5118" s="26"/>
      <c r="N5118" s="28">
        <v>43454</v>
      </c>
      <c r="O5118" s="28" t="s">
        <v>71</v>
      </c>
      <c r="P5118" s="365">
        <v>390</v>
      </c>
      <c r="Q5118" s="369">
        <v>82</v>
      </c>
      <c r="R5118" s="36">
        <f t="shared" si="113"/>
        <v>31980</v>
      </c>
      <c r="S5118" s="37">
        <v>202303</v>
      </c>
      <c r="T5118" s="38"/>
      <c r="U5118" s="39"/>
      <c r="V5118" s="370"/>
      <c r="W5118" s="41"/>
      <c r="X5118" s="371">
        <v>43466</v>
      </c>
      <c r="Y5118" s="371">
        <v>45657</v>
      </c>
    </row>
    <row r="5119" s="9" customFormat="1" customHeight="1" spans="1:25">
      <c r="A5119" s="16" t="s">
        <v>399</v>
      </c>
      <c r="B5119" s="17" t="s">
        <v>6236</v>
      </c>
      <c r="C5119" s="17" t="s">
        <v>63</v>
      </c>
      <c r="D5119" s="17" t="s">
        <v>6237</v>
      </c>
      <c r="E5119" s="18" t="s">
        <v>6711</v>
      </c>
      <c r="F5119" s="16" t="s">
        <v>6712</v>
      </c>
      <c r="G5119" s="16" t="s">
        <v>67</v>
      </c>
      <c r="H5119" s="19" t="s">
        <v>6755</v>
      </c>
      <c r="I5119" s="23" t="e">
        <f>VLOOKUP(H5119,'合同综合查询数据（3月返）'!$A:$A,1,FALSE)</f>
        <v>#N/A</v>
      </c>
      <c r="J5119" s="24" t="s">
        <v>67</v>
      </c>
      <c r="K5119" s="16" t="s">
        <v>6798</v>
      </c>
      <c r="L5119" s="25"/>
      <c r="M5119" s="26"/>
      <c r="N5119" s="28">
        <v>43454</v>
      </c>
      <c r="O5119" s="28" t="s">
        <v>71</v>
      </c>
      <c r="P5119" s="365">
        <v>390</v>
      </c>
      <c r="Q5119" s="369">
        <v>81</v>
      </c>
      <c r="R5119" s="36">
        <f t="shared" si="113"/>
        <v>31590</v>
      </c>
      <c r="S5119" s="37">
        <v>202303</v>
      </c>
      <c r="T5119" s="38"/>
      <c r="U5119" s="39"/>
      <c r="V5119" s="370"/>
      <c r="W5119" s="41"/>
      <c r="X5119" s="371">
        <v>43466</v>
      </c>
      <c r="Y5119" s="371">
        <v>45657</v>
      </c>
    </row>
    <row r="5120" s="9" customFormat="1" customHeight="1" spans="1:25">
      <c r="A5120" s="16" t="s">
        <v>399</v>
      </c>
      <c r="B5120" s="17" t="s">
        <v>6236</v>
      </c>
      <c r="C5120" s="17" t="s">
        <v>63</v>
      </c>
      <c r="D5120" s="17" t="s">
        <v>6237</v>
      </c>
      <c r="E5120" s="18" t="s">
        <v>6711</v>
      </c>
      <c r="F5120" s="16" t="s">
        <v>6712</v>
      </c>
      <c r="G5120" s="16" t="s">
        <v>67</v>
      </c>
      <c r="H5120" s="19" t="s">
        <v>6755</v>
      </c>
      <c r="I5120" s="23" t="e">
        <f>VLOOKUP(H5120,'合同综合查询数据（3月返）'!$A:$A,1,FALSE)</f>
        <v>#N/A</v>
      </c>
      <c r="J5120" s="24" t="s">
        <v>67</v>
      </c>
      <c r="K5120" s="16" t="s">
        <v>6799</v>
      </c>
      <c r="L5120" s="25"/>
      <c r="M5120" s="26"/>
      <c r="N5120" s="28">
        <v>43454</v>
      </c>
      <c r="O5120" s="28" t="s">
        <v>71</v>
      </c>
      <c r="P5120" s="365">
        <v>390</v>
      </c>
      <c r="Q5120" s="369">
        <v>68</v>
      </c>
      <c r="R5120" s="36">
        <f t="shared" si="113"/>
        <v>26520</v>
      </c>
      <c r="S5120" s="37">
        <v>202303</v>
      </c>
      <c r="T5120" s="38"/>
      <c r="U5120" s="39"/>
      <c r="V5120" s="370"/>
      <c r="W5120" s="41"/>
      <c r="X5120" s="371">
        <v>43466</v>
      </c>
      <c r="Y5120" s="371">
        <v>45657</v>
      </c>
    </row>
    <row r="5121" s="10" customFormat="1" customHeight="1" spans="1:25">
      <c r="A5121" s="42" t="s">
        <v>399</v>
      </c>
      <c r="B5121" s="43" t="s">
        <v>6236</v>
      </c>
      <c r="C5121" s="43" t="s">
        <v>63</v>
      </c>
      <c r="D5121" s="43" t="s">
        <v>6237</v>
      </c>
      <c r="E5121" s="44" t="s">
        <v>6711</v>
      </c>
      <c r="F5121" s="42" t="s">
        <v>6712</v>
      </c>
      <c r="G5121" s="42" t="s">
        <v>78</v>
      </c>
      <c r="H5121" s="45" t="s">
        <v>6800</v>
      </c>
      <c r="I5121" s="47" t="e">
        <f>VLOOKUP(H5121,'合同综合查询数据（3月返）'!$A:$A,1,FALSE)</f>
        <v>#N/A</v>
      </c>
      <c r="J5121" s="48" t="s">
        <v>6801</v>
      </c>
      <c r="K5121" s="42"/>
      <c r="L5121" s="49" t="s">
        <v>6802</v>
      </c>
      <c r="M5121" s="50"/>
      <c r="N5121" s="51">
        <v>42583</v>
      </c>
      <c r="O5121" s="51"/>
      <c r="P5121" s="366">
        <v>25000</v>
      </c>
      <c r="Q5121" s="372">
        <v>1</v>
      </c>
      <c r="R5121" s="54">
        <f t="shared" si="113"/>
        <v>25000</v>
      </c>
      <c r="S5121" s="55">
        <v>202303</v>
      </c>
      <c r="T5121" s="56" t="s">
        <v>6801</v>
      </c>
      <c r="U5121" s="57"/>
      <c r="V5121" s="373"/>
      <c r="W5121" s="59"/>
      <c r="X5121" s="374"/>
      <c r="Y5121" s="374"/>
    </row>
    <row r="5122" s="10" customFormat="1" customHeight="1" spans="1:25">
      <c r="A5122" s="42" t="s">
        <v>399</v>
      </c>
      <c r="B5122" s="43" t="s">
        <v>6236</v>
      </c>
      <c r="C5122" s="43" t="s">
        <v>63</v>
      </c>
      <c r="D5122" s="43" t="s">
        <v>6237</v>
      </c>
      <c r="E5122" s="44" t="s">
        <v>6711</v>
      </c>
      <c r="F5122" s="42" t="s">
        <v>6712</v>
      </c>
      <c r="G5122" s="42" t="s">
        <v>88</v>
      </c>
      <c r="H5122" s="45" t="s">
        <v>6803</v>
      </c>
      <c r="I5122" s="47" t="e">
        <f>VLOOKUP(H5122,'合同综合查询数据（3月返）'!$A:$A,1,FALSE)</f>
        <v>#N/A</v>
      </c>
      <c r="J5122" s="48" t="s">
        <v>3074</v>
      </c>
      <c r="K5122" s="42" t="s">
        <v>6804</v>
      </c>
      <c r="L5122" s="49"/>
      <c r="M5122" s="50" t="s">
        <v>6805</v>
      </c>
      <c r="N5122" s="51" t="s">
        <v>503</v>
      </c>
      <c r="O5122" s="51" t="s">
        <v>92</v>
      </c>
      <c r="P5122" s="366">
        <v>4290</v>
      </c>
      <c r="Q5122" s="372">
        <v>1039</v>
      </c>
      <c r="R5122" s="54">
        <f t="shared" si="113"/>
        <v>4457310</v>
      </c>
      <c r="S5122" s="55">
        <v>202303</v>
      </c>
      <c r="T5122" s="382" t="s">
        <v>6806</v>
      </c>
      <c r="U5122" s="57"/>
      <c r="V5122" s="373"/>
      <c r="W5122" s="59"/>
      <c r="X5122" s="374"/>
      <c r="Y5122" s="374"/>
    </row>
    <row r="5123" s="10" customFormat="1" customHeight="1" spans="1:25">
      <c r="A5123" s="42" t="s">
        <v>399</v>
      </c>
      <c r="B5123" s="43" t="s">
        <v>6236</v>
      </c>
      <c r="C5123" s="43" t="s">
        <v>63</v>
      </c>
      <c r="D5123" s="43" t="s">
        <v>6237</v>
      </c>
      <c r="E5123" s="44" t="s">
        <v>6711</v>
      </c>
      <c r="F5123" s="42" t="s">
        <v>6712</v>
      </c>
      <c r="G5123" s="42" t="s">
        <v>88</v>
      </c>
      <c r="H5123" s="45" t="s">
        <v>6803</v>
      </c>
      <c r="I5123" s="47" t="e">
        <f>VLOOKUP(H5123,'合同综合查询数据（3月返）'!$A:$A,1,FALSE)</f>
        <v>#N/A</v>
      </c>
      <c r="J5123" s="48" t="s">
        <v>3074</v>
      </c>
      <c r="K5123" s="42" t="s">
        <v>6804</v>
      </c>
      <c r="L5123" s="49"/>
      <c r="M5123" s="50" t="s">
        <v>6805</v>
      </c>
      <c r="N5123" s="51">
        <v>41092</v>
      </c>
      <c r="O5123" s="51" t="s">
        <v>6259</v>
      </c>
      <c r="P5123" s="366">
        <v>4290</v>
      </c>
      <c r="Q5123" s="372">
        <v>2</v>
      </c>
      <c r="R5123" s="54">
        <f>ROUND(P5123*Q5123*4,2)</f>
        <v>34320</v>
      </c>
      <c r="S5123" s="55">
        <v>202303</v>
      </c>
      <c r="T5123" s="382" t="s">
        <v>6807</v>
      </c>
      <c r="U5123" s="57"/>
      <c r="V5123" s="373"/>
      <c r="W5123" s="59"/>
      <c r="X5123" s="374"/>
      <c r="Y5123" s="374"/>
    </row>
    <row r="5124" s="10" customFormat="1" customHeight="1" spans="1:25">
      <c r="A5124" s="42" t="s">
        <v>399</v>
      </c>
      <c r="B5124" s="43" t="s">
        <v>6236</v>
      </c>
      <c r="C5124" s="43" t="s">
        <v>63</v>
      </c>
      <c r="D5124" s="43" t="s">
        <v>6237</v>
      </c>
      <c r="E5124" s="44" t="s">
        <v>6711</v>
      </c>
      <c r="F5124" s="42" t="s">
        <v>6712</v>
      </c>
      <c r="G5124" s="42" t="s">
        <v>88</v>
      </c>
      <c r="H5124" s="45" t="s">
        <v>6803</v>
      </c>
      <c r="I5124" s="47" t="e">
        <f>VLOOKUP(H5124,'合同综合查询数据（3月返）'!$A:$A,1,FALSE)</f>
        <v>#N/A</v>
      </c>
      <c r="J5124" s="48" t="s">
        <v>3074</v>
      </c>
      <c r="K5124" s="42" t="s">
        <v>6804</v>
      </c>
      <c r="L5124" s="49"/>
      <c r="M5124" s="50" t="s">
        <v>6805</v>
      </c>
      <c r="N5124" s="51">
        <v>41092</v>
      </c>
      <c r="O5124" s="51" t="s">
        <v>461</v>
      </c>
      <c r="P5124" s="366">
        <v>4290</v>
      </c>
      <c r="Q5124" s="372">
        <v>2</v>
      </c>
      <c r="R5124" s="54">
        <f>ROUND(P5124*Q5124*3,2)</f>
        <v>25740</v>
      </c>
      <c r="S5124" s="55">
        <v>202303</v>
      </c>
      <c r="T5124" s="382" t="s">
        <v>6808</v>
      </c>
      <c r="U5124" s="57"/>
      <c r="V5124" s="373"/>
      <c r="W5124" s="59"/>
      <c r="X5124" s="374"/>
      <c r="Y5124" s="374"/>
    </row>
    <row r="5125" s="10" customFormat="1" customHeight="1" spans="1:25">
      <c r="A5125" s="42" t="s">
        <v>399</v>
      </c>
      <c r="B5125" s="43" t="s">
        <v>6236</v>
      </c>
      <c r="C5125" s="43" t="s">
        <v>63</v>
      </c>
      <c r="D5125" s="43" t="s">
        <v>6237</v>
      </c>
      <c r="E5125" s="44" t="s">
        <v>6711</v>
      </c>
      <c r="F5125" s="42" t="s">
        <v>6712</v>
      </c>
      <c r="G5125" s="42" t="s">
        <v>88</v>
      </c>
      <c r="H5125" s="45" t="s">
        <v>6803</v>
      </c>
      <c r="I5125" s="47" t="e">
        <f>VLOOKUP(H5125,'合同综合查询数据（3月返）'!$A:$A,1,FALSE)</f>
        <v>#N/A</v>
      </c>
      <c r="J5125" s="48" t="s">
        <v>3074</v>
      </c>
      <c r="K5125" s="42" t="s">
        <v>6804</v>
      </c>
      <c r="L5125" s="49"/>
      <c r="M5125" s="50" t="s">
        <v>6805</v>
      </c>
      <c r="N5125" s="51">
        <v>43618</v>
      </c>
      <c r="O5125" s="51" t="s">
        <v>6809</v>
      </c>
      <c r="P5125" s="366">
        <v>4290</v>
      </c>
      <c r="Q5125" s="372">
        <v>-4</v>
      </c>
      <c r="R5125" s="54">
        <f t="shared" ref="R5125:R5139" si="114">ROUND(P5125*Q5125,2)</f>
        <v>-17160</v>
      </c>
      <c r="S5125" s="55">
        <v>202303</v>
      </c>
      <c r="T5125" s="56" t="s">
        <v>6810</v>
      </c>
      <c r="U5125" s="57"/>
      <c r="V5125" s="373"/>
      <c r="W5125" s="59"/>
      <c r="X5125" s="374"/>
      <c r="Y5125" s="374"/>
    </row>
    <row r="5126" s="10" customFormat="1" customHeight="1" spans="1:25">
      <c r="A5126" s="42" t="s">
        <v>399</v>
      </c>
      <c r="B5126" s="43" t="s">
        <v>6236</v>
      </c>
      <c r="C5126" s="43" t="s">
        <v>63</v>
      </c>
      <c r="D5126" s="43" t="s">
        <v>6237</v>
      </c>
      <c r="E5126" s="44" t="s">
        <v>6711</v>
      </c>
      <c r="F5126" s="42" t="s">
        <v>6712</v>
      </c>
      <c r="G5126" s="42" t="s">
        <v>88</v>
      </c>
      <c r="H5126" s="45" t="s">
        <v>6803</v>
      </c>
      <c r="I5126" s="47" t="e">
        <f>VLOOKUP(H5126,'合同综合查询数据（3月返）'!$A:$A,1,FALSE)</f>
        <v>#N/A</v>
      </c>
      <c r="J5126" s="48" t="s">
        <v>3074</v>
      </c>
      <c r="K5126" s="42" t="s">
        <v>6804</v>
      </c>
      <c r="L5126" s="49"/>
      <c r="M5126" s="50" t="s">
        <v>6805</v>
      </c>
      <c r="N5126" s="51">
        <v>43633</v>
      </c>
      <c r="O5126" s="51" t="s">
        <v>6809</v>
      </c>
      <c r="P5126" s="366">
        <v>4290</v>
      </c>
      <c r="Q5126" s="372">
        <v>-67</v>
      </c>
      <c r="R5126" s="54">
        <f t="shared" si="114"/>
        <v>-287430</v>
      </c>
      <c r="S5126" s="55">
        <v>202303</v>
      </c>
      <c r="T5126" s="56" t="s">
        <v>6810</v>
      </c>
      <c r="U5126" s="57"/>
      <c r="V5126" s="373"/>
      <c r="W5126" s="59"/>
      <c r="X5126" s="374"/>
      <c r="Y5126" s="374"/>
    </row>
    <row r="5127" s="10" customFormat="1" customHeight="1" spans="1:25">
      <c r="A5127" s="42" t="s">
        <v>399</v>
      </c>
      <c r="B5127" s="43" t="s">
        <v>6236</v>
      </c>
      <c r="C5127" s="43" t="s">
        <v>63</v>
      </c>
      <c r="D5127" s="43" t="s">
        <v>6237</v>
      </c>
      <c r="E5127" s="44" t="s">
        <v>6711</v>
      </c>
      <c r="F5127" s="42" t="s">
        <v>6712</v>
      </c>
      <c r="G5127" s="42" t="s">
        <v>88</v>
      </c>
      <c r="H5127" s="45" t="s">
        <v>6803</v>
      </c>
      <c r="I5127" s="47" t="e">
        <f>VLOOKUP(H5127,'合同综合查询数据（3月返）'!$A:$A,1,FALSE)</f>
        <v>#N/A</v>
      </c>
      <c r="J5127" s="48" t="s">
        <v>3074</v>
      </c>
      <c r="K5127" s="42" t="s">
        <v>6804</v>
      </c>
      <c r="L5127" s="49"/>
      <c r="M5127" s="50" t="s">
        <v>6805</v>
      </c>
      <c r="N5127" s="51">
        <v>43637</v>
      </c>
      <c r="O5127" s="51" t="s">
        <v>6809</v>
      </c>
      <c r="P5127" s="366">
        <v>4290</v>
      </c>
      <c r="Q5127" s="372">
        <v>-43</v>
      </c>
      <c r="R5127" s="54">
        <f t="shared" si="114"/>
        <v>-184470</v>
      </c>
      <c r="S5127" s="55">
        <v>202303</v>
      </c>
      <c r="T5127" s="56" t="s">
        <v>6810</v>
      </c>
      <c r="U5127" s="57"/>
      <c r="V5127" s="373"/>
      <c r="W5127" s="59"/>
      <c r="X5127" s="374"/>
      <c r="Y5127" s="374"/>
    </row>
    <row r="5128" s="10" customFormat="1" customHeight="1" spans="1:25">
      <c r="A5128" s="42" t="s">
        <v>399</v>
      </c>
      <c r="B5128" s="43" t="s">
        <v>6236</v>
      </c>
      <c r="C5128" s="43" t="s">
        <v>63</v>
      </c>
      <c r="D5128" s="43" t="s">
        <v>6237</v>
      </c>
      <c r="E5128" s="44" t="s">
        <v>6711</v>
      </c>
      <c r="F5128" s="42" t="s">
        <v>6712</v>
      </c>
      <c r="G5128" s="42" t="s">
        <v>88</v>
      </c>
      <c r="H5128" s="45" t="s">
        <v>6803</v>
      </c>
      <c r="I5128" s="47" t="e">
        <f>VLOOKUP(H5128,'合同综合查询数据（3月返）'!$A:$A,1,FALSE)</f>
        <v>#N/A</v>
      </c>
      <c r="J5128" s="48" t="s">
        <v>3074</v>
      </c>
      <c r="K5128" s="42" t="s">
        <v>6804</v>
      </c>
      <c r="L5128" s="49"/>
      <c r="M5128" s="50" t="s">
        <v>6805</v>
      </c>
      <c r="N5128" s="51">
        <v>43640</v>
      </c>
      <c r="O5128" s="51" t="s">
        <v>6809</v>
      </c>
      <c r="P5128" s="366">
        <v>4290</v>
      </c>
      <c r="Q5128" s="372">
        <v>-25</v>
      </c>
      <c r="R5128" s="54">
        <f t="shared" si="114"/>
        <v>-107250</v>
      </c>
      <c r="S5128" s="55">
        <v>202303</v>
      </c>
      <c r="T5128" s="56" t="s">
        <v>6810</v>
      </c>
      <c r="U5128" s="57"/>
      <c r="V5128" s="373"/>
      <c r="W5128" s="59"/>
      <c r="X5128" s="374"/>
      <c r="Y5128" s="374"/>
    </row>
    <row r="5129" s="10" customFormat="1" customHeight="1" spans="1:25">
      <c r="A5129" s="42" t="s">
        <v>399</v>
      </c>
      <c r="B5129" s="43" t="s">
        <v>6236</v>
      </c>
      <c r="C5129" s="43" t="s">
        <v>63</v>
      </c>
      <c r="D5129" s="43" t="s">
        <v>6237</v>
      </c>
      <c r="E5129" s="44" t="s">
        <v>6711</v>
      </c>
      <c r="F5129" s="42" t="s">
        <v>6712</v>
      </c>
      <c r="G5129" s="42" t="s">
        <v>88</v>
      </c>
      <c r="H5129" s="45" t="s">
        <v>6803</v>
      </c>
      <c r="I5129" s="47" t="e">
        <f>VLOOKUP(H5129,'合同综合查询数据（3月返）'!$A:$A,1,FALSE)</f>
        <v>#N/A</v>
      </c>
      <c r="J5129" s="48" t="s">
        <v>3074</v>
      </c>
      <c r="K5129" s="42" t="s">
        <v>6804</v>
      </c>
      <c r="L5129" s="49"/>
      <c r="M5129" s="50" t="s">
        <v>6805</v>
      </c>
      <c r="N5129" s="51">
        <v>43641</v>
      </c>
      <c r="O5129" s="51" t="s">
        <v>6809</v>
      </c>
      <c r="P5129" s="366">
        <v>4290</v>
      </c>
      <c r="Q5129" s="372">
        <v>-423</v>
      </c>
      <c r="R5129" s="54">
        <f t="shared" si="114"/>
        <v>-1814670</v>
      </c>
      <c r="S5129" s="55">
        <v>202303</v>
      </c>
      <c r="T5129" s="56" t="s">
        <v>6810</v>
      </c>
      <c r="U5129" s="57"/>
      <c r="V5129" s="373"/>
      <c r="W5129" s="59"/>
      <c r="X5129" s="374"/>
      <c r="Y5129" s="374"/>
    </row>
    <row r="5130" s="10" customFormat="1" customHeight="1" spans="1:25">
      <c r="A5130" s="42" t="s">
        <v>399</v>
      </c>
      <c r="B5130" s="43" t="s">
        <v>6236</v>
      </c>
      <c r="C5130" s="43" t="s">
        <v>63</v>
      </c>
      <c r="D5130" s="43" t="s">
        <v>6237</v>
      </c>
      <c r="E5130" s="44" t="s">
        <v>6711</v>
      </c>
      <c r="F5130" s="42" t="s">
        <v>6712</v>
      </c>
      <c r="G5130" s="42" t="s">
        <v>88</v>
      </c>
      <c r="H5130" s="45" t="s">
        <v>6803</v>
      </c>
      <c r="I5130" s="47" t="e">
        <f>VLOOKUP(H5130,'合同综合查询数据（3月返）'!$A:$A,1,FALSE)</f>
        <v>#N/A</v>
      </c>
      <c r="J5130" s="48" t="s">
        <v>3074</v>
      </c>
      <c r="K5130" s="42" t="s">
        <v>6804</v>
      </c>
      <c r="L5130" s="49"/>
      <c r="M5130" s="50" t="s">
        <v>6805</v>
      </c>
      <c r="N5130" s="51">
        <v>43642</v>
      </c>
      <c r="O5130" s="51" t="s">
        <v>6809</v>
      </c>
      <c r="P5130" s="366">
        <v>4290</v>
      </c>
      <c r="Q5130" s="372">
        <v>-187</v>
      </c>
      <c r="R5130" s="54">
        <f t="shared" si="114"/>
        <v>-802230</v>
      </c>
      <c r="S5130" s="55">
        <v>202303</v>
      </c>
      <c r="T5130" s="56" t="s">
        <v>6810</v>
      </c>
      <c r="U5130" s="57"/>
      <c r="V5130" s="373"/>
      <c r="W5130" s="59"/>
      <c r="X5130" s="374"/>
      <c r="Y5130" s="374"/>
    </row>
    <row r="5131" s="10" customFormat="1" customHeight="1" spans="1:25">
      <c r="A5131" s="42" t="s">
        <v>399</v>
      </c>
      <c r="B5131" s="43" t="s">
        <v>6236</v>
      </c>
      <c r="C5131" s="43" t="s">
        <v>63</v>
      </c>
      <c r="D5131" s="43" t="s">
        <v>6237</v>
      </c>
      <c r="E5131" s="44" t="s">
        <v>6711</v>
      </c>
      <c r="F5131" s="42" t="s">
        <v>6712</v>
      </c>
      <c r="G5131" s="42" t="s">
        <v>88</v>
      </c>
      <c r="H5131" s="45" t="s">
        <v>6803</v>
      </c>
      <c r="I5131" s="47" t="e">
        <f>VLOOKUP(H5131,'合同综合查询数据（3月返）'!$A:$A,1,FALSE)</f>
        <v>#N/A</v>
      </c>
      <c r="J5131" s="48" t="s">
        <v>3074</v>
      </c>
      <c r="K5131" s="42" t="s">
        <v>6804</v>
      </c>
      <c r="L5131" s="49"/>
      <c r="M5131" s="50" t="s">
        <v>6805</v>
      </c>
      <c r="N5131" s="51">
        <v>43643</v>
      </c>
      <c r="O5131" s="51" t="s">
        <v>6809</v>
      </c>
      <c r="P5131" s="366">
        <v>4290</v>
      </c>
      <c r="Q5131" s="372">
        <v>-33</v>
      </c>
      <c r="R5131" s="54">
        <f t="shared" si="114"/>
        <v>-141570</v>
      </c>
      <c r="S5131" s="55">
        <v>202303</v>
      </c>
      <c r="T5131" s="56" t="s">
        <v>6810</v>
      </c>
      <c r="U5131" s="57"/>
      <c r="V5131" s="373"/>
      <c r="W5131" s="59"/>
      <c r="X5131" s="374"/>
      <c r="Y5131" s="374"/>
    </row>
    <row r="5132" s="10" customFormat="1" customHeight="1" spans="1:25">
      <c r="A5132" s="42" t="s">
        <v>399</v>
      </c>
      <c r="B5132" s="43" t="s">
        <v>6236</v>
      </c>
      <c r="C5132" s="43" t="s">
        <v>63</v>
      </c>
      <c r="D5132" s="43" t="s">
        <v>6237</v>
      </c>
      <c r="E5132" s="44" t="s">
        <v>6711</v>
      </c>
      <c r="F5132" s="42" t="s">
        <v>6712</v>
      </c>
      <c r="G5132" s="42" t="s">
        <v>88</v>
      </c>
      <c r="H5132" s="45" t="s">
        <v>6803</v>
      </c>
      <c r="I5132" s="47" t="e">
        <f>VLOOKUP(H5132,'合同综合查询数据（3月返）'!$A:$A,1,FALSE)</f>
        <v>#N/A</v>
      </c>
      <c r="J5132" s="48" t="s">
        <v>3074</v>
      </c>
      <c r="K5132" s="42" t="s">
        <v>6804</v>
      </c>
      <c r="L5132" s="49"/>
      <c r="M5132" s="50" t="s">
        <v>6805</v>
      </c>
      <c r="N5132" s="51">
        <v>43644</v>
      </c>
      <c r="O5132" s="51" t="s">
        <v>6809</v>
      </c>
      <c r="P5132" s="366">
        <v>4290</v>
      </c>
      <c r="Q5132" s="372">
        <v>-106</v>
      </c>
      <c r="R5132" s="54">
        <f t="shared" si="114"/>
        <v>-454740</v>
      </c>
      <c r="S5132" s="55">
        <v>202303</v>
      </c>
      <c r="T5132" s="56" t="s">
        <v>6810</v>
      </c>
      <c r="U5132" s="57"/>
      <c r="V5132" s="373"/>
      <c r="W5132" s="59"/>
      <c r="X5132" s="374"/>
      <c r="Y5132" s="374"/>
    </row>
    <row r="5133" s="10" customFormat="1" customHeight="1" spans="1:25">
      <c r="A5133" s="42" t="s">
        <v>399</v>
      </c>
      <c r="B5133" s="43" t="s">
        <v>6236</v>
      </c>
      <c r="C5133" s="43" t="s">
        <v>63</v>
      </c>
      <c r="D5133" s="43" t="s">
        <v>6237</v>
      </c>
      <c r="E5133" s="44" t="s">
        <v>6711</v>
      </c>
      <c r="F5133" s="42" t="s">
        <v>6712</v>
      </c>
      <c r="G5133" s="42" t="s">
        <v>88</v>
      </c>
      <c r="H5133" s="45" t="s">
        <v>6803</v>
      </c>
      <c r="I5133" s="47" t="e">
        <f>VLOOKUP(H5133,'合同综合查询数据（3月返）'!$A:$A,1,FALSE)</f>
        <v>#N/A</v>
      </c>
      <c r="J5133" s="48" t="s">
        <v>3074</v>
      </c>
      <c r="K5133" s="42" t="s">
        <v>6804</v>
      </c>
      <c r="L5133" s="49"/>
      <c r="M5133" s="50" t="s">
        <v>6805</v>
      </c>
      <c r="N5133" s="51">
        <v>43647</v>
      </c>
      <c r="O5133" s="51" t="s">
        <v>6809</v>
      </c>
      <c r="P5133" s="366">
        <v>4290</v>
      </c>
      <c r="Q5133" s="372">
        <v>-71</v>
      </c>
      <c r="R5133" s="54">
        <f t="shared" si="114"/>
        <v>-304590</v>
      </c>
      <c r="S5133" s="55">
        <v>202303</v>
      </c>
      <c r="T5133" s="56" t="s">
        <v>6810</v>
      </c>
      <c r="U5133" s="57"/>
      <c r="V5133" s="373"/>
      <c r="W5133" s="59"/>
      <c r="X5133" s="374"/>
      <c r="Y5133" s="374"/>
    </row>
    <row r="5134" s="10" customFormat="1" customHeight="1" spans="1:25">
      <c r="A5134" s="42" t="s">
        <v>399</v>
      </c>
      <c r="B5134" s="43" t="s">
        <v>6236</v>
      </c>
      <c r="C5134" s="43" t="s">
        <v>63</v>
      </c>
      <c r="D5134" s="43" t="s">
        <v>6237</v>
      </c>
      <c r="E5134" s="44" t="s">
        <v>6711</v>
      </c>
      <c r="F5134" s="42" t="s">
        <v>6712</v>
      </c>
      <c r="G5134" s="42" t="s">
        <v>88</v>
      </c>
      <c r="H5134" s="45" t="s">
        <v>6803</v>
      </c>
      <c r="I5134" s="47" t="e">
        <f>VLOOKUP(H5134,'合同综合查询数据（3月返）'!$A:$A,1,FALSE)</f>
        <v>#N/A</v>
      </c>
      <c r="J5134" s="48" t="s">
        <v>3074</v>
      </c>
      <c r="K5134" s="42" t="s">
        <v>6804</v>
      </c>
      <c r="L5134" s="49"/>
      <c r="M5134" s="50" t="s">
        <v>6805</v>
      </c>
      <c r="N5134" s="51">
        <v>43649</v>
      </c>
      <c r="O5134" s="51" t="s">
        <v>6809</v>
      </c>
      <c r="P5134" s="366">
        <v>4290</v>
      </c>
      <c r="Q5134" s="372">
        <v>-8</v>
      </c>
      <c r="R5134" s="54">
        <f t="shared" si="114"/>
        <v>-34320</v>
      </c>
      <c r="S5134" s="55">
        <v>202303</v>
      </c>
      <c r="T5134" s="56" t="s">
        <v>6810</v>
      </c>
      <c r="U5134" s="57"/>
      <c r="V5134" s="373"/>
      <c r="W5134" s="59"/>
      <c r="X5134" s="374"/>
      <c r="Y5134" s="374"/>
    </row>
    <row r="5135" s="10" customFormat="1" customHeight="1" spans="1:25">
      <c r="A5135" s="42" t="s">
        <v>399</v>
      </c>
      <c r="B5135" s="43" t="s">
        <v>6236</v>
      </c>
      <c r="C5135" s="43" t="s">
        <v>63</v>
      </c>
      <c r="D5135" s="43" t="s">
        <v>6237</v>
      </c>
      <c r="E5135" s="44" t="s">
        <v>6711</v>
      </c>
      <c r="F5135" s="42" t="s">
        <v>6712</v>
      </c>
      <c r="G5135" s="42" t="s">
        <v>88</v>
      </c>
      <c r="H5135" s="45" t="s">
        <v>6803</v>
      </c>
      <c r="I5135" s="47" t="e">
        <f>VLOOKUP(H5135,'合同综合查询数据（3月返）'!$A:$A,1,FALSE)</f>
        <v>#N/A</v>
      </c>
      <c r="J5135" s="48" t="s">
        <v>3074</v>
      </c>
      <c r="K5135" s="42" t="s">
        <v>6804</v>
      </c>
      <c r="L5135" s="49"/>
      <c r="M5135" s="50" t="s">
        <v>6805</v>
      </c>
      <c r="N5135" s="51">
        <v>43651</v>
      </c>
      <c r="O5135" s="51" t="s">
        <v>6809</v>
      </c>
      <c r="P5135" s="366">
        <v>4290</v>
      </c>
      <c r="Q5135" s="372">
        <v>-3</v>
      </c>
      <c r="R5135" s="54">
        <f t="shared" si="114"/>
        <v>-12870</v>
      </c>
      <c r="S5135" s="55">
        <v>202303</v>
      </c>
      <c r="T5135" s="56" t="s">
        <v>6810</v>
      </c>
      <c r="U5135" s="57"/>
      <c r="V5135" s="373"/>
      <c r="W5135" s="59"/>
      <c r="X5135" s="374"/>
      <c r="Y5135" s="374"/>
    </row>
    <row r="5136" s="10" customFormat="1" customHeight="1" spans="1:25">
      <c r="A5136" s="42" t="s">
        <v>399</v>
      </c>
      <c r="B5136" s="43" t="s">
        <v>6236</v>
      </c>
      <c r="C5136" s="43" t="s">
        <v>63</v>
      </c>
      <c r="D5136" s="43" t="s">
        <v>6237</v>
      </c>
      <c r="E5136" s="44" t="s">
        <v>6711</v>
      </c>
      <c r="F5136" s="42" t="s">
        <v>6712</v>
      </c>
      <c r="G5136" s="42" t="s">
        <v>88</v>
      </c>
      <c r="H5136" s="45" t="s">
        <v>6803</v>
      </c>
      <c r="I5136" s="47" t="e">
        <f>VLOOKUP(H5136,'合同综合查询数据（3月返）'!$A:$A,1,FALSE)</f>
        <v>#N/A</v>
      </c>
      <c r="J5136" s="48" t="s">
        <v>3074</v>
      </c>
      <c r="K5136" s="42" t="s">
        <v>6804</v>
      </c>
      <c r="L5136" s="49"/>
      <c r="M5136" s="50" t="s">
        <v>6805</v>
      </c>
      <c r="N5136" s="51">
        <v>43654</v>
      </c>
      <c r="O5136" s="51" t="s">
        <v>6809</v>
      </c>
      <c r="P5136" s="366">
        <v>4290</v>
      </c>
      <c r="Q5136" s="372">
        <v>-41</v>
      </c>
      <c r="R5136" s="54">
        <f t="shared" si="114"/>
        <v>-175890</v>
      </c>
      <c r="S5136" s="55">
        <v>202303</v>
      </c>
      <c r="T5136" s="56" t="s">
        <v>6810</v>
      </c>
      <c r="U5136" s="57"/>
      <c r="V5136" s="373"/>
      <c r="W5136" s="59"/>
      <c r="X5136" s="374"/>
      <c r="Y5136" s="374"/>
    </row>
    <row r="5137" s="10" customFormat="1" customHeight="1" spans="1:25">
      <c r="A5137" s="42" t="s">
        <v>399</v>
      </c>
      <c r="B5137" s="43" t="s">
        <v>6236</v>
      </c>
      <c r="C5137" s="43" t="s">
        <v>63</v>
      </c>
      <c r="D5137" s="43" t="s">
        <v>6237</v>
      </c>
      <c r="E5137" s="44" t="s">
        <v>6711</v>
      </c>
      <c r="F5137" s="42" t="s">
        <v>6712</v>
      </c>
      <c r="G5137" s="42" t="s">
        <v>88</v>
      </c>
      <c r="H5137" s="45" t="s">
        <v>6803</v>
      </c>
      <c r="I5137" s="47" t="e">
        <f>VLOOKUP(H5137,'合同综合查询数据（3月返）'!$A:$A,1,FALSE)</f>
        <v>#N/A</v>
      </c>
      <c r="J5137" s="48" t="s">
        <v>3074</v>
      </c>
      <c r="K5137" s="42" t="s">
        <v>6804</v>
      </c>
      <c r="L5137" s="49"/>
      <c r="M5137" s="50" t="s">
        <v>6805</v>
      </c>
      <c r="N5137" s="51">
        <v>43661</v>
      </c>
      <c r="O5137" s="51" t="s">
        <v>6809</v>
      </c>
      <c r="P5137" s="366">
        <v>4290</v>
      </c>
      <c r="Q5137" s="372">
        <v>-1</v>
      </c>
      <c r="R5137" s="54">
        <f t="shared" si="114"/>
        <v>-4290</v>
      </c>
      <c r="S5137" s="55">
        <v>202303</v>
      </c>
      <c r="T5137" s="56" t="s">
        <v>6810</v>
      </c>
      <c r="U5137" s="57"/>
      <c r="V5137" s="373"/>
      <c r="W5137" s="59"/>
      <c r="X5137" s="374"/>
      <c r="Y5137" s="374"/>
    </row>
    <row r="5138" s="10" customFormat="1" customHeight="1" spans="1:25">
      <c r="A5138" s="42" t="s">
        <v>399</v>
      </c>
      <c r="B5138" s="43" t="s">
        <v>6236</v>
      </c>
      <c r="C5138" s="43" t="s">
        <v>63</v>
      </c>
      <c r="D5138" s="43" t="s">
        <v>6237</v>
      </c>
      <c r="E5138" s="44" t="s">
        <v>6711</v>
      </c>
      <c r="F5138" s="42" t="s">
        <v>6712</v>
      </c>
      <c r="G5138" s="42" t="s">
        <v>88</v>
      </c>
      <c r="H5138" s="45" t="s">
        <v>6803</v>
      </c>
      <c r="I5138" s="47" t="e">
        <f>VLOOKUP(H5138,'合同综合查询数据（3月返）'!$A:$A,1,FALSE)</f>
        <v>#N/A</v>
      </c>
      <c r="J5138" s="48" t="s">
        <v>3074</v>
      </c>
      <c r="K5138" s="42" t="s">
        <v>6804</v>
      </c>
      <c r="L5138" s="49"/>
      <c r="M5138" s="50" t="s">
        <v>6805</v>
      </c>
      <c r="N5138" s="51" t="s">
        <v>6811</v>
      </c>
      <c r="O5138" s="51" t="s">
        <v>6809</v>
      </c>
      <c r="P5138" s="366">
        <v>4290</v>
      </c>
      <c r="Q5138" s="372">
        <v>-3</v>
      </c>
      <c r="R5138" s="54">
        <f t="shared" si="114"/>
        <v>-12870</v>
      </c>
      <c r="S5138" s="55">
        <v>202303</v>
      </c>
      <c r="T5138" s="56"/>
      <c r="U5138" s="57"/>
      <c r="V5138" s="373"/>
      <c r="W5138" s="59"/>
      <c r="X5138" s="374"/>
      <c r="Y5138" s="374"/>
    </row>
    <row r="5139" s="10" customFormat="1" customHeight="1" spans="1:25">
      <c r="A5139" s="42" t="s">
        <v>399</v>
      </c>
      <c r="B5139" s="43" t="s">
        <v>6236</v>
      </c>
      <c r="C5139" s="43" t="s">
        <v>63</v>
      </c>
      <c r="D5139" s="43" t="s">
        <v>6237</v>
      </c>
      <c r="E5139" s="44" t="s">
        <v>6711</v>
      </c>
      <c r="F5139" s="42" t="s">
        <v>6712</v>
      </c>
      <c r="G5139" s="42" t="s">
        <v>88</v>
      </c>
      <c r="H5139" s="45" t="s">
        <v>6803</v>
      </c>
      <c r="I5139" s="47" t="e">
        <f>VLOOKUP(H5139,'合同综合查询数据（3月返）'!$A:$A,1,FALSE)</f>
        <v>#N/A</v>
      </c>
      <c r="J5139" s="48" t="s">
        <v>3074</v>
      </c>
      <c r="K5139" s="42" t="s">
        <v>6804</v>
      </c>
      <c r="L5139" s="49"/>
      <c r="M5139" s="50" t="s">
        <v>6805</v>
      </c>
      <c r="N5139" s="51">
        <v>43830</v>
      </c>
      <c r="O5139" s="51" t="s">
        <v>6809</v>
      </c>
      <c r="P5139" s="366">
        <v>4290</v>
      </c>
      <c r="Q5139" s="372">
        <v>-2</v>
      </c>
      <c r="R5139" s="54">
        <f t="shared" si="114"/>
        <v>-8580</v>
      </c>
      <c r="S5139" s="55">
        <v>202303</v>
      </c>
      <c r="T5139" s="56"/>
      <c r="U5139" s="57"/>
      <c r="V5139" s="373"/>
      <c r="W5139" s="59"/>
      <c r="X5139" s="374"/>
      <c r="Y5139" s="374"/>
    </row>
    <row r="5140" s="10" customFormat="1" customHeight="1" spans="1:25">
      <c r="A5140" s="42" t="s">
        <v>399</v>
      </c>
      <c r="B5140" s="43" t="s">
        <v>6236</v>
      </c>
      <c r="C5140" s="43" t="s">
        <v>63</v>
      </c>
      <c r="D5140" s="43" t="s">
        <v>6237</v>
      </c>
      <c r="E5140" s="44" t="s">
        <v>6711</v>
      </c>
      <c r="F5140" s="42" t="s">
        <v>6712</v>
      </c>
      <c r="G5140" s="42" t="s">
        <v>88</v>
      </c>
      <c r="H5140" s="45" t="s">
        <v>6803</v>
      </c>
      <c r="I5140" s="47" t="e">
        <f>VLOOKUP(H5140,'合同综合查询数据（3月返）'!$A:$A,1,FALSE)</f>
        <v>#N/A</v>
      </c>
      <c r="J5140" s="48" t="s">
        <v>3074</v>
      </c>
      <c r="K5140" s="42" t="s">
        <v>6804</v>
      </c>
      <c r="L5140" s="49"/>
      <c r="M5140" s="50" t="s">
        <v>6805</v>
      </c>
      <c r="N5140" s="51">
        <v>43831</v>
      </c>
      <c r="O5140" s="51" t="s">
        <v>6259</v>
      </c>
      <c r="P5140" s="366">
        <v>4290</v>
      </c>
      <c r="Q5140" s="372">
        <v>2</v>
      </c>
      <c r="R5140" s="54">
        <f>ROUND(P5140*Q5140*4,2)</f>
        <v>34320</v>
      </c>
      <c r="S5140" s="55">
        <v>202303</v>
      </c>
      <c r="T5140" s="56" t="s">
        <v>6812</v>
      </c>
      <c r="U5140" s="57"/>
      <c r="V5140" s="373"/>
      <c r="W5140" s="59"/>
      <c r="X5140" s="374"/>
      <c r="Y5140" s="374"/>
    </row>
    <row r="5141" s="10" customFormat="1" customHeight="1" spans="1:25">
      <c r="A5141" s="42" t="s">
        <v>399</v>
      </c>
      <c r="B5141" s="43" t="s">
        <v>6236</v>
      </c>
      <c r="C5141" s="43" t="s">
        <v>63</v>
      </c>
      <c r="D5141" s="43" t="s">
        <v>6237</v>
      </c>
      <c r="E5141" s="44" t="s">
        <v>6711</v>
      </c>
      <c r="F5141" s="42" t="s">
        <v>6712</v>
      </c>
      <c r="G5141" s="42" t="s">
        <v>88</v>
      </c>
      <c r="H5141" s="45" t="s">
        <v>6803</v>
      </c>
      <c r="I5141" s="47" t="e">
        <f>VLOOKUP(H5141,'合同综合查询数据（3月返）'!$A:$A,1,FALSE)</f>
        <v>#N/A</v>
      </c>
      <c r="J5141" s="48" t="s">
        <v>3074</v>
      </c>
      <c r="K5141" s="42" t="s">
        <v>6804</v>
      </c>
      <c r="L5141" s="49"/>
      <c r="M5141" s="50" t="s">
        <v>6805</v>
      </c>
      <c r="N5141" s="51">
        <v>43853</v>
      </c>
      <c r="O5141" s="51" t="s">
        <v>6809</v>
      </c>
      <c r="P5141" s="366">
        <v>4290</v>
      </c>
      <c r="Q5141" s="372">
        <v>-4</v>
      </c>
      <c r="R5141" s="54">
        <f>ROUND(P5141*Q5141,2)</f>
        <v>-17160</v>
      </c>
      <c r="S5141" s="55">
        <v>202303</v>
      </c>
      <c r="T5141" s="56" t="s">
        <v>6813</v>
      </c>
      <c r="U5141" s="57"/>
      <c r="V5141" s="373"/>
      <c r="W5141" s="59"/>
      <c r="X5141" s="374"/>
      <c r="Y5141" s="374"/>
    </row>
    <row r="5142" s="10" customFormat="1" customHeight="1" spans="1:25">
      <c r="A5142" s="42" t="s">
        <v>399</v>
      </c>
      <c r="B5142" s="43" t="s">
        <v>6236</v>
      </c>
      <c r="C5142" s="43" t="s">
        <v>63</v>
      </c>
      <c r="D5142" s="43" t="s">
        <v>6237</v>
      </c>
      <c r="E5142" s="44" t="s">
        <v>6711</v>
      </c>
      <c r="F5142" s="42" t="s">
        <v>6712</v>
      </c>
      <c r="G5142" s="42" t="s">
        <v>88</v>
      </c>
      <c r="H5142" s="45" t="s">
        <v>6803</v>
      </c>
      <c r="I5142" s="47" t="e">
        <f>VLOOKUP(H5142,'合同综合查询数据（3月返）'!$A:$A,1,FALSE)</f>
        <v>#N/A</v>
      </c>
      <c r="J5142" s="48" t="s">
        <v>3074</v>
      </c>
      <c r="K5142" s="42" t="s">
        <v>6804</v>
      </c>
      <c r="L5142" s="49"/>
      <c r="M5142" s="50" t="s">
        <v>6805</v>
      </c>
      <c r="N5142" s="51">
        <v>43853</v>
      </c>
      <c r="O5142" s="51" t="s">
        <v>461</v>
      </c>
      <c r="P5142" s="366">
        <v>4290</v>
      </c>
      <c r="Q5142" s="372">
        <v>-2</v>
      </c>
      <c r="R5142" s="54">
        <f>ROUND(P5142*Q5142*3,2)</f>
        <v>-25740</v>
      </c>
      <c r="S5142" s="55">
        <v>202303</v>
      </c>
      <c r="T5142" s="56" t="s">
        <v>6814</v>
      </c>
      <c r="U5142" s="57"/>
      <c r="V5142" s="373"/>
      <c r="W5142" s="59"/>
      <c r="X5142" s="374"/>
      <c r="Y5142" s="374"/>
    </row>
    <row r="5143" s="10" customFormat="1" customHeight="1" spans="1:25">
      <c r="A5143" s="42" t="s">
        <v>399</v>
      </c>
      <c r="B5143" s="43" t="s">
        <v>6236</v>
      </c>
      <c r="C5143" s="43" t="s">
        <v>63</v>
      </c>
      <c r="D5143" s="43" t="s">
        <v>6237</v>
      </c>
      <c r="E5143" s="44" t="s">
        <v>6711</v>
      </c>
      <c r="F5143" s="42" t="s">
        <v>6712</v>
      </c>
      <c r="G5143" s="42" t="s">
        <v>88</v>
      </c>
      <c r="H5143" s="45" t="s">
        <v>6803</v>
      </c>
      <c r="I5143" s="47" t="e">
        <f>VLOOKUP(H5143,'合同综合查询数据（3月返）'!$A:$A,1,FALSE)</f>
        <v>#N/A</v>
      </c>
      <c r="J5143" s="48" t="s">
        <v>3074</v>
      </c>
      <c r="K5143" s="42" t="s">
        <v>6815</v>
      </c>
      <c r="L5143" s="49"/>
      <c r="M5143" s="50" t="s">
        <v>6805</v>
      </c>
      <c r="N5143" s="51" t="s">
        <v>503</v>
      </c>
      <c r="O5143" s="51" t="s">
        <v>92</v>
      </c>
      <c r="P5143" s="366">
        <v>4100</v>
      </c>
      <c r="Q5143" s="372">
        <v>700</v>
      </c>
      <c r="R5143" s="54">
        <f>ROUND(P5143*Q5143,2)</f>
        <v>2870000</v>
      </c>
      <c r="S5143" s="55">
        <v>202303</v>
      </c>
      <c r="T5143" s="56"/>
      <c r="U5143" s="57"/>
      <c r="V5143" s="373"/>
      <c r="W5143" s="59"/>
      <c r="X5143" s="374"/>
      <c r="Y5143" s="374"/>
    </row>
    <row r="5144" s="10" customFormat="1" customHeight="1" spans="1:25">
      <c r="A5144" s="42" t="s">
        <v>399</v>
      </c>
      <c r="B5144" s="43" t="s">
        <v>6236</v>
      </c>
      <c r="C5144" s="43" t="s">
        <v>63</v>
      </c>
      <c r="D5144" s="43" t="s">
        <v>6237</v>
      </c>
      <c r="E5144" s="44" t="s">
        <v>6711</v>
      </c>
      <c r="F5144" s="42" t="s">
        <v>6712</v>
      </c>
      <c r="G5144" s="42" t="s">
        <v>88</v>
      </c>
      <c r="H5144" s="45" t="s">
        <v>6803</v>
      </c>
      <c r="I5144" s="47" t="e">
        <f>VLOOKUP(H5144,'合同综合查询数据（3月返）'!$A:$A,1,FALSE)</f>
        <v>#N/A</v>
      </c>
      <c r="J5144" s="48" t="s">
        <v>3074</v>
      </c>
      <c r="K5144" s="42" t="s">
        <v>6815</v>
      </c>
      <c r="L5144" s="49"/>
      <c r="M5144" s="50" t="s">
        <v>6805</v>
      </c>
      <c r="N5144" s="51">
        <v>43445</v>
      </c>
      <c r="O5144" s="51" t="s">
        <v>92</v>
      </c>
      <c r="P5144" s="366">
        <v>4100</v>
      </c>
      <c r="Q5144" s="372">
        <v>1</v>
      </c>
      <c r="R5144" s="54">
        <f t="shared" ref="R5144:R5155" si="115">ROUND(Q5144*P5144,2)</f>
        <v>4100</v>
      </c>
      <c r="S5144" s="55">
        <v>202303</v>
      </c>
      <c r="T5144" s="56"/>
      <c r="U5144" s="57"/>
      <c r="V5144" s="373"/>
      <c r="W5144" s="59"/>
      <c r="X5144" s="374"/>
      <c r="Y5144" s="374"/>
    </row>
    <row r="5145" s="10" customFormat="1" customHeight="1" spans="1:25">
      <c r="A5145" s="42" t="s">
        <v>399</v>
      </c>
      <c r="B5145" s="43" t="s">
        <v>6236</v>
      </c>
      <c r="C5145" s="43" t="s">
        <v>63</v>
      </c>
      <c r="D5145" s="43" t="s">
        <v>6237</v>
      </c>
      <c r="E5145" s="44" t="s">
        <v>6711</v>
      </c>
      <c r="F5145" s="42" t="s">
        <v>6712</v>
      </c>
      <c r="G5145" s="42" t="s">
        <v>88</v>
      </c>
      <c r="H5145" s="45" t="s">
        <v>6803</v>
      </c>
      <c r="I5145" s="47" t="e">
        <f>VLOOKUP(H5145,'合同综合查询数据（3月返）'!$A:$A,1,FALSE)</f>
        <v>#N/A</v>
      </c>
      <c r="J5145" s="48" t="s">
        <v>3074</v>
      </c>
      <c r="K5145" s="42" t="s">
        <v>6815</v>
      </c>
      <c r="L5145" s="49"/>
      <c r="M5145" s="50" t="s">
        <v>6805</v>
      </c>
      <c r="N5145" s="51">
        <v>43521</v>
      </c>
      <c r="O5145" s="51" t="s">
        <v>92</v>
      </c>
      <c r="P5145" s="366">
        <v>4100</v>
      </c>
      <c r="Q5145" s="372">
        <v>1</v>
      </c>
      <c r="R5145" s="54">
        <f t="shared" si="115"/>
        <v>4100</v>
      </c>
      <c r="S5145" s="55">
        <v>202303</v>
      </c>
      <c r="T5145" s="56" t="s">
        <v>6816</v>
      </c>
      <c r="U5145" s="57"/>
      <c r="V5145" s="373"/>
      <c r="W5145" s="59"/>
      <c r="X5145" s="374"/>
      <c r="Y5145" s="374"/>
    </row>
    <row r="5146" s="10" customFormat="1" customHeight="1" spans="1:25">
      <c r="A5146" s="42" t="s">
        <v>399</v>
      </c>
      <c r="B5146" s="43" t="s">
        <v>6236</v>
      </c>
      <c r="C5146" s="43" t="s">
        <v>63</v>
      </c>
      <c r="D5146" s="43" t="s">
        <v>6237</v>
      </c>
      <c r="E5146" s="44" t="s">
        <v>6711</v>
      </c>
      <c r="F5146" s="42" t="s">
        <v>6712</v>
      </c>
      <c r="G5146" s="42" t="s">
        <v>88</v>
      </c>
      <c r="H5146" s="45" t="s">
        <v>6803</v>
      </c>
      <c r="I5146" s="47" t="e">
        <f>VLOOKUP(H5146,'合同综合查询数据（3月返）'!$A:$A,1,FALSE)</f>
        <v>#N/A</v>
      </c>
      <c r="J5146" s="48" t="s">
        <v>3074</v>
      </c>
      <c r="K5146" s="42" t="s">
        <v>6815</v>
      </c>
      <c r="L5146" s="49"/>
      <c r="M5146" s="50" t="s">
        <v>6805</v>
      </c>
      <c r="N5146" s="51" t="s">
        <v>6817</v>
      </c>
      <c r="O5146" s="51" t="s">
        <v>92</v>
      </c>
      <c r="P5146" s="366">
        <v>4100</v>
      </c>
      <c r="Q5146" s="372">
        <v>-2</v>
      </c>
      <c r="R5146" s="54">
        <f t="shared" si="115"/>
        <v>-8200</v>
      </c>
      <c r="S5146" s="55">
        <v>202303</v>
      </c>
      <c r="T5146" s="56" t="s">
        <v>6818</v>
      </c>
      <c r="U5146" s="57"/>
      <c r="V5146" s="373"/>
      <c r="W5146" s="59"/>
      <c r="X5146" s="374"/>
      <c r="Y5146" s="374"/>
    </row>
    <row r="5147" s="10" customFormat="1" customHeight="1" spans="1:25">
      <c r="A5147" s="42" t="s">
        <v>399</v>
      </c>
      <c r="B5147" s="43" t="s">
        <v>6236</v>
      </c>
      <c r="C5147" s="43" t="s">
        <v>63</v>
      </c>
      <c r="D5147" s="43" t="s">
        <v>6237</v>
      </c>
      <c r="E5147" s="44" t="s">
        <v>6711</v>
      </c>
      <c r="F5147" s="42" t="s">
        <v>6712</v>
      </c>
      <c r="G5147" s="42" t="s">
        <v>88</v>
      </c>
      <c r="H5147" s="45" t="s">
        <v>6803</v>
      </c>
      <c r="I5147" s="47" t="e">
        <f>VLOOKUP(H5147,'合同综合查询数据（3月返）'!$A:$A,1,FALSE)</f>
        <v>#N/A</v>
      </c>
      <c r="J5147" s="48" t="s">
        <v>3074</v>
      </c>
      <c r="K5147" s="42" t="s">
        <v>6804</v>
      </c>
      <c r="L5147" s="49"/>
      <c r="M5147" s="50" t="s">
        <v>6805</v>
      </c>
      <c r="N5147" s="51">
        <v>43678</v>
      </c>
      <c r="O5147" s="51" t="s">
        <v>6809</v>
      </c>
      <c r="P5147" s="366">
        <v>4290</v>
      </c>
      <c r="Q5147" s="372">
        <v>-1</v>
      </c>
      <c r="R5147" s="54">
        <f t="shared" si="115"/>
        <v>-4290</v>
      </c>
      <c r="S5147" s="55">
        <v>202303</v>
      </c>
      <c r="T5147" s="56" t="s">
        <v>6819</v>
      </c>
      <c r="U5147" s="57"/>
      <c r="V5147" s="373"/>
      <c r="W5147" s="59"/>
      <c r="X5147" s="374"/>
      <c r="Y5147" s="374"/>
    </row>
    <row r="5148" s="10" customFormat="1" customHeight="1" spans="1:25">
      <c r="A5148" s="42" t="s">
        <v>399</v>
      </c>
      <c r="B5148" s="43" t="s">
        <v>6236</v>
      </c>
      <c r="C5148" s="43" t="s">
        <v>63</v>
      </c>
      <c r="D5148" s="43" t="s">
        <v>6237</v>
      </c>
      <c r="E5148" s="44" t="s">
        <v>6711</v>
      </c>
      <c r="F5148" s="42" t="s">
        <v>6712</v>
      </c>
      <c r="G5148" s="42" t="s">
        <v>88</v>
      </c>
      <c r="H5148" s="45" t="s">
        <v>6803</v>
      </c>
      <c r="I5148" s="47" t="e">
        <f>VLOOKUP(H5148,'合同综合查询数据（3月返）'!$A:$A,1,FALSE)</f>
        <v>#N/A</v>
      </c>
      <c r="J5148" s="48" t="s">
        <v>3074</v>
      </c>
      <c r="K5148" s="42" t="s">
        <v>6815</v>
      </c>
      <c r="L5148" s="49"/>
      <c r="M5148" s="50" t="s">
        <v>6805</v>
      </c>
      <c r="N5148" s="51">
        <v>43686</v>
      </c>
      <c r="O5148" s="51" t="s">
        <v>6809</v>
      </c>
      <c r="P5148" s="366">
        <v>4100</v>
      </c>
      <c r="Q5148" s="372">
        <v>-84</v>
      </c>
      <c r="R5148" s="54">
        <f t="shared" si="115"/>
        <v>-344400</v>
      </c>
      <c r="S5148" s="55">
        <v>202303</v>
      </c>
      <c r="T5148" s="56" t="s">
        <v>6820</v>
      </c>
      <c r="U5148" s="57"/>
      <c r="V5148" s="373"/>
      <c r="W5148" s="59"/>
      <c r="X5148" s="374"/>
      <c r="Y5148" s="374"/>
    </row>
    <row r="5149" s="10" customFormat="1" customHeight="1" spans="1:25">
      <c r="A5149" s="42" t="s">
        <v>399</v>
      </c>
      <c r="B5149" s="43" t="s">
        <v>6236</v>
      </c>
      <c r="C5149" s="43" t="s">
        <v>63</v>
      </c>
      <c r="D5149" s="43" t="s">
        <v>6237</v>
      </c>
      <c r="E5149" s="44" t="s">
        <v>6711</v>
      </c>
      <c r="F5149" s="42" t="s">
        <v>6712</v>
      </c>
      <c r="G5149" s="42" t="s">
        <v>88</v>
      </c>
      <c r="H5149" s="45" t="s">
        <v>6803</v>
      </c>
      <c r="I5149" s="47" t="e">
        <f>VLOOKUP(H5149,'合同综合查询数据（3月返）'!$A:$A,1,FALSE)</f>
        <v>#N/A</v>
      </c>
      <c r="J5149" s="48" t="s">
        <v>3074</v>
      </c>
      <c r="K5149" s="42" t="s">
        <v>6815</v>
      </c>
      <c r="L5149" s="49"/>
      <c r="M5149" s="50" t="s">
        <v>6805</v>
      </c>
      <c r="N5149" s="51">
        <v>43832</v>
      </c>
      <c r="O5149" s="51" t="s">
        <v>6809</v>
      </c>
      <c r="P5149" s="366">
        <v>4100</v>
      </c>
      <c r="Q5149" s="372">
        <v>1</v>
      </c>
      <c r="R5149" s="54">
        <f t="shared" si="115"/>
        <v>4100</v>
      </c>
      <c r="S5149" s="55">
        <v>202303</v>
      </c>
      <c r="T5149" s="56"/>
      <c r="U5149" s="57"/>
      <c r="V5149" s="373"/>
      <c r="W5149" s="59"/>
      <c r="X5149" s="374"/>
      <c r="Y5149" s="374"/>
    </row>
    <row r="5150" s="10" customFormat="1" customHeight="1" spans="1:25">
      <c r="A5150" s="42" t="s">
        <v>399</v>
      </c>
      <c r="B5150" s="43" t="s">
        <v>6236</v>
      </c>
      <c r="C5150" s="43" t="s">
        <v>63</v>
      </c>
      <c r="D5150" s="43" t="s">
        <v>6237</v>
      </c>
      <c r="E5150" s="44" t="s">
        <v>6711</v>
      </c>
      <c r="F5150" s="42" t="s">
        <v>6712</v>
      </c>
      <c r="G5150" s="42" t="s">
        <v>88</v>
      </c>
      <c r="H5150" s="45" t="s">
        <v>6803</v>
      </c>
      <c r="I5150" s="47" t="e">
        <f>VLOOKUP(H5150,'合同综合查询数据（3月返）'!$A:$A,1,FALSE)</f>
        <v>#N/A</v>
      </c>
      <c r="J5150" s="48" t="s">
        <v>3074</v>
      </c>
      <c r="K5150" s="42" t="s">
        <v>6815</v>
      </c>
      <c r="L5150" s="49"/>
      <c r="M5150" s="50" t="s">
        <v>6805</v>
      </c>
      <c r="N5150" s="51">
        <v>43833</v>
      </c>
      <c r="O5150" s="51" t="s">
        <v>6809</v>
      </c>
      <c r="P5150" s="366">
        <v>4100</v>
      </c>
      <c r="Q5150" s="372">
        <v>3</v>
      </c>
      <c r="R5150" s="54">
        <f t="shared" si="115"/>
        <v>12300</v>
      </c>
      <c r="S5150" s="55">
        <v>202303</v>
      </c>
      <c r="T5150" s="56"/>
      <c r="U5150" s="57"/>
      <c r="V5150" s="373"/>
      <c r="W5150" s="59"/>
      <c r="X5150" s="374"/>
      <c r="Y5150" s="374"/>
    </row>
    <row r="5151" s="10" customFormat="1" customHeight="1" spans="1:25">
      <c r="A5151" s="42" t="s">
        <v>399</v>
      </c>
      <c r="B5151" s="43" t="s">
        <v>6236</v>
      </c>
      <c r="C5151" s="43" t="s">
        <v>63</v>
      </c>
      <c r="D5151" s="43" t="s">
        <v>6237</v>
      </c>
      <c r="E5151" s="44" t="s">
        <v>6711</v>
      </c>
      <c r="F5151" s="42" t="s">
        <v>6712</v>
      </c>
      <c r="G5151" s="42" t="s">
        <v>88</v>
      </c>
      <c r="H5151" s="45" t="s">
        <v>6803</v>
      </c>
      <c r="I5151" s="47" t="e">
        <f>VLOOKUP(H5151,'合同综合查询数据（3月返）'!$A:$A,1,FALSE)</f>
        <v>#N/A</v>
      </c>
      <c r="J5151" s="48" t="s">
        <v>3074</v>
      </c>
      <c r="K5151" s="42" t="s">
        <v>6815</v>
      </c>
      <c r="L5151" s="49"/>
      <c r="M5151" s="50" t="s">
        <v>6805</v>
      </c>
      <c r="N5151" s="51">
        <v>43836</v>
      </c>
      <c r="O5151" s="51" t="s">
        <v>6809</v>
      </c>
      <c r="P5151" s="366">
        <v>4100</v>
      </c>
      <c r="Q5151" s="372">
        <v>1</v>
      </c>
      <c r="R5151" s="54">
        <f t="shared" si="115"/>
        <v>4100</v>
      </c>
      <c r="S5151" s="55">
        <v>202303</v>
      </c>
      <c r="T5151" s="56"/>
      <c r="U5151" s="57"/>
      <c r="V5151" s="373"/>
      <c r="W5151" s="59"/>
      <c r="X5151" s="374"/>
      <c r="Y5151" s="374"/>
    </row>
    <row r="5152" s="10" customFormat="1" customHeight="1" spans="1:25">
      <c r="A5152" s="42" t="s">
        <v>399</v>
      </c>
      <c r="B5152" s="43" t="s">
        <v>6236</v>
      </c>
      <c r="C5152" s="43" t="s">
        <v>63</v>
      </c>
      <c r="D5152" s="43" t="s">
        <v>6237</v>
      </c>
      <c r="E5152" s="44" t="s">
        <v>6711</v>
      </c>
      <c r="F5152" s="42" t="s">
        <v>6712</v>
      </c>
      <c r="G5152" s="42" t="s">
        <v>88</v>
      </c>
      <c r="H5152" s="45" t="s">
        <v>6803</v>
      </c>
      <c r="I5152" s="47" t="e">
        <f>VLOOKUP(H5152,'合同综合查询数据（3月返）'!$A:$A,1,FALSE)</f>
        <v>#N/A</v>
      </c>
      <c r="J5152" s="48" t="s">
        <v>3074</v>
      </c>
      <c r="K5152" s="42" t="s">
        <v>6815</v>
      </c>
      <c r="L5152" s="49"/>
      <c r="M5152" s="50" t="s">
        <v>6805</v>
      </c>
      <c r="N5152" s="51">
        <v>43812</v>
      </c>
      <c r="O5152" s="51" t="s">
        <v>6809</v>
      </c>
      <c r="P5152" s="366">
        <v>4100</v>
      </c>
      <c r="Q5152" s="372">
        <v>1</v>
      </c>
      <c r="R5152" s="54">
        <f t="shared" si="115"/>
        <v>4100</v>
      </c>
      <c r="S5152" s="55">
        <v>202303</v>
      </c>
      <c r="T5152" s="56"/>
      <c r="U5152" s="57"/>
      <c r="V5152" s="373"/>
      <c r="W5152" s="59"/>
      <c r="X5152" s="374"/>
      <c r="Y5152" s="374"/>
    </row>
    <row r="5153" s="10" customFormat="1" customHeight="1" spans="1:25">
      <c r="A5153" s="42" t="s">
        <v>399</v>
      </c>
      <c r="B5153" s="43" t="s">
        <v>6236</v>
      </c>
      <c r="C5153" s="43" t="s">
        <v>63</v>
      </c>
      <c r="D5153" s="43" t="s">
        <v>6237</v>
      </c>
      <c r="E5153" s="44" t="s">
        <v>6711</v>
      </c>
      <c r="F5153" s="42" t="s">
        <v>6712</v>
      </c>
      <c r="G5153" s="42" t="s">
        <v>88</v>
      </c>
      <c r="H5153" s="45" t="s">
        <v>6803</v>
      </c>
      <c r="I5153" s="47" t="e">
        <f>VLOOKUP(H5153,'合同综合查询数据（3月返）'!$A:$A,1,FALSE)</f>
        <v>#N/A</v>
      </c>
      <c r="J5153" s="48" t="s">
        <v>3074</v>
      </c>
      <c r="K5153" s="42" t="s">
        <v>6815</v>
      </c>
      <c r="L5153" s="49"/>
      <c r="M5153" s="50" t="s">
        <v>6805</v>
      </c>
      <c r="N5153" s="51" t="s">
        <v>6821</v>
      </c>
      <c r="O5153" s="51" t="s">
        <v>6809</v>
      </c>
      <c r="P5153" s="366">
        <v>4100</v>
      </c>
      <c r="Q5153" s="372">
        <v>-1</v>
      </c>
      <c r="R5153" s="54">
        <f t="shared" si="115"/>
        <v>-4100</v>
      </c>
      <c r="S5153" s="55">
        <v>202303</v>
      </c>
      <c r="T5153" s="56"/>
      <c r="U5153" s="57"/>
      <c r="V5153" s="373"/>
      <c r="W5153" s="59"/>
      <c r="X5153" s="374"/>
      <c r="Y5153" s="374"/>
    </row>
    <row r="5154" s="10" customFormat="1" customHeight="1" spans="1:25">
      <c r="A5154" s="42" t="s">
        <v>399</v>
      </c>
      <c r="B5154" s="43" t="s">
        <v>6236</v>
      </c>
      <c r="C5154" s="43" t="s">
        <v>63</v>
      </c>
      <c r="D5154" s="43" t="s">
        <v>6237</v>
      </c>
      <c r="E5154" s="44" t="s">
        <v>6711</v>
      </c>
      <c r="F5154" s="42" t="s">
        <v>6712</v>
      </c>
      <c r="G5154" s="42" t="s">
        <v>88</v>
      </c>
      <c r="H5154" s="45" t="s">
        <v>6803</v>
      </c>
      <c r="I5154" s="47" t="e">
        <f>VLOOKUP(H5154,'合同综合查询数据（3月返）'!$A:$A,1,FALSE)</f>
        <v>#N/A</v>
      </c>
      <c r="J5154" s="48" t="s">
        <v>3074</v>
      </c>
      <c r="K5154" s="42" t="s">
        <v>6815</v>
      </c>
      <c r="L5154" s="49"/>
      <c r="M5154" s="50" t="s">
        <v>6805</v>
      </c>
      <c r="N5154" s="51">
        <v>43945</v>
      </c>
      <c r="O5154" s="51" t="s">
        <v>6809</v>
      </c>
      <c r="P5154" s="366">
        <v>4100</v>
      </c>
      <c r="Q5154" s="372">
        <v>15</v>
      </c>
      <c r="R5154" s="54">
        <f t="shared" si="115"/>
        <v>61500</v>
      </c>
      <c r="S5154" s="55">
        <v>202303</v>
      </c>
      <c r="T5154" s="56"/>
      <c r="U5154" s="57"/>
      <c r="V5154" s="373"/>
      <c r="W5154" s="59"/>
      <c r="X5154" s="374"/>
      <c r="Y5154" s="374"/>
    </row>
    <row r="5155" s="10" customFormat="1" customHeight="1" spans="1:25">
      <c r="A5155" s="42" t="s">
        <v>399</v>
      </c>
      <c r="B5155" s="43" t="s">
        <v>6236</v>
      </c>
      <c r="C5155" s="43" t="s">
        <v>63</v>
      </c>
      <c r="D5155" s="43" t="s">
        <v>6237</v>
      </c>
      <c r="E5155" s="44" t="s">
        <v>6711</v>
      </c>
      <c r="F5155" s="42" t="s">
        <v>6712</v>
      </c>
      <c r="G5155" s="42" t="s">
        <v>88</v>
      </c>
      <c r="H5155" s="45" t="s">
        <v>6803</v>
      </c>
      <c r="I5155" s="47" t="e">
        <f>VLOOKUP(H5155,'合同综合查询数据（3月返）'!$A:$A,1,FALSE)</f>
        <v>#N/A</v>
      </c>
      <c r="J5155" s="48" t="s">
        <v>3074</v>
      </c>
      <c r="K5155" s="42" t="s">
        <v>6815</v>
      </c>
      <c r="L5155" s="49"/>
      <c r="M5155" s="50" t="s">
        <v>6805</v>
      </c>
      <c r="N5155" s="51">
        <v>43944</v>
      </c>
      <c r="O5155" s="51" t="s">
        <v>6809</v>
      </c>
      <c r="P5155" s="366">
        <v>4100</v>
      </c>
      <c r="Q5155" s="372">
        <v>45</v>
      </c>
      <c r="R5155" s="54">
        <f t="shared" si="115"/>
        <v>184500</v>
      </c>
      <c r="S5155" s="55">
        <v>202303</v>
      </c>
      <c r="T5155" s="56"/>
      <c r="U5155" s="57"/>
      <c r="V5155" s="373"/>
      <c r="W5155" s="59"/>
      <c r="X5155" s="374"/>
      <c r="Y5155" s="374"/>
    </row>
    <row r="5156" s="10" customFormat="1" customHeight="1" spans="1:25">
      <c r="A5156" s="42" t="s">
        <v>399</v>
      </c>
      <c r="B5156" s="43" t="s">
        <v>6236</v>
      </c>
      <c r="C5156" s="43" t="s">
        <v>63</v>
      </c>
      <c r="D5156" s="43" t="s">
        <v>6237</v>
      </c>
      <c r="E5156" s="44" t="s">
        <v>6711</v>
      </c>
      <c r="F5156" s="42" t="s">
        <v>6712</v>
      </c>
      <c r="G5156" s="42" t="s">
        <v>88</v>
      </c>
      <c r="H5156" s="45" t="s">
        <v>6803</v>
      </c>
      <c r="I5156" s="47" t="e">
        <f>VLOOKUP(H5156,'合同综合查询数据（3月返）'!$A:$A,1,FALSE)</f>
        <v>#N/A</v>
      </c>
      <c r="J5156" s="48" t="s">
        <v>3074</v>
      </c>
      <c r="K5156" s="42" t="s">
        <v>6815</v>
      </c>
      <c r="L5156" s="49"/>
      <c r="M5156" s="50" t="s">
        <v>6805</v>
      </c>
      <c r="N5156" s="51">
        <v>43952</v>
      </c>
      <c r="O5156" s="51" t="s">
        <v>6809</v>
      </c>
      <c r="P5156" s="366">
        <v>4100</v>
      </c>
      <c r="Q5156" s="372">
        <v>18</v>
      </c>
      <c r="R5156" s="54">
        <f>ROUND(P5156*Q5156,2)</f>
        <v>73800</v>
      </c>
      <c r="S5156" s="55">
        <v>202303</v>
      </c>
      <c r="T5156" s="56"/>
      <c r="U5156" s="57"/>
      <c r="V5156" s="373"/>
      <c r="W5156" s="59"/>
      <c r="X5156" s="374"/>
      <c r="Y5156" s="374"/>
    </row>
    <row r="5157" s="10" customFormat="1" customHeight="1" spans="1:25">
      <c r="A5157" s="42" t="s">
        <v>399</v>
      </c>
      <c r="B5157" s="43" t="s">
        <v>6236</v>
      </c>
      <c r="C5157" s="43" t="s">
        <v>63</v>
      </c>
      <c r="D5157" s="43" t="s">
        <v>6237</v>
      </c>
      <c r="E5157" s="44" t="s">
        <v>6711</v>
      </c>
      <c r="F5157" s="42" t="s">
        <v>6712</v>
      </c>
      <c r="G5157" s="42" t="s">
        <v>88</v>
      </c>
      <c r="H5157" s="45" t="s">
        <v>6803</v>
      </c>
      <c r="I5157" s="47" t="e">
        <f>VLOOKUP(H5157,'合同综合查询数据（3月返）'!$A:$A,1,FALSE)</f>
        <v>#N/A</v>
      </c>
      <c r="J5157" s="48" t="s">
        <v>3074</v>
      </c>
      <c r="K5157" s="42" t="s">
        <v>6815</v>
      </c>
      <c r="L5157" s="49"/>
      <c r="M5157" s="50" t="s">
        <v>6805</v>
      </c>
      <c r="N5157" s="51">
        <v>44176</v>
      </c>
      <c r="O5157" s="51" t="s">
        <v>6809</v>
      </c>
      <c r="P5157" s="366">
        <v>4100</v>
      </c>
      <c r="Q5157" s="372">
        <v>1</v>
      </c>
      <c r="R5157" s="144">
        <f>ROUND(Q5157*P5157,2)</f>
        <v>4100</v>
      </c>
      <c r="S5157" s="55">
        <v>202303</v>
      </c>
      <c r="T5157" s="56" t="s">
        <v>6822</v>
      </c>
      <c r="U5157" s="57"/>
      <c r="V5157" s="373"/>
      <c r="W5157" s="59"/>
      <c r="X5157" s="374"/>
      <c r="Y5157" s="374"/>
    </row>
    <row r="5158" s="10" customFormat="1" customHeight="1" spans="1:25">
      <c r="A5158" s="42" t="s">
        <v>399</v>
      </c>
      <c r="B5158" s="43" t="s">
        <v>6236</v>
      </c>
      <c r="C5158" s="43" t="s">
        <v>63</v>
      </c>
      <c r="D5158" s="43" t="s">
        <v>6237</v>
      </c>
      <c r="E5158" s="44" t="s">
        <v>6711</v>
      </c>
      <c r="F5158" s="42" t="s">
        <v>6712</v>
      </c>
      <c r="G5158" s="42" t="s">
        <v>88</v>
      </c>
      <c r="H5158" s="45" t="s">
        <v>6823</v>
      </c>
      <c r="I5158" s="47" t="e">
        <f>VLOOKUP(H5158,'合同综合查询数据（3月返）'!$A:$A,1,FALSE)</f>
        <v>#N/A</v>
      </c>
      <c r="J5158" s="48" t="s">
        <v>3074</v>
      </c>
      <c r="K5158" s="42" t="s">
        <v>6815</v>
      </c>
      <c r="L5158" s="49"/>
      <c r="M5158" s="50" t="s">
        <v>6805</v>
      </c>
      <c r="N5158" s="51" t="s">
        <v>1225</v>
      </c>
      <c r="O5158" s="51" t="s">
        <v>1320</v>
      </c>
      <c r="P5158" s="366">
        <v>4100</v>
      </c>
      <c r="Q5158" s="372">
        <v>6</v>
      </c>
      <c r="R5158" s="144">
        <f>ROUND(Q5158*P5158*5,2)</f>
        <v>123000</v>
      </c>
      <c r="S5158" s="55">
        <v>202303</v>
      </c>
      <c r="T5158" s="56" t="s">
        <v>6824</v>
      </c>
      <c r="U5158" s="57"/>
      <c r="V5158" s="373"/>
      <c r="W5158" s="59"/>
      <c r="X5158" s="374"/>
      <c r="Y5158" s="374"/>
    </row>
    <row r="5159" s="10" customFormat="1" customHeight="1" spans="1:25">
      <c r="A5159" s="42" t="s">
        <v>399</v>
      </c>
      <c r="B5159" s="43" t="s">
        <v>6236</v>
      </c>
      <c r="C5159" s="43" t="s">
        <v>63</v>
      </c>
      <c r="D5159" s="43" t="s">
        <v>6237</v>
      </c>
      <c r="E5159" s="44" t="s">
        <v>6711</v>
      </c>
      <c r="F5159" s="42" t="s">
        <v>6712</v>
      </c>
      <c r="G5159" s="42" t="s">
        <v>88</v>
      </c>
      <c r="H5159" s="45" t="s">
        <v>6823</v>
      </c>
      <c r="I5159" s="47" t="e">
        <f>VLOOKUP(H5159,'合同综合查询数据（3月返）'!$A:$A,1,FALSE)</f>
        <v>#N/A</v>
      </c>
      <c r="J5159" s="48" t="s">
        <v>3074</v>
      </c>
      <c r="K5159" s="42" t="s">
        <v>6815</v>
      </c>
      <c r="L5159" s="49"/>
      <c r="M5159" s="50" t="s">
        <v>6805</v>
      </c>
      <c r="N5159" s="51" t="s">
        <v>1225</v>
      </c>
      <c r="O5159" s="51" t="s">
        <v>92</v>
      </c>
      <c r="P5159" s="366">
        <v>4100</v>
      </c>
      <c r="Q5159" s="372">
        <v>2</v>
      </c>
      <c r="R5159" s="144">
        <f>ROUND(Q5159*P5159,2)</f>
        <v>8200</v>
      </c>
      <c r="S5159" s="55">
        <v>202303</v>
      </c>
      <c r="T5159" s="56" t="s">
        <v>6825</v>
      </c>
      <c r="U5159" s="57"/>
      <c r="V5159" s="373"/>
      <c r="W5159" s="59"/>
      <c r="X5159" s="374"/>
      <c r="Y5159" s="374"/>
    </row>
    <row r="5160" s="10" customFormat="1" customHeight="1" spans="1:25">
      <c r="A5160" s="42" t="s">
        <v>399</v>
      </c>
      <c r="B5160" s="43" t="s">
        <v>6236</v>
      </c>
      <c r="C5160" s="43" t="s">
        <v>63</v>
      </c>
      <c r="D5160" s="43" t="s">
        <v>6237</v>
      </c>
      <c r="E5160" s="44" t="s">
        <v>6711</v>
      </c>
      <c r="F5160" s="42" t="s">
        <v>6712</v>
      </c>
      <c r="G5160" s="42" t="s">
        <v>88</v>
      </c>
      <c r="H5160" s="45" t="s">
        <v>6823</v>
      </c>
      <c r="I5160" s="47" t="e">
        <f>VLOOKUP(H5160,'合同综合查询数据（3月返）'!$A:$A,1,FALSE)</f>
        <v>#N/A</v>
      </c>
      <c r="J5160" s="48" t="s">
        <v>3074</v>
      </c>
      <c r="K5160" s="42" t="s">
        <v>6815</v>
      </c>
      <c r="L5160" s="49"/>
      <c r="M5160" s="50" t="s">
        <v>6805</v>
      </c>
      <c r="N5160" s="51" t="s">
        <v>1225</v>
      </c>
      <c r="O5160" s="51" t="s">
        <v>545</v>
      </c>
      <c r="P5160" s="366">
        <v>4100</v>
      </c>
      <c r="Q5160" s="372">
        <v>2</v>
      </c>
      <c r="R5160" s="144">
        <f>ROUND(Q5160*P5160,2)</f>
        <v>8200</v>
      </c>
      <c r="S5160" s="55">
        <v>202303</v>
      </c>
      <c r="T5160" s="56" t="s">
        <v>6826</v>
      </c>
      <c r="U5160" s="57"/>
      <c r="V5160" s="373"/>
      <c r="W5160" s="59"/>
      <c r="X5160" s="374"/>
      <c r="Y5160" s="374"/>
    </row>
    <row r="5161" s="10" customFormat="1" customHeight="1" spans="1:25">
      <c r="A5161" s="42" t="s">
        <v>399</v>
      </c>
      <c r="B5161" s="43" t="s">
        <v>6236</v>
      </c>
      <c r="C5161" s="43" t="s">
        <v>63</v>
      </c>
      <c r="D5161" s="43" t="s">
        <v>6237</v>
      </c>
      <c r="E5161" s="44" t="s">
        <v>6711</v>
      </c>
      <c r="F5161" s="42" t="s">
        <v>6712</v>
      </c>
      <c r="G5161" s="42" t="s">
        <v>88</v>
      </c>
      <c r="H5161" s="45" t="s">
        <v>6823</v>
      </c>
      <c r="I5161" s="47" t="e">
        <f>VLOOKUP(H5161,'合同综合查询数据（3月返）'!$A:$A,1,FALSE)</f>
        <v>#N/A</v>
      </c>
      <c r="J5161" s="48" t="s">
        <v>3074</v>
      </c>
      <c r="K5161" s="42" t="s">
        <v>6815</v>
      </c>
      <c r="L5161" s="49"/>
      <c r="M5161" s="50" t="s">
        <v>6805</v>
      </c>
      <c r="N5161" s="51">
        <v>44865.4563773148</v>
      </c>
      <c r="O5161" s="51" t="s">
        <v>6827</v>
      </c>
      <c r="P5161" s="366">
        <v>4100</v>
      </c>
      <c r="Q5161" s="372">
        <v>-1</v>
      </c>
      <c r="R5161" s="144">
        <f>ROUND(Q5161*P5161,2)</f>
        <v>-4100</v>
      </c>
      <c r="S5161" s="55">
        <v>202303</v>
      </c>
      <c r="T5161" s="56" t="s">
        <v>6828</v>
      </c>
      <c r="U5161" s="57"/>
      <c r="V5161" s="373"/>
      <c r="W5161" s="59"/>
      <c r="X5161" s="374"/>
      <c r="Y5161" s="374"/>
    </row>
    <row r="5162" s="10" customFormat="1" customHeight="1" spans="1:25">
      <c r="A5162" s="42" t="s">
        <v>399</v>
      </c>
      <c r="B5162" s="43" t="s">
        <v>6236</v>
      </c>
      <c r="C5162" s="43" t="s">
        <v>63</v>
      </c>
      <c r="D5162" s="43" t="s">
        <v>6237</v>
      </c>
      <c r="E5162" s="44" t="s">
        <v>6711</v>
      </c>
      <c r="F5162" s="42" t="s">
        <v>6712</v>
      </c>
      <c r="G5162" s="42" t="s">
        <v>88</v>
      </c>
      <c r="H5162" s="45" t="s">
        <v>6803</v>
      </c>
      <c r="I5162" s="47" t="e">
        <f>VLOOKUP(H5162,'合同综合查询数据（3月返）'!$A:$A,1,FALSE)</f>
        <v>#N/A</v>
      </c>
      <c r="J5162" s="48" t="s">
        <v>3074</v>
      </c>
      <c r="K5162" s="42" t="s">
        <v>6815</v>
      </c>
      <c r="L5162" s="49"/>
      <c r="M5162" s="50" t="s">
        <v>6805</v>
      </c>
      <c r="N5162" s="51">
        <v>44865.4563773148</v>
      </c>
      <c r="O5162" s="51" t="s">
        <v>6827</v>
      </c>
      <c r="P5162" s="366">
        <v>4100</v>
      </c>
      <c r="Q5162" s="372">
        <v>-1</v>
      </c>
      <c r="R5162" s="144">
        <f>ROUND(Q5162*P5162,2)</f>
        <v>-4100</v>
      </c>
      <c r="S5162" s="55">
        <v>202303</v>
      </c>
      <c r="T5162" s="56" t="s">
        <v>6829</v>
      </c>
      <c r="U5162" s="57"/>
      <c r="V5162" s="373"/>
      <c r="W5162" s="59"/>
      <c r="X5162" s="374"/>
      <c r="Y5162" s="374"/>
    </row>
    <row r="5163" s="10" customFormat="1" customHeight="1" spans="1:25">
      <c r="A5163" s="42" t="s">
        <v>399</v>
      </c>
      <c r="B5163" s="43" t="s">
        <v>6236</v>
      </c>
      <c r="C5163" s="43" t="s">
        <v>63</v>
      </c>
      <c r="D5163" s="43" t="s">
        <v>6237</v>
      </c>
      <c r="E5163" s="44" t="s">
        <v>6711</v>
      </c>
      <c r="F5163" s="42" t="s">
        <v>6712</v>
      </c>
      <c r="G5163" s="42" t="s">
        <v>88</v>
      </c>
      <c r="H5163" s="45" t="s">
        <v>6803</v>
      </c>
      <c r="I5163" s="47" t="e">
        <f>VLOOKUP(H5163,'合同综合查询数据（3月返）'!$A:$A,1,FALSE)</f>
        <v>#N/A</v>
      </c>
      <c r="J5163" s="48" t="s">
        <v>3074</v>
      </c>
      <c r="K5163" s="42" t="s">
        <v>6830</v>
      </c>
      <c r="L5163" s="49"/>
      <c r="M5163" s="50" t="s">
        <v>6831</v>
      </c>
      <c r="N5163" s="51" t="s">
        <v>503</v>
      </c>
      <c r="O5163" s="51" t="s">
        <v>92</v>
      </c>
      <c r="P5163" s="366">
        <v>4000</v>
      </c>
      <c r="Q5163" s="372">
        <v>279</v>
      </c>
      <c r="R5163" s="54">
        <f t="shared" ref="R5163:R5186" si="116">ROUND(P5163*Q5163,2)</f>
        <v>1116000</v>
      </c>
      <c r="S5163" s="55">
        <v>202303</v>
      </c>
      <c r="T5163" s="56"/>
      <c r="U5163" s="57"/>
      <c r="V5163" s="373"/>
      <c r="W5163" s="59"/>
      <c r="X5163" s="374"/>
      <c r="Y5163" s="374"/>
    </row>
    <row r="5164" s="10" customFormat="1" customHeight="1" spans="1:25">
      <c r="A5164" s="42" t="s">
        <v>399</v>
      </c>
      <c r="B5164" s="43" t="s">
        <v>6236</v>
      </c>
      <c r="C5164" s="43" t="s">
        <v>63</v>
      </c>
      <c r="D5164" s="43" t="s">
        <v>6237</v>
      </c>
      <c r="E5164" s="44" t="s">
        <v>6711</v>
      </c>
      <c r="F5164" s="42" t="s">
        <v>6712</v>
      </c>
      <c r="G5164" s="42" t="s">
        <v>88</v>
      </c>
      <c r="H5164" s="45" t="s">
        <v>6803</v>
      </c>
      <c r="I5164" s="47" t="e">
        <f>VLOOKUP(H5164,'合同综合查询数据（3月返）'!$A:$A,1,FALSE)</f>
        <v>#N/A</v>
      </c>
      <c r="J5164" s="48" t="s">
        <v>3074</v>
      </c>
      <c r="K5164" s="42" t="s">
        <v>6830</v>
      </c>
      <c r="L5164" s="49"/>
      <c r="M5164" s="50" t="s">
        <v>6831</v>
      </c>
      <c r="N5164" s="51" t="s">
        <v>503</v>
      </c>
      <c r="O5164" s="51" t="s">
        <v>506</v>
      </c>
      <c r="P5164" s="366">
        <v>8000</v>
      </c>
      <c r="Q5164" s="372">
        <v>4</v>
      </c>
      <c r="R5164" s="54">
        <f t="shared" si="116"/>
        <v>32000</v>
      </c>
      <c r="S5164" s="55">
        <v>202303</v>
      </c>
      <c r="T5164" s="56" t="s">
        <v>6832</v>
      </c>
      <c r="U5164" s="57"/>
      <c r="V5164" s="373"/>
      <c r="W5164" s="59"/>
      <c r="X5164" s="374"/>
      <c r="Y5164" s="374"/>
    </row>
    <row r="5165" s="10" customFormat="1" customHeight="1" spans="1:25">
      <c r="A5165" s="42" t="s">
        <v>399</v>
      </c>
      <c r="B5165" s="43" t="s">
        <v>6236</v>
      </c>
      <c r="C5165" s="43" t="s">
        <v>63</v>
      </c>
      <c r="D5165" s="43" t="s">
        <v>6237</v>
      </c>
      <c r="E5165" s="44" t="s">
        <v>6711</v>
      </c>
      <c r="F5165" s="42" t="s">
        <v>6712</v>
      </c>
      <c r="G5165" s="42" t="s">
        <v>88</v>
      </c>
      <c r="H5165" s="45" t="s">
        <v>6803</v>
      </c>
      <c r="I5165" s="47" t="e">
        <f>VLOOKUP(H5165,'合同综合查询数据（3月返）'!$A:$A,1,FALSE)</f>
        <v>#N/A</v>
      </c>
      <c r="J5165" s="48" t="s">
        <v>3074</v>
      </c>
      <c r="K5165" s="42" t="s">
        <v>6830</v>
      </c>
      <c r="L5165" s="49"/>
      <c r="M5165" s="50" t="s">
        <v>6831</v>
      </c>
      <c r="N5165" s="51" t="s">
        <v>503</v>
      </c>
      <c r="O5165" s="51" t="s">
        <v>519</v>
      </c>
      <c r="P5165" s="366">
        <v>18000</v>
      </c>
      <c r="Q5165" s="372">
        <v>6</v>
      </c>
      <c r="R5165" s="54">
        <f t="shared" si="116"/>
        <v>108000</v>
      </c>
      <c r="S5165" s="55">
        <v>202303</v>
      </c>
      <c r="T5165" s="56" t="s">
        <v>6833</v>
      </c>
      <c r="U5165" s="57"/>
      <c r="V5165" s="373"/>
      <c r="W5165" s="59"/>
      <c r="X5165" s="374"/>
      <c r="Y5165" s="374"/>
    </row>
    <row r="5166" s="10" customFormat="1" customHeight="1" spans="1:25">
      <c r="A5166" s="42" t="s">
        <v>399</v>
      </c>
      <c r="B5166" s="43" t="s">
        <v>6236</v>
      </c>
      <c r="C5166" s="43" t="s">
        <v>63</v>
      </c>
      <c r="D5166" s="43" t="s">
        <v>6237</v>
      </c>
      <c r="E5166" s="44" t="s">
        <v>6711</v>
      </c>
      <c r="F5166" s="42" t="s">
        <v>6712</v>
      </c>
      <c r="G5166" s="42" t="s">
        <v>88</v>
      </c>
      <c r="H5166" s="45" t="s">
        <v>6834</v>
      </c>
      <c r="I5166" s="47" t="e">
        <f>VLOOKUP(H5166,'合同综合查询数据（3月返）'!$A:$A,1,FALSE)</f>
        <v>#N/A</v>
      </c>
      <c r="J5166" s="48" t="s">
        <v>3074</v>
      </c>
      <c r="K5166" s="42" t="s">
        <v>6830</v>
      </c>
      <c r="L5166" s="49"/>
      <c r="M5166" s="50" t="s">
        <v>6831</v>
      </c>
      <c r="N5166" s="51">
        <v>43922</v>
      </c>
      <c r="O5166" s="51" t="s">
        <v>545</v>
      </c>
      <c r="P5166" s="366">
        <v>3000</v>
      </c>
      <c r="Q5166" s="372">
        <v>4</v>
      </c>
      <c r="R5166" s="54">
        <f t="shared" si="116"/>
        <v>12000</v>
      </c>
      <c r="S5166" s="55">
        <v>202303</v>
      </c>
      <c r="T5166" s="56" t="s">
        <v>6835</v>
      </c>
      <c r="U5166" s="57"/>
      <c r="V5166" s="373"/>
      <c r="W5166" s="59"/>
      <c r="X5166" s="374"/>
      <c r="Y5166" s="374"/>
    </row>
    <row r="5167" s="10" customFormat="1" customHeight="1" spans="1:25">
      <c r="A5167" s="42" t="s">
        <v>399</v>
      </c>
      <c r="B5167" s="43" t="s">
        <v>6236</v>
      </c>
      <c r="C5167" s="43" t="s">
        <v>63</v>
      </c>
      <c r="D5167" s="43" t="s">
        <v>6237</v>
      </c>
      <c r="E5167" s="44" t="s">
        <v>6711</v>
      </c>
      <c r="F5167" s="42" t="s">
        <v>6712</v>
      </c>
      <c r="G5167" s="42" t="s">
        <v>88</v>
      </c>
      <c r="H5167" s="45" t="s">
        <v>6803</v>
      </c>
      <c r="I5167" s="47" t="e">
        <f>VLOOKUP(H5167,'合同综合查询数据（3月返）'!$A:$A,1,FALSE)</f>
        <v>#N/A</v>
      </c>
      <c r="J5167" s="48" t="s">
        <v>3074</v>
      </c>
      <c r="K5167" s="42" t="s">
        <v>6830</v>
      </c>
      <c r="L5167" s="49"/>
      <c r="M5167" s="50" t="s">
        <v>6831</v>
      </c>
      <c r="N5167" s="51" t="s">
        <v>6836</v>
      </c>
      <c r="O5167" s="51" t="s">
        <v>92</v>
      </c>
      <c r="P5167" s="366">
        <v>4000</v>
      </c>
      <c r="Q5167" s="372">
        <v>-1</v>
      </c>
      <c r="R5167" s="54">
        <f t="shared" si="116"/>
        <v>-4000</v>
      </c>
      <c r="S5167" s="55">
        <v>202303</v>
      </c>
      <c r="T5167" s="56" t="s">
        <v>6837</v>
      </c>
      <c r="U5167" s="57"/>
      <c r="V5167" s="373"/>
      <c r="W5167" s="59"/>
      <c r="X5167" s="374"/>
      <c r="Y5167" s="374"/>
    </row>
    <row r="5168" s="10" customFormat="1" customHeight="1" spans="1:25">
      <c r="A5168" s="42" t="s">
        <v>399</v>
      </c>
      <c r="B5168" s="43" t="s">
        <v>6236</v>
      </c>
      <c r="C5168" s="43" t="s">
        <v>63</v>
      </c>
      <c r="D5168" s="43" t="s">
        <v>6237</v>
      </c>
      <c r="E5168" s="44" t="s">
        <v>6711</v>
      </c>
      <c r="F5168" s="42" t="s">
        <v>6712</v>
      </c>
      <c r="G5168" s="42" t="s">
        <v>88</v>
      </c>
      <c r="H5168" s="45" t="s">
        <v>6803</v>
      </c>
      <c r="I5168" s="47" t="e">
        <f>VLOOKUP(H5168,'合同综合查询数据（3月返）'!$A:$A,1,FALSE)</f>
        <v>#N/A</v>
      </c>
      <c r="J5168" s="48" t="s">
        <v>3074</v>
      </c>
      <c r="K5168" s="42" t="s">
        <v>6830</v>
      </c>
      <c r="L5168" s="49"/>
      <c r="M5168" s="50" t="s">
        <v>6831</v>
      </c>
      <c r="N5168" s="51">
        <v>44930</v>
      </c>
      <c r="O5168" s="51" t="s">
        <v>92</v>
      </c>
      <c r="P5168" s="366">
        <v>4000</v>
      </c>
      <c r="Q5168" s="372">
        <v>-251</v>
      </c>
      <c r="R5168" s="69">
        <f t="shared" si="116"/>
        <v>-1004000</v>
      </c>
      <c r="S5168" s="55">
        <v>202303</v>
      </c>
      <c r="T5168" s="56" t="s">
        <v>6838</v>
      </c>
      <c r="U5168" s="57"/>
      <c r="V5168" s="373"/>
      <c r="W5168" s="59"/>
      <c r="X5168" s="374"/>
      <c r="Y5168" s="374"/>
    </row>
    <row r="5169" s="10" customFormat="1" customHeight="1" spans="1:25">
      <c r="A5169" s="42" t="s">
        <v>399</v>
      </c>
      <c r="B5169" s="43" t="s">
        <v>6236</v>
      </c>
      <c r="C5169" s="43" t="s">
        <v>63</v>
      </c>
      <c r="D5169" s="43" t="s">
        <v>6237</v>
      </c>
      <c r="E5169" s="44" t="s">
        <v>6711</v>
      </c>
      <c r="F5169" s="42" t="s">
        <v>6712</v>
      </c>
      <c r="G5169" s="42" t="s">
        <v>88</v>
      </c>
      <c r="H5169" s="45" t="s">
        <v>6834</v>
      </c>
      <c r="I5169" s="47" t="e">
        <f>VLOOKUP(H5169,'合同综合查询数据（3月返）'!$A:$A,1,FALSE)</f>
        <v>#N/A</v>
      </c>
      <c r="J5169" s="48" t="s">
        <v>3074</v>
      </c>
      <c r="K5169" s="42" t="s">
        <v>6830</v>
      </c>
      <c r="L5169" s="49"/>
      <c r="M5169" s="50" t="s">
        <v>6831</v>
      </c>
      <c r="N5169" s="51">
        <v>44942</v>
      </c>
      <c r="O5169" s="51" t="s">
        <v>545</v>
      </c>
      <c r="P5169" s="366">
        <v>3000</v>
      </c>
      <c r="Q5169" s="372">
        <v>-4</v>
      </c>
      <c r="R5169" s="69">
        <f t="shared" si="116"/>
        <v>-12000</v>
      </c>
      <c r="S5169" s="55">
        <v>202303</v>
      </c>
      <c r="T5169" s="56" t="s">
        <v>6839</v>
      </c>
      <c r="U5169" s="57"/>
      <c r="V5169" s="373"/>
      <c r="W5169" s="59"/>
      <c r="X5169" s="374"/>
      <c r="Y5169" s="374"/>
    </row>
    <row r="5170" s="10" customFormat="1" customHeight="1" spans="1:25">
      <c r="A5170" s="42" t="s">
        <v>399</v>
      </c>
      <c r="B5170" s="43" t="s">
        <v>6236</v>
      </c>
      <c r="C5170" s="43" t="s">
        <v>63</v>
      </c>
      <c r="D5170" s="43" t="s">
        <v>6237</v>
      </c>
      <c r="E5170" s="44" t="s">
        <v>6711</v>
      </c>
      <c r="F5170" s="42" t="s">
        <v>6712</v>
      </c>
      <c r="G5170" s="42" t="s">
        <v>88</v>
      </c>
      <c r="H5170" s="45" t="s">
        <v>6803</v>
      </c>
      <c r="I5170" s="47" t="e">
        <f>VLOOKUP(H5170,'合同综合查询数据（3月返）'!$A:$A,1,FALSE)</f>
        <v>#N/A</v>
      </c>
      <c r="J5170" s="48" t="s">
        <v>3074</v>
      </c>
      <c r="K5170" s="42" t="s">
        <v>6830</v>
      </c>
      <c r="L5170" s="49"/>
      <c r="M5170" s="50" t="s">
        <v>6831</v>
      </c>
      <c r="N5170" s="51">
        <v>44942</v>
      </c>
      <c r="O5170" s="51" t="s">
        <v>92</v>
      </c>
      <c r="P5170" s="366">
        <v>4000</v>
      </c>
      <c r="Q5170" s="372">
        <v>-27</v>
      </c>
      <c r="R5170" s="69">
        <f t="shared" si="116"/>
        <v>-108000</v>
      </c>
      <c r="S5170" s="55">
        <v>202303</v>
      </c>
      <c r="T5170" s="56" t="s">
        <v>6840</v>
      </c>
      <c r="U5170" s="57"/>
      <c r="V5170" s="373"/>
      <c r="W5170" s="59"/>
      <c r="X5170" s="374"/>
      <c r="Y5170" s="374"/>
    </row>
    <row r="5171" s="10" customFormat="1" customHeight="1" spans="1:25">
      <c r="A5171" s="42" t="s">
        <v>399</v>
      </c>
      <c r="B5171" s="43" t="s">
        <v>6236</v>
      </c>
      <c r="C5171" s="43" t="s">
        <v>63</v>
      </c>
      <c r="D5171" s="43" t="s">
        <v>6237</v>
      </c>
      <c r="E5171" s="44" t="s">
        <v>6711</v>
      </c>
      <c r="F5171" s="42" t="s">
        <v>6712</v>
      </c>
      <c r="G5171" s="42" t="s">
        <v>88</v>
      </c>
      <c r="H5171" s="45" t="s">
        <v>6803</v>
      </c>
      <c r="I5171" s="47" t="e">
        <f>VLOOKUP(H5171,'合同综合查询数据（3月返）'!$A:$A,1,FALSE)</f>
        <v>#N/A</v>
      </c>
      <c r="J5171" s="48" t="s">
        <v>3074</v>
      </c>
      <c r="K5171" s="42" t="s">
        <v>6830</v>
      </c>
      <c r="L5171" s="49"/>
      <c r="M5171" s="50" t="s">
        <v>6831</v>
      </c>
      <c r="N5171" s="51">
        <v>44942</v>
      </c>
      <c r="O5171" s="51" t="s">
        <v>506</v>
      </c>
      <c r="P5171" s="366">
        <v>8000</v>
      </c>
      <c r="Q5171" s="372">
        <v>-2</v>
      </c>
      <c r="R5171" s="69">
        <f t="shared" si="116"/>
        <v>-16000</v>
      </c>
      <c r="S5171" s="55">
        <v>202303</v>
      </c>
      <c r="T5171" s="56" t="s">
        <v>6841</v>
      </c>
      <c r="U5171" s="57"/>
      <c r="V5171" s="373"/>
      <c r="W5171" s="59"/>
      <c r="X5171" s="374"/>
      <c r="Y5171" s="374"/>
    </row>
    <row r="5172" s="10" customFormat="1" customHeight="1" spans="1:25">
      <c r="A5172" s="42" t="s">
        <v>399</v>
      </c>
      <c r="B5172" s="43" t="s">
        <v>6236</v>
      </c>
      <c r="C5172" s="43" t="s">
        <v>63</v>
      </c>
      <c r="D5172" s="43" t="s">
        <v>6237</v>
      </c>
      <c r="E5172" s="44" t="s">
        <v>6711</v>
      </c>
      <c r="F5172" s="42" t="s">
        <v>6712</v>
      </c>
      <c r="G5172" s="42" t="s">
        <v>88</v>
      </c>
      <c r="H5172" s="45" t="s">
        <v>6803</v>
      </c>
      <c r="I5172" s="47" t="e">
        <f>VLOOKUP(H5172,'合同综合查询数据（3月返）'!$A:$A,1,FALSE)</f>
        <v>#N/A</v>
      </c>
      <c r="J5172" s="48" t="s">
        <v>3074</v>
      </c>
      <c r="K5172" s="42" t="s">
        <v>6830</v>
      </c>
      <c r="L5172" s="49"/>
      <c r="M5172" s="50" t="s">
        <v>6831</v>
      </c>
      <c r="N5172" s="51">
        <v>44942</v>
      </c>
      <c r="O5172" s="51" t="s">
        <v>519</v>
      </c>
      <c r="P5172" s="366">
        <v>18000</v>
      </c>
      <c r="Q5172" s="372">
        <v>-2</v>
      </c>
      <c r="R5172" s="69">
        <f t="shared" si="116"/>
        <v>-36000</v>
      </c>
      <c r="S5172" s="55">
        <v>202303</v>
      </c>
      <c r="T5172" s="56" t="s">
        <v>6842</v>
      </c>
      <c r="U5172" s="57"/>
      <c r="V5172" s="373"/>
      <c r="W5172" s="59"/>
      <c r="X5172" s="374"/>
      <c r="Y5172" s="374"/>
    </row>
    <row r="5173" s="10" customFormat="1" customHeight="1" spans="1:25">
      <c r="A5173" s="61" t="s">
        <v>399</v>
      </c>
      <c r="B5173" s="43" t="s">
        <v>6236</v>
      </c>
      <c r="C5173" s="135" t="s">
        <v>63</v>
      </c>
      <c r="D5173" s="43" t="s">
        <v>6237</v>
      </c>
      <c r="E5173" s="160" t="s">
        <v>6711</v>
      </c>
      <c r="F5173" s="61" t="s">
        <v>6712</v>
      </c>
      <c r="G5173" s="61" t="s">
        <v>302</v>
      </c>
      <c r="H5173" s="45" t="s">
        <v>6843</v>
      </c>
      <c r="I5173" s="47" t="e">
        <f>VLOOKUP(H5173,'合同综合查询数据（3月返）'!$A:$A,1,FALSE)</f>
        <v>#N/A</v>
      </c>
      <c r="J5173" s="48" t="s">
        <v>302</v>
      </c>
      <c r="K5173" s="61" t="s">
        <v>6844</v>
      </c>
      <c r="L5173" s="338"/>
      <c r="M5173" s="50"/>
      <c r="N5173" s="51">
        <v>44105</v>
      </c>
      <c r="O5173" s="51" t="s">
        <v>440</v>
      </c>
      <c r="P5173" s="366">
        <v>5800</v>
      </c>
      <c r="Q5173" s="390">
        <v>1</v>
      </c>
      <c r="R5173" s="144">
        <f t="shared" si="116"/>
        <v>5800</v>
      </c>
      <c r="S5173" s="55">
        <v>202303</v>
      </c>
      <c r="T5173" s="72" t="s">
        <v>6845</v>
      </c>
      <c r="U5173" s="57"/>
      <c r="V5173" s="373"/>
      <c r="W5173" s="57"/>
      <c r="X5173" s="374"/>
      <c r="Y5173" s="392"/>
    </row>
    <row r="5174" s="10" customFormat="1" customHeight="1" spans="1:25">
      <c r="A5174" s="61" t="s">
        <v>399</v>
      </c>
      <c r="B5174" s="43" t="s">
        <v>6236</v>
      </c>
      <c r="C5174" s="135" t="s">
        <v>63</v>
      </c>
      <c r="D5174" s="43" t="s">
        <v>6237</v>
      </c>
      <c r="E5174" s="160" t="s">
        <v>6711</v>
      </c>
      <c r="F5174" s="61" t="s">
        <v>6712</v>
      </c>
      <c r="G5174" s="61" t="s">
        <v>302</v>
      </c>
      <c r="H5174" s="45" t="s">
        <v>6846</v>
      </c>
      <c r="I5174" s="47" t="e">
        <f>VLOOKUP(H5174,'合同综合查询数据（3月返）'!$A:$A,1,FALSE)</f>
        <v>#N/A</v>
      </c>
      <c r="J5174" s="48" t="s">
        <v>302</v>
      </c>
      <c r="K5174" s="61" t="s">
        <v>6847</v>
      </c>
      <c r="L5174" s="338"/>
      <c r="M5174" s="50"/>
      <c r="N5174" s="51">
        <v>44105</v>
      </c>
      <c r="O5174" s="51" t="s">
        <v>311</v>
      </c>
      <c r="P5174" s="366">
        <v>1200</v>
      </c>
      <c r="Q5174" s="390">
        <v>1</v>
      </c>
      <c r="R5174" s="144">
        <f t="shared" si="116"/>
        <v>1200</v>
      </c>
      <c r="S5174" s="55">
        <v>202303</v>
      </c>
      <c r="T5174" s="72" t="s">
        <v>6848</v>
      </c>
      <c r="U5174" s="57"/>
      <c r="V5174" s="373"/>
      <c r="W5174" s="57"/>
      <c r="X5174" s="374"/>
      <c r="Y5174" s="392"/>
    </row>
    <row r="5175" s="10" customFormat="1" customHeight="1" spans="1:25">
      <c r="A5175" s="61" t="s">
        <v>399</v>
      </c>
      <c r="B5175" s="43" t="s">
        <v>6236</v>
      </c>
      <c r="C5175" s="135" t="s">
        <v>63</v>
      </c>
      <c r="D5175" s="43" t="s">
        <v>6237</v>
      </c>
      <c r="E5175" s="160" t="s">
        <v>6711</v>
      </c>
      <c r="F5175" s="61" t="s">
        <v>6712</v>
      </c>
      <c r="G5175" s="61" t="s">
        <v>302</v>
      </c>
      <c r="H5175" s="45" t="s">
        <v>6846</v>
      </c>
      <c r="I5175" s="47" t="e">
        <f>VLOOKUP(H5175,'合同综合查询数据（3月返）'!$A:$A,1,FALSE)</f>
        <v>#N/A</v>
      </c>
      <c r="J5175" s="48" t="s">
        <v>302</v>
      </c>
      <c r="K5175" s="61" t="s">
        <v>6847</v>
      </c>
      <c r="L5175" s="338"/>
      <c r="M5175" s="50"/>
      <c r="N5175" s="51">
        <v>44105</v>
      </c>
      <c r="O5175" s="51" t="s">
        <v>308</v>
      </c>
      <c r="P5175" s="366">
        <v>800</v>
      </c>
      <c r="Q5175" s="390">
        <v>1</v>
      </c>
      <c r="R5175" s="144">
        <f t="shared" si="116"/>
        <v>800</v>
      </c>
      <c r="S5175" s="55">
        <v>202303</v>
      </c>
      <c r="T5175" s="72" t="s">
        <v>6849</v>
      </c>
      <c r="U5175" s="57"/>
      <c r="V5175" s="373"/>
      <c r="W5175" s="57"/>
      <c r="X5175" s="374"/>
      <c r="Y5175" s="392"/>
    </row>
    <row r="5176" s="10" customFormat="1" customHeight="1" spans="1:25">
      <c r="A5176" s="61" t="s">
        <v>399</v>
      </c>
      <c r="B5176" s="43" t="s">
        <v>6236</v>
      </c>
      <c r="C5176" s="135" t="s">
        <v>63</v>
      </c>
      <c r="D5176" s="43" t="s">
        <v>6237</v>
      </c>
      <c r="E5176" s="160" t="s">
        <v>6711</v>
      </c>
      <c r="F5176" s="61" t="s">
        <v>6712</v>
      </c>
      <c r="G5176" s="61" t="s">
        <v>302</v>
      </c>
      <c r="H5176" s="45" t="s">
        <v>6846</v>
      </c>
      <c r="I5176" s="47" t="e">
        <f>VLOOKUP(H5176,'合同综合查询数据（3月返）'!$A:$A,1,FALSE)</f>
        <v>#N/A</v>
      </c>
      <c r="J5176" s="48" t="s">
        <v>302</v>
      </c>
      <c r="K5176" s="61" t="s">
        <v>6847</v>
      </c>
      <c r="L5176" s="338"/>
      <c r="M5176" s="50"/>
      <c r="N5176" s="51">
        <v>44834</v>
      </c>
      <c r="O5176" s="51" t="s">
        <v>308</v>
      </c>
      <c r="P5176" s="366">
        <v>800</v>
      </c>
      <c r="Q5176" s="390">
        <v>-1</v>
      </c>
      <c r="R5176" s="144">
        <f t="shared" si="116"/>
        <v>-800</v>
      </c>
      <c r="S5176" s="55">
        <v>202303</v>
      </c>
      <c r="T5176" s="72" t="s">
        <v>6850</v>
      </c>
      <c r="U5176" s="57"/>
      <c r="V5176" s="373"/>
      <c r="W5176" s="57"/>
      <c r="X5176" s="374"/>
      <c r="Y5176" s="392"/>
    </row>
    <row r="5177" s="9" customFormat="1" customHeight="1" spans="1:25">
      <c r="A5177" s="16" t="s">
        <v>399</v>
      </c>
      <c r="B5177" s="17" t="s">
        <v>6236</v>
      </c>
      <c r="C5177" s="17" t="s">
        <v>63</v>
      </c>
      <c r="D5177" s="17" t="s">
        <v>6237</v>
      </c>
      <c r="E5177" s="18" t="s">
        <v>6711</v>
      </c>
      <c r="F5177" s="16" t="s">
        <v>6712</v>
      </c>
      <c r="G5177" s="16" t="s">
        <v>302</v>
      </c>
      <c r="H5177" s="19" t="s">
        <v>6851</v>
      </c>
      <c r="I5177" s="23" t="e">
        <f>VLOOKUP(H5177,'合同综合查询数据（3月返）'!$A:$A,1,FALSE)</f>
        <v>#N/A</v>
      </c>
      <c r="J5177" s="24" t="s">
        <v>302</v>
      </c>
      <c r="K5177" s="16" t="s">
        <v>6852</v>
      </c>
      <c r="L5177" s="25"/>
      <c r="M5177" s="26"/>
      <c r="N5177" s="28">
        <v>41950</v>
      </c>
      <c r="O5177" s="28" t="s">
        <v>1852</v>
      </c>
      <c r="P5177" s="365">
        <v>971090</v>
      </c>
      <c r="Q5177" s="369">
        <v>1</v>
      </c>
      <c r="R5177" s="173">
        <f t="shared" si="116"/>
        <v>971090</v>
      </c>
      <c r="S5177" s="37">
        <v>202303</v>
      </c>
      <c r="T5177" s="38" t="s">
        <v>6853</v>
      </c>
      <c r="U5177" s="39"/>
      <c r="V5177" s="370"/>
      <c r="W5177" s="41"/>
      <c r="X5177" s="371">
        <v>44197</v>
      </c>
      <c r="Y5177" s="371">
        <v>44561</v>
      </c>
    </row>
    <row r="5178" s="9" customFormat="1" customHeight="1" spans="1:25">
      <c r="A5178" s="16" t="s">
        <v>399</v>
      </c>
      <c r="B5178" s="17" t="s">
        <v>6236</v>
      </c>
      <c r="C5178" s="17" t="s">
        <v>63</v>
      </c>
      <c r="D5178" s="17" t="s">
        <v>6237</v>
      </c>
      <c r="E5178" s="18" t="s">
        <v>6711</v>
      </c>
      <c r="F5178" s="16" t="s">
        <v>6712</v>
      </c>
      <c r="G5178" s="16" t="s">
        <v>302</v>
      </c>
      <c r="H5178" s="19" t="s">
        <v>6851</v>
      </c>
      <c r="I5178" s="23" t="e">
        <f>VLOOKUP(H5178,'合同综合查询数据（3月返）'!$A:$A,1,FALSE)</f>
        <v>#N/A</v>
      </c>
      <c r="J5178" s="24" t="s">
        <v>302</v>
      </c>
      <c r="K5178" s="16" t="s">
        <v>6852</v>
      </c>
      <c r="L5178" s="25"/>
      <c r="M5178" s="26"/>
      <c r="N5178" s="28">
        <v>44372</v>
      </c>
      <c r="O5178" s="28" t="s">
        <v>1852</v>
      </c>
      <c r="P5178" s="365">
        <v>971090</v>
      </c>
      <c r="Q5178" s="369">
        <v>-1</v>
      </c>
      <c r="R5178" s="173">
        <f t="shared" si="116"/>
        <v>-971090</v>
      </c>
      <c r="S5178" s="37">
        <v>202303</v>
      </c>
      <c r="T5178" s="38" t="s">
        <v>6854</v>
      </c>
      <c r="U5178" s="39"/>
      <c r="V5178" s="370"/>
      <c r="W5178" s="41"/>
      <c r="X5178" s="371">
        <v>44197</v>
      </c>
      <c r="Y5178" s="371">
        <v>44561</v>
      </c>
    </row>
    <row r="5179" s="9" customFormat="1" customHeight="1" spans="1:25">
      <c r="A5179" s="16" t="s">
        <v>399</v>
      </c>
      <c r="B5179" s="17" t="s">
        <v>6236</v>
      </c>
      <c r="C5179" s="17" t="s">
        <v>63</v>
      </c>
      <c r="D5179" s="17" t="s">
        <v>6237</v>
      </c>
      <c r="E5179" s="18" t="s">
        <v>6711</v>
      </c>
      <c r="F5179" s="16" t="s">
        <v>6855</v>
      </c>
      <c r="G5179" s="16" t="s">
        <v>88</v>
      </c>
      <c r="H5179" s="19" t="s">
        <v>6856</v>
      </c>
      <c r="I5179" s="23" t="e">
        <f>VLOOKUP(H5179,'合同综合查询数据（3月返）'!$A:$A,1,FALSE)</f>
        <v>#N/A</v>
      </c>
      <c r="J5179" s="24" t="s">
        <v>90</v>
      </c>
      <c r="K5179" s="16" t="s">
        <v>6857</v>
      </c>
      <c r="L5179" s="25"/>
      <c r="M5179" s="26" t="s">
        <v>6858</v>
      </c>
      <c r="N5179" s="28" t="s">
        <v>503</v>
      </c>
      <c r="O5179" s="28" t="s">
        <v>461</v>
      </c>
      <c r="P5179" s="365">
        <v>1599</v>
      </c>
      <c r="Q5179" s="376">
        <v>1349</v>
      </c>
      <c r="R5179" s="173">
        <f t="shared" si="116"/>
        <v>2157051</v>
      </c>
      <c r="S5179" s="37">
        <v>202303</v>
      </c>
      <c r="T5179" s="38" t="s">
        <v>6859</v>
      </c>
      <c r="U5179" s="39"/>
      <c r="V5179" s="370"/>
      <c r="W5179" s="41"/>
      <c r="X5179" s="371">
        <v>44470</v>
      </c>
      <c r="Y5179" s="371">
        <v>46234</v>
      </c>
    </row>
    <row r="5180" s="9" customFormat="1" customHeight="1" spans="1:25">
      <c r="A5180" s="16" t="s">
        <v>399</v>
      </c>
      <c r="B5180" s="17" t="s">
        <v>6236</v>
      </c>
      <c r="C5180" s="17" t="s">
        <v>63</v>
      </c>
      <c r="D5180" s="17" t="s">
        <v>6237</v>
      </c>
      <c r="E5180" s="18" t="s">
        <v>6711</v>
      </c>
      <c r="F5180" s="16" t="s">
        <v>6855</v>
      </c>
      <c r="G5180" s="16" t="s">
        <v>88</v>
      </c>
      <c r="H5180" s="19" t="s">
        <v>6856</v>
      </c>
      <c r="I5180" s="23" t="e">
        <f>VLOOKUP(H5180,'合同综合查询数据（3月返）'!$A:$A,1,FALSE)</f>
        <v>#N/A</v>
      </c>
      <c r="J5180" s="24" t="s">
        <v>90</v>
      </c>
      <c r="K5180" s="16" t="s">
        <v>6857</v>
      </c>
      <c r="L5180" s="25"/>
      <c r="M5180" s="26" t="s">
        <v>6858</v>
      </c>
      <c r="N5180" s="28">
        <v>43566.6820949074</v>
      </c>
      <c r="O5180" s="28" t="s">
        <v>461</v>
      </c>
      <c r="P5180" s="365">
        <v>1599</v>
      </c>
      <c r="Q5180" s="376">
        <v>2</v>
      </c>
      <c r="R5180" s="173">
        <f t="shared" si="116"/>
        <v>3198</v>
      </c>
      <c r="S5180" s="37">
        <v>202303</v>
      </c>
      <c r="T5180" s="38" t="s">
        <v>6860</v>
      </c>
      <c r="U5180" s="39"/>
      <c r="V5180" s="370"/>
      <c r="W5180" s="41"/>
      <c r="X5180" s="371">
        <v>44470</v>
      </c>
      <c r="Y5180" s="371">
        <v>46234</v>
      </c>
    </row>
    <row r="5181" s="9" customFormat="1" customHeight="1" spans="1:25">
      <c r="A5181" s="16" t="s">
        <v>399</v>
      </c>
      <c r="B5181" s="17" t="s">
        <v>6236</v>
      </c>
      <c r="C5181" s="17" t="s">
        <v>63</v>
      </c>
      <c r="D5181" s="17" t="s">
        <v>6237</v>
      </c>
      <c r="E5181" s="18" t="s">
        <v>6711</v>
      </c>
      <c r="F5181" s="16" t="s">
        <v>6855</v>
      </c>
      <c r="G5181" s="16" t="s">
        <v>88</v>
      </c>
      <c r="H5181" s="19" t="s">
        <v>6856</v>
      </c>
      <c r="I5181" s="23" t="e">
        <f>VLOOKUP(H5181,'合同综合查询数据（3月返）'!$A:$A,1,FALSE)</f>
        <v>#N/A</v>
      </c>
      <c r="J5181" s="24" t="s">
        <v>90</v>
      </c>
      <c r="K5181" s="16" t="s">
        <v>6857</v>
      </c>
      <c r="L5181" s="25"/>
      <c r="M5181" s="26" t="s">
        <v>6858</v>
      </c>
      <c r="N5181" s="28">
        <v>43619.6820949074</v>
      </c>
      <c r="O5181" s="28" t="s">
        <v>461</v>
      </c>
      <c r="P5181" s="365">
        <v>1599</v>
      </c>
      <c r="Q5181" s="376">
        <v>8</v>
      </c>
      <c r="R5181" s="173">
        <f t="shared" si="116"/>
        <v>12792</v>
      </c>
      <c r="S5181" s="37">
        <v>202303</v>
      </c>
      <c r="T5181" s="38" t="s">
        <v>6861</v>
      </c>
      <c r="U5181" s="39"/>
      <c r="V5181" s="370"/>
      <c r="W5181" s="41"/>
      <c r="X5181" s="371">
        <v>44470</v>
      </c>
      <c r="Y5181" s="371">
        <v>46234</v>
      </c>
    </row>
    <row r="5182" s="9" customFormat="1" customHeight="1" spans="1:25">
      <c r="A5182" s="16" t="s">
        <v>399</v>
      </c>
      <c r="B5182" s="17" t="s">
        <v>6236</v>
      </c>
      <c r="C5182" s="17" t="s">
        <v>63</v>
      </c>
      <c r="D5182" s="17" t="s">
        <v>6237</v>
      </c>
      <c r="E5182" s="18" t="s">
        <v>6711</v>
      </c>
      <c r="F5182" s="16" t="s">
        <v>6855</v>
      </c>
      <c r="G5182" s="16" t="s">
        <v>88</v>
      </c>
      <c r="H5182" s="19" t="s">
        <v>6856</v>
      </c>
      <c r="I5182" s="23" t="e">
        <f>VLOOKUP(H5182,'合同综合查询数据（3月返）'!$A:$A,1,FALSE)</f>
        <v>#N/A</v>
      </c>
      <c r="J5182" s="24" t="s">
        <v>90</v>
      </c>
      <c r="K5182" s="16" t="s">
        <v>6857</v>
      </c>
      <c r="L5182" s="25"/>
      <c r="M5182" s="26" t="s">
        <v>6858</v>
      </c>
      <c r="N5182" s="28">
        <v>43654</v>
      </c>
      <c r="O5182" s="28" t="s">
        <v>461</v>
      </c>
      <c r="P5182" s="365">
        <v>1599</v>
      </c>
      <c r="Q5182" s="376">
        <v>3</v>
      </c>
      <c r="R5182" s="173">
        <f t="shared" si="116"/>
        <v>4797</v>
      </c>
      <c r="S5182" s="37">
        <v>202303</v>
      </c>
      <c r="T5182" s="38" t="s">
        <v>6862</v>
      </c>
      <c r="U5182" s="39"/>
      <c r="V5182" s="370"/>
      <c r="W5182" s="41"/>
      <c r="X5182" s="371">
        <v>44470</v>
      </c>
      <c r="Y5182" s="371">
        <v>46234</v>
      </c>
    </row>
    <row r="5183" s="9" customFormat="1" customHeight="1" spans="1:25">
      <c r="A5183" s="16" t="s">
        <v>399</v>
      </c>
      <c r="B5183" s="17" t="s">
        <v>6236</v>
      </c>
      <c r="C5183" s="17" t="s">
        <v>63</v>
      </c>
      <c r="D5183" s="17" t="s">
        <v>6237</v>
      </c>
      <c r="E5183" s="18" t="s">
        <v>6711</v>
      </c>
      <c r="F5183" s="16" t="s">
        <v>6855</v>
      </c>
      <c r="G5183" s="16" t="s">
        <v>88</v>
      </c>
      <c r="H5183" s="19" t="s">
        <v>6856</v>
      </c>
      <c r="I5183" s="23" t="e">
        <f>VLOOKUP(H5183,'合同综合查询数据（3月返）'!$A:$A,1,FALSE)</f>
        <v>#N/A</v>
      </c>
      <c r="J5183" s="24" t="s">
        <v>90</v>
      </c>
      <c r="K5183" s="16" t="s">
        <v>6857</v>
      </c>
      <c r="L5183" s="25"/>
      <c r="M5183" s="26" t="s">
        <v>6858</v>
      </c>
      <c r="N5183" s="28">
        <v>43692</v>
      </c>
      <c r="O5183" s="28" t="s">
        <v>461</v>
      </c>
      <c r="P5183" s="365">
        <v>1599</v>
      </c>
      <c r="Q5183" s="376">
        <v>1</v>
      </c>
      <c r="R5183" s="173">
        <f t="shared" si="116"/>
        <v>1599</v>
      </c>
      <c r="S5183" s="37">
        <v>202303</v>
      </c>
      <c r="T5183" s="38" t="s">
        <v>6863</v>
      </c>
      <c r="U5183" s="39"/>
      <c r="V5183" s="370"/>
      <c r="W5183" s="41"/>
      <c r="X5183" s="371">
        <v>44470</v>
      </c>
      <c r="Y5183" s="371">
        <v>46234</v>
      </c>
    </row>
    <row r="5184" s="9" customFormat="1" customHeight="1" spans="1:25">
      <c r="A5184" s="16" t="s">
        <v>399</v>
      </c>
      <c r="B5184" s="17" t="s">
        <v>6236</v>
      </c>
      <c r="C5184" s="17" t="s">
        <v>63</v>
      </c>
      <c r="D5184" s="17" t="s">
        <v>6237</v>
      </c>
      <c r="E5184" s="18" t="s">
        <v>6711</v>
      </c>
      <c r="F5184" s="16" t="s">
        <v>6855</v>
      </c>
      <c r="G5184" s="16" t="s">
        <v>88</v>
      </c>
      <c r="H5184" s="19" t="s">
        <v>6856</v>
      </c>
      <c r="I5184" s="23" t="e">
        <f>VLOOKUP(H5184,'合同综合查询数据（3月返）'!$A:$A,1,FALSE)</f>
        <v>#N/A</v>
      </c>
      <c r="J5184" s="24" t="s">
        <v>90</v>
      </c>
      <c r="K5184" s="16" t="s">
        <v>6857</v>
      </c>
      <c r="L5184" s="25"/>
      <c r="M5184" s="26" t="s">
        <v>6858</v>
      </c>
      <c r="N5184" s="28">
        <v>43698</v>
      </c>
      <c r="O5184" s="28" t="s">
        <v>1320</v>
      </c>
      <c r="P5184" s="365">
        <v>0</v>
      </c>
      <c r="Q5184" s="376">
        <v>1</v>
      </c>
      <c r="R5184" s="173">
        <f t="shared" si="116"/>
        <v>0</v>
      </c>
      <c r="S5184" s="37">
        <v>202303</v>
      </c>
      <c r="T5184" s="38" t="s">
        <v>6864</v>
      </c>
      <c r="U5184" s="39"/>
      <c r="V5184" s="370"/>
      <c r="W5184" s="41"/>
      <c r="X5184" s="371">
        <v>44470</v>
      </c>
      <c r="Y5184" s="371">
        <v>46234</v>
      </c>
    </row>
    <row r="5185" s="9" customFormat="1" customHeight="1" spans="1:25">
      <c r="A5185" s="16" t="s">
        <v>399</v>
      </c>
      <c r="B5185" s="17" t="s">
        <v>6236</v>
      </c>
      <c r="C5185" s="17" t="s">
        <v>63</v>
      </c>
      <c r="D5185" s="17" t="s">
        <v>6237</v>
      </c>
      <c r="E5185" s="18" t="s">
        <v>6711</v>
      </c>
      <c r="F5185" s="16" t="s">
        <v>6855</v>
      </c>
      <c r="G5185" s="16" t="s">
        <v>88</v>
      </c>
      <c r="H5185" s="19" t="s">
        <v>6856</v>
      </c>
      <c r="I5185" s="23" t="e">
        <f>VLOOKUP(H5185,'合同综合查询数据（3月返）'!$A:$A,1,FALSE)</f>
        <v>#N/A</v>
      </c>
      <c r="J5185" s="24" t="s">
        <v>90</v>
      </c>
      <c r="K5185" s="16" t="s">
        <v>6857</v>
      </c>
      <c r="L5185" s="25"/>
      <c r="M5185" s="26" t="s">
        <v>6858</v>
      </c>
      <c r="N5185" s="28">
        <v>43712</v>
      </c>
      <c r="O5185" s="28" t="s">
        <v>461</v>
      </c>
      <c r="P5185" s="365">
        <v>1599</v>
      </c>
      <c r="Q5185" s="376">
        <v>1</v>
      </c>
      <c r="R5185" s="173">
        <f t="shared" si="116"/>
        <v>1599</v>
      </c>
      <c r="S5185" s="37">
        <v>202303</v>
      </c>
      <c r="T5185" s="38" t="s">
        <v>6865</v>
      </c>
      <c r="U5185" s="39"/>
      <c r="V5185" s="370"/>
      <c r="W5185" s="41"/>
      <c r="X5185" s="371">
        <v>44470</v>
      </c>
      <c r="Y5185" s="371">
        <v>46234</v>
      </c>
    </row>
    <row r="5186" s="9" customFormat="1" customHeight="1" spans="1:25">
      <c r="A5186" s="16" t="s">
        <v>399</v>
      </c>
      <c r="B5186" s="17" t="s">
        <v>6236</v>
      </c>
      <c r="C5186" s="17" t="s">
        <v>63</v>
      </c>
      <c r="D5186" s="17" t="s">
        <v>6237</v>
      </c>
      <c r="E5186" s="18" t="s">
        <v>6711</v>
      </c>
      <c r="F5186" s="16" t="s">
        <v>6855</v>
      </c>
      <c r="G5186" s="16" t="s">
        <v>88</v>
      </c>
      <c r="H5186" s="19" t="s">
        <v>6856</v>
      </c>
      <c r="I5186" s="23" t="e">
        <f>VLOOKUP(H5186,'合同综合查询数据（3月返）'!$A:$A,1,FALSE)</f>
        <v>#N/A</v>
      </c>
      <c r="J5186" s="24" t="s">
        <v>90</v>
      </c>
      <c r="K5186" s="16" t="s">
        <v>6857</v>
      </c>
      <c r="L5186" s="25"/>
      <c r="M5186" s="26" t="s">
        <v>6858</v>
      </c>
      <c r="N5186" s="28">
        <v>44091</v>
      </c>
      <c r="O5186" s="28" t="s">
        <v>461</v>
      </c>
      <c r="P5186" s="365">
        <v>1599</v>
      </c>
      <c r="Q5186" s="376">
        <v>2</v>
      </c>
      <c r="R5186" s="173">
        <f t="shared" si="116"/>
        <v>3198</v>
      </c>
      <c r="S5186" s="37">
        <v>202303</v>
      </c>
      <c r="T5186" s="38" t="s">
        <v>6866</v>
      </c>
      <c r="U5186" s="39"/>
      <c r="V5186" s="370"/>
      <c r="W5186" s="41"/>
      <c r="X5186" s="371">
        <v>44470</v>
      </c>
      <c r="Y5186" s="371">
        <v>46234</v>
      </c>
    </row>
    <row r="5187" s="9" customFormat="1" customHeight="1" spans="1:25">
      <c r="A5187" s="16" t="s">
        <v>399</v>
      </c>
      <c r="B5187" s="17" t="s">
        <v>6236</v>
      </c>
      <c r="C5187" s="17" t="s">
        <v>63</v>
      </c>
      <c r="D5187" s="17" t="s">
        <v>6237</v>
      </c>
      <c r="E5187" s="18" t="s">
        <v>6711</v>
      </c>
      <c r="F5187" s="16" t="s">
        <v>6855</v>
      </c>
      <c r="G5187" s="16" t="s">
        <v>88</v>
      </c>
      <c r="H5187" s="19" t="s">
        <v>6856</v>
      </c>
      <c r="I5187" s="23" t="e">
        <f>VLOOKUP(H5187,'合同综合查询数据（3月返）'!$A:$A,1,FALSE)</f>
        <v>#N/A</v>
      </c>
      <c r="J5187" s="24" t="s">
        <v>90</v>
      </c>
      <c r="K5187" s="16" t="s">
        <v>6857</v>
      </c>
      <c r="L5187" s="25"/>
      <c r="M5187" s="26" t="s">
        <v>6858</v>
      </c>
      <c r="N5187" s="28">
        <v>44189</v>
      </c>
      <c r="O5187" s="28" t="s">
        <v>461</v>
      </c>
      <c r="P5187" s="365">
        <v>1599</v>
      </c>
      <c r="Q5187" s="376">
        <v>-1</v>
      </c>
      <c r="R5187" s="173">
        <f t="shared" ref="R5187:R5198" si="117">ROUND(Q5187*P5187,2)</f>
        <v>-1599</v>
      </c>
      <c r="S5187" s="37">
        <v>202303</v>
      </c>
      <c r="T5187" s="397" t="s">
        <v>6867</v>
      </c>
      <c r="U5187" s="39"/>
      <c r="V5187" s="370"/>
      <c r="W5187" s="41"/>
      <c r="X5187" s="371">
        <v>44470</v>
      </c>
      <c r="Y5187" s="371">
        <v>46234</v>
      </c>
    </row>
    <row r="5188" s="9" customFormat="1" customHeight="1" spans="1:25">
      <c r="A5188" s="16" t="s">
        <v>399</v>
      </c>
      <c r="B5188" s="17" t="s">
        <v>6236</v>
      </c>
      <c r="C5188" s="17" t="s">
        <v>63</v>
      </c>
      <c r="D5188" s="17" t="s">
        <v>6237</v>
      </c>
      <c r="E5188" s="18" t="s">
        <v>6711</v>
      </c>
      <c r="F5188" s="16" t="s">
        <v>6855</v>
      </c>
      <c r="G5188" s="16" t="s">
        <v>88</v>
      </c>
      <c r="H5188" s="19" t="s">
        <v>6856</v>
      </c>
      <c r="I5188" s="23" t="e">
        <f>VLOOKUP(H5188,'合同综合查询数据（3月返）'!$A:$A,1,FALSE)</f>
        <v>#N/A</v>
      </c>
      <c r="J5188" s="24" t="s">
        <v>90</v>
      </c>
      <c r="K5188" s="16" t="s">
        <v>6857</v>
      </c>
      <c r="L5188" s="25"/>
      <c r="M5188" s="26" t="s">
        <v>6858</v>
      </c>
      <c r="N5188" s="28">
        <v>44200</v>
      </c>
      <c r="O5188" s="28" t="s">
        <v>461</v>
      </c>
      <c r="P5188" s="365">
        <v>1599</v>
      </c>
      <c r="Q5188" s="376">
        <v>-1</v>
      </c>
      <c r="R5188" s="173">
        <f t="shared" si="117"/>
        <v>-1599</v>
      </c>
      <c r="S5188" s="37">
        <v>202303</v>
      </c>
      <c r="T5188" s="375" t="s">
        <v>6868</v>
      </c>
      <c r="U5188" s="39"/>
      <c r="V5188" s="370"/>
      <c r="W5188" s="41"/>
      <c r="X5188" s="371">
        <v>44470</v>
      </c>
      <c r="Y5188" s="371">
        <v>46234</v>
      </c>
    </row>
    <row r="5189" s="9" customFormat="1" customHeight="1" spans="1:25">
      <c r="A5189" s="16" t="s">
        <v>399</v>
      </c>
      <c r="B5189" s="17" t="s">
        <v>6236</v>
      </c>
      <c r="C5189" s="17" t="s">
        <v>63</v>
      </c>
      <c r="D5189" s="17" t="s">
        <v>6237</v>
      </c>
      <c r="E5189" s="18" t="s">
        <v>6711</v>
      </c>
      <c r="F5189" s="16" t="s">
        <v>6855</v>
      </c>
      <c r="G5189" s="16" t="s">
        <v>88</v>
      </c>
      <c r="H5189" s="19" t="s">
        <v>6856</v>
      </c>
      <c r="I5189" s="23" t="e">
        <f>VLOOKUP(H5189,'合同综合查询数据（3月返）'!$A:$A,1,FALSE)</f>
        <v>#N/A</v>
      </c>
      <c r="J5189" s="24" t="s">
        <v>90</v>
      </c>
      <c r="K5189" s="16" t="s">
        <v>6857</v>
      </c>
      <c r="L5189" s="25"/>
      <c r="M5189" s="26" t="s">
        <v>6858</v>
      </c>
      <c r="N5189" s="28">
        <v>44204</v>
      </c>
      <c r="O5189" s="28" t="s">
        <v>461</v>
      </c>
      <c r="P5189" s="365">
        <v>1599</v>
      </c>
      <c r="Q5189" s="376">
        <v>-6</v>
      </c>
      <c r="R5189" s="173">
        <f t="shared" si="117"/>
        <v>-9594</v>
      </c>
      <c r="S5189" s="37">
        <v>202303</v>
      </c>
      <c r="T5189" s="397" t="s">
        <v>6869</v>
      </c>
      <c r="U5189" s="39"/>
      <c r="V5189" s="370"/>
      <c r="W5189" s="41"/>
      <c r="X5189" s="371">
        <v>44470</v>
      </c>
      <c r="Y5189" s="371">
        <v>46234</v>
      </c>
    </row>
    <row r="5190" s="9" customFormat="1" customHeight="1" spans="1:25">
      <c r="A5190" s="16" t="s">
        <v>399</v>
      </c>
      <c r="B5190" s="17" t="s">
        <v>6236</v>
      </c>
      <c r="C5190" s="17" t="s">
        <v>63</v>
      </c>
      <c r="D5190" s="17" t="s">
        <v>6237</v>
      </c>
      <c r="E5190" s="18" t="s">
        <v>6711</v>
      </c>
      <c r="F5190" s="16" t="s">
        <v>6855</v>
      </c>
      <c r="G5190" s="16" t="s">
        <v>88</v>
      </c>
      <c r="H5190" s="19" t="s">
        <v>6856</v>
      </c>
      <c r="I5190" s="23" t="e">
        <f>VLOOKUP(H5190,'合同综合查询数据（3月返）'!$A:$A,1,FALSE)</f>
        <v>#N/A</v>
      </c>
      <c r="J5190" s="24" t="s">
        <v>90</v>
      </c>
      <c r="K5190" s="16" t="s">
        <v>6857</v>
      </c>
      <c r="L5190" s="25"/>
      <c r="M5190" s="26" t="s">
        <v>6858</v>
      </c>
      <c r="N5190" s="28">
        <v>44215</v>
      </c>
      <c r="O5190" s="28" t="s">
        <v>461</v>
      </c>
      <c r="P5190" s="365">
        <v>1599</v>
      </c>
      <c r="Q5190" s="376">
        <v>-15</v>
      </c>
      <c r="R5190" s="173">
        <f t="shared" si="117"/>
        <v>-23985</v>
      </c>
      <c r="S5190" s="37">
        <v>202303</v>
      </c>
      <c r="T5190" s="397" t="s">
        <v>6870</v>
      </c>
      <c r="U5190" s="39"/>
      <c r="V5190" s="370"/>
      <c r="W5190" s="41"/>
      <c r="X5190" s="371">
        <v>44470</v>
      </c>
      <c r="Y5190" s="371">
        <v>46234</v>
      </c>
    </row>
    <row r="5191" s="9" customFormat="1" customHeight="1" spans="1:25">
      <c r="A5191" s="16" t="s">
        <v>399</v>
      </c>
      <c r="B5191" s="17" t="s">
        <v>6236</v>
      </c>
      <c r="C5191" s="17" t="s">
        <v>63</v>
      </c>
      <c r="D5191" s="17" t="s">
        <v>6237</v>
      </c>
      <c r="E5191" s="18" t="s">
        <v>6711</v>
      </c>
      <c r="F5191" s="16" t="s">
        <v>6855</v>
      </c>
      <c r="G5191" s="16" t="s">
        <v>88</v>
      </c>
      <c r="H5191" s="19" t="s">
        <v>6856</v>
      </c>
      <c r="I5191" s="23" t="e">
        <f>VLOOKUP(H5191,'合同综合查询数据（3月返）'!$A:$A,1,FALSE)</f>
        <v>#N/A</v>
      </c>
      <c r="J5191" s="24" t="s">
        <v>90</v>
      </c>
      <c r="K5191" s="16" t="s">
        <v>6857</v>
      </c>
      <c r="L5191" s="25"/>
      <c r="M5191" s="26" t="s">
        <v>6858</v>
      </c>
      <c r="N5191" s="28">
        <v>44254</v>
      </c>
      <c r="O5191" s="28" t="s">
        <v>461</v>
      </c>
      <c r="P5191" s="365">
        <v>1599</v>
      </c>
      <c r="Q5191" s="376">
        <v>-5</v>
      </c>
      <c r="R5191" s="173">
        <f t="shared" si="117"/>
        <v>-7995</v>
      </c>
      <c r="S5191" s="37">
        <v>202303</v>
      </c>
      <c r="T5191" s="397" t="s">
        <v>6871</v>
      </c>
      <c r="U5191" s="39"/>
      <c r="V5191" s="370"/>
      <c r="W5191" s="41"/>
      <c r="X5191" s="371">
        <v>44470</v>
      </c>
      <c r="Y5191" s="371">
        <v>46234</v>
      </c>
    </row>
    <row r="5192" s="9" customFormat="1" customHeight="1" spans="1:25">
      <c r="A5192" s="16" t="s">
        <v>399</v>
      </c>
      <c r="B5192" s="17" t="s">
        <v>6236</v>
      </c>
      <c r="C5192" s="17" t="s">
        <v>63</v>
      </c>
      <c r="D5192" s="17" t="s">
        <v>6237</v>
      </c>
      <c r="E5192" s="18" t="s">
        <v>6711</v>
      </c>
      <c r="F5192" s="16" t="s">
        <v>6855</v>
      </c>
      <c r="G5192" s="16" t="s">
        <v>88</v>
      </c>
      <c r="H5192" s="19" t="s">
        <v>6856</v>
      </c>
      <c r="I5192" s="23" t="e">
        <f>VLOOKUP(H5192,'合同综合查询数据（3月返）'!$A:$A,1,FALSE)</f>
        <v>#N/A</v>
      </c>
      <c r="J5192" s="24" t="s">
        <v>90</v>
      </c>
      <c r="K5192" s="16" t="s">
        <v>6857</v>
      </c>
      <c r="L5192" s="25"/>
      <c r="M5192" s="26" t="s">
        <v>6858</v>
      </c>
      <c r="N5192" s="28">
        <v>44252</v>
      </c>
      <c r="O5192" s="28" t="s">
        <v>461</v>
      </c>
      <c r="P5192" s="365">
        <v>1599</v>
      </c>
      <c r="Q5192" s="376">
        <v>2</v>
      </c>
      <c r="R5192" s="173">
        <f t="shared" si="117"/>
        <v>3198</v>
      </c>
      <c r="S5192" s="37">
        <v>202303</v>
      </c>
      <c r="T5192" s="397" t="s">
        <v>6872</v>
      </c>
      <c r="U5192" s="39"/>
      <c r="V5192" s="370"/>
      <c r="W5192" s="41"/>
      <c r="X5192" s="371">
        <v>44470</v>
      </c>
      <c r="Y5192" s="371">
        <v>46234</v>
      </c>
    </row>
    <row r="5193" s="9" customFormat="1" customHeight="1" spans="1:25">
      <c r="A5193" s="16" t="s">
        <v>399</v>
      </c>
      <c r="B5193" s="17" t="s">
        <v>6236</v>
      </c>
      <c r="C5193" s="17" t="s">
        <v>63</v>
      </c>
      <c r="D5193" s="17" t="s">
        <v>6237</v>
      </c>
      <c r="E5193" s="18" t="s">
        <v>6711</v>
      </c>
      <c r="F5193" s="16" t="s">
        <v>6855</v>
      </c>
      <c r="G5193" s="16" t="s">
        <v>88</v>
      </c>
      <c r="H5193" s="19" t="s">
        <v>6856</v>
      </c>
      <c r="I5193" s="23" t="e">
        <f>VLOOKUP(H5193,'合同综合查询数据（3月返）'!$A:$A,1,FALSE)</f>
        <v>#N/A</v>
      </c>
      <c r="J5193" s="24" t="s">
        <v>90</v>
      </c>
      <c r="K5193" s="16" t="s">
        <v>6857</v>
      </c>
      <c r="L5193" s="25"/>
      <c r="M5193" s="26" t="s">
        <v>6858</v>
      </c>
      <c r="N5193" s="28">
        <v>44256</v>
      </c>
      <c r="O5193" s="28" t="s">
        <v>461</v>
      </c>
      <c r="P5193" s="365">
        <v>1599</v>
      </c>
      <c r="Q5193" s="376">
        <v>21</v>
      </c>
      <c r="R5193" s="173">
        <f t="shared" si="117"/>
        <v>33579</v>
      </c>
      <c r="S5193" s="37">
        <v>202303</v>
      </c>
      <c r="T5193" s="397" t="s">
        <v>6873</v>
      </c>
      <c r="U5193" s="39"/>
      <c r="V5193" s="370"/>
      <c r="W5193" s="41"/>
      <c r="X5193" s="371">
        <v>44470</v>
      </c>
      <c r="Y5193" s="371">
        <v>46234</v>
      </c>
    </row>
    <row r="5194" s="9" customFormat="1" customHeight="1" spans="1:25">
      <c r="A5194" s="16" t="s">
        <v>399</v>
      </c>
      <c r="B5194" s="17" t="s">
        <v>6236</v>
      </c>
      <c r="C5194" s="17" t="s">
        <v>63</v>
      </c>
      <c r="D5194" s="17" t="s">
        <v>6237</v>
      </c>
      <c r="E5194" s="18" t="s">
        <v>6711</v>
      </c>
      <c r="F5194" s="16" t="s">
        <v>6855</v>
      </c>
      <c r="G5194" s="16" t="s">
        <v>88</v>
      </c>
      <c r="H5194" s="19" t="s">
        <v>6856</v>
      </c>
      <c r="I5194" s="23" t="e">
        <f>VLOOKUP(H5194,'合同综合查询数据（3月返）'!$A:$A,1,FALSE)</f>
        <v>#N/A</v>
      </c>
      <c r="J5194" s="24" t="s">
        <v>90</v>
      </c>
      <c r="K5194" s="16" t="s">
        <v>6857</v>
      </c>
      <c r="L5194" s="25"/>
      <c r="M5194" s="26" t="s">
        <v>6858</v>
      </c>
      <c r="N5194" s="28">
        <v>44257</v>
      </c>
      <c r="O5194" s="28" t="s">
        <v>461</v>
      </c>
      <c r="P5194" s="365">
        <v>1599</v>
      </c>
      <c r="Q5194" s="376">
        <v>7</v>
      </c>
      <c r="R5194" s="173">
        <f t="shared" si="117"/>
        <v>11193</v>
      </c>
      <c r="S5194" s="37">
        <v>202303</v>
      </c>
      <c r="T5194" s="397" t="s">
        <v>6874</v>
      </c>
      <c r="U5194" s="39"/>
      <c r="V5194" s="370"/>
      <c r="W5194" s="41"/>
      <c r="X5194" s="371">
        <v>44470</v>
      </c>
      <c r="Y5194" s="371">
        <v>46234</v>
      </c>
    </row>
    <row r="5195" s="9" customFormat="1" customHeight="1" spans="1:25">
      <c r="A5195" s="16" t="s">
        <v>399</v>
      </c>
      <c r="B5195" s="17" t="s">
        <v>6236</v>
      </c>
      <c r="C5195" s="17" t="s">
        <v>63</v>
      </c>
      <c r="D5195" s="17" t="s">
        <v>6237</v>
      </c>
      <c r="E5195" s="18" t="s">
        <v>6711</v>
      </c>
      <c r="F5195" s="16" t="s">
        <v>6855</v>
      </c>
      <c r="G5195" s="16" t="s">
        <v>88</v>
      </c>
      <c r="H5195" s="19" t="s">
        <v>6856</v>
      </c>
      <c r="I5195" s="23" t="e">
        <f>VLOOKUP(H5195,'合同综合查询数据（3月返）'!$A:$A,1,FALSE)</f>
        <v>#N/A</v>
      </c>
      <c r="J5195" s="24" t="s">
        <v>90</v>
      </c>
      <c r="K5195" s="16" t="s">
        <v>6857</v>
      </c>
      <c r="L5195" s="25"/>
      <c r="M5195" s="26" t="s">
        <v>6858</v>
      </c>
      <c r="N5195" s="28">
        <v>44270</v>
      </c>
      <c r="O5195" s="28" t="s">
        <v>461</v>
      </c>
      <c r="P5195" s="365">
        <v>1599</v>
      </c>
      <c r="Q5195" s="376">
        <v>5</v>
      </c>
      <c r="R5195" s="173">
        <f t="shared" si="117"/>
        <v>7995</v>
      </c>
      <c r="S5195" s="37">
        <v>202303</v>
      </c>
      <c r="T5195" s="397" t="s">
        <v>6875</v>
      </c>
      <c r="U5195" s="39"/>
      <c r="V5195" s="370"/>
      <c r="W5195" s="41"/>
      <c r="X5195" s="371">
        <v>44470</v>
      </c>
      <c r="Y5195" s="371">
        <v>46234</v>
      </c>
    </row>
    <row r="5196" s="9" customFormat="1" customHeight="1" spans="1:25">
      <c r="A5196" s="16" t="s">
        <v>399</v>
      </c>
      <c r="B5196" s="17" t="s">
        <v>6236</v>
      </c>
      <c r="C5196" s="17" t="s">
        <v>63</v>
      </c>
      <c r="D5196" s="17" t="s">
        <v>6237</v>
      </c>
      <c r="E5196" s="18" t="s">
        <v>6711</v>
      </c>
      <c r="F5196" s="16" t="s">
        <v>6855</v>
      </c>
      <c r="G5196" s="16" t="s">
        <v>88</v>
      </c>
      <c r="H5196" s="19" t="s">
        <v>6856</v>
      </c>
      <c r="I5196" s="23" t="e">
        <f>VLOOKUP(H5196,'合同综合查询数据（3月返）'!$A:$A,1,FALSE)</f>
        <v>#N/A</v>
      </c>
      <c r="J5196" s="24" t="s">
        <v>90</v>
      </c>
      <c r="K5196" s="16" t="s">
        <v>6857</v>
      </c>
      <c r="L5196" s="25"/>
      <c r="M5196" s="26" t="s">
        <v>6858</v>
      </c>
      <c r="N5196" s="28">
        <v>44258</v>
      </c>
      <c r="O5196" s="28" t="s">
        <v>1320</v>
      </c>
      <c r="P5196" s="365">
        <v>0</v>
      </c>
      <c r="Q5196" s="376">
        <v>1</v>
      </c>
      <c r="R5196" s="173">
        <f t="shared" si="117"/>
        <v>0</v>
      </c>
      <c r="S5196" s="37">
        <v>202303</v>
      </c>
      <c r="T5196" s="397" t="s">
        <v>6876</v>
      </c>
      <c r="U5196" s="39"/>
      <c r="V5196" s="370"/>
      <c r="W5196" s="41"/>
      <c r="X5196" s="371">
        <v>44470</v>
      </c>
      <c r="Y5196" s="371">
        <v>46234</v>
      </c>
    </row>
    <row r="5197" s="9" customFormat="1" customHeight="1" spans="1:25">
      <c r="A5197" s="16" t="s">
        <v>399</v>
      </c>
      <c r="B5197" s="17" t="s">
        <v>6236</v>
      </c>
      <c r="C5197" s="17" t="s">
        <v>63</v>
      </c>
      <c r="D5197" s="17" t="s">
        <v>6237</v>
      </c>
      <c r="E5197" s="18" t="s">
        <v>6711</v>
      </c>
      <c r="F5197" s="16" t="s">
        <v>6855</v>
      </c>
      <c r="G5197" s="16" t="s">
        <v>88</v>
      </c>
      <c r="H5197" s="19" t="s">
        <v>6856</v>
      </c>
      <c r="I5197" s="23" t="e">
        <f>VLOOKUP(H5197,'合同综合查询数据（3月返）'!$A:$A,1,FALSE)</f>
        <v>#N/A</v>
      </c>
      <c r="J5197" s="24" t="s">
        <v>90</v>
      </c>
      <c r="K5197" s="16" t="s">
        <v>6857</v>
      </c>
      <c r="L5197" s="25"/>
      <c r="M5197" s="26" t="s">
        <v>6858</v>
      </c>
      <c r="N5197" s="28">
        <v>44286</v>
      </c>
      <c r="O5197" s="28" t="s">
        <v>461</v>
      </c>
      <c r="P5197" s="365">
        <v>1599</v>
      </c>
      <c r="Q5197" s="376">
        <v>1</v>
      </c>
      <c r="R5197" s="173">
        <f t="shared" si="117"/>
        <v>1599</v>
      </c>
      <c r="S5197" s="37">
        <v>202303</v>
      </c>
      <c r="T5197" s="397" t="s">
        <v>6877</v>
      </c>
      <c r="U5197" s="39"/>
      <c r="V5197" s="370"/>
      <c r="W5197" s="41"/>
      <c r="X5197" s="371">
        <v>44470</v>
      </c>
      <c r="Y5197" s="371">
        <v>46234</v>
      </c>
    </row>
    <row r="5198" s="9" customFormat="1" customHeight="1" spans="1:25">
      <c r="A5198" s="16" t="s">
        <v>399</v>
      </c>
      <c r="B5198" s="17" t="s">
        <v>6236</v>
      </c>
      <c r="C5198" s="17" t="s">
        <v>63</v>
      </c>
      <c r="D5198" s="17" t="s">
        <v>6237</v>
      </c>
      <c r="E5198" s="18" t="s">
        <v>6711</v>
      </c>
      <c r="F5198" s="16" t="s">
        <v>6855</v>
      </c>
      <c r="G5198" s="16" t="s">
        <v>88</v>
      </c>
      <c r="H5198" s="19" t="s">
        <v>6856</v>
      </c>
      <c r="I5198" s="23" t="e">
        <f>VLOOKUP(H5198,'合同综合查询数据（3月返）'!$A:$A,1,FALSE)</f>
        <v>#N/A</v>
      </c>
      <c r="J5198" s="24" t="s">
        <v>90</v>
      </c>
      <c r="K5198" s="16" t="s">
        <v>6857</v>
      </c>
      <c r="L5198" s="25"/>
      <c r="M5198" s="26" t="s">
        <v>6858</v>
      </c>
      <c r="N5198" s="28">
        <v>44312</v>
      </c>
      <c r="O5198" s="28" t="s">
        <v>461</v>
      </c>
      <c r="P5198" s="365">
        <v>1599</v>
      </c>
      <c r="Q5198" s="369">
        <v>1</v>
      </c>
      <c r="R5198" s="36">
        <f t="shared" si="117"/>
        <v>1599</v>
      </c>
      <c r="S5198" s="37">
        <v>202303</v>
      </c>
      <c r="T5198" s="397" t="s">
        <v>6878</v>
      </c>
      <c r="U5198" s="39"/>
      <c r="V5198" s="370"/>
      <c r="W5198" s="41"/>
      <c r="X5198" s="371">
        <v>44470</v>
      </c>
      <c r="Y5198" s="371">
        <v>46234</v>
      </c>
    </row>
    <row r="5199" s="9" customFormat="1" customHeight="1" spans="1:25">
      <c r="A5199" s="16" t="s">
        <v>399</v>
      </c>
      <c r="B5199" s="17" t="s">
        <v>6236</v>
      </c>
      <c r="C5199" s="17" t="s">
        <v>63</v>
      </c>
      <c r="D5199" s="17" t="s">
        <v>6237</v>
      </c>
      <c r="E5199" s="18" t="s">
        <v>6711</v>
      </c>
      <c r="F5199" s="16" t="s">
        <v>6855</v>
      </c>
      <c r="G5199" s="16" t="s">
        <v>88</v>
      </c>
      <c r="H5199" s="19" t="s">
        <v>6856</v>
      </c>
      <c r="I5199" s="23" t="e">
        <f>VLOOKUP(H5199,'合同综合查询数据（3月返）'!$A:$A,1,FALSE)</f>
        <v>#N/A</v>
      </c>
      <c r="J5199" s="24" t="s">
        <v>90</v>
      </c>
      <c r="K5199" s="16" t="s">
        <v>6857</v>
      </c>
      <c r="L5199" s="25"/>
      <c r="M5199" s="26" t="s">
        <v>6858</v>
      </c>
      <c r="N5199" s="28">
        <v>44369</v>
      </c>
      <c r="O5199" s="28" t="s">
        <v>461</v>
      </c>
      <c r="P5199" s="365">
        <v>1599</v>
      </c>
      <c r="Q5199" s="369">
        <v>-2</v>
      </c>
      <c r="R5199" s="36">
        <f t="shared" ref="R5199:R5218" si="118">ROUND(P5199*Q5199,2)</f>
        <v>-3198</v>
      </c>
      <c r="S5199" s="37">
        <v>202303</v>
      </c>
      <c r="T5199" s="397" t="s">
        <v>6879</v>
      </c>
      <c r="U5199" s="39"/>
      <c r="V5199" s="370"/>
      <c r="W5199" s="41"/>
      <c r="X5199" s="371">
        <v>44470</v>
      </c>
      <c r="Y5199" s="371">
        <v>46234</v>
      </c>
    </row>
    <row r="5200" s="9" customFormat="1" customHeight="1" spans="1:25">
      <c r="A5200" s="16" t="s">
        <v>399</v>
      </c>
      <c r="B5200" s="17" t="s">
        <v>6236</v>
      </c>
      <c r="C5200" s="17" t="s">
        <v>63</v>
      </c>
      <c r="D5200" s="17" t="s">
        <v>6237</v>
      </c>
      <c r="E5200" s="18" t="s">
        <v>6711</v>
      </c>
      <c r="F5200" s="16" t="s">
        <v>6855</v>
      </c>
      <c r="G5200" s="16" t="s">
        <v>88</v>
      </c>
      <c r="H5200" s="19" t="s">
        <v>6856</v>
      </c>
      <c r="I5200" s="23" t="e">
        <f>VLOOKUP(H5200,'合同综合查询数据（3月返）'!$A:$A,1,FALSE)</f>
        <v>#N/A</v>
      </c>
      <c r="J5200" s="24" t="s">
        <v>90</v>
      </c>
      <c r="K5200" s="16" t="s">
        <v>6857</v>
      </c>
      <c r="L5200" s="25"/>
      <c r="M5200" s="26" t="s">
        <v>6858</v>
      </c>
      <c r="N5200" s="28">
        <v>44372</v>
      </c>
      <c r="O5200" s="28" t="s">
        <v>461</v>
      </c>
      <c r="P5200" s="365">
        <v>1599</v>
      </c>
      <c r="Q5200" s="369">
        <v>2</v>
      </c>
      <c r="R5200" s="36">
        <f t="shared" si="118"/>
        <v>3198</v>
      </c>
      <c r="S5200" s="37">
        <v>202303</v>
      </c>
      <c r="T5200" s="397" t="s">
        <v>6879</v>
      </c>
      <c r="U5200" s="39"/>
      <c r="V5200" s="370"/>
      <c r="W5200" s="41"/>
      <c r="X5200" s="371">
        <v>44470</v>
      </c>
      <c r="Y5200" s="371">
        <v>46234</v>
      </c>
    </row>
    <row r="5201" s="9" customFormat="1" customHeight="1" spans="1:25">
      <c r="A5201" s="16" t="s">
        <v>399</v>
      </c>
      <c r="B5201" s="17" t="s">
        <v>6236</v>
      </c>
      <c r="C5201" s="17" t="s">
        <v>63</v>
      </c>
      <c r="D5201" s="17" t="s">
        <v>6237</v>
      </c>
      <c r="E5201" s="18" t="s">
        <v>6711</v>
      </c>
      <c r="F5201" s="16" t="s">
        <v>6855</v>
      </c>
      <c r="G5201" s="16" t="s">
        <v>88</v>
      </c>
      <c r="H5201" s="19" t="s">
        <v>6856</v>
      </c>
      <c r="I5201" s="23" t="e">
        <f>VLOOKUP(H5201,'合同综合查询数据（3月返）'!$A:$A,1,FALSE)</f>
        <v>#N/A</v>
      </c>
      <c r="J5201" s="24" t="s">
        <v>90</v>
      </c>
      <c r="K5201" s="16" t="s">
        <v>6857</v>
      </c>
      <c r="L5201" s="25"/>
      <c r="M5201" s="26" t="s">
        <v>6858</v>
      </c>
      <c r="N5201" s="28">
        <v>44440</v>
      </c>
      <c r="O5201" s="28" t="s">
        <v>461</v>
      </c>
      <c r="P5201" s="365">
        <v>1599</v>
      </c>
      <c r="Q5201" s="369">
        <v>5</v>
      </c>
      <c r="R5201" s="36">
        <f t="shared" si="118"/>
        <v>7995</v>
      </c>
      <c r="S5201" s="37">
        <v>202303</v>
      </c>
      <c r="T5201" s="397" t="s">
        <v>6880</v>
      </c>
      <c r="U5201" s="39"/>
      <c r="V5201" s="370"/>
      <c r="W5201" s="41"/>
      <c r="X5201" s="371">
        <v>44470</v>
      </c>
      <c r="Y5201" s="371">
        <v>46234</v>
      </c>
    </row>
    <row r="5202" s="9" customFormat="1" customHeight="1" spans="1:25">
      <c r="A5202" s="16" t="s">
        <v>399</v>
      </c>
      <c r="B5202" s="17" t="s">
        <v>6236</v>
      </c>
      <c r="C5202" s="17" t="s">
        <v>63</v>
      </c>
      <c r="D5202" s="17" t="s">
        <v>6237</v>
      </c>
      <c r="E5202" s="18" t="s">
        <v>6711</v>
      </c>
      <c r="F5202" s="16" t="s">
        <v>6855</v>
      </c>
      <c r="G5202" s="16" t="s">
        <v>88</v>
      </c>
      <c r="H5202" s="19" t="s">
        <v>6856</v>
      </c>
      <c r="I5202" s="23" t="e">
        <f>VLOOKUP(H5202,'合同综合查询数据（3月返）'!$A:$A,1,FALSE)</f>
        <v>#N/A</v>
      </c>
      <c r="J5202" s="24" t="s">
        <v>90</v>
      </c>
      <c r="K5202" s="16" t="s">
        <v>6857</v>
      </c>
      <c r="L5202" s="25"/>
      <c r="M5202" s="26" t="s">
        <v>6858</v>
      </c>
      <c r="N5202" s="28">
        <v>44721</v>
      </c>
      <c r="O5202" s="28" t="s">
        <v>1320</v>
      </c>
      <c r="P5202" s="365">
        <v>0</v>
      </c>
      <c r="Q5202" s="369">
        <v>1</v>
      </c>
      <c r="R5202" s="119">
        <f t="shared" si="118"/>
        <v>0</v>
      </c>
      <c r="S5202" s="37">
        <v>202303</v>
      </c>
      <c r="T5202" s="397" t="s">
        <v>6881</v>
      </c>
      <c r="U5202" s="39"/>
      <c r="V5202" s="370"/>
      <c r="W5202" s="41"/>
      <c r="X5202" s="371">
        <v>44470</v>
      </c>
      <c r="Y5202" s="371">
        <v>46234</v>
      </c>
    </row>
    <row r="5203" s="9" customFormat="1" customHeight="1" spans="1:25">
      <c r="A5203" s="16" t="s">
        <v>399</v>
      </c>
      <c r="B5203" s="17" t="s">
        <v>6236</v>
      </c>
      <c r="C5203" s="17" t="s">
        <v>63</v>
      </c>
      <c r="D5203" s="17" t="s">
        <v>6237</v>
      </c>
      <c r="E5203" s="18" t="s">
        <v>6711</v>
      </c>
      <c r="F5203" s="16" t="s">
        <v>6855</v>
      </c>
      <c r="G5203" s="16" t="s">
        <v>88</v>
      </c>
      <c r="H5203" s="19" t="s">
        <v>6856</v>
      </c>
      <c r="I5203" s="23" t="e">
        <f>VLOOKUP(H5203,'合同综合查询数据（3月返）'!$A:$A,1,FALSE)</f>
        <v>#N/A</v>
      </c>
      <c r="J5203" s="24" t="s">
        <v>90</v>
      </c>
      <c r="K5203" s="16" t="s">
        <v>6857</v>
      </c>
      <c r="L5203" s="25"/>
      <c r="M5203" s="26" t="s">
        <v>6858</v>
      </c>
      <c r="N5203" s="28">
        <v>44735</v>
      </c>
      <c r="O5203" s="28" t="s">
        <v>1320</v>
      </c>
      <c r="P5203" s="365">
        <v>0</v>
      </c>
      <c r="Q5203" s="369">
        <v>1</v>
      </c>
      <c r="R5203" s="119">
        <f t="shared" si="118"/>
        <v>0</v>
      </c>
      <c r="S5203" s="37">
        <v>202303</v>
      </c>
      <c r="T5203" s="397" t="s">
        <v>6882</v>
      </c>
      <c r="U5203" s="39"/>
      <c r="V5203" s="370"/>
      <c r="W5203" s="41"/>
      <c r="X5203" s="371">
        <v>44470</v>
      </c>
      <c r="Y5203" s="371">
        <v>46234</v>
      </c>
    </row>
    <row r="5204" s="9" customFormat="1" customHeight="1" spans="1:25">
      <c r="A5204" s="16" t="s">
        <v>399</v>
      </c>
      <c r="B5204" s="17" t="s">
        <v>6236</v>
      </c>
      <c r="C5204" s="17" t="s">
        <v>63</v>
      </c>
      <c r="D5204" s="17" t="s">
        <v>6237</v>
      </c>
      <c r="E5204" s="18" t="s">
        <v>6711</v>
      </c>
      <c r="F5204" s="16" t="s">
        <v>6855</v>
      </c>
      <c r="G5204" s="16" t="s">
        <v>88</v>
      </c>
      <c r="H5204" s="19" t="s">
        <v>6856</v>
      </c>
      <c r="I5204" s="23" t="e">
        <f>VLOOKUP(H5204,'合同综合查询数据（3月返）'!$A:$A,1,FALSE)</f>
        <v>#N/A</v>
      </c>
      <c r="J5204" s="24" t="s">
        <v>90</v>
      </c>
      <c r="K5204" s="16" t="s">
        <v>6857</v>
      </c>
      <c r="L5204" s="25"/>
      <c r="M5204" s="26" t="s">
        <v>6858</v>
      </c>
      <c r="N5204" s="28">
        <v>44740</v>
      </c>
      <c r="O5204" s="28" t="s">
        <v>1320</v>
      </c>
      <c r="P5204" s="365">
        <v>0</v>
      </c>
      <c r="Q5204" s="369">
        <v>-1</v>
      </c>
      <c r="R5204" s="119">
        <f t="shared" si="118"/>
        <v>0</v>
      </c>
      <c r="S5204" s="37">
        <v>202303</v>
      </c>
      <c r="T5204" s="397" t="s">
        <v>6883</v>
      </c>
      <c r="U5204" s="39"/>
      <c r="V5204" s="370"/>
      <c r="W5204" s="41"/>
      <c r="X5204" s="371">
        <v>44470</v>
      </c>
      <c r="Y5204" s="371">
        <v>46234</v>
      </c>
    </row>
    <row r="5205" s="9" customFormat="1" customHeight="1" spans="1:25">
      <c r="A5205" s="16" t="s">
        <v>399</v>
      </c>
      <c r="B5205" s="17" t="s">
        <v>6236</v>
      </c>
      <c r="C5205" s="17" t="s">
        <v>63</v>
      </c>
      <c r="D5205" s="17" t="s">
        <v>6237</v>
      </c>
      <c r="E5205" s="18" t="s">
        <v>6711</v>
      </c>
      <c r="F5205" s="16" t="s">
        <v>6855</v>
      </c>
      <c r="G5205" s="16" t="s">
        <v>88</v>
      </c>
      <c r="H5205" s="19" t="s">
        <v>6856</v>
      </c>
      <c r="I5205" s="23" t="e">
        <f>VLOOKUP(H5205,'合同综合查询数据（3月返）'!$A:$A,1,FALSE)</f>
        <v>#N/A</v>
      </c>
      <c r="J5205" s="24" t="s">
        <v>90</v>
      </c>
      <c r="K5205" s="16" t="s">
        <v>6857</v>
      </c>
      <c r="L5205" s="25"/>
      <c r="M5205" s="26" t="s">
        <v>6858</v>
      </c>
      <c r="N5205" s="28">
        <v>44743</v>
      </c>
      <c r="O5205" s="28" t="s">
        <v>1320</v>
      </c>
      <c r="P5205" s="365">
        <v>0</v>
      </c>
      <c r="Q5205" s="369">
        <v>2</v>
      </c>
      <c r="R5205" s="119">
        <f t="shared" si="118"/>
        <v>0</v>
      </c>
      <c r="S5205" s="37">
        <v>202303</v>
      </c>
      <c r="T5205" s="397" t="s">
        <v>6884</v>
      </c>
      <c r="U5205" s="39"/>
      <c r="V5205" s="370"/>
      <c r="W5205" s="41"/>
      <c r="X5205" s="371">
        <v>44470</v>
      </c>
      <c r="Y5205" s="371">
        <v>46234</v>
      </c>
    </row>
    <row r="5206" s="9" customFormat="1" customHeight="1" spans="1:25">
      <c r="A5206" s="16" t="s">
        <v>399</v>
      </c>
      <c r="B5206" s="17" t="s">
        <v>6236</v>
      </c>
      <c r="C5206" s="17" t="s">
        <v>63</v>
      </c>
      <c r="D5206" s="17" t="s">
        <v>6237</v>
      </c>
      <c r="E5206" s="18" t="s">
        <v>6711</v>
      </c>
      <c r="F5206" s="16" t="s">
        <v>6855</v>
      </c>
      <c r="G5206" s="16" t="s">
        <v>88</v>
      </c>
      <c r="H5206" s="19" t="s">
        <v>6856</v>
      </c>
      <c r="I5206" s="23" t="e">
        <f>VLOOKUP(H5206,'合同综合查询数据（3月返）'!$A:$A,1,FALSE)</f>
        <v>#N/A</v>
      </c>
      <c r="J5206" s="24" t="s">
        <v>90</v>
      </c>
      <c r="K5206" s="16" t="s">
        <v>6857</v>
      </c>
      <c r="L5206" s="25"/>
      <c r="M5206" s="26" t="s">
        <v>6858</v>
      </c>
      <c r="N5206" s="28">
        <v>44749</v>
      </c>
      <c r="O5206" s="28" t="s">
        <v>1320</v>
      </c>
      <c r="P5206" s="365">
        <v>0</v>
      </c>
      <c r="Q5206" s="369">
        <v>1</v>
      </c>
      <c r="R5206" s="119">
        <f t="shared" si="118"/>
        <v>0</v>
      </c>
      <c r="S5206" s="37">
        <v>202303</v>
      </c>
      <c r="T5206" s="397" t="s">
        <v>6883</v>
      </c>
      <c r="U5206" s="39"/>
      <c r="V5206" s="370"/>
      <c r="W5206" s="41"/>
      <c r="X5206" s="371">
        <v>44470</v>
      </c>
      <c r="Y5206" s="371">
        <v>46234</v>
      </c>
    </row>
    <row r="5207" s="9" customFormat="1" customHeight="1" spans="1:25">
      <c r="A5207" s="16" t="s">
        <v>399</v>
      </c>
      <c r="B5207" s="17" t="s">
        <v>6236</v>
      </c>
      <c r="C5207" s="17" t="s">
        <v>63</v>
      </c>
      <c r="D5207" s="17" t="s">
        <v>6237</v>
      </c>
      <c r="E5207" s="18" t="s">
        <v>6711</v>
      </c>
      <c r="F5207" s="16" t="s">
        <v>6855</v>
      </c>
      <c r="G5207" s="16" t="s">
        <v>88</v>
      </c>
      <c r="H5207" s="19" t="s">
        <v>6856</v>
      </c>
      <c r="I5207" s="23" t="e">
        <f>VLOOKUP(H5207,'合同综合查询数据（3月返）'!$A:$A,1,FALSE)</f>
        <v>#N/A</v>
      </c>
      <c r="J5207" s="24" t="s">
        <v>90</v>
      </c>
      <c r="K5207" s="16" t="s">
        <v>6857</v>
      </c>
      <c r="L5207" s="25"/>
      <c r="M5207" s="26" t="s">
        <v>6858</v>
      </c>
      <c r="N5207" s="28">
        <v>44753</v>
      </c>
      <c r="O5207" s="28" t="s">
        <v>1320</v>
      </c>
      <c r="P5207" s="365">
        <v>0</v>
      </c>
      <c r="Q5207" s="369">
        <v>1</v>
      </c>
      <c r="R5207" s="119">
        <f t="shared" si="118"/>
        <v>0</v>
      </c>
      <c r="S5207" s="37">
        <v>202303</v>
      </c>
      <c r="T5207" s="397" t="s">
        <v>6885</v>
      </c>
      <c r="U5207" s="39"/>
      <c r="V5207" s="370"/>
      <c r="W5207" s="41"/>
      <c r="X5207" s="371">
        <v>44470</v>
      </c>
      <c r="Y5207" s="371">
        <v>46234</v>
      </c>
    </row>
    <row r="5208" s="9" customFormat="1" customHeight="1" spans="1:25">
      <c r="A5208" s="16" t="s">
        <v>399</v>
      </c>
      <c r="B5208" s="17" t="s">
        <v>6236</v>
      </c>
      <c r="C5208" s="17" t="s">
        <v>63</v>
      </c>
      <c r="D5208" s="17" t="s">
        <v>6237</v>
      </c>
      <c r="E5208" s="18" t="s">
        <v>6711</v>
      </c>
      <c r="F5208" s="16" t="s">
        <v>6855</v>
      </c>
      <c r="G5208" s="16" t="s">
        <v>88</v>
      </c>
      <c r="H5208" s="19" t="s">
        <v>6856</v>
      </c>
      <c r="I5208" s="23" t="e">
        <f>VLOOKUP(H5208,'合同综合查询数据（3月返）'!$A:$A,1,FALSE)</f>
        <v>#N/A</v>
      </c>
      <c r="J5208" s="24" t="s">
        <v>90</v>
      </c>
      <c r="K5208" s="16" t="s">
        <v>6857</v>
      </c>
      <c r="L5208" s="25"/>
      <c r="M5208" s="26" t="s">
        <v>6858</v>
      </c>
      <c r="N5208" s="28">
        <v>44980.6986921296</v>
      </c>
      <c r="O5208" s="28" t="s">
        <v>461</v>
      </c>
      <c r="P5208" s="365">
        <v>1599</v>
      </c>
      <c r="Q5208" s="369">
        <v>-1</v>
      </c>
      <c r="R5208" s="119">
        <f t="shared" si="118"/>
        <v>-1599</v>
      </c>
      <c r="S5208" s="37">
        <v>202303</v>
      </c>
      <c r="T5208" s="397" t="s">
        <v>6886</v>
      </c>
      <c r="U5208" s="39"/>
      <c r="V5208" s="370"/>
      <c r="W5208" s="41"/>
      <c r="X5208" s="371">
        <v>44470</v>
      </c>
      <c r="Y5208" s="371">
        <v>46234</v>
      </c>
    </row>
    <row r="5209" s="9" customFormat="1" customHeight="1" spans="1:25">
      <c r="A5209" s="16" t="s">
        <v>399</v>
      </c>
      <c r="B5209" s="17" t="s">
        <v>6236</v>
      </c>
      <c r="C5209" s="17" t="s">
        <v>63</v>
      </c>
      <c r="D5209" s="17" t="s">
        <v>6237</v>
      </c>
      <c r="E5209" s="18" t="s">
        <v>6887</v>
      </c>
      <c r="F5209" s="16" t="s">
        <v>6888</v>
      </c>
      <c r="G5209" s="16" t="s">
        <v>31</v>
      </c>
      <c r="H5209" s="19" t="s">
        <v>6889</v>
      </c>
      <c r="I5209" s="23" t="e">
        <f>VLOOKUP(H5209,'合同综合查询数据（3月返）'!$A:$A,1,FALSE)</f>
        <v>#N/A</v>
      </c>
      <c r="J5209" s="24" t="s">
        <v>33</v>
      </c>
      <c r="K5209" s="16" t="s">
        <v>6888</v>
      </c>
      <c r="L5209" s="25" t="s">
        <v>6890</v>
      </c>
      <c r="M5209" s="26"/>
      <c r="N5209" s="28">
        <v>43343</v>
      </c>
      <c r="O5209" s="28" t="s">
        <v>37</v>
      </c>
      <c r="P5209" s="365">
        <v>0</v>
      </c>
      <c r="Q5209" s="376">
        <v>512</v>
      </c>
      <c r="R5209" s="173">
        <f t="shared" si="118"/>
        <v>0</v>
      </c>
      <c r="S5209" s="37">
        <v>202303</v>
      </c>
      <c r="T5209" s="38" t="s">
        <v>6891</v>
      </c>
      <c r="U5209" s="39"/>
      <c r="V5209" s="370"/>
      <c r="W5209" s="41"/>
      <c r="X5209" s="371">
        <v>44550</v>
      </c>
      <c r="Y5209" s="391">
        <v>45279</v>
      </c>
    </row>
    <row r="5210" s="9" customFormat="1" customHeight="1" spans="1:25">
      <c r="A5210" s="16" t="s">
        <v>399</v>
      </c>
      <c r="B5210" s="17" t="s">
        <v>6236</v>
      </c>
      <c r="C5210" s="17" t="s">
        <v>63</v>
      </c>
      <c r="D5210" s="17" t="s">
        <v>6237</v>
      </c>
      <c r="E5210" s="18" t="s">
        <v>6887</v>
      </c>
      <c r="F5210" s="16" t="s">
        <v>6888</v>
      </c>
      <c r="G5210" s="16" t="s">
        <v>88</v>
      </c>
      <c r="H5210" s="19" t="s">
        <v>6889</v>
      </c>
      <c r="I5210" s="23" t="e">
        <f>VLOOKUP(H5210,'合同综合查询数据（3月返）'!$A:$A,1,FALSE)</f>
        <v>#N/A</v>
      </c>
      <c r="J5210" s="24" t="s">
        <v>126</v>
      </c>
      <c r="K5210" s="16" t="s">
        <v>6892</v>
      </c>
      <c r="L5210" s="25"/>
      <c r="M5210" s="26" t="s">
        <v>6893</v>
      </c>
      <c r="N5210" s="28">
        <v>43343</v>
      </c>
      <c r="O5210" s="28" t="s">
        <v>92</v>
      </c>
      <c r="P5210" s="365">
        <v>4000</v>
      </c>
      <c r="Q5210" s="376">
        <v>10</v>
      </c>
      <c r="R5210" s="173">
        <f t="shared" si="118"/>
        <v>40000</v>
      </c>
      <c r="S5210" s="37">
        <v>202303</v>
      </c>
      <c r="T5210" s="38"/>
      <c r="U5210" s="39"/>
      <c r="V5210" s="370"/>
      <c r="W5210" s="41"/>
      <c r="X5210" s="371">
        <v>44550</v>
      </c>
      <c r="Y5210" s="391">
        <v>45279</v>
      </c>
    </row>
    <row r="5211" s="9" customFormat="1" customHeight="1" spans="1:25">
      <c r="A5211" s="16" t="s">
        <v>399</v>
      </c>
      <c r="B5211" s="17" t="s">
        <v>6236</v>
      </c>
      <c r="C5211" s="17" t="s">
        <v>63</v>
      </c>
      <c r="D5211" s="17" t="s">
        <v>6237</v>
      </c>
      <c r="E5211" s="18" t="s">
        <v>6887</v>
      </c>
      <c r="F5211" s="16" t="s">
        <v>6888</v>
      </c>
      <c r="G5211" s="16" t="s">
        <v>88</v>
      </c>
      <c r="H5211" s="19" t="s">
        <v>6889</v>
      </c>
      <c r="I5211" s="23" t="e">
        <f>VLOOKUP(H5211,'合同综合查询数据（3月返）'!$A:$A,1,FALSE)</f>
        <v>#N/A</v>
      </c>
      <c r="J5211" s="24" t="s">
        <v>126</v>
      </c>
      <c r="K5211" s="16" t="s">
        <v>6892</v>
      </c>
      <c r="L5211" s="25"/>
      <c r="M5211" s="26" t="s">
        <v>6893</v>
      </c>
      <c r="N5211" s="28">
        <v>44741</v>
      </c>
      <c r="O5211" s="28" t="s">
        <v>92</v>
      </c>
      <c r="P5211" s="365">
        <v>4000</v>
      </c>
      <c r="Q5211" s="376">
        <v>-4</v>
      </c>
      <c r="R5211" s="119">
        <f t="shared" si="118"/>
        <v>-16000</v>
      </c>
      <c r="S5211" s="37">
        <v>202303</v>
      </c>
      <c r="T5211" s="38" t="s">
        <v>6894</v>
      </c>
      <c r="U5211" s="39"/>
      <c r="V5211" s="370"/>
      <c r="W5211" s="41"/>
      <c r="X5211" s="371">
        <v>44550</v>
      </c>
      <c r="Y5211" s="391">
        <v>45279</v>
      </c>
    </row>
    <row r="5212" s="10" customFormat="1" customHeight="1" spans="1:25">
      <c r="A5212" s="42" t="s">
        <v>401</v>
      </c>
      <c r="B5212" s="43" t="s">
        <v>6236</v>
      </c>
      <c r="C5212" s="43" t="s">
        <v>63</v>
      </c>
      <c r="D5212" s="43" t="s">
        <v>75</v>
      </c>
      <c r="E5212" s="44" t="s">
        <v>6238</v>
      </c>
      <c r="F5212" s="42" t="s">
        <v>6239</v>
      </c>
      <c r="G5212" s="42" t="s">
        <v>302</v>
      </c>
      <c r="H5212" s="45" t="s">
        <v>6895</v>
      </c>
      <c r="I5212" s="47" t="e">
        <f>VLOOKUP(H5212,'合同综合查询数据（3月返）'!$A:$A,1,FALSE)</f>
        <v>#N/A</v>
      </c>
      <c r="J5212" s="48" t="s">
        <v>302</v>
      </c>
      <c r="K5212" s="42" t="s">
        <v>6896</v>
      </c>
      <c r="L5212" s="49"/>
      <c r="M5212" s="50"/>
      <c r="N5212" s="51">
        <v>43891</v>
      </c>
      <c r="O5212" s="51" t="s">
        <v>2866</v>
      </c>
      <c r="P5212" s="366">
        <v>800000</v>
      </c>
      <c r="Q5212" s="372">
        <v>1</v>
      </c>
      <c r="R5212" s="144">
        <f t="shared" si="118"/>
        <v>800000</v>
      </c>
      <c r="S5212" s="55">
        <v>202303</v>
      </c>
      <c r="T5212" s="56" t="s">
        <v>6897</v>
      </c>
      <c r="U5212" s="57"/>
      <c r="V5212" s="373"/>
      <c r="W5212" s="59"/>
      <c r="X5212" s="374">
        <v>43647</v>
      </c>
      <c r="Y5212" s="374">
        <v>45107</v>
      </c>
    </row>
    <row r="5213" s="10" customFormat="1" customHeight="1" spans="1:25">
      <c r="A5213" s="42" t="s">
        <v>401</v>
      </c>
      <c r="B5213" s="43" t="s">
        <v>6236</v>
      </c>
      <c r="C5213" s="43" t="s">
        <v>63</v>
      </c>
      <c r="D5213" s="43" t="s">
        <v>75</v>
      </c>
      <c r="E5213" s="44" t="s">
        <v>6238</v>
      </c>
      <c r="F5213" s="42" t="s">
        <v>6239</v>
      </c>
      <c r="G5213" s="42" t="s">
        <v>302</v>
      </c>
      <c r="H5213" s="45" t="s">
        <v>6895</v>
      </c>
      <c r="I5213" s="47" t="e">
        <f>VLOOKUP(H5213,'合同综合查询数据（3月返）'!$A:$A,1,FALSE)</f>
        <v>#N/A</v>
      </c>
      <c r="J5213" s="48" t="s">
        <v>302</v>
      </c>
      <c r="K5213" s="42" t="s">
        <v>6896</v>
      </c>
      <c r="L5213" s="49"/>
      <c r="M5213" s="50"/>
      <c r="N5213" s="51">
        <v>44985</v>
      </c>
      <c r="O5213" s="51" t="s">
        <v>1852</v>
      </c>
      <c r="P5213" s="366">
        <v>400000</v>
      </c>
      <c r="Q5213" s="372">
        <v>-1</v>
      </c>
      <c r="R5213" s="144">
        <f t="shared" si="118"/>
        <v>-400000</v>
      </c>
      <c r="S5213" s="55">
        <v>202303</v>
      </c>
      <c r="T5213" s="56" t="s">
        <v>6898</v>
      </c>
      <c r="U5213" s="57"/>
      <c r="V5213" s="373"/>
      <c r="W5213" s="59"/>
      <c r="X5213" s="374"/>
      <c r="Y5213" s="374"/>
    </row>
    <row r="5214" s="9" customFormat="1" customHeight="1" spans="1:25">
      <c r="A5214" s="16" t="s">
        <v>401</v>
      </c>
      <c r="B5214" s="17" t="s">
        <v>6236</v>
      </c>
      <c r="C5214" s="17" t="s">
        <v>63</v>
      </c>
      <c r="D5214" s="17" t="s">
        <v>75</v>
      </c>
      <c r="E5214" s="18" t="s">
        <v>6707</v>
      </c>
      <c r="F5214" s="16" t="s">
        <v>6708</v>
      </c>
      <c r="G5214" s="16" t="s">
        <v>302</v>
      </c>
      <c r="H5214" s="19" t="s">
        <v>6899</v>
      </c>
      <c r="I5214" s="23" t="e">
        <f>VLOOKUP(H5214,'合同综合查询数据（3月返）'!$A:$A,1,FALSE)</f>
        <v>#N/A</v>
      </c>
      <c r="J5214" s="24" t="s">
        <v>302</v>
      </c>
      <c r="K5214" s="16" t="s">
        <v>6900</v>
      </c>
      <c r="L5214" s="25"/>
      <c r="M5214" s="26"/>
      <c r="N5214" s="28">
        <v>43983</v>
      </c>
      <c r="O5214" s="28" t="s">
        <v>1366</v>
      </c>
      <c r="P5214" s="365">
        <v>200000</v>
      </c>
      <c r="Q5214" s="369">
        <v>1</v>
      </c>
      <c r="R5214" s="173">
        <f t="shared" si="118"/>
        <v>200000</v>
      </c>
      <c r="S5214" s="37">
        <v>202303</v>
      </c>
      <c r="T5214" s="38" t="s">
        <v>6901</v>
      </c>
      <c r="U5214" s="38" t="s">
        <v>6902</v>
      </c>
      <c r="V5214" s="370"/>
      <c r="W5214" s="41"/>
      <c r="X5214" s="371">
        <v>43647</v>
      </c>
      <c r="Y5214" s="371">
        <v>45107</v>
      </c>
    </row>
    <row r="5215" s="9" customFormat="1" customHeight="1" spans="1:25">
      <c r="A5215" s="16" t="s">
        <v>401</v>
      </c>
      <c r="B5215" s="17" t="s">
        <v>6236</v>
      </c>
      <c r="C5215" s="17" t="s">
        <v>63</v>
      </c>
      <c r="D5215" s="17" t="s">
        <v>75</v>
      </c>
      <c r="E5215" s="18" t="s">
        <v>6707</v>
      </c>
      <c r="F5215" s="16" t="s">
        <v>6708</v>
      </c>
      <c r="G5215" s="16" t="s">
        <v>302</v>
      </c>
      <c r="H5215" s="19" t="s">
        <v>6899</v>
      </c>
      <c r="I5215" s="23" t="e">
        <f>VLOOKUP(H5215,'合同综合查询数据（3月返）'!$A:$A,1,FALSE)</f>
        <v>#N/A</v>
      </c>
      <c r="J5215" s="24" t="s">
        <v>302</v>
      </c>
      <c r="K5215" s="16" t="s">
        <v>6903</v>
      </c>
      <c r="L5215" s="25"/>
      <c r="M5215" s="26"/>
      <c r="N5215" s="28">
        <v>44069</v>
      </c>
      <c r="O5215" s="28" t="s">
        <v>1852</v>
      </c>
      <c r="P5215" s="365">
        <v>400000</v>
      </c>
      <c r="Q5215" s="369">
        <v>1</v>
      </c>
      <c r="R5215" s="173">
        <f t="shared" si="118"/>
        <v>400000</v>
      </c>
      <c r="S5215" s="37">
        <v>202303</v>
      </c>
      <c r="T5215" s="38" t="s">
        <v>6904</v>
      </c>
      <c r="U5215" s="38"/>
      <c r="V5215" s="370"/>
      <c r="W5215" s="41"/>
      <c r="X5215" s="371">
        <v>43647</v>
      </c>
      <c r="Y5215" s="371">
        <v>45107</v>
      </c>
    </row>
    <row r="5216" s="9" customFormat="1" customHeight="1" spans="1:25">
      <c r="A5216" s="16" t="s">
        <v>403</v>
      </c>
      <c r="B5216" s="17" t="s">
        <v>6236</v>
      </c>
      <c r="C5216" s="17" t="s">
        <v>169</v>
      </c>
      <c r="D5216" s="17" t="s">
        <v>6905</v>
      </c>
      <c r="E5216" s="18" t="s">
        <v>6906</v>
      </c>
      <c r="F5216" s="16" t="s">
        <v>6907</v>
      </c>
      <c r="G5216" s="16" t="s">
        <v>88</v>
      </c>
      <c r="H5216" s="19" t="s">
        <v>6908</v>
      </c>
      <c r="I5216" s="23" t="e">
        <f>VLOOKUP(H5216,'合同综合查询数据（3月返）'!$A:$A,1,FALSE)</f>
        <v>#N/A</v>
      </c>
      <c r="J5216" s="24" t="s">
        <v>126</v>
      </c>
      <c r="K5216" s="16" t="s">
        <v>6909</v>
      </c>
      <c r="L5216" s="25" t="s">
        <v>6910</v>
      </c>
      <c r="M5216" s="26" t="s">
        <v>6911</v>
      </c>
      <c r="N5216" s="28" t="s">
        <v>1225</v>
      </c>
      <c r="O5216" s="28" t="s">
        <v>2989</v>
      </c>
      <c r="P5216" s="29"/>
      <c r="Q5216" s="35">
        <v>6</v>
      </c>
      <c r="R5216" s="120">
        <f t="shared" si="118"/>
        <v>0</v>
      </c>
      <c r="S5216" s="117">
        <v>202303</v>
      </c>
      <c r="T5216" s="38" t="s">
        <v>6912</v>
      </c>
      <c r="U5216" s="39"/>
      <c r="V5216" s="398"/>
      <c r="W5216" s="41"/>
      <c r="X5216" s="28" t="s">
        <v>6913</v>
      </c>
      <c r="Y5216" s="28" t="s">
        <v>6914</v>
      </c>
    </row>
    <row r="5217" s="9" customFormat="1" customHeight="1" spans="1:25">
      <c r="A5217" s="16" t="s">
        <v>403</v>
      </c>
      <c r="B5217" s="17" t="s">
        <v>6236</v>
      </c>
      <c r="C5217" s="17" t="s">
        <v>169</v>
      </c>
      <c r="D5217" s="17" t="s">
        <v>6905</v>
      </c>
      <c r="E5217" s="18" t="s">
        <v>6906</v>
      </c>
      <c r="F5217" s="16" t="s">
        <v>6907</v>
      </c>
      <c r="G5217" s="16" t="s">
        <v>88</v>
      </c>
      <c r="H5217" s="19" t="s">
        <v>6908</v>
      </c>
      <c r="I5217" s="23" t="e">
        <f>VLOOKUP(H5217,'合同综合查询数据（3月返）'!$A:$A,1,FALSE)</f>
        <v>#N/A</v>
      </c>
      <c r="J5217" s="24" t="s">
        <v>126</v>
      </c>
      <c r="K5217" s="16" t="s">
        <v>6909</v>
      </c>
      <c r="L5217" s="25" t="s">
        <v>6915</v>
      </c>
      <c r="M5217" s="26" t="s">
        <v>6911</v>
      </c>
      <c r="N5217" s="28" t="s">
        <v>1225</v>
      </c>
      <c r="O5217" s="28" t="s">
        <v>2989</v>
      </c>
      <c r="P5217" s="29"/>
      <c r="Q5217" s="35">
        <v>4</v>
      </c>
      <c r="R5217" s="120">
        <f t="shared" si="118"/>
        <v>0</v>
      </c>
      <c r="S5217" s="117">
        <v>202303</v>
      </c>
      <c r="T5217" s="38" t="s">
        <v>6916</v>
      </c>
      <c r="U5217" s="39"/>
      <c r="V5217" s="398"/>
      <c r="W5217" s="41"/>
      <c r="X5217" s="28" t="s">
        <v>6913</v>
      </c>
      <c r="Y5217" s="28" t="s">
        <v>6914</v>
      </c>
    </row>
    <row r="5218" s="9" customFormat="1" customHeight="1" spans="1:25">
      <c r="A5218" s="16" t="s">
        <v>403</v>
      </c>
      <c r="B5218" s="17" t="s">
        <v>6236</v>
      </c>
      <c r="C5218" s="17" t="s">
        <v>169</v>
      </c>
      <c r="D5218" s="17" t="s">
        <v>6905</v>
      </c>
      <c r="E5218" s="18" t="s">
        <v>6906</v>
      </c>
      <c r="F5218" s="16" t="s">
        <v>6907</v>
      </c>
      <c r="G5218" s="16" t="s">
        <v>88</v>
      </c>
      <c r="H5218" s="19" t="s">
        <v>6908</v>
      </c>
      <c r="I5218" s="23" t="e">
        <f>VLOOKUP(H5218,'合同综合查询数据（3月返）'!$A:$A,1,FALSE)</f>
        <v>#N/A</v>
      </c>
      <c r="J5218" s="24" t="s">
        <v>126</v>
      </c>
      <c r="K5218" s="16" t="s">
        <v>6909</v>
      </c>
      <c r="L5218" s="25" t="s">
        <v>6917</v>
      </c>
      <c r="M5218" s="26" t="s">
        <v>6911</v>
      </c>
      <c r="N5218" s="28" t="s">
        <v>1225</v>
      </c>
      <c r="O5218" s="28" t="s">
        <v>2989</v>
      </c>
      <c r="P5218" s="29"/>
      <c r="Q5218" s="35">
        <v>6</v>
      </c>
      <c r="R5218" s="120">
        <f t="shared" si="118"/>
        <v>0</v>
      </c>
      <c r="S5218" s="117">
        <v>202303</v>
      </c>
      <c r="T5218" s="38" t="s">
        <v>6918</v>
      </c>
      <c r="U5218" s="39"/>
      <c r="V5218" s="398"/>
      <c r="W5218" s="41"/>
      <c r="X5218" s="28" t="s">
        <v>6913</v>
      </c>
      <c r="Y5218" s="28" t="s">
        <v>6914</v>
      </c>
    </row>
    <row r="5219" s="9" customFormat="1" customHeight="1" spans="1:25">
      <c r="A5219" s="16" t="s">
        <v>403</v>
      </c>
      <c r="B5219" s="17" t="s">
        <v>6236</v>
      </c>
      <c r="C5219" s="17" t="s">
        <v>169</v>
      </c>
      <c r="D5219" s="17" t="s">
        <v>6905</v>
      </c>
      <c r="E5219" s="18" t="s">
        <v>6906</v>
      </c>
      <c r="F5219" s="16" t="s">
        <v>6907</v>
      </c>
      <c r="G5219" s="16" t="s">
        <v>88</v>
      </c>
      <c r="H5219" s="19" t="s">
        <v>6908</v>
      </c>
      <c r="I5219" s="23" t="e">
        <f>VLOOKUP(H5219,'合同综合查询数据（3月返）'!$A:$A,1,FALSE)</f>
        <v>#N/A</v>
      </c>
      <c r="J5219" s="24" t="s">
        <v>126</v>
      </c>
      <c r="K5219" s="16" t="s">
        <v>6909</v>
      </c>
      <c r="L5219" s="25" t="s">
        <v>6917</v>
      </c>
      <c r="M5219" s="26" t="s">
        <v>6911</v>
      </c>
      <c r="N5219" s="28">
        <v>44341</v>
      </c>
      <c r="O5219" s="28" t="s">
        <v>2989</v>
      </c>
      <c r="P5219" s="29">
        <v>0</v>
      </c>
      <c r="Q5219" s="35">
        <v>-2</v>
      </c>
      <c r="R5219" s="36">
        <f>ROUND(Q5219*P5219,2)</f>
        <v>0</v>
      </c>
      <c r="S5219" s="117">
        <v>202303</v>
      </c>
      <c r="T5219" s="38" t="s">
        <v>6919</v>
      </c>
      <c r="U5219" s="39"/>
      <c r="V5219" s="398"/>
      <c r="W5219" s="41"/>
      <c r="X5219" s="28" t="s">
        <v>6913</v>
      </c>
      <c r="Y5219" s="28" t="s">
        <v>6914</v>
      </c>
    </row>
    <row r="5220" s="9" customFormat="1" customHeight="1" spans="1:25">
      <c r="A5220" s="16" t="s">
        <v>403</v>
      </c>
      <c r="B5220" s="17" t="s">
        <v>6236</v>
      </c>
      <c r="C5220" s="17" t="s">
        <v>169</v>
      </c>
      <c r="D5220" s="17" t="s">
        <v>6905</v>
      </c>
      <c r="E5220" s="18" t="s">
        <v>6906</v>
      </c>
      <c r="F5220" s="16" t="s">
        <v>6907</v>
      </c>
      <c r="G5220" s="16" t="s">
        <v>88</v>
      </c>
      <c r="H5220" s="19" t="s">
        <v>6908</v>
      </c>
      <c r="I5220" s="23" t="e">
        <f>VLOOKUP(H5220,'合同综合查询数据（3月返）'!$A:$A,1,FALSE)</f>
        <v>#N/A</v>
      </c>
      <c r="J5220" s="24" t="s">
        <v>126</v>
      </c>
      <c r="K5220" s="16" t="s">
        <v>6909</v>
      </c>
      <c r="L5220" s="25" t="s">
        <v>6920</v>
      </c>
      <c r="M5220" s="26" t="s">
        <v>6921</v>
      </c>
      <c r="N5220" s="28" t="s">
        <v>1225</v>
      </c>
      <c r="O5220" s="28" t="s">
        <v>2989</v>
      </c>
      <c r="P5220" s="29">
        <v>0</v>
      </c>
      <c r="Q5220" s="35">
        <v>3</v>
      </c>
      <c r="R5220" s="36">
        <f t="shared" ref="R5220:R5283" si="119">ROUND(P5220*Q5220,2)</f>
        <v>0</v>
      </c>
      <c r="S5220" s="117">
        <v>202303</v>
      </c>
      <c r="T5220" s="38" t="s">
        <v>6922</v>
      </c>
      <c r="U5220" s="39"/>
      <c r="V5220" s="398"/>
      <c r="W5220" s="41"/>
      <c r="X5220" s="28" t="s">
        <v>6913</v>
      </c>
      <c r="Y5220" s="28" t="s">
        <v>6914</v>
      </c>
    </row>
    <row r="5221" s="9" customFormat="1" customHeight="1" spans="1:25">
      <c r="A5221" s="16" t="s">
        <v>403</v>
      </c>
      <c r="B5221" s="17" t="s">
        <v>6236</v>
      </c>
      <c r="C5221" s="17" t="s">
        <v>169</v>
      </c>
      <c r="D5221" s="17" t="s">
        <v>6905</v>
      </c>
      <c r="E5221" s="18" t="s">
        <v>6906</v>
      </c>
      <c r="F5221" s="16" t="s">
        <v>6907</v>
      </c>
      <c r="G5221" s="16" t="s">
        <v>88</v>
      </c>
      <c r="H5221" s="19" t="s">
        <v>6908</v>
      </c>
      <c r="I5221" s="23" t="e">
        <f>VLOOKUP(H5221,'合同综合查询数据（3月返）'!$A:$A,1,FALSE)</f>
        <v>#N/A</v>
      </c>
      <c r="J5221" s="24" t="s">
        <v>126</v>
      </c>
      <c r="K5221" s="16" t="s">
        <v>6923</v>
      </c>
      <c r="L5221" s="25" t="s">
        <v>6924</v>
      </c>
      <c r="M5221" s="26" t="s">
        <v>6925</v>
      </c>
      <c r="N5221" s="28" t="s">
        <v>1225</v>
      </c>
      <c r="O5221" s="28" t="s">
        <v>2989</v>
      </c>
      <c r="P5221" s="29">
        <v>0</v>
      </c>
      <c r="Q5221" s="35">
        <v>6</v>
      </c>
      <c r="R5221" s="36">
        <f t="shared" si="119"/>
        <v>0</v>
      </c>
      <c r="S5221" s="117">
        <v>202303</v>
      </c>
      <c r="T5221" s="38" t="s">
        <v>6926</v>
      </c>
      <c r="U5221" s="39"/>
      <c r="V5221" s="398"/>
      <c r="W5221" s="41"/>
      <c r="X5221" s="28" t="s">
        <v>6913</v>
      </c>
      <c r="Y5221" s="28" t="s">
        <v>6914</v>
      </c>
    </row>
    <row r="5222" s="9" customFormat="1" customHeight="1" spans="1:25">
      <c r="A5222" s="16" t="s">
        <v>403</v>
      </c>
      <c r="B5222" s="17" t="s">
        <v>6236</v>
      </c>
      <c r="C5222" s="17" t="s">
        <v>169</v>
      </c>
      <c r="D5222" s="17" t="s">
        <v>6905</v>
      </c>
      <c r="E5222" s="18" t="s">
        <v>6906</v>
      </c>
      <c r="F5222" s="16" t="s">
        <v>6907</v>
      </c>
      <c r="G5222" s="16" t="s">
        <v>88</v>
      </c>
      <c r="H5222" s="19" t="s">
        <v>6908</v>
      </c>
      <c r="I5222" s="23" t="e">
        <f>VLOOKUP(H5222,'合同综合查询数据（3月返）'!$A:$A,1,FALSE)</f>
        <v>#N/A</v>
      </c>
      <c r="J5222" s="24" t="s">
        <v>126</v>
      </c>
      <c r="K5222" s="16" t="s">
        <v>6923</v>
      </c>
      <c r="L5222" s="25" t="s">
        <v>6924</v>
      </c>
      <c r="M5222" s="26" t="s">
        <v>6925</v>
      </c>
      <c r="N5222" s="28">
        <v>44784</v>
      </c>
      <c r="O5222" s="28" t="s">
        <v>2989</v>
      </c>
      <c r="P5222" s="29">
        <v>0</v>
      </c>
      <c r="Q5222" s="35">
        <v>-3</v>
      </c>
      <c r="R5222" s="36">
        <f t="shared" si="119"/>
        <v>0</v>
      </c>
      <c r="S5222" s="117">
        <v>202303</v>
      </c>
      <c r="T5222" s="38" t="s">
        <v>6927</v>
      </c>
      <c r="U5222" s="39"/>
      <c r="V5222" s="398"/>
      <c r="W5222" s="41"/>
      <c r="X5222" s="28" t="s">
        <v>6913</v>
      </c>
      <c r="Y5222" s="28" t="s">
        <v>6914</v>
      </c>
    </row>
    <row r="5223" s="9" customFormat="1" customHeight="1" spans="1:25">
      <c r="A5223" s="16" t="s">
        <v>403</v>
      </c>
      <c r="B5223" s="17" t="s">
        <v>6236</v>
      </c>
      <c r="C5223" s="17" t="s">
        <v>169</v>
      </c>
      <c r="D5223" s="17" t="s">
        <v>6905</v>
      </c>
      <c r="E5223" s="18" t="s">
        <v>6906</v>
      </c>
      <c r="F5223" s="16" t="s">
        <v>6907</v>
      </c>
      <c r="G5223" s="16" t="s">
        <v>31</v>
      </c>
      <c r="H5223" s="19" t="s">
        <v>6908</v>
      </c>
      <c r="I5223" s="23" t="e">
        <f>VLOOKUP(H5223,'合同综合查询数据（3月返）'!$A:$A,1,FALSE)</f>
        <v>#N/A</v>
      </c>
      <c r="J5223" s="24" t="s">
        <v>3856</v>
      </c>
      <c r="K5223" s="16" t="s">
        <v>171</v>
      </c>
      <c r="L5223" s="25" t="s">
        <v>6910</v>
      </c>
      <c r="M5223" s="26"/>
      <c r="N5223" s="28" t="s">
        <v>6928</v>
      </c>
      <c r="O5223" s="28" t="s">
        <v>37</v>
      </c>
      <c r="P5223" s="29">
        <v>0</v>
      </c>
      <c r="Q5223" s="35">
        <v>288</v>
      </c>
      <c r="R5223" s="36">
        <f t="shared" si="119"/>
        <v>0</v>
      </c>
      <c r="S5223" s="117">
        <v>202303</v>
      </c>
      <c r="T5223" s="38" t="s">
        <v>6929</v>
      </c>
      <c r="U5223" s="39"/>
      <c r="V5223" s="398"/>
      <c r="W5223" s="41"/>
      <c r="X5223" s="28" t="s">
        <v>6913</v>
      </c>
      <c r="Y5223" s="28" t="s">
        <v>6914</v>
      </c>
    </row>
    <row r="5224" s="9" customFormat="1" customHeight="1" spans="1:25">
      <c r="A5224" s="16" t="s">
        <v>403</v>
      </c>
      <c r="B5224" s="17" t="s">
        <v>6236</v>
      </c>
      <c r="C5224" s="17" t="s">
        <v>169</v>
      </c>
      <c r="D5224" s="17" t="s">
        <v>6905</v>
      </c>
      <c r="E5224" s="18" t="s">
        <v>6906</v>
      </c>
      <c r="F5224" s="16" t="s">
        <v>6907</v>
      </c>
      <c r="G5224" s="16" t="s">
        <v>31</v>
      </c>
      <c r="H5224" s="19" t="s">
        <v>6908</v>
      </c>
      <c r="I5224" s="23" t="e">
        <f>VLOOKUP(H5224,'合同综合查询数据（3月返）'!$A:$A,1,FALSE)</f>
        <v>#N/A</v>
      </c>
      <c r="J5224" s="24" t="s">
        <v>3856</v>
      </c>
      <c r="K5224" s="16" t="s">
        <v>171</v>
      </c>
      <c r="L5224" s="25" t="s">
        <v>6917</v>
      </c>
      <c r="M5224" s="26"/>
      <c r="N5224" s="28" t="s">
        <v>6928</v>
      </c>
      <c r="O5224" s="28" t="s">
        <v>37</v>
      </c>
      <c r="P5224" s="29">
        <v>0</v>
      </c>
      <c r="Q5224" s="35">
        <v>288</v>
      </c>
      <c r="R5224" s="36">
        <f t="shared" si="119"/>
        <v>0</v>
      </c>
      <c r="S5224" s="117">
        <v>202303</v>
      </c>
      <c r="T5224" s="38" t="s">
        <v>6930</v>
      </c>
      <c r="U5224" s="39"/>
      <c r="V5224" s="398"/>
      <c r="W5224" s="41"/>
      <c r="X5224" s="28" t="s">
        <v>6913</v>
      </c>
      <c r="Y5224" s="28" t="s">
        <v>6914</v>
      </c>
    </row>
    <row r="5225" s="9" customFormat="1" customHeight="1" spans="1:25">
      <c r="A5225" s="16" t="s">
        <v>403</v>
      </c>
      <c r="B5225" s="17" t="s">
        <v>6236</v>
      </c>
      <c r="C5225" s="17" t="s">
        <v>169</v>
      </c>
      <c r="D5225" s="17" t="s">
        <v>6905</v>
      </c>
      <c r="E5225" s="18" t="s">
        <v>6906</v>
      </c>
      <c r="F5225" s="16" t="s">
        <v>6907</v>
      </c>
      <c r="G5225" s="16" t="s">
        <v>31</v>
      </c>
      <c r="H5225" s="19" t="s">
        <v>6908</v>
      </c>
      <c r="I5225" s="23" t="e">
        <f>VLOOKUP(H5225,'合同综合查询数据（3月返）'!$A:$A,1,FALSE)</f>
        <v>#N/A</v>
      </c>
      <c r="J5225" s="24" t="s">
        <v>3856</v>
      </c>
      <c r="K5225" s="16" t="s">
        <v>171</v>
      </c>
      <c r="L5225" s="25" t="s">
        <v>6915</v>
      </c>
      <c r="M5225" s="26"/>
      <c r="N5225" s="28" t="s">
        <v>6928</v>
      </c>
      <c r="O5225" s="28" t="s">
        <v>37</v>
      </c>
      <c r="P5225" s="29">
        <v>0</v>
      </c>
      <c r="Q5225" s="35">
        <v>288</v>
      </c>
      <c r="R5225" s="36">
        <f t="shared" si="119"/>
        <v>0</v>
      </c>
      <c r="S5225" s="117">
        <v>202303</v>
      </c>
      <c r="T5225" s="38" t="s">
        <v>6931</v>
      </c>
      <c r="U5225" s="39"/>
      <c r="V5225" s="398"/>
      <c r="W5225" s="41"/>
      <c r="X5225" s="28" t="s">
        <v>6913</v>
      </c>
      <c r="Y5225" s="28" t="s">
        <v>6914</v>
      </c>
    </row>
    <row r="5226" s="9" customFormat="1" customHeight="1" spans="1:25">
      <c r="A5226" s="16" t="s">
        <v>403</v>
      </c>
      <c r="B5226" s="17" t="s">
        <v>6236</v>
      </c>
      <c r="C5226" s="17" t="s">
        <v>169</v>
      </c>
      <c r="D5226" s="17" t="s">
        <v>6905</v>
      </c>
      <c r="E5226" s="18" t="s">
        <v>6906</v>
      </c>
      <c r="F5226" s="16" t="s">
        <v>6907</v>
      </c>
      <c r="G5226" s="16" t="s">
        <v>31</v>
      </c>
      <c r="H5226" s="19" t="s">
        <v>6908</v>
      </c>
      <c r="I5226" s="23" t="e">
        <f>VLOOKUP(H5226,'合同综合查询数据（3月返）'!$A:$A,1,FALSE)</f>
        <v>#N/A</v>
      </c>
      <c r="J5226" s="24" t="s">
        <v>3856</v>
      </c>
      <c r="K5226" s="16" t="s">
        <v>171</v>
      </c>
      <c r="L5226" s="25" t="s">
        <v>6932</v>
      </c>
      <c r="M5226" s="26"/>
      <c r="N5226" s="28" t="s">
        <v>6928</v>
      </c>
      <c r="O5226" s="28" t="s">
        <v>37</v>
      </c>
      <c r="P5226" s="29">
        <v>0</v>
      </c>
      <c r="Q5226" s="35">
        <v>128</v>
      </c>
      <c r="R5226" s="36">
        <f t="shared" si="119"/>
        <v>0</v>
      </c>
      <c r="S5226" s="117">
        <v>202303</v>
      </c>
      <c r="T5226" s="38" t="s">
        <v>6933</v>
      </c>
      <c r="U5226" s="39"/>
      <c r="V5226" s="398"/>
      <c r="W5226" s="41"/>
      <c r="X5226" s="28" t="s">
        <v>6913</v>
      </c>
      <c r="Y5226" s="28" t="s">
        <v>6914</v>
      </c>
    </row>
    <row r="5227" s="9" customFormat="1" customHeight="1" spans="1:25">
      <c r="A5227" s="16" t="s">
        <v>403</v>
      </c>
      <c r="B5227" s="17" t="s">
        <v>6236</v>
      </c>
      <c r="C5227" s="17" t="s">
        <v>169</v>
      </c>
      <c r="D5227" s="17" t="s">
        <v>6905</v>
      </c>
      <c r="E5227" s="18" t="s">
        <v>6906</v>
      </c>
      <c r="F5227" s="16" t="s">
        <v>6907</v>
      </c>
      <c r="G5227" s="16" t="s">
        <v>31</v>
      </c>
      <c r="H5227" s="19" t="s">
        <v>6908</v>
      </c>
      <c r="I5227" s="23" t="e">
        <f>VLOOKUP(H5227,'合同综合查询数据（3月返）'!$A:$A,1,FALSE)</f>
        <v>#N/A</v>
      </c>
      <c r="J5227" s="24" t="s">
        <v>3856</v>
      </c>
      <c r="K5227" s="16" t="s">
        <v>6934</v>
      </c>
      <c r="L5227" s="25" t="s">
        <v>6924</v>
      </c>
      <c r="M5227" s="26"/>
      <c r="N5227" s="28" t="s">
        <v>6928</v>
      </c>
      <c r="O5227" s="28" t="s">
        <v>37</v>
      </c>
      <c r="P5227" s="29">
        <v>0</v>
      </c>
      <c r="Q5227" s="35">
        <v>288</v>
      </c>
      <c r="R5227" s="36">
        <f t="shared" si="119"/>
        <v>0</v>
      </c>
      <c r="S5227" s="117">
        <v>202303</v>
      </c>
      <c r="T5227" s="38" t="s">
        <v>6935</v>
      </c>
      <c r="U5227" s="39"/>
      <c r="V5227" s="398"/>
      <c r="W5227" s="41"/>
      <c r="X5227" s="28" t="s">
        <v>6913</v>
      </c>
      <c r="Y5227" s="28" t="s">
        <v>6914</v>
      </c>
    </row>
    <row r="5228" s="9" customFormat="1" customHeight="1" spans="1:25">
      <c r="A5228" s="16" t="s">
        <v>403</v>
      </c>
      <c r="B5228" s="17" t="s">
        <v>6236</v>
      </c>
      <c r="C5228" s="17" t="s">
        <v>169</v>
      </c>
      <c r="D5228" s="17" t="s">
        <v>6905</v>
      </c>
      <c r="E5228" s="18" t="s">
        <v>6906</v>
      </c>
      <c r="F5228" s="16" t="s">
        <v>6907</v>
      </c>
      <c r="G5228" s="16" t="s">
        <v>31</v>
      </c>
      <c r="H5228" s="19" t="s">
        <v>6908</v>
      </c>
      <c r="I5228" s="23" t="e">
        <f>VLOOKUP(H5228,'合同综合查询数据（3月返）'!$A:$A,1,FALSE)</f>
        <v>#N/A</v>
      </c>
      <c r="J5228" s="24" t="s">
        <v>3856</v>
      </c>
      <c r="K5228" s="16" t="s">
        <v>6934</v>
      </c>
      <c r="L5228" s="25" t="s">
        <v>6924</v>
      </c>
      <c r="M5228" s="26"/>
      <c r="N5228" s="28">
        <v>44784</v>
      </c>
      <c r="O5228" s="28" t="s">
        <v>37</v>
      </c>
      <c r="P5228" s="29">
        <v>0</v>
      </c>
      <c r="Q5228" s="35">
        <v>-128</v>
      </c>
      <c r="R5228" s="36">
        <f t="shared" si="119"/>
        <v>0</v>
      </c>
      <c r="S5228" s="117">
        <v>202303</v>
      </c>
      <c r="T5228" s="38" t="s">
        <v>6936</v>
      </c>
      <c r="U5228" s="39"/>
      <c r="V5228" s="398"/>
      <c r="W5228" s="41"/>
      <c r="X5228" s="28" t="s">
        <v>6913</v>
      </c>
      <c r="Y5228" s="28" t="s">
        <v>6914</v>
      </c>
    </row>
    <row r="5229" s="10" customFormat="1" customHeight="1" spans="1:25">
      <c r="A5229" s="43" t="s">
        <v>403</v>
      </c>
      <c r="B5229" s="43" t="s">
        <v>6937</v>
      </c>
      <c r="C5229" s="43" t="s">
        <v>204</v>
      </c>
      <c r="D5229" s="43" t="s">
        <v>6905</v>
      </c>
      <c r="E5229" s="395" t="s">
        <v>6938</v>
      </c>
      <c r="F5229" s="43" t="s">
        <v>6939</v>
      </c>
      <c r="G5229" s="138" t="s">
        <v>88</v>
      </c>
      <c r="H5229" s="137" t="s">
        <v>6940</v>
      </c>
      <c r="I5229" s="47" t="e">
        <f>VLOOKUP(H5229,'合同综合查询数据（3月返）'!$A:$A,1,FALSE)</f>
        <v>#N/A</v>
      </c>
      <c r="J5229" s="65" t="s">
        <v>126</v>
      </c>
      <c r="K5229" s="138" t="s">
        <v>6941</v>
      </c>
      <c r="L5229" s="138" t="s">
        <v>6942</v>
      </c>
      <c r="M5229" s="50" t="s">
        <v>6943</v>
      </c>
      <c r="N5229" s="51">
        <v>43568</v>
      </c>
      <c r="O5229" s="51" t="s">
        <v>624</v>
      </c>
      <c r="P5229" s="396">
        <v>0</v>
      </c>
      <c r="Q5229" s="53">
        <v>2</v>
      </c>
      <c r="R5229" s="141">
        <f t="shared" si="119"/>
        <v>0</v>
      </c>
      <c r="S5229" s="70">
        <v>202303</v>
      </c>
      <c r="T5229" s="167" t="s">
        <v>6944</v>
      </c>
      <c r="U5229" s="167"/>
      <c r="V5229" s="399"/>
      <c r="W5229" s="146"/>
      <c r="X5229" s="51"/>
      <c r="Y5229" s="51"/>
    </row>
    <row r="5230" s="10" customFormat="1" customHeight="1" spans="1:25">
      <c r="A5230" s="43" t="s">
        <v>403</v>
      </c>
      <c r="B5230" s="43" t="s">
        <v>6937</v>
      </c>
      <c r="C5230" s="43" t="s">
        <v>204</v>
      </c>
      <c r="D5230" s="43" t="s">
        <v>6905</v>
      </c>
      <c r="E5230" s="395" t="s">
        <v>6938</v>
      </c>
      <c r="F5230" s="43" t="s">
        <v>6939</v>
      </c>
      <c r="G5230" s="138" t="s">
        <v>88</v>
      </c>
      <c r="H5230" s="137" t="s">
        <v>6940</v>
      </c>
      <c r="I5230" s="47" t="e">
        <f>VLOOKUP(H5230,'合同综合查询数据（3月返）'!$A:$A,1,FALSE)</f>
        <v>#N/A</v>
      </c>
      <c r="J5230" s="65" t="s">
        <v>126</v>
      </c>
      <c r="K5230" s="138" t="s">
        <v>6941</v>
      </c>
      <c r="L5230" s="138" t="s">
        <v>6942</v>
      </c>
      <c r="M5230" s="50" t="s">
        <v>6943</v>
      </c>
      <c r="N5230" s="51">
        <v>43568</v>
      </c>
      <c r="O5230" s="51" t="s">
        <v>624</v>
      </c>
      <c r="P5230" s="396">
        <v>5000</v>
      </c>
      <c r="Q5230" s="53">
        <v>1</v>
      </c>
      <c r="R5230" s="141">
        <f t="shared" si="119"/>
        <v>5000</v>
      </c>
      <c r="S5230" s="70">
        <v>202303</v>
      </c>
      <c r="T5230" s="167" t="s">
        <v>6945</v>
      </c>
      <c r="U5230" s="167"/>
      <c r="V5230" s="399"/>
      <c r="W5230" s="146"/>
      <c r="X5230" s="51"/>
      <c r="Y5230" s="51"/>
    </row>
    <row r="5231" s="10" customFormat="1" customHeight="1" spans="1:25">
      <c r="A5231" s="43" t="s">
        <v>403</v>
      </c>
      <c r="B5231" s="43" t="s">
        <v>6937</v>
      </c>
      <c r="C5231" s="43" t="s">
        <v>204</v>
      </c>
      <c r="D5231" s="43" t="s">
        <v>6905</v>
      </c>
      <c r="E5231" s="395" t="s">
        <v>6938</v>
      </c>
      <c r="F5231" s="43" t="s">
        <v>6939</v>
      </c>
      <c r="G5231" s="138" t="s">
        <v>31</v>
      </c>
      <c r="H5231" s="137" t="s">
        <v>6940</v>
      </c>
      <c r="I5231" s="47" t="e">
        <f>VLOOKUP(H5231,'合同综合查询数据（3月返）'!$A:$A,1,FALSE)</f>
        <v>#N/A</v>
      </c>
      <c r="J5231" s="65" t="s">
        <v>33</v>
      </c>
      <c r="K5231" s="138" t="s">
        <v>6941</v>
      </c>
      <c r="L5231" s="138" t="s">
        <v>6942</v>
      </c>
      <c r="M5231" s="50" t="s">
        <v>6943</v>
      </c>
      <c r="N5231" s="51">
        <v>43568</v>
      </c>
      <c r="O5231" s="51" t="s">
        <v>37</v>
      </c>
      <c r="P5231" s="396">
        <v>0</v>
      </c>
      <c r="Q5231" s="53">
        <v>128</v>
      </c>
      <c r="R5231" s="141">
        <f t="shared" si="119"/>
        <v>0</v>
      </c>
      <c r="S5231" s="70">
        <v>202303</v>
      </c>
      <c r="T5231" s="167" t="s">
        <v>6946</v>
      </c>
      <c r="U5231" s="167"/>
      <c r="V5231" s="399"/>
      <c r="W5231" s="146"/>
      <c r="X5231" s="51"/>
      <c r="Y5231" s="51"/>
    </row>
    <row r="5232" s="10" customFormat="1" customHeight="1" spans="1:25">
      <c r="A5232" s="43" t="s">
        <v>403</v>
      </c>
      <c r="B5232" s="43" t="s">
        <v>6937</v>
      </c>
      <c r="C5232" s="43" t="s">
        <v>204</v>
      </c>
      <c r="D5232" s="43" t="s">
        <v>6905</v>
      </c>
      <c r="E5232" s="395" t="s">
        <v>6938</v>
      </c>
      <c r="F5232" s="43" t="s">
        <v>6939</v>
      </c>
      <c r="G5232" s="138" t="s">
        <v>31</v>
      </c>
      <c r="H5232" s="137" t="s">
        <v>6940</v>
      </c>
      <c r="I5232" s="47" t="e">
        <f>VLOOKUP(H5232,'合同综合查询数据（3月返）'!$A:$A,1,FALSE)</f>
        <v>#N/A</v>
      </c>
      <c r="J5232" s="65" t="s">
        <v>33</v>
      </c>
      <c r="K5232" s="138" t="s">
        <v>6941</v>
      </c>
      <c r="L5232" s="138" t="s">
        <v>6942</v>
      </c>
      <c r="M5232" s="50" t="s">
        <v>6943</v>
      </c>
      <c r="N5232" s="51">
        <v>43568</v>
      </c>
      <c r="O5232" s="51" t="s">
        <v>37</v>
      </c>
      <c r="P5232" s="396">
        <v>50</v>
      </c>
      <c r="Q5232" s="53">
        <v>160</v>
      </c>
      <c r="R5232" s="141">
        <f t="shared" si="119"/>
        <v>8000</v>
      </c>
      <c r="S5232" s="70">
        <v>202303</v>
      </c>
      <c r="T5232" s="167" t="s">
        <v>6946</v>
      </c>
      <c r="U5232" s="167"/>
      <c r="V5232" s="399"/>
      <c r="W5232" s="146"/>
      <c r="X5232" s="51"/>
      <c r="Y5232" s="51"/>
    </row>
    <row r="5233" s="10" customFormat="1" customHeight="1" spans="1:25">
      <c r="A5233" s="42" t="s">
        <v>403</v>
      </c>
      <c r="B5233" s="43" t="s">
        <v>6236</v>
      </c>
      <c r="C5233" s="43" t="s">
        <v>6947</v>
      </c>
      <c r="D5233" s="43" t="s">
        <v>6905</v>
      </c>
      <c r="E5233" s="44" t="s">
        <v>6948</v>
      </c>
      <c r="F5233" s="42" t="s">
        <v>6949</v>
      </c>
      <c r="G5233" s="42" t="s">
        <v>88</v>
      </c>
      <c r="H5233" s="45" t="s">
        <v>6950</v>
      </c>
      <c r="I5233" s="47" t="e">
        <f>VLOOKUP(H5233,'合同综合查询数据（3月返）'!$A:$A,1,FALSE)</f>
        <v>#N/A</v>
      </c>
      <c r="J5233" s="48" t="s">
        <v>126</v>
      </c>
      <c r="K5233" s="42" t="s">
        <v>6951</v>
      </c>
      <c r="L5233" s="49" t="s">
        <v>6952</v>
      </c>
      <c r="M5233" s="50" t="s">
        <v>6953</v>
      </c>
      <c r="N5233" s="51">
        <v>43398</v>
      </c>
      <c r="O5233" s="51" t="s">
        <v>127</v>
      </c>
      <c r="P5233" s="52">
        <v>0</v>
      </c>
      <c r="Q5233" s="53">
        <v>2</v>
      </c>
      <c r="R5233" s="54">
        <f t="shared" si="119"/>
        <v>0</v>
      </c>
      <c r="S5233" s="70">
        <v>202303</v>
      </c>
      <c r="T5233" s="56" t="s">
        <v>6954</v>
      </c>
      <c r="U5233" s="57"/>
      <c r="V5233" s="399"/>
      <c r="W5233" s="59"/>
      <c r="X5233" s="51"/>
      <c r="Y5233" s="51"/>
    </row>
    <row r="5234" s="10" customFormat="1" customHeight="1" spans="1:25">
      <c r="A5234" s="42" t="s">
        <v>403</v>
      </c>
      <c r="B5234" s="43" t="s">
        <v>6236</v>
      </c>
      <c r="C5234" s="43" t="s">
        <v>6947</v>
      </c>
      <c r="D5234" s="43" t="s">
        <v>6905</v>
      </c>
      <c r="E5234" s="44" t="s">
        <v>6948</v>
      </c>
      <c r="F5234" s="42" t="s">
        <v>6949</v>
      </c>
      <c r="G5234" s="42" t="s">
        <v>88</v>
      </c>
      <c r="H5234" s="45" t="s">
        <v>6950</v>
      </c>
      <c r="I5234" s="47" t="e">
        <f>VLOOKUP(H5234,'合同综合查询数据（3月返）'!$A:$A,1,FALSE)</f>
        <v>#N/A</v>
      </c>
      <c r="J5234" s="48" t="s">
        <v>126</v>
      </c>
      <c r="K5234" s="42" t="s">
        <v>6951</v>
      </c>
      <c r="L5234" s="49" t="s">
        <v>6952</v>
      </c>
      <c r="M5234" s="50" t="s">
        <v>6953</v>
      </c>
      <c r="N5234" s="51">
        <v>44651</v>
      </c>
      <c r="O5234" s="51" t="s">
        <v>127</v>
      </c>
      <c r="P5234" s="52">
        <v>0</v>
      </c>
      <c r="Q5234" s="53">
        <v>-2</v>
      </c>
      <c r="R5234" s="54">
        <f t="shared" si="119"/>
        <v>0</v>
      </c>
      <c r="S5234" s="70">
        <v>202303</v>
      </c>
      <c r="T5234" s="56" t="s">
        <v>6955</v>
      </c>
      <c r="U5234" s="57"/>
      <c r="V5234" s="399"/>
      <c r="W5234" s="59"/>
      <c r="X5234" s="51"/>
      <c r="Y5234" s="51"/>
    </row>
    <row r="5235" s="10" customFormat="1" customHeight="1" spans="1:25">
      <c r="A5235" s="42" t="s">
        <v>403</v>
      </c>
      <c r="B5235" s="43" t="s">
        <v>6236</v>
      </c>
      <c r="C5235" s="43" t="s">
        <v>6947</v>
      </c>
      <c r="D5235" s="43" t="s">
        <v>6905</v>
      </c>
      <c r="E5235" s="44" t="s">
        <v>6948</v>
      </c>
      <c r="F5235" s="42" t="s">
        <v>6949</v>
      </c>
      <c r="G5235" s="42" t="s">
        <v>88</v>
      </c>
      <c r="H5235" s="45" t="s">
        <v>6950</v>
      </c>
      <c r="I5235" s="47" t="e">
        <f>VLOOKUP(H5235,'合同综合查询数据（3月返）'!$A:$A,1,FALSE)</f>
        <v>#N/A</v>
      </c>
      <c r="J5235" s="48" t="s">
        <v>126</v>
      </c>
      <c r="K5235" s="42" t="s">
        <v>6956</v>
      </c>
      <c r="L5235" s="49" t="s">
        <v>6957</v>
      </c>
      <c r="M5235" s="50" t="s">
        <v>6958</v>
      </c>
      <c r="N5235" s="51">
        <v>43398</v>
      </c>
      <c r="O5235" s="51" t="s">
        <v>127</v>
      </c>
      <c r="P5235" s="52">
        <v>0</v>
      </c>
      <c r="Q5235" s="53">
        <v>2</v>
      </c>
      <c r="R5235" s="54">
        <f t="shared" si="119"/>
        <v>0</v>
      </c>
      <c r="S5235" s="70">
        <v>202303</v>
      </c>
      <c r="T5235" s="56" t="s">
        <v>6959</v>
      </c>
      <c r="U5235" s="57"/>
      <c r="V5235" s="399"/>
      <c r="W5235" s="59"/>
      <c r="X5235" s="51"/>
      <c r="Y5235" s="51"/>
    </row>
    <row r="5236" s="10" customFormat="1" customHeight="1" spans="1:25">
      <c r="A5236" s="42" t="s">
        <v>403</v>
      </c>
      <c r="B5236" s="43" t="s">
        <v>6236</v>
      </c>
      <c r="C5236" s="43" t="s">
        <v>6947</v>
      </c>
      <c r="D5236" s="43" t="s">
        <v>6905</v>
      </c>
      <c r="E5236" s="44" t="s">
        <v>6948</v>
      </c>
      <c r="F5236" s="42" t="s">
        <v>6949</v>
      </c>
      <c r="G5236" s="42" t="s">
        <v>88</v>
      </c>
      <c r="H5236" s="45" t="s">
        <v>6950</v>
      </c>
      <c r="I5236" s="47" t="e">
        <f>VLOOKUP(H5236,'合同综合查询数据（3月返）'!$A:$A,1,FALSE)</f>
        <v>#N/A</v>
      </c>
      <c r="J5236" s="48" t="s">
        <v>126</v>
      </c>
      <c r="K5236" s="42" t="s">
        <v>6960</v>
      </c>
      <c r="L5236" s="49" t="s">
        <v>6961</v>
      </c>
      <c r="M5236" s="50" t="s">
        <v>6962</v>
      </c>
      <c r="N5236" s="51">
        <v>43214</v>
      </c>
      <c r="O5236" s="51" t="s">
        <v>127</v>
      </c>
      <c r="P5236" s="52">
        <v>0</v>
      </c>
      <c r="Q5236" s="53">
        <v>2</v>
      </c>
      <c r="R5236" s="54">
        <f t="shared" si="119"/>
        <v>0</v>
      </c>
      <c r="S5236" s="70">
        <v>202303</v>
      </c>
      <c r="T5236" s="56" t="s">
        <v>6963</v>
      </c>
      <c r="U5236" s="57"/>
      <c r="V5236" s="399"/>
      <c r="W5236" s="59"/>
      <c r="X5236" s="51"/>
      <c r="Y5236" s="51"/>
    </row>
    <row r="5237" s="10" customFormat="1" customHeight="1" spans="1:25">
      <c r="A5237" s="42" t="s">
        <v>403</v>
      </c>
      <c r="B5237" s="43" t="s">
        <v>6236</v>
      </c>
      <c r="C5237" s="43" t="s">
        <v>6947</v>
      </c>
      <c r="D5237" s="43" t="s">
        <v>6905</v>
      </c>
      <c r="E5237" s="44" t="s">
        <v>6948</v>
      </c>
      <c r="F5237" s="42" t="s">
        <v>6949</v>
      </c>
      <c r="G5237" s="42" t="s">
        <v>88</v>
      </c>
      <c r="H5237" s="45" t="s">
        <v>6950</v>
      </c>
      <c r="I5237" s="47" t="e">
        <f>VLOOKUP(H5237,'合同综合查询数据（3月返）'!$A:$A,1,FALSE)</f>
        <v>#N/A</v>
      </c>
      <c r="J5237" s="48" t="s">
        <v>126</v>
      </c>
      <c r="K5237" s="42" t="s">
        <v>6960</v>
      </c>
      <c r="L5237" s="49" t="s">
        <v>6961</v>
      </c>
      <c r="M5237" s="50" t="s">
        <v>6962</v>
      </c>
      <c r="N5237" s="51">
        <v>44712</v>
      </c>
      <c r="O5237" s="51" t="s">
        <v>127</v>
      </c>
      <c r="P5237" s="52">
        <v>0</v>
      </c>
      <c r="Q5237" s="53">
        <v>-2</v>
      </c>
      <c r="R5237" s="54">
        <f t="shared" si="119"/>
        <v>0</v>
      </c>
      <c r="S5237" s="70">
        <v>202303</v>
      </c>
      <c r="T5237" s="56" t="s">
        <v>6963</v>
      </c>
      <c r="U5237" s="57"/>
      <c r="V5237" s="399"/>
      <c r="W5237" s="59"/>
      <c r="X5237" s="51"/>
      <c r="Y5237" s="51"/>
    </row>
    <row r="5238" s="10" customFormat="1" customHeight="1" spans="1:25">
      <c r="A5238" s="42" t="s">
        <v>403</v>
      </c>
      <c r="B5238" s="43" t="s">
        <v>6236</v>
      </c>
      <c r="C5238" s="43" t="s">
        <v>6947</v>
      </c>
      <c r="D5238" s="43" t="s">
        <v>6905</v>
      </c>
      <c r="E5238" s="44" t="s">
        <v>6948</v>
      </c>
      <c r="F5238" s="42" t="s">
        <v>6949</v>
      </c>
      <c r="G5238" s="42" t="s">
        <v>31</v>
      </c>
      <c r="H5238" s="45" t="s">
        <v>6950</v>
      </c>
      <c r="I5238" s="47" t="e">
        <f>VLOOKUP(H5238,'合同综合查询数据（3月返）'!$A:$A,1,FALSE)</f>
        <v>#N/A</v>
      </c>
      <c r="J5238" s="48" t="s">
        <v>33</v>
      </c>
      <c r="K5238" s="42" t="s">
        <v>6964</v>
      </c>
      <c r="L5238" s="49" t="s">
        <v>6952</v>
      </c>
      <c r="M5238" s="50"/>
      <c r="N5238" s="51" t="s">
        <v>1225</v>
      </c>
      <c r="O5238" s="51" t="s">
        <v>37</v>
      </c>
      <c r="P5238" s="52">
        <v>0</v>
      </c>
      <c r="Q5238" s="53">
        <v>160</v>
      </c>
      <c r="R5238" s="54">
        <f t="shared" si="119"/>
        <v>0</v>
      </c>
      <c r="S5238" s="70">
        <v>202303</v>
      </c>
      <c r="T5238" s="56" t="s">
        <v>6965</v>
      </c>
      <c r="U5238" s="57"/>
      <c r="V5238" s="399"/>
      <c r="W5238" s="59"/>
      <c r="X5238" s="51"/>
      <c r="Y5238" s="51"/>
    </row>
    <row r="5239" s="10" customFormat="1" customHeight="1" spans="1:25">
      <c r="A5239" s="42" t="s">
        <v>403</v>
      </c>
      <c r="B5239" s="43" t="s">
        <v>6236</v>
      </c>
      <c r="C5239" s="43" t="s">
        <v>6947</v>
      </c>
      <c r="D5239" s="43" t="s">
        <v>6905</v>
      </c>
      <c r="E5239" s="44" t="s">
        <v>6948</v>
      </c>
      <c r="F5239" s="42" t="s">
        <v>6949</v>
      </c>
      <c r="G5239" s="42" t="s">
        <v>31</v>
      </c>
      <c r="H5239" s="45" t="s">
        <v>6950</v>
      </c>
      <c r="I5239" s="47" t="e">
        <f>VLOOKUP(H5239,'合同综合查询数据（3月返）'!$A:$A,1,FALSE)</f>
        <v>#N/A</v>
      </c>
      <c r="J5239" s="48" t="s">
        <v>33</v>
      </c>
      <c r="K5239" s="42" t="s">
        <v>6964</v>
      </c>
      <c r="L5239" s="49" t="s">
        <v>6952</v>
      </c>
      <c r="M5239" s="50"/>
      <c r="N5239" s="51">
        <v>44651</v>
      </c>
      <c r="O5239" s="51" t="s">
        <v>37</v>
      </c>
      <c r="P5239" s="52">
        <v>0</v>
      </c>
      <c r="Q5239" s="53">
        <v>-160</v>
      </c>
      <c r="R5239" s="54">
        <f t="shared" si="119"/>
        <v>0</v>
      </c>
      <c r="S5239" s="70">
        <v>202303</v>
      </c>
      <c r="T5239" s="56" t="s">
        <v>6966</v>
      </c>
      <c r="U5239" s="57"/>
      <c r="V5239" s="399"/>
      <c r="W5239" s="59"/>
      <c r="X5239" s="51"/>
      <c r="Y5239" s="51"/>
    </row>
    <row r="5240" s="10" customFormat="1" customHeight="1" spans="1:25">
      <c r="A5240" s="42" t="s">
        <v>403</v>
      </c>
      <c r="B5240" s="43" t="s">
        <v>6236</v>
      </c>
      <c r="C5240" s="43" t="s">
        <v>6947</v>
      </c>
      <c r="D5240" s="43" t="s">
        <v>6905</v>
      </c>
      <c r="E5240" s="44" t="s">
        <v>6948</v>
      </c>
      <c r="F5240" s="42" t="s">
        <v>6949</v>
      </c>
      <c r="G5240" s="42" t="s">
        <v>31</v>
      </c>
      <c r="H5240" s="45" t="s">
        <v>6950</v>
      </c>
      <c r="I5240" s="47" t="e">
        <f>VLOOKUP(H5240,'合同综合查询数据（3月返）'!$A:$A,1,FALSE)</f>
        <v>#N/A</v>
      </c>
      <c r="J5240" s="48" t="s">
        <v>33</v>
      </c>
      <c r="K5240" s="42" t="s">
        <v>6967</v>
      </c>
      <c r="L5240" s="49" t="s">
        <v>6957</v>
      </c>
      <c r="M5240" s="50"/>
      <c r="N5240" s="51" t="s">
        <v>1225</v>
      </c>
      <c r="O5240" s="51" t="s">
        <v>37</v>
      </c>
      <c r="P5240" s="52">
        <v>0</v>
      </c>
      <c r="Q5240" s="53">
        <v>160</v>
      </c>
      <c r="R5240" s="54">
        <f t="shared" si="119"/>
        <v>0</v>
      </c>
      <c r="S5240" s="70">
        <v>202303</v>
      </c>
      <c r="T5240" s="56" t="s">
        <v>6968</v>
      </c>
      <c r="U5240" s="57"/>
      <c r="V5240" s="399"/>
      <c r="W5240" s="59"/>
      <c r="X5240" s="51"/>
      <c r="Y5240" s="51"/>
    </row>
    <row r="5241" s="10" customFormat="1" customHeight="1" spans="1:25">
      <c r="A5241" s="42" t="s">
        <v>403</v>
      </c>
      <c r="B5241" s="43" t="s">
        <v>6236</v>
      </c>
      <c r="C5241" s="43" t="s">
        <v>6947</v>
      </c>
      <c r="D5241" s="43" t="s">
        <v>6905</v>
      </c>
      <c r="E5241" s="44" t="s">
        <v>6948</v>
      </c>
      <c r="F5241" s="42" t="s">
        <v>6949</v>
      </c>
      <c r="G5241" s="42" t="s">
        <v>31</v>
      </c>
      <c r="H5241" s="45" t="s">
        <v>6950</v>
      </c>
      <c r="I5241" s="47" t="e">
        <f>VLOOKUP(H5241,'合同综合查询数据（3月返）'!$A:$A,1,FALSE)</f>
        <v>#N/A</v>
      </c>
      <c r="J5241" s="48" t="s">
        <v>33</v>
      </c>
      <c r="K5241" s="42" t="s">
        <v>6967</v>
      </c>
      <c r="L5241" s="49" t="s">
        <v>6961</v>
      </c>
      <c r="M5241" s="50"/>
      <c r="N5241" s="51">
        <v>43214</v>
      </c>
      <c r="O5241" s="51" t="s">
        <v>37</v>
      </c>
      <c r="P5241" s="52">
        <v>0</v>
      </c>
      <c r="Q5241" s="53">
        <v>160</v>
      </c>
      <c r="R5241" s="54">
        <f t="shared" si="119"/>
        <v>0</v>
      </c>
      <c r="S5241" s="70">
        <v>202303</v>
      </c>
      <c r="T5241" s="56" t="s">
        <v>6969</v>
      </c>
      <c r="U5241" s="57"/>
      <c r="V5241" s="399"/>
      <c r="W5241" s="59"/>
      <c r="X5241" s="51"/>
      <c r="Y5241" s="51"/>
    </row>
    <row r="5242" s="10" customFormat="1" customHeight="1" spans="1:25">
      <c r="A5242" s="42" t="s">
        <v>403</v>
      </c>
      <c r="B5242" s="43" t="s">
        <v>6236</v>
      </c>
      <c r="C5242" s="43" t="s">
        <v>6947</v>
      </c>
      <c r="D5242" s="43" t="s">
        <v>6905</v>
      </c>
      <c r="E5242" s="44" t="s">
        <v>6948</v>
      </c>
      <c r="F5242" s="42" t="s">
        <v>6949</v>
      </c>
      <c r="G5242" s="42" t="s">
        <v>31</v>
      </c>
      <c r="H5242" s="45" t="s">
        <v>6950</v>
      </c>
      <c r="I5242" s="47" t="e">
        <f>VLOOKUP(H5242,'合同综合查询数据（3月返）'!$A:$A,1,FALSE)</f>
        <v>#N/A</v>
      </c>
      <c r="J5242" s="48" t="s">
        <v>33</v>
      </c>
      <c r="K5242" s="42" t="s">
        <v>6967</v>
      </c>
      <c r="L5242" s="49" t="s">
        <v>6961</v>
      </c>
      <c r="M5242" s="50"/>
      <c r="N5242" s="51">
        <v>44712</v>
      </c>
      <c r="O5242" s="51" t="s">
        <v>37</v>
      </c>
      <c r="P5242" s="52">
        <v>0</v>
      </c>
      <c r="Q5242" s="53">
        <v>-160</v>
      </c>
      <c r="R5242" s="54">
        <f t="shared" si="119"/>
        <v>0</v>
      </c>
      <c r="S5242" s="70">
        <v>202303</v>
      </c>
      <c r="T5242" s="56" t="s">
        <v>6970</v>
      </c>
      <c r="U5242" s="57"/>
      <c r="V5242" s="399"/>
      <c r="W5242" s="59"/>
      <c r="X5242" s="51"/>
      <c r="Y5242" s="51"/>
    </row>
    <row r="5243" s="10" customFormat="1" customHeight="1" spans="1:25">
      <c r="A5243" s="42" t="s">
        <v>403</v>
      </c>
      <c r="B5243" s="42" t="s">
        <v>6971</v>
      </c>
      <c r="C5243" s="42" t="s">
        <v>4249</v>
      </c>
      <c r="D5243" s="43" t="s">
        <v>6905</v>
      </c>
      <c r="E5243" s="44" t="s">
        <v>6972</v>
      </c>
      <c r="F5243" s="42" t="s">
        <v>6973</v>
      </c>
      <c r="G5243" s="42" t="s">
        <v>88</v>
      </c>
      <c r="H5243" s="45" t="s">
        <v>6974</v>
      </c>
      <c r="I5243" s="47" t="e">
        <f>VLOOKUP(H5243,'合同综合查询数据（3月返）'!$A:$A,1,FALSE)</f>
        <v>#N/A</v>
      </c>
      <c r="J5243" s="48" t="s">
        <v>126</v>
      </c>
      <c r="K5243" s="42" t="s">
        <v>6975</v>
      </c>
      <c r="L5243" s="49" t="s">
        <v>6976</v>
      </c>
      <c r="M5243" s="50" t="s">
        <v>6977</v>
      </c>
      <c r="N5243" s="163">
        <v>43344</v>
      </c>
      <c r="O5243" s="42" t="s">
        <v>624</v>
      </c>
      <c r="P5243" s="52">
        <v>4790</v>
      </c>
      <c r="Q5243" s="141">
        <v>2</v>
      </c>
      <c r="R5243" s="54">
        <f t="shared" si="119"/>
        <v>9580</v>
      </c>
      <c r="S5243" s="70">
        <v>202303</v>
      </c>
      <c r="T5243" s="400" t="s">
        <v>6978</v>
      </c>
      <c r="U5243" s="43"/>
      <c r="V5243" s="399"/>
      <c r="W5243" s="57"/>
      <c r="X5243" s="51"/>
      <c r="Y5243" s="51"/>
    </row>
    <row r="5244" s="10" customFormat="1" customHeight="1" spans="1:25">
      <c r="A5244" s="42" t="s">
        <v>403</v>
      </c>
      <c r="B5244" s="42" t="s">
        <v>6971</v>
      </c>
      <c r="C5244" s="42" t="s">
        <v>4249</v>
      </c>
      <c r="D5244" s="43" t="s">
        <v>6905</v>
      </c>
      <c r="E5244" s="44" t="s">
        <v>6972</v>
      </c>
      <c r="F5244" s="42" t="s">
        <v>6973</v>
      </c>
      <c r="G5244" s="42" t="s">
        <v>88</v>
      </c>
      <c r="H5244" s="45" t="s">
        <v>6974</v>
      </c>
      <c r="I5244" s="47" t="e">
        <f>VLOOKUP(H5244,'合同综合查询数据（3月返）'!$A:$A,1,FALSE)</f>
        <v>#N/A</v>
      </c>
      <c r="J5244" s="48" t="s">
        <v>126</v>
      </c>
      <c r="K5244" s="42" t="s">
        <v>6979</v>
      </c>
      <c r="L5244" s="49" t="s">
        <v>6976</v>
      </c>
      <c r="M5244" s="50" t="s">
        <v>6977</v>
      </c>
      <c r="N5244" s="163">
        <v>43990</v>
      </c>
      <c r="O5244" s="42" t="s">
        <v>624</v>
      </c>
      <c r="P5244" s="52">
        <v>4790</v>
      </c>
      <c r="Q5244" s="53">
        <v>-1</v>
      </c>
      <c r="R5244" s="54">
        <f t="shared" si="119"/>
        <v>-4790</v>
      </c>
      <c r="S5244" s="70">
        <v>202303</v>
      </c>
      <c r="T5244" s="400" t="s">
        <v>6980</v>
      </c>
      <c r="U5244" s="43"/>
      <c r="V5244" s="399"/>
      <c r="W5244" s="57"/>
      <c r="X5244" s="51"/>
      <c r="Y5244" s="51"/>
    </row>
    <row r="5245" s="10" customFormat="1" customHeight="1" spans="1:25">
      <c r="A5245" s="42" t="s">
        <v>403</v>
      </c>
      <c r="B5245" s="42" t="s">
        <v>6971</v>
      </c>
      <c r="C5245" s="42" t="s">
        <v>4249</v>
      </c>
      <c r="D5245" s="43" t="s">
        <v>6905</v>
      </c>
      <c r="E5245" s="44" t="s">
        <v>6972</v>
      </c>
      <c r="F5245" s="42" t="s">
        <v>6973</v>
      </c>
      <c r="G5245" s="42" t="s">
        <v>88</v>
      </c>
      <c r="H5245" s="45" t="s">
        <v>6974</v>
      </c>
      <c r="I5245" s="47" t="e">
        <f>VLOOKUP(H5245,'合同综合查询数据（3月返）'!$A:$A,1,FALSE)</f>
        <v>#N/A</v>
      </c>
      <c r="J5245" s="48" t="s">
        <v>126</v>
      </c>
      <c r="K5245" s="42" t="s">
        <v>6979</v>
      </c>
      <c r="L5245" s="49" t="s">
        <v>6976</v>
      </c>
      <c r="M5245" s="50" t="s">
        <v>6977</v>
      </c>
      <c r="N5245" s="163">
        <v>43405</v>
      </c>
      <c r="O5245" s="42" t="s">
        <v>624</v>
      </c>
      <c r="P5245" s="52">
        <v>0</v>
      </c>
      <c r="Q5245" s="53">
        <v>4</v>
      </c>
      <c r="R5245" s="54">
        <f t="shared" si="119"/>
        <v>0</v>
      </c>
      <c r="S5245" s="70">
        <v>202303</v>
      </c>
      <c r="T5245" s="400" t="s">
        <v>6981</v>
      </c>
      <c r="U5245" s="43"/>
      <c r="V5245" s="399"/>
      <c r="W5245" s="57"/>
      <c r="X5245" s="51"/>
      <c r="Y5245" s="51"/>
    </row>
    <row r="5246" s="10" customFormat="1" customHeight="1" spans="1:25">
      <c r="A5246" s="42" t="s">
        <v>403</v>
      </c>
      <c r="B5246" s="42" t="s">
        <v>6971</v>
      </c>
      <c r="C5246" s="42" t="s">
        <v>4249</v>
      </c>
      <c r="D5246" s="43" t="s">
        <v>6905</v>
      </c>
      <c r="E5246" s="44" t="s">
        <v>6972</v>
      </c>
      <c r="F5246" s="42" t="s">
        <v>6973</v>
      </c>
      <c r="G5246" s="42" t="s">
        <v>88</v>
      </c>
      <c r="H5246" s="45" t="s">
        <v>6974</v>
      </c>
      <c r="I5246" s="47" t="e">
        <f>VLOOKUP(H5246,'合同综合查询数据（3月返）'!$A:$A,1,FALSE)</f>
        <v>#N/A</v>
      </c>
      <c r="J5246" s="48" t="s">
        <v>126</v>
      </c>
      <c r="K5246" s="42" t="s">
        <v>6979</v>
      </c>
      <c r="L5246" s="49" t="s">
        <v>6976</v>
      </c>
      <c r="M5246" s="50" t="s">
        <v>6977</v>
      </c>
      <c r="N5246" s="163">
        <v>43990</v>
      </c>
      <c r="O5246" s="42" t="s">
        <v>624</v>
      </c>
      <c r="P5246" s="52">
        <v>0</v>
      </c>
      <c r="Q5246" s="53">
        <v>-1</v>
      </c>
      <c r="R5246" s="54">
        <f t="shared" si="119"/>
        <v>0</v>
      </c>
      <c r="S5246" s="70">
        <v>202303</v>
      </c>
      <c r="T5246" s="400" t="s">
        <v>6982</v>
      </c>
      <c r="U5246" s="43"/>
      <c r="V5246" s="399"/>
      <c r="W5246" s="57"/>
      <c r="X5246" s="51"/>
      <c r="Y5246" s="51"/>
    </row>
    <row r="5247" s="10" customFormat="1" customHeight="1" spans="1:25">
      <c r="A5247" s="42" t="s">
        <v>403</v>
      </c>
      <c r="B5247" s="42" t="s">
        <v>6971</v>
      </c>
      <c r="C5247" s="42" t="s">
        <v>4249</v>
      </c>
      <c r="D5247" s="43" t="s">
        <v>6905</v>
      </c>
      <c r="E5247" s="44" t="s">
        <v>6972</v>
      </c>
      <c r="F5247" s="42" t="s">
        <v>6973</v>
      </c>
      <c r="G5247" s="42" t="s">
        <v>88</v>
      </c>
      <c r="H5247" s="45" t="s">
        <v>6974</v>
      </c>
      <c r="I5247" s="47" t="e">
        <f>VLOOKUP(H5247,'合同综合查询数据（3月返）'!$A:$A,1,FALSE)</f>
        <v>#N/A</v>
      </c>
      <c r="J5247" s="48" t="s">
        <v>126</v>
      </c>
      <c r="K5247" s="42" t="s">
        <v>6979</v>
      </c>
      <c r="L5247" s="49" t="s">
        <v>6976</v>
      </c>
      <c r="M5247" s="50" t="s">
        <v>6977</v>
      </c>
      <c r="N5247" s="163">
        <v>44725</v>
      </c>
      <c r="O5247" s="42" t="s">
        <v>624</v>
      </c>
      <c r="P5247" s="52">
        <v>0</v>
      </c>
      <c r="Q5247" s="53">
        <v>-3</v>
      </c>
      <c r="R5247" s="54">
        <f t="shared" si="119"/>
        <v>0</v>
      </c>
      <c r="S5247" s="70">
        <v>202303</v>
      </c>
      <c r="T5247" s="400" t="s">
        <v>6983</v>
      </c>
      <c r="U5247" s="43"/>
      <c r="V5247" s="399"/>
      <c r="W5247" s="57"/>
      <c r="X5247" s="51"/>
      <c r="Y5247" s="51"/>
    </row>
    <row r="5248" s="10" customFormat="1" customHeight="1" spans="1:25">
      <c r="A5248" s="42" t="s">
        <v>403</v>
      </c>
      <c r="B5248" s="42" t="s">
        <v>6971</v>
      </c>
      <c r="C5248" s="42" t="s">
        <v>4249</v>
      </c>
      <c r="D5248" s="43" t="s">
        <v>6905</v>
      </c>
      <c r="E5248" s="44" t="s">
        <v>6972</v>
      </c>
      <c r="F5248" s="42" t="s">
        <v>6973</v>
      </c>
      <c r="G5248" s="42" t="s">
        <v>31</v>
      </c>
      <c r="H5248" s="45" t="s">
        <v>6974</v>
      </c>
      <c r="I5248" s="47" t="e">
        <f>VLOOKUP(H5248,'合同综合查询数据（3月返）'!$A:$A,1,FALSE)</f>
        <v>#N/A</v>
      </c>
      <c r="J5248" s="48" t="s">
        <v>33</v>
      </c>
      <c r="K5248" s="42" t="s">
        <v>6975</v>
      </c>
      <c r="L5248" s="49" t="s">
        <v>6984</v>
      </c>
      <c r="M5248" s="50" t="s">
        <v>6977</v>
      </c>
      <c r="N5248" s="163">
        <v>43344</v>
      </c>
      <c r="O5248" s="42" t="s">
        <v>37</v>
      </c>
      <c r="P5248" s="52">
        <v>0</v>
      </c>
      <c r="Q5248" s="53">
        <v>128</v>
      </c>
      <c r="R5248" s="54">
        <f t="shared" si="119"/>
        <v>0</v>
      </c>
      <c r="S5248" s="70">
        <v>202303</v>
      </c>
      <c r="T5248" s="400" t="s">
        <v>6985</v>
      </c>
      <c r="U5248" s="43"/>
      <c r="V5248" s="399"/>
      <c r="W5248" s="57"/>
      <c r="X5248" s="51"/>
      <c r="Y5248" s="51"/>
    </row>
    <row r="5249" s="10" customFormat="1" customHeight="1" spans="1:25">
      <c r="A5249" s="42" t="s">
        <v>403</v>
      </c>
      <c r="B5249" s="42" t="s">
        <v>6971</v>
      </c>
      <c r="C5249" s="42" t="s">
        <v>4249</v>
      </c>
      <c r="D5249" s="43" t="s">
        <v>6905</v>
      </c>
      <c r="E5249" s="44" t="s">
        <v>6972</v>
      </c>
      <c r="F5249" s="42" t="s">
        <v>6973</v>
      </c>
      <c r="G5249" s="42" t="s">
        <v>31</v>
      </c>
      <c r="H5249" s="45" t="s">
        <v>6974</v>
      </c>
      <c r="I5249" s="47" t="e">
        <f>VLOOKUP(H5249,'合同综合查询数据（3月返）'!$A:$A,1,FALSE)</f>
        <v>#N/A</v>
      </c>
      <c r="J5249" s="48" t="s">
        <v>33</v>
      </c>
      <c r="K5249" s="42" t="s">
        <v>6975</v>
      </c>
      <c r="L5249" s="49" t="s">
        <v>6984</v>
      </c>
      <c r="M5249" s="50" t="s">
        <v>6977</v>
      </c>
      <c r="N5249" s="163">
        <v>43344</v>
      </c>
      <c r="O5249" s="42" t="s">
        <v>37</v>
      </c>
      <c r="P5249" s="52">
        <v>0</v>
      </c>
      <c r="Q5249" s="53">
        <v>128</v>
      </c>
      <c r="R5249" s="54">
        <f t="shared" si="119"/>
        <v>0</v>
      </c>
      <c r="S5249" s="70">
        <v>202303</v>
      </c>
      <c r="T5249" s="400" t="s">
        <v>6985</v>
      </c>
      <c r="U5249" s="43"/>
      <c r="V5249" s="399"/>
      <c r="W5249" s="57"/>
      <c r="X5249" s="51"/>
      <c r="Y5249" s="51"/>
    </row>
    <row r="5250" s="10" customFormat="1" customHeight="1" spans="1:25">
      <c r="A5250" s="42" t="s">
        <v>403</v>
      </c>
      <c r="B5250" s="42" t="s">
        <v>6971</v>
      </c>
      <c r="C5250" s="42" t="s">
        <v>4249</v>
      </c>
      <c r="D5250" s="43" t="s">
        <v>6905</v>
      </c>
      <c r="E5250" s="44" t="s">
        <v>6972</v>
      </c>
      <c r="F5250" s="42" t="s">
        <v>6973</v>
      </c>
      <c r="G5250" s="42" t="s">
        <v>31</v>
      </c>
      <c r="H5250" s="45" t="s">
        <v>6974</v>
      </c>
      <c r="I5250" s="47" t="e">
        <f>VLOOKUP(H5250,'合同综合查询数据（3月返）'!$A:$A,1,FALSE)</f>
        <v>#N/A</v>
      </c>
      <c r="J5250" s="48" t="s">
        <v>33</v>
      </c>
      <c r="K5250" s="42" t="s">
        <v>6975</v>
      </c>
      <c r="L5250" s="49" t="s">
        <v>6984</v>
      </c>
      <c r="M5250" s="50" t="s">
        <v>6977</v>
      </c>
      <c r="N5250" s="163">
        <v>43990</v>
      </c>
      <c r="O5250" s="42" t="s">
        <v>37</v>
      </c>
      <c r="P5250" s="52">
        <v>0</v>
      </c>
      <c r="Q5250" s="53">
        <v>-128</v>
      </c>
      <c r="R5250" s="54">
        <f t="shared" si="119"/>
        <v>0</v>
      </c>
      <c r="S5250" s="70">
        <v>202303</v>
      </c>
      <c r="T5250" s="400" t="s">
        <v>6986</v>
      </c>
      <c r="U5250" s="43"/>
      <c r="V5250" s="399"/>
      <c r="W5250" s="57"/>
      <c r="X5250" s="51"/>
      <c r="Y5250" s="51"/>
    </row>
    <row r="5251" s="10" customFormat="1" customHeight="1" spans="1:25">
      <c r="A5251" s="42" t="s">
        <v>403</v>
      </c>
      <c r="B5251" s="42" t="s">
        <v>6971</v>
      </c>
      <c r="C5251" s="42" t="s">
        <v>4249</v>
      </c>
      <c r="D5251" s="43" t="s">
        <v>6905</v>
      </c>
      <c r="E5251" s="44" t="s">
        <v>6972</v>
      </c>
      <c r="F5251" s="42" t="s">
        <v>6973</v>
      </c>
      <c r="G5251" s="42" t="s">
        <v>31</v>
      </c>
      <c r="H5251" s="45" t="s">
        <v>6974</v>
      </c>
      <c r="I5251" s="47" t="e">
        <f>VLOOKUP(H5251,'合同综合查询数据（3月返）'!$A:$A,1,FALSE)</f>
        <v>#N/A</v>
      </c>
      <c r="J5251" s="48" t="s">
        <v>33</v>
      </c>
      <c r="K5251" s="42" t="s">
        <v>6975</v>
      </c>
      <c r="L5251" s="49" t="s">
        <v>6984</v>
      </c>
      <c r="M5251" s="50" t="s">
        <v>6977</v>
      </c>
      <c r="N5251" s="163">
        <v>43990</v>
      </c>
      <c r="O5251" s="42" t="s">
        <v>37</v>
      </c>
      <c r="P5251" s="52">
        <v>0</v>
      </c>
      <c r="Q5251" s="53">
        <v>-128</v>
      </c>
      <c r="R5251" s="54">
        <f t="shared" si="119"/>
        <v>0</v>
      </c>
      <c r="S5251" s="70">
        <v>202303</v>
      </c>
      <c r="T5251" s="400" t="s">
        <v>6986</v>
      </c>
      <c r="U5251" s="43"/>
      <c r="V5251" s="399"/>
      <c r="W5251" s="57"/>
      <c r="X5251" s="51"/>
      <c r="Y5251" s="51"/>
    </row>
    <row r="5252" s="10" customFormat="1" customHeight="1" spans="1:25">
      <c r="A5252" s="42" t="s">
        <v>403</v>
      </c>
      <c r="B5252" s="42" t="s">
        <v>6971</v>
      </c>
      <c r="C5252" s="42" t="s">
        <v>4249</v>
      </c>
      <c r="D5252" s="43" t="s">
        <v>6905</v>
      </c>
      <c r="E5252" s="44" t="s">
        <v>6972</v>
      </c>
      <c r="F5252" s="42" t="s">
        <v>6973</v>
      </c>
      <c r="G5252" s="42" t="s">
        <v>31</v>
      </c>
      <c r="H5252" s="45" t="s">
        <v>6974</v>
      </c>
      <c r="I5252" s="47" t="e">
        <f>VLOOKUP(H5252,'合同综合查询数据（3月返）'!$A:$A,1,FALSE)</f>
        <v>#N/A</v>
      </c>
      <c r="J5252" s="48" t="s">
        <v>33</v>
      </c>
      <c r="K5252" s="42" t="s">
        <v>6979</v>
      </c>
      <c r="L5252" s="49" t="s">
        <v>6976</v>
      </c>
      <c r="M5252" s="50" t="s">
        <v>6977</v>
      </c>
      <c r="N5252" s="163">
        <v>43405</v>
      </c>
      <c r="O5252" s="42" t="s">
        <v>37</v>
      </c>
      <c r="P5252" s="52">
        <v>0</v>
      </c>
      <c r="Q5252" s="53">
        <v>64</v>
      </c>
      <c r="R5252" s="54">
        <f t="shared" si="119"/>
        <v>0</v>
      </c>
      <c r="S5252" s="70">
        <v>202303</v>
      </c>
      <c r="T5252" s="400" t="s">
        <v>6987</v>
      </c>
      <c r="U5252" s="43"/>
      <c r="V5252" s="399"/>
      <c r="W5252" s="57"/>
      <c r="X5252" s="51"/>
      <c r="Y5252" s="51"/>
    </row>
    <row r="5253" s="10" customFormat="1" customHeight="1" spans="1:25">
      <c r="A5253" s="42" t="s">
        <v>403</v>
      </c>
      <c r="B5253" s="42" t="s">
        <v>6971</v>
      </c>
      <c r="C5253" s="42" t="s">
        <v>4249</v>
      </c>
      <c r="D5253" s="43" t="s">
        <v>6905</v>
      </c>
      <c r="E5253" s="44" t="s">
        <v>6972</v>
      </c>
      <c r="F5253" s="42" t="s">
        <v>6973</v>
      </c>
      <c r="G5253" s="42" t="s">
        <v>31</v>
      </c>
      <c r="H5253" s="45" t="s">
        <v>6974</v>
      </c>
      <c r="I5253" s="47" t="e">
        <f>VLOOKUP(H5253,'合同综合查询数据（3月返）'!$A:$A,1,FALSE)</f>
        <v>#N/A</v>
      </c>
      <c r="J5253" s="48" t="s">
        <v>33</v>
      </c>
      <c r="K5253" s="42" t="s">
        <v>6979</v>
      </c>
      <c r="L5253" s="49" t="s">
        <v>6976</v>
      </c>
      <c r="M5253" s="50" t="s">
        <v>6977</v>
      </c>
      <c r="N5253" s="163">
        <v>43405</v>
      </c>
      <c r="O5253" s="42" t="s">
        <v>37</v>
      </c>
      <c r="P5253" s="54">
        <v>50</v>
      </c>
      <c r="Q5253" s="53">
        <v>224</v>
      </c>
      <c r="R5253" s="54">
        <f t="shared" si="119"/>
        <v>11200</v>
      </c>
      <c r="S5253" s="70">
        <v>202303</v>
      </c>
      <c r="T5253" s="400" t="s">
        <v>6987</v>
      </c>
      <c r="U5253" s="43"/>
      <c r="V5253" s="399"/>
      <c r="W5253" s="57"/>
      <c r="X5253" s="51"/>
      <c r="Y5253" s="51"/>
    </row>
    <row r="5254" s="10" customFormat="1" customHeight="1" spans="1:25">
      <c r="A5254" s="42" t="s">
        <v>403</v>
      </c>
      <c r="B5254" s="42" t="s">
        <v>6971</v>
      </c>
      <c r="C5254" s="42" t="s">
        <v>4249</v>
      </c>
      <c r="D5254" s="43" t="s">
        <v>6905</v>
      </c>
      <c r="E5254" s="44" t="s">
        <v>6972</v>
      </c>
      <c r="F5254" s="42" t="s">
        <v>6973</v>
      </c>
      <c r="G5254" s="42" t="s">
        <v>31</v>
      </c>
      <c r="H5254" s="45" t="s">
        <v>6974</v>
      </c>
      <c r="I5254" s="47" t="e">
        <f>VLOOKUP(H5254,'合同综合查询数据（3月返）'!$A:$A,1,FALSE)</f>
        <v>#N/A</v>
      </c>
      <c r="J5254" s="48" t="s">
        <v>33</v>
      </c>
      <c r="K5254" s="42" t="s">
        <v>6979</v>
      </c>
      <c r="L5254" s="49" t="s">
        <v>6976</v>
      </c>
      <c r="M5254" s="50" t="s">
        <v>6977</v>
      </c>
      <c r="N5254" s="163">
        <v>44897</v>
      </c>
      <c r="O5254" s="42" t="s">
        <v>37</v>
      </c>
      <c r="P5254" s="54">
        <v>50</v>
      </c>
      <c r="Q5254" s="53">
        <v>-128</v>
      </c>
      <c r="R5254" s="54">
        <f t="shared" si="119"/>
        <v>-6400</v>
      </c>
      <c r="S5254" s="70">
        <v>202303</v>
      </c>
      <c r="T5254" s="400" t="s">
        <v>6988</v>
      </c>
      <c r="U5254" s="43"/>
      <c r="V5254" s="399"/>
      <c r="W5254" s="57"/>
      <c r="X5254" s="51"/>
      <c r="Y5254" s="51"/>
    </row>
    <row r="5255" s="10" customFormat="1" customHeight="1" spans="1:25">
      <c r="A5255" s="42" t="s">
        <v>403</v>
      </c>
      <c r="B5255" s="43" t="s">
        <v>6937</v>
      </c>
      <c r="C5255" s="42" t="s">
        <v>283</v>
      </c>
      <c r="D5255" s="43" t="s">
        <v>6905</v>
      </c>
      <c r="E5255" s="44" t="s">
        <v>6989</v>
      </c>
      <c r="F5255" s="42" t="s">
        <v>6990</v>
      </c>
      <c r="G5255" s="42" t="s">
        <v>88</v>
      </c>
      <c r="H5255" s="247" t="s">
        <v>6991</v>
      </c>
      <c r="I5255" s="47" t="e">
        <f>VLOOKUP(H5255,'合同综合查询数据（3月返）'!$A:$A,1,FALSE)</f>
        <v>#N/A</v>
      </c>
      <c r="J5255" s="65" t="s">
        <v>126</v>
      </c>
      <c r="K5255" s="43" t="s">
        <v>4376</v>
      </c>
      <c r="L5255" s="42" t="s">
        <v>6992</v>
      </c>
      <c r="M5255" s="50" t="s">
        <v>6993</v>
      </c>
      <c r="N5255" s="163">
        <v>42309</v>
      </c>
      <c r="O5255" s="42" t="s">
        <v>127</v>
      </c>
      <c r="P5255" s="402">
        <v>3500</v>
      </c>
      <c r="Q5255" s="53">
        <v>9</v>
      </c>
      <c r="R5255" s="404">
        <f t="shared" si="119"/>
        <v>31500</v>
      </c>
      <c r="S5255" s="70">
        <v>202303</v>
      </c>
      <c r="T5255" s="169" t="s">
        <v>6994</v>
      </c>
      <c r="U5255" s="168"/>
      <c r="V5255" s="399"/>
      <c r="W5255" s="146"/>
      <c r="X5255" s="51"/>
      <c r="Y5255" s="51"/>
    </row>
    <row r="5256" s="10" customFormat="1" customHeight="1" spans="1:25">
      <c r="A5256" s="42" t="s">
        <v>403</v>
      </c>
      <c r="B5256" s="43" t="s">
        <v>6937</v>
      </c>
      <c r="C5256" s="42" t="s">
        <v>283</v>
      </c>
      <c r="D5256" s="43" t="s">
        <v>6905</v>
      </c>
      <c r="E5256" s="44" t="s">
        <v>6989</v>
      </c>
      <c r="F5256" s="42" t="s">
        <v>6990</v>
      </c>
      <c r="G5256" s="42" t="s">
        <v>88</v>
      </c>
      <c r="H5256" s="247" t="s">
        <v>6991</v>
      </c>
      <c r="I5256" s="47" t="e">
        <f>VLOOKUP(H5256,'合同综合查询数据（3月返）'!$A:$A,1,FALSE)</f>
        <v>#N/A</v>
      </c>
      <c r="J5256" s="65" t="s">
        <v>126</v>
      </c>
      <c r="K5256" s="43" t="s">
        <v>4376</v>
      </c>
      <c r="L5256" s="42" t="s">
        <v>6992</v>
      </c>
      <c r="M5256" s="50" t="s">
        <v>6993</v>
      </c>
      <c r="N5256" s="163">
        <v>44530</v>
      </c>
      <c r="O5256" s="42" t="s">
        <v>127</v>
      </c>
      <c r="P5256" s="402">
        <v>3500</v>
      </c>
      <c r="Q5256" s="53">
        <v>-1</v>
      </c>
      <c r="R5256" s="404">
        <f t="shared" si="119"/>
        <v>-3500</v>
      </c>
      <c r="S5256" s="70">
        <v>202303</v>
      </c>
      <c r="T5256" s="169" t="s">
        <v>6995</v>
      </c>
      <c r="U5256" s="168"/>
      <c r="V5256" s="399"/>
      <c r="W5256" s="146"/>
      <c r="X5256" s="51"/>
      <c r="Y5256" s="51"/>
    </row>
    <row r="5257" s="10" customFormat="1" customHeight="1" spans="1:25">
      <c r="A5257" s="42" t="s">
        <v>403</v>
      </c>
      <c r="B5257" s="43" t="s">
        <v>6937</v>
      </c>
      <c r="C5257" s="42" t="s">
        <v>283</v>
      </c>
      <c r="D5257" s="43" t="s">
        <v>6905</v>
      </c>
      <c r="E5257" s="44" t="s">
        <v>6989</v>
      </c>
      <c r="F5257" s="42" t="s">
        <v>6990</v>
      </c>
      <c r="G5257" s="42" t="s">
        <v>88</v>
      </c>
      <c r="H5257" s="247" t="s">
        <v>6991</v>
      </c>
      <c r="I5257" s="47" t="e">
        <f>VLOOKUP(H5257,'合同综合查询数据（3月返）'!$A:$A,1,FALSE)</f>
        <v>#N/A</v>
      </c>
      <c r="J5257" s="65" t="s">
        <v>126</v>
      </c>
      <c r="K5257" s="43" t="s">
        <v>4376</v>
      </c>
      <c r="L5257" s="42" t="s">
        <v>6992</v>
      </c>
      <c r="M5257" s="50" t="s">
        <v>6993</v>
      </c>
      <c r="N5257" s="163">
        <v>44712</v>
      </c>
      <c r="O5257" s="42" t="s">
        <v>127</v>
      </c>
      <c r="P5257" s="402">
        <v>3500</v>
      </c>
      <c r="Q5257" s="53">
        <v>-8</v>
      </c>
      <c r="R5257" s="404">
        <f t="shared" si="119"/>
        <v>-28000</v>
      </c>
      <c r="S5257" s="70">
        <v>202303</v>
      </c>
      <c r="T5257" s="169" t="s">
        <v>6996</v>
      </c>
      <c r="U5257" s="168"/>
      <c r="V5257" s="399"/>
      <c r="W5257" s="146"/>
      <c r="X5257" s="51"/>
      <c r="Y5257" s="51"/>
    </row>
    <row r="5258" s="10" customFormat="1" customHeight="1" spans="1:25">
      <c r="A5258" s="42" t="s">
        <v>403</v>
      </c>
      <c r="B5258" s="43" t="s">
        <v>6937</v>
      </c>
      <c r="C5258" s="42" t="s">
        <v>283</v>
      </c>
      <c r="D5258" s="43" t="s">
        <v>6905</v>
      </c>
      <c r="E5258" s="44" t="s">
        <v>6989</v>
      </c>
      <c r="F5258" s="42" t="s">
        <v>6990</v>
      </c>
      <c r="G5258" s="42" t="s">
        <v>88</v>
      </c>
      <c r="H5258" s="247" t="s">
        <v>6991</v>
      </c>
      <c r="I5258" s="47" t="e">
        <f>VLOOKUP(H5258,'合同综合查询数据（3月返）'!$A:$A,1,FALSE)</f>
        <v>#N/A</v>
      </c>
      <c r="J5258" s="65" t="s">
        <v>126</v>
      </c>
      <c r="K5258" s="43" t="s">
        <v>4376</v>
      </c>
      <c r="L5258" s="42" t="s">
        <v>6997</v>
      </c>
      <c r="M5258" s="50" t="s">
        <v>6993</v>
      </c>
      <c r="N5258" s="163">
        <v>43218</v>
      </c>
      <c r="O5258" s="42" t="s">
        <v>127</v>
      </c>
      <c r="P5258" s="402">
        <v>3500</v>
      </c>
      <c r="Q5258" s="53">
        <v>4</v>
      </c>
      <c r="R5258" s="404">
        <f t="shared" si="119"/>
        <v>14000</v>
      </c>
      <c r="S5258" s="70">
        <v>202303</v>
      </c>
      <c r="T5258" s="169" t="s">
        <v>6998</v>
      </c>
      <c r="U5258" s="168"/>
      <c r="V5258" s="399"/>
      <c r="W5258" s="146"/>
      <c r="X5258" s="51"/>
      <c r="Y5258" s="51"/>
    </row>
    <row r="5259" s="10" customFormat="1" customHeight="1" spans="1:25">
      <c r="A5259" s="42" t="s">
        <v>403</v>
      </c>
      <c r="B5259" s="43" t="s">
        <v>6937</v>
      </c>
      <c r="C5259" s="42" t="s">
        <v>283</v>
      </c>
      <c r="D5259" s="43" t="s">
        <v>6905</v>
      </c>
      <c r="E5259" s="44" t="s">
        <v>6989</v>
      </c>
      <c r="F5259" s="42" t="s">
        <v>6990</v>
      </c>
      <c r="G5259" s="42" t="s">
        <v>88</v>
      </c>
      <c r="H5259" s="247" t="s">
        <v>6991</v>
      </c>
      <c r="I5259" s="47" t="e">
        <f>VLOOKUP(H5259,'合同综合查询数据（3月返）'!$A:$A,1,FALSE)</f>
        <v>#N/A</v>
      </c>
      <c r="J5259" s="65" t="s">
        <v>126</v>
      </c>
      <c r="K5259" s="43" t="s">
        <v>4376</v>
      </c>
      <c r="L5259" s="42" t="s">
        <v>6997</v>
      </c>
      <c r="M5259" s="50" t="s">
        <v>6993</v>
      </c>
      <c r="N5259" s="163">
        <v>43830</v>
      </c>
      <c r="O5259" s="42" t="s">
        <v>127</v>
      </c>
      <c r="P5259" s="402">
        <v>3500</v>
      </c>
      <c r="Q5259" s="53">
        <v>-4</v>
      </c>
      <c r="R5259" s="404">
        <f t="shared" si="119"/>
        <v>-14000</v>
      </c>
      <c r="S5259" s="70">
        <v>202303</v>
      </c>
      <c r="T5259" s="169" t="s">
        <v>6999</v>
      </c>
      <c r="U5259" s="168"/>
      <c r="V5259" s="399"/>
      <c r="W5259" s="146"/>
      <c r="X5259" s="51"/>
      <c r="Y5259" s="51"/>
    </row>
    <row r="5260" s="10" customFormat="1" customHeight="1" spans="1:25">
      <c r="A5260" s="42" t="s">
        <v>403</v>
      </c>
      <c r="B5260" s="43" t="s">
        <v>6937</v>
      </c>
      <c r="C5260" s="42" t="s">
        <v>283</v>
      </c>
      <c r="D5260" s="43" t="s">
        <v>6905</v>
      </c>
      <c r="E5260" s="44" t="s">
        <v>6989</v>
      </c>
      <c r="F5260" s="42" t="s">
        <v>6990</v>
      </c>
      <c r="G5260" s="42" t="s">
        <v>88</v>
      </c>
      <c r="H5260" s="247" t="s">
        <v>6991</v>
      </c>
      <c r="I5260" s="47" t="e">
        <f>VLOOKUP(H5260,'合同综合查询数据（3月返）'!$A:$A,1,FALSE)</f>
        <v>#N/A</v>
      </c>
      <c r="J5260" s="65" t="s">
        <v>126</v>
      </c>
      <c r="K5260" s="43" t="s">
        <v>4376</v>
      </c>
      <c r="L5260" s="42" t="s">
        <v>6997</v>
      </c>
      <c r="M5260" s="50" t="s">
        <v>6993</v>
      </c>
      <c r="N5260" s="163">
        <v>43395</v>
      </c>
      <c r="O5260" s="42" t="s">
        <v>127</v>
      </c>
      <c r="P5260" s="402">
        <v>3500</v>
      </c>
      <c r="Q5260" s="53">
        <v>4</v>
      </c>
      <c r="R5260" s="404">
        <f t="shared" si="119"/>
        <v>14000</v>
      </c>
      <c r="S5260" s="70">
        <v>202303</v>
      </c>
      <c r="T5260" s="169" t="s">
        <v>7000</v>
      </c>
      <c r="U5260" s="168"/>
      <c r="V5260" s="399"/>
      <c r="W5260" s="146"/>
      <c r="X5260" s="51"/>
      <c r="Y5260" s="51"/>
    </row>
    <row r="5261" s="10" customFormat="1" customHeight="1" spans="1:25">
      <c r="A5261" s="42" t="s">
        <v>403</v>
      </c>
      <c r="B5261" s="43" t="s">
        <v>6937</v>
      </c>
      <c r="C5261" s="42" t="s">
        <v>283</v>
      </c>
      <c r="D5261" s="43" t="s">
        <v>6905</v>
      </c>
      <c r="E5261" s="44" t="s">
        <v>6989</v>
      </c>
      <c r="F5261" s="42" t="s">
        <v>6990</v>
      </c>
      <c r="G5261" s="42" t="s">
        <v>88</v>
      </c>
      <c r="H5261" s="247" t="s">
        <v>6991</v>
      </c>
      <c r="I5261" s="47" t="e">
        <f>VLOOKUP(H5261,'合同综合查询数据（3月返）'!$A:$A,1,FALSE)</f>
        <v>#N/A</v>
      </c>
      <c r="J5261" s="65" t="s">
        <v>126</v>
      </c>
      <c r="K5261" s="43" t="s">
        <v>4376</v>
      </c>
      <c r="L5261" s="42" t="s">
        <v>6997</v>
      </c>
      <c r="M5261" s="50" t="s">
        <v>6993</v>
      </c>
      <c r="N5261" s="163">
        <v>44712</v>
      </c>
      <c r="O5261" s="42" t="s">
        <v>127</v>
      </c>
      <c r="P5261" s="402">
        <v>3500</v>
      </c>
      <c r="Q5261" s="53">
        <v>-4</v>
      </c>
      <c r="R5261" s="404">
        <f t="shared" si="119"/>
        <v>-14000</v>
      </c>
      <c r="S5261" s="70">
        <v>202303</v>
      </c>
      <c r="T5261" s="169" t="s">
        <v>7001</v>
      </c>
      <c r="U5261" s="168"/>
      <c r="V5261" s="399"/>
      <c r="W5261" s="146"/>
      <c r="X5261" s="51"/>
      <c r="Y5261" s="51"/>
    </row>
    <row r="5262" s="10" customFormat="1" customHeight="1" spans="1:25">
      <c r="A5262" s="42" t="s">
        <v>403</v>
      </c>
      <c r="B5262" s="43" t="s">
        <v>6937</v>
      </c>
      <c r="C5262" s="42" t="s">
        <v>283</v>
      </c>
      <c r="D5262" s="43" t="s">
        <v>6905</v>
      </c>
      <c r="E5262" s="44" t="s">
        <v>6989</v>
      </c>
      <c r="F5262" s="42" t="s">
        <v>6990</v>
      </c>
      <c r="G5262" s="42" t="s">
        <v>88</v>
      </c>
      <c r="H5262" s="247" t="s">
        <v>6991</v>
      </c>
      <c r="I5262" s="47" t="e">
        <f>VLOOKUP(H5262,'合同综合查询数据（3月返）'!$A:$A,1,FALSE)</f>
        <v>#N/A</v>
      </c>
      <c r="J5262" s="65" t="s">
        <v>126</v>
      </c>
      <c r="K5262" s="43" t="s">
        <v>4376</v>
      </c>
      <c r="L5262" s="42" t="s">
        <v>6992</v>
      </c>
      <c r="M5262" s="50" t="s">
        <v>6993</v>
      </c>
      <c r="N5262" s="163">
        <v>44228</v>
      </c>
      <c r="O5262" s="42" t="s">
        <v>127</v>
      </c>
      <c r="P5262" s="402">
        <v>3500</v>
      </c>
      <c r="Q5262" s="53">
        <v>3</v>
      </c>
      <c r="R5262" s="404">
        <f t="shared" si="119"/>
        <v>10500</v>
      </c>
      <c r="S5262" s="70">
        <v>202303</v>
      </c>
      <c r="T5262" s="169" t="s">
        <v>7002</v>
      </c>
      <c r="U5262" s="168"/>
      <c r="V5262" s="399"/>
      <c r="W5262" s="146"/>
      <c r="X5262" s="51"/>
      <c r="Y5262" s="51"/>
    </row>
    <row r="5263" s="10" customFormat="1" customHeight="1" spans="1:25">
      <c r="A5263" s="42" t="s">
        <v>403</v>
      </c>
      <c r="B5263" s="43" t="s">
        <v>6937</v>
      </c>
      <c r="C5263" s="42" t="s">
        <v>283</v>
      </c>
      <c r="D5263" s="43" t="s">
        <v>6905</v>
      </c>
      <c r="E5263" s="44" t="s">
        <v>6989</v>
      </c>
      <c r="F5263" s="42" t="s">
        <v>6990</v>
      </c>
      <c r="G5263" s="42" t="s">
        <v>88</v>
      </c>
      <c r="H5263" s="247" t="s">
        <v>6991</v>
      </c>
      <c r="I5263" s="47" t="e">
        <f>VLOOKUP(H5263,'合同综合查询数据（3月返）'!$A:$A,1,FALSE)</f>
        <v>#N/A</v>
      </c>
      <c r="J5263" s="65" t="s">
        <v>126</v>
      </c>
      <c r="K5263" s="43" t="s">
        <v>4376</v>
      </c>
      <c r="L5263" s="42" t="s">
        <v>6992</v>
      </c>
      <c r="M5263" s="50" t="s">
        <v>6993</v>
      </c>
      <c r="N5263" s="163">
        <v>44804</v>
      </c>
      <c r="O5263" s="42" t="s">
        <v>127</v>
      </c>
      <c r="P5263" s="402">
        <v>3500</v>
      </c>
      <c r="Q5263" s="53">
        <v>-3</v>
      </c>
      <c r="R5263" s="404">
        <f t="shared" si="119"/>
        <v>-10500</v>
      </c>
      <c r="S5263" s="70">
        <v>202303</v>
      </c>
      <c r="T5263" s="72" t="s">
        <v>7003</v>
      </c>
      <c r="U5263" s="168"/>
      <c r="V5263" s="399"/>
      <c r="W5263" s="146"/>
      <c r="X5263" s="51"/>
      <c r="Y5263" s="51"/>
    </row>
    <row r="5264" s="10" customFormat="1" customHeight="1" spans="1:25">
      <c r="A5264" s="42" t="s">
        <v>403</v>
      </c>
      <c r="B5264" s="43" t="s">
        <v>6937</v>
      </c>
      <c r="C5264" s="42" t="s">
        <v>283</v>
      </c>
      <c r="D5264" s="43" t="s">
        <v>6905</v>
      </c>
      <c r="E5264" s="44" t="s">
        <v>6989</v>
      </c>
      <c r="F5264" s="42" t="s">
        <v>6990</v>
      </c>
      <c r="G5264" s="42" t="s">
        <v>31</v>
      </c>
      <c r="H5264" s="247" t="s">
        <v>6991</v>
      </c>
      <c r="I5264" s="47" t="e">
        <f>VLOOKUP(H5264,'合同综合查询数据（3月返）'!$A:$A,1,FALSE)</f>
        <v>#N/A</v>
      </c>
      <c r="J5264" s="42" t="s">
        <v>33</v>
      </c>
      <c r="K5264" s="43" t="s">
        <v>4376</v>
      </c>
      <c r="L5264" s="138" t="s">
        <v>6992</v>
      </c>
      <c r="M5264" s="50" t="s">
        <v>6993</v>
      </c>
      <c r="N5264" s="163">
        <v>44228</v>
      </c>
      <c r="O5264" s="51" t="s">
        <v>37</v>
      </c>
      <c r="P5264" s="52">
        <v>0</v>
      </c>
      <c r="Q5264" s="53">
        <v>128</v>
      </c>
      <c r="R5264" s="404">
        <f t="shared" si="119"/>
        <v>0</v>
      </c>
      <c r="S5264" s="70">
        <v>202303</v>
      </c>
      <c r="T5264" s="169" t="s">
        <v>7004</v>
      </c>
      <c r="U5264" s="168"/>
      <c r="V5264" s="399"/>
      <c r="W5264" s="146"/>
      <c r="X5264" s="51"/>
      <c r="Y5264" s="51"/>
    </row>
    <row r="5265" s="10" customFormat="1" customHeight="1" spans="1:25">
      <c r="A5265" s="43" t="s">
        <v>403</v>
      </c>
      <c r="B5265" s="43" t="s">
        <v>6937</v>
      </c>
      <c r="C5265" s="42" t="s">
        <v>283</v>
      </c>
      <c r="D5265" s="42" t="s">
        <v>6905</v>
      </c>
      <c r="E5265" s="395" t="s">
        <v>6989</v>
      </c>
      <c r="F5265" s="43" t="s">
        <v>6990</v>
      </c>
      <c r="G5265" s="138" t="s">
        <v>31</v>
      </c>
      <c r="H5265" s="247" t="s">
        <v>6991</v>
      </c>
      <c r="I5265" s="47" t="e">
        <f>VLOOKUP(H5265,'合同综合查询数据（3月返）'!$A:$A,1,FALSE)</f>
        <v>#N/A</v>
      </c>
      <c r="J5265" s="65" t="s">
        <v>33</v>
      </c>
      <c r="K5265" s="43" t="s">
        <v>7005</v>
      </c>
      <c r="L5265" s="138" t="s">
        <v>6992</v>
      </c>
      <c r="M5265" s="50" t="s">
        <v>6993</v>
      </c>
      <c r="N5265" s="51">
        <v>44409</v>
      </c>
      <c r="O5265" s="138" t="s">
        <v>37</v>
      </c>
      <c r="P5265" s="52">
        <v>0</v>
      </c>
      <c r="Q5265" s="53">
        <v>128</v>
      </c>
      <c r="R5265" s="404">
        <f t="shared" si="119"/>
        <v>0</v>
      </c>
      <c r="S5265" s="70">
        <v>202303</v>
      </c>
      <c r="T5265" s="142" t="s">
        <v>7006</v>
      </c>
      <c r="U5265" s="139"/>
      <c r="V5265" s="399"/>
      <c r="W5265" s="146"/>
      <c r="X5265" s="51"/>
      <c r="Y5265" s="51"/>
    </row>
    <row r="5266" s="10" customFormat="1" customHeight="1" spans="1:25">
      <c r="A5266" s="43" t="s">
        <v>403</v>
      </c>
      <c r="B5266" s="43" t="s">
        <v>6937</v>
      </c>
      <c r="C5266" s="42" t="s">
        <v>283</v>
      </c>
      <c r="D5266" s="42" t="s">
        <v>6905</v>
      </c>
      <c r="E5266" s="395" t="s">
        <v>6989</v>
      </c>
      <c r="F5266" s="43" t="s">
        <v>6990</v>
      </c>
      <c r="G5266" s="138" t="s">
        <v>31</v>
      </c>
      <c r="H5266" s="247" t="s">
        <v>6991</v>
      </c>
      <c r="I5266" s="47" t="e">
        <f>VLOOKUP(H5266,'合同综合查询数据（3月返）'!$A:$A,1,FALSE)</f>
        <v>#N/A</v>
      </c>
      <c r="J5266" s="65" t="s">
        <v>33</v>
      </c>
      <c r="K5266" s="43" t="s">
        <v>7005</v>
      </c>
      <c r="L5266" s="138" t="s">
        <v>6992</v>
      </c>
      <c r="M5266" s="50" t="s">
        <v>6993</v>
      </c>
      <c r="N5266" s="51"/>
      <c r="O5266" s="138" t="s">
        <v>37</v>
      </c>
      <c r="P5266" s="52">
        <v>0</v>
      </c>
      <c r="Q5266" s="53">
        <v>288</v>
      </c>
      <c r="R5266" s="404">
        <f t="shared" si="119"/>
        <v>0</v>
      </c>
      <c r="S5266" s="70">
        <v>202303</v>
      </c>
      <c r="T5266" s="142"/>
      <c r="U5266" s="139"/>
      <c r="V5266" s="399"/>
      <c r="W5266" s="146"/>
      <c r="X5266" s="51"/>
      <c r="Y5266" s="51"/>
    </row>
    <row r="5267" s="10" customFormat="1" customHeight="1" spans="1:25">
      <c r="A5267" s="43" t="s">
        <v>403</v>
      </c>
      <c r="B5267" s="43" t="s">
        <v>6937</v>
      </c>
      <c r="C5267" s="42" t="s">
        <v>283</v>
      </c>
      <c r="D5267" s="42" t="s">
        <v>6905</v>
      </c>
      <c r="E5267" s="395" t="s">
        <v>6989</v>
      </c>
      <c r="F5267" s="43" t="s">
        <v>6990</v>
      </c>
      <c r="G5267" s="138" t="s">
        <v>31</v>
      </c>
      <c r="H5267" s="247" t="s">
        <v>6991</v>
      </c>
      <c r="I5267" s="47" t="e">
        <f>VLOOKUP(H5267,'合同综合查询数据（3月返）'!$A:$A,1,FALSE)</f>
        <v>#N/A</v>
      </c>
      <c r="J5267" s="65" t="s">
        <v>33</v>
      </c>
      <c r="K5267" s="43" t="s">
        <v>7005</v>
      </c>
      <c r="L5267" s="138" t="s">
        <v>6992</v>
      </c>
      <c r="M5267" s="50" t="s">
        <v>6993</v>
      </c>
      <c r="N5267" s="163">
        <v>44712</v>
      </c>
      <c r="O5267" s="138" t="s">
        <v>37</v>
      </c>
      <c r="P5267" s="52">
        <v>0</v>
      </c>
      <c r="Q5267" s="53">
        <v>-288</v>
      </c>
      <c r="R5267" s="404">
        <f t="shared" si="119"/>
        <v>0</v>
      </c>
      <c r="S5267" s="70">
        <v>202303</v>
      </c>
      <c r="T5267" s="142" t="s">
        <v>7007</v>
      </c>
      <c r="U5267" s="139"/>
      <c r="V5267" s="399"/>
      <c r="W5267" s="146"/>
      <c r="X5267" s="51"/>
      <c r="Y5267" s="51"/>
    </row>
    <row r="5268" s="10" customFormat="1" customHeight="1" spans="1:25">
      <c r="A5268" s="43" t="s">
        <v>403</v>
      </c>
      <c r="B5268" s="43" t="s">
        <v>6937</v>
      </c>
      <c r="C5268" s="42" t="s">
        <v>283</v>
      </c>
      <c r="D5268" s="42" t="s">
        <v>6905</v>
      </c>
      <c r="E5268" s="395" t="s">
        <v>6989</v>
      </c>
      <c r="F5268" s="43" t="s">
        <v>6990</v>
      </c>
      <c r="G5268" s="138" t="s">
        <v>31</v>
      </c>
      <c r="H5268" s="247" t="s">
        <v>6991</v>
      </c>
      <c r="I5268" s="47" t="e">
        <f>VLOOKUP(H5268,'合同综合查询数据（3月返）'!$A:$A,1,FALSE)</f>
        <v>#N/A</v>
      </c>
      <c r="J5268" s="65" t="s">
        <v>33</v>
      </c>
      <c r="K5268" s="43" t="s">
        <v>7005</v>
      </c>
      <c r="L5268" s="138" t="s">
        <v>6997</v>
      </c>
      <c r="M5268" s="50" t="s">
        <v>6993</v>
      </c>
      <c r="N5268" s="163" t="s">
        <v>6928</v>
      </c>
      <c r="O5268" s="138" t="s">
        <v>37</v>
      </c>
      <c r="P5268" s="52">
        <v>0</v>
      </c>
      <c r="Q5268" s="53">
        <v>288</v>
      </c>
      <c r="R5268" s="404">
        <f t="shared" si="119"/>
        <v>0</v>
      </c>
      <c r="S5268" s="70">
        <v>202303</v>
      </c>
      <c r="T5268" s="142" t="s">
        <v>7008</v>
      </c>
      <c r="U5268" s="139"/>
      <c r="V5268" s="399"/>
      <c r="W5268" s="146"/>
      <c r="X5268" s="51"/>
      <c r="Y5268" s="51"/>
    </row>
    <row r="5269" s="10" customFormat="1" customHeight="1" spans="1:25">
      <c r="A5269" s="43" t="s">
        <v>403</v>
      </c>
      <c r="B5269" s="43" t="s">
        <v>6937</v>
      </c>
      <c r="C5269" s="42" t="s">
        <v>283</v>
      </c>
      <c r="D5269" s="42" t="s">
        <v>6905</v>
      </c>
      <c r="E5269" s="395" t="s">
        <v>6989</v>
      </c>
      <c r="F5269" s="43" t="s">
        <v>6990</v>
      </c>
      <c r="G5269" s="138" t="s">
        <v>31</v>
      </c>
      <c r="H5269" s="247" t="s">
        <v>6991</v>
      </c>
      <c r="I5269" s="47" t="e">
        <f>VLOOKUP(H5269,'合同综合查询数据（3月返）'!$A:$A,1,FALSE)</f>
        <v>#N/A</v>
      </c>
      <c r="J5269" s="65" t="s">
        <v>33</v>
      </c>
      <c r="K5269" s="43" t="s">
        <v>7005</v>
      </c>
      <c r="L5269" s="138" t="s">
        <v>6997</v>
      </c>
      <c r="M5269" s="50" t="s">
        <v>6993</v>
      </c>
      <c r="N5269" s="163">
        <v>44712</v>
      </c>
      <c r="O5269" s="138" t="s">
        <v>37</v>
      </c>
      <c r="P5269" s="52">
        <v>0</v>
      </c>
      <c r="Q5269" s="53">
        <v>-288</v>
      </c>
      <c r="R5269" s="404">
        <f t="shared" si="119"/>
        <v>0</v>
      </c>
      <c r="S5269" s="70">
        <v>202303</v>
      </c>
      <c r="T5269" s="142" t="s">
        <v>7008</v>
      </c>
      <c r="U5269" s="139"/>
      <c r="V5269" s="399"/>
      <c r="W5269" s="146"/>
      <c r="X5269" s="51"/>
      <c r="Y5269" s="51"/>
    </row>
    <row r="5270" s="10" customFormat="1" customHeight="1" spans="1:25">
      <c r="A5270" s="43" t="s">
        <v>403</v>
      </c>
      <c r="B5270" s="43" t="s">
        <v>6937</v>
      </c>
      <c r="C5270" s="42" t="s">
        <v>283</v>
      </c>
      <c r="D5270" s="42" t="s">
        <v>6905</v>
      </c>
      <c r="E5270" s="395" t="s">
        <v>6989</v>
      </c>
      <c r="F5270" s="43" t="s">
        <v>6990</v>
      </c>
      <c r="G5270" s="138" t="s">
        <v>31</v>
      </c>
      <c r="H5270" s="247" t="s">
        <v>6991</v>
      </c>
      <c r="I5270" s="47" t="e">
        <f>VLOOKUP(H5270,'合同综合查询数据（3月返）'!$A:$A,1,FALSE)</f>
        <v>#N/A</v>
      </c>
      <c r="J5270" s="65" t="s">
        <v>33</v>
      </c>
      <c r="K5270" s="43" t="s">
        <v>7005</v>
      </c>
      <c r="L5270" s="138" t="s">
        <v>6997</v>
      </c>
      <c r="M5270" s="50" t="s">
        <v>6993</v>
      </c>
      <c r="N5270" s="163">
        <v>44804</v>
      </c>
      <c r="O5270" s="138" t="s">
        <v>37</v>
      </c>
      <c r="P5270" s="52">
        <v>0</v>
      </c>
      <c r="Q5270" s="53">
        <v>-256</v>
      </c>
      <c r="R5270" s="404">
        <f t="shared" si="119"/>
        <v>0</v>
      </c>
      <c r="S5270" s="70">
        <v>202303</v>
      </c>
      <c r="T5270" s="142" t="s">
        <v>7009</v>
      </c>
      <c r="U5270" s="139"/>
      <c r="V5270" s="399"/>
      <c r="W5270" s="146"/>
      <c r="X5270" s="51"/>
      <c r="Y5270" s="51"/>
    </row>
    <row r="5271" s="10" customFormat="1" customHeight="1" spans="1:25">
      <c r="A5271" s="43" t="s">
        <v>403</v>
      </c>
      <c r="B5271" s="43" t="s">
        <v>6937</v>
      </c>
      <c r="C5271" s="42" t="s">
        <v>283</v>
      </c>
      <c r="D5271" s="42" t="s">
        <v>6905</v>
      </c>
      <c r="E5271" s="395" t="s">
        <v>6989</v>
      </c>
      <c r="F5271" s="43" t="s">
        <v>7010</v>
      </c>
      <c r="G5271" s="138" t="s">
        <v>88</v>
      </c>
      <c r="H5271" s="137" t="s">
        <v>7011</v>
      </c>
      <c r="I5271" s="47" t="e">
        <f>VLOOKUP(H5271,'合同综合查询数据（3月返）'!$A:$A,1,FALSE)</f>
        <v>#N/A</v>
      </c>
      <c r="J5271" s="65" t="s">
        <v>126</v>
      </c>
      <c r="K5271" s="43" t="s">
        <v>4898</v>
      </c>
      <c r="L5271" s="138" t="s">
        <v>7012</v>
      </c>
      <c r="M5271" s="50" t="s">
        <v>7013</v>
      </c>
      <c r="N5271" s="51">
        <v>44352</v>
      </c>
      <c r="O5271" s="138" t="s">
        <v>127</v>
      </c>
      <c r="P5271" s="52">
        <v>3500</v>
      </c>
      <c r="Q5271" s="53">
        <v>3</v>
      </c>
      <c r="R5271" s="54">
        <f t="shared" si="119"/>
        <v>10500</v>
      </c>
      <c r="S5271" s="70">
        <v>202303</v>
      </c>
      <c r="T5271" s="142" t="s">
        <v>7014</v>
      </c>
      <c r="U5271" s="139"/>
      <c r="V5271" s="399"/>
      <c r="W5271" s="146"/>
      <c r="X5271" s="51"/>
      <c r="Y5271" s="51"/>
    </row>
    <row r="5272" s="10" customFormat="1" customHeight="1" spans="1:25">
      <c r="A5272" s="43" t="s">
        <v>403</v>
      </c>
      <c r="B5272" s="43" t="s">
        <v>6937</v>
      </c>
      <c r="C5272" s="42" t="s">
        <v>283</v>
      </c>
      <c r="D5272" s="42" t="s">
        <v>6905</v>
      </c>
      <c r="E5272" s="395" t="s">
        <v>6989</v>
      </c>
      <c r="F5272" s="43" t="s">
        <v>7010</v>
      </c>
      <c r="G5272" s="138" t="s">
        <v>88</v>
      </c>
      <c r="H5272" s="137" t="s">
        <v>7015</v>
      </c>
      <c r="I5272" s="47" t="e">
        <f>VLOOKUP(H5272,'合同综合查询数据（3月返）'!$A:$A,1,FALSE)</f>
        <v>#N/A</v>
      </c>
      <c r="J5272" s="65" t="s">
        <v>126</v>
      </c>
      <c r="K5272" s="43" t="s">
        <v>4898</v>
      </c>
      <c r="L5272" s="138" t="s">
        <v>7012</v>
      </c>
      <c r="M5272" s="50" t="s">
        <v>7013</v>
      </c>
      <c r="N5272" s="51">
        <v>44805</v>
      </c>
      <c r="O5272" s="138" t="s">
        <v>127</v>
      </c>
      <c r="P5272" s="52">
        <v>3500</v>
      </c>
      <c r="Q5272" s="53">
        <v>1</v>
      </c>
      <c r="R5272" s="54">
        <f t="shared" si="119"/>
        <v>3500</v>
      </c>
      <c r="S5272" s="70">
        <v>202303</v>
      </c>
      <c r="T5272" s="142" t="s">
        <v>7016</v>
      </c>
      <c r="U5272" s="139"/>
      <c r="V5272" s="399"/>
      <c r="W5272" s="146"/>
      <c r="X5272" s="51"/>
      <c r="Y5272" s="51"/>
    </row>
    <row r="5273" s="10" customFormat="1" customHeight="1" spans="1:25">
      <c r="A5273" s="43" t="s">
        <v>403</v>
      </c>
      <c r="B5273" s="43" t="s">
        <v>6937</v>
      </c>
      <c r="C5273" s="42" t="s">
        <v>283</v>
      </c>
      <c r="D5273" s="42" t="s">
        <v>6905</v>
      </c>
      <c r="E5273" s="395" t="s">
        <v>6989</v>
      </c>
      <c r="F5273" s="43" t="s">
        <v>7010</v>
      </c>
      <c r="G5273" s="138" t="s">
        <v>31</v>
      </c>
      <c r="H5273" s="137" t="s">
        <v>7011</v>
      </c>
      <c r="I5273" s="47" t="e">
        <f>VLOOKUP(H5273,'合同综合查询数据（3月返）'!$A:$A,1,FALSE)</f>
        <v>#N/A</v>
      </c>
      <c r="J5273" s="65" t="s">
        <v>33</v>
      </c>
      <c r="K5273" s="43" t="s">
        <v>4898</v>
      </c>
      <c r="L5273" s="138" t="s">
        <v>7012</v>
      </c>
      <c r="M5273" s="50" t="s">
        <v>7013</v>
      </c>
      <c r="N5273" s="51">
        <v>44352</v>
      </c>
      <c r="O5273" s="138" t="s">
        <v>37</v>
      </c>
      <c r="P5273" s="52">
        <v>50</v>
      </c>
      <c r="Q5273" s="53">
        <v>128</v>
      </c>
      <c r="R5273" s="404">
        <f t="shared" si="119"/>
        <v>6400</v>
      </c>
      <c r="S5273" s="70">
        <v>202303</v>
      </c>
      <c r="T5273" s="142" t="s">
        <v>7017</v>
      </c>
      <c r="U5273" s="139"/>
      <c r="V5273" s="399"/>
      <c r="W5273" s="146"/>
      <c r="X5273" s="51"/>
      <c r="Y5273" s="51"/>
    </row>
    <row r="5274" s="10" customFormat="1" customHeight="1" spans="1:25">
      <c r="A5274" s="43" t="s">
        <v>403</v>
      </c>
      <c r="B5274" s="43" t="s">
        <v>6937</v>
      </c>
      <c r="C5274" s="42" t="s">
        <v>283</v>
      </c>
      <c r="D5274" s="42" t="s">
        <v>6905</v>
      </c>
      <c r="E5274" s="395" t="s">
        <v>6989</v>
      </c>
      <c r="F5274" s="43" t="s">
        <v>7010</v>
      </c>
      <c r="G5274" s="138" t="s">
        <v>31</v>
      </c>
      <c r="H5274" s="137" t="s">
        <v>7011</v>
      </c>
      <c r="I5274" s="47" t="e">
        <f>VLOOKUP(H5274,'合同综合查询数据（3月返）'!$A:$A,1,FALSE)</f>
        <v>#N/A</v>
      </c>
      <c r="J5274" s="65" t="s">
        <v>33</v>
      </c>
      <c r="K5274" s="43" t="s">
        <v>4898</v>
      </c>
      <c r="L5274" s="138" t="s">
        <v>7012</v>
      </c>
      <c r="M5274" s="50" t="s">
        <v>7013</v>
      </c>
      <c r="N5274" s="51">
        <v>44352</v>
      </c>
      <c r="O5274" s="138" t="s">
        <v>37</v>
      </c>
      <c r="P5274" s="52">
        <v>0</v>
      </c>
      <c r="Q5274" s="53">
        <v>160</v>
      </c>
      <c r="R5274" s="404">
        <f t="shared" si="119"/>
        <v>0</v>
      </c>
      <c r="S5274" s="70">
        <v>202303</v>
      </c>
      <c r="T5274" s="142" t="s">
        <v>7018</v>
      </c>
      <c r="U5274" s="139"/>
      <c r="V5274" s="399"/>
      <c r="W5274" s="146"/>
      <c r="X5274" s="51"/>
      <c r="Y5274" s="51"/>
    </row>
    <row r="5275" s="10" customFormat="1" customHeight="1" spans="1:25">
      <c r="A5275" s="43" t="s">
        <v>403</v>
      </c>
      <c r="B5275" s="43" t="s">
        <v>6937</v>
      </c>
      <c r="C5275" s="42" t="s">
        <v>283</v>
      </c>
      <c r="D5275" s="42" t="s">
        <v>6905</v>
      </c>
      <c r="E5275" s="395" t="s">
        <v>6989</v>
      </c>
      <c r="F5275" s="43" t="s">
        <v>7010</v>
      </c>
      <c r="G5275" s="138" t="s">
        <v>31</v>
      </c>
      <c r="H5275" s="137" t="s">
        <v>7015</v>
      </c>
      <c r="I5275" s="47" t="e">
        <f>VLOOKUP(H5275,'合同综合查询数据（3月返）'!$A:$A,1,FALSE)</f>
        <v>#N/A</v>
      </c>
      <c r="J5275" s="65" t="s">
        <v>33</v>
      </c>
      <c r="K5275" s="43" t="s">
        <v>4898</v>
      </c>
      <c r="L5275" s="138" t="s">
        <v>7012</v>
      </c>
      <c r="M5275" s="50" t="s">
        <v>7013</v>
      </c>
      <c r="N5275" s="51">
        <v>44805</v>
      </c>
      <c r="O5275" s="138" t="s">
        <v>37</v>
      </c>
      <c r="P5275" s="52">
        <v>50</v>
      </c>
      <c r="Q5275" s="53">
        <v>128</v>
      </c>
      <c r="R5275" s="404">
        <f t="shared" si="119"/>
        <v>6400</v>
      </c>
      <c r="S5275" s="70">
        <v>202303</v>
      </c>
      <c r="T5275" s="142" t="s">
        <v>7019</v>
      </c>
      <c r="U5275" s="139"/>
      <c r="V5275" s="399"/>
      <c r="W5275" s="146"/>
      <c r="X5275" s="51"/>
      <c r="Y5275" s="51"/>
    </row>
    <row r="5276" s="10" customFormat="1" customHeight="1" spans="1:25">
      <c r="A5276" s="43" t="s">
        <v>403</v>
      </c>
      <c r="B5276" s="43" t="s">
        <v>6937</v>
      </c>
      <c r="C5276" s="42" t="s">
        <v>283</v>
      </c>
      <c r="D5276" s="42" t="s">
        <v>6905</v>
      </c>
      <c r="E5276" s="395" t="s">
        <v>6989</v>
      </c>
      <c r="F5276" s="43" t="s">
        <v>7010</v>
      </c>
      <c r="G5276" s="138" t="s">
        <v>31</v>
      </c>
      <c r="H5276" s="137" t="s">
        <v>7011</v>
      </c>
      <c r="I5276" s="47" t="e">
        <f>VLOOKUP(H5276,'合同综合查询数据（3月返）'!$A:$A,1,FALSE)</f>
        <v>#N/A</v>
      </c>
      <c r="J5276" s="65" t="s">
        <v>33</v>
      </c>
      <c r="K5276" s="43" t="s">
        <v>4898</v>
      </c>
      <c r="L5276" s="138" t="s">
        <v>7012</v>
      </c>
      <c r="M5276" s="50" t="s">
        <v>7013</v>
      </c>
      <c r="N5276" s="51">
        <v>44902</v>
      </c>
      <c r="O5276" s="138" t="s">
        <v>37</v>
      </c>
      <c r="P5276" s="52">
        <v>50</v>
      </c>
      <c r="Q5276" s="53">
        <v>-128</v>
      </c>
      <c r="R5276" s="54">
        <f t="shared" si="119"/>
        <v>-6400</v>
      </c>
      <c r="S5276" s="70">
        <v>202303</v>
      </c>
      <c r="T5276" s="142" t="s">
        <v>7020</v>
      </c>
      <c r="U5276" s="139"/>
      <c r="V5276" s="399"/>
      <c r="W5276" s="146"/>
      <c r="X5276" s="51"/>
      <c r="Y5276" s="51"/>
    </row>
    <row r="5277" s="10" customFormat="1" customHeight="1" spans="1:25">
      <c r="A5277" s="43" t="s">
        <v>403</v>
      </c>
      <c r="B5277" s="43" t="s">
        <v>6937</v>
      </c>
      <c r="C5277" s="42" t="s">
        <v>283</v>
      </c>
      <c r="D5277" s="42" t="s">
        <v>6905</v>
      </c>
      <c r="E5277" s="395" t="s">
        <v>6989</v>
      </c>
      <c r="F5277" s="43" t="s">
        <v>7010</v>
      </c>
      <c r="G5277" s="138" t="s">
        <v>88</v>
      </c>
      <c r="H5277" s="137" t="s">
        <v>7021</v>
      </c>
      <c r="I5277" s="47" t="e">
        <f>VLOOKUP(H5277,'合同综合查询数据（3月返）'!$A:$A,1,FALSE)</f>
        <v>#N/A</v>
      </c>
      <c r="J5277" s="65" t="s">
        <v>126</v>
      </c>
      <c r="K5277" s="43" t="s">
        <v>4898</v>
      </c>
      <c r="L5277" s="138" t="s">
        <v>7022</v>
      </c>
      <c r="M5277" s="50" t="s">
        <v>7013</v>
      </c>
      <c r="N5277" s="51">
        <v>44412</v>
      </c>
      <c r="O5277" s="138" t="s">
        <v>127</v>
      </c>
      <c r="P5277" s="52">
        <v>0</v>
      </c>
      <c r="Q5277" s="53">
        <v>2</v>
      </c>
      <c r="R5277" s="54">
        <f t="shared" si="119"/>
        <v>0</v>
      </c>
      <c r="S5277" s="70">
        <v>202303</v>
      </c>
      <c r="T5277" s="142" t="s">
        <v>7023</v>
      </c>
      <c r="U5277" s="139"/>
      <c r="V5277" s="399"/>
      <c r="W5277" s="146"/>
      <c r="X5277" s="51"/>
      <c r="Y5277" s="51"/>
    </row>
    <row r="5278" s="10" customFormat="1" customHeight="1" spans="1:25">
      <c r="A5278" s="43" t="s">
        <v>403</v>
      </c>
      <c r="B5278" s="43" t="s">
        <v>6937</v>
      </c>
      <c r="C5278" s="42" t="s">
        <v>283</v>
      </c>
      <c r="D5278" s="42" t="s">
        <v>6905</v>
      </c>
      <c r="E5278" s="395" t="s">
        <v>6989</v>
      </c>
      <c r="F5278" s="43" t="s">
        <v>7010</v>
      </c>
      <c r="G5278" s="138" t="s">
        <v>88</v>
      </c>
      <c r="H5278" s="137" t="s">
        <v>7021</v>
      </c>
      <c r="I5278" s="47" t="e">
        <f>VLOOKUP(H5278,'合同综合查询数据（3月返）'!$A:$A,1,FALSE)</f>
        <v>#N/A</v>
      </c>
      <c r="J5278" s="65" t="s">
        <v>126</v>
      </c>
      <c r="K5278" s="43" t="s">
        <v>4898</v>
      </c>
      <c r="L5278" s="138" t="s">
        <v>7022</v>
      </c>
      <c r="M5278" s="50" t="s">
        <v>7013</v>
      </c>
      <c r="N5278" s="51">
        <v>44608</v>
      </c>
      <c r="O5278" s="138" t="s">
        <v>127</v>
      </c>
      <c r="P5278" s="52">
        <v>0</v>
      </c>
      <c r="Q5278" s="53">
        <v>-2</v>
      </c>
      <c r="R5278" s="54">
        <f t="shared" si="119"/>
        <v>0</v>
      </c>
      <c r="S5278" s="70">
        <v>202303</v>
      </c>
      <c r="T5278" s="142" t="s">
        <v>7024</v>
      </c>
      <c r="U5278" s="139"/>
      <c r="V5278" s="399"/>
      <c r="W5278" s="146"/>
      <c r="X5278" s="51"/>
      <c r="Y5278" s="51"/>
    </row>
    <row r="5279" s="10" customFormat="1" customHeight="1" spans="1:25">
      <c r="A5279" s="43" t="s">
        <v>403</v>
      </c>
      <c r="B5279" s="43" t="s">
        <v>6937</v>
      </c>
      <c r="C5279" s="42" t="s">
        <v>283</v>
      </c>
      <c r="D5279" s="42" t="s">
        <v>6905</v>
      </c>
      <c r="E5279" s="395" t="s">
        <v>6989</v>
      </c>
      <c r="F5279" s="43" t="s">
        <v>7010</v>
      </c>
      <c r="G5279" s="138" t="s">
        <v>31</v>
      </c>
      <c r="H5279" s="137" t="s">
        <v>7011</v>
      </c>
      <c r="I5279" s="47" t="e">
        <f>VLOOKUP(H5279,'合同综合查询数据（3月返）'!$A:$A,1,FALSE)</f>
        <v>#N/A</v>
      </c>
      <c r="J5279" s="65" t="s">
        <v>33</v>
      </c>
      <c r="K5279" s="43" t="s">
        <v>4898</v>
      </c>
      <c r="L5279" s="138" t="s">
        <v>7022</v>
      </c>
      <c r="M5279" s="50" t="s">
        <v>7013</v>
      </c>
      <c r="N5279" s="51">
        <v>44412</v>
      </c>
      <c r="O5279" s="138" t="s">
        <v>37</v>
      </c>
      <c r="P5279" s="52">
        <v>50</v>
      </c>
      <c r="Q5279" s="53">
        <v>64</v>
      </c>
      <c r="R5279" s="404">
        <f t="shared" si="119"/>
        <v>3200</v>
      </c>
      <c r="S5279" s="70">
        <v>202303</v>
      </c>
      <c r="T5279" s="142" t="s">
        <v>7025</v>
      </c>
      <c r="U5279" s="139"/>
      <c r="V5279" s="399"/>
      <c r="W5279" s="146"/>
      <c r="X5279" s="51"/>
      <c r="Y5279" s="51"/>
    </row>
    <row r="5280" s="10" customFormat="1" customHeight="1" spans="1:25">
      <c r="A5280" s="43" t="s">
        <v>403</v>
      </c>
      <c r="B5280" s="43" t="s">
        <v>6937</v>
      </c>
      <c r="C5280" s="42" t="s">
        <v>283</v>
      </c>
      <c r="D5280" s="42" t="s">
        <v>6905</v>
      </c>
      <c r="E5280" s="395" t="s">
        <v>6989</v>
      </c>
      <c r="F5280" s="43" t="s">
        <v>7010</v>
      </c>
      <c r="G5280" s="138" t="s">
        <v>31</v>
      </c>
      <c r="H5280" s="137" t="s">
        <v>7011</v>
      </c>
      <c r="I5280" s="47" t="e">
        <f>VLOOKUP(H5280,'合同综合查询数据（3月返）'!$A:$A,1,FALSE)</f>
        <v>#N/A</v>
      </c>
      <c r="J5280" s="65" t="s">
        <v>33</v>
      </c>
      <c r="K5280" s="43" t="s">
        <v>4898</v>
      </c>
      <c r="L5280" s="138" t="s">
        <v>7022</v>
      </c>
      <c r="M5280" s="50" t="s">
        <v>7013</v>
      </c>
      <c r="N5280" s="51">
        <v>44608</v>
      </c>
      <c r="O5280" s="138" t="s">
        <v>37</v>
      </c>
      <c r="P5280" s="52">
        <v>50</v>
      </c>
      <c r="Q5280" s="53">
        <v>-64</v>
      </c>
      <c r="R5280" s="404">
        <f t="shared" si="119"/>
        <v>-3200</v>
      </c>
      <c r="S5280" s="70">
        <v>202303</v>
      </c>
      <c r="T5280" s="142" t="s">
        <v>7026</v>
      </c>
      <c r="U5280" s="139"/>
      <c r="V5280" s="399"/>
      <c r="W5280" s="146"/>
      <c r="X5280" s="51"/>
      <c r="Y5280" s="51"/>
    </row>
    <row r="5281" s="10" customFormat="1" customHeight="1" spans="1:25">
      <c r="A5281" s="43" t="s">
        <v>403</v>
      </c>
      <c r="B5281" s="43" t="s">
        <v>6937</v>
      </c>
      <c r="C5281" s="42" t="s">
        <v>283</v>
      </c>
      <c r="D5281" s="42" t="s">
        <v>6905</v>
      </c>
      <c r="E5281" s="395" t="s">
        <v>6989</v>
      </c>
      <c r="F5281" s="43" t="s">
        <v>7010</v>
      </c>
      <c r="G5281" s="138" t="s">
        <v>31</v>
      </c>
      <c r="H5281" s="137" t="s">
        <v>7021</v>
      </c>
      <c r="I5281" s="47" t="e">
        <f>VLOOKUP(H5281,'合同综合查询数据（3月返）'!$A:$A,1,FALSE)</f>
        <v>#N/A</v>
      </c>
      <c r="J5281" s="65" t="s">
        <v>33</v>
      </c>
      <c r="K5281" s="43" t="s">
        <v>4898</v>
      </c>
      <c r="L5281" s="138" t="s">
        <v>7022</v>
      </c>
      <c r="M5281" s="50" t="s">
        <v>7013</v>
      </c>
      <c r="N5281" s="51">
        <v>44412</v>
      </c>
      <c r="O5281" s="138" t="s">
        <v>37</v>
      </c>
      <c r="P5281" s="52">
        <v>0</v>
      </c>
      <c r="Q5281" s="53">
        <v>96</v>
      </c>
      <c r="R5281" s="404">
        <f t="shared" si="119"/>
        <v>0</v>
      </c>
      <c r="S5281" s="70">
        <v>202303</v>
      </c>
      <c r="T5281" s="142" t="s">
        <v>7025</v>
      </c>
      <c r="U5281" s="139"/>
      <c r="V5281" s="399"/>
      <c r="W5281" s="146"/>
      <c r="X5281" s="51"/>
      <c r="Y5281" s="51"/>
    </row>
    <row r="5282" s="10" customFormat="1" customHeight="1" spans="1:25">
      <c r="A5282" s="43" t="s">
        <v>403</v>
      </c>
      <c r="B5282" s="43" t="s">
        <v>6937</v>
      </c>
      <c r="C5282" s="42" t="s">
        <v>283</v>
      </c>
      <c r="D5282" s="42" t="s">
        <v>6905</v>
      </c>
      <c r="E5282" s="395" t="s">
        <v>6989</v>
      </c>
      <c r="F5282" s="43" t="s">
        <v>7010</v>
      </c>
      <c r="G5282" s="138" t="s">
        <v>31</v>
      </c>
      <c r="H5282" s="137" t="s">
        <v>7021</v>
      </c>
      <c r="I5282" s="47" t="e">
        <f>VLOOKUP(H5282,'合同综合查询数据（3月返）'!$A:$A,1,FALSE)</f>
        <v>#N/A</v>
      </c>
      <c r="J5282" s="65" t="s">
        <v>33</v>
      </c>
      <c r="K5282" s="43" t="s">
        <v>4898</v>
      </c>
      <c r="L5282" s="138" t="s">
        <v>7022</v>
      </c>
      <c r="M5282" s="50" t="s">
        <v>7013</v>
      </c>
      <c r="N5282" s="51">
        <v>44608</v>
      </c>
      <c r="O5282" s="138" t="s">
        <v>37</v>
      </c>
      <c r="P5282" s="52">
        <v>0</v>
      </c>
      <c r="Q5282" s="53">
        <v>-96</v>
      </c>
      <c r="R5282" s="404">
        <f t="shared" si="119"/>
        <v>0</v>
      </c>
      <c r="S5282" s="70">
        <v>202303</v>
      </c>
      <c r="T5282" s="142" t="s">
        <v>7026</v>
      </c>
      <c r="U5282" s="139"/>
      <c r="V5282" s="399"/>
      <c r="W5282" s="146"/>
      <c r="X5282" s="51"/>
      <c r="Y5282" s="51"/>
    </row>
    <row r="5283" s="9" customFormat="1" customHeight="1" spans="1:25">
      <c r="A5283" s="16" t="s">
        <v>403</v>
      </c>
      <c r="B5283" s="17" t="s">
        <v>6236</v>
      </c>
      <c r="C5283" s="17" t="s">
        <v>2035</v>
      </c>
      <c r="D5283" s="17" t="s">
        <v>6905</v>
      </c>
      <c r="E5283" s="18" t="s">
        <v>7027</v>
      </c>
      <c r="F5283" s="16" t="s">
        <v>7028</v>
      </c>
      <c r="G5283" s="16" t="s">
        <v>88</v>
      </c>
      <c r="H5283" s="19" t="s">
        <v>7029</v>
      </c>
      <c r="I5283" s="23" t="e">
        <f>VLOOKUP(H5283,'合同综合查询数据（3月返）'!$A:$A,1,FALSE)</f>
        <v>#N/A</v>
      </c>
      <c r="J5283" s="24" t="s">
        <v>2256</v>
      </c>
      <c r="K5283" s="16" t="s">
        <v>4980</v>
      </c>
      <c r="L5283" s="25" t="s">
        <v>7030</v>
      </c>
      <c r="M5283" s="26" t="s">
        <v>7031</v>
      </c>
      <c r="N5283" s="28">
        <v>43966</v>
      </c>
      <c r="O5283" s="28" t="s">
        <v>127</v>
      </c>
      <c r="P5283" s="29">
        <v>4166.67</v>
      </c>
      <c r="Q5283" s="35">
        <v>5</v>
      </c>
      <c r="R5283" s="36">
        <f t="shared" si="119"/>
        <v>20833.35</v>
      </c>
      <c r="S5283" s="117">
        <v>202303</v>
      </c>
      <c r="T5283" s="38" t="s">
        <v>7032</v>
      </c>
      <c r="U5283" s="39"/>
      <c r="V5283" s="398"/>
      <c r="W5283" s="41"/>
      <c r="X5283" s="28">
        <v>44713</v>
      </c>
      <c r="Y5283" s="28">
        <v>45077</v>
      </c>
    </row>
    <row r="5284" s="9" customFormat="1" customHeight="1" spans="1:25">
      <c r="A5284" s="16" t="s">
        <v>403</v>
      </c>
      <c r="B5284" s="17" t="s">
        <v>6236</v>
      </c>
      <c r="C5284" s="17" t="s">
        <v>2035</v>
      </c>
      <c r="D5284" s="17" t="s">
        <v>6905</v>
      </c>
      <c r="E5284" s="18" t="s">
        <v>7027</v>
      </c>
      <c r="F5284" s="16" t="s">
        <v>7028</v>
      </c>
      <c r="G5284" s="16" t="s">
        <v>88</v>
      </c>
      <c r="H5284" s="19" t="s">
        <v>7029</v>
      </c>
      <c r="I5284" s="23" t="e">
        <f>VLOOKUP(H5284,'合同综合查询数据（3月返）'!$A:$A,1,FALSE)</f>
        <v>#N/A</v>
      </c>
      <c r="J5284" s="24" t="s">
        <v>2256</v>
      </c>
      <c r="K5284" s="16" t="s">
        <v>4980</v>
      </c>
      <c r="L5284" s="25" t="s">
        <v>7030</v>
      </c>
      <c r="M5284" s="26" t="s">
        <v>7031</v>
      </c>
      <c r="N5284" s="28">
        <v>44712</v>
      </c>
      <c r="O5284" s="28" t="s">
        <v>127</v>
      </c>
      <c r="P5284" s="29">
        <v>4166.67</v>
      </c>
      <c r="Q5284" s="35">
        <v>-3</v>
      </c>
      <c r="R5284" s="36">
        <f t="shared" ref="R5284:R5290" si="120">ROUND(P5284*Q5284,2)</f>
        <v>-12500.01</v>
      </c>
      <c r="S5284" s="117">
        <v>202303</v>
      </c>
      <c r="T5284" s="38" t="s">
        <v>7033</v>
      </c>
      <c r="U5284" s="39"/>
      <c r="V5284" s="398"/>
      <c r="W5284" s="41"/>
      <c r="X5284" s="28">
        <v>44713</v>
      </c>
      <c r="Y5284" s="28">
        <v>45077</v>
      </c>
    </row>
    <row r="5285" s="9" customFormat="1" customHeight="1" spans="1:25">
      <c r="A5285" s="16" t="s">
        <v>403</v>
      </c>
      <c r="B5285" s="17" t="s">
        <v>6236</v>
      </c>
      <c r="C5285" s="17" t="s">
        <v>2035</v>
      </c>
      <c r="D5285" s="17" t="s">
        <v>6905</v>
      </c>
      <c r="E5285" s="18" t="s">
        <v>7027</v>
      </c>
      <c r="F5285" s="16" t="s">
        <v>7028</v>
      </c>
      <c r="G5285" s="16" t="s">
        <v>88</v>
      </c>
      <c r="H5285" s="19" t="s">
        <v>7029</v>
      </c>
      <c r="I5285" s="23" t="e">
        <f>VLOOKUP(H5285,'合同综合查询数据（3月返）'!$A:$A,1,FALSE)</f>
        <v>#N/A</v>
      </c>
      <c r="J5285" s="24" t="s">
        <v>2256</v>
      </c>
      <c r="K5285" s="16" t="s">
        <v>4980</v>
      </c>
      <c r="L5285" s="25" t="s">
        <v>7030</v>
      </c>
      <c r="M5285" s="26" t="s">
        <v>7031</v>
      </c>
      <c r="N5285" s="28">
        <v>44013</v>
      </c>
      <c r="O5285" s="28" t="s">
        <v>127</v>
      </c>
      <c r="P5285" s="29">
        <v>4166.67</v>
      </c>
      <c r="Q5285" s="35">
        <v>1</v>
      </c>
      <c r="R5285" s="36">
        <f t="shared" si="120"/>
        <v>4166.67</v>
      </c>
      <c r="S5285" s="117">
        <v>202303</v>
      </c>
      <c r="T5285" s="38" t="s">
        <v>7034</v>
      </c>
      <c r="U5285" s="39"/>
      <c r="V5285" s="398"/>
      <c r="W5285" s="41"/>
      <c r="X5285" s="28">
        <v>44713</v>
      </c>
      <c r="Y5285" s="28">
        <v>45077</v>
      </c>
    </row>
    <row r="5286" s="9" customFormat="1" customHeight="1" spans="1:25">
      <c r="A5286" s="16" t="s">
        <v>403</v>
      </c>
      <c r="B5286" s="17" t="s">
        <v>6236</v>
      </c>
      <c r="C5286" s="17" t="s">
        <v>2035</v>
      </c>
      <c r="D5286" s="17" t="s">
        <v>6905</v>
      </c>
      <c r="E5286" s="18" t="s">
        <v>7027</v>
      </c>
      <c r="F5286" s="16" t="s">
        <v>7028</v>
      </c>
      <c r="G5286" s="16" t="s">
        <v>88</v>
      </c>
      <c r="H5286" s="19" t="s">
        <v>7029</v>
      </c>
      <c r="I5286" s="23" t="e">
        <f>VLOOKUP(H5286,'合同综合查询数据（3月返）'!$A:$A,1,FALSE)</f>
        <v>#N/A</v>
      </c>
      <c r="J5286" s="24" t="s">
        <v>2256</v>
      </c>
      <c r="K5286" s="16" t="s">
        <v>4980</v>
      </c>
      <c r="L5286" s="25" t="s">
        <v>7030</v>
      </c>
      <c r="M5286" s="26" t="s">
        <v>7031</v>
      </c>
      <c r="N5286" s="28">
        <v>44175</v>
      </c>
      <c r="O5286" s="28" t="s">
        <v>127</v>
      </c>
      <c r="P5286" s="29">
        <v>4166.67</v>
      </c>
      <c r="Q5286" s="35">
        <v>1</v>
      </c>
      <c r="R5286" s="36">
        <f t="shared" si="120"/>
        <v>4166.67</v>
      </c>
      <c r="S5286" s="117">
        <v>202303</v>
      </c>
      <c r="T5286" s="38" t="s">
        <v>7035</v>
      </c>
      <c r="U5286" s="39"/>
      <c r="V5286" s="398"/>
      <c r="W5286" s="41"/>
      <c r="X5286" s="28">
        <v>44713</v>
      </c>
      <c r="Y5286" s="28">
        <v>45077</v>
      </c>
    </row>
    <row r="5287" s="9" customFormat="1" customHeight="1" spans="1:25">
      <c r="A5287" s="16" t="s">
        <v>403</v>
      </c>
      <c r="B5287" s="17" t="s">
        <v>6236</v>
      </c>
      <c r="C5287" s="17" t="s">
        <v>2035</v>
      </c>
      <c r="D5287" s="17" t="s">
        <v>6905</v>
      </c>
      <c r="E5287" s="18" t="s">
        <v>7027</v>
      </c>
      <c r="F5287" s="16" t="s">
        <v>7028</v>
      </c>
      <c r="G5287" s="16" t="s">
        <v>88</v>
      </c>
      <c r="H5287" s="19" t="s">
        <v>7029</v>
      </c>
      <c r="I5287" s="23" t="e">
        <f>VLOOKUP(H5287,'合同综合查询数据（3月返）'!$A:$A,1,FALSE)</f>
        <v>#N/A</v>
      </c>
      <c r="J5287" s="24" t="s">
        <v>2256</v>
      </c>
      <c r="K5287" s="16" t="s">
        <v>4980</v>
      </c>
      <c r="L5287" s="25" t="s">
        <v>7030</v>
      </c>
      <c r="M5287" s="26" t="s">
        <v>7031</v>
      </c>
      <c r="N5287" s="28">
        <v>44284</v>
      </c>
      <c r="O5287" s="28" t="s">
        <v>127</v>
      </c>
      <c r="P5287" s="29">
        <v>4166.67</v>
      </c>
      <c r="Q5287" s="35">
        <v>1</v>
      </c>
      <c r="R5287" s="36">
        <f t="shared" si="120"/>
        <v>4166.67</v>
      </c>
      <c r="S5287" s="117">
        <v>202303</v>
      </c>
      <c r="T5287" s="38" t="s">
        <v>7036</v>
      </c>
      <c r="U5287" s="39"/>
      <c r="V5287" s="398"/>
      <c r="W5287" s="41"/>
      <c r="X5287" s="28">
        <v>44713</v>
      </c>
      <c r="Y5287" s="28">
        <v>45077</v>
      </c>
    </row>
    <row r="5288" s="9" customFormat="1" customHeight="1" spans="1:25">
      <c r="A5288" s="16" t="s">
        <v>403</v>
      </c>
      <c r="B5288" s="17" t="s">
        <v>6236</v>
      </c>
      <c r="C5288" s="17" t="s">
        <v>2035</v>
      </c>
      <c r="D5288" s="17" t="s">
        <v>6905</v>
      </c>
      <c r="E5288" s="18" t="s">
        <v>7027</v>
      </c>
      <c r="F5288" s="16" t="s">
        <v>7028</v>
      </c>
      <c r="G5288" s="16" t="s">
        <v>31</v>
      </c>
      <c r="H5288" s="19" t="s">
        <v>7029</v>
      </c>
      <c r="I5288" s="23" t="e">
        <f>VLOOKUP(H5288,'合同综合查询数据（3月返）'!$A:$A,1,FALSE)</f>
        <v>#N/A</v>
      </c>
      <c r="J5288" s="24" t="s">
        <v>33</v>
      </c>
      <c r="K5288" s="16" t="s">
        <v>4980</v>
      </c>
      <c r="L5288" s="25" t="s">
        <v>7030</v>
      </c>
      <c r="M5288" s="26"/>
      <c r="N5288" s="28">
        <v>44177</v>
      </c>
      <c r="O5288" s="28" t="s">
        <v>37</v>
      </c>
      <c r="P5288" s="29">
        <v>0</v>
      </c>
      <c r="Q5288" s="35">
        <v>192</v>
      </c>
      <c r="R5288" s="36">
        <f t="shared" si="120"/>
        <v>0</v>
      </c>
      <c r="S5288" s="117">
        <v>202303</v>
      </c>
      <c r="T5288" s="38" t="s">
        <v>7037</v>
      </c>
      <c r="U5288" s="39"/>
      <c r="V5288" s="398"/>
      <c r="W5288" s="41"/>
      <c r="X5288" s="28">
        <v>44713</v>
      </c>
      <c r="Y5288" s="28">
        <v>45077</v>
      </c>
    </row>
    <row r="5289" s="9" customFormat="1" customHeight="1" spans="1:25">
      <c r="A5289" s="16" t="s">
        <v>403</v>
      </c>
      <c r="B5289" s="17" t="s">
        <v>6236</v>
      </c>
      <c r="C5289" s="17" t="s">
        <v>2035</v>
      </c>
      <c r="D5289" s="17" t="s">
        <v>6905</v>
      </c>
      <c r="E5289" s="18" t="s">
        <v>7027</v>
      </c>
      <c r="F5289" s="16" t="s">
        <v>7028</v>
      </c>
      <c r="G5289" s="16" t="s">
        <v>31</v>
      </c>
      <c r="H5289" s="19" t="s">
        <v>7029</v>
      </c>
      <c r="I5289" s="23" t="e">
        <f>VLOOKUP(H5289,'合同综合查询数据（3月返）'!$A:$A,1,FALSE)</f>
        <v>#N/A</v>
      </c>
      <c r="J5289" s="24" t="s">
        <v>33</v>
      </c>
      <c r="K5289" s="16" t="s">
        <v>4980</v>
      </c>
      <c r="L5289" s="25" t="s">
        <v>7030</v>
      </c>
      <c r="M5289" s="26"/>
      <c r="N5289" s="28">
        <v>44177</v>
      </c>
      <c r="O5289" s="28" t="s">
        <v>37</v>
      </c>
      <c r="P5289" s="36">
        <v>50</v>
      </c>
      <c r="Q5289" s="35">
        <v>224</v>
      </c>
      <c r="R5289" s="36">
        <f t="shared" si="120"/>
        <v>11200</v>
      </c>
      <c r="S5289" s="117">
        <v>202303</v>
      </c>
      <c r="T5289" s="38" t="s">
        <v>7037</v>
      </c>
      <c r="U5289" s="39"/>
      <c r="V5289" s="398"/>
      <c r="W5289" s="41"/>
      <c r="X5289" s="28">
        <v>44713</v>
      </c>
      <c r="Y5289" s="28">
        <v>45077</v>
      </c>
    </row>
    <row r="5290" s="9" customFormat="1" customHeight="1" spans="1:25">
      <c r="A5290" s="16" t="s">
        <v>403</v>
      </c>
      <c r="B5290" s="17" t="s">
        <v>6236</v>
      </c>
      <c r="C5290" s="17" t="s">
        <v>2035</v>
      </c>
      <c r="D5290" s="17" t="s">
        <v>6905</v>
      </c>
      <c r="E5290" s="18" t="s">
        <v>7027</v>
      </c>
      <c r="F5290" s="16" t="s">
        <v>7028</v>
      </c>
      <c r="G5290" s="16" t="s">
        <v>31</v>
      </c>
      <c r="H5290" s="19" t="s">
        <v>7029</v>
      </c>
      <c r="I5290" s="23" t="e">
        <f>VLOOKUP(H5290,'合同综合查询数据（3月返）'!$A:$A,1,FALSE)</f>
        <v>#N/A</v>
      </c>
      <c r="J5290" s="24" t="s">
        <v>33</v>
      </c>
      <c r="K5290" s="16" t="s">
        <v>4980</v>
      </c>
      <c r="L5290" s="25" t="s">
        <v>7030</v>
      </c>
      <c r="M5290" s="26"/>
      <c r="N5290" s="28">
        <v>44284</v>
      </c>
      <c r="O5290" s="28" t="s">
        <v>37</v>
      </c>
      <c r="P5290" s="29">
        <v>50</v>
      </c>
      <c r="Q5290" s="35">
        <v>128</v>
      </c>
      <c r="R5290" s="36">
        <f t="shared" si="120"/>
        <v>6400</v>
      </c>
      <c r="S5290" s="117">
        <v>202303</v>
      </c>
      <c r="T5290" s="38" t="s">
        <v>7037</v>
      </c>
      <c r="U5290" s="39"/>
      <c r="V5290" s="398"/>
      <c r="W5290" s="41"/>
      <c r="X5290" s="28">
        <v>44713</v>
      </c>
      <c r="Y5290" s="28">
        <v>45077</v>
      </c>
    </row>
    <row r="5291" s="9" customFormat="1" customHeight="1" spans="1:25">
      <c r="A5291" s="16" t="s">
        <v>403</v>
      </c>
      <c r="B5291" s="17" t="s">
        <v>6236</v>
      </c>
      <c r="C5291" s="17" t="s">
        <v>2035</v>
      </c>
      <c r="D5291" s="17" t="s">
        <v>6905</v>
      </c>
      <c r="E5291" s="18" t="s">
        <v>7027</v>
      </c>
      <c r="F5291" s="16" t="s">
        <v>7028</v>
      </c>
      <c r="G5291" s="16" t="s">
        <v>88</v>
      </c>
      <c r="H5291" s="19" t="s">
        <v>7029</v>
      </c>
      <c r="I5291" s="23" t="e">
        <f>VLOOKUP(H5291,'合同综合查询数据（3月返）'!$A:$A,1,FALSE)</f>
        <v>#N/A</v>
      </c>
      <c r="J5291" s="24" t="s">
        <v>2256</v>
      </c>
      <c r="K5291" s="16" t="s">
        <v>4980</v>
      </c>
      <c r="L5291" s="25" t="s">
        <v>7030</v>
      </c>
      <c r="M5291" s="26" t="s">
        <v>7031</v>
      </c>
      <c r="N5291" s="28">
        <v>44324</v>
      </c>
      <c r="O5291" s="28" t="s">
        <v>559</v>
      </c>
      <c r="P5291" s="29">
        <v>4166.67</v>
      </c>
      <c r="Q5291" s="35">
        <v>2</v>
      </c>
      <c r="R5291" s="36">
        <f>ROUND(Q5291*P5291,2)</f>
        <v>8333.34</v>
      </c>
      <c r="S5291" s="117">
        <v>202303</v>
      </c>
      <c r="T5291" s="38" t="s">
        <v>7038</v>
      </c>
      <c r="U5291" s="39"/>
      <c r="V5291" s="398"/>
      <c r="W5291" s="41"/>
      <c r="X5291" s="28">
        <v>44713</v>
      </c>
      <c r="Y5291" s="28">
        <v>45077</v>
      </c>
    </row>
    <row r="5292" s="9" customFormat="1" customHeight="1" spans="1:25">
      <c r="A5292" s="16" t="s">
        <v>403</v>
      </c>
      <c r="B5292" s="17" t="s">
        <v>6236</v>
      </c>
      <c r="C5292" s="17" t="s">
        <v>2035</v>
      </c>
      <c r="D5292" s="17" t="s">
        <v>6905</v>
      </c>
      <c r="E5292" s="18" t="s">
        <v>7027</v>
      </c>
      <c r="F5292" s="16" t="s">
        <v>7028</v>
      </c>
      <c r="G5292" s="16" t="s">
        <v>31</v>
      </c>
      <c r="H5292" s="19" t="s">
        <v>7029</v>
      </c>
      <c r="I5292" s="23" t="e">
        <f>VLOOKUP(H5292,'合同综合查询数据（3月返）'!$A:$A,1,FALSE)</f>
        <v>#N/A</v>
      </c>
      <c r="J5292" s="24" t="s">
        <v>33</v>
      </c>
      <c r="K5292" s="16" t="s">
        <v>4980</v>
      </c>
      <c r="L5292" s="25" t="s">
        <v>7030</v>
      </c>
      <c r="M5292" s="26" t="s">
        <v>7031</v>
      </c>
      <c r="N5292" s="28">
        <v>44324</v>
      </c>
      <c r="O5292" s="28" t="s">
        <v>37</v>
      </c>
      <c r="P5292" s="29">
        <v>50</v>
      </c>
      <c r="Q5292" s="35">
        <v>128</v>
      </c>
      <c r="R5292" s="36">
        <f t="shared" ref="R5292:R5329" si="121">ROUND(P5292*Q5292,2)</f>
        <v>6400</v>
      </c>
      <c r="S5292" s="117">
        <v>202303</v>
      </c>
      <c r="T5292" s="38" t="s">
        <v>7037</v>
      </c>
      <c r="U5292" s="39"/>
      <c r="V5292" s="398"/>
      <c r="W5292" s="41"/>
      <c r="X5292" s="28">
        <v>44713</v>
      </c>
      <c r="Y5292" s="28">
        <v>45077</v>
      </c>
    </row>
    <row r="5293" s="9" customFormat="1" customHeight="1" spans="1:25">
      <c r="A5293" s="16" t="s">
        <v>403</v>
      </c>
      <c r="B5293" s="17" t="s">
        <v>6236</v>
      </c>
      <c r="C5293" s="17" t="s">
        <v>2035</v>
      </c>
      <c r="D5293" s="17" t="s">
        <v>6905</v>
      </c>
      <c r="E5293" s="18" t="s">
        <v>7027</v>
      </c>
      <c r="F5293" s="16" t="s">
        <v>7028</v>
      </c>
      <c r="G5293" s="16" t="s">
        <v>31</v>
      </c>
      <c r="H5293" s="19" t="s">
        <v>7029</v>
      </c>
      <c r="I5293" s="23" t="e">
        <f>VLOOKUP(H5293,'合同综合查询数据（3月返）'!$A:$A,1,FALSE)</f>
        <v>#N/A</v>
      </c>
      <c r="J5293" s="24" t="s">
        <v>33</v>
      </c>
      <c r="K5293" s="16" t="s">
        <v>4980</v>
      </c>
      <c r="L5293" s="25" t="s">
        <v>7030</v>
      </c>
      <c r="M5293" s="26" t="s">
        <v>7031</v>
      </c>
      <c r="N5293" s="28">
        <v>44895</v>
      </c>
      <c r="O5293" s="28" t="s">
        <v>37</v>
      </c>
      <c r="P5293" s="29">
        <v>50</v>
      </c>
      <c r="Q5293" s="35">
        <v>-128</v>
      </c>
      <c r="R5293" s="36">
        <f t="shared" si="121"/>
        <v>-6400</v>
      </c>
      <c r="S5293" s="117">
        <v>202303</v>
      </c>
      <c r="T5293" s="38" t="s">
        <v>7039</v>
      </c>
      <c r="U5293" s="39"/>
      <c r="V5293" s="398"/>
      <c r="W5293" s="41"/>
      <c r="X5293" s="28">
        <v>44713</v>
      </c>
      <c r="Y5293" s="28">
        <v>45077</v>
      </c>
    </row>
    <row r="5294" s="10" customFormat="1" customHeight="1" spans="1:25">
      <c r="A5294" s="42" t="s">
        <v>403</v>
      </c>
      <c r="B5294" s="42" t="s">
        <v>6971</v>
      </c>
      <c r="C5294" s="42" t="s">
        <v>7040</v>
      </c>
      <c r="D5294" s="43" t="s">
        <v>6905</v>
      </c>
      <c r="E5294" s="44" t="s">
        <v>7041</v>
      </c>
      <c r="F5294" s="42" t="s">
        <v>7042</v>
      </c>
      <c r="G5294" s="42" t="s">
        <v>31</v>
      </c>
      <c r="H5294" s="45" t="s">
        <v>7043</v>
      </c>
      <c r="I5294" s="47" t="e">
        <f>VLOOKUP(H5294,'合同综合查询数据（3月返）'!$A:$A,1,FALSE)</f>
        <v>#N/A</v>
      </c>
      <c r="J5294" s="48" t="s">
        <v>33</v>
      </c>
      <c r="K5294" s="42" t="s">
        <v>7044</v>
      </c>
      <c r="L5294" s="49" t="s">
        <v>7045</v>
      </c>
      <c r="M5294" s="50" t="s">
        <v>7046</v>
      </c>
      <c r="N5294" s="165">
        <v>43503</v>
      </c>
      <c r="O5294" s="165" t="s">
        <v>37</v>
      </c>
      <c r="P5294" s="52">
        <v>100</v>
      </c>
      <c r="Q5294" s="141">
        <v>120</v>
      </c>
      <c r="R5294" s="54">
        <f t="shared" si="121"/>
        <v>12000</v>
      </c>
      <c r="S5294" s="70">
        <v>202303</v>
      </c>
      <c r="T5294" s="400" t="s">
        <v>7047</v>
      </c>
      <c r="U5294" s="59"/>
      <c r="V5294" s="399"/>
      <c r="W5294" s="59"/>
      <c r="X5294" s="51"/>
      <c r="Y5294" s="51"/>
    </row>
    <row r="5295" s="10" customFormat="1" customHeight="1" spans="1:25">
      <c r="A5295" s="42" t="s">
        <v>403</v>
      </c>
      <c r="B5295" s="42" t="s">
        <v>6971</v>
      </c>
      <c r="C5295" s="42" t="s">
        <v>7040</v>
      </c>
      <c r="D5295" s="43" t="s">
        <v>6905</v>
      </c>
      <c r="E5295" s="44" t="s">
        <v>7041</v>
      </c>
      <c r="F5295" s="42" t="s">
        <v>7042</v>
      </c>
      <c r="G5295" s="42" t="s">
        <v>31</v>
      </c>
      <c r="H5295" s="45" t="s">
        <v>7043</v>
      </c>
      <c r="I5295" s="47" t="e">
        <f>VLOOKUP(H5295,'合同综合查询数据（3月返）'!$A:$A,1,FALSE)</f>
        <v>#N/A</v>
      </c>
      <c r="J5295" s="48" t="s">
        <v>33</v>
      </c>
      <c r="K5295" s="42" t="s">
        <v>7044</v>
      </c>
      <c r="L5295" s="49" t="s">
        <v>7045</v>
      </c>
      <c r="M5295" s="50" t="s">
        <v>7046</v>
      </c>
      <c r="N5295" s="165">
        <v>43503</v>
      </c>
      <c r="O5295" s="165" t="s">
        <v>37</v>
      </c>
      <c r="P5295" s="52">
        <v>0</v>
      </c>
      <c r="Q5295" s="141">
        <v>40</v>
      </c>
      <c r="R5295" s="54">
        <f t="shared" si="121"/>
        <v>0</v>
      </c>
      <c r="S5295" s="70">
        <v>202303</v>
      </c>
      <c r="T5295" s="400" t="s">
        <v>7047</v>
      </c>
      <c r="U5295" s="59"/>
      <c r="V5295" s="399"/>
      <c r="W5295" s="59"/>
      <c r="X5295" s="51"/>
      <c r="Y5295" s="51"/>
    </row>
    <row r="5296" s="10" customFormat="1" customHeight="1" spans="1:25">
      <c r="A5296" s="42" t="s">
        <v>403</v>
      </c>
      <c r="B5296" s="42" t="s">
        <v>6971</v>
      </c>
      <c r="C5296" s="42" t="s">
        <v>7040</v>
      </c>
      <c r="D5296" s="43" t="s">
        <v>6905</v>
      </c>
      <c r="E5296" s="44" t="s">
        <v>7041</v>
      </c>
      <c r="F5296" s="42" t="s">
        <v>7042</v>
      </c>
      <c r="G5296" s="42" t="s">
        <v>88</v>
      </c>
      <c r="H5296" s="45" t="s">
        <v>7043</v>
      </c>
      <c r="I5296" s="47" t="e">
        <f>VLOOKUP(H5296,'合同综合查询数据（3月返）'!$A:$A,1,FALSE)</f>
        <v>#N/A</v>
      </c>
      <c r="J5296" s="48" t="s">
        <v>126</v>
      </c>
      <c r="K5296" s="42" t="s">
        <v>7044</v>
      </c>
      <c r="L5296" s="49" t="s">
        <v>7045</v>
      </c>
      <c r="M5296" s="50" t="s">
        <v>7046</v>
      </c>
      <c r="N5296" s="165">
        <v>43503</v>
      </c>
      <c r="O5296" s="165" t="s">
        <v>624</v>
      </c>
      <c r="P5296" s="52">
        <v>4800</v>
      </c>
      <c r="Q5296" s="141">
        <v>1</v>
      </c>
      <c r="R5296" s="54">
        <f t="shared" si="121"/>
        <v>4800</v>
      </c>
      <c r="S5296" s="70">
        <v>202303</v>
      </c>
      <c r="T5296" s="400" t="s">
        <v>7048</v>
      </c>
      <c r="U5296" s="59"/>
      <c r="V5296" s="399"/>
      <c r="W5296" s="59"/>
      <c r="X5296" s="51"/>
      <c r="Y5296" s="51"/>
    </row>
    <row r="5297" s="10" customFormat="1" customHeight="1" spans="1:25">
      <c r="A5297" s="42" t="s">
        <v>403</v>
      </c>
      <c r="B5297" s="42" t="s">
        <v>6971</v>
      </c>
      <c r="C5297" s="42" t="s">
        <v>7040</v>
      </c>
      <c r="D5297" s="43" t="s">
        <v>6905</v>
      </c>
      <c r="E5297" s="44" t="s">
        <v>7041</v>
      </c>
      <c r="F5297" s="42" t="s">
        <v>7042</v>
      </c>
      <c r="G5297" s="42" t="s">
        <v>88</v>
      </c>
      <c r="H5297" s="45" t="s">
        <v>7043</v>
      </c>
      <c r="I5297" s="47" t="e">
        <f>VLOOKUP(H5297,'合同综合查询数据（3月返）'!$A:$A,1,FALSE)</f>
        <v>#N/A</v>
      </c>
      <c r="J5297" s="48" t="s">
        <v>126</v>
      </c>
      <c r="K5297" s="42" t="s">
        <v>7044</v>
      </c>
      <c r="L5297" s="49" t="s">
        <v>7045</v>
      </c>
      <c r="M5297" s="50" t="s">
        <v>7046</v>
      </c>
      <c r="N5297" s="165">
        <v>43702</v>
      </c>
      <c r="O5297" s="165" t="s">
        <v>624</v>
      </c>
      <c r="P5297" s="52">
        <v>4800</v>
      </c>
      <c r="Q5297" s="141">
        <v>1</v>
      </c>
      <c r="R5297" s="54">
        <f t="shared" si="121"/>
        <v>4800</v>
      </c>
      <c r="S5297" s="70">
        <v>202303</v>
      </c>
      <c r="T5297" s="400" t="s">
        <v>7049</v>
      </c>
      <c r="U5297" s="59"/>
      <c r="V5297" s="399"/>
      <c r="W5297" s="59"/>
      <c r="X5297" s="51"/>
      <c r="Y5297" s="51"/>
    </row>
    <row r="5298" s="10" customFormat="1" customHeight="1" spans="1:25">
      <c r="A5298" s="42" t="s">
        <v>401</v>
      </c>
      <c r="B5298" s="43" t="s">
        <v>6236</v>
      </c>
      <c r="C5298" s="43" t="s">
        <v>2035</v>
      </c>
      <c r="D5298" s="43" t="s">
        <v>6905</v>
      </c>
      <c r="E5298" s="44" t="s">
        <v>7050</v>
      </c>
      <c r="F5298" s="42" t="s">
        <v>7051</v>
      </c>
      <c r="G5298" s="42" t="s">
        <v>88</v>
      </c>
      <c r="H5298" s="45" t="s">
        <v>7052</v>
      </c>
      <c r="I5298" s="47" t="e">
        <f>VLOOKUP(H5298,'合同综合查询数据（3月返）'!$A:$A,1,FALSE)</f>
        <v>#N/A</v>
      </c>
      <c r="J5298" s="48" t="s">
        <v>126</v>
      </c>
      <c r="K5298" s="42" t="s">
        <v>7053</v>
      </c>
      <c r="L5298" s="49"/>
      <c r="M5298" s="50" t="s">
        <v>7054</v>
      </c>
      <c r="N5298" s="51" t="s">
        <v>7055</v>
      </c>
      <c r="O5298" s="51" t="s">
        <v>127</v>
      </c>
      <c r="P5298" s="52">
        <v>0</v>
      </c>
      <c r="Q5298" s="53">
        <v>6</v>
      </c>
      <c r="R5298" s="54">
        <f t="shared" si="121"/>
        <v>0</v>
      </c>
      <c r="S5298" s="70">
        <v>202303</v>
      </c>
      <c r="T5298" s="56" t="s">
        <v>7056</v>
      </c>
      <c r="U5298" s="57"/>
      <c r="V5298" s="399"/>
      <c r="W5298" s="59"/>
      <c r="X5298" s="51"/>
      <c r="Y5298" s="51"/>
    </row>
    <row r="5299" s="9" customFormat="1" customHeight="1" spans="1:25">
      <c r="A5299" s="16" t="s">
        <v>401</v>
      </c>
      <c r="B5299" s="17" t="s">
        <v>6236</v>
      </c>
      <c r="C5299" s="17" t="s">
        <v>2035</v>
      </c>
      <c r="D5299" s="17" t="s">
        <v>6905</v>
      </c>
      <c r="E5299" s="18" t="s">
        <v>7050</v>
      </c>
      <c r="F5299" s="16" t="s">
        <v>7051</v>
      </c>
      <c r="G5299" s="16" t="s">
        <v>88</v>
      </c>
      <c r="H5299" s="19" t="s">
        <v>7057</v>
      </c>
      <c r="I5299" s="23" t="e">
        <f>VLOOKUP(H5299,'合同综合查询数据（3月返）'!$A:$A,1,FALSE)</f>
        <v>#N/A</v>
      </c>
      <c r="J5299" s="24" t="s">
        <v>126</v>
      </c>
      <c r="K5299" s="16" t="s">
        <v>7053</v>
      </c>
      <c r="L5299" s="25"/>
      <c r="M5299" s="26" t="s">
        <v>7054</v>
      </c>
      <c r="N5299" s="28">
        <v>44651</v>
      </c>
      <c r="O5299" s="28" t="s">
        <v>127</v>
      </c>
      <c r="P5299" s="29">
        <v>0</v>
      </c>
      <c r="Q5299" s="35">
        <v>-6</v>
      </c>
      <c r="R5299" s="36">
        <f t="shared" si="121"/>
        <v>0</v>
      </c>
      <c r="S5299" s="117">
        <v>202303</v>
      </c>
      <c r="T5299" s="38" t="s">
        <v>7058</v>
      </c>
      <c r="U5299" s="39"/>
      <c r="V5299" s="398"/>
      <c r="W5299" s="405"/>
      <c r="X5299" s="28" t="s">
        <v>7059</v>
      </c>
      <c r="Y5299" s="28" t="s">
        <v>7060</v>
      </c>
    </row>
    <row r="5300" s="10" customFormat="1" customHeight="1" spans="1:25">
      <c r="A5300" s="42" t="s">
        <v>401</v>
      </c>
      <c r="B5300" s="43" t="s">
        <v>6236</v>
      </c>
      <c r="C5300" s="43" t="s">
        <v>2035</v>
      </c>
      <c r="D5300" s="43" t="s">
        <v>6905</v>
      </c>
      <c r="E5300" s="44" t="s">
        <v>7050</v>
      </c>
      <c r="F5300" s="42" t="s">
        <v>7051</v>
      </c>
      <c r="G5300" s="42" t="s">
        <v>31</v>
      </c>
      <c r="H5300" s="45" t="s">
        <v>7052</v>
      </c>
      <c r="I5300" s="47" t="e">
        <f>VLOOKUP(H5300,'合同综合查询数据（3月返）'!$A:$A,1,FALSE)</f>
        <v>#N/A</v>
      </c>
      <c r="J5300" s="48" t="s">
        <v>33</v>
      </c>
      <c r="K5300" s="42" t="s">
        <v>7053</v>
      </c>
      <c r="L5300" s="49"/>
      <c r="M5300" s="50"/>
      <c r="N5300" s="51" t="s">
        <v>7055</v>
      </c>
      <c r="O5300" s="51" t="s">
        <v>37</v>
      </c>
      <c r="P5300" s="52">
        <v>0</v>
      </c>
      <c r="Q5300" s="53">
        <v>288</v>
      </c>
      <c r="R5300" s="54">
        <f t="shared" si="121"/>
        <v>0</v>
      </c>
      <c r="S5300" s="70">
        <v>202303</v>
      </c>
      <c r="T5300" s="56" t="s">
        <v>7061</v>
      </c>
      <c r="U5300" s="57"/>
      <c r="V5300" s="399"/>
      <c r="W5300" s="406"/>
      <c r="X5300" s="51"/>
      <c r="Y5300" s="51"/>
    </row>
    <row r="5301" s="9" customFormat="1" customHeight="1" spans="1:25">
      <c r="A5301" s="16" t="s">
        <v>401</v>
      </c>
      <c r="B5301" s="17" t="s">
        <v>6236</v>
      </c>
      <c r="C5301" s="17" t="s">
        <v>2035</v>
      </c>
      <c r="D5301" s="17" t="s">
        <v>6905</v>
      </c>
      <c r="E5301" s="18" t="s">
        <v>7050</v>
      </c>
      <c r="F5301" s="16" t="s">
        <v>7051</v>
      </c>
      <c r="G5301" s="16" t="s">
        <v>31</v>
      </c>
      <c r="H5301" s="19" t="s">
        <v>7057</v>
      </c>
      <c r="I5301" s="23" t="e">
        <f>VLOOKUP(H5301,'合同综合查询数据（3月返）'!$A:$A,1,FALSE)</f>
        <v>#N/A</v>
      </c>
      <c r="J5301" s="24" t="s">
        <v>33</v>
      </c>
      <c r="K5301" s="16" t="s">
        <v>7053</v>
      </c>
      <c r="L5301" s="25"/>
      <c r="M5301" s="26"/>
      <c r="N5301" s="28">
        <v>44651</v>
      </c>
      <c r="O5301" s="28" t="s">
        <v>37</v>
      </c>
      <c r="P5301" s="29">
        <v>0</v>
      </c>
      <c r="Q5301" s="35">
        <v>-288</v>
      </c>
      <c r="R5301" s="36">
        <f t="shared" si="121"/>
        <v>0</v>
      </c>
      <c r="S5301" s="117">
        <v>202303</v>
      </c>
      <c r="T5301" s="38" t="s">
        <v>7058</v>
      </c>
      <c r="U5301" s="39"/>
      <c r="V5301" s="398"/>
      <c r="W5301" s="405"/>
      <c r="X5301" s="28" t="s">
        <v>7059</v>
      </c>
      <c r="Y5301" s="28" t="s">
        <v>7060</v>
      </c>
    </row>
    <row r="5302" s="10" customFormat="1" customHeight="1" spans="1:25">
      <c r="A5302" s="42" t="s">
        <v>401</v>
      </c>
      <c r="B5302" s="43" t="s">
        <v>6236</v>
      </c>
      <c r="C5302" s="43" t="s">
        <v>169</v>
      </c>
      <c r="D5302" s="43" t="s">
        <v>6905</v>
      </c>
      <c r="E5302" s="44" t="s">
        <v>7062</v>
      </c>
      <c r="F5302" s="42" t="s">
        <v>7063</v>
      </c>
      <c r="G5302" s="42" t="s">
        <v>88</v>
      </c>
      <c r="H5302" s="45" t="s">
        <v>7064</v>
      </c>
      <c r="I5302" s="47" t="e">
        <f>VLOOKUP(H5302,'合同综合查询数据（3月返）'!$A:$A,1,FALSE)</f>
        <v>#N/A</v>
      </c>
      <c r="J5302" s="48" t="s">
        <v>126</v>
      </c>
      <c r="K5302" s="42" t="s">
        <v>171</v>
      </c>
      <c r="L5302" s="49" t="s">
        <v>7065</v>
      </c>
      <c r="M5302" s="50" t="s">
        <v>7066</v>
      </c>
      <c r="N5302" s="51">
        <v>44166</v>
      </c>
      <c r="O5302" s="51" t="s">
        <v>127</v>
      </c>
      <c r="P5302" s="52">
        <v>0</v>
      </c>
      <c r="Q5302" s="53">
        <v>1</v>
      </c>
      <c r="R5302" s="54">
        <f t="shared" si="121"/>
        <v>0</v>
      </c>
      <c r="S5302" s="70">
        <v>202303</v>
      </c>
      <c r="T5302" s="56" t="s">
        <v>7067</v>
      </c>
      <c r="U5302" s="57"/>
      <c r="V5302" s="407"/>
      <c r="W5302" s="408"/>
      <c r="X5302" s="51"/>
      <c r="Y5302" s="51"/>
    </row>
    <row r="5303" s="10" customFormat="1" customHeight="1" spans="1:25">
      <c r="A5303" s="42" t="s">
        <v>401</v>
      </c>
      <c r="B5303" s="43" t="s">
        <v>6236</v>
      </c>
      <c r="C5303" s="43" t="s">
        <v>169</v>
      </c>
      <c r="D5303" s="43" t="s">
        <v>6905</v>
      </c>
      <c r="E5303" s="44" t="s">
        <v>7062</v>
      </c>
      <c r="F5303" s="42" t="s">
        <v>7063</v>
      </c>
      <c r="G5303" s="42" t="s">
        <v>88</v>
      </c>
      <c r="H5303" s="45" t="s">
        <v>7064</v>
      </c>
      <c r="I5303" s="47" t="e">
        <f>VLOOKUP(H5303,'合同综合查询数据（3月返）'!$A:$A,1,FALSE)</f>
        <v>#N/A</v>
      </c>
      <c r="J5303" s="48" t="s">
        <v>126</v>
      </c>
      <c r="K5303" s="42" t="s">
        <v>171</v>
      </c>
      <c r="L5303" s="49" t="s">
        <v>7065</v>
      </c>
      <c r="M5303" s="50" t="s">
        <v>7066</v>
      </c>
      <c r="N5303" s="51">
        <v>44805</v>
      </c>
      <c r="O5303" s="51" t="s">
        <v>127</v>
      </c>
      <c r="P5303" s="52">
        <v>0</v>
      </c>
      <c r="Q5303" s="53">
        <v>-1</v>
      </c>
      <c r="R5303" s="54">
        <f t="shared" si="121"/>
        <v>0</v>
      </c>
      <c r="S5303" s="70">
        <v>202303</v>
      </c>
      <c r="T5303" s="56" t="s">
        <v>7068</v>
      </c>
      <c r="U5303" s="57"/>
      <c r="V5303" s="407"/>
      <c r="W5303" s="408"/>
      <c r="X5303" s="51"/>
      <c r="Y5303" s="51"/>
    </row>
    <row r="5304" s="10" customFormat="1" customHeight="1" spans="1:25">
      <c r="A5304" s="42" t="s">
        <v>401</v>
      </c>
      <c r="B5304" s="43" t="s">
        <v>6236</v>
      </c>
      <c r="C5304" s="43" t="s">
        <v>169</v>
      </c>
      <c r="D5304" s="43" t="s">
        <v>6905</v>
      </c>
      <c r="E5304" s="44" t="s">
        <v>7062</v>
      </c>
      <c r="F5304" s="42" t="s">
        <v>7063</v>
      </c>
      <c r="G5304" s="42" t="s">
        <v>31</v>
      </c>
      <c r="H5304" s="45" t="s">
        <v>7064</v>
      </c>
      <c r="I5304" s="47" t="e">
        <f>VLOOKUP(H5304,'合同综合查询数据（3月返）'!$A:$A,1,FALSE)</f>
        <v>#N/A</v>
      </c>
      <c r="J5304" s="48" t="s">
        <v>33</v>
      </c>
      <c r="K5304" s="42" t="s">
        <v>171</v>
      </c>
      <c r="L5304" s="49" t="s">
        <v>7065</v>
      </c>
      <c r="M5304" s="50" t="s">
        <v>7066</v>
      </c>
      <c r="N5304" s="51">
        <v>44166</v>
      </c>
      <c r="O5304" s="51" t="s">
        <v>37</v>
      </c>
      <c r="P5304" s="52">
        <v>0</v>
      </c>
      <c r="Q5304" s="53">
        <v>256</v>
      </c>
      <c r="R5304" s="54">
        <f t="shared" si="121"/>
        <v>0</v>
      </c>
      <c r="S5304" s="70">
        <v>202303</v>
      </c>
      <c r="T5304" s="56" t="s">
        <v>7069</v>
      </c>
      <c r="U5304" s="57"/>
      <c r="V5304" s="407"/>
      <c r="W5304" s="408"/>
      <c r="X5304" s="51"/>
      <c r="Y5304" s="51"/>
    </row>
    <row r="5305" s="10" customFormat="1" customHeight="1" spans="1:25">
      <c r="A5305" s="42" t="s">
        <v>401</v>
      </c>
      <c r="B5305" s="43" t="s">
        <v>6236</v>
      </c>
      <c r="C5305" s="43" t="s">
        <v>169</v>
      </c>
      <c r="D5305" s="43" t="s">
        <v>6905</v>
      </c>
      <c r="E5305" s="44" t="s">
        <v>7062</v>
      </c>
      <c r="F5305" s="42" t="s">
        <v>7063</v>
      </c>
      <c r="G5305" s="42" t="s">
        <v>88</v>
      </c>
      <c r="H5305" s="45" t="s">
        <v>7064</v>
      </c>
      <c r="I5305" s="47" t="e">
        <f>VLOOKUP(H5305,'合同综合查询数据（3月返）'!$A:$A,1,FALSE)</f>
        <v>#N/A</v>
      </c>
      <c r="J5305" s="48" t="s">
        <v>126</v>
      </c>
      <c r="K5305" s="42" t="s">
        <v>7070</v>
      </c>
      <c r="L5305" s="42" t="s">
        <v>7065</v>
      </c>
      <c r="M5305" s="50" t="s">
        <v>7066</v>
      </c>
      <c r="N5305" s="51">
        <v>44622</v>
      </c>
      <c r="O5305" s="51" t="s">
        <v>127</v>
      </c>
      <c r="P5305" s="52">
        <v>0</v>
      </c>
      <c r="Q5305" s="53">
        <v>2</v>
      </c>
      <c r="R5305" s="54">
        <f t="shared" si="121"/>
        <v>0</v>
      </c>
      <c r="S5305" s="70">
        <v>202303</v>
      </c>
      <c r="T5305" s="56" t="s">
        <v>7071</v>
      </c>
      <c r="U5305" s="57"/>
      <c r="V5305" s="407"/>
      <c r="W5305" s="406"/>
      <c r="X5305" s="51"/>
      <c r="Y5305" s="51"/>
    </row>
    <row r="5306" s="10" customFormat="1" customHeight="1" spans="1:25">
      <c r="A5306" s="42" t="s">
        <v>401</v>
      </c>
      <c r="B5306" s="43" t="s">
        <v>6236</v>
      </c>
      <c r="C5306" s="43" t="s">
        <v>169</v>
      </c>
      <c r="D5306" s="43" t="s">
        <v>6905</v>
      </c>
      <c r="E5306" s="44" t="s">
        <v>7062</v>
      </c>
      <c r="F5306" s="42" t="s">
        <v>7063</v>
      </c>
      <c r="G5306" s="42" t="s">
        <v>31</v>
      </c>
      <c r="H5306" s="45" t="s">
        <v>7064</v>
      </c>
      <c r="I5306" s="47" t="e">
        <f>VLOOKUP(H5306,'合同综合查询数据（3月返）'!$A:$A,1,FALSE)</f>
        <v>#N/A</v>
      </c>
      <c r="J5306" s="48" t="s">
        <v>33</v>
      </c>
      <c r="K5306" s="42" t="s">
        <v>7070</v>
      </c>
      <c r="L5306" s="49" t="s">
        <v>7070</v>
      </c>
      <c r="M5306" s="50" t="s">
        <v>7066</v>
      </c>
      <c r="N5306" s="51">
        <v>44622</v>
      </c>
      <c r="O5306" s="51" t="s">
        <v>37</v>
      </c>
      <c r="P5306" s="52">
        <v>0</v>
      </c>
      <c r="Q5306" s="53">
        <v>128</v>
      </c>
      <c r="R5306" s="54">
        <f t="shared" si="121"/>
        <v>0</v>
      </c>
      <c r="S5306" s="70">
        <v>202303</v>
      </c>
      <c r="T5306" s="56" t="s">
        <v>7072</v>
      </c>
      <c r="U5306" s="57"/>
      <c r="V5306" s="407"/>
      <c r="W5306" s="406"/>
      <c r="X5306" s="51"/>
      <c r="Y5306" s="51"/>
    </row>
    <row r="5307" s="10" customFormat="1" customHeight="1" spans="1:25">
      <c r="A5307" s="42" t="s">
        <v>401</v>
      </c>
      <c r="B5307" s="43" t="s">
        <v>6236</v>
      </c>
      <c r="C5307" s="43" t="s">
        <v>169</v>
      </c>
      <c r="D5307" s="43" t="s">
        <v>6905</v>
      </c>
      <c r="E5307" s="44" t="s">
        <v>7062</v>
      </c>
      <c r="F5307" s="42" t="s">
        <v>7063</v>
      </c>
      <c r="G5307" s="42" t="s">
        <v>31</v>
      </c>
      <c r="H5307" s="45" t="s">
        <v>7064</v>
      </c>
      <c r="I5307" s="47" t="e">
        <f>VLOOKUP(H5307,'合同综合查询数据（3月返）'!$A:$A,1,FALSE)</f>
        <v>#N/A</v>
      </c>
      <c r="J5307" s="48" t="s">
        <v>33</v>
      </c>
      <c r="K5307" s="42" t="s">
        <v>7070</v>
      </c>
      <c r="L5307" s="49" t="s">
        <v>7070</v>
      </c>
      <c r="M5307" s="50" t="s">
        <v>7066</v>
      </c>
      <c r="N5307" s="51">
        <v>44805</v>
      </c>
      <c r="O5307" s="51" t="s">
        <v>37</v>
      </c>
      <c r="P5307" s="52">
        <v>0</v>
      </c>
      <c r="Q5307" s="53">
        <v>-128</v>
      </c>
      <c r="R5307" s="54">
        <f t="shared" si="121"/>
        <v>0</v>
      </c>
      <c r="S5307" s="70">
        <v>202303</v>
      </c>
      <c r="T5307" s="56" t="s">
        <v>7072</v>
      </c>
      <c r="U5307" s="57"/>
      <c r="V5307" s="407"/>
      <c r="W5307" s="406"/>
      <c r="X5307" s="51"/>
      <c r="Y5307" s="51"/>
    </row>
    <row r="5308" s="9" customFormat="1" customHeight="1" spans="1:25">
      <c r="A5308" s="17" t="s">
        <v>401</v>
      </c>
      <c r="B5308" s="17" t="s">
        <v>6937</v>
      </c>
      <c r="C5308" s="17" t="s">
        <v>204</v>
      </c>
      <c r="D5308" s="17" t="s">
        <v>6905</v>
      </c>
      <c r="E5308" s="401" t="s">
        <v>7073</v>
      </c>
      <c r="F5308" s="17" t="s">
        <v>7074</v>
      </c>
      <c r="G5308" s="109" t="s">
        <v>88</v>
      </c>
      <c r="H5308" s="100" t="s">
        <v>7075</v>
      </c>
      <c r="I5308" s="23" t="e">
        <f>VLOOKUP(H5308,'合同综合查询数据（3月返）'!$A:$A,1,FALSE)</f>
        <v>#N/A</v>
      </c>
      <c r="J5308" s="152" t="s">
        <v>126</v>
      </c>
      <c r="K5308" s="17" t="s">
        <v>4584</v>
      </c>
      <c r="L5308" s="109" t="s">
        <v>7076</v>
      </c>
      <c r="M5308" s="26" t="s">
        <v>7077</v>
      </c>
      <c r="N5308" s="28">
        <v>42748</v>
      </c>
      <c r="O5308" s="28" t="s">
        <v>624</v>
      </c>
      <c r="P5308" s="403">
        <v>2800</v>
      </c>
      <c r="Q5308" s="35">
        <v>4</v>
      </c>
      <c r="R5308" s="409">
        <f t="shared" si="121"/>
        <v>11200</v>
      </c>
      <c r="S5308" s="117">
        <v>202303</v>
      </c>
      <c r="T5308" s="215" t="s">
        <v>7078</v>
      </c>
      <c r="U5308" s="215"/>
      <c r="V5308" s="398"/>
      <c r="W5308" s="122"/>
      <c r="X5308" s="28">
        <v>44531</v>
      </c>
      <c r="Y5308" s="28">
        <v>45260</v>
      </c>
    </row>
    <row r="5309" s="9" customFormat="1" customHeight="1" spans="1:25">
      <c r="A5309" s="17" t="s">
        <v>401</v>
      </c>
      <c r="B5309" s="17" t="s">
        <v>6937</v>
      </c>
      <c r="C5309" s="17" t="s">
        <v>204</v>
      </c>
      <c r="D5309" s="17" t="s">
        <v>6905</v>
      </c>
      <c r="E5309" s="401" t="s">
        <v>7073</v>
      </c>
      <c r="F5309" s="17" t="s">
        <v>7074</v>
      </c>
      <c r="G5309" s="109" t="s">
        <v>88</v>
      </c>
      <c r="H5309" s="100" t="s">
        <v>7075</v>
      </c>
      <c r="I5309" s="23" t="e">
        <f>VLOOKUP(H5309,'合同综合查询数据（3月返）'!$A:$A,1,FALSE)</f>
        <v>#N/A</v>
      </c>
      <c r="J5309" s="152" t="s">
        <v>126</v>
      </c>
      <c r="K5309" s="17" t="s">
        <v>4584</v>
      </c>
      <c r="L5309" s="109" t="s">
        <v>7076</v>
      </c>
      <c r="M5309" s="26" t="s">
        <v>7077</v>
      </c>
      <c r="N5309" s="28">
        <v>43930</v>
      </c>
      <c r="O5309" s="28" t="s">
        <v>624</v>
      </c>
      <c r="P5309" s="403">
        <v>2800</v>
      </c>
      <c r="Q5309" s="35">
        <v>-4</v>
      </c>
      <c r="R5309" s="410">
        <f t="shared" si="121"/>
        <v>-11200</v>
      </c>
      <c r="S5309" s="117">
        <v>202303</v>
      </c>
      <c r="T5309" s="215" t="s">
        <v>7078</v>
      </c>
      <c r="U5309" s="215"/>
      <c r="V5309" s="398"/>
      <c r="W5309" s="122"/>
      <c r="X5309" s="28">
        <v>44531</v>
      </c>
      <c r="Y5309" s="28">
        <v>45260</v>
      </c>
    </row>
    <row r="5310" s="9" customFormat="1" customHeight="1" spans="1:25">
      <c r="A5310" s="17" t="s">
        <v>401</v>
      </c>
      <c r="B5310" s="17" t="s">
        <v>6937</v>
      </c>
      <c r="C5310" s="17" t="s">
        <v>204</v>
      </c>
      <c r="D5310" s="17" t="s">
        <v>6905</v>
      </c>
      <c r="E5310" s="401" t="s">
        <v>7073</v>
      </c>
      <c r="F5310" s="17" t="s">
        <v>7074</v>
      </c>
      <c r="G5310" s="109" t="s">
        <v>88</v>
      </c>
      <c r="H5310" s="100" t="s">
        <v>7075</v>
      </c>
      <c r="I5310" s="23" t="e">
        <f>VLOOKUP(H5310,'合同综合查询数据（3月返）'!$A:$A,1,FALSE)</f>
        <v>#N/A</v>
      </c>
      <c r="J5310" s="152" t="s">
        <v>126</v>
      </c>
      <c r="K5310" s="17" t="s">
        <v>4584</v>
      </c>
      <c r="L5310" s="109" t="s">
        <v>7076</v>
      </c>
      <c r="M5310" s="26" t="s">
        <v>7077</v>
      </c>
      <c r="N5310" s="28">
        <v>43592</v>
      </c>
      <c r="O5310" s="28" t="s">
        <v>624</v>
      </c>
      <c r="P5310" s="403">
        <v>2800</v>
      </c>
      <c r="Q5310" s="35">
        <v>2</v>
      </c>
      <c r="R5310" s="110">
        <f t="shared" si="121"/>
        <v>5600</v>
      </c>
      <c r="S5310" s="117">
        <v>202303</v>
      </c>
      <c r="T5310" s="215" t="s">
        <v>7079</v>
      </c>
      <c r="U5310" s="215"/>
      <c r="V5310" s="398"/>
      <c r="W5310" s="122"/>
      <c r="X5310" s="28">
        <v>44531</v>
      </c>
      <c r="Y5310" s="28">
        <v>45260</v>
      </c>
    </row>
    <row r="5311" s="9" customFormat="1" customHeight="1" spans="1:25">
      <c r="A5311" s="17" t="s">
        <v>401</v>
      </c>
      <c r="B5311" s="17" t="s">
        <v>6937</v>
      </c>
      <c r="C5311" s="17" t="s">
        <v>204</v>
      </c>
      <c r="D5311" s="17" t="s">
        <v>6905</v>
      </c>
      <c r="E5311" s="401" t="s">
        <v>7073</v>
      </c>
      <c r="F5311" s="17" t="s">
        <v>7074</v>
      </c>
      <c r="G5311" s="109" t="s">
        <v>88</v>
      </c>
      <c r="H5311" s="100" t="s">
        <v>7075</v>
      </c>
      <c r="I5311" s="23" t="e">
        <f>VLOOKUP(H5311,'合同综合查询数据（3月返）'!$A:$A,1,FALSE)</f>
        <v>#N/A</v>
      </c>
      <c r="J5311" s="152" t="s">
        <v>126</v>
      </c>
      <c r="K5311" s="17" t="s">
        <v>4584</v>
      </c>
      <c r="L5311" s="109" t="s">
        <v>7076</v>
      </c>
      <c r="M5311" s="26" t="s">
        <v>7077</v>
      </c>
      <c r="N5311" s="28">
        <v>43929</v>
      </c>
      <c r="O5311" s="28" t="s">
        <v>624</v>
      </c>
      <c r="P5311" s="403">
        <v>2800</v>
      </c>
      <c r="Q5311" s="35">
        <v>2</v>
      </c>
      <c r="R5311" s="410">
        <f t="shared" si="121"/>
        <v>5600</v>
      </c>
      <c r="S5311" s="117">
        <v>202303</v>
      </c>
      <c r="T5311" s="215" t="s">
        <v>7080</v>
      </c>
      <c r="U5311" s="215"/>
      <c r="V5311" s="398"/>
      <c r="W5311" s="122"/>
      <c r="X5311" s="28">
        <v>44531</v>
      </c>
      <c r="Y5311" s="28">
        <v>45260</v>
      </c>
    </row>
    <row r="5312" s="9" customFormat="1" customHeight="1" spans="1:25">
      <c r="A5312" s="17" t="s">
        <v>401</v>
      </c>
      <c r="B5312" s="17" t="s">
        <v>6937</v>
      </c>
      <c r="C5312" s="17" t="s">
        <v>204</v>
      </c>
      <c r="D5312" s="17" t="s">
        <v>6905</v>
      </c>
      <c r="E5312" s="401" t="s">
        <v>7073</v>
      </c>
      <c r="F5312" s="17" t="s">
        <v>7074</v>
      </c>
      <c r="G5312" s="109" t="s">
        <v>88</v>
      </c>
      <c r="H5312" s="100" t="s">
        <v>7075</v>
      </c>
      <c r="I5312" s="23" t="e">
        <f>VLOOKUP(H5312,'合同综合查询数据（3月返）'!$A:$A,1,FALSE)</f>
        <v>#N/A</v>
      </c>
      <c r="J5312" s="152" t="s">
        <v>126</v>
      </c>
      <c r="K5312" s="17" t="s">
        <v>4584</v>
      </c>
      <c r="L5312" s="109" t="s">
        <v>7076</v>
      </c>
      <c r="M5312" s="26" t="s">
        <v>7077</v>
      </c>
      <c r="N5312" s="28">
        <v>43934</v>
      </c>
      <c r="O5312" s="28" t="s">
        <v>624</v>
      </c>
      <c r="P5312" s="403">
        <v>2800</v>
      </c>
      <c r="Q5312" s="35">
        <v>1</v>
      </c>
      <c r="R5312" s="410">
        <f t="shared" si="121"/>
        <v>2800</v>
      </c>
      <c r="S5312" s="117">
        <v>202303</v>
      </c>
      <c r="T5312" s="215" t="s">
        <v>7081</v>
      </c>
      <c r="U5312" s="215"/>
      <c r="V5312" s="398"/>
      <c r="W5312" s="122"/>
      <c r="X5312" s="28">
        <v>44531</v>
      </c>
      <c r="Y5312" s="28">
        <v>45260</v>
      </c>
    </row>
    <row r="5313" s="9" customFormat="1" customHeight="1" spans="1:25">
      <c r="A5313" s="17" t="s">
        <v>401</v>
      </c>
      <c r="B5313" s="17" t="s">
        <v>6937</v>
      </c>
      <c r="C5313" s="17" t="s">
        <v>204</v>
      </c>
      <c r="D5313" s="17" t="s">
        <v>6905</v>
      </c>
      <c r="E5313" s="401" t="s">
        <v>7073</v>
      </c>
      <c r="F5313" s="17" t="s">
        <v>7074</v>
      </c>
      <c r="G5313" s="109" t="s">
        <v>88</v>
      </c>
      <c r="H5313" s="100" t="s">
        <v>7075</v>
      </c>
      <c r="I5313" s="23" t="e">
        <f>VLOOKUP(H5313,'合同综合查询数据（3月返）'!$A:$A,1,FALSE)</f>
        <v>#N/A</v>
      </c>
      <c r="J5313" s="152" t="s">
        <v>126</v>
      </c>
      <c r="K5313" s="17" t="s">
        <v>4584</v>
      </c>
      <c r="L5313" s="109" t="s">
        <v>7076</v>
      </c>
      <c r="M5313" s="26" t="s">
        <v>7077</v>
      </c>
      <c r="N5313" s="28">
        <v>44712</v>
      </c>
      <c r="O5313" s="28" t="s">
        <v>624</v>
      </c>
      <c r="P5313" s="403">
        <v>2800</v>
      </c>
      <c r="Q5313" s="35">
        <v>-1</v>
      </c>
      <c r="R5313" s="410">
        <f t="shared" si="121"/>
        <v>-2800</v>
      </c>
      <c r="S5313" s="117">
        <v>202303</v>
      </c>
      <c r="T5313" s="215" t="s">
        <v>7081</v>
      </c>
      <c r="U5313" s="215"/>
      <c r="V5313" s="398"/>
      <c r="W5313" s="122"/>
      <c r="X5313" s="28">
        <v>44531</v>
      </c>
      <c r="Y5313" s="28">
        <v>45260</v>
      </c>
    </row>
    <row r="5314" s="9" customFormat="1" customHeight="1" spans="1:25">
      <c r="A5314" s="17" t="s">
        <v>401</v>
      </c>
      <c r="B5314" s="17" t="s">
        <v>6937</v>
      </c>
      <c r="C5314" s="17" t="s">
        <v>204</v>
      </c>
      <c r="D5314" s="17" t="s">
        <v>6905</v>
      </c>
      <c r="E5314" s="401" t="s">
        <v>7073</v>
      </c>
      <c r="F5314" s="17" t="s">
        <v>7074</v>
      </c>
      <c r="G5314" s="109" t="s">
        <v>31</v>
      </c>
      <c r="H5314" s="100" t="s">
        <v>7075</v>
      </c>
      <c r="I5314" s="23" t="e">
        <f>VLOOKUP(H5314,'合同综合查询数据（3月返）'!$A:$A,1,FALSE)</f>
        <v>#N/A</v>
      </c>
      <c r="J5314" s="16" t="s">
        <v>33</v>
      </c>
      <c r="K5314" s="17" t="s">
        <v>4584</v>
      </c>
      <c r="L5314" s="17" t="s">
        <v>7076</v>
      </c>
      <c r="M5314" s="26"/>
      <c r="N5314" s="28">
        <v>42748</v>
      </c>
      <c r="O5314" s="28" t="s">
        <v>37</v>
      </c>
      <c r="P5314" s="411">
        <v>0</v>
      </c>
      <c r="Q5314" s="35">
        <f>384-128</f>
        <v>256</v>
      </c>
      <c r="R5314" s="110">
        <f t="shared" si="121"/>
        <v>0</v>
      </c>
      <c r="S5314" s="117">
        <v>202303</v>
      </c>
      <c r="T5314" s="215" t="s">
        <v>7082</v>
      </c>
      <c r="U5314" s="215"/>
      <c r="V5314" s="398"/>
      <c r="W5314" s="122"/>
      <c r="X5314" s="28">
        <v>44531</v>
      </c>
      <c r="Y5314" s="28">
        <v>45260</v>
      </c>
    </row>
    <row r="5315" s="9" customFormat="1" customHeight="1" spans="1:25">
      <c r="A5315" s="17" t="s">
        <v>401</v>
      </c>
      <c r="B5315" s="17" t="s">
        <v>6937</v>
      </c>
      <c r="C5315" s="17" t="s">
        <v>204</v>
      </c>
      <c r="D5315" s="17" t="s">
        <v>6905</v>
      </c>
      <c r="E5315" s="401" t="s">
        <v>7073</v>
      </c>
      <c r="F5315" s="17" t="s">
        <v>7074</v>
      </c>
      <c r="G5315" s="109" t="s">
        <v>31</v>
      </c>
      <c r="H5315" s="100" t="s">
        <v>7075</v>
      </c>
      <c r="I5315" s="23" t="e">
        <f>VLOOKUP(H5315,'合同综合查询数据（3月返）'!$A:$A,1,FALSE)</f>
        <v>#N/A</v>
      </c>
      <c r="J5315" s="16" t="s">
        <v>33</v>
      </c>
      <c r="K5315" s="17" t="s">
        <v>7076</v>
      </c>
      <c r="L5315" s="17" t="s">
        <v>7076</v>
      </c>
      <c r="M5315" s="26"/>
      <c r="N5315" s="28">
        <v>44176</v>
      </c>
      <c r="O5315" s="28" t="s">
        <v>37</v>
      </c>
      <c r="P5315" s="110">
        <v>35</v>
      </c>
      <c r="Q5315" s="35">
        <f>128+128</f>
        <v>256</v>
      </c>
      <c r="R5315" s="410">
        <f t="shared" si="121"/>
        <v>8960</v>
      </c>
      <c r="S5315" s="117">
        <v>202303</v>
      </c>
      <c r="T5315" s="215" t="s">
        <v>7082</v>
      </c>
      <c r="U5315" s="215"/>
      <c r="V5315" s="398"/>
      <c r="W5315" s="414"/>
      <c r="X5315" s="28">
        <v>44531</v>
      </c>
      <c r="Y5315" s="28">
        <v>45260</v>
      </c>
    </row>
    <row r="5316" s="10" customFormat="1" customHeight="1" spans="1:25">
      <c r="A5316" s="43" t="s">
        <v>401</v>
      </c>
      <c r="B5316" s="43" t="s">
        <v>6937</v>
      </c>
      <c r="C5316" s="42" t="s">
        <v>283</v>
      </c>
      <c r="D5316" s="43" t="s">
        <v>6905</v>
      </c>
      <c r="E5316" s="395" t="s">
        <v>7083</v>
      </c>
      <c r="F5316" s="43" t="s">
        <v>7084</v>
      </c>
      <c r="G5316" s="138" t="s">
        <v>88</v>
      </c>
      <c r="H5316" s="45" t="s">
        <v>7085</v>
      </c>
      <c r="I5316" s="47" t="e">
        <f>VLOOKUP(H5316,'合同综合查询数据（3月返）'!$A:$A,1,FALSE)</f>
        <v>#N/A</v>
      </c>
      <c r="J5316" s="65" t="s">
        <v>1033</v>
      </c>
      <c r="K5316" s="43" t="s">
        <v>7086</v>
      </c>
      <c r="L5316" s="138" t="s">
        <v>7087</v>
      </c>
      <c r="M5316" s="50" t="s">
        <v>7088</v>
      </c>
      <c r="N5316" s="51">
        <v>41466</v>
      </c>
      <c r="O5316" s="51" t="s">
        <v>3267</v>
      </c>
      <c r="P5316" s="396">
        <v>4000</v>
      </c>
      <c r="Q5316" s="53">
        <v>13</v>
      </c>
      <c r="R5316" s="141">
        <f t="shared" si="121"/>
        <v>52000</v>
      </c>
      <c r="S5316" s="70">
        <v>202303</v>
      </c>
      <c r="T5316" s="167" t="s">
        <v>7089</v>
      </c>
      <c r="U5316" s="167"/>
      <c r="V5316" s="399"/>
      <c r="W5316" s="146"/>
      <c r="X5316" s="51"/>
      <c r="Y5316" s="51"/>
    </row>
    <row r="5317" s="10" customFormat="1" customHeight="1" spans="1:25">
      <c r="A5317" s="43" t="s">
        <v>401</v>
      </c>
      <c r="B5317" s="43" t="s">
        <v>6937</v>
      </c>
      <c r="C5317" s="42" t="s">
        <v>283</v>
      </c>
      <c r="D5317" s="43" t="s">
        <v>6905</v>
      </c>
      <c r="E5317" s="395" t="s">
        <v>7083</v>
      </c>
      <c r="F5317" s="43" t="s">
        <v>7084</v>
      </c>
      <c r="G5317" s="138" t="s">
        <v>88</v>
      </c>
      <c r="H5317" s="45" t="s">
        <v>7085</v>
      </c>
      <c r="I5317" s="47" t="e">
        <f>VLOOKUP(H5317,'合同综合查询数据（3月返）'!$A:$A,1,FALSE)</f>
        <v>#N/A</v>
      </c>
      <c r="J5317" s="65" t="s">
        <v>1033</v>
      </c>
      <c r="K5317" s="43" t="s">
        <v>7086</v>
      </c>
      <c r="L5317" s="138" t="s">
        <v>7087</v>
      </c>
      <c r="M5317" s="50" t="s">
        <v>7088</v>
      </c>
      <c r="N5317" s="51">
        <v>43769</v>
      </c>
      <c r="O5317" s="51" t="s">
        <v>3267</v>
      </c>
      <c r="P5317" s="396">
        <v>4000</v>
      </c>
      <c r="Q5317" s="53">
        <v>-10</v>
      </c>
      <c r="R5317" s="141">
        <f t="shared" si="121"/>
        <v>-40000</v>
      </c>
      <c r="S5317" s="70">
        <v>202303</v>
      </c>
      <c r="T5317" s="167" t="s">
        <v>7090</v>
      </c>
      <c r="U5317" s="167"/>
      <c r="V5317" s="399"/>
      <c r="W5317" s="146"/>
      <c r="X5317" s="51"/>
      <c r="Y5317" s="51"/>
    </row>
    <row r="5318" s="10" customFormat="1" customHeight="1" spans="1:25">
      <c r="A5318" s="43" t="s">
        <v>401</v>
      </c>
      <c r="B5318" s="43" t="s">
        <v>6937</v>
      </c>
      <c r="C5318" s="42" t="s">
        <v>283</v>
      </c>
      <c r="D5318" s="43" t="s">
        <v>6905</v>
      </c>
      <c r="E5318" s="395" t="s">
        <v>7083</v>
      </c>
      <c r="F5318" s="43" t="s">
        <v>7084</v>
      </c>
      <c r="G5318" s="138" t="s">
        <v>31</v>
      </c>
      <c r="H5318" s="45" t="s">
        <v>7085</v>
      </c>
      <c r="I5318" s="47" t="e">
        <f>VLOOKUP(H5318,'合同综合查询数据（3月返）'!$A:$A,1,FALSE)</f>
        <v>#N/A</v>
      </c>
      <c r="J5318" s="65" t="s">
        <v>1019</v>
      </c>
      <c r="K5318" s="43" t="s">
        <v>7086</v>
      </c>
      <c r="L5318" s="138" t="s">
        <v>7087</v>
      </c>
      <c r="M5318" s="50"/>
      <c r="N5318" s="51">
        <v>41466</v>
      </c>
      <c r="O5318" s="51" t="s">
        <v>37</v>
      </c>
      <c r="P5318" s="396">
        <v>50</v>
      </c>
      <c r="Q5318" s="53">
        <v>416</v>
      </c>
      <c r="R5318" s="141">
        <f t="shared" si="121"/>
        <v>20800</v>
      </c>
      <c r="S5318" s="70">
        <v>202303</v>
      </c>
      <c r="T5318" s="167" t="s">
        <v>7091</v>
      </c>
      <c r="U5318" s="167"/>
      <c r="V5318" s="399"/>
      <c r="W5318" s="146"/>
      <c r="X5318" s="51"/>
      <c r="Y5318" s="51"/>
    </row>
    <row r="5319" s="10" customFormat="1" customHeight="1" spans="1:25">
      <c r="A5319" s="43" t="s">
        <v>401</v>
      </c>
      <c r="B5319" s="43" t="s">
        <v>6937</v>
      </c>
      <c r="C5319" s="42" t="s">
        <v>283</v>
      </c>
      <c r="D5319" s="43" t="s">
        <v>6905</v>
      </c>
      <c r="E5319" s="395" t="s">
        <v>7083</v>
      </c>
      <c r="F5319" s="43" t="s">
        <v>7084</v>
      </c>
      <c r="G5319" s="138" t="s">
        <v>31</v>
      </c>
      <c r="H5319" s="45" t="s">
        <v>7085</v>
      </c>
      <c r="I5319" s="47" t="e">
        <f>VLOOKUP(H5319,'合同综合查询数据（3月返）'!$A:$A,1,FALSE)</f>
        <v>#N/A</v>
      </c>
      <c r="J5319" s="65" t="s">
        <v>1019</v>
      </c>
      <c r="K5319" s="43" t="s">
        <v>7086</v>
      </c>
      <c r="L5319" s="138" t="s">
        <v>7087</v>
      </c>
      <c r="M5319" s="50"/>
      <c r="N5319" s="51">
        <v>41466</v>
      </c>
      <c r="O5319" s="51" t="s">
        <v>37</v>
      </c>
      <c r="P5319" s="396">
        <v>0</v>
      </c>
      <c r="Q5319" s="53">
        <v>192</v>
      </c>
      <c r="R5319" s="141">
        <f t="shared" si="121"/>
        <v>0</v>
      </c>
      <c r="S5319" s="70">
        <v>202303</v>
      </c>
      <c r="T5319" s="167" t="s">
        <v>7092</v>
      </c>
      <c r="U5319" s="167"/>
      <c r="V5319" s="399"/>
      <c r="W5319" s="146"/>
      <c r="X5319" s="51"/>
      <c r="Y5319" s="51"/>
    </row>
    <row r="5320" s="10" customFormat="1" customHeight="1" spans="1:25">
      <c r="A5320" s="43" t="s">
        <v>401</v>
      </c>
      <c r="B5320" s="43" t="s">
        <v>6937</v>
      </c>
      <c r="C5320" s="42" t="s">
        <v>283</v>
      </c>
      <c r="D5320" s="43" t="s">
        <v>6905</v>
      </c>
      <c r="E5320" s="395" t="s">
        <v>7083</v>
      </c>
      <c r="F5320" s="43" t="s">
        <v>7084</v>
      </c>
      <c r="G5320" s="138" t="s">
        <v>88</v>
      </c>
      <c r="H5320" s="45" t="s">
        <v>7085</v>
      </c>
      <c r="I5320" s="47" t="e">
        <f>VLOOKUP(H5320,'合同综合查询数据（3月返）'!$A:$A,1,FALSE)</f>
        <v>#N/A</v>
      </c>
      <c r="J5320" s="65" t="s">
        <v>126</v>
      </c>
      <c r="K5320" s="43" t="s">
        <v>7093</v>
      </c>
      <c r="L5320" s="138" t="s">
        <v>7094</v>
      </c>
      <c r="M5320" s="50" t="s">
        <v>7095</v>
      </c>
      <c r="N5320" s="51">
        <v>43188</v>
      </c>
      <c r="O5320" s="51" t="s">
        <v>624</v>
      </c>
      <c r="P5320" s="396">
        <v>833</v>
      </c>
      <c r="Q5320" s="53">
        <v>10</v>
      </c>
      <c r="R5320" s="141">
        <f t="shared" si="121"/>
        <v>8330</v>
      </c>
      <c r="S5320" s="70">
        <v>202303</v>
      </c>
      <c r="T5320" s="167" t="s">
        <v>7096</v>
      </c>
      <c r="U5320" s="167"/>
      <c r="V5320" s="399"/>
      <c r="W5320" s="146"/>
      <c r="X5320" s="51"/>
      <c r="Y5320" s="51"/>
    </row>
    <row r="5321" s="10" customFormat="1" customHeight="1" spans="1:25">
      <c r="A5321" s="43" t="s">
        <v>401</v>
      </c>
      <c r="B5321" s="43" t="s">
        <v>6937</v>
      </c>
      <c r="C5321" s="42" t="s">
        <v>283</v>
      </c>
      <c r="D5321" s="43" t="s">
        <v>6905</v>
      </c>
      <c r="E5321" s="395" t="s">
        <v>7083</v>
      </c>
      <c r="F5321" s="43" t="s">
        <v>7084</v>
      </c>
      <c r="G5321" s="138" t="s">
        <v>88</v>
      </c>
      <c r="H5321" s="45" t="s">
        <v>7085</v>
      </c>
      <c r="I5321" s="47" t="e">
        <f>VLOOKUP(H5321,'合同综合查询数据（3月返）'!$A:$A,1,FALSE)</f>
        <v>#N/A</v>
      </c>
      <c r="J5321" s="65" t="s">
        <v>126</v>
      </c>
      <c r="K5321" s="43" t="s">
        <v>7093</v>
      </c>
      <c r="L5321" s="138" t="s">
        <v>7094</v>
      </c>
      <c r="M5321" s="50" t="s">
        <v>7095</v>
      </c>
      <c r="N5321" s="51">
        <v>44712</v>
      </c>
      <c r="O5321" s="51" t="s">
        <v>624</v>
      </c>
      <c r="P5321" s="396">
        <v>833</v>
      </c>
      <c r="Q5321" s="53">
        <v>-10</v>
      </c>
      <c r="R5321" s="141">
        <f t="shared" si="121"/>
        <v>-8330</v>
      </c>
      <c r="S5321" s="70">
        <v>202303</v>
      </c>
      <c r="T5321" s="167" t="s">
        <v>7096</v>
      </c>
      <c r="U5321" s="167"/>
      <c r="V5321" s="399"/>
      <c r="W5321" s="146"/>
      <c r="X5321" s="51"/>
      <c r="Y5321" s="51"/>
    </row>
    <row r="5322" s="10" customFormat="1" customHeight="1" spans="1:25">
      <c r="A5322" s="43" t="s">
        <v>401</v>
      </c>
      <c r="B5322" s="43" t="s">
        <v>6937</v>
      </c>
      <c r="C5322" s="42" t="s">
        <v>283</v>
      </c>
      <c r="D5322" s="43" t="s">
        <v>6905</v>
      </c>
      <c r="E5322" s="395" t="s">
        <v>7083</v>
      </c>
      <c r="F5322" s="43" t="s">
        <v>7084</v>
      </c>
      <c r="G5322" s="138" t="s">
        <v>31</v>
      </c>
      <c r="H5322" s="45" t="s">
        <v>7085</v>
      </c>
      <c r="I5322" s="47" t="e">
        <f>VLOOKUP(H5322,'合同综合查询数据（3月返）'!$A:$A,1,FALSE)</f>
        <v>#N/A</v>
      </c>
      <c r="J5322" s="42" t="s">
        <v>33</v>
      </c>
      <c r="K5322" s="43" t="s">
        <v>7093</v>
      </c>
      <c r="L5322" s="138" t="s">
        <v>7094</v>
      </c>
      <c r="M5322" s="50" t="s">
        <v>7094</v>
      </c>
      <c r="N5322" s="51">
        <v>43188</v>
      </c>
      <c r="O5322" s="51" t="s">
        <v>37</v>
      </c>
      <c r="P5322" s="396">
        <v>0</v>
      </c>
      <c r="Q5322" s="53">
        <v>256</v>
      </c>
      <c r="R5322" s="141">
        <f t="shared" si="121"/>
        <v>0</v>
      </c>
      <c r="S5322" s="70">
        <v>202303</v>
      </c>
      <c r="T5322" s="167" t="s">
        <v>7097</v>
      </c>
      <c r="U5322" s="167"/>
      <c r="V5322" s="399"/>
      <c r="W5322" s="146"/>
      <c r="X5322" s="51"/>
      <c r="Y5322" s="51"/>
    </row>
    <row r="5323" s="10" customFormat="1" customHeight="1" spans="1:25">
      <c r="A5323" s="43" t="s">
        <v>401</v>
      </c>
      <c r="B5323" s="43" t="s">
        <v>6937</v>
      </c>
      <c r="C5323" s="42" t="s">
        <v>283</v>
      </c>
      <c r="D5323" s="43" t="s">
        <v>6905</v>
      </c>
      <c r="E5323" s="395" t="s">
        <v>7083</v>
      </c>
      <c r="F5323" s="43" t="s">
        <v>7084</v>
      </c>
      <c r="G5323" s="138" t="s">
        <v>31</v>
      </c>
      <c r="H5323" s="45" t="s">
        <v>7085</v>
      </c>
      <c r="I5323" s="47" t="e">
        <f>VLOOKUP(H5323,'合同综合查询数据（3月返）'!$A:$A,1,FALSE)</f>
        <v>#N/A</v>
      </c>
      <c r="J5323" s="42" t="s">
        <v>33</v>
      </c>
      <c r="K5323" s="43" t="s">
        <v>7093</v>
      </c>
      <c r="L5323" s="138" t="s">
        <v>7094</v>
      </c>
      <c r="M5323" s="50" t="s">
        <v>7094</v>
      </c>
      <c r="N5323" s="51">
        <v>44712</v>
      </c>
      <c r="O5323" s="51" t="s">
        <v>37</v>
      </c>
      <c r="P5323" s="396">
        <v>0</v>
      </c>
      <c r="Q5323" s="53">
        <v>-256</v>
      </c>
      <c r="R5323" s="141">
        <f t="shared" si="121"/>
        <v>0</v>
      </c>
      <c r="S5323" s="70">
        <v>202303</v>
      </c>
      <c r="T5323" s="167" t="s">
        <v>7097</v>
      </c>
      <c r="U5323" s="167"/>
      <c r="V5323" s="399"/>
      <c r="W5323" s="146"/>
      <c r="X5323" s="51"/>
      <c r="Y5323" s="51"/>
    </row>
    <row r="5324" s="10" customFormat="1" customHeight="1" spans="1:25">
      <c r="A5324" s="43" t="s">
        <v>401</v>
      </c>
      <c r="B5324" s="43" t="s">
        <v>6937</v>
      </c>
      <c r="C5324" s="42" t="s">
        <v>283</v>
      </c>
      <c r="D5324" s="43" t="s">
        <v>6905</v>
      </c>
      <c r="E5324" s="395" t="s">
        <v>7083</v>
      </c>
      <c r="F5324" s="43" t="s">
        <v>7084</v>
      </c>
      <c r="G5324" s="138" t="s">
        <v>88</v>
      </c>
      <c r="H5324" s="45" t="s">
        <v>7085</v>
      </c>
      <c r="I5324" s="47" t="e">
        <f>VLOOKUP(H5324,'合同综合查询数据（3月返）'!$A:$A,1,FALSE)</f>
        <v>#N/A</v>
      </c>
      <c r="J5324" s="65" t="s">
        <v>126</v>
      </c>
      <c r="K5324" s="43" t="s">
        <v>7098</v>
      </c>
      <c r="L5324" s="138" t="s">
        <v>7099</v>
      </c>
      <c r="M5324" s="50" t="s">
        <v>7100</v>
      </c>
      <c r="N5324" s="51">
        <v>43185</v>
      </c>
      <c r="O5324" s="51" t="s">
        <v>624</v>
      </c>
      <c r="P5324" s="396">
        <v>833</v>
      </c>
      <c r="Q5324" s="53">
        <v>7</v>
      </c>
      <c r="R5324" s="141">
        <f t="shared" si="121"/>
        <v>5831</v>
      </c>
      <c r="S5324" s="70">
        <v>202303</v>
      </c>
      <c r="T5324" s="167" t="s">
        <v>7101</v>
      </c>
      <c r="U5324" s="167"/>
      <c r="V5324" s="399"/>
      <c r="W5324" s="146"/>
      <c r="X5324" s="51"/>
      <c r="Y5324" s="51"/>
    </row>
    <row r="5325" s="10" customFormat="1" customHeight="1" spans="1:25">
      <c r="A5325" s="43" t="s">
        <v>401</v>
      </c>
      <c r="B5325" s="43" t="s">
        <v>6937</v>
      </c>
      <c r="C5325" s="42" t="s">
        <v>283</v>
      </c>
      <c r="D5325" s="43" t="s">
        <v>6905</v>
      </c>
      <c r="E5325" s="395" t="s">
        <v>7083</v>
      </c>
      <c r="F5325" s="43" t="s">
        <v>7084</v>
      </c>
      <c r="G5325" s="138" t="s">
        <v>88</v>
      </c>
      <c r="H5325" s="45" t="s">
        <v>7085</v>
      </c>
      <c r="I5325" s="47" t="e">
        <f>VLOOKUP(H5325,'合同综合查询数据（3月返）'!$A:$A,1,FALSE)</f>
        <v>#N/A</v>
      </c>
      <c r="J5325" s="65" t="s">
        <v>126</v>
      </c>
      <c r="K5325" s="43" t="s">
        <v>7098</v>
      </c>
      <c r="L5325" s="138" t="s">
        <v>7099</v>
      </c>
      <c r="M5325" s="50" t="s">
        <v>7100</v>
      </c>
      <c r="N5325" s="51">
        <v>44561</v>
      </c>
      <c r="O5325" s="51" t="s">
        <v>624</v>
      </c>
      <c r="P5325" s="396">
        <v>833</v>
      </c>
      <c r="Q5325" s="53">
        <v>-7</v>
      </c>
      <c r="R5325" s="141">
        <f t="shared" si="121"/>
        <v>-5831</v>
      </c>
      <c r="S5325" s="70">
        <v>202303</v>
      </c>
      <c r="T5325" s="167" t="s">
        <v>7102</v>
      </c>
      <c r="U5325" s="167"/>
      <c r="V5325" s="399"/>
      <c r="W5325" s="146"/>
      <c r="X5325" s="51"/>
      <c r="Y5325" s="51"/>
    </row>
    <row r="5326" s="10" customFormat="1" customHeight="1" spans="1:25">
      <c r="A5326" s="43" t="s">
        <v>401</v>
      </c>
      <c r="B5326" s="43" t="s">
        <v>6937</v>
      </c>
      <c r="C5326" s="42" t="s">
        <v>283</v>
      </c>
      <c r="D5326" s="43" t="s">
        <v>6905</v>
      </c>
      <c r="E5326" s="395" t="s">
        <v>7083</v>
      </c>
      <c r="F5326" s="43" t="s">
        <v>7084</v>
      </c>
      <c r="G5326" s="138" t="s">
        <v>31</v>
      </c>
      <c r="H5326" s="45" t="s">
        <v>7085</v>
      </c>
      <c r="I5326" s="47" t="e">
        <f>VLOOKUP(H5326,'合同综合查询数据（3月返）'!$A:$A,1,FALSE)</f>
        <v>#N/A</v>
      </c>
      <c r="J5326" s="42" t="s">
        <v>33</v>
      </c>
      <c r="K5326" s="43" t="s">
        <v>7098</v>
      </c>
      <c r="L5326" s="138" t="s">
        <v>7099</v>
      </c>
      <c r="M5326" s="50" t="s">
        <v>7100</v>
      </c>
      <c r="N5326" s="51">
        <v>43185</v>
      </c>
      <c r="O5326" s="51" t="s">
        <v>37</v>
      </c>
      <c r="P5326" s="396">
        <v>0</v>
      </c>
      <c r="Q5326" s="53">
        <v>288</v>
      </c>
      <c r="R5326" s="141">
        <f t="shared" si="121"/>
        <v>0</v>
      </c>
      <c r="S5326" s="70">
        <v>202303</v>
      </c>
      <c r="T5326" s="167" t="s">
        <v>7103</v>
      </c>
      <c r="U5326" s="167"/>
      <c r="V5326" s="399"/>
      <c r="W5326" s="146"/>
      <c r="X5326" s="51"/>
      <c r="Y5326" s="51"/>
    </row>
    <row r="5327" s="10" customFormat="1" customHeight="1" spans="1:25">
      <c r="A5327" s="43" t="s">
        <v>401</v>
      </c>
      <c r="B5327" s="43" t="s">
        <v>6937</v>
      </c>
      <c r="C5327" s="42" t="s">
        <v>283</v>
      </c>
      <c r="D5327" s="43" t="s">
        <v>6905</v>
      </c>
      <c r="E5327" s="395" t="s">
        <v>7083</v>
      </c>
      <c r="F5327" s="43" t="s">
        <v>7084</v>
      </c>
      <c r="G5327" s="138" t="s">
        <v>31</v>
      </c>
      <c r="H5327" s="45" t="s">
        <v>7085</v>
      </c>
      <c r="I5327" s="47" t="e">
        <f>VLOOKUP(H5327,'合同综合查询数据（3月返）'!$A:$A,1,FALSE)</f>
        <v>#N/A</v>
      </c>
      <c r="J5327" s="42" t="s">
        <v>33</v>
      </c>
      <c r="K5327" s="43" t="s">
        <v>7098</v>
      </c>
      <c r="L5327" s="138" t="s">
        <v>7099</v>
      </c>
      <c r="M5327" s="50" t="s">
        <v>7100</v>
      </c>
      <c r="N5327" s="51">
        <v>44561</v>
      </c>
      <c r="O5327" s="51" t="s">
        <v>37</v>
      </c>
      <c r="P5327" s="396">
        <v>0</v>
      </c>
      <c r="Q5327" s="53">
        <v>-288</v>
      </c>
      <c r="R5327" s="141">
        <f t="shared" si="121"/>
        <v>0</v>
      </c>
      <c r="S5327" s="70">
        <v>202303</v>
      </c>
      <c r="T5327" s="167" t="s">
        <v>7104</v>
      </c>
      <c r="U5327" s="167"/>
      <c r="V5327" s="399"/>
      <c r="W5327" s="146"/>
      <c r="X5327" s="51"/>
      <c r="Y5327" s="51"/>
    </row>
    <row r="5328" s="10" customFormat="1" customHeight="1" spans="1:25">
      <c r="A5328" s="43" t="s">
        <v>401</v>
      </c>
      <c r="B5328" s="43" t="s">
        <v>6937</v>
      </c>
      <c r="C5328" s="42" t="s">
        <v>283</v>
      </c>
      <c r="D5328" s="43" t="s">
        <v>6905</v>
      </c>
      <c r="E5328" s="395" t="s">
        <v>7083</v>
      </c>
      <c r="F5328" s="43" t="s">
        <v>7084</v>
      </c>
      <c r="G5328" s="138" t="s">
        <v>88</v>
      </c>
      <c r="H5328" s="45" t="s">
        <v>7085</v>
      </c>
      <c r="I5328" s="47" t="e">
        <f>VLOOKUP(H5328,'合同综合查询数据（3月返）'!$A:$A,1,FALSE)</f>
        <v>#N/A</v>
      </c>
      <c r="J5328" s="65" t="s">
        <v>126</v>
      </c>
      <c r="K5328" s="43" t="s">
        <v>7105</v>
      </c>
      <c r="L5328" s="138" t="s">
        <v>7106</v>
      </c>
      <c r="M5328" s="50" t="s">
        <v>7088</v>
      </c>
      <c r="N5328" s="51">
        <v>43337</v>
      </c>
      <c r="O5328" s="51" t="s">
        <v>3267</v>
      </c>
      <c r="P5328" s="396">
        <v>4000</v>
      </c>
      <c r="Q5328" s="53">
        <v>2</v>
      </c>
      <c r="R5328" s="141">
        <f t="shared" si="121"/>
        <v>8000</v>
      </c>
      <c r="S5328" s="70">
        <v>202303</v>
      </c>
      <c r="T5328" s="167" t="s">
        <v>7107</v>
      </c>
      <c r="U5328" s="167"/>
      <c r="V5328" s="399"/>
      <c r="W5328" s="146"/>
      <c r="X5328" s="51"/>
      <c r="Y5328" s="51"/>
    </row>
    <row r="5329" s="10" customFormat="1" customHeight="1" spans="1:25">
      <c r="A5329" s="43" t="s">
        <v>401</v>
      </c>
      <c r="B5329" s="43" t="s">
        <v>6937</v>
      </c>
      <c r="C5329" s="42" t="s">
        <v>283</v>
      </c>
      <c r="D5329" s="43" t="s">
        <v>6905</v>
      </c>
      <c r="E5329" s="395" t="s">
        <v>7083</v>
      </c>
      <c r="F5329" s="43" t="s">
        <v>7084</v>
      </c>
      <c r="G5329" s="138" t="s">
        <v>88</v>
      </c>
      <c r="H5329" s="45" t="s">
        <v>7085</v>
      </c>
      <c r="I5329" s="47" t="e">
        <f>VLOOKUP(H5329,'合同综合查询数据（3月返）'!$A:$A,1,FALSE)</f>
        <v>#N/A</v>
      </c>
      <c r="J5329" s="65" t="s">
        <v>126</v>
      </c>
      <c r="K5329" s="43" t="s">
        <v>7105</v>
      </c>
      <c r="L5329" s="138" t="s">
        <v>7106</v>
      </c>
      <c r="M5329" s="50" t="s">
        <v>7088</v>
      </c>
      <c r="N5329" s="51">
        <v>43337</v>
      </c>
      <c r="O5329" s="51" t="s">
        <v>3267</v>
      </c>
      <c r="P5329" s="396">
        <v>4000</v>
      </c>
      <c r="Q5329" s="53">
        <v>4</v>
      </c>
      <c r="R5329" s="141">
        <f t="shared" si="121"/>
        <v>16000</v>
      </c>
      <c r="S5329" s="70">
        <v>202303</v>
      </c>
      <c r="T5329" s="167" t="s">
        <v>7108</v>
      </c>
      <c r="U5329" s="167"/>
      <c r="V5329" s="399"/>
      <c r="W5329" s="146"/>
      <c r="X5329" s="51"/>
      <c r="Y5329" s="51"/>
    </row>
    <row r="5330" s="10" customFormat="1" customHeight="1" spans="1:25">
      <c r="A5330" s="43" t="s">
        <v>401</v>
      </c>
      <c r="B5330" s="43" t="s">
        <v>6937</v>
      </c>
      <c r="C5330" s="42" t="s">
        <v>283</v>
      </c>
      <c r="D5330" s="42" t="s">
        <v>6905</v>
      </c>
      <c r="E5330" s="395" t="s">
        <v>7083</v>
      </c>
      <c r="F5330" s="43" t="s">
        <v>7084</v>
      </c>
      <c r="G5330" s="138" t="s">
        <v>88</v>
      </c>
      <c r="H5330" s="45" t="s">
        <v>7085</v>
      </c>
      <c r="I5330" s="47" t="e">
        <f>VLOOKUP(H5330,'合同综合查询数据（3月返）'!$A:$A,1,FALSE)</f>
        <v>#N/A</v>
      </c>
      <c r="J5330" s="65" t="s">
        <v>126</v>
      </c>
      <c r="K5330" s="43" t="s">
        <v>7105</v>
      </c>
      <c r="L5330" s="138" t="s">
        <v>7106</v>
      </c>
      <c r="M5330" s="50" t="s">
        <v>7088</v>
      </c>
      <c r="N5330" s="51">
        <v>44337</v>
      </c>
      <c r="O5330" s="138" t="s">
        <v>3267</v>
      </c>
      <c r="P5330" s="396">
        <v>4000</v>
      </c>
      <c r="Q5330" s="53">
        <v>-3</v>
      </c>
      <c r="R5330" s="54">
        <f>ROUND(Q5330*P5330,2)</f>
        <v>-12000</v>
      </c>
      <c r="S5330" s="70">
        <v>202303</v>
      </c>
      <c r="T5330" s="142" t="s">
        <v>7109</v>
      </c>
      <c r="U5330" s="139"/>
      <c r="V5330" s="399"/>
      <c r="W5330" s="146"/>
      <c r="X5330" s="51"/>
      <c r="Y5330" s="51"/>
    </row>
    <row r="5331" s="10" customFormat="1" customHeight="1" spans="1:25">
      <c r="A5331" s="43" t="s">
        <v>401</v>
      </c>
      <c r="B5331" s="43" t="s">
        <v>6937</v>
      </c>
      <c r="C5331" s="42" t="s">
        <v>283</v>
      </c>
      <c r="D5331" s="42" t="s">
        <v>6905</v>
      </c>
      <c r="E5331" s="395" t="s">
        <v>7083</v>
      </c>
      <c r="F5331" s="43" t="s">
        <v>7084</v>
      </c>
      <c r="G5331" s="138" t="s">
        <v>88</v>
      </c>
      <c r="H5331" s="45" t="s">
        <v>7085</v>
      </c>
      <c r="I5331" s="47" t="e">
        <f>VLOOKUP(H5331,'合同综合查询数据（3月返）'!$A:$A,1,FALSE)</f>
        <v>#N/A</v>
      </c>
      <c r="J5331" s="65" t="s">
        <v>126</v>
      </c>
      <c r="K5331" s="43" t="s">
        <v>7105</v>
      </c>
      <c r="L5331" s="138" t="s">
        <v>7106</v>
      </c>
      <c r="M5331" s="50" t="s">
        <v>7088</v>
      </c>
      <c r="N5331" s="51">
        <v>44742</v>
      </c>
      <c r="O5331" s="138" t="s">
        <v>3267</v>
      </c>
      <c r="P5331" s="396">
        <v>4000</v>
      </c>
      <c r="Q5331" s="53">
        <v>-3</v>
      </c>
      <c r="R5331" s="54">
        <f>ROUND(Q5331*P5331,2)</f>
        <v>-12000</v>
      </c>
      <c r="S5331" s="70">
        <v>202303</v>
      </c>
      <c r="T5331" s="142" t="s">
        <v>7110</v>
      </c>
      <c r="U5331" s="139"/>
      <c r="V5331" s="399"/>
      <c r="W5331" s="146"/>
      <c r="X5331" s="51"/>
      <c r="Y5331" s="51"/>
    </row>
    <row r="5332" s="10" customFormat="1" customHeight="1" spans="1:25">
      <c r="A5332" s="43" t="s">
        <v>401</v>
      </c>
      <c r="B5332" s="43" t="s">
        <v>6937</v>
      </c>
      <c r="C5332" s="42" t="s">
        <v>283</v>
      </c>
      <c r="D5332" s="43" t="s">
        <v>6905</v>
      </c>
      <c r="E5332" s="395" t="s">
        <v>7083</v>
      </c>
      <c r="F5332" s="43" t="s">
        <v>7084</v>
      </c>
      <c r="G5332" s="138" t="s">
        <v>31</v>
      </c>
      <c r="H5332" s="45" t="s">
        <v>7085</v>
      </c>
      <c r="I5332" s="47" t="e">
        <f>VLOOKUP(H5332,'合同综合查询数据（3月返）'!$A:$A,1,FALSE)</f>
        <v>#N/A</v>
      </c>
      <c r="J5332" s="42" t="s">
        <v>33</v>
      </c>
      <c r="K5332" s="43" t="s">
        <v>7111</v>
      </c>
      <c r="L5332" s="138" t="s">
        <v>7106</v>
      </c>
      <c r="M5332" s="50" t="s">
        <v>7088</v>
      </c>
      <c r="N5332" s="51">
        <v>43337</v>
      </c>
      <c r="O5332" s="51" t="s">
        <v>37</v>
      </c>
      <c r="P5332" s="396">
        <v>0</v>
      </c>
      <c r="Q5332" s="53">
        <v>288</v>
      </c>
      <c r="R5332" s="141">
        <f t="shared" ref="R5332:R5395" si="122">ROUND(P5332*Q5332,2)</f>
        <v>0</v>
      </c>
      <c r="S5332" s="70">
        <v>202303</v>
      </c>
      <c r="T5332" s="167" t="s">
        <v>7112</v>
      </c>
      <c r="U5332" s="139"/>
      <c r="V5332" s="399"/>
      <c r="W5332" s="146"/>
      <c r="X5332" s="51"/>
      <c r="Y5332" s="51"/>
    </row>
    <row r="5333" s="10" customFormat="1" customHeight="1" spans="1:25">
      <c r="A5333" s="43" t="s">
        <v>401</v>
      </c>
      <c r="B5333" s="43" t="s">
        <v>6937</v>
      </c>
      <c r="C5333" s="42" t="s">
        <v>283</v>
      </c>
      <c r="D5333" s="43" t="s">
        <v>6905</v>
      </c>
      <c r="E5333" s="395" t="s">
        <v>7083</v>
      </c>
      <c r="F5333" s="43" t="s">
        <v>7084</v>
      </c>
      <c r="G5333" s="138" t="s">
        <v>31</v>
      </c>
      <c r="H5333" s="45" t="s">
        <v>7085</v>
      </c>
      <c r="I5333" s="47" t="e">
        <f>VLOOKUP(H5333,'合同综合查询数据（3月返）'!$A:$A,1,FALSE)</f>
        <v>#N/A</v>
      </c>
      <c r="J5333" s="42" t="s">
        <v>33</v>
      </c>
      <c r="K5333" s="43" t="s">
        <v>7111</v>
      </c>
      <c r="L5333" s="138" t="s">
        <v>7106</v>
      </c>
      <c r="M5333" s="50" t="s">
        <v>7088</v>
      </c>
      <c r="N5333" s="51">
        <v>44742</v>
      </c>
      <c r="O5333" s="51" t="s">
        <v>37</v>
      </c>
      <c r="P5333" s="396">
        <v>0</v>
      </c>
      <c r="Q5333" s="53">
        <v>-288</v>
      </c>
      <c r="R5333" s="141">
        <f t="shared" si="122"/>
        <v>0</v>
      </c>
      <c r="S5333" s="70">
        <v>202303</v>
      </c>
      <c r="T5333" s="167" t="s">
        <v>7112</v>
      </c>
      <c r="U5333" s="139"/>
      <c r="V5333" s="399"/>
      <c r="W5333" s="146"/>
      <c r="X5333" s="51"/>
      <c r="Y5333" s="51"/>
    </row>
    <row r="5334" s="10" customFormat="1" customHeight="1" spans="1:25">
      <c r="A5334" s="43" t="s">
        <v>401</v>
      </c>
      <c r="B5334" s="43" t="s">
        <v>6937</v>
      </c>
      <c r="C5334" s="42" t="s">
        <v>283</v>
      </c>
      <c r="D5334" s="43" t="s">
        <v>6905</v>
      </c>
      <c r="E5334" s="395" t="s">
        <v>7083</v>
      </c>
      <c r="F5334" s="43" t="s">
        <v>7084</v>
      </c>
      <c r="G5334" s="138" t="s">
        <v>88</v>
      </c>
      <c r="H5334" s="45" t="s">
        <v>7085</v>
      </c>
      <c r="I5334" s="47" t="e">
        <f>VLOOKUP(H5334,'合同综合查询数据（3月返）'!$A:$A,1,FALSE)</f>
        <v>#N/A</v>
      </c>
      <c r="J5334" s="65" t="s">
        <v>126</v>
      </c>
      <c r="K5334" s="43" t="s">
        <v>4376</v>
      </c>
      <c r="L5334" s="138" t="s">
        <v>7113</v>
      </c>
      <c r="M5334" s="50" t="s">
        <v>7114</v>
      </c>
      <c r="N5334" s="51">
        <v>43337</v>
      </c>
      <c r="O5334" s="51" t="s">
        <v>624</v>
      </c>
      <c r="P5334" s="396">
        <v>833</v>
      </c>
      <c r="Q5334" s="53">
        <v>7</v>
      </c>
      <c r="R5334" s="141">
        <f t="shared" si="122"/>
        <v>5831</v>
      </c>
      <c r="S5334" s="70">
        <v>202303</v>
      </c>
      <c r="T5334" s="167" t="s">
        <v>7115</v>
      </c>
      <c r="U5334" s="167"/>
      <c r="V5334" s="399"/>
      <c r="W5334" s="146"/>
      <c r="X5334" s="51"/>
      <c r="Y5334" s="51"/>
    </row>
    <row r="5335" s="10" customFormat="1" customHeight="1" spans="1:25">
      <c r="A5335" s="43" t="s">
        <v>401</v>
      </c>
      <c r="B5335" s="43" t="s">
        <v>6937</v>
      </c>
      <c r="C5335" s="42" t="s">
        <v>283</v>
      </c>
      <c r="D5335" s="43" t="s">
        <v>6905</v>
      </c>
      <c r="E5335" s="395" t="s">
        <v>7083</v>
      </c>
      <c r="F5335" s="43" t="s">
        <v>7084</v>
      </c>
      <c r="G5335" s="138" t="s">
        <v>88</v>
      </c>
      <c r="H5335" s="45" t="s">
        <v>7085</v>
      </c>
      <c r="I5335" s="47" t="e">
        <f>VLOOKUP(H5335,'合同综合查询数据（3月返）'!$A:$A,1,FALSE)</f>
        <v>#N/A</v>
      </c>
      <c r="J5335" s="65" t="s">
        <v>126</v>
      </c>
      <c r="K5335" s="43" t="s">
        <v>4376</v>
      </c>
      <c r="L5335" s="138" t="s">
        <v>7113</v>
      </c>
      <c r="M5335" s="50" t="s">
        <v>7114</v>
      </c>
      <c r="N5335" s="51">
        <v>44561</v>
      </c>
      <c r="O5335" s="51" t="s">
        <v>624</v>
      </c>
      <c r="P5335" s="396">
        <v>833</v>
      </c>
      <c r="Q5335" s="53">
        <v>-7</v>
      </c>
      <c r="R5335" s="141">
        <f t="shared" si="122"/>
        <v>-5831</v>
      </c>
      <c r="S5335" s="70">
        <v>202303</v>
      </c>
      <c r="T5335" s="167" t="s">
        <v>7116</v>
      </c>
      <c r="U5335" s="167"/>
      <c r="V5335" s="399"/>
      <c r="W5335" s="146"/>
      <c r="X5335" s="51"/>
      <c r="Y5335" s="51"/>
    </row>
    <row r="5336" s="10" customFormat="1" customHeight="1" spans="1:25">
      <c r="A5336" s="43" t="s">
        <v>401</v>
      </c>
      <c r="B5336" s="43" t="s">
        <v>6937</v>
      </c>
      <c r="C5336" s="42" t="s">
        <v>283</v>
      </c>
      <c r="D5336" s="43" t="s">
        <v>6905</v>
      </c>
      <c r="E5336" s="395" t="s">
        <v>7083</v>
      </c>
      <c r="F5336" s="43" t="s">
        <v>7084</v>
      </c>
      <c r="G5336" s="138" t="s">
        <v>31</v>
      </c>
      <c r="H5336" s="45" t="s">
        <v>7085</v>
      </c>
      <c r="I5336" s="47" t="e">
        <f>VLOOKUP(H5336,'合同综合查询数据（3月返）'!$A:$A,1,FALSE)</f>
        <v>#N/A</v>
      </c>
      <c r="J5336" s="42" t="s">
        <v>33</v>
      </c>
      <c r="K5336" s="43" t="s">
        <v>4376</v>
      </c>
      <c r="L5336" s="138" t="s">
        <v>7113</v>
      </c>
      <c r="M5336" s="50" t="s">
        <v>7114</v>
      </c>
      <c r="N5336" s="51">
        <v>43337</v>
      </c>
      <c r="O5336" s="51" t="s">
        <v>37</v>
      </c>
      <c r="P5336" s="396">
        <v>0</v>
      </c>
      <c r="Q5336" s="53">
        <v>288</v>
      </c>
      <c r="R5336" s="141">
        <f t="shared" si="122"/>
        <v>0</v>
      </c>
      <c r="S5336" s="70">
        <v>202303</v>
      </c>
      <c r="T5336" s="167" t="s">
        <v>7117</v>
      </c>
      <c r="U5336" s="167"/>
      <c r="V5336" s="399"/>
      <c r="W5336" s="146"/>
      <c r="X5336" s="51"/>
      <c r="Y5336" s="51"/>
    </row>
    <row r="5337" s="10" customFormat="1" customHeight="1" spans="1:25">
      <c r="A5337" s="43" t="s">
        <v>401</v>
      </c>
      <c r="B5337" s="43" t="s">
        <v>6937</v>
      </c>
      <c r="C5337" s="42" t="s">
        <v>283</v>
      </c>
      <c r="D5337" s="43" t="s">
        <v>6905</v>
      </c>
      <c r="E5337" s="395" t="s">
        <v>7083</v>
      </c>
      <c r="F5337" s="43" t="s">
        <v>7084</v>
      </c>
      <c r="G5337" s="138" t="s">
        <v>31</v>
      </c>
      <c r="H5337" s="45" t="s">
        <v>7085</v>
      </c>
      <c r="I5337" s="47" t="e">
        <f>VLOOKUP(H5337,'合同综合查询数据（3月返）'!$A:$A,1,FALSE)</f>
        <v>#N/A</v>
      </c>
      <c r="J5337" s="42" t="s">
        <v>33</v>
      </c>
      <c r="K5337" s="43" t="s">
        <v>4376</v>
      </c>
      <c r="L5337" s="138" t="s">
        <v>7113</v>
      </c>
      <c r="M5337" s="50" t="s">
        <v>7114</v>
      </c>
      <c r="N5337" s="51">
        <v>44561</v>
      </c>
      <c r="O5337" s="51" t="s">
        <v>37</v>
      </c>
      <c r="P5337" s="396">
        <v>0</v>
      </c>
      <c r="Q5337" s="53">
        <v>-288</v>
      </c>
      <c r="R5337" s="141">
        <f t="shared" si="122"/>
        <v>0</v>
      </c>
      <c r="S5337" s="70">
        <v>202303</v>
      </c>
      <c r="T5337" s="167" t="s">
        <v>7118</v>
      </c>
      <c r="U5337" s="167"/>
      <c r="V5337" s="399"/>
      <c r="W5337" s="146"/>
      <c r="X5337" s="51"/>
      <c r="Y5337" s="51"/>
    </row>
    <row r="5338" s="10" customFormat="1" customHeight="1" spans="1:25">
      <c r="A5338" s="43" t="s">
        <v>401</v>
      </c>
      <c r="B5338" s="43" t="s">
        <v>6937</v>
      </c>
      <c r="C5338" s="42" t="s">
        <v>283</v>
      </c>
      <c r="D5338" s="43" t="s">
        <v>6905</v>
      </c>
      <c r="E5338" s="395" t="s">
        <v>7083</v>
      </c>
      <c r="F5338" s="43" t="s">
        <v>7084</v>
      </c>
      <c r="G5338" s="138" t="s">
        <v>88</v>
      </c>
      <c r="H5338" s="45" t="s">
        <v>7085</v>
      </c>
      <c r="I5338" s="47" t="e">
        <f>VLOOKUP(H5338,'合同综合查询数据（3月返）'!$A:$A,1,FALSE)</f>
        <v>#N/A</v>
      </c>
      <c r="J5338" s="65" t="s">
        <v>126</v>
      </c>
      <c r="K5338" s="43" t="s">
        <v>7119</v>
      </c>
      <c r="L5338" s="43" t="s">
        <v>7120</v>
      </c>
      <c r="M5338" s="50" t="s">
        <v>7088</v>
      </c>
      <c r="N5338" s="51">
        <v>43497</v>
      </c>
      <c r="O5338" s="65" t="s">
        <v>3267</v>
      </c>
      <c r="P5338" s="396">
        <v>4000</v>
      </c>
      <c r="Q5338" s="53">
        <v>5</v>
      </c>
      <c r="R5338" s="141">
        <f t="shared" si="122"/>
        <v>20000</v>
      </c>
      <c r="S5338" s="70">
        <v>202303</v>
      </c>
      <c r="T5338" s="167" t="s">
        <v>7121</v>
      </c>
      <c r="U5338" s="167"/>
      <c r="V5338" s="399"/>
      <c r="W5338" s="146"/>
      <c r="X5338" s="51"/>
      <c r="Y5338" s="51"/>
    </row>
    <row r="5339" s="10" customFormat="1" customHeight="1" spans="1:25">
      <c r="A5339" s="43" t="s">
        <v>401</v>
      </c>
      <c r="B5339" s="43" t="s">
        <v>6937</v>
      </c>
      <c r="C5339" s="42" t="s">
        <v>283</v>
      </c>
      <c r="D5339" s="43" t="s">
        <v>6905</v>
      </c>
      <c r="E5339" s="395" t="s">
        <v>7083</v>
      </c>
      <c r="F5339" s="43" t="s">
        <v>7084</v>
      </c>
      <c r="G5339" s="138" t="s">
        <v>88</v>
      </c>
      <c r="H5339" s="45" t="s">
        <v>7085</v>
      </c>
      <c r="I5339" s="47" t="e">
        <f>VLOOKUP(H5339,'合同综合查询数据（3月返）'!$A:$A,1,FALSE)</f>
        <v>#N/A</v>
      </c>
      <c r="J5339" s="65" t="s">
        <v>126</v>
      </c>
      <c r="K5339" s="43" t="s">
        <v>7119</v>
      </c>
      <c r="L5339" s="43" t="s">
        <v>7120</v>
      </c>
      <c r="M5339" s="50" t="s">
        <v>7088</v>
      </c>
      <c r="N5339" s="51">
        <v>44727</v>
      </c>
      <c r="O5339" s="65" t="s">
        <v>3267</v>
      </c>
      <c r="P5339" s="396">
        <v>4000</v>
      </c>
      <c r="Q5339" s="53">
        <v>-2</v>
      </c>
      <c r="R5339" s="68">
        <f t="shared" si="122"/>
        <v>-8000</v>
      </c>
      <c r="S5339" s="70">
        <v>202303</v>
      </c>
      <c r="T5339" s="167" t="s">
        <v>7122</v>
      </c>
      <c r="U5339" s="167"/>
      <c r="V5339" s="399"/>
      <c r="W5339" s="146"/>
      <c r="X5339" s="51"/>
      <c r="Y5339" s="51"/>
    </row>
    <row r="5340" s="10" customFormat="1" customHeight="1" spans="1:25">
      <c r="A5340" s="43" t="s">
        <v>401</v>
      </c>
      <c r="B5340" s="43" t="s">
        <v>6937</v>
      </c>
      <c r="C5340" s="42" t="s">
        <v>283</v>
      </c>
      <c r="D5340" s="43" t="s">
        <v>6905</v>
      </c>
      <c r="E5340" s="395" t="s">
        <v>7083</v>
      </c>
      <c r="F5340" s="43" t="s">
        <v>7084</v>
      </c>
      <c r="G5340" s="138" t="s">
        <v>31</v>
      </c>
      <c r="H5340" s="45" t="s">
        <v>7085</v>
      </c>
      <c r="I5340" s="47" t="e">
        <f>VLOOKUP(H5340,'合同综合查询数据（3月返）'!$A:$A,1,FALSE)</f>
        <v>#N/A</v>
      </c>
      <c r="J5340" s="42" t="s">
        <v>33</v>
      </c>
      <c r="K5340" s="43" t="s">
        <v>7123</v>
      </c>
      <c r="L5340" s="43" t="s">
        <v>7120</v>
      </c>
      <c r="M5340" s="50" t="s">
        <v>7088</v>
      </c>
      <c r="N5340" s="51">
        <v>43497</v>
      </c>
      <c r="O5340" s="51" t="s">
        <v>37</v>
      </c>
      <c r="P5340" s="396">
        <v>0</v>
      </c>
      <c r="Q5340" s="53">
        <v>288</v>
      </c>
      <c r="R5340" s="141">
        <f t="shared" si="122"/>
        <v>0</v>
      </c>
      <c r="S5340" s="70">
        <v>202303</v>
      </c>
      <c r="T5340" s="167" t="s">
        <v>7124</v>
      </c>
      <c r="U5340" s="167"/>
      <c r="V5340" s="399"/>
      <c r="W5340" s="146"/>
      <c r="X5340" s="51"/>
      <c r="Y5340" s="51"/>
    </row>
    <row r="5341" s="10" customFormat="1" customHeight="1" spans="1:25">
      <c r="A5341" s="43" t="s">
        <v>401</v>
      </c>
      <c r="B5341" s="43" t="s">
        <v>6937</v>
      </c>
      <c r="C5341" s="42" t="s">
        <v>283</v>
      </c>
      <c r="D5341" s="43" t="s">
        <v>6905</v>
      </c>
      <c r="E5341" s="395" t="s">
        <v>7083</v>
      </c>
      <c r="F5341" s="43" t="s">
        <v>7084</v>
      </c>
      <c r="G5341" s="138" t="s">
        <v>88</v>
      </c>
      <c r="H5341" s="45" t="s">
        <v>7085</v>
      </c>
      <c r="I5341" s="47" t="e">
        <f>VLOOKUP(H5341,'合同综合查询数据（3月返）'!$A:$A,1,FALSE)</f>
        <v>#N/A</v>
      </c>
      <c r="J5341" s="65" t="s">
        <v>126</v>
      </c>
      <c r="K5341" s="43" t="s">
        <v>7119</v>
      </c>
      <c r="L5341" s="43" t="s">
        <v>7120</v>
      </c>
      <c r="M5341" s="50" t="s">
        <v>7088</v>
      </c>
      <c r="N5341" s="51">
        <v>43922</v>
      </c>
      <c r="O5341" s="65" t="s">
        <v>3267</v>
      </c>
      <c r="P5341" s="396">
        <v>4000</v>
      </c>
      <c r="Q5341" s="53">
        <v>2</v>
      </c>
      <c r="R5341" s="141">
        <f t="shared" si="122"/>
        <v>8000</v>
      </c>
      <c r="S5341" s="70">
        <v>202303</v>
      </c>
      <c r="T5341" s="167" t="s">
        <v>7125</v>
      </c>
      <c r="U5341" s="167"/>
      <c r="V5341" s="399"/>
      <c r="W5341" s="146"/>
      <c r="X5341" s="51"/>
      <c r="Y5341" s="51"/>
    </row>
    <row r="5342" s="10" customFormat="1" customHeight="1" spans="1:25">
      <c r="A5342" s="43" t="s">
        <v>401</v>
      </c>
      <c r="B5342" s="43" t="s">
        <v>6937</v>
      </c>
      <c r="C5342" s="42" t="s">
        <v>283</v>
      </c>
      <c r="D5342" s="43" t="s">
        <v>6905</v>
      </c>
      <c r="E5342" s="395" t="s">
        <v>7083</v>
      </c>
      <c r="F5342" s="43" t="s">
        <v>7084</v>
      </c>
      <c r="G5342" s="138" t="s">
        <v>31</v>
      </c>
      <c r="H5342" s="45" t="s">
        <v>7085</v>
      </c>
      <c r="I5342" s="47" t="e">
        <f>VLOOKUP(H5342,'合同综合查询数据（3月返）'!$A:$A,1,FALSE)</f>
        <v>#N/A</v>
      </c>
      <c r="J5342" s="42" t="s">
        <v>33</v>
      </c>
      <c r="K5342" s="43" t="s">
        <v>7123</v>
      </c>
      <c r="L5342" s="43" t="s">
        <v>7120</v>
      </c>
      <c r="M5342" s="50" t="s">
        <v>7088</v>
      </c>
      <c r="N5342" s="51">
        <v>43922</v>
      </c>
      <c r="O5342" s="51" t="s">
        <v>37</v>
      </c>
      <c r="P5342" s="396">
        <v>0</v>
      </c>
      <c r="Q5342" s="53">
        <v>128</v>
      </c>
      <c r="R5342" s="141">
        <f t="shared" si="122"/>
        <v>0</v>
      </c>
      <c r="S5342" s="70">
        <v>202303</v>
      </c>
      <c r="T5342" s="167" t="s">
        <v>7126</v>
      </c>
      <c r="U5342" s="167"/>
      <c r="V5342" s="399"/>
      <c r="W5342" s="146"/>
      <c r="X5342" s="51"/>
      <c r="Y5342" s="51"/>
    </row>
    <row r="5343" s="10" customFormat="1" customHeight="1" spans="1:25">
      <c r="A5343" s="43" t="s">
        <v>401</v>
      </c>
      <c r="B5343" s="43" t="s">
        <v>6937</v>
      </c>
      <c r="C5343" s="42" t="s">
        <v>283</v>
      </c>
      <c r="D5343" s="43" t="s">
        <v>6905</v>
      </c>
      <c r="E5343" s="395" t="s">
        <v>7083</v>
      </c>
      <c r="F5343" s="43" t="s">
        <v>7084</v>
      </c>
      <c r="G5343" s="138" t="s">
        <v>88</v>
      </c>
      <c r="H5343" s="45" t="s">
        <v>7085</v>
      </c>
      <c r="I5343" s="47" t="e">
        <f>VLOOKUP(H5343,'合同综合查询数据（3月返）'!$A:$A,1,FALSE)</f>
        <v>#N/A</v>
      </c>
      <c r="J5343" s="42" t="s">
        <v>126</v>
      </c>
      <c r="K5343" s="43" t="s">
        <v>7119</v>
      </c>
      <c r="L5343" s="43" t="s">
        <v>7120</v>
      </c>
      <c r="M5343" s="50" t="s">
        <v>7088</v>
      </c>
      <c r="N5343" s="51">
        <v>44400</v>
      </c>
      <c r="O5343" s="51" t="s">
        <v>3267</v>
      </c>
      <c r="P5343" s="396">
        <v>4000</v>
      </c>
      <c r="Q5343" s="53">
        <v>4</v>
      </c>
      <c r="R5343" s="54">
        <f t="shared" si="122"/>
        <v>16000</v>
      </c>
      <c r="S5343" s="70">
        <v>202303</v>
      </c>
      <c r="T5343" s="167" t="s">
        <v>7127</v>
      </c>
      <c r="U5343" s="167"/>
      <c r="V5343" s="399"/>
      <c r="W5343" s="146"/>
      <c r="X5343" s="51"/>
      <c r="Y5343" s="51"/>
    </row>
    <row r="5344" s="10" customFormat="1" customHeight="1" spans="1:25">
      <c r="A5344" s="43" t="s">
        <v>401</v>
      </c>
      <c r="B5344" s="43" t="s">
        <v>6937</v>
      </c>
      <c r="C5344" s="42" t="s">
        <v>283</v>
      </c>
      <c r="D5344" s="43" t="s">
        <v>6905</v>
      </c>
      <c r="E5344" s="395" t="s">
        <v>7083</v>
      </c>
      <c r="F5344" s="43" t="s">
        <v>7084</v>
      </c>
      <c r="G5344" s="138" t="s">
        <v>31</v>
      </c>
      <c r="H5344" s="45" t="s">
        <v>7085</v>
      </c>
      <c r="I5344" s="47" t="e">
        <f>VLOOKUP(H5344,'合同综合查询数据（3月返）'!$A:$A,1,FALSE)</f>
        <v>#N/A</v>
      </c>
      <c r="J5344" s="42" t="s">
        <v>33</v>
      </c>
      <c r="K5344" s="43" t="s">
        <v>7123</v>
      </c>
      <c r="L5344" s="43" t="s">
        <v>7120</v>
      </c>
      <c r="M5344" s="50" t="s">
        <v>7088</v>
      </c>
      <c r="N5344" s="51" t="s">
        <v>7128</v>
      </c>
      <c r="O5344" s="51" t="s">
        <v>37</v>
      </c>
      <c r="P5344" s="396">
        <v>0</v>
      </c>
      <c r="Q5344" s="53">
        <v>128</v>
      </c>
      <c r="R5344" s="53">
        <f t="shared" si="122"/>
        <v>0</v>
      </c>
      <c r="S5344" s="70">
        <v>202303</v>
      </c>
      <c r="T5344" s="167" t="s">
        <v>7129</v>
      </c>
      <c r="U5344" s="167"/>
      <c r="V5344" s="399"/>
      <c r="W5344" s="146"/>
      <c r="X5344" s="51"/>
      <c r="Y5344" s="51"/>
    </row>
    <row r="5345" s="10" customFormat="1" customHeight="1" spans="1:25">
      <c r="A5345" s="43" t="s">
        <v>401</v>
      </c>
      <c r="B5345" s="43" t="s">
        <v>6937</v>
      </c>
      <c r="C5345" s="42" t="s">
        <v>283</v>
      </c>
      <c r="D5345" s="43" t="s">
        <v>6905</v>
      </c>
      <c r="E5345" s="395" t="s">
        <v>7083</v>
      </c>
      <c r="F5345" s="43" t="s">
        <v>7084</v>
      </c>
      <c r="G5345" s="138" t="s">
        <v>88</v>
      </c>
      <c r="H5345" s="45" t="s">
        <v>7085</v>
      </c>
      <c r="I5345" s="47" t="e">
        <f>VLOOKUP(H5345,'合同综合查询数据（3月返）'!$A:$A,1,FALSE)</f>
        <v>#N/A</v>
      </c>
      <c r="J5345" s="65" t="s">
        <v>126</v>
      </c>
      <c r="K5345" s="43" t="s">
        <v>7120</v>
      </c>
      <c r="L5345" s="43" t="s">
        <v>7120</v>
      </c>
      <c r="M5345" s="50" t="s">
        <v>7088</v>
      </c>
      <c r="N5345" s="51">
        <v>44177</v>
      </c>
      <c r="O5345" s="65" t="s">
        <v>3267</v>
      </c>
      <c r="P5345" s="396">
        <v>4000</v>
      </c>
      <c r="Q5345" s="53">
        <v>1</v>
      </c>
      <c r="R5345" s="141">
        <f t="shared" si="122"/>
        <v>4000</v>
      </c>
      <c r="S5345" s="70">
        <v>202303</v>
      </c>
      <c r="T5345" s="167" t="s">
        <v>7130</v>
      </c>
      <c r="U5345" s="167"/>
      <c r="V5345" s="399"/>
      <c r="W5345" s="146"/>
      <c r="X5345" s="51"/>
      <c r="Y5345" s="51"/>
    </row>
    <row r="5346" s="10" customFormat="1" customHeight="1" spans="1:25">
      <c r="A5346" s="43" t="s">
        <v>401</v>
      </c>
      <c r="B5346" s="43" t="s">
        <v>6937</v>
      </c>
      <c r="C5346" s="42" t="s">
        <v>283</v>
      </c>
      <c r="D5346" s="43" t="s">
        <v>6905</v>
      </c>
      <c r="E5346" s="395" t="s">
        <v>7083</v>
      </c>
      <c r="F5346" s="43" t="s">
        <v>7084</v>
      </c>
      <c r="G5346" s="138" t="s">
        <v>31</v>
      </c>
      <c r="H5346" s="45" t="s">
        <v>7085</v>
      </c>
      <c r="I5346" s="47" t="e">
        <f>VLOOKUP(H5346,'合同综合查询数据（3月返）'!$A:$A,1,FALSE)</f>
        <v>#N/A</v>
      </c>
      <c r="J5346" s="65" t="s">
        <v>33</v>
      </c>
      <c r="K5346" s="43" t="s">
        <v>7120</v>
      </c>
      <c r="L5346" s="43" t="s">
        <v>7120</v>
      </c>
      <c r="M5346" s="50" t="s">
        <v>7088</v>
      </c>
      <c r="N5346" s="51">
        <v>44177</v>
      </c>
      <c r="O5346" s="51" t="s">
        <v>37</v>
      </c>
      <c r="P5346" s="396">
        <v>0</v>
      </c>
      <c r="Q5346" s="53">
        <v>128</v>
      </c>
      <c r="R5346" s="141">
        <f t="shared" si="122"/>
        <v>0</v>
      </c>
      <c r="S5346" s="70">
        <v>202303</v>
      </c>
      <c r="T5346" s="167" t="s">
        <v>7131</v>
      </c>
      <c r="U5346" s="167"/>
      <c r="V5346" s="399"/>
      <c r="W5346" s="146"/>
      <c r="X5346" s="51"/>
      <c r="Y5346" s="51"/>
    </row>
    <row r="5347" s="10" customFormat="1" customHeight="1" spans="1:25">
      <c r="A5347" s="43" t="s">
        <v>401</v>
      </c>
      <c r="B5347" s="43" t="s">
        <v>6937</v>
      </c>
      <c r="C5347" s="42" t="s">
        <v>283</v>
      </c>
      <c r="D5347" s="43" t="s">
        <v>6905</v>
      </c>
      <c r="E5347" s="395" t="s">
        <v>7083</v>
      </c>
      <c r="F5347" s="43" t="s">
        <v>7084</v>
      </c>
      <c r="G5347" s="138" t="s">
        <v>88</v>
      </c>
      <c r="H5347" s="45" t="s">
        <v>7085</v>
      </c>
      <c r="I5347" s="47" t="e">
        <f>VLOOKUP(H5347,'合同综合查询数据（3月返）'!$A:$A,1,FALSE)</f>
        <v>#N/A</v>
      </c>
      <c r="J5347" s="65" t="s">
        <v>126</v>
      </c>
      <c r="K5347" s="43" t="s">
        <v>7120</v>
      </c>
      <c r="L5347" s="43" t="s">
        <v>7120</v>
      </c>
      <c r="M5347" s="50" t="s">
        <v>7088</v>
      </c>
      <c r="N5347" s="51">
        <v>44278</v>
      </c>
      <c r="O5347" s="65" t="s">
        <v>3267</v>
      </c>
      <c r="P5347" s="396">
        <v>4000</v>
      </c>
      <c r="Q5347" s="53">
        <v>1</v>
      </c>
      <c r="R5347" s="141">
        <f t="shared" si="122"/>
        <v>4000</v>
      </c>
      <c r="S5347" s="70">
        <v>202303</v>
      </c>
      <c r="T5347" s="167" t="s">
        <v>7132</v>
      </c>
      <c r="U5347" s="167"/>
      <c r="V5347" s="399"/>
      <c r="W5347" s="146"/>
      <c r="X5347" s="51"/>
      <c r="Y5347" s="51"/>
    </row>
    <row r="5348" s="10" customFormat="1" customHeight="1" spans="1:25">
      <c r="A5348" s="43" t="s">
        <v>401</v>
      </c>
      <c r="B5348" s="43" t="s">
        <v>6937</v>
      </c>
      <c r="C5348" s="42" t="s">
        <v>283</v>
      </c>
      <c r="D5348" s="43" t="s">
        <v>6905</v>
      </c>
      <c r="E5348" s="395" t="s">
        <v>7083</v>
      </c>
      <c r="F5348" s="43" t="s">
        <v>7084</v>
      </c>
      <c r="G5348" s="138" t="s">
        <v>31</v>
      </c>
      <c r="H5348" s="45" t="s">
        <v>7085</v>
      </c>
      <c r="I5348" s="47" t="e">
        <f>VLOOKUP(H5348,'合同综合查询数据（3月返）'!$A:$A,1,FALSE)</f>
        <v>#N/A</v>
      </c>
      <c r="J5348" s="65" t="s">
        <v>33</v>
      </c>
      <c r="K5348" s="43" t="s">
        <v>7120</v>
      </c>
      <c r="L5348" s="43" t="s">
        <v>7120</v>
      </c>
      <c r="M5348" s="50" t="s">
        <v>7088</v>
      </c>
      <c r="N5348" s="51">
        <v>44278</v>
      </c>
      <c r="O5348" s="51" t="s">
        <v>37</v>
      </c>
      <c r="P5348" s="396">
        <v>0</v>
      </c>
      <c r="Q5348" s="53">
        <v>128</v>
      </c>
      <c r="R5348" s="141">
        <f t="shared" si="122"/>
        <v>0</v>
      </c>
      <c r="S5348" s="70">
        <v>202303</v>
      </c>
      <c r="T5348" s="167" t="s">
        <v>7133</v>
      </c>
      <c r="U5348" s="167"/>
      <c r="V5348" s="399"/>
      <c r="W5348" s="146"/>
      <c r="X5348" s="51"/>
      <c r="Y5348" s="51"/>
    </row>
    <row r="5349" s="10" customFormat="1" customHeight="1" spans="1:25">
      <c r="A5349" s="43" t="s">
        <v>401</v>
      </c>
      <c r="B5349" s="43" t="s">
        <v>6937</v>
      </c>
      <c r="C5349" s="42" t="s">
        <v>283</v>
      </c>
      <c r="D5349" s="43" t="s">
        <v>6905</v>
      </c>
      <c r="E5349" s="395" t="s">
        <v>7083</v>
      </c>
      <c r="F5349" s="43" t="s">
        <v>7084</v>
      </c>
      <c r="G5349" s="138" t="s">
        <v>31</v>
      </c>
      <c r="H5349" s="45" t="s">
        <v>7085</v>
      </c>
      <c r="I5349" s="47" t="e">
        <f>VLOOKUP(H5349,'合同综合查询数据（3月返）'!$A:$A,1,FALSE)</f>
        <v>#N/A</v>
      </c>
      <c r="J5349" s="42" t="s">
        <v>33</v>
      </c>
      <c r="K5349" s="43" t="s">
        <v>7123</v>
      </c>
      <c r="L5349" s="43" t="s">
        <v>7120</v>
      </c>
      <c r="M5349" s="50" t="s">
        <v>7088</v>
      </c>
      <c r="N5349" s="51">
        <v>44761</v>
      </c>
      <c r="O5349" s="51" t="s">
        <v>37</v>
      </c>
      <c r="P5349" s="396">
        <v>0</v>
      </c>
      <c r="Q5349" s="53">
        <v>-128</v>
      </c>
      <c r="R5349" s="141">
        <f t="shared" si="122"/>
        <v>0</v>
      </c>
      <c r="S5349" s="70">
        <v>202303</v>
      </c>
      <c r="T5349" s="167" t="s">
        <v>7134</v>
      </c>
      <c r="U5349" s="167"/>
      <c r="V5349" s="399"/>
      <c r="W5349" s="146"/>
      <c r="X5349" s="51"/>
      <c r="Y5349" s="51"/>
    </row>
    <row r="5350" s="10" customFormat="1" customHeight="1" spans="1:25">
      <c r="A5350" s="43" t="s">
        <v>401</v>
      </c>
      <c r="B5350" s="43" t="s">
        <v>6937</v>
      </c>
      <c r="C5350" s="43" t="s">
        <v>283</v>
      </c>
      <c r="D5350" s="43" t="s">
        <v>6905</v>
      </c>
      <c r="E5350" s="395" t="s">
        <v>7083</v>
      </c>
      <c r="F5350" s="43" t="s">
        <v>7135</v>
      </c>
      <c r="G5350" s="138" t="s">
        <v>88</v>
      </c>
      <c r="H5350" s="45" t="s">
        <v>7085</v>
      </c>
      <c r="I5350" s="47" t="e">
        <f>VLOOKUP(H5350,'合同综合查询数据（3月返）'!$A:$A,1,FALSE)</f>
        <v>#N/A</v>
      </c>
      <c r="J5350" s="65" t="s">
        <v>126</v>
      </c>
      <c r="K5350" s="43" t="s">
        <v>7136</v>
      </c>
      <c r="L5350" s="138" t="s">
        <v>7137</v>
      </c>
      <c r="M5350" s="50" t="s">
        <v>7138</v>
      </c>
      <c r="N5350" s="51">
        <v>43144</v>
      </c>
      <c r="O5350" s="51" t="s">
        <v>127</v>
      </c>
      <c r="P5350" s="412">
        <v>833</v>
      </c>
      <c r="Q5350" s="415">
        <v>10</v>
      </c>
      <c r="R5350" s="416">
        <f t="shared" si="122"/>
        <v>8330</v>
      </c>
      <c r="S5350" s="70">
        <v>202303</v>
      </c>
      <c r="T5350" s="167" t="s">
        <v>7139</v>
      </c>
      <c r="U5350" s="167"/>
      <c r="V5350" s="399"/>
      <c r="W5350" s="146"/>
      <c r="X5350" s="51"/>
      <c r="Y5350" s="51"/>
    </row>
    <row r="5351" s="10" customFormat="1" customHeight="1" spans="1:25">
      <c r="A5351" s="43" t="s">
        <v>401</v>
      </c>
      <c r="B5351" s="43" t="s">
        <v>6937</v>
      </c>
      <c r="C5351" s="43" t="s">
        <v>283</v>
      </c>
      <c r="D5351" s="43" t="s">
        <v>6905</v>
      </c>
      <c r="E5351" s="395" t="s">
        <v>7083</v>
      </c>
      <c r="F5351" s="43" t="s">
        <v>7135</v>
      </c>
      <c r="G5351" s="138" t="s">
        <v>88</v>
      </c>
      <c r="H5351" s="45" t="s">
        <v>7085</v>
      </c>
      <c r="I5351" s="47" t="e">
        <f>VLOOKUP(H5351,'合同综合查询数据（3月返）'!$A:$A,1,FALSE)</f>
        <v>#N/A</v>
      </c>
      <c r="J5351" s="65" t="s">
        <v>126</v>
      </c>
      <c r="K5351" s="43" t="s">
        <v>7136</v>
      </c>
      <c r="L5351" s="138" t="s">
        <v>7137</v>
      </c>
      <c r="M5351" s="50" t="s">
        <v>7138</v>
      </c>
      <c r="N5351" s="51">
        <v>44712</v>
      </c>
      <c r="O5351" s="51" t="s">
        <v>127</v>
      </c>
      <c r="P5351" s="412">
        <v>833</v>
      </c>
      <c r="Q5351" s="415">
        <v>-10</v>
      </c>
      <c r="R5351" s="416">
        <f t="shared" si="122"/>
        <v>-8330</v>
      </c>
      <c r="S5351" s="70">
        <v>202303</v>
      </c>
      <c r="T5351" s="167" t="s">
        <v>7139</v>
      </c>
      <c r="U5351" s="167"/>
      <c r="V5351" s="399"/>
      <c r="W5351" s="146"/>
      <c r="X5351" s="51"/>
      <c r="Y5351" s="51"/>
    </row>
    <row r="5352" s="10" customFormat="1" customHeight="1" spans="1:25">
      <c r="A5352" s="43" t="s">
        <v>401</v>
      </c>
      <c r="B5352" s="43" t="s">
        <v>6937</v>
      </c>
      <c r="C5352" s="43" t="s">
        <v>283</v>
      </c>
      <c r="D5352" s="43" t="s">
        <v>6905</v>
      </c>
      <c r="E5352" s="395" t="s">
        <v>7083</v>
      </c>
      <c r="F5352" s="43" t="s">
        <v>7135</v>
      </c>
      <c r="G5352" s="138" t="s">
        <v>31</v>
      </c>
      <c r="H5352" s="45" t="s">
        <v>7085</v>
      </c>
      <c r="I5352" s="47" t="e">
        <f>VLOOKUP(H5352,'合同综合查询数据（3月返）'!$A:$A,1,FALSE)</f>
        <v>#N/A</v>
      </c>
      <c r="J5352" s="42" t="s">
        <v>33</v>
      </c>
      <c r="K5352" s="43" t="s">
        <v>7136</v>
      </c>
      <c r="L5352" s="138" t="s">
        <v>7137</v>
      </c>
      <c r="M5352" s="50" t="s">
        <v>7137</v>
      </c>
      <c r="N5352" s="51">
        <v>43144</v>
      </c>
      <c r="O5352" s="51" t="s">
        <v>37</v>
      </c>
      <c r="P5352" s="412">
        <v>0</v>
      </c>
      <c r="Q5352" s="415">
        <v>256</v>
      </c>
      <c r="R5352" s="416">
        <f t="shared" si="122"/>
        <v>0</v>
      </c>
      <c r="S5352" s="70">
        <v>202303</v>
      </c>
      <c r="T5352" s="167" t="s">
        <v>7140</v>
      </c>
      <c r="U5352" s="167"/>
      <c r="V5352" s="399"/>
      <c r="W5352" s="146"/>
      <c r="X5352" s="51"/>
      <c r="Y5352" s="51"/>
    </row>
    <row r="5353" s="10" customFormat="1" customHeight="1" spans="1:25">
      <c r="A5353" s="43" t="s">
        <v>401</v>
      </c>
      <c r="B5353" s="43" t="s">
        <v>6937</v>
      </c>
      <c r="C5353" s="43" t="s">
        <v>283</v>
      </c>
      <c r="D5353" s="43" t="s">
        <v>6905</v>
      </c>
      <c r="E5353" s="395" t="s">
        <v>7083</v>
      </c>
      <c r="F5353" s="43" t="s">
        <v>7135</v>
      </c>
      <c r="G5353" s="138" t="s">
        <v>31</v>
      </c>
      <c r="H5353" s="45" t="s">
        <v>7085</v>
      </c>
      <c r="I5353" s="47" t="e">
        <f>VLOOKUP(H5353,'合同综合查询数据（3月返）'!$A:$A,1,FALSE)</f>
        <v>#N/A</v>
      </c>
      <c r="J5353" s="42" t="s">
        <v>33</v>
      </c>
      <c r="K5353" s="43" t="s">
        <v>7136</v>
      </c>
      <c r="L5353" s="138" t="s">
        <v>7137</v>
      </c>
      <c r="M5353" s="50" t="s">
        <v>7137</v>
      </c>
      <c r="N5353" s="51">
        <v>44712</v>
      </c>
      <c r="O5353" s="51" t="s">
        <v>37</v>
      </c>
      <c r="P5353" s="412">
        <v>0</v>
      </c>
      <c r="Q5353" s="415">
        <v>-256</v>
      </c>
      <c r="R5353" s="416">
        <f t="shared" si="122"/>
        <v>0</v>
      </c>
      <c r="S5353" s="70">
        <v>202303</v>
      </c>
      <c r="T5353" s="167" t="s">
        <v>7140</v>
      </c>
      <c r="U5353" s="167"/>
      <c r="V5353" s="399"/>
      <c r="W5353" s="146"/>
      <c r="X5353" s="51"/>
      <c r="Y5353" s="51"/>
    </row>
    <row r="5354" s="10" customFormat="1" customHeight="1" spans="1:25">
      <c r="A5354" s="43" t="s">
        <v>401</v>
      </c>
      <c r="B5354" s="43" t="s">
        <v>6937</v>
      </c>
      <c r="C5354" s="43" t="s">
        <v>283</v>
      </c>
      <c r="D5354" s="43" t="s">
        <v>6905</v>
      </c>
      <c r="E5354" s="395" t="s">
        <v>7083</v>
      </c>
      <c r="F5354" s="43" t="s">
        <v>7141</v>
      </c>
      <c r="G5354" s="138" t="s">
        <v>88</v>
      </c>
      <c r="H5354" s="45" t="s">
        <v>7085</v>
      </c>
      <c r="I5354" s="47" t="e">
        <f>VLOOKUP(H5354,'合同综合查询数据（3月返）'!$A:$A,1,FALSE)</f>
        <v>#N/A</v>
      </c>
      <c r="J5354" s="65" t="s">
        <v>126</v>
      </c>
      <c r="K5354" s="43" t="s">
        <v>4647</v>
      </c>
      <c r="L5354" s="138" t="s">
        <v>7142</v>
      </c>
      <c r="M5354" s="50" t="s">
        <v>7143</v>
      </c>
      <c r="N5354" s="51">
        <v>42971</v>
      </c>
      <c r="O5354" s="51" t="s">
        <v>624</v>
      </c>
      <c r="P5354" s="396">
        <v>833</v>
      </c>
      <c r="Q5354" s="53">
        <v>8</v>
      </c>
      <c r="R5354" s="141">
        <f t="shared" si="122"/>
        <v>6664</v>
      </c>
      <c r="S5354" s="70">
        <v>202303</v>
      </c>
      <c r="T5354" s="167" t="s">
        <v>7144</v>
      </c>
      <c r="U5354" s="167"/>
      <c r="V5354" s="399"/>
      <c r="W5354" s="146"/>
      <c r="X5354" s="51"/>
      <c r="Y5354" s="51"/>
    </row>
    <row r="5355" s="10" customFormat="1" customHeight="1" spans="1:25">
      <c r="A5355" s="43" t="s">
        <v>401</v>
      </c>
      <c r="B5355" s="43" t="s">
        <v>6937</v>
      </c>
      <c r="C5355" s="43" t="s">
        <v>283</v>
      </c>
      <c r="D5355" s="43" t="s">
        <v>6905</v>
      </c>
      <c r="E5355" s="395" t="s">
        <v>7083</v>
      </c>
      <c r="F5355" s="43" t="s">
        <v>7141</v>
      </c>
      <c r="G5355" s="138" t="s">
        <v>88</v>
      </c>
      <c r="H5355" s="45" t="s">
        <v>7085</v>
      </c>
      <c r="I5355" s="47" t="e">
        <f>VLOOKUP(H5355,'合同综合查询数据（3月返）'!$A:$A,1,FALSE)</f>
        <v>#N/A</v>
      </c>
      <c r="J5355" s="65" t="s">
        <v>126</v>
      </c>
      <c r="K5355" s="43" t="s">
        <v>4647</v>
      </c>
      <c r="L5355" s="138" t="s">
        <v>7142</v>
      </c>
      <c r="M5355" s="50" t="s">
        <v>7143</v>
      </c>
      <c r="N5355" s="51">
        <v>44712</v>
      </c>
      <c r="O5355" s="51" t="s">
        <v>624</v>
      </c>
      <c r="P5355" s="396">
        <v>833</v>
      </c>
      <c r="Q5355" s="53">
        <v>-8</v>
      </c>
      <c r="R5355" s="141">
        <f t="shared" si="122"/>
        <v>-6664</v>
      </c>
      <c r="S5355" s="70">
        <v>202303</v>
      </c>
      <c r="T5355" s="167" t="s">
        <v>7144</v>
      </c>
      <c r="U5355" s="167"/>
      <c r="V5355" s="399"/>
      <c r="W5355" s="146"/>
      <c r="X5355" s="51"/>
      <c r="Y5355" s="51"/>
    </row>
    <row r="5356" s="10" customFormat="1" customHeight="1" spans="1:25">
      <c r="A5356" s="43" t="s">
        <v>401</v>
      </c>
      <c r="B5356" s="43" t="s">
        <v>6937</v>
      </c>
      <c r="C5356" s="43" t="s">
        <v>283</v>
      </c>
      <c r="D5356" s="43" t="s">
        <v>6905</v>
      </c>
      <c r="E5356" s="395" t="s">
        <v>7083</v>
      </c>
      <c r="F5356" s="43" t="s">
        <v>7141</v>
      </c>
      <c r="G5356" s="138" t="s">
        <v>31</v>
      </c>
      <c r="H5356" s="45" t="s">
        <v>7085</v>
      </c>
      <c r="I5356" s="47" t="e">
        <f>VLOOKUP(H5356,'合同综合查询数据（3月返）'!$A:$A,1,FALSE)</f>
        <v>#N/A</v>
      </c>
      <c r="J5356" s="42" t="s">
        <v>33</v>
      </c>
      <c r="K5356" s="43" t="s">
        <v>4647</v>
      </c>
      <c r="L5356" s="138" t="s">
        <v>7142</v>
      </c>
      <c r="M5356" s="50" t="s">
        <v>7142</v>
      </c>
      <c r="N5356" s="51">
        <v>42971</v>
      </c>
      <c r="O5356" s="51" t="s">
        <v>37</v>
      </c>
      <c r="P5356" s="396">
        <v>0</v>
      </c>
      <c r="Q5356" s="53">
        <v>256</v>
      </c>
      <c r="R5356" s="141">
        <f t="shared" si="122"/>
        <v>0</v>
      </c>
      <c r="S5356" s="70">
        <v>202303</v>
      </c>
      <c r="T5356" s="167" t="s">
        <v>7145</v>
      </c>
      <c r="U5356" s="167"/>
      <c r="V5356" s="399"/>
      <c r="W5356" s="146"/>
      <c r="X5356" s="51"/>
      <c r="Y5356" s="51"/>
    </row>
    <row r="5357" s="10" customFormat="1" customHeight="1" spans="1:25">
      <c r="A5357" s="43" t="s">
        <v>401</v>
      </c>
      <c r="B5357" s="43" t="s">
        <v>6937</v>
      </c>
      <c r="C5357" s="43" t="s">
        <v>283</v>
      </c>
      <c r="D5357" s="43" t="s">
        <v>6905</v>
      </c>
      <c r="E5357" s="395" t="s">
        <v>7083</v>
      </c>
      <c r="F5357" s="43" t="s">
        <v>7141</v>
      </c>
      <c r="G5357" s="138" t="s">
        <v>31</v>
      </c>
      <c r="H5357" s="45" t="s">
        <v>7085</v>
      </c>
      <c r="I5357" s="47" t="e">
        <f>VLOOKUP(H5357,'合同综合查询数据（3月返）'!$A:$A,1,FALSE)</f>
        <v>#N/A</v>
      </c>
      <c r="J5357" s="42" t="s">
        <v>33</v>
      </c>
      <c r="K5357" s="43" t="s">
        <v>4647</v>
      </c>
      <c r="L5357" s="138" t="s">
        <v>7142</v>
      </c>
      <c r="M5357" s="50" t="s">
        <v>7142</v>
      </c>
      <c r="N5357" s="51">
        <v>44712</v>
      </c>
      <c r="O5357" s="51" t="s">
        <v>37</v>
      </c>
      <c r="P5357" s="396">
        <v>0</v>
      </c>
      <c r="Q5357" s="53">
        <v>-256</v>
      </c>
      <c r="R5357" s="141">
        <f t="shared" si="122"/>
        <v>0</v>
      </c>
      <c r="S5357" s="70">
        <v>202303</v>
      </c>
      <c r="T5357" s="167" t="s">
        <v>7145</v>
      </c>
      <c r="U5357" s="167"/>
      <c r="V5357" s="399"/>
      <c r="W5357" s="146"/>
      <c r="X5357" s="51"/>
      <c r="Y5357" s="51"/>
    </row>
    <row r="5358" s="10" customFormat="1" customHeight="1" spans="1:25">
      <c r="A5358" s="42" t="s">
        <v>401</v>
      </c>
      <c r="B5358" s="42" t="s">
        <v>6971</v>
      </c>
      <c r="C5358" s="42" t="s">
        <v>7040</v>
      </c>
      <c r="D5358" s="43" t="s">
        <v>6905</v>
      </c>
      <c r="E5358" s="44" t="s">
        <v>7146</v>
      </c>
      <c r="F5358" s="42" t="s">
        <v>7147</v>
      </c>
      <c r="G5358" s="42" t="s">
        <v>88</v>
      </c>
      <c r="H5358" s="45" t="s">
        <v>7148</v>
      </c>
      <c r="I5358" s="47" t="e">
        <f>VLOOKUP(H5358,'合同综合查询数据（3月返）'!$A:$A,1,FALSE)</f>
        <v>#N/A</v>
      </c>
      <c r="J5358" s="48" t="s">
        <v>126</v>
      </c>
      <c r="K5358" s="42" t="s">
        <v>7044</v>
      </c>
      <c r="L5358" s="49" t="s">
        <v>7149</v>
      </c>
      <c r="M5358" s="50" t="s">
        <v>7150</v>
      </c>
      <c r="N5358" s="51">
        <v>43466</v>
      </c>
      <c r="O5358" s="138" t="s">
        <v>92</v>
      </c>
      <c r="P5358" s="52">
        <v>3704</v>
      </c>
      <c r="Q5358" s="141">
        <v>1</v>
      </c>
      <c r="R5358" s="54">
        <f t="shared" si="122"/>
        <v>3704</v>
      </c>
      <c r="S5358" s="70">
        <v>202303</v>
      </c>
      <c r="T5358" s="400" t="s">
        <v>7151</v>
      </c>
      <c r="U5358" s="59"/>
      <c r="V5358" s="399"/>
      <c r="W5358" s="59"/>
      <c r="X5358" s="51"/>
      <c r="Y5358" s="51"/>
    </row>
    <row r="5359" s="10" customFormat="1" customHeight="1" spans="1:25">
      <c r="A5359" s="42" t="s">
        <v>401</v>
      </c>
      <c r="B5359" s="42" t="s">
        <v>6971</v>
      </c>
      <c r="C5359" s="42" t="s">
        <v>7040</v>
      </c>
      <c r="D5359" s="43" t="s">
        <v>6905</v>
      </c>
      <c r="E5359" s="44" t="s">
        <v>7146</v>
      </c>
      <c r="F5359" s="42" t="s">
        <v>7147</v>
      </c>
      <c r="G5359" s="42" t="s">
        <v>31</v>
      </c>
      <c r="H5359" s="45" t="s">
        <v>7148</v>
      </c>
      <c r="I5359" s="47" t="e">
        <f>VLOOKUP(H5359,'合同综合查询数据（3月返）'!$A:$A,1,FALSE)</f>
        <v>#N/A</v>
      </c>
      <c r="J5359" s="48" t="s">
        <v>33</v>
      </c>
      <c r="K5359" s="42" t="s">
        <v>7044</v>
      </c>
      <c r="L5359" s="49" t="s">
        <v>7149</v>
      </c>
      <c r="M5359" s="413" t="s">
        <v>7150</v>
      </c>
      <c r="N5359" s="392">
        <v>43466</v>
      </c>
      <c r="O5359" s="42" t="s">
        <v>37</v>
      </c>
      <c r="P5359" s="52">
        <v>50</v>
      </c>
      <c r="Q5359" s="53">
        <v>100</v>
      </c>
      <c r="R5359" s="54">
        <f t="shared" si="122"/>
        <v>5000</v>
      </c>
      <c r="S5359" s="70">
        <v>202303</v>
      </c>
      <c r="T5359" s="400" t="s">
        <v>7152</v>
      </c>
      <c r="U5359" s="59"/>
      <c r="V5359" s="399"/>
      <c r="W5359" s="59"/>
      <c r="X5359" s="51"/>
      <c r="Y5359" s="51"/>
    </row>
    <row r="5360" s="10" customFormat="1" customHeight="1" spans="1:25">
      <c r="A5360" s="42" t="s">
        <v>401</v>
      </c>
      <c r="B5360" s="42" t="s">
        <v>6971</v>
      </c>
      <c r="C5360" s="42" t="s">
        <v>7040</v>
      </c>
      <c r="D5360" s="43" t="s">
        <v>6905</v>
      </c>
      <c r="E5360" s="44" t="s">
        <v>7146</v>
      </c>
      <c r="F5360" s="42" t="s">
        <v>7147</v>
      </c>
      <c r="G5360" s="42" t="s">
        <v>31</v>
      </c>
      <c r="H5360" s="45" t="s">
        <v>7148</v>
      </c>
      <c r="I5360" s="47" t="e">
        <f>VLOOKUP(H5360,'合同综合查询数据（3月返）'!$A:$A,1,FALSE)</f>
        <v>#N/A</v>
      </c>
      <c r="J5360" s="48" t="s">
        <v>33</v>
      </c>
      <c r="K5360" s="42" t="s">
        <v>7044</v>
      </c>
      <c r="L5360" s="49" t="s">
        <v>7149</v>
      </c>
      <c r="M5360" s="413" t="s">
        <v>7150</v>
      </c>
      <c r="N5360" s="392">
        <v>43466</v>
      </c>
      <c r="O5360" s="42" t="s">
        <v>37</v>
      </c>
      <c r="P5360" s="52">
        <v>0</v>
      </c>
      <c r="Q5360" s="53">
        <v>60</v>
      </c>
      <c r="R5360" s="54">
        <f t="shared" si="122"/>
        <v>0</v>
      </c>
      <c r="S5360" s="70">
        <v>202303</v>
      </c>
      <c r="T5360" s="400" t="s">
        <v>7152</v>
      </c>
      <c r="U5360" s="59"/>
      <c r="V5360" s="399"/>
      <c r="W5360" s="59"/>
      <c r="X5360" s="51"/>
      <c r="Y5360" s="51"/>
    </row>
    <row r="5361" s="9" customFormat="1" customHeight="1" spans="1:25">
      <c r="A5361" s="16" t="s">
        <v>401</v>
      </c>
      <c r="B5361" s="17" t="s">
        <v>6236</v>
      </c>
      <c r="C5361" s="17" t="s">
        <v>2035</v>
      </c>
      <c r="D5361" s="17" t="s">
        <v>6905</v>
      </c>
      <c r="E5361" s="18" t="s">
        <v>7153</v>
      </c>
      <c r="F5361" s="16" t="s">
        <v>7154</v>
      </c>
      <c r="G5361" s="16" t="s">
        <v>88</v>
      </c>
      <c r="H5361" s="19" t="s">
        <v>7155</v>
      </c>
      <c r="I5361" s="23" t="e">
        <f>VLOOKUP(H5361,'合同综合查询数据（3月返）'!$A:$A,1,FALSE)</f>
        <v>#N/A</v>
      </c>
      <c r="J5361" s="24" t="s">
        <v>126</v>
      </c>
      <c r="K5361" s="16" t="s">
        <v>7156</v>
      </c>
      <c r="L5361" s="25" t="s">
        <v>7157</v>
      </c>
      <c r="M5361" s="26" t="s">
        <v>7158</v>
      </c>
      <c r="N5361" s="28">
        <v>43314</v>
      </c>
      <c r="O5361" s="28" t="s">
        <v>127</v>
      </c>
      <c r="P5361" s="29">
        <v>0</v>
      </c>
      <c r="Q5361" s="35">
        <v>6</v>
      </c>
      <c r="R5361" s="36">
        <f t="shared" si="122"/>
        <v>0</v>
      </c>
      <c r="S5361" s="117">
        <v>202303</v>
      </c>
      <c r="T5361" s="38" t="s">
        <v>7159</v>
      </c>
      <c r="U5361" s="39"/>
      <c r="V5361" s="398"/>
      <c r="W5361" s="41"/>
      <c r="X5361" s="28" t="s">
        <v>7160</v>
      </c>
      <c r="Y5361" s="28" t="s">
        <v>7161</v>
      </c>
    </row>
    <row r="5362" s="9" customFormat="1" customHeight="1" spans="1:25">
      <c r="A5362" s="16" t="s">
        <v>401</v>
      </c>
      <c r="B5362" s="17" t="s">
        <v>6236</v>
      </c>
      <c r="C5362" s="17" t="s">
        <v>2035</v>
      </c>
      <c r="D5362" s="17" t="s">
        <v>6905</v>
      </c>
      <c r="E5362" s="18" t="s">
        <v>7153</v>
      </c>
      <c r="F5362" s="16" t="s">
        <v>7154</v>
      </c>
      <c r="G5362" s="16" t="s">
        <v>88</v>
      </c>
      <c r="H5362" s="19" t="s">
        <v>7155</v>
      </c>
      <c r="I5362" s="23" t="e">
        <f>VLOOKUP(H5362,'合同综合查询数据（3月返）'!$A:$A,1,FALSE)</f>
        <v>#N/A</v>
      </c>
      <c r="J5362" s="24" t="s">
        <v>126</v>
      </c>
      <c r="K5362" s="16" t="s">
        <v>7156</v>
      </c>
      <c r="L5362" s="25" t="s">
        <v>7157</v>
      </c>
      <c r="M5362" s="26" t="s">
        <v>7158</v>
      </c>
      <c r="N5362" s="28">
        <v>44316</v>
      </c>
      <c r="O5362" s="28" t="s">
        <v>127</v>
      </c>
      <c r="P5362" s="29">
        <v>3000</v>
      </c>
      <c r="Q5362" s="35">
        <v>-1</v>
      </c>
      <c r="R5362" s="36">
        <f t="shared" si="122"/>
        <v>-3000</v>
      </c>
      <c r="S5362" s="117">
        <v>202303</v>
      </c>
      <c r="T5362" s="38" t="s">
        <v>7162</v>
      </c>
      <c r="U5362" s="39"/>
      <c r="V5362" s="398"/>
      <c r="W5362" s="41"/>
      <c r="X5362" s="28" t="s">
        <v>7160</v>
      </c>
      <c r="Y5362" s="28" t="s">
        <v>7161</v>
      </c>
    </row>
    <row r="5363" s="9" customFormat="1" customHeight="1" spans="1:25">
      <c r="A5363" s="16" t="s">
        <v>401</v>
      </c>
      <c r="B5363" s="17" t="s">
        <v>6236</v>
      </c>
      <c r="C5363" s="17" t="s">
        <v>2035</v>
      </c>
      <c r="D5363" s="17" t="s">
        <v>6905</v>
      </c>
      <c r="E5363" s="18" t="s">
        <v>7153</v>
      </c>
      <c r="F5363" s="16" t="s">
        <v>7154</v>
      </c>
      <c r="G5363" s="16" t="s">
        <v>88</v>
      </c>
      <c r="H5363" s="19" t="s">
        <v>7155</v>
      </c>
      <c r="I5363" s="23" t="e">
        <f>VLOOKUP(H5363,'合同综合查询数据（3月返）'!$A:$A,1,FALSE)</f>
        <v>#N/A</v>
      </c>
      <c r="J5363" s="24" t="s">
        <v>126</v>
      </c>
      <c r="K5363" s="16" t="s">
        <v>7156</v>
      </c>
      <c r="L5363" s="25" t="s">
        <v>7163</v>
      </c>
      <c r="M5363" s="26" t="s">
        <v>7158</v>
      </c>
      <c r="N5363" s="28">
        <v>43983</v>
      </c>
      <c r="O5363" s="28" t="s">
        <v>127</v>
      </c>
      <c r="P5363" s="29">
        <v>3000</v>
      </c>
      <c r="Q5363" s="35">
        <v>4</v>
      </c>
      <c r="R5363" s="36">
        <f t="shared" si="122"/>
        <v>12000</v>
      </c>
      <c r="S5363" s="117">
        <v>202303</v>
      </c>
      <c r="T5363" s="38" t="s">
        <v>7164</v>
      </c>
      <c r="U5363" s="39"/>
      <c r="V5363" s="398"/>
      <c r="W5363" s="41"/>
      <c r="X5363" s="28" t="s">
        <v>7160</v>
      </c>
      <c r="Y5363" s="28" t="s">
        <v>7161</v>
      </c>
    </row>
    <row r="5364" s="9" customFormat="1" customHeight="1" spans="1:25">
      <c r="A5364" s="16" t="s">
        <v>401</v>
      </c>
      <c r="B5364" s="17" t="s">
        <v>6236</v>
      </c>
      <c r="C5364" s="17" t="s">
        <v>2035</v>
      </c>
      <c r="D5364" s="17" t="s">
        <v>6905</v>
      </c>
      <c r="E5364" s="18" t="s">
        <v>7153</v>
      </c>
      <c r="F5364" s="16" t="s">
        <v>7154</v>
      </c>
      <c r="G5364" s="16" t="s">
        <v>88</v>
      </c>
      <c r="H5364" s="19" t="s">
        <v>7155</v>
      </c>
      <c r="I5364" s="23" t="e">
        <f>VLOOKUP(H5364,'合同综合查询数据（3月返）'!$A:$A,1,FALSE)</f>
        <v>#N/A</v>
      </c>
      <c r="J5364" s="24" t="s">
        <v>126</v>
      </c>
      <c r="K5364" s="16" t="s">
        <v>7156</v>
      </c>
      <c r="L5364" s="25" t="s">
        <v>7163</v>
      </c>
      <c r="M5364" s="26" t="s">
        <v>7158</v>
      </c>
      <c r="N5364" s="28">
        <v>44754</v>
      </c>
      <c r="O5364" s="28" t="s">
        <v>127</v>
      </c>
      <c r="P5364" s="29">
        <v>3000</v>
      </c>
      <c r="Q5364" s="35">
        <v>-4</v>
      </c>
      <c r="R5364" s="120">
        <f t="shared" si="122"/>
        <v>-12000</v>
      </c>
      <c r="S5364" s="117">
        <v>202303</v>
      </c>
      <c r="T5364" s="38" t="s">
        <v>7165</v>
      </c>
      <c r="U5364" s="39"/>
      <c r="V5364" s="398"/>
      <c r="W5364" s="41"/>
      <c r="X5364" s="28" t="s">
        <v>7160</v>
      </c>
      <c r="Y5364" s="28" t="s">
        <v>7161</v>
      </c>
    </row>
    <row r="5365" s="9" customFormat="1" customHeight="1" spans="1:25">
      <c r="A5365" s="16" t="s">
        <v>401</v>
      </c>
      <c r="B5365" s="17" t="s">
        <v>6236</v>
      </c>
      <c r="C5365" s="17" t="s">
        <v>2035</v>
      </c>
      <c r="D5365" s="17" t="s">
        <v>6905</v>
      </c>
      <c r="E5365" s="18" t="s">
        <v>7153</v>
      </c>
      <c r="F5365" s="16" t="s">
        <v>7154</v>
      </c>
      <c r="G5365" s="16" t="s">
        <v>31</v>
      </c>
      <c r="H5365" s="19" t="s">
        <v>7155</v>
      </c>
      <c r="I5365" s="23" t="e">
        <f>VLOOKUP(H5365,'合同综合查询数据（3月返）'!$A:$A,1,FALSE)</f>
        <v>#N/A</v>
      </c>
      <c r="J5365" s="24" t="s">
        <v>33</v>
      </c>
      <c r="K5365" s="16" t="s">
        <v>7156</v>
      </c>
      <c r="L5365" s="25" t="s">
        <v>7163</v>
      </c>
      <c r="M5365" s="26"/>
      <c r="N5365" s="28">
        <v>43314</v>
      </c>
      <c r="O5365" s="28" t="s">
        <v>37</v>
      </c>
      <c r="P5365" s="29">
        <v>50</v>
      </c>
      <c r="Q5365" s="35">
        <v>288</v>
      </c>
      <c r="R5365" s="36">
        <f t="shared" si="122"/>
        <v>14400</v>
      </c>
      <c r="S5365" s="117">
        <v>202303</v>
      </c>
      <c r="T5365" s="38" t="s">
        <v>7166</v>
      </c>
      <c r="U5365" s="39"/>
      <c r="V5365" s="398"/>
      <c r="W5365" s="41"/>
      <c r="X5365" s="28" t="s">
        <v>7160</v>
      </c>
      <c r="Y5365" s="28" t="s">
        <v>7161</v>
      </c>
    </row>
    <row r="5366" s="9" customFormat="1" customHeight="1" spans="1:25">
      <c r="A5366" s="16" t="s">
        <v>401</v>
      </c>
      <c r="B5366" s="17" t="s">
        <v>6236</v>
      </c>
      <c r="C5366" s="17" t="s">
        <v>2035</v>
      </c>
      <c r="D5366" s="17" t="s">
        <v>6905</v>
      </c>
      <c r="E5366" s="18" t="s">
        <v>7153</v>
      </c>
      <c r="F5366" s="16" t="s">
        <v>7154</v>
      </c>
      <c r="G5366" s="16" t="s">
        <v>31</v>
      </c>
      <c r="H5366" s="19" t="s">
        <v>7155</v>
      </c>
      <c r="I5366" s="23" t="e">
        <f>VLOOKUP(H5366,'合同综合查询数据（3月返）'!$A:$A,1,FALSE)</f>
        <v>#N/A</v>
      </c>
      <c r="J5366" s="24" t="s">
        <v>33</v>
      </c>
      <c r="K5366" s="16" t="s">
        <v>7156</v>
      </c>
      <c r="L5366" s="25" t="s">
        <v>7163</v>
      </c>
      <c r="M5366" s="26"/>
      <c r="N5366" s="28">
        <v>44754</v>
      </c>
      <c r="O5366" s="28" t="s">
        <v>37</v>
      </c>
      <c r="P5366" s="29">
        <v>50</v>
      </c>
      <c r="Q5366" s="35">
        <v>-288</v>
      </c>
      <c r="R5366" s="120">
        <f t="shared" si="122"/>
        <v>-14400</v>
      </c>
      <c r="S5366" s="117">
        <v>202303</v>
      </c>
      <c r="T5366" s="38" t="s">
        <v>7167</v>
      </c>
      <c r="U5366" s="39"/>
      <c r="V5366" s="398"/>
      <c r="W5366" s="41"/>
      <c r="X5366" s="28" t="s">
        <v>7160</v>
      </c>
      <c r="Y5366" s="28" t="s">
        <v>7161</v>
      </c>
    </row>
    <row r="5367" s="9" customFormat="1" customHeight="1" spans="1:25">
      <c r="A5367" s="16" t="s">
        <v>401</v>
      </c>
      <c r="B5367" s="17" t="s">
        <v>6236</v>
      </c>
      <c r="C5367" s="17" t="s">
        <v>2035</v>
      </c>
      <c r="D5367" s="17" t="s">
        <v>6905</v>
      </c>
      <c r="E5367" s="18" t="s">
        <v>7153</v>
      </c>
      <c r="F5367" s="16" t="s">
        <v>7154</v>
      </c>
      <c r="G5367" s="16" t="s">
        <v>31</v>
      </c>
      <c r="H5367" s="19" t="s">
        <v>7155</v>
      </c>
      <c r="I5367" s="23" t="e">
        <f>VLOOKUP(H5367,'合同综合查询数据（3月返）'!$A:$A,1,FALSE)</f>
        <v>#N/A</v>
      </c>
      <c r="J5367" s="24" t="s">
        <v>33</v>
      </c>
      <c r="K5367" s="16" t="s">
        <v>7156</v>
      </c>
      <c r="L5367" s="25" t="s">
        <v>7157</v>
      </c>
      <c r="M5367" s="26"/>
      <c r="N5367" s="28">
        <v>43314</v>
      </c>
      <c r="O5367" s="28" t="s">
        <v>37</v>
      </c>
      <c r="P5367" s="29">
        <v>0</v>
      </c>
      <c r="Q5367" s="35">
        <v>276</v>
      </c>
      <c r="R5367" s="36">
        <f t="shared" si="122"/>
        <v>0</v>
      </c>
      <c r="S5367" s="117">
        <v>202303</v>
      </c>
      <c r="T5367" s="38" t="s">
        <v>7168</v>
      </c>
      <c r="U5367" s="39"/>
      <c r="V5367" s="398"/>
      <c r="W5367" s="41"/>
      <c r="X5367" s="28" t="s">
        <v>7160</v>
      </c>
      <c r="Y5367" s="28" t="s">
        <v>7161</v>
      </c>
    </row>
    <row r="5368" s="9" customFormat="1" customHeight="1" spans="1:25">
      <c r="A5368" s="16" t="s">
        <v>401</v>
      </c>
      <c r="B5368" s="17" t="s">
        <v>6236</v>
      </c>
      <c r="C5368" s="17" t="s">
        <v>2035</v>
      </c>
      <c r="D5368" s="17" t="s">
        <v>6905</v>
      </c>
      <c r="E5368" s="18" t="s">
        <v>7153</v>
      </c>
      <c r="F5368" s="16" t="s">
        <v>7154</v>
      </c>
      <c r="G5368" s="16" t="s">
        <v>31</v>
      </c>
      <c r="H5368" s="19" t="s">
        <v>7155</v>
      </c>
      <c r="I5368" s="23" t="e">
        <f>VLOOKUP(H5368,'合同综合查询数据（3月返）'!$A:$A,1,FALSE)</f>
        <v>#N/A</v>
      </c>
      <c r="J5368" s="24" t="s">
        <v>33</v>
      </c>
      <c r="K5368" s="16" t="s">
        <v>7156</v>
      </c>
      <c r="L5368" s="25" t="s">
        <v>7157</v>
      </c>
      <c r="M5368" s="26"/>
      <c r="N5368" s="28">
        <v>43314</v>
      </c>
      <c r="O5368" s="28" t="s">
        <v>37</v>
      </c>
      <c r="P5368" s="29">
        <v>50</v>
      </c>
      <c r="Q5368" s="35">
        <v>12</v>
      </c>
      <c r="R5368" s="36">
        <f t="shared" si="122"/>
        <v>600</v>
      </c>
      <c r="S5368" s="117">
        <v>202303</v>
      </c>
      <c r="T5368" s="38" t="s">
        <v>7168</v>
      </c>
      <c r="U5368" s="39"/>
      <c r="V5368" s="398"/>
      <c r="W5368" s="41"/>
      <c r="X5368" s="28" t="s">
        <v>7160</v>
      </c>
      <c r="Y5368" s="28" t="s">
        <v>7161</v>
      </c>
    </row>
    <row r="5369" s="9" customFormat="1" customHeight="1" spans="1:25">
      <c r="A5369" s="16" t="s">
        <v>401</v>
      </c>
      <c r="B5369" s="17" t="s">
        <v>6236</v>
      </c>
      <c r="C5369" s="17" t="s">
        <v>2035</v>
      </c>
      <c r="D5369" s="17" t="s">
        <v>6905</v>
      </c>
      <c r="E5369" s="18" t="s">
        <v>7153</v>
      </c>
      <c r="F5369" s="16" t="s">
        <v>7154</v>
      </c>
      <c r="G5369" s="16" t="s">
        <v>88</v>
      </c>
      <c r="H5369" s="19" t="s">
        <v>7155</v>
      </c>
      <c r="I5369" s="23" t="e">
        <f>VLOOKUP(H5369,'合同综合查询数据（3月返）'!$A:$A,1,FALSE)</f>
        <v>#N/A</v>
      </c>
      <c r="J5369" s="24" t="s">
        <v>126</v>
      </c>
      <c r="K5369" s="16" t="s">
        <v>7156</v>
      </c>
      <c r="L5369" s="25" t="s">
        <v>7169</v>
      </c>
      <c r="M5369" s="26" t="s">
        <v>7158</v>
      </c>
      <c r="N5369" s="28">
        <v>44348</v>
      </c>
      <c r="O5369" s="28" t="s">
        <v>127</v>
      </c>
      <c r="P5369" s="29">
        <v>3000</v>
      </c>
      <c r="Q5369" s="35">
        <v>3</v>
      </c>
      <c r="R5369" s="36">
        <f t="shared" si="122"/>
        <v>9000</v>
      </c>
      <c r="S5369" s="117">
        <v>202303</v>
      </c>
      <c r="T5369" s="38" t="s">
        <v>7170</v>
      </c>
      <c r="U5369" s="39"/>
      <c r="V5369" s="398"/>
      <c r="W5369" s="41"/>
      <c r="X5369" s="28" t="s">
        <v>7160</v>
      </c>
      <c r="Y5369" s="28" t="s">
        <v>7161</v>
      </c>
    </row>
    <row r="5370" s="9" customFormat="1" customHeight="1" spans="1:25">
      <c r="A5370" s="16" t="s">
        <v>401</v>
      </c>
      <c r="B5370" s="17" t="s">
        <v>6236</v>
      </c>
      <c r="C5370" s="17" t="s">
        <v>2035</v>
      </c>
      <c r="D5370" s="17" t="s">
        <v>6905</v>
      </c>
      <c r="E5370" s="18" t="s">
        <v>7153</v>
      </c>
      <c r="F5370" s="16" t="s">
        <v>7154</v>
      </c>
      <c r="G5370" s="16" t="s">
        <v>31</v>
      </c>
      <c r="H5370" s="19" t="s">
        <v>7155</v>
      </c>
      <c r="I5370" s="23" t="e">
        <f>VLOOKUP(H5370,'合同综合查询数据（3月返）'!$A:$A,1,FALSE)</f>
        <v>#N/A</v>
      </c>
      <c r="J5370" s="24" t="s">
        <v>33</v>
      </c>
      <c r="K5370" s="16" t="s">
        <v>7156</v>
      </c>
      <c r="L5370" s="25" t="s">
        <v>7169</v>
      </c>
      <c r="M5370" s="26" t="s">
        <v>7158</v>
      </c>
      <c r="N5370" s="28">
        <v>44348</v>
      </c>
      <c r="O5370" s="28" t="s">
        <v>37</v>
      </c>
      <c r="P5370" s="29">
        <v>0</v>
      </c>
      <c r="Q5370" s="35">
        <v>288</v>
      </c>
      <c r="R5370" s="36">
        <f t="shared" si="122"/>
        <v>0</v>
      </c>
      <c r="S5370" s="117">
        <v>202303</v>
      </c>
      <c r="T5370" s="38" t="s">
        <v>7171</v>
      </c>
      <c r="U5370" s="39"/>
      <c r="V5370" s="398"/>
      <c r="W5370" s="41"/>
      <c r="X5370" s="28" t="s">
        <v>7160</v>
      </c>
      <c r="Y5370" s="28" t="s">
        <v>7161</v>
      </c>
    </row>
    <row r="5371" s="9" customFormat="1" customHeight="1" spans="1:25">
      <c r="A5371" s="16" t="s">
        <v>401</v>
      </c>
      <c r="B5371" s="17" t="s">
        <v>6236</v>
      </c>
      <c r="C5371" s="17" t="s">
        <v>2035</v>
      </c>
      <c r="D5371" s="17" t="s">
        <v>6905</v>
      </c>
      <c r="E5371" s="18" t="s">
        <v>7153</v>
      </c>
      <c r="F5371" s="16" t="s">
        <v>7154</v>
      </c>
      <c r="G5371" s="16" t="s">
        <v>31</v>
      </c>
      <c r="H5371" s="19" t="s">
        <v>7155</v>
      </c>
      <c r="I5371" s="23" t="e">
        <f>VLOOKUP(H5371,'合同综合查询数据（3月返）'!$A:$A,1,FALSE)</f>
        <v>#N/A</v>
      </c>
      <c r="J5371" s="24" t="s">
        <v>33</v>
      </c>
      <c r="K5371" s="16" t="s">
        <v>7156</v>
      </c>
      <c r="L5371" s="25" t="s">
        <v>7169</v>
      </c>
      <c r="M5371" s="26" t="s">
        <v>7158</v>
      </c>
      <c r="N5371" s="28">
        <v>44887</v>
      </c>
      <c r="O5371" s="28" t="s">
        <v>37</v>
      </c>
      <c r="P5371" s="29">
        <v>50</v>
      </c>
      <c r="Q5371" s="35">
        <v>-12</v>
      </c>
      <c r="R5371" s="36">
        <f t="shared" si="122"/>
        <v>-600</v>
      </c>
      <c r="S5371" s="117">
        <v>202303</v>
      </c>
      <c r="T5371" s="38" t="s">
        <v>7172</v>
      </c>
      <c r="U5371" s="39"/>
      <c r="V5371" s="398"/>
      <c r="W5371" s="41"/>
      <c r="X5371" s="28" t="s">
        <v>7160</v>
      </c>
      <c r="Y5371" s="28" t="s">
        <v>7161</v>
      </c>
    </row>
    <row r="5372" s="9" customFormat="1" customHeight="1" spans="1:25">
      <c r="A5372" s="16" t="s">
        <v>401</v>
      </c>
      <c r="B5372" s="17" t="s">
        <v>6236</v>
      </c>
      <c r="C5372" s="17" t="s">
        <v>2035</v>
      </c>
      <c r="D5372" s="17" t="s">
        <v>6905</v>
      </c>
      <c r="E5372" s="18" t="s">
        <v>7153</v>
      </c>
      <c r="F5372" s="16" t="s">
        <v>7154</v>
      </c>
      <c r="G5372" s="16" t="s">
        <v>31</v>
      </c>
      <c r="H5372" s="19" t="s">
        <v>7155</v>
      </c>
      <c r="I5372" s="23" t="e">
        <f>VLOOKUP(H5372,'合同综合查询数据（3月返）'!$A:$A,1,FALSE)</f>
        <v>#N/A</v>
      </c>
      <c r="J5372" s="24" t="s">
        <v>33</v>
      </c>
      <c r="K5372" s="16" t="s">
        <v>7156</v>
      </c>
      <c r="L5372" s="25" t="s">
        <v>7169</v>
      </c>
      <c r="M5372" s="26" t="s">
        <v>7158</v>
      </c>
      <c r="N5372" s="28">
        <v>44887</v>
      </c>
      <c r="O5372" s="28" t="s">
        <v>37</v>
      </c>
      <c r="P5372" s="29">
        <v>0</v>
      </c>
      <c r="Q5372" s="35">
        <v>-116</v>
      </c>
      <c r="R5372" s="36">
        <f t="shared" si="122"/>
        <v>0</v>
      </c>
      <c r="S5372" s="117">
        <v>202303</v>
      </c>
      <c r="T5372" s="38" t="s">
        <v>7172</v>
      </c>
      <c r="U5372" s="39"/>
      <c r="V5372" s="398"/>
      <c r="W5372" s="41"/>
      <c r="X5372" s="28" t="s">
        <v>7160</v>
      </c>
      <c r="Y5372" s="28" t="s">
        <v>7161</v>
      </c>
    </row>
    <row r="5373" s="9" customFormat="1" customHeight="1" spans="1:25">
      <c r="A5373" s="16" t="s">
        <v>401</v>
      </c>
      <c r="B5373" s="17" t="s">
        <v>6236</v>
      </c>
      <c r="C5373" s="17" t="s">
        <v>2035</v>
      </c>
      <c r="D5373" s="17" t="s">
        <v>6905</v>
      </c>
      <c r="E5373" s="18" t="s">
        <v>7173</v>
      </c>
      <c r="F5373" s="16" t="s">
        <v>7174</v>
      </c>
      <c r="G5373" s="16" t="s">
        <v>88</v>
      </c>
      <c r="H5373" s="19" t="s">
        <v>7175</v>
      </c>
      <c r="I5373" s="23" t="e">
        <f>VLOOKUP(H5373,'合同综合查询数据（3月返）'!$A:$A,1,FALSE)</f>
        <v>#N/A</v>
      </c>
      <c r="J5373" s="24" t="s">
        <v>126</v>
      </c>
      <c r="K5373" s="16" t="s">
        <v>4980</v>
      </c>
      <c r="L5373" s="25" t="s">
        <v>7176</v>
      </c>
      <c r="M5373" s="26" t="s">
        <v>7177</v>
      </c>
      <c r="N5373" s="28">
        <v>41354</v>
      </c>
      <c r="O5373" s="28" t="s">
        <v>127</v>
      </c>
      <c r="P5373" s="29">
        <v>0</v>
      </c>
      <c r="Q5373" s="35">
        <v>7</v>
      </c>
      <c r="R5373" s="36">
        <f t="shared" si="122"/>
        <v>0</v>
      </c>
      <c r="S5373" s="117">
        <v>202303</v>
      </c>
      <c r="T5373" s="38" t="s">
        <v>7178</v>
      </c>
      <c r="U5373" s="39"/>
      <c r="V5373" s="398"/>
      <c r="W5373" s="41"/>
      <c r="X5373" s="28" t="s">
        <v>6913</v>
      </c>
      <c r="Y5373" s="28" t="s">
        <v>6914</v>
      </c>
    </row>
    <row r="5374" s="9" customFormat="1" customHeight="1" spans="1:25">
      <c r="A5374" s="16" t="s">
        <v>401</v>
      </c>
      <c r="B5374" s="17" t="s">
        <v>6236</v>
      </c>
      <c r="C5374" s="17" t="s">
        <v>2035</v>
      </c>
      <c r="D5374" s="17" t="s">
        <v>6905</v>
      </c>
      <c r="E5374" s="18" t="s">
        <v>7173</v>
      </c>
      <c r="F5374" s="16" t="s">
        <v>7174</v>
      </c>
      <c r="G5374" s="16" t="s">
        <v>88</v>
      </c>
      <c r="H5374" s="19" t="s">
        <v>7175</v>
      </c>
      <c r="I5374" s="23" t="e">
        <f>VLOOKUP(H5374,'合同综合查询数据（3月返）'!$A:$A,1,FALSE)</f>
        <v>#N/A</v>
      </c>
      <c r="J5374" s="24" t="s">
        <v>126</v>
      </c>
      <c r="K5374" s="16" t="s">
        <v>4980</v>
      </c>
      <c r="L5374" s="25" t="s">
        <v>7176</v>
      </c>
      <c r="M5374" s="26" t="s">
        <v>7177</v>
      </c>
      <c r="N5374" s="28">
        <v>44176</v>
      </c>
      <c r="O5374" s="28" t="s">
        <v>127</v>
      </c>
      <c r="P5374" s="29">
        <v>0</v>
      </c>
      <c r="Q5374" s="35">
        <v>1</v>
      </c>
      <c r="R5374" s="36">
        <f t="shared" si="122"/>
        <v>0</v>
      </c>
      <c r="S5374" s="117">
        <v>202303</v>
      </c>
      <c r="T5374" s="38" t="s">
        <v>7179</v>
      </c>
      <c r="U5374" s="39"/>
      <c r="V5374" s="398"/>
      <c r="W5374" s="41"/>
      <c r="X5374" s="28" t="s">
        <v>6913</v>
      </c>
      <c r="Y5374" s="28" t="s">
        <v>6914</v>
      </c>
    </row>
    <row r="5375" s="9" customFormat="1" customHeight="1" spans="1:25">
      <c r="A5375" s="16" t="s">
        <v>401</v>
      </c>
      <c r="B5375" s="17" t="s">
        <v>6236</v>
      </c>
      <c r="C5375" s="17" t="s">
        <v>2035</v>
      </c>
      <c r="D5375" s="17" t="s">
        <v>6905</v>
      </c>
      <c r="E5375" s="18" t="s">
        <v>7173</v>
      </c>
      <c r="F5375" s="16" t="s">
        <v>7174</v>
      </c>
      <c r="G5375" s="16" t="s">
        <v>88</v>
      </c>
      <c r="H5375" s="19" t="s">
        <v>7175</v>
      </c>
      <c r="I5375" s="23" t="e">
        <f>VLOOKUP(H5375,'合同综合查询数据（3月返）'!$A:$A,1,FALSE)</f>
        <v>#N/A</v>
      </c>
      <c r="J5375" s="24" t="s">
        <v>126</v>
      </c>
      <c r="K5375" s="16" t="s">
        <v>4980</v>
      </c>
      <c r="L5375" s="25" t="s">
        <v>7176</v>
      </c>
      <c r="M5375" s="26" t="s">
        <v>7177</v>
      </c>
      <c r="N5375" s="28">
        <v>44281</v>
      </c>
      <c r="O5375" s="28" t="s">
        <v>127</v>
      </c>
      <c r="P5375" s="29">
        <v>0</v>
      </c>
      <c r="Q5375" s="35">
        <v>1</v>
      </c>
      <c r="R5375" s="36">
        <f t="shared" si="122"/>
        <v>0</v>
      </c>
      <c r="S5375" s="117">
        <v>202303</v>
      </c>
      <c r="T5375" s="38" t="s">
        <v>7180</v>
      </c>
      <c r="U5375" s="39"/>
      <c r="V5375" s="398"/>
      <c r="W5375" s="41"/>
      <c r="X5375" s="28" t="s">
        <v>6913</v>
      </c>
      <c r="Y5375" s="28" t="s">
        <v>6914</v>
      </c>
    </row>
    <row r="5376" s="9" customFormat="1" customHeight="1" spans="1:25">
      <c r="A5376" s="16" t="s">
        <v>401</v>
      </c>
      <c r="B5376" s="17" t="s">
        <v>6236</v>
      </c>
      <c r="C5376" s="17" t="s">
        <v>2035</v>
      </c>
      <c r="D5376" s="17" t="s">
        <v>6905</v>
      </c>
      <c r="E5376" s="18" t="s">
        <v>7173</v>
      </c>
      <c r="F5376" s="16" t="s">
        <v>7174</v>
      </c>
      <c r="G5376" s="16" t="s">
        <v>88</v>
      </c>
      <c r="H5376" s="19" t="s">
        <v>7175</v>
      </c>
      <c r="I5376" s="23" t="e">
        <f>VLOOKUP(H5376,'合同综合查询数据（3月返）'!$A:$A,1,FALSE)</f>
        <v>#N/A</v>
      </c>
      <c r="J5376" s="24" t="s">
        <v>126</v>
      </c>
      <c r="K5376" s="16" t="s">
        <v>4980</v>
      </c>
      <c r="L5376" s="25" t="s">
        <v>7176</v>
      </c>
      <c r="M5376" s="26" t="s">
        <v>7177</v>
      </c>
      <c r="N5376" s="28">
        <v>44409</v>
      </c>
      <c r="O5376" s="28" t="s">
        <v>127</v>
      </c>
      <c r="P5376" s="29">
        <v>0</v>
      </c>
      <c r="Q5376" s="35">
        <v>1</v>
      </c>
      <c r="R5376" s="36">
        <f t="shared" si="122"/>
        <v>0</v>
      </c>
      <c r="S5376" s="117">
        <v>202303</v>
      </c>
      <c r="T5376" s="38" t="s">
        <v>7181</v>
      </c>
      <c r="U5376" s="39"/>
      <c r="V5376" s="398"/>
      <c r="W5376" s="41"/>
      <c r="X5376" s="28" t="s">
        <v>6913</v>
      </c>
      <c r="Y5376" s="28" t="s">
        <v>6914</v>
      </c>
    </row>
    <row r="5377" s="9" customFormat="1" customHeight="1" spans="1:25">
      <c r="A5377" s="16" t="s">
        <v>401</v>
      </c>
      <c r="B5377" s="17" t="s">
        <v>6236</v>
      </c>
      <c r="C5377" s="17" t="s">
        <v>2035</v>
      </c>
      <c r="D5377" s="17" t="s">
        <v>6905</v>
      </c>
      <c r="E5377" s="18" t="s">
        <v>7173</v>
      </c>
      <c r="F5377" s="16" t="s">
        <v>7174</v>
      </c>
      <c r="G5377" s="16" t="s">
        <v>88</v>
      </c>
      <c r="H5377" s="19" t="s">
        <v>7175</v>
      </c>
      <c r="I5377" s="23" t="e">
        <f>VLOOKUP(H5377,'合同综合查询数据（3月返）'!$A:$A,1,FALSE)</f>
        <v>#N/A</v>
      </c>
      <c r="J5377" s="24" t="s">
        <v>126</v>
      </c>
      <c r="K5377" s="16" t="s">
        <v>4980</v>
      </c>
      <c r="L5377" s="25" t="s">
        <v>7176</v>
      </c>
      <c r="M5377" s="26" t="s">
        <v>7177</v>
      </c>
      <c r="N5377" s="28">
        <v>44409</v>
      </c>
      <c r="O5377" s="28" t="s">
        <v>127</v>
      </c>
      <c r="P5377" s="29">
        <v>4167</v>
      </c>
      <c r="Q5377" s="35">
        <v>6</v>
      </c>
      <c r="R5377" s="36">
        <f t="shared" si="122"/>
        <v>25002</v>
      </c>
      <c r="S5377" s="117">
        <v>202303</v>
      </c>
      <c r="T5377" s="38" t="s">
        <v>7182</v>
      </c>
      <c r="U5377" s="39"/>
      <c r="V5377" s="398"/>
      <c r="W5377" s="41"/>
      <c r="X5377" s="28" t="s">
        <v>6913</v>
      </c>
      <c r="Y5377" s="28" t="s">
        <v>6914</v>
      </c>
    </row>
    <row r="5378" s="9" customFormat="1" customHeight="1" spans="1:25">
      <c r="A5378" s="16" t="s">
        <v>401</v>
      </c>
      <c r="B5378" s="17" t="s">
        <v>6236</v>
      </c>
      <c r="C5378" s="17" t="s">
        <v>2035</v>
      </c>
      <c r="D5378" s="17" t="s">
        <v>6905</v>
      </c>
      <c r="E5378" s="18" t="s">
        <v>7173</v>
      </c>
      <c r="F5378" s="16" t="s">
        <v>7174</v>
      </c>
      <c r="G5378" s="16" t="s">
        <v>88</v>
      </c>
      <c r="H5378" s="19" t="s">
        <v>7175</v>
      </c>
      <c r="I5378" s="23" t="e">
        <f>VLOOKUP(H5378,'合同综合查询数据（3月返）'!$A:$A,1,FALSE)</f>
        <v>#N/A</v>
      </c>
      <c r="J5378" s="24" t="s">
        <v>126</v>
      </c>
      <c r="K5378" s="16" t="s">
        <v>4980</v>
      </c>
      <c r="L5378" s="25" t="s">
        <v>7176</v>
      </c>
      <c r="M5378" s="26" t="s">
        <v>7177</v>
      </c>
      <c r="N5378" s="28">
        <v>44783</v>
      </c>
      <c r="O5378" s="28" t="s">
        <v>127</v>
      </c>
      <c r="P5378" s="36">
        <v>4167</v>
      </c>
      <c r="Q5378" s="35">
        <v>-2</v>
      </c>
      <c r="R5378" s="120">
        <f t="shared" si="122"/>
        <v>-8334</v>
      </c>
      <c r="S5378" s="117">
        <v>202303</v>
      </c>
      <c r="T5378" s="38" t="s">
        <v>7183</v>
      </c>
      <c r="U5378" s="39"/>
      <c r="V5378" s="398"/>
      <c r="W5378" s="41"/>
      <c r="X5378" s="28" t="s">
        <v>6913</v>
      </c>
      <c r="Y5378" s="28" t="s">
        <v>6914</v>
      </c>
    </row>
    <row r="5379" s="9" customFormat="1" customHeight="1" spans="1:25">
      <c r="A5379" s="16" t="s">
        <v>401</v>
      </c>
      <c r="B5379" s="17" t="s">
        <v>6236</v>
      </c>
      <c r="C5379" s="17" t="s">
        <v>2035</v>
      </c>
      <c r="D5379" s="17" t="s">
        <v>6905</v>
      </c>
      <c r="E5379" s="18" t="s">
        <v>7173</v>
      </c>
      <c r="F5379" s="16" t="s">
        <v>7174</v>
      </c>
      <c r="G5379" s="16" t="s">
        <v>31</v>
      </c>
      <c r="H5379" s="19" t="s">
        <v>7175</v>
      </c>
      <c r="I5379" s="23" t="e">
        <f>VLOOKUP(H5379,'合同综合查询数据（3月返）'!$A:$A,1,FALSE)</f>
        <v>#N/A</v>
      </c>
      <c r="J5379" s="24" t="s">
        <v>33</v>
      </c>
      <c r="K5379" s="16" t="s">
        <v>4980</v>
      </c>
      <c r="L5379" s="25" t="s">
        <v>7176</v>
      </c>
      <c r="M5379" s="26"/>
      <c r="N5379" s="28">
        <v>41354</v>
      </c>
      <c r="O5379" s="28" t="s">
        <v>37</v>
      </c>
      <c r="P5379" s="29">
        <v>0</v>
      </c>
      <c r="Q5379" s="35">
        <v>544</v>
      </c>
      <c r="R5379" s="36">
        <f t="shared" si="122"/>
        <v>0</v>
      </c>
      <c r="S5379" s="117">
        <v>202303</v>
      </c>
      <c r="T5379" s="38" t="s">
        <v>7184</v>
      </c>
      <c r="U5379" s="39"/>
      <c r="V5379" s="398"/>
      <c r="W5379" s="41"/>
      <c r="X5379" s="28" t="s">
        <v>6913</v>
      </c>
      <c r="Y5379" s="28" t="s">
        <v>6914</v>
      </c>
    </row>
    <row r="5380" s="9" customFormat="1" customHeight="1" spans="1:25">
      <c r="A5380" s="16" t="s">
        <v>401</v>
      </c>
      <c r="B5380" s="17" t="s">
        <v>6236</v>
      </c>
      <c r="C5380" s="17" t="s">
        <v>2035</v>
      </c>
      <c r="D5380" s="17" t="s">
        <v>6905</v>
      </c>
      <c r="E5380" s="18" t="s">
        <v>7173</v>
      </c>
      <c r="F5380" s="16" t="s">
        <v>7174</v>
      </c>
      <c r="G5380" s="16" t="s">
        <v>31</v>
      </c>
      <c r="H5380" s="19" t="s">
        <v>7175</v>
      </c>
      <c r="I5380" s="23" t="e">
        <f>VLOOKUP(H5380,'合同综合查询数据（3月返）'!$A:$A,1,FALSE)</f>
        <v>#N/A</v>
      </c>
      <c r="J5380" s="24" t="s">
        <v>33</v>
      </c>
      <c r="K5380" s="16" t="s">
        <v>4980</v>
      </c>
      <c r="L5380" s="25" t="s">
        <v>7176</v>
      </c>
      <c r="M5380" s="26"/>
      <c r="N5380" s="28">
        <v>44281</v>
      </c>
      <c r="O5380" s="28" t="s">
        <v>37</v>
      </c>
      <c r="P5380" s="29">
        <v>0</v>
      </c>
      <c r="Q5380" s="35">
        <v>128</v>
      </c>
      <c r="R5380" s="36">
        <f t="shared" si="122"/>
        <v>0</v>
      </c>
      <c r="S5380" s="117">
        <v>202303</v>
      </c>
      <c r="T5380" s="38" t="s">
        <v>7185</v>
      </c>
      <c r="U5380" s="39"/>
      <c r="V5380" s="398"/>
      <c r="W5380" s="41"/>
      <c r="X5380" s="28" t="s">
        <v>6913</v>
      </c>
      <c r="Y5380" s="28" t="s">
        <v>6914</v>
      </c>
    </row>
    <row r="5381" s="9" customFormat="1" customHeight="1" spans="1:25">
      <c r="A5381" s="16" t="s">
        <v>401</v>
      </c>
      <c r="B5381" s="17" t="s">
        <v>6236</v>
      </c>
      <c r="C5381" s="17" t="s">
        <v>2035</v>
      </c>
      <c r="D5381" s="17" t="s">
        <v>6905</v>
      </c>
      <c r="E5381" s="18" t="s">
        <v>7173</v>
      </c>
      <c r="F5381" s="16" t="s">
        <v>7174</v>
      </c>
      <c r="G5381" s="16" t="s">
        <v>31</v>
      </c>
      <c r="H5381" s="19" t="s">
        <v>7175</v>
      </c>
      <c r="I5381" s="23" t="e">
        <f>VLOOKUP(H5381,'合同综合查询数据（3月返）'!$A:$A,1,FALSE)</f>
        <v>#N/A</v>
      </c>
      <c r="J5381" s="24" t="s">
        <v>33</v>
      </c>
      <c r="K5381" s="16" t="s">
        <v>4980</v>
      </c>
      <c r="L5381" s="25" t="s">
        <v>7176</v>
      </c>
      <c r="M5381" s="26" t="s">
        <v>7177</v>
      </c>
      <c r="N5381" s="28">
        <v>44409</v>
      </c>
      <c r="O5381" s="28" t="s">
        <v>37</v>
      </c>
      <c r="P5381" s="29">
        <v>0</v>
      </c>
      <c r="Q5381" s="35">
        <v>128</v>
      </c>
      <c r="R5381" s="36">
        <f t="shared" si="122"/>
        <v>0</v>
      </c>
      <c r="S5381" s="117">
        <v>202303</v>
      </c>
      <c r="T5381" s="38" t="s">
        <v>7186</v>
      </c>
      <c r="U5381" s="39"/>
      <c r="V5381" s="398"/>
      <c r="W5381" s="41"/>
      <c r="X5381" s="28" t="s">
        <v>6913</v>
      </c>
      <c r="Y5381" s="28" t="s">
        <v>6914</v>
      </c>
    </row>
    <row r="5382" s="10" customFormat="1" customHeight="1" spans="1:25">
      <c r="A5382" s="42" t="s">
        <v>401</v>
      </c>
      <c r="B5382" s="42" t="s">
        <v>6971</v>
      </c>
      <c r="C5382" s="42" t="s">
        <v>4249</v>
      </c>
      <c r="D5382" s="43" t="s">
        <v>6905</v>
      </c>
      <c r="E5382" s="44" t="s">
        <v>7187</v>
      </c>
      <c r="F5382" s="42" t="s">
        <v>7188</v>
      </c>
      <c r="G5382" s="42" t="s">
        <v>88</v>
      </c>
      <c r="H5382" s="45" t="s">
        <v>7189</v>
      </c>
      <c r="I5382" s="47" t="e">
        <f>VLOOKUP(H5382,'合同综合查询数据（3月返）'!$A:$A,1,FALSE)</f>
        <v>#N/A</v>
      </c>
      <c r="J5382" s="48" t="s">
        <v>126</v>
      </c>
      <c r="K5382" s="42" t="s">
        <v>4252</v>
      </c>
      <c r="L5382" s="49" t="s">
        <v>7190</v>
      </c>
      <c r="M5382" s="50" t="s">
        <v>7191</v>
      </c>
      <c r="N5382" s="51">
        <v>43429</v>
      </c>
      <c r="O5382" s="51" t="s">
        <v>1459</v>
      </c>
      <c r="P5382" s="52">
        <v>4166.67</v>
      </c>
      <c r="Q5382" s="141">
        <v>2</v>
      </c>
      <c r="R5382" s="54">
        <f t="shared" si="122"/>
        <v>8333.34</v>
      </c>
      <c r="S5382" s="70">
        <v>202303</v>
      </c>
      <c r="T5382" s="400" t="s">
        <v>7192</v>
      </c>
      <c r="U5382" s="59"/>
      <c r="V5382" s="399"/>
      <c r="W5382" s="59"/>
      <c r="X5382" s="51"/>
      <c r="Y5382" s="51"/>
    </row>
    <row r="5383" s="10" customFormat="1" customHeight="1" spans="1:25">
      <c r="A5383" s="42" t="s">
        <v>401</v>
      </c>
      <c r="B5383" s="42" t="s">
        <v>6971</v>
      </c>
      <c r="C5383" s="42" t="s">
        <v>4249</v>
      </c>
      <c r="D5383" s="43" t="s">
        <v>6905</v>
      </c>
      <c r="E5383" s="44" t="s">
        <v>7187</v>
      </c>
      <c r="F5383" s="42" t="s">
        <v>7188</v>
      </c>
      <c r="G5383" s="42" t="s">
        <v>31</v>
      </c>
      <c r="H5383" s="45" t="s">
        <v>7189</v>
      </c>
      <c r="I5383" s="47" t="e">
        <f>VLOOKUP(H5383,'合同综合查询数据（3月返）'!$A:$A,1,FALSE)</f>
        <v>#N/A</v>
      </c>
      <c r="J5383" s="48" t="s">
        <v>33</v>
      </c>
      <c r="K5383" s="42" t="s">
        <v>4252</v>
      </c>
      <c r="L5383" s="49" t="s">
        <v>7190</v>
      </c>
      <c r="M5383" s="50" t="s">
        <v>7191</v>
      </c>
      <c r="N5383" s="51">
        <v>43429</v>
      </c>
      <c r="O5383" s="42" t="s">
        <v>37</v>
      </c>
      <c r="P5383" s="52">
        <v>0</v>
      </c>
      <c r="Q5383" s="53">
        <v>128</v>
      </c>
      <c r="R5383" s="54">
        <f t="shared" si="122"/>
        <v>0</v>
      </c>
      <c r="S5383" s="70">
        <v>202303</v>
      </c>
      <c r="T5383" s="400" t="s">
        <v>7193</v>
      </c>
      <c r="U5383" s="59"/>
      <c r="V5383" s="399"/>
      <c r="W5383" s="59"/>
      <c r="X5383" s="51"/>
      <c r="Y5383" s="51"/>
    </row>
    <row r="5384" s="10" customFormat="1" customHeight="1" spans="1:25">
      <c r="A5384" s="42" t="s">
        <v>401</v>
      </c>
      <c r="B5384" s="42" t="s">
        <v>6971</v>
      </c>
      <c r="C5384" s="42" t="s">
        <v>4249</v>
      </c>
      <c r="D5384" s="43" t="s">
        <v>6905</v>
      </c>
      <c r="E5384" s="44" t="s">
        <v>7187</v>
      </c>
      <c r="F5384" s="42" t="s">
        <v>7188</v>
      </c>
      <c r="G5384" s="42" t="s">
        <v>31</v>
      </c>
      <c r="H5384" s="45" t="s">
        <v>7189</v>
      </c>
      <c r="I5384" s="47" t="e">
        <f>VLOOKUP(H5384,'合同综合查询数据（3月返）'!$A:$A,1,FALSE)</f>
        <v>#N/A</v>
      </c>
      <c r="J5384" s="48" t="s">
        <v>33</v>
      </c>
      <c r="K5384" s="42" t="s">
        <v>4252</v>
      </c>
      <c r="L5384" s="49" t="s">
        <v>7190</v>
      </c>
      <c r="M5384" s="50" t="s">
        <v>7191</v>
      </c>
      <c r="N5384" s="51">
        <v>43429</v>
      </c>
      <c r="O5384" s="42" t="s">
        <v>37</v>
      </c>
      <c r="P5384" s="52">
        <v>50</v>
      </c>
      <c r="Q5384" s="53">
        <v>32</v>
      </c>
      <c r="R5384" s="54">
        <f t="shared" si="122"/>
        <v>1600</v>
      </c>
      <c r="S5384" s="70">
        <v>202303</v>
      </c>
      <c r="T5384" s="400" t="s">
        <v>7194</v>
      </c>
      <c r="U5384" s="59"/>
      <c r="V5384" s="399"/>
      <c r="W5384" s="59"/>
      <c r="X5384" s="51"/>
      <c r="Y5384" s="51"/>
    </row>
    <row r="5385" s="9" customFormat="1" customHeight="1" spans="1:25">
      <c r="A5385" s="16" t="s">
        <v>401</v>
      </c>
      <c r="B5385" s="17" t="s">
        <v>6236</v>
      </c>
      <c r="C5385" s="17" t="s">
        <v>2035</v>
      </c>
      <c r="D5385" s="17" t="s">
        <v>6905</v>
      </c>
      <c r="E5385" s="18" t="s">
        <v>2036</v>
      </c>
      <c r="F5385" s="16" t="s">
        <v>2037</v>
      </c>
      <c r="G5385" s="16" t="s">
        <v>31</v>
      </c>
      <c r="H5385" s="19" t="s">
        <v>7195</v>
      </c>
      <c r="I5385" s="23" t="e">
        <f>VLOOKUP(H5385,'合同综合查询数据（3月返）'!$A:$A,1,FALSE)</f>
        <v>#N/A</v>
      </c>
      <c r="J5385" s="24" t="s">
        <v>451</v>
      </c>
      <c r="K5385" s="16" t="s">
        <v>7196</v>
      </c>
      <c r="L5385" s="25"/>
      <c r="M5385" s="26"/>
      <c r="N5385" s="28">
        <v>44501</v>
      </c>
      <c r="O5385" s="28" t="s">
        <v>37</v>
      </c>
      <c r="P5385" s="29">
        <v>0</v>
      </c>
      <c r="Q5385" s="35">
        <v>512</v>
      </c>
      <c r="R5385" s="36">
        <f t="shared" si="122"/>
        <v>0</v>
      </c>
      <c r="S5385" s="117">
        <v>202303</v>
      </c>
      <c r="T5385" s="38" t="s">
        <v>7197</v>
      </c>
      <c r="U5385" s="39"/>
      <c r="V5385" s="398"/>
      <c r="W5385" s="41"/>
      <c r="X5385" s="28">
        <v>44531</v>
      </c>
      <c r="Y5385" s="28">
        <v>45260</v>
      </c>
    </row>
    <row r="5386" s="10" customFormat="1" customHeight="1" spans="1:25">
      <c r="A5386" s="42" t="s">
        <v>401</v>
      </c>
      <c r="B5386" s="43" t="s">
        <v>6236</v>
      </c>
      <c r="C5386" s="43" t="s">
        <v>6947</v>
      </c>
      <c r="D5386" s="43" t="s">
        <v>6905</v>
      </c>
      <c r="E5386" s="44" t="s">
        <v>7198</v>
      </c>
      <c r="F5386" s="42" t="s">
        <v>7199</v>
      </c>
      <c r="G5386" s="42" t="s">
        <v>88</v>
      </c>
      <c r="H5386" s="45" t="s">
        <v>7200</v>
      </c>
      <c r="I5386" s="47" t="e">
        <f>VLOOKUP(H5386,'合同综合查询数据（3月返）'!$A:$A,1,FALSE)</f>
        <v>#N/A</v>
      </c>
      <c r="J5386" s="48" t="s">
        <v>126</v>
      </c>
      <c r="K5386" s="42" t="s">
        <v>6967</v>
      </c>
      <c r="L5386" s="49" t="s">
        <v>7201</v>
      </c>
      <c r="M5386" s="50" t="s">
        <v>7202</v>
      </c>
      <c r="N5386" s="51">
        <v>43105</v>
      </c>
      <c r="O5386" s="51" t="s">
        <v>3267</v>
      </c>
      <c r="P5386" s="52">
        <v>0</v>
      </c>
      <c r="Q5386" s="53">
        <v>2</v>
      </c>
      <c r="R5386" s="54">
        <f t="shared" si="122"/>
        <v>0</v>
      </c>
      <c r="S5386" s="70">
        <v>202303</v>
      </c>
      <c r="T5386" s="56" t="s">
        <v>7203</v>
      </c>
      <c r="U5386" s="57"/>
      <c r="V5386" s="399"/>
      <c r="W5386" s="59"/>
      <c r="X5386" s="51"/>
      <c r="Y5386" s="51"/>
    </row>
    <row r="5387" s="10" customFormat="1" customHeight="1" spans="1:25">
      <c r="A5387" s="42" t="s">
        <v>401</v>
      </c>
      <c r="B5387" s="43" t="s">
        <v>6236</v>
      </c>
      <c r="C5387" s="43" t="s">
        <v>6947</v>
      </c>
      <c r="D5387" s="43" t="s">
        <v>6905</v>
      </c>
      <c r="E5387" s="44" t="s">
        <v>7198</v>
      </c>
      <c r="F5387" s="42" t="s">
        <v>7199</v>
      </c>
      <c r="G5387" s="42" t="s">
        <v>31</v>
      </c>
      <c r="H5387" s="45" t="s">
        <v>7200</v>
      </c>
      <c r="I5387" s="47" t="e">
        <f>VLOOKUP(H5387,'合同综合查询数据（3月返）'!$A:$A,1,FALSE)</f>
        <v>#N/A</v>
      </c>
      <c r="J5387" s="48" t="s">
        <v>33</v>
      </c>
      <c r="K5387" s="42" t="s">
        <v>6967</v>
      </c>
      <c r="L5387" s="49" t="s">
        <v>7201</v>
      </c>
      <c r="M5387" s="50"/>
      <c r="N5387" s="51">
        <v>43105</v>
      </c>
      <c r="O5387" s="51" t="s">
        <v>37</v>
      </c>
      <c r="P5387" s="52">
        <v>0</v>
      </c>
      <c r="Q5387" s="53">
        <v>160</v>
      </c>
      <c r="R5387" s="54">
        <f t="shared" si="122"/>
        <v>0</v>
      </c>
      <c r="S5387" s="70">
        <v>202303</v>
      </c>
      <c r="T5387" s="56" t="s">
        <v>7204</v>
      </c>
      <c r="U5387" s="57"/>
      <c r="V5387" s="399"/>
      <c r="W5387" s="59"/>
      <c r="X5387" s="51"/>
      <c r="Y5387" s="51"/>
    </row>
    <row r="5388" s="10" customFormat="1" customHeight="1" spans="1:25">
      <c r="A5388" s="43" t="s">
        <v>399</v>
      </c>
      <c r="B5388" s="43" t="s">
        <v>6937</v>
      </c>
      <c r="C5388" s="43" t="s">
        <v>204</v>
      </c>
      <c r="D5388" s="43" t="s">
        <v>6905</v>
      </c>
      <c r="E5388" s="395" t="s">
        <v>7205</v>
      </c>
      <c r="F5388" s="43" t="s">
        <v>7206</v>
      </c>
      <c r="G5388" s="43" t="s">
        <v>88</v>
      </c>
      <c r="H5388" s="57" t="s">
        <v>7207</v>
      </c>
      <c r="I5388" s="47" t="e">
        <f>VLOOKUP(H5388,'合同综合查询数据（3月返）'!$A:$A,1,FALSE)</f>
        <v>#N/A</v>
      </c>
      <c r="J5388" s="65" t="s">
        <v>126</v>
      </c>
      <c r="K5388" s="43" t="s">
        <v>4584</v>
      </c>
      <c r="L5388" s="43" t="s">
        <v>7208</v>
      </c>
      <c r="M5388" s="50" t="s">
        <v>7209</v>
      </c>
      <c r="N5388" s="392">
        <v>42236</v>
      </c>
      <c r="O5388" s="43" t="s">
        <v>7210</v>
      </c>
      <c r="P5388" s="417">
        <v>5000</v>
      </c>
      <c r="Q5388" s="415">
        <v>10</v>
      </c>
      <c r="R5388" s="418">
        <f t="shared" si="122"/>
        <v>50000</v>
      </c>
      <c r="S5388" s="70">
        <v>202303</v>
      </c>
      <c r="T5388" s="142" t="s">
        <v>7211</v>
      </c>
      <c r="U5388" s="43"/>
      <c r="V5388" s="399"/>
      <c r="W5388" s="146"/>
      <c r="X5388" s="51"/>
      <c r="Y5388" s="51"/>
    </row>
    <row r="5389" s="10" customFormat="1" customHeight="1" spans="1:25">
      <c r="A5389" s="43" t="s">
        <v>399</v>
      </c>
      <c r="B5389" s="43" t="s">
        <v>6937</v>
      </c>
      <c r="C5389" s="43" t="s">
        <v>204</v>
      </c>
      <c r="D5389" s="43" t="s">
        <v>6905</v>
      </c>
      <c r="E5389" s="395" t="s">
        <v>7205</v>
      </c>
      <c r="F5389" s="43" t="s">
        <v>7206</v>
      </c>
      <c r="G5389" s="43" t="s">
        <v>31</v>
      </c>
      <c r="H5389" s="57" t="s">
        <v>7207</v>
      </c>
      <c r="I5389" s="47" t="e">
        <f>VLOOKUP(H5389,'合同综合查询数据（3月返）'!$A:$A,1,FALSE)</f>
        <v>#N/A</v>
      </c>
      <c r="J5389" s="43" t="s">
        <v>33</v>
      </c>
      <c r="K5389" s="43" t="s">
        <v>4584</v>
      </c>
      <c r="L5389" s="43" t="s">
        <v>7208</v>
      </c>
      <c r="M5389" s="50"/>
      <c r="N5389" s="392" t="s">
        <v>6928</v>
      </c>
      <c r="O5389" s="51" t="s">
        <v>37</v>
      </c>
      <c r="P5389" s="417">
        <v>0</v>
      </c>
      <c r="Q5389" s="415">
        <v>160</v>
      </c>
      <c r="R5389" s="141">
        <f t="shared" si="122"/>
        <v>0</v>
      </c>
      <c r="S5389" s="70">
        <v>202303</v>
      </c>
      <c r="T5389" s="142" t="s">
        <v>7212</v>
      </c>
      <c r="U5389" s="43"/>
      <c r="V5389" s="399"/>
      <c r="W5389" s="146"/>
      <c r="X5389" s="51"/>
      <c r="Y5389" s="51"/>
    </row>
    <row r="5390" s="10" customFormat="1" customHeight="1" spans="1:25">
      <c r="A5390" s="43" t="s">
        <v>399</v>
      </c>
      <c r="B5390" s="43" t="s">
        <v>6937</v>
      </c>
      <c r="C5390" s="43" t="s">
        <v>204</v>
      </c>
      <c r="D5390" s="43" t="s">
        <v>6905</v>
      </c>
      <c r="E5390" s="395" t="s">
        <v>7205</v>
      </c>
      <c r="F5390" s="43" t="s">
        <v>7206</v>
      </c>
      <c r="G5390" s="43" t="s">
        <v>31</v>
      </c>
      <c r="H5390" s="57" t="s">
        <v>7207</v>
      </c>
      <c r="I5390" s="47" t="e">
        <f>VLOOKUP(H5390,'合同综合查询数据（3月返）'!$A:$A,1,FALSE)</f>
        <v>#N/A</v>
      </c>
      <c r="J5390" s="43" t="s">
        <v>33</v>
      </c>
      <c r="K5390" s="43" t="s">
        <v>4584</v>
      </c>
      <c r="L5390" s="43" t="s">
        <v>7208</v>
      </c>
      <c r="M5390" s="50"/>
      <c r="N5390" s="392">
        <v>42236</v>
      </c>
      <c r="O5390" s="51" t="s">
        <v>37</v>
      </c>
      <c r="P5390" s="417">
        <v>0</v>
      </c>
      <c r="Q5390" s="415">
        <v>256</v>
      </c>
      <c r="R5390" s="141">
        <f t="shared" si="122"/>
        <v>0</v>
      </c>
      <c r="S5390" s="70">
        <v>202303</v>
      </c>
      <c r="T5390" s="142" t="s">
        <v>7212</v>
      </c>
      <c r="U5390" s="43"/>
      <c r="V5390" s="399"/>
      <c r="W5390" s="146"/>
      <c r="X5390" s="51"/>
      <c r="Y5390" s="51"/>
    </row>
    <row r="5391" s="10" customFormat="1" customHeight="1" spans="1:25">
      <c r="A5391" s="43" t="s">
        <v>399</v>
      </c>
      <c r="B5391" s="43" t="s">
        <v>6937</v>
      </c>
      <c r="C5391" s="43" t="s">
        <v>204</v>
      </c>
      <c r="D5391" s="43" t="s">
        <v>6905</v>
      </c>
      <c r="E5391" s="395" t="s">
        <v>7205</v>
      </c>
      <c r="F5391" s="43" t="s">
        <v>7206</v>
      </c>
      <c r="G5391" s="43" t="s">
        <v>31</v>
      </c>
      <c r="H5391" s="57" t="s">
        <v>7207</v>
      </c>
      <c r="I5391" s="47" t="e">
        <f>VLOOKUP(H5391,'合同综合查询数据（3月返）'!$A:$A,1,FALSE)</f>
        <v>#N/A</v>
      </c>
      <c r="J5391" s="43" t="s">
        <v>33</v>
      </c>
      <c r="K5391" s="43" t="s">
        <v>4584</v>
      </c>
      <c r="L5391" s="43" t="s">
        <v>7208</v>
      </c>
      <c r="M5391" s="50"/>
      <c r="N5391" s="392" t="s">
        <v>6928</v>
      </c>
      <c r="O5391" s="51" t="s">
        <v>37</v>
      </c>
      <c r="P5391" s="417">
        <v>0</v>
      </c>
      <c r="Q5391" s="415">
        <v>256</v>
      </c>
      <c r="R5391" s="141">
        <f t="shared" si="122"/>
        <v>0</v>
      </c>
      <c r="S5391" s="70">
        <v>202303</v>
      </c>
      <c r="T5391" s="142" t="s">
        <v>7212</v>
      </c>
      <c r="U5391" s="43"/>
      <c r="V5391" s="399"/>
      <c r="W5391" s="146"/>
      <c r="X5391" s="51"/>
      <c r="Y5391" s="51"/>
    </row>
    <row r="5392" s="10" customFormat="1" customHeight="1" spans="1:25">
      <c r="A5392" s="43" t="s">
        <v>399</v>
      </c>
      <c r="B5392" s="43" t="s">
        <v>6937</v>
      </c>
      <c r="C5392" s="43" t="s">
        <v>204</v>
      </c>
      <c r="D5392" s="43" t="s">
        <v>6905</v>
      </c>
      <c r="E5392" s="395" t="s">
        <v>7205</v>
      </c>
      <c r="F5392" s="43" t="s">
        <v>7206</v>
      </c>
      <c r="G5392" s="43" t="s">
        <v>31</v>
      </c>
      <c r="H5392" s="57" t="s">
        <v>7207</v>
      </c>
      <c r="I5392" s="47" t="e">
        <f>VLOOKUP(H5392,'合同综合查询数据（3月返）'!$A:$A,1,FALSE)</f>
        <v>#N/A</v>
      </c>
      <c r="J5392" s="43" t="s">
        <v>33</v>
      </c>
      <c r="K5392" s="43" t="s">
        <v>4584</v>
      </c>
      <c r="L5392" s="43" t="s">
        <v>7208</v>
      </c>
      <c r="M5392" s="50"/>
      <c r="N5392" s="392">
        <v>44742</v>
      </c>
      <c r="O5392" s="51" t="s">
        <v>37</v>
      </c>
      <c r="P5392" s="417">
        <v>0</v>
      </c>
      <c r="Q5392" s="415">
        <v>-256</v>
      </c>
      <c r="R5392" s="141">
        <f t="shared" si="122"/>
        <v>0</v>
      </c>
      <c r="S5392" s="70">
        <v>202303</v>
      </c>
      <c r="T5392" s="142" t="s">
        <v>7213</v>
      </c>
      <c r="U5392" s="43"/>
      <c r="V5392" s="399"/>
      <c r="W5392" s="146"/>
      <c r="X5392" s="51"/>
      <c r="Y5392" s="51"/>
    </row>
    <row r="5393" s="10" customFormat="1" customHeight="1" spans="1:25">
      <c r="A5393" s="43" t="s">
        <v>399</v>
      </c>
      <c r="B5393" s="43" t="s">
        <v>6937</v>
      </c>
      <c r="C5393" s="43" t="s">
        <v>204</v>
      </c>
      <c r="D5393" s="43" t="s">
        <v>6905</v>
      </c>
      <c r="E5393" s="395" t="s">
        <v>7205</v>
      </c>
      <c r="F5393" s="43" t="s">
        <v>7206</v>
      </c>
      <c r="G5393" s="43" t="s">
        <v>88</v>
      </c>
      <c r="H5393" s="57" t="s">
        <v>7207</v>
      </c>
      <c r="I5393" s="47" t="e">
        <f>VLOOKUP(H5393,'合同综合查询数据（3月返）'!$A:$A,1,FALSE)</f>
        <v>#N/A</v>
      </c>
      <c r="J5393" s="43" t="s">
        <v>1941</v>
      </c>
      <c r="K5393" s="43" t="s">
        <v>4584</v>
      </c>
      <c r="L5393" s="43" t="s">
        <v>7214</v>
      </c>
      <c r="M5393" s="50" t="s">
        <v>7209</v>
      </c>
      <c r="N5393" s="392">
        <v>42236</v>
      </c>
      <c r="O5393" s="43" t="s">
        <v>7210</v>
      </c>
      <c r="P5393" s="417">
        <v>5000</v>
      </c>
      <c r="Q5393" s="415">
        <v>4</v>
      </c>
      <c r="R5393" s="418">
        <f t="shared" si="122"/>
        <v>20000</v>
      </c>
      <c r="S5393" s="70">
        <v>202303</v>
      </c>
      <c r="T5393" s="142" t="s">
        <v>7215</v>
      </c>
      <c r="U5393" s="43"/>
      <c r="V5393" s="399"/>
      <c r="W5393" s="146"/>
      <c r="X5393" s="51"/>
      <c r="Y5393" s="51"/>
    </row>
    <row r="5394" s="10" customFormat="1" customHeight="1" spans="1:25">
      <c r="A5394" s="43" t="s">
        <v>399</v>
      </c>
      <c r="B5394" s="43" t="s">
        <v>6937</v>
      </c>
      <c r="C5394" s="43" t="s">
        <v>204</v>
      </c>
      <c r="D5394" s="43" t="s">
        <v>6905</v>
      </c>
      <c r="E5394" s="395" t="s">
        <v>7205</v>
      </c>
      <c r="F5394" s="43" t="s">
        <v>7206</v>
      </c>
      <c r="G5394" s="43" t="s">
        <v>31</v>
      </c>
      <c r="H5394" s="57" t="s">
        <v>7207</v>
      </c>
      <c r="I5394" s="47" t="e">
        <f>VLOOKUP(H5394,'合同综合查询数据（3月返）'!$A:$A,1,FALSE)</f>
        <v>#N/A</v>
      </c>
      <c r="J5394" s="43" t="s">
        <v>1019</v>
      </c>
      <c r="K5394" s="43" t="s">
        <v>4584</v>
      </c>
      <c r="L5394" s="43" t="s">
        <v>7214</v>
      </c>
      <c r="M5394" s="50"/>
      <c r="N5394" s="392">
        <v>42236</v>
      </c>
      <c r="O5394" s="51" t="s">
        <v>37</v>
      </c>
      <c r="P5394" s="418">
        <v>0</v>
      </c>
      <c r="Q5394" s="415">
        <v>512</v>
      </c>
      <c r="R5394" s="141">
        <f t="shared" si="122"/>
        <v>0</v>
      </c>
      <c r="S5394" s="70">
        <v>202303</v>
      </c>
      <c r="T5394" s="142" t="s">
        <v>7216</v>
      </c>
      <c r="U5394" s="43"/>
      <c r="V5394" s="399"/>
      <c r="W5394" s="146"/>
      <c r="X5394" s="51"/>
      <c r="Y5394" s="51"/>
    </row>
    <row r="5395" s="10" customFormat="1" customHeight="1" spans="1:25">
      <c r="A5395" s="43" t="s">
        <v>399</v>
      </c>
      <c r="B5395" s="43" t="s">
        <v>6937</v>
      </c>
      <c r="C5395" s="43" t="s">
        <v>204</v>
      </c>
      <c r="D5395" s="43" t="s">
        <v>6905</v>
      </c>
      <c r="E5395" s="395" t="s">
        <v>7205</v>
      </c>
      <c r="F5395" s="43" t="s">
        <v>7206</v>
      </c>
      <c r="G5395" s="43" t="s">
        <v>31</v>
      </c>
      <c r="H5395" s="57" t="s">
        <v>7207</v>
      </c>
      <c r="I5395" s="47" t="e">
        <f>VLOOKUP(H5395,'合同综合查询数据（3月返）'!$A:$A,1,FALSE)</f>
        <v>#N/A</v>
      </c>
      <c r="J5395" s="43" t="s">
        <v>1019</v>
      </c>
      <c r="K5395" s="43" t="s">
        <v>4584</v>
      </c>
      <c r="L5395" s="43" t="s">
        <v>7214</v>
      </c>
      <c r="M5395" s="50"/>
      <c r="N5395" s="392">
        <v>42236</v>
      </c>
      <c r="O5395" s="51" t="s">
        <v>37</v>
      </c>
      <c r="P5395" s="417">
        <v>0</v>
      </c>
      <c r="Q5395" s="415">
        <f>768-Q5394</f>
        <v>256</v>
      </c>
      <c r="R5395" s="141">
        <f t="shared" si="122"/>
        <v>0</v>
      </c>
      <c r="S5395" s="70">
        <v>202303</v>
      </c>
      <c r="T5395" s="142" t="s">
        <v>7217</v>
      </c>
      <c r="U5395" s="43"/>
      <c r="V5395" s="399"/>
      <c r="W5395" s="146"/>
      <c r="X5395" s="51"/>
      <c r="Y5395" s="51"/>
    </row>
    <row r="5396" s="10" customFormat="1" customHeight="1" spans="1:25">
      <c r="A5396" s="43" t="s">
        <v>399</v>
      </c>
      <c r="B5396" s="43" t="s">
        <v>6937</v>
      </c>
      <c r="C5396" s="43" t="s">
        <v>204</v>
      </c>
      <c r="D5396" s="43" t="s">
        <v>6905</v>
      </c>
      <c r="E5396" s="395" t="s">
        <v>7205</v>
      </c>
      <c r="F5396" s="43" t="s">
        <v>7206</v>
      </c>
      <c r="G5396" s="43" t="s">
        <v>88</v>
      </c>
      <c r="H5396" s="57" t="s">
        <v>7207</v>
      </c>
      <c r="I5396" s="47" t="e">
        <f>VLOOKUP(H5396,'合同综合查询数据（3月返）'!$A:$A,1,FALSE)</f>
        <v>#N/A</v>
      </c>
      <c r="J5396" s="65" t="s">
        <v>126</v>
      </c>
      <c r="K5396" s="43" t="s">
        <v>4584</v>
      </c>
      <c r="L5396" s="43" t="s">
        <v>7218</v>
      </c>
      <c r="M5396" s="50" t="s">
        <v>7209</v>
      </c>
      <c r="N5396" s="392">
        <v>43610</v>
      </c>
      <c r="O5396" s="43" t="s">
        <v>7210</v>
      </c>
      <c r="P5396" s="417">
        <v>5000</v>
      </c>
      <c r="Q5396" s="415">
        <v>4</v>
      </c>
      <c r="R5396" s="418">
        <f t="shared" ref="R5396:R5413" si="123">ROUND(P5396*Q5396,2)</f>
        <v>20000</v>
      </c>
      <c r="S5396" s="70">
        <v>202303</v>
      </c>
      <c r="T5396" s="142" t="s">
        <v>7219</v>
      </c>
      <c r="U5396" s="43"/>
      <c r="V5396" s="399"/>
      <c r="W5396" s="146"/>
      <c r="X5396" s="51"/>
      <c r="Y5396" s="51"/>
    </row>
    <row r="5397" s="10" customFormat="1" customHeight="1" spans="1:25">
      <c r="A5397" s="43" t="s">
        <v>399</v>
      </c>
      <c r="B5397" s="43" t="s">
        <v>6937</v>
      </c>
      <c r="C5397" s="43" t="s">
        <v>204</v>
      </c>
      <c r="D5397" s="43" t="s">
        <v>6905</v>
      </c>
      <c r="E5397" s="395" t="s">
        <v>7205</v>
      </c>
      <c r="F5397" s="43" t="s">
        <v>7206</v>
      </c>
      <c r="G5397" s="43" t="s">
        <v>31</v>
      </c>
      <c r="H5397" s="57" t="s">
        <v>7207</v>
      </c>
      <c r="I5397" s="47" t="e">
        <f>VLOOKUP(H5397,'合同综合查询数据（3月返）'!$A:$A,1,FALSE)</f>
        <v>#N/A</v>
      </c>
      <c r="J5397" s="43" t="s">
        <v>33</v>
      </c>
      <c r="K5397" s="43" t="s">
        <v>4584</v>
      </c>
      <c r="L5397" s="43" t="s">
        <v>7218</v>
      </c>
      <c r="M5397" s="50"/>
      <c r="N5397" s="392">
        <v>43610</v>
      </c>
      <c r="O5397" s="51" t="s">
        <v>37</v>
      </c>
      <c r="P5397" s="417">
        <v>0</v>
      </c>
      <c r="Q5397" s="415">
        <v>288</v>
      </c>
      <c r="R5397" s="141">
        <f t="shared" si="123"/>
        <v>0</v>
      </c>
      <c r="S5397" s="70">
        <v>202303</v>
      </c>
      <c r="T5397" s="142" t="s">
        <v>7220</v>
      </c>
      <c r="U5397" s="43"/>
      <c r="V5397" s="399"/>
      <c r="W5397" s="146"/>
      <c r="X5397" s="51"/>
      <c r="Y5397" s="51"/>
    </row>
    <row r="5398" s="10" customFormat="1" customHeight="1" spans="1:25">
      <c r="A5398" s="43" t="s">
        <v>399</v>
      </c>
      <c r="B5398" s="43" t="s">
        <v>6937</v>
      </c>
      <c r="C5398" s="43" t="s">
        <v>204</v>
      </c>
      <c r="D5398" s="43" t="s">
        <v>6905</v>
      </c>
      <c r="E5398" s="395" t="s">
        <v>7205</v>
      </c>
      <c r="F5398" s="43" t="s">
        <v>7206</v>
      </c>
      <c r="G5398" s="43" t="s">
        <v>88</v>
      </c>
      <c r="H5398" s="57" t="s">
        <v>7207</v>
      </c>
      <c r="I5398" s="47" t="e">
        <f>VLOOKUP(H5398,'合同综合查询数据（3月返）'!$A:$A,1,FALSE)</f>
        <v>#N/A</v>
      </c>
      <c r="J5398" s="65" t="s">
        <v>126</v>
      </c>
      <c r="K5398" s="43" t="s">
        <v>206</v>
      </c>
      <c r="L5398" s="43" t="s">
        <v>7221</v>
      </c>
      <c r="M5398" s="43" t="s">
        <v>4190</v>
      </c>
      <c r="N5398" s="392">
        <v>43862</v>
      </c>
      <c r="O5398" s="43" t="s">
        <v>7210</v>
      </c>
      <c r="P5398" s="417">
        <v>5000</v>
      </c>
      <c r="Q5398" s="415">
        <v>3</v>
      </c>
      <c r="R5398" s="415">
        <f t="shared" si="123"/>
        <v>15000</v>
      </c>
      <c r="S5398" s="70">
        <v>202303</v>
      </c>
      <c r="T5398" s="142" t="s">
        <v>7222</v>
      </c>
      <c r="U5398" s="57"/>
      <c r="V5398" s="399"/>
      <c r="W5398" s="420"/>
      <c r="X5398" s="51"/>
      <c r="Y5398" s="51"/>
    </row>
    <row r="5399" s="10" customFormat="1" customHeight="1" spans="1:25">
      <c r="A5399" s="43" t="s">
        <v>399</v>
      </c>
      <c r="B5399" s="43" t="s">
        <v>6937</v>
      </c>
      <c r="C5399" s="43" t="s">
        <v>204</v>
      </c>
      <c r="D5399" s="43" t="s">
        <v>6905</v>
      </c>
      <c r="E5399" s="395" t="s">
        <v>7205</v>
      </c>
      <c r="F5399" s="43" t="s">
        <v>7206</v>
      </c>
      <c r="G5399" s="43" t="s">
        <v>88</v>
      </c>
      <c r="H5399" s="57" t="s">
        <v>7207</v>
      </c>
      <c r="I5399" s="47" t="e">
        <f>VLOOKUP(H5399,'合同综合查询数据（3月返）'!$A:$A,1,FALSE)</f>
        <v>#N/A</v>
      </c>
      <c r="J5399" s="65" t="s">
        <v>126</v>
      </c>
      <c r="K5399" s="43" t="s">
        <v>206</v>
      </c>
      <c r="L5399" s="43" t="s">
        <v>7221</v>
      </c>
      <c r="M5399" s="43" t="s">
        <v>4190</v>
      </c>
      <c r="N5399" s="392">
        <v>44681</v>
      </c>
      <c r="O5399" s="43" t="s">
        <v>7210</v>
      </c>
      <c r="P5399" s="417">
        <v>5000</v>
      </c>
      <c r="Q5399" s="415">
        <v>-3</v>
      </c>
      <c r="R5399" s="415">
        <f t="shared" si="123"/>
        <v>-15000</v>
      </c>
      <c r="S5399" s="70">
        <v>202303</v>
      </c>
      <c r="T5399" s="142" t="s">
        <v>7222</v>
      </c>
      <c r="U5399" s="57"/>
      <c r="V5399" s="399"/>
      <c r="W5399" s="420"/>
      <c r="X5399" s="51"/>
      <c r="Y5399" s="51"/>
    </row>
    <row r="5400" s="10" customFormat="1" customHeight="1" spans="1:25">
      <c r="A5400" s="43" t="s">
        <v>399</v>
      </c>
      <c r="B5400" s="43" t="s">
        <v>6937</v>
      </c>
      <c r="C5400" s="43" t="s">
        <v>204</v>
      </c>
      <c r="D5400" s="43" t="s">
        <v>6905</v>
      </c>
      <c r="E5400" s="395" t="s">
        <v>7205</v>
      </c>
      <c r="F5400" s="43" t="s">
        <v>7206</v>
      </c>
      <c r="G5400" s="43" t="s">
        <v>31</v>
      </c>
      <c r="H5400" s="57" t="s">
        <v>7207</v>
      </c>
      <c r="I5400" s="47" t="e">
        <f>VLOOKUP(H5400,'合同综合查询数据（3月返）'!$A:$A,1,FALSE)</f>
        <v>#N/A</v>
      </c>
      <c r="J5400" s="43" t="s">
        <v>33</v>
      </c>
      <c r="K5400" s="43" t="s">
        <v>206</v>
      </c>
      <c r="L5400" s="43" t="s">
        <v>7221</v>
      </c>
      <c r="M5400" s="43" t="s">
        <v>4190</v>
      </c>
      <c r="N5400" s="392">
        <v>43862</v>
      </c>
      <c r="O5400" s="51" t="s">
        <v>37</v>
      </c>
      <c r="P5400" s="417">
        <v>0</v>
      </c>
      <c r="Q5400" s="415">
        <v>288</v>
      </c>
      <c r="R5400" s="141">
        <f t="shared" si="123"/>
        <v>0</v>
      </c>
      <c r="S5400" s="70">
        <v>202303</v>
      </c>
      <c r="T5400" s="142" t="s">
        <v>7223</v>
      </c>
      <c r="U5400" s="57"/>
      <c r="V5400" s="399"/>
      <c r="W5400" s="420"/>
      <c r="X5400" s="51"/>
      <c r="Y5400" s="51"/>
    </row>
    <row r="5401" s="10" customFormat="1" customHeight="1" spans="1:25">
      <c r="A5401" s="43" t="s">
        <v>399</v>
      </c>
      <c r="B5401" s="43" t="s">
        <v>6937</v>
      </c>
      <c r="C5401" s="43" t="s">
        <v>204</v>
      </c>
      <c r="D5401" s="43" t="s">
        <v>6905</v>
      </c>
      <c r="E5401" s="395" t="s">
        <v>7205</v>
      </c>
      <c r="F5401" s="43" t="s">
        <v>7206</v>
      </c>
      <c r="G5401" s="43" t="s">
        <v>31</v>
      </c>
      <c r="H5401" s="57" t="s">
        <v>7207</v>
      </c>
      <c r="I5401" s="47" t="e">
        <f>VLOOKUP(H5401,'合同综合查询数据（3月返）'!$A:$A,1,FALSE)</f>
        <v>#N/A</v>
      </c>
      <c r="J5401" s="43" t="s">
        <v>33</v>
      </c>
      <c r="K5401" s="43" t="s">
        <v>206</v>
      </c>
      <c r="L5401" s="43" t="s">
        <v>7221</v>
      </c>
      <c r="M5401" s="43" t="s">
        <v>4190</v>
      </c>
      <c r="N5401" s="392">
        <v>44681</v>
      </c>
      <c r="O5401" s="51" t="s">
        <v>37</v>
      </c>
      <c r="P5401" s="417">
        <v>0</v>
      </c>
      <c r="Q5401" s="415">
        <v>-288</v>
      </c>
      <c r="R5401" s="141">
        <f t="shared" si="123"/>
        <v>0</v>
      </c>
      <c r="S5401" s="70">
        <v>202303</v>
      </c>
      <c r="T5401" s="142" t="s">
        <v>7223</v>
      </c>
      <c r="U5401" s="57"/>
      <c r="V5401" s="399"/>
      <c r="W5401" s="420"/>
      <c r="X5401" s="51"/>
      <c r="Y5401" s="51"/>
    </row>
    <row r="5402" s="10" customFormat="1" customHeight="1" spans="1:25">
      <c r="A5402" s="43" t="s">
        <v>399</v>
      </c>
      <c r="B5402" s="43" t="s">
        <v>6937</v>
      </c>
      <c r="C5402" s="43" t="s">
        <v>204</v>
      </c>
      <c r="D5402" s="43" t="s">
        <v>6905</v>
      </c>
      <c r="E5402" s="395" t="s">
        <v>7205</v>
      </c>
      <c r="F5402" s="43" t="s">
        <v>7206</v>
      </c>
      <c r="G5402" s="43" t="s">
        <v>88</v>
      </c>
      <c r="H5402" s="57" t="s">
        <v>7207</v>
      </c>
      <c r="I5402" s="47" t="e">
        <f>VLOOKUP(H5402,'合同综合查询数据（3月返）'!$A:$A,1,FALSE)</f>
        <v>#N/A</v>
      </c>
      <c r="J5402" s="65" t="s">
        <v>126</v>
      </c>
      <c r="K5402" s="43" t="s">
        <v>206</v>
      </c>
      <c r="L5402" s="43" t="s">
        <v>7224</v>
      </c>
      <c r="M5402" s="43" t="s">
        <v>4190</v>
      </c>
      <c r="N5402" s="392">
        <v>44011</v>
      </c>
      <c r="O5402" s="43" t="s">
        <v>7210</v>
      </c>
      <c r="P5402" s="417">
        <v>5000</v>
      </c>
      <c r="Q5402" s="415">
        <v>7</v>
      </c>
      <c r="R5402" s="415">
        <f t="shared" si="123"/>
        <v>35000</v>
      </c>
      <c r="S5402" s="70">
        <v>202303</v>
      </c>
      <c r="T5402" s="142" t="s">
        <v>7225</v>
      </c>
      <c r="U5402" s="57"/>
      <c r="V5402" s="399"/>
      <c r="W5402" s="420"/>
      <c r="X5402" s="51"/>
      <c r="Y5402" s="51"/>
    </row>
    <row r="5403" s="10" customFormat="1" customHeight="1" spans="1:25">
      <c r="A5403" s="43" t="s">
        <v>399</v>
      </c>
      <c r="B5403" s="43" t="s">
        <v>6937</v>
      </c>
      <c r="C5403" s="43" t="s">
        <v>204</v>
      </c>
      <c r="D5403" s="43" t="s">
        <v>6905</v>
      </c>
      <c r="E5403" s="395" t="s">
        <v>7205</v>
      </c>
      <c r="F5403" s="43" t="s">
        <v>7206</v>
      </c>
      <c r="G5403" s="43" t="s">
        <v>88</v>
      </c>
      <c r="H5403" s="57" t="s">
        <v>7207</v>
      </c>
      <c r="I5403" s="47" t="e">
        <f>VLOOKUP(H5403,'合同综合查询数据（3月返）'!$A:$A,1,FALSE)</f>
        <v>#N/A</v>
      </c>
      <c r="J5403" s="65" t="s">
        <v>126</v>
      </c>
      <c r="K5403" s="43" t="s">
        <v>206</v>
      </c>
      <c r="L5403" s="43" t="s">
        <v>7224</v>
      </c>
      <c r="M5403" s="43" t="s">
        <v>4190</v>
      </c>
      <c r="N5403" s="392">
        <v>44712</v>
      </c>
      <c r="O5403" s="43" t="s">
        <v>7210</v>
      </c>
      <c r="P5403" s="417">
        <v>5000</v>
      </c>
      <c r="Q5403" s="415">
        <v>-7</v>
      </c>
      <c r="R5403" s="415">
        <f t="shared" si="123"/>
        <v>-35000</v>
      </c>
      <c r="S5403" s="70">
        <v>202303</v>
      </c>
      <c r="T5403" s="142" t="s">
        <v>7225</v>
      </c>
      <c r="U5403" s="57"/>
      <c r="V5403" s="399"/>
      <c r="W5403" s="420"/>
      <c r="X5403" s="51"/>
      <c r="Y5403" s="51"/>
    </row>
    <row r="5404" s="10" customFormat="1" customHeight="1" spans="1:25">
      <c r="A5404" s="43" t="s">
        <v>399</v>
      </c>
      <c r="B5404" s="43" t="s">
        <v>6937</v>
      </c>
      <c r="C5404" s="43" t="s">
        <v>204</v>
      </c>
      <c r="D5404" s="43" t="s">
        <v>6905</v>
      </c>
      <c r="E5404" s="395" t="s">
        <v>7205</v>
      </c>
      <c r="F5404" s="43" t="s">
        <v>7206</v>
      </c>
      <c r="G5404" s="43" t="s">
        <v>31</v>
      </c>
      <c r="H5404" s="57" t="s">
        <v>7207</v>
      </c>
      <c r="I5404" s="47" t="e">
        <f>VLOOKUP(H5404,'合同综合查询数据（3月返）'!$A:$A,1,FALSE)</f>
        <v>#N/A</v>
      </c>
      <c r="J5404" s="43" t="s">
        <v>33</v>
      </c>
      <c r="K5404" s="43" t="s">
        <v>206</v>
      </c>
      <c r="L5404" s="43" t="s">
        <v>7224</v>
      </c>
      <c r="M5404" s="43" t="s">
        <v>4190</v>
      </c>
      <c r="N5404" s="392">
        <v>44011</v>
      </c>
      <c r="O5404" s="51" t="s">
        <v>37</v>
      </c>
      <c r="P5404" s="417">
        <v>0</v>
      </c>
      <c r="Q5404" s="415">
        <v>288</v>
      </c>
      <c r="R5404" s="141">
        <f t="shared" si="123"/>
        <v>0</v>
      </c>
      <c r="S5404" s="70">
        <v>202303</v>
      </c>
      <c r="T5404" s="142" t="s">
        <v>7226</v>
      </c>
      <c r="U5404" s="57"/>
      <c r="V5404" s="399"/>
      <c r="W5404" s="420"/>
      <c r="X5404" s="51"/>
      <c r="Y5404" s="51"/>
    </row>
    <row r="5405" s="10" customFormat="1" customHeight="1" spans="1:25">
      <c r="A5405" s="43" t="s">
        <v>399</v>
      </c>
      <c r="B5405" s="43" t="s">
        <v>6937</v>
      </c>
      <c r="C5405" s="43" t="s">
        <v>204</v>
      </c>
      <c r="D5405" s="43" t="s">
        <v>6905</v>
      </c>
      <c r="E5405" s="395" t="s">
        <v>7205</v>
      </c>
      <c r="F5405" s="43" t="s">
        <v>7206</v>
      </c>
      <c r="G5405" s="43" t="s">
        <v>31</v>
      </c>
      <c r="H5405" s="57" t="s">
        <v>7207</v>
      </c>
      <c r="I5405" s="47" t="e">
        <f>VLOOKUP(H5405,'合同综合查询数据（3月返）'!$A:$A,1,FALSE)</f>
        <v>#N/A</v>
      </c>
      <c r="J5405" s="43" t="s">
        <v>33</v>
      </c>
      <c r="K5405" s="43" t="s">
        <v>206</v>
      </c>
      <c r="L5405" s="43" t="s">
        <v>7224</v>
      </c>
      <c r="M5405" s="43" t="s">
        <v>4190</v>
      </c>
      <c r="N5405" s="392">
        <v>44712</v>
      </c>
      <c r="O5405" s="51" t="s">
        <v>37</v>
      </c>
      <c r="P5405" s="417">
        <v>0</v>
      </c>
      <c r="Q5405" s="415">
        <v>-288</v>
      </c>
      <c r="R5405" s="141">
        <f t="shared" si="123"/>
        <v>0</v>
      </c>
      <c r="S5405" s="70">
        <v>202303</v>
      </c>
      <c r="T5405" s="142" t="s">
        <v>7226</v>
      </c>
      <c r="U5405" s="57"/>
      <c r="V5405" s="399"/>
      <c r="W5405" s="420"/>
      <c r="X5405" s="51"/>
      <c r="Y5405" s="51"/>
    </row>
    <row r="5406" s="10" customFormat="1" customHeight="1" spans="1:25">
      <c r="A5406" s="43" t="s">
        <v>399</v>
      </c>
      <c r="B5406" s="43" t="s">
        <v>6937</v>
      </c>
      <c r="C5406" s="43" t="s">
        <v>204</v>
      </c>
      <c r="D5406" s="43" t="s">
        <v>6905</v>
      </c>
      <c r="E5406" s="395" t="s">
        <v>7205</v>
      </c>
      <c r="F5406" s="43" t="s">
        <v>7206</v>
      </c>
      <c r="G5406" s="43" t="s">
        <v>88</v>
      </c>
      <c r="H5406" s="57" t="s">
        <v>7207</v>
      </c>
      <c r="I5406" s="47" t="e">
        <f>VLOOKUP(H5406,'合同综合查询数据（3月返）'!$A:$A,1,FALSE)</f>
        <v>#N/A</v>
      </c>
      <c r="J5406" s="65" t="s">
        <v>126</v>
      </c>
      <c r="K5406" s="43" t="s">
        <v>4584</v>
      </c>
      <c r="L5406" s="43" t="s">
        <v>7218</v>
      </c>
      <c r="M5406" s="50" t="s">
        <v>7209</v>
      </c>
      <c r="N5406" s="392">
        <v>44217</v>
      </c>
      <c r="O5406" s="43" t="s">
        <v>7210</v>
      </c>
      <c r="P5406" s="417">
        <v>5000</v>
      </c>
      <c r="Q5406" s="415">
        <v>2</v>
      </c>
      <c r="R5406" s="141">
        <f t="shared" si="123"/>
        <v>10000</v>
      </c>
      <c r="S5406" s="70">
        <v>202303</v>
      </c>
      <c r="T5406" s="142" t="s">
        <v>7227</v>
      </c>
      <c r="U5406" s="57"/>
      <c r="V5406" s="399"/>
      <c r="W5406" s="420"/>
      <c r="X5406" s="51"/>
      <c r="Y5406" s="51"/>
    </row>
    <row r="5407" s="10" customFormat="1" customHeight="1" spans="1:25">
      <c r="A5407" s="43" t="s">
        <v>399</v>
      </c>
      <c r="B5407" s="43" t="s">
        <v>6937</v>
      </c>
      <c r="C5407" s="43" t="s">
        <v>204</v>
      </c>
      <c r="D5407" s="43" t="s">
        <v>6905</v>
      </c>
      <c r="E5407" s="395" t="s">
        <v>7205</v>
      </c>
      <c r="F5407" s="43" t="s">
        <v>7206</v>
      </c>
      <c r="G5407" s="43" t="s">
        <v>31</v>
      </c>
      <c r="H5407" s="57" t="s">
        <v>7207</v>
      </c>
      <c r="I5407" s="47" t="e">
        <f>VLOOKUP(H5407,'合同综合查询数据（3月返）'!$A:$A,1,FALSE)</f>
        <v>#N/A</v>
      </c>
      <c r="J5407" s="43" t="s">
        <v>33</v>
      </c>
      <c r="K5407" s="43" t="s">
        <v>4584</v>
      </c>
      <c r="L5407" s="43" t="s">
        <v>7218</v>
      </c>
      <c r="M5407" s="50"/>
      <c r="N5407" s="392">
        <v>44217</v>
      </c>
      <c r="O5407" s="51" t="s">
        <v>37</v>
      </c>
      <c r="P5407" s="417">
        <v>0</v>
      </c>
      <c r="Q5407" s="415">
        <v>128</v>
      </c>
      <c r="R5407" s="141">
        <f t="shared" si="123"/>
        <v>0</v>
      </c>
      <c r="S5407" s="70">
        <v>202303</v>
      </c>
      <c r="T5407" s="142" t="s">
        <v>7228</v>
      </c>
      <c r="U5407" s="57"/>
      <c r="V5407" s="399"/>
      <c r="W5407" s="420"/>
      <c r="X5407" s="51"/>
      <c r="Y5407" s="51"/>
    </row>
    <row r="5408" s="10" customFormat="1" customHeight="1" spans="1:25">
      <c r="A5408" s="43" t="s">
        <v>399</v>
      </c>
      <c r="B5408" s="43" t="s">
        <v>6937</v>
      </c>
      <c r="C5408" s="42" t="s">
        <v>204</v>
      </c>
      <c r="D5408" s="42" t="s">
        <v>6905</v>
      </c>
      <c r="E5408" s="395" t="s">
        <v>7205</v>
      </c>
      <c r="F5408" s="43" t="s">
        <v>7206</v>
      </c>
      <c r="G5408" s="138" t="s">
        <v>88</v>
      </c>
      <c r="H5408" s="57" t="s">
        <v>7207</v>
      </c>
      <c r="I5408" s="47" t="e">
        <f>VLOOKUP(H5408,'合同综合查询数据（3月返）'!$A:$A,1,FALSE)</f>
        <v>#N/A</v>
      </c>
      <c r="J5408" s="65" t="s">
        <v>126</v>
      </c>
      <c r="K5408" s="43" t="s">
        <v>4584</v>
      </c>
      <c r="L5408" s="138" t="s">
        <v>7208</v>
      </c>
      <c r="M5408" s="50" t="s">
        <v>7209</v>
      </c>
      <c r="N5408" s="51">
        <v>44501</v>
      </c>
      <c r="O5408" s="138" t="s">
        <v>469</v>
      </c>
      <c r="P5408" s="417">
        <v>5000</v>
      </c>
      <c r="Q5408" s="415">
        <v>1</v>
      </c>
      <c r="R5408" s="54">
        <f t="shared" si="123"/>
        <v>5000</v>
      </c>
      <c r="S5408" s="70">
        <v>202303</v>
      </c>
      <c r="T5408" s="142" t="s">
        <v>7229</v>
      </c>
      <c r="U5408" s="139"/>
      <c r="V5408" s="399"/>
      <c r="W5408" s="146"/>
      <c r="X5408" s="51"/>
      <c r="Y5408" s="51"/>
    </row>
    <row r="5409" s="10" customFormat="1" customHeight="1" spans="1:25">
      <c r="A5409" s="43" t="s">
        <v>399</v>
      </c>
      <c r="B5409" s="43" t="s">
        <v>6937</v>
      </c>
      <c r="C5409" s="42" t="s">
        <v>204</v>
      </c>
      <c r="D5409" s="42" t="s">
        <v>6905</v>
      </c>
      <c r="E5409" s="395" t="s">
        <v>7205</v>
      </c>
      <c r="F5409" s="43" t="s">
        <v>7206</v>
      </c>
      <c r="G5409" s="138" t="s">
        <v>88</v>
      </c>
      <c r="H5409" s="57" t="s">
        <v>7207</v>
      </c>
      <c r="I5409" s="47" t="e">
        <f>VLOOKUP(H5409,'合同综合查询数据（3月返）'!$A:$A,1,FALSE)</f>
        <v>#N/A</v>
      </c>
      <c r="J5409" s="65" t="s">
        <v>126</v>
      </c>
      <c r="K5409" s="43" t="s">
        <v>4584</v>
      </c>
      <c r="L5409" s="138" t="s">
        <v>7208</v>
      </c>
      <c r="M5409" s="50" t="s">
        <v>7209</v>
      </c>
      <c r="N5409" s="51">
        <v>44593</v>
      </c>
      <c r="O5409" s="138" t="s">
        <v>469</v>
      </c>
      <c r="P5409" s="417">
        <v>5000</v>
      </c>
      <c r="Q5409" s="415">
        <v>1</v>
      </c>
      <c r="R5409" s="54">
        <f t="shared" si="123"/>
        <v>5000</v>
      </c>
      <c r="S5409" s="70">
        <v>202303</v>
      </c>
      <c r="T5409" s="142" t="s">
        <v>7230</v>
      </c>
      <c r="U5409" s="139"/>
      <c r="V5409" s="399"/>
      <c r="W5409" s="146"/>
      <c r="X5409" s="51"/>
      <c r="Y5409" s="51"/>
    </row>
    <row r="5410" s="10" customFormat="1" customHeight="1" spans="1:25">
      <c r="A5410" s="43" t="s">
        <v>399</v>
      </c>
      <c r="B5410" s="43" t="s">
        <v>6937</v>
      </c>
      <c r="C5410" s="42" t="s">
        <v>204</v>
      </c>
      <c r="D5410" s="42" t="s">
        <v>6905</v>
      </c>
      <c r="E5410" s="395" t="s">
        <v>7205</v>
      </c>
      <c r="F5410" s="43" t="s">
        <v>7206</v>
      </c>
      <c r="G5410" s="138" t="s">
        <v>88</v>
      </c>
      <c r="H5410" s="57" t="s">
        <v>7207</v>
      </c>
      <c r="I5410" s="47" t="e">
        <f>VLOOKUP(H5410,'合同综合查询数据（3月返）'!$A:$A,1,FALSE)</f>
        <v>#N/A</v>
      </c>
      <c r="J5410" s="65" t="s">
        <v>126</v>
      </c>
      <c r="K5410" s="43" t="s">
        <v>4584</v>
      </c>
      <c r="L5410" s="138" t="s">
        <v>7208</v>
      </c>
      <c r="M5410" s="50" t="s">
        <v>7209</v>
      </c>
      <c r="N5410" s="51">
        <v>44742</v>
      </c>
      <c r="O5410" s="138" t="s">
        <v>469</v>
      </c>
      <c r="P5410" s="417">
        <v>5000</v>
      </c>
      <c r="Q5410" s="415">
        <v>-7</v>
      </c>
      <c r="R5410" s="54">
        <f t="shared" si="123"/>
        <v>-35000</v>
      </c>
      <c r="S5410" s="70">
        <v>202303</v>
      </c>
      <c r="T5410" s="142" t="s">
        <v>7231</v>
      </c>
      <c r="U5410" s="139"/>
      <c r="V5410" s="399"/>
      <c r="W5410" s="146"/>
      <c r="X5410" s="51"/>
      <c r="Y5410" s="51"/>
    </row>
    <row r="5411" s="10" customFormat="1" customHeight="1" spans="1:25">
      <c r="A5411" s="43" t="s">
        <v>399</v>
      </c>
      <c r="B5411" s="43" t="s">
        <v>6937</v>
      </c>
      <c r="C5411" s="42" t="s">
        <v>204</v>
      </c>
      <c r="D5411" s="42" t="s">
        <v>6905</v>
      </c>
      <c r="E5411" s="395" t="s">
        <v>7205</v>
      </c>
      <c r="F5411" s="43" t="s">
        <v>7206</v>
      </c>
      <c r="G5411" s="138" t="s">
        <v>88</v>
      </c>
      <c r="H5411" s="57" t="s">
        <v>7232</v>
      </c>
      <c r="I5411" s="47" t="e">
        <f>VLOOKUP(H5411,'合同综合查询数据（3月返）'!$A:$A,1,FALSE)</f>
        <v>#N/A</v>
      </c>
      <c r="J5411" s="65" t="s">
        <v>126</v>
      </c>
      <c r="K5411" s="43" t="s">
        <v>4584</v>
      </c>
      <c r="L5411" s="138" t="s">
        <v>7208</v>
      </c>
      <c r="M5411" s="50" t="s">
        <v>7209</v>
      </c>
      <c r="N5411" s="51">
        <v>44819</v>
      </c>
      <c r="O5411" s="138" t="s">
        <v>469</v>
      </c>
      <c r="P5411" s="417">
        <v>5000</v>
      </c>
      <c r="Q5411" s="415">
        <v>1</v>
      </c>
      <c r="R5411" s="54">
        <f t="shared" si="123"/>
        <v>5000</v>
      </c>
      <c r="S5411" s="70">
        <v>202303</v>
      </c>
      <c r="T5411" s="142" t="s">
        <v>7233</v>
      </c>
      <c r="U5411" s="139"/>
      <c r="V5411" s="399"/>
      <c r="W5411" s="146"/>
      <c r="X5411" s="51"/>
      <c r="Y5411" s="51"/>
    </row>
    <row r="5412" s="10" customFormat="1" customHeight="1" spans="1:25">
      <c r="A5412" s="43" t="s">
        <v>399</v>
      </c>
      <c r="B5412" s="43" t="s">
        <v>6937</v>
      </c>
      <c r="C5412" s="42" t="s">
        <v>204</v>
      </c>
      <c r="D5412" s="42" t="s">
        <v>6905</v>
      </c>
      <c r="E5412" s="395" t="s">
        <v>7205</v>
      </c>
      <c r="F5412" s="43" t="s">
        <v>7206</v>
      </c>
      <c r="G5412" s="138" t="s">
        <v>88</v>
      </c>
      <c r="H5412" s="57" t="s">
        <v>7232</v>
      </c>
      <c r="I5412" s="47" t="e">
        <f>VLOOKUP(H5412,'合同综合查询数据（3月返）'!$A:$A,1,FALSE)</f>
        <v>#N/A</v>
      </c>
      <c r="J5412" s="65" t="s">
        <v>126</v>
      </c>
      <c r="K5412" s="43" t="s">
        <v>4584</v>
      </c>
      <c r="L5412" s="138" t="s">
        <v>7208</v>
      </c>
      <c r="M5412" s="50" t="s">
        <v>7209</v>
      </c>
      <c r="N5412" s="51">
        <v>44923</v>
      </c>
      <c r="O5412" s="138" t="s">
        <v>469</v>
      </c>
      <c r="P5412" s="366">
        <v>5000</v>
      </c>
      <c r="Q5412" s="415">
        <v>1</v>
      </c>
      <c r="R5412" s="54">
        <f t="shared" si="123"/>
        <v>5000</v>
      </c>
      <c r="S5412" s="70">
        <v>202303</v>
      </c>
      <c r="T5412" s="142" t="s">
        <v>7234</v>
      </c>
      <c r="U5412" s="139"/>
      <c r="V5412" s="399"/>
      <c r="W5412" s="146"/>
      <c r="X5412" s="51"/>
      <c r="Y5412" s="51"/>
    </row>
    <row r="5413" s="10" customFormat="1" customHeight="1" spans="1:25">
      <c r="A5413" s="62" t="s">
        <v>399</v>
      </c>
      <c r="B5413" s="43" t="s">
        <v>6937</v>
      </c>
      <c r="C5413" s="60" t="s">
        <v>204</v>
      </c>
      <c r="D5413" s="60" t="s">
        <v>6905</v>
      </c>
      <c r="E5413" s="47" t="s">
        <v>7205</v>
      </c>
      <c r="F5413" s="62" t="s">
        <v>7206</v>
      </c>
      <c r="G5413" s="138" t="s">
        <v>88</v>
      </c>
      <c r="H5413" s="57" t="s">
        <v>7235</v>
      </c>
      <c r="I5413" s="47" t="e">
        <f>VLOOKUP(H5413,'合同综合查询数据（3月返）'!$A:$A,1,FALSE)</f>
        <v>#N/A</v>
      </c>
      <c r="J5413" s="65" t="s">
        <v>126</v>
      </c>
      <c r="K5413" s="62" t="s">
        <v>206</v>
      </c>
      <c r="L5413" s="138" t="s">
        <v>7236</v>
      </c>
      <c r="M5413" s="50" t="s">
        <v>7237</v>
      </c>
      <c r="N5413" s="51">
        <v>44873</v>
      </c>
      <c r="O5413" s="138" t="s">
        <v>2283</v>
      </c>
      <c r="P5413" s="52">
        <v>5000</v>
      </c>
      <c r="Q5413" s="53">
        <v>2</v>
      </c>
      <c r="R5413" s="54">
        <f t="shared" si="123"/>
        <v>10000</v>
      </c>
      <c r="S5413" s="55">
        <v>202303</v>
      </c>
      <c r="T5413" s="142" t="s">
        <v>7238</v>
      </c>
      <c r="U5413" s="139"/>
      <c r="V5413" s="421"/>
      <c r="W5413" s="399"/>
      <c r="X5413" s="51"/>
      <c r="Y5413" s="51"/>
    </row>
    <row r="5414" s="10" customFormat="1" customHeight="1" spans="1:25">
      <c r="A5414" s="62" t="s">
        <v>399</v>
      </c>
      <c r="B5414" s="43" t="s">
        <v>6937</v>
      </c>
      <c r="C5414" s="60" t="s">
        <v>204</v>
      </c>
      <c r="D5414" s="60" t="s">
        <v>6905</v>
      </c>
      <c r="E5414" s="47" t="s">
        <v>7205</v>
      </c>
      <c r="F5414" s="62" t="s">
        <v>7206</v>
      </c>
      <c r="G5414" s="138" t="s">
        <v>31</v>
      </c>
      <c r="H5414" s="57" t="s">
        <v>7235</v>
      </c>
      <c r="I5414" s="47" t="e">
        <f>VLOOKUP(H5414,'合同综合查询数据（3月返）'!$A:$A,1,FALSE)</f>
        <v>#N/A</v>
      </c>
      <c r="J5414" s="65" t="s">
        <v>33</v>
      </c>
      <c r="K5414" s="62" t="s">
        <v>206</v>
      </c>
      <c r="L5414" s="138" t="s">
        <v>7236</v>
      </c>
      <c r="M5414" s="50" t="s">
        <v>7237</v>
      </c>
      <c r="N5414" s="51">
        <v>44873</v>
      </c>
      <c r="O5414" s="138" t="s">
        <v>37</v>
      </c>
      <c r="P5414" s="52">
        <v>0</v>
      </c>
      <c r="Q5414" s="53">
        <v>512</v>
      </c>
      <c r="R5414" s="54">
        <f>ROUND(P5414*Q5414*23/30,2)</f>
        <v>0</v>
      </c>
      <c r="S5414" s="55">
        <v>202303</v>
      </c>
      <c r="T5414" s="142" t="s">
        <v>7239</v>
      </c>
      <c r="U5414" s="139"/>
      <c r="V5414" s="421"/>
      <c r="W5414" s="399"/>
      <c r="X5414" s="51"/>
      <c r="Y5414" s="51"/>
    </row>
    <row r="5415" s="10" customFormat="1" customHeight="1" spans="1:25">
      <c r="A5415" s="62" t="s">
        <v>399</v>
      </c>
      <c r="B5415" s="43" t="s">
        <v>6937</v>
      </c>
      <c r="C5415" s="60" t="s">
        <v>204</v>
      </c>
      <c r="D5415" s="60" t="s">
        <v>6905</v>
      </c>
      <c r="E5415" s="47" t="s">
        <v>7205</v>
      </c>
      <c r="F5415" s="62" t="s">
        <v>7206</v>
      </c>
      <c r="G5415" s="138" t="s">
        <v>31</v>
      </c>
      <c r="H5415" s="57" t="s">
        <v>7235</v>
      </c>
      <c r="I5415" s="47" t="e">
        <f>VLOOKUP(H5415,'合同综合查询数据（3月返）'!$A:$A,1,FALSE)</f>
        <v>#N/A</v>
      </c>
      <c r="J5415" s="65" t="s">
        <v>33</v>
      </c>
      <c r="K5415" s="62" t="s">
        <v>206</v>
      </c>
      <c r="L5415" s="138" t="s">
        <v>7236</v>
      </c>
      <c r="M5415" s="50" t="s">
        <v>7237</v>
      </c>
      <c r="N5415" s="51">
        <v>44873</v>
      </c>
      <c r="O5415" s="138" t="s">
        <v>152</v>
      </c>
      <c r="P5415" s="52">
        <v>0</v>
      </c>
      <c r="Q5415" s="53">
        <v>2</v>
      </c>
      <c r="R5415" s="54">
        <f t="shared" ref="R5415:R5478" si="124">ROUND(P5415*Q5415,2)</f>
        <v>0</v>
      </c>
      <c r="S5415" s="55">
        <v>202303</v>
      </c>
      <c r="T5415" s="142" t="s">
        <v>7240</v>
      </c>
      <c r="U5415" s="139"/>
      <c r="V5415" s="421"/>
      <c r="W5415" s="399"/>
      <c r="X5415" s="51"/>
      <c r="Y5415" s="51"/>
    </row>
    <row r="5416" s="10" customFormat="1" customHeight="1" spans="1:25">
      <c r="A5416" s="62" t="s">
        <v>399</v>
      </c>
      <c r="B5416" s="43" t="s">
        <v>6937</v>
      </c>
      <c r="C5416" s="60" t="s">
        <v>204</v>
      </c>
      <c r="D5416" s="60" t="s">
        <v>6905</v>
      </c>
      <c r="E5416" s="47" t="s">
        <v>7205</v>
      </c>
      <c r="F5416" s="62" t="s">
        <v>7206</v>
      </c>
      <c r="G5416" s="138" t="s">
        <v>88</v>
      </c>
      <c r="H5416" s="57" t="s">
        <v>7235</v>
      </c>
      <c r="I5416" s="47" t="e">
        <f>VLOOKUP(H5416,'合同综合查询数据（3月返）'!$A:$A,1,FALSE)</f>
        <v>#N/A</v>
      </c>
      <c r="J5416" s="65" t="s">
        <v>126</v>
      </c>
      <c r="K5416" s="62" t="s">
        <v>206</v>
      </c>
      <c r="L5416" s="138" t="s">
        <v>7241</v>
      </c>
      <c r="M5416" s="50" t="s">
        <v>7237</v>
      </c>
      <c r="N5416" s="51">
        <v>44866</v>
      </c>
      <c r="O5416" s="138" t="s">
        <v>2283</v>
      </c>
      <c r="P5416" s="52">
        <v>5000</v>
      </c>
      <c r="Q5416" s="53">
        <v>2</v>
      </c>
      <c r="R5416" s="54">
        <f t="shared" si="124"/>
        <v>10000</v>
      </c>
      <c r="S5416" s="55">
        <v>202303</v>
      </c>
      <c r="T5416" s="142" t="s">
        <v>7242</v>
      </c>
      <c r="U5416" s="139"/>
      <c r="V5416" s="421"/>
      <c r="W5416" s="399"/>
      <c r="X5416" s="51"/>
      <c r="Y5416" s="51"/>
    </row>
    <row r="5417" s="10" customFormat="1" customHeight="1" spans="1:25">
      <c r="A5417" s="62" t="s">
        <v>399</v>
      </c>
      <c r="B5417" s="43" t="s">
        <v>6937</v>
      </c>
      <c r="C5417" s="60" t="s">
        <v>204</v>
      </c>
      <c r="D5417" s="60" t="s">
        <v>6905</v>
      </c>
      <c r="E5417" s="47" t="s">
        <v>7205</v>
      </c>
      <c r="F5417" s="62" t="s">
        <v>7206</v>
      </c>
      <c r="G5417" s="138" t="s">
        <v>31</v>
      </c>
      <c r="H5417" s="57" t="s">
        <v>7235</v>
      </c>
      <c r="I5417" s="47" t="e">
        <f>VLOOKUP(H5417,'合同综合查询数据（3月返）'!$A:$A,1,FALSE)</f>
        <v>#N/A</v>
      </c>
      <c r="J5417" s="65" t="s">
        <v>33</v>
      </c>
      <c r="K5417" s="62" t="s">
        <v>206</v>
      </c>
      <c r="L5417" s="138" t="s">
        <v>7241</v>
      </c>
      <c r="M5417" s="50" t="s">
        <v>7237</v>
      </c>
      <c r="N5417" s="51">
        <v>44866</v>
      </c>
      <c r="O5417" s="138" t="s">
        <v>37</v>
      </c>
      <c r="P5417" s="52">
        <v>0</v>
      </c>
      <c r="Q5417" s="53">
        <v>512</v>
      </c>
      <c r="R5417" s="54">
        <f t="shared" si="124"/>
        <v>0</v>
      </c>
      <c r="S5417" s="55">
        <v>202303</v>
      </c>
      <c r="T5417" s="142" t="s">
        <v>7243</v>
      </c>
      <c r="U5417" s="139"/>
      <c r="V5417" s="421"/>
      <c r="W5417" s="399"/>
      <c r="X5417" s="51"/>
      <c r="Y5417" s="51"/>
    </row>
    <row r="5418" s="10" customFormat="1" customHeight="1" spans="1:25">
      <c r="A5418" s="62" t="s">
        <v>399</v>
      </c>
      <c r="B5418" s="43" t="s">
        <v>6937</v>
      </c>
      <c r="C5418" s="60" t="s">
        <v>204</v>
      </c>
      <c r="D5418" s="60" t="s">
        <v>6905</v>
      </c>
      <c r="E5418" s="47" t="s">
        <v>7205</v>
      </c>
      <c r="F5418" s="62" t="s">
        <v>7206</v>
      </c>
      <c r="G5418" s="138" t="s">
        <v>31</v>
      </c>
      <c r="H5418" s="57" t="s">
        <v>7235</v>
      </c>
      <c r="I5418" s="47" t="e">
        <f>VLOOKUP(H5418,'合同综合查询数据（3月返）'!$A:$A,1,FALSE)</f>
        <v>#N/A</v>
      </c>
      <c r="J5418" s="65" t="s">
        <v>33</v>
      </c>
      <c r="K5418" s="62" t="s">
        <v>206</v>
      </c>
      <c r="L5418" s="138" t="s">
        <v>7241</v>
      </c>
      <c r="M5418" s="50" t="s">
        <v>7237</v>
      </c>
      <c r="N5418" s="51">
        <v>44866</v>
      </c>
      <c r="O5418" s="138" t="s">
        <v>152</v>
      </c>
      <c r="P5418" s="52">
        <v>0</v>
      </c>
      <c r="Q5418" s="53">
        <v>2</v>
      </c>
      <c r="R5418" s="54">
        <f t="shared" si="124"/>
        <v>0</v>
      </c>
      <c r="S5418" s="55">
        <v>202303</v>
      </c>
      <c r="T5418" s="142" t="s">
        <v>7244</v>
      </c>
      <c r="U5418" s="139"/>
      <c r="V5418" s="421"/>
      <c r="W5418" s="399"/>
      <c r="X5418" s="51"/>
      <c r="Y5418" s="51"/>
    </row>
    <row r="5419" s="10" customFormat="1" customHeight="1" spans="1:25">
      <c r="A5419" s="42" t="s">
        <v>399</v>
      </c>
      <c r="B5419" s="43" t="s">
        <v>6236</v>
      </c>
      <c r="C5419" s="43" t="s">
        <v>169</v>
      </c>
      <c r="D5419" s="43" t="s">
        <v>6905</v>
      </c>
      <c r="E5419" s="44" t="s">
        <v>7245</v>
      </c>
      <c r="F5419" s="42" t="s">
        <v>7246</v>
      </c>
      <c r="G5419" s="42" t="s">
        <v>88</v>
      </c>
      <c r="H5419" s="45" t="s">
        <v>7247</v>
      </c>
      <c r="I5419" s="47" t="e">
        <f>VLOOKUP(H5419,'合同综合查询数据（3月返）'!$A:$A,1,FALSE)</f>
        <v>#N/A</v>
      </c>
      <c r="J5419" s="48" t="s">
        <v>2256</v>
      </c>
      <c r="K5419" s="42" t="s">
        <v>171</v>
      </c>
      <c r="L5419" s="49" t="s">
        <v>7248</v>
      </c>
      <c r="M5419" s="50" t="s">
        <v>7249</v>
      </c>
      <c r="N5419" s="51">
        <v>43497</v>
      </c>
      <c r="O5419" s="51" t="s">
        <v>457</v>
      </c>
      <c r="P5419" s="52">
        <v>5500</v>
      </c>
      <c r="Q5419" s="53">
        <v>5</v>
      </c>
      <c r="R5419" s="54">
        <f t="shared" si="124"/>
        <v>27500</v>
      </c>
      <c r="S5419" s="70">
        <v>202303</v>
      </c>
      <c r="T5419" s="56" t="s">
        <v>7250</v>
      </c>
      <c r="U5419" s="57"/>
      <c r="V5419" s="399"/>
      <c r="W5419" s="59"/>
      <c r="X5419" s="51"/>
      <c r="Y5419" s="51"/>
    </row>
    <row r="5420" s="10" customFormat="1" customHeight="1" spans="1:25">
      <c r="A5420" s="42" t="s">
        <v>399</v>
      </c>
      <c r="B5420" s="43" t="s">
        <v>6236</v>
      </c>
      <c r="C5420" s="43" t="s">
        <v>169</v>
      </c>
      <c r="D5420" s="43" t="s">
        <v>6905</v>
      </c>
      <c r="E5420" s="44" t="s">
        <v>7245</v>
      </c>
      <c r="F5420" s="42" t="s">
        <v>7246</v>
      </c>
      <c r="G5420" s="42" t="s">
        <v>88</v>
      </c>
      <c r="H5420" s="45" t="s">
        <v>7247</v>
      </c>
      <c r="I5420" s="47" t="e">
        <f>VLOOKUP(H5420,'合同综合查询数据（3月返）'!$A:$A,1,FALSE)</f>
        <v>#N/A</v>
      </c>
      <c r="J5420" s="48" t="s">
        <v>2256</v>
      </c>
      <c r="K5420" s="42" t="s">
        <v>171</v>
      </c>
      <c r="L5420" s="49" t="s">
        <v>7248</v>
      </c>
      <c r="M5420" s="50" t="s">
        <v>7249</v>
      </c>
      <c r="N5420" s="51">
        <v>43921</v>
      </c>
      <c r="O5420" s="51" t="s">
        <v>457</v>
      </c>
      <c r="P5420" s="52">
        <v>5500</v>
      </c>
      <c r="Q5420" s="53">
        <v>-2</v>
      </c>
      <c r="R5420" s="54">
        <f t="shared" si="124"/>
        <v>-11000</v>
      </c>
      <c r="S5420" s="70">
        <v>202303</v>
      </c>
      <c r="T5420" s="56" t="s">
        <v>7251</v>
      </c>
      <c r="U5420" s="57"/>
      <c r="V5420" s="399"/>
      <c r="W5420" s="59"/>
      <c r="X5420" s="51"/>
      <c r="Y5420" s="51"/>
    </row>
    <row r="5421" s="10" customFormat="1" customHeight="1" spans="1:25">
      <c r="A5421" s="42" t="s">
        <v>399</v>
      </c>
      <c r="B5421" s="43" t="s">
        <v>6236</v>
      </c>
      <c r="C5421" s="43" t="s">
        <v>169</v>
      </c>
      <c r="D5421" s="43" t="s">
        <v>6905</v>
      </c>
      <c r="E5421" s="44" t="s">
        <v>7245</v>
      </c>
      <c r="F5421" s="42" t="s">
        <v>7246</v>
      </c>
      <c r="G5421" s="42" t="s">
        <v>31</v>
      </c>
      <c r="H5421" s="45" t="s">
        <v>7247</v>
      </c>
      <c r="I5421" s="47" t="e">
        <f>VLOOKUP(H5421,'合同综合查询数据（3月返）'!$A:$A,1,FALSE)</f>
        <v>#N/A</v>
      </c>
      <c r="J5421" s="48" t="s">
        <v>33</v>
      </c>
      <c r="K5421" s="42" t="s">
        <v>171</v>
      </c>
      <c r="L5421" s="49" t="s">
        <v>7248</v>
      </c>
      <c r="M5421" s="50"/>
      <c r="N5421" s="51">
        <v>43497</v>
      </c>
      <c r="O5421" s="51" t="s">
        <v>37</v>
      </c>
      <c r="P5421" s="52">
        <v>0</v>
      </c>
      <c r="Q5421" s="53">
        <v>288</v>
      </c>
      <c r="R5421" s="54">
        <f t="shared" si="124"/>
        <v>0</v>
      </c>
      <c r="S5421" s="70">
        <v>202303</v>
      </c>
      <c r="T5421" s="56" t="s">
        <v>7252</v>
      </c>
      <c r="U5421" s="57"/>
      <c r="V5421" s="399"/>
      <c r="W5421" s="59"/>
      <c r="X5421" s="51"/>
      <c r="Y5421" s="51"/>
    </row>
    <row r="5422" s="10" customFormat="1" customHeight="1" spans="1:25">
      <c r="A5422" s="42" t="s">
        <v>399</v>
      </c>
      <c r="B5422" s="43" t="s">
        <v>6236</v>
      </c>
      <c r="C5422" s="43" t="s">
        <v>169</v>
      </c>
      <c r="D5422" s="43" t="s">
        <v>6905</v>
      </c>
      <c r="E5422" s="44" t="s">
        <v>7245</v>
      </c>
      <c r="F5422" s="42" t="s">
        <v>7246</v>
      </c>
      <c r="G5422" s="42" t="s">
        <v>88</v>
      </c>
      <c r="H5422" s="45" t="s">
        <v>7247</v>
      </c>
      <c r="I5422" s="47" t="e">
        <f>VLOOKUP(H5422,'合同综合查询数据（3月返）'!$A:$A,1,FALSE)</f>
        <v>#N/A</v>
      </c>
      <c r="J5422" s="48" t="s">
        <v>2256</v>
      </c>
      <c r="K5422" s="42" t="s">
        <v>171</v>
      </c>
      <c r="L5422" s="49" t="s">
        <v>7248</v>
      </c>
      <c r="M5422" s="50" t="s">
        <v>7249</v>
      </c>
      <c r="N5422" s="51">
        <v>44440</v>
      </c>
      <c r="O5422" s="51" t="s">
        <v>457</v>
      </c>
      <c r="P5422" s="52">
        <v>5500</v>
      </c>
      <c r="Q5422" s="53">
        <v>2</v>
      </c>
      <c r="R5422" s="54">
        <f t="shared" si="124"/>
        <v>11000</v>
      </c>
      <c r="S5422" s="70">
        <v>202303</v>
      </c>
      <c r="T5422" s="56" t="s">
        <v>7253</v>
      </c>
      <c r="U5422" s="57"/>
      <c r="V5422" s="399"/>
      <c r="W5422" s="59"/>
      <c r="X5422" s="51"/>
      <c r="Y5422" s="51"/>
    </row>
    <row r="5423" s="10" customFormat="1" customHeight="1" spans="1:25">
      <c r="A5423" s="42" t="s">
        <v>399</v>
      </c>
      <c r="B5423" s="43" t="s">
        <v>6236</v>
      </c>
      <c r="C5423" s="43" t="s">
        <v>169</v>
      </c>
      <c r="D5423" s="43" t="s">
        <v>6905</v>
      </c>
      <c r="E5423" s="44" t="s">
        <v>7245</v>
      </c>
      <c r="F5423" s="42" t="s">
        <v>7246</v>
      </c>
      <c r="G5423" s="42" t="s">
        <v>88</v>
      </c>
      <c r="H5423" s="45" t="s">
        <v>7247</v>
      </c>
      <c r="I5423" s="47" t="e">
        <f>VLOOKUP(H5423,'合同综合查询数据（3月返）'!$A:$A,1,FALSE)</f>
        <v>#N/A</v>
      </c>
      <c r="J5423" s="48" t="s">
        <v>2256</v>
      </c>
      <c r="K5423" s="42" t="s">
        <v>171</v>
      </c>
      <c r="L5423" s="49" t="s">
        <v>7248</v>
      </c>
      <c r="M5423" s="50" t="s">
        <v>7249</v>
      </c>
      <c r="N5423" s="51">
        <v>44681</v>
      </c>
      <c r="O5423" s="51" t="s">
        <v>457</v>
      </c>
      <c r="P5423" s="52">
        <v>5500</v>
      </c>
      <c r="Q5423" s="53">
        <v>-1</v>
      </c>
      <c r="R5423" s="54">
        <f t="shared" si="124"/>
        <v>-5500</v>
      </c>
      <c r="S5423" s="70">
        <v>202303</v>
      </c>
      <c r="T5423" s="56" t="s">
        <v>7254</v>
      </c>
      <c r="U5423" s="57"/>
      <c r="V5423" s="399"/>
      <c r="W5423" s="59"/>
      <c r="X5423" s="51"/>
      <c r="Y5423" s="51"/>
    </row>
    <row r="5424" s="10" customFormat="1" customHeight="1" spans="1:25">
      <c r="A5424" s="42" t="s">
        <v>399</v>
      </c>
      <c r="B5424" s="43" t="s">
        <v>6236</v>
      </c>
      <c r="C5424" s="43" t="s">
        <v>169</v>
      </c>
      <c r="D5424" s="43" t="s">
        <v>6905</v>
      </c>
      <c r="E5424" s="44" t="s">
        <v>7245</v>
      </c>
      <c r="F5424" s="42" t="s">
        <v>7246</v>
      </c>
      <c r="G5424" s="42" t="s">
        <v>88</v>
      </c>
      <c r="H5424" s="45" t="s">
        <v>7247</v>
      </c>
      <c r="I5424" s="47" t="e">
        <f>VLOOKUP(H5424,'合同综合查询数据（3月返）'!$A:$A,1,FALSE)</f>
        <v>#N/A</v>
      </c>
      <c r="J5424" s="48" t="s">
        <v>2256</v>
      </c>
      <c r="K5424" s="42" t="s">
        <v>171</v>
      </c>
      <c r="L5424" s="49" t="s">
        <v>7248</v>
      </c>
      <c r="M5424" s="50" t="s">
        <v>7249</v>
      </c>
      <c r="N5424" s="51">
        <v>44593</v>
      </c>
      <c r="O5424" s="51" t="s">
        <v>457</v>
      </c>
      <c r="P5424" s="52">
        <v>5500</v>
      </c>
      <c r="Q5424" s="53">
        <v>2</v>
      </c>
      <c r="R5424" s="54">
        <f t="shared" si="124"/>
        <v>11000</v>
      </c>
      <c r="S5424" s="70">
        <v>202303</v>
      </c>
      <c r="T5424" s="56" t="s">
        <v>7255</v>
      </c>
      <c r="U5424" s="57"/>
      <c r="V5424" s="399"/>
      <c r="W5424" s="59"/>
      <c r="X5424" s="51"/>
      <c r="Y5424" s="51"/>
    </row>
    <row r="5425" s="10" customFormat="1" customHeight="1" spans="1:25">
      <c r="A5425" s="42" t="s">
        <v>399</v>
      </c>
      <c r="B5425" s="43" t="s">
        <v>6236</v>
      </c>
      <c r="C5425" s="43" t="s">
        <v>169</v>
      </c>
      <c r="D5425" s="43" t="s">
        <v>6905</v>
      </c>
      <c r="E5425" s="44" t="s">
        <v>7245</v>
      </c>
      <c r="F5425" s="42" t="s">
        <v>7246</v>
      </c>
      <c r="G5425" s="42" t="s">
        <v>88</v>
      </c>
      <c r="H5425" s="45" t="s">
        <v>7247</v>
      </c>
      <c r="I5425" s="47" t="e">
        <f>VLOOKUP(H5425,'合同综合查询数据（3月返）'!$A:$A,1,FALSE)</f>
        <v>#N/A</v>
      </c>
      <c r="J5425" s="48" t="s">
        <v>2256</v>
      </c>
      <c r="K5425" s="42" t="s">
        <v>171</v>
      </c>
      <c r="L5425" s="49" t="s">
        <v>7248</v>
      </c>
      <c r="M5425" s="50" t="s">
        <v>7249</v>
      </c>
      <c r="N5425" s="51">
        <v>44895</v>
      </c>
      <c r="O5425" s="51" t="s">
        <v>457</v>
      </c>
      <c r="P5425" s="52">
        <v>5500</v>
      </c>
      <c r="Q5425" s="53">
        <v>-1</v>
      </c>
      <c r="R5425" s="54">
        <f t="shared" si="124"/>
        <v>-5500</v>
      </c>
      <c r="S5425" s="70">
        <v>202303</v>
      </c>
      <c r="T5425" s="56" t="s">
        <v>7256</v>
      </c>
      <c r="U5425" s="57"/>
      <c r="V5425" s="399"/>
      <c r="W5425" s="59"/>
      <c r="X5425" s="51"/>
      <c r="Y5425" s="51"/>
    </row>
    <row r="5426" s="10" customFormat="1" customHeight="1" spans="1:25">
      <c r="A5426" s="42" t="s">
        <v>399</v>
      </c>
      <c r="B5426" s="43" t="s">
        <v>6236</v>
      </c>
      <c r="C5426" s="43" t="s">
        <v>169</v>
      </c>
      <c r="D5426" s="43" t="s">
        <v>6905</v>
      </c>
      <c r="E5426" s="44" t="s">
        <v>7245</v>
      </c>
      <c r="F5426" s="42" t="s">
        <v>7246</v>
      </c>
      <c r="G5426" s="42" t="s">
        <v>88</v>
      </c>
      <c r="H5426" s="45" t="s">
        <v>7257</v>
      </c>
      <c r="I5426" s="47" t="e">
        <f>VLOOKUP(H5426,'合同综合查询数据（3月返）'!$A:$A,1,FALSE)</f>
        <v>#N/A</v>
      </c>
      <c r="J5426" s="48" t="s">
        <v>2256</v>
      </c>
      <c r="K5426" s="42" t="s">
        <v>171</v>
      </c>
      <c r="L5426" s="49" t="s">
        <v>7248</v>
      </c>
      <c r="M5426" s="50" t="s">
        <v>7249</v>
      </c>
      <c r="N5426" s="51">
        <v>44940</v>
      </c>
      <c r="O5426" s="51" t="s">
        <v>457</v>
      </c>
      <c r="P5426" s="52">
        <v>5500</v>
      </c>
      <c r="Q5426" s="53">
        <v>1</v>
      </c>
      <c r="R5426" s="69">
        <f t="shared" si="124"/>
        <v>5500</v>
      </c>
      <c r="S5426" s="70">
        <v>202303</v>
      </c>
      <c r="T5426" s="56" t="s">
        <v>7258</v>
      </c>
      <c r="U5426" s="57"/>
      <c r="V5426" s="399"/>
      <c r="W5426" s="59"/>
      <c r="X5426" s="51"/>
      <c r="Y5426" s="51"/>
    </row>
    <row r="5427" s="10" customFormat="1" customHeight="1" spans="1:25">
      <c r="A5427" s="42" t="s">
        <v>399</v>
      </c>
      <c r="B5427" s="43" t="s">
        <v>6236</v>
      </c>
      <c r="C5427" s="43" t="s">
        <v>169</v>
      </c>
      <c r="D5427" s="43" t="s">
        <v>6905</v>
      </c>
      <c r="E5427" s="44" t="s">
        <v>7245</v>
      </c>
      <c r="F5427" s="42" t="s">
        <v>7246</v>
      </c>
      <c r="G5427" s="42" t="s">
        <v>31</v>
      </c>
      <c r="H5427" s="45" t="s">
        <v>7247</v>
      </c>
      <c r="I5427" s="47" t="e">
        <f>VLOOKUP(H5427,'合同综合查询数据（3月返）'!$A:$A,1,FALSE)</f>
        <v>#N/A</v>
      </c>
      <c r="J5427" s="48" t="s">
        <v>33</v>
      </c>
      <c r="K5427" s="42" t="s">
        <v>171</v>
      </c>
      <c r="L5427" s="49" t="s">
        <v>7248</v>
      </c>
      <c r="M5427" s="50"/>
      <c r="N5427" s="51">
        <v>44440</v>
      </c>
      <c r="O5427" s="51" t="s">
        <v>37</v>
      </c>
      <c r="P5427" s="52">
        <v>0</v>
      </c>
      <c r="Q5427" s="53">
        <v>19</v>
      </c>
      <c r="R5427" s="54">
        <f t="shared" si="124"/>
        <v>0</v>
      </c>
      <c r="S5427" s="70">
        <v>202303</v>
      </c>
      <c r="T5427" s="56" t="s">
        <v>7259</v>
      </c>
      <c r="U5427" s="57"/>
      <c r="V5427" s="399"/>
      <c r="W5427" s="59"/>
      <c r="X5427" s="51"/>
      <c r="Y5427" s="51"/>
    </row>
    <row r="5428" s="10" customFormat="1" customHeight="1" spans="1:25">
      <c r="A5428" s="42" t="s">
        <v>399</v>
      </c>
      <c r="B5428" s="43" t="s">
        <v>6236</v>
      </c>
      <c r="C5428" s="43" t="s">
        <v>169</v>
      </c>
      <c r="D5428" s="43" t="s">
        <v>6905</v>
      </c>
      <c r="E5428" s="44" t="s">
        <v>7245</v>
      </c>
      <c r="F5428" s="42" t="s">
        <v>7246</v>
      </c>
      <c r="G5428" s="42" t="s">
        <v>31</v>
      </c>
      <c r="H5428" s="45" t="s">
        <v>7247</v>
      </c>
      <c r="I5428" s="47" t="e">
        <f>VLOOKUP(H5428,'合同综合查询数据（3月返）'!$A:$A,1,FALSE)</f>
        <v>#N/A</v>
      </c>
      <c r="J5428" s="48" t="s">
        <v>33</v>
      </c>
      <c r="K5428" s="42" t="s">
        <v>171</v>
      </c>
      <c r="L5428" s="49" t="s">
        <v>7248</v>
      </c>
      <c r="M5428" s="50" t="s">
        <v>7249</v>
      </c>
      <c r="N5428" s="51">
        <v>44440</v>
      </c>
      <c r="O5428" s="51" t="s">
        <v>37</v>
      </c>
      <c r="P5428" s="54">
        <v>50</v>
      </c>
      <c r="Q5428" s="53">
        <v>109</v>
      </c>
      <c r="R5428" s="54">
        <f t="shared" si="124"/>
        <v>5450</v>
      </c>
      <c r="S5428" s="70">
        <v>202303</v>
      </c>
      <c r="T5428" s="56" t="s">
        <v>7259</v>
      </c>
      <c r="U5428" s="57"/>
      <c r="V5428" s="399"/>
      <c r="W5428" s="59"/>
      <c r="X5428" s="51"/>
      <c r="Y5428" s="51"/>
    </row>
    <row r="5429" s="10" customFormat="1" customHeight="1" spans="1:25">
      <c r="A5429" s="42" t="s">
        <v>399</v>
      </c>
      <c r="B5429" s="43" t="s">
        <v>6236</v>
      </c>
      <c r="C5429" s="43" t="s">
        <v>169</v>
      </c>
      <c r="D5429" s="43" t="s">
        <v>6905</v>
      </c>
      <c r="E5429" s="44" t="s">
        <v>7245</v>
      </c>
      <c r="F5429" s="42" t="s">
        <v>7246</v>
      </c>
      <c r="G5429" s="42" t="s">
        <v>31</v>
      </c>
      <c r="H5429" s="45" t="s">
        <v>7247</v>
      </c>
      <c r="I5429" s="47" t="e">
        <f>VLOOKUP(H5429,'合同综合查询数据（3月返）'!$A:$A,1,FALSE)</f>
        <v>#N/A</v>
      </c>
      <c r="J5429" s="48" t="s">
        <v>33</v>
      </c>
      <c r="K5429" s="42" t="s">
        <v>171</v>
      </c>
      <c r="L5429" s="49" t="s">
        <v>7248</v>
      </c>
      <c r="M5429" s="50" t="s">
        <v>7249</v>
      </c>
      <c r="N5429" s="51">
        <v>44593</v>
      </c>
      <c r="O5429" s="51" t="s">
        <v>37</v>
      </c>
      <c r="P5429" s="52">
        <v>0</v>
      </c>
      <c r="Q5429" s="53">
        <v>128</v>
      </c>
      <c r="R5429" s="54">
        <f t="shared" si="124"/>
        <v>0</v>
      </c>
      <c r="S5429" s="70">
        <v>202303</v>
      </c>
      <c r="T5429" s="56" t="s">
        <v>7260</v>
      </c>
      <c r="U5429" s="57"/>
      <c r="V5429" s="399"/>
      <c r="W5429" s="59"/>
      <c r="X5429" s="51"/>
      <c r="Y5429" s="51"/>
    </row>
    <row r="5430" s="10" customFormat="1" customHeight="1" spans="1:25">
      <c r="A5430" s="42" t="s">
        <v>399</v>
      </c>
      <c r="B5430" s="43" t="s">
        <v>6236</v>
      </c>
      <c r="C5430" s="43" t="s">
        <v>169</v>
      </c>
      <c r="D5430" s="43" t="s">
        <v>6905</v>
      </c>
      <c r="E5430" s="44" t="s">
        <v>7245</v>
      </c>
      <c r="F5430" s="42" t="s">
        <v>7246</v>
      </c>
      <c r="G5430" s="42" t="s">
        <v>31</v>
      </c>
      <c r="H5430" s="45" t="s">
        <v>7247</v>
      </c>
      <c r="I5430" s="47" t="e">
        <f>VLOOKUP(H5430,'合同综合查询数据（3月返）'!$A:$A,1,FALSE)</f>
        <v>#N/A</v>
      </c>
      <c r="J5430" s="48" t="s">
        <v>33</v>
      </c>
      <c r="K5430" s="42" t="s">
        <v>171</v>
      </c>
      <c r="L5430" s="49" t="s">
        <v>7248</v>
      </c>
      <c r="M5430" s="50" t="s">
        <v>7249</v>
      </c>
      <c r="N5430" s="51">
        <v>44895</v>
      </c>
      <c r="O5430" s="51" t="s">
        <v>37</v>
      </c>
      <c r="P5430" s="52">
        <v>50</v>
      </c>
      <c r="Q5430" s="53">
        <v>-109</v>
      </c>
      <c r="R5430" s="54">
        <f t="shared" si="124"/>
        <v>-5450</v>
      </c>
      <c r="S5430" s="70">
        <v>202303</v>
      </c>
      <c r="T5430" s="56" t="s">
        <v>7261</v>
      </c>
      <c r="U5430" s="57"/>
      <c r="V5430" s="399"/>
      <c r="W5430" s="59"/>
      <c r="X5430" s="51"/>
      <c r="Y5430" s="51"/>
    </row>
    <row r="5431" s="10" customFormat="1" customHeight="1" spans="1:25">
      <c r="A5431" s="42" t="s">
        <v>399</v>
      </c>
      <c r="B5431" s="43" t="s">
        <v>6236</v>
      </c>
      <c r="C5431" s="43" t="s">
        <v>169</v>
      </c>
      <c r="D5431" s="43" t="s">
        <v>6905</v>
      </c>
      <c r="E5431" s="44" t="s">
        <v>7245</v>
      </c>
      <c r="F5431" s="42" t="s">
        <v>7246</v>
      </c>
      <c r="G5431" s="42" t="s">
        <v>31</v>
      </c>
      <c r="H5431" s="45" t="s">
        <v>7247</v>
      </c>
      <c r="I5431" s="47" t="e">
        <f>VLOOKUP(H5431,'合同综合查询数据（3月返）'!$A:$A,1,FALSE)</f>
        <v>#N/A</v>
      </c>
      <c r="J5431" s="48" t="s">
        <v>33</v>
      </c>
      <c r="K5431" s="42" t="s">
        <v>171</v>
      </c>
      <c r="L5431" s="49" t="s">
        <v>7248</v>
      </c>
      <c r="M5431" s="50" t="s">
        <v>7249</v>
      </c>
      <c r="N5431" s="51">
        <v>44895</v>
      </c>
      <c r="O5431" s="51" t="s">
        <v>37</v>
      </c>
      <c r="P5431" s="52">
        <v>0</v>
      </c>
      <c r="Q5431" s="53">
        <v>-19</v>
      </c>
      <c r="R5431" s="54">
        <f t="shared" si="124"/>
        <v>0</v>
      </c>
      <c r="S5431" s="70">
        <v>202303</v>
      </c>
      <c r="T5431" s="56" t="s">
        <v>7261</v>
      </c>
      <c r="U5431" s="57"/>
      <c r="V5431" s="399"/>
      <c r="W5431" s="59"/>
      <c r="X5431" s="51"/>
      <c r="Y5431" s="51"/>
    </row>
    <row r="5432" s="10" customFormat="1" customHeight="1" spans="1:25">
      <c r="A5432" s="42" t="s">
        <v>399</v>
      </c>
      <c r="B5432" s="43" t="s">
        <v>6236</v>
      </c>
      <c r="C5432" s="43" t="s">
        <v>169</v>
      </c>
      <c r="D5432" s="43" t="s">
        <v>6905</v>
      </c>
      <c r="E5432" s="44" t="s">
        <v>7245</v>
      </c>
      <c r="F5432" s="42" t="s">
        <v>7246</v>
      </c>
      <c r="G5432" s="42" t="s">
        <v>31</v>
      </c>
      <c r="H5432" s="45" t="s">
        <v>7247</v>
      </c>
      <c r="I5432" s="47" t="e">
        <f>VLOOKUP(H5432,'合同综合查询数据（3月返）'!$A:$A,1,FALSE)</f>
        <v>#N/A</v>
      </c>
      <c r="J5432" s="48" t="s">
        <v>33</v>
      </c>
      <c r="K5432" s="42" t="s">
        <v>171</v>
      </c>
      <c r="L5432" s="49" t="s">
        <v>7248</v>
      </c>
      <c r="M5432" s="50" t="s">
        <v>7249</v>
      </c>
      <c r="N5432" s="51">
        <v>44531</v>
      </c>
      <c r="O5432" s="51" t="s">
        <v>152</v>
      </c>
      <c r="P5432" s="52">
        <v>0</v>
      </c>
      <c r="Q5432" s="53">
        <v>1</v>
      </c>
      <c r="R5432" s="54">
        <f t="shared" si="124"/>
        <v>0</v>
      </c>
      <c r="S5432" s="70">
        <v>202303</v>
      </c>
      <c r="T5432" s="56" t="s">
        <v>7262</v>
      </c>
      <c r="U5432" s="57"/>
      <c r="V5432" s="399"/>
      <c r="W5432" s="59"/>
      <c r="X5432" s="51"/>
      <c r="Y5432" s="51"/>
    </row>
    <row r="5433" s="9" customFormat="1" customHeight="1" spans="1:25">
      <c r="A5433" s="17" t="s">
        <v>399</v>
      </c>
      <c r="B5433" s="17" t="s">
        <v>6937</v>
      </c>
      <c r="C5433" s="16" t="s">
        <v>283</v>
      </c>
      <c r="D5433" s="17" t="s">
        <v>6905</v>
      </c>
      <c r="E5433" s="401" t="s">
        <v>7263</v>
      </c>
      <c r="F5433" s="17" t="s">
        <v>7264</v>
      </c>
      <c r="G5433" s="17" t="s">
        <v>88</v>
      </c>
      <c r="H5433" s="39" t="s">
        <v>7265</v>
      </c>
      <c r="I5433" s="23" t="e">
        <f>VLOOKUP(H5433,'合同综合查询数据（3月返）'!$A:$A,1,FALSE)</f>
        <v>#N/A</v>
      </c>
      <c r="J5433" s="152" t="s">
        <v>126</v>
      </c>
      <c r="K5433" s="17" t="s">
        <v>7266</v>
      </c>
      <c r="L5433" s="17" t="s">
        <v>7267</v>
      </c>
      <c r="M5433" s="26" t="s">
        <v>7268</v>
      </c>
      <c r="N5433" s="391">
        <v>43610</v>
      </c>
      <c r="O5433" s="17" t="s">
        <v>3267</v>
      </c>
      <c r="P5433" s="419">
        <v>5200</v>
      </c>
      <c r="Q5433" s="422">
        <v>5</v>
      </c>
      <c r="R5433" s="423">
        <f t="shared" si="124"/>
        <v>26000</v>
      </c>
      <c r="S5433" s="117">
        <v>202303</v>
      </c>
      <c r="T5433" s="132" t="s">
        <v>7269</v>
      </c>
      <c r="U5433" s="215"/>
      <c r="V5433" s="398"/>
      <c r="W5433" s="122"/>
      <c r="X5433" s="28" t="s">
        <v>7270</v>
      </c>
      <c r="Y5433" s="28" t="s">
        <v>7271</v>
      </c>
    </row>
    <row r="5434" s="9" customFormat="1" customHeight="1" spans="1:25">
      <c r="A5434" s="17" t="s">
        <v>399</v>
      </c>
      <c r="B5434" s="17" t="s">
        <v>6937</v>
      </c>
      <c r="C5434" s="16" t="s">
        <v>283</v>
      </c>
      <c r="D5434" s="17" t="s">
        <v>6905</v>
      </c>
      <c r="E5434" s="401" t="s">
        <v>7263</v>
      </c>
      <c r="F5434" s="17" t="s">
        <v>7264</v>
      </c>
      <c r="G5434" s="17" t="s">
        <v>88</v>
      </c>
      <c r="H5434" s="39" t="s">
        <v>7265</v>
      </c>
      <c r="I5434" s="23" t="e">
        <f>VLOOKUP(H5434,'合同综合查询数据（3月返）'!$A:$A,1,FALSE)</f>
        <v>#N/A</v>
      </c>
      <c r="J5434" s="152" t="s">
        <v>126</v>
      </c>
      <c r="K5434" s="17" t="s">
        <v>7266</v>
      </c>
      <c r="L5434" s="17" t="s">
        <v>7272</v>
      </c>
      <c r="M5434" s="26" t="s">
        <v>7268</v>
      </c>
      <c r="N5434" s="391">
        <v>43922</v>
      </c>
      <c r="O5434" s="17" t="s">
        <v>3267</v>
      </c>
      <c r="P5434" s="419">
        <v>5200</v>
      </c>
      <c r="Q5434" s="422">
        <v>6</v>
      </c>
      <c r="R5434" s="423">
        <f t="shared" si="124"/>
        <v>31200</v>
      </c>
      <c r="S5434" s="117">
        <v>202303</v>
      </c>
      <c r="T5434" s="132" t="s">
        <v>7273</v>
      </c>
      <c r="U5434" s="215"/>
      <c r="V5434" s="398"/>
      <c r="W5434" s="122"/>
      <c r="X5434" s="28" t="s">
        <v>7270</v>
      </c>
      <c r="Y5434" s="28" t="s">
        <v>7271</v>
      </c>
    </row>
    <row r="5435" s="9" customFormat="1" customHeight="1" spans="1:25">
      <c r="A5435" s="17" t="s">
        <v>399</v>
      </c>
      <c r="B5435" s="17" t="s">
        <v>6937</v>
      </c>
      <c r="C5435" s="16" t="s">
        <v>283</v>
      </c>
      <c r="D5435" s="17" t="s">
        <v>6905</v>
      </c>
      <c r="E5435" s="401" t="s">
        <v>7263</v>
      </c>
      <c r="F5435" s="17" t="s">
        <v>7264</v>
      </c>
      <c r="G5435" s="17" t="s">
        <v>88</v>
      </c>
      <c r="H5435" s="39" t="s">
        <v>7265</v>
      </c>
      <c r="I5435" s="23" t="e">
        <f>VLOOKUP(H5435,'合同综合查询数据（3月返）'!$A:$A,1,FALSE)</f>
        <v>#N/A</v>
      </c>
      <c r="J5435" s="152" t="s">
        <v>126</v>
      </c>
      <c r="K5435" s="17" t="s">
        <v>7266</v>
      </c>
      <c r="L5435" s="17" t="s">
        <v>7272</v>
      </c>
      <c r="M5435" s="26" t="s">
        <v>7268</v>
      </c>
      <c r="N5435" s="391">
        <v>44712</v>
      </c>
      <c r="O5435" s="17" t="s">
        <v>3267</v>
      </c>
      <c r="P5435" s="419">
        <v>5200</v>
      </c>
      <c r="Q5435" s="422">
        <v>-6</v>
      </c>
      <c r="R5435" s="423">
        <f t="shared" si="124"/>
        <v>-31200</v>
      </c>
      <c r="S5435" s="117">
        <v>202303</v>
      </c>
      <c r="T5435" s="132" t="s">
        <v>7274</v>
      </c>
      <c r="U5435" s="215"/>
      <c r="V5435" s="398"/>
      <c r="W5435" s="122"/>
      <c r="X5435" s="28" t="s">
        <v>7270</v>
      </c>
      <c r="Y5435" s="28" t="s">
        <v>7271</v>
      </c>
    </row>
    <row r="5436" s="9" customFormat="1" customHeight="1" spans="1:25">
      <c r="A5436" s="17" t="s">
        <v>399</v>
      </c>
      <c r="B5436" s="17" t="s">
        <v>6937</v>
      </c>
      <c r="C5436" s="16" t="s">
        <v>283</v>
      </c>
      <c r="D5436" s="17" t="s">
        <v>6905</v>
      </c>
      <c r="E5436" s="401" t="s">
        <v>7263</v>
      </c>
      <c r="F5436" s="17" t="s">
        <v>7264</v>
      </c>
      <c r="G5436" s="17" t="s">
        <v>88</v>
      </c>
      <c r="H5436" s="39" t="s">
        <v>7265</v>
      </c>
      <c r="I5436" s="23" t="e">
        <f>VLOOKUP(H5436,'合同综合查询数据（3月返）'!$A:$A,1,FALSE)</f>
        <v>#N/A</v>
      </c>
      <c r="J5436" s="152" t="s">
        <v>126</v>
      </c>
      <c r="K5436" s="17" t="s">
        <v>7266</v>
      </c>
      <c r="L5436" s="17" t="s">
        <v>7267</v>
      </c>
      <c r="M5436" s="26" t="s">
        <v>7268</v>
      </c>
      <c r="N5436" s="391">
        <v>44773</v>
      </c>
      <c r="O5436" s="17" t="s">
        <v>3267</v>
      </c>
      <c r="P5436" s="419">
        <v>5200</v>
      </c>
      <c r="Q5436" s="422">
        <v>-5</v>
      </c>
      <c r="R5436" s="423">
        <f t="shared" si="124"/>
        <v>-26000</v>
      </c>
      <c r="S5436" s="117">
        <v>202303</v>
      </c>
      <c r="T5436" s="132" t="s">
        <v>7275</v>
      </c>
      <c r="U5436" s="215"/>
      <c r="V5436" s="398"/>
      <c r="W5436" s="122"/>
      <c r="X5436" s="28" t="s">
        <v>7270</v>
      </c>
      <c r="Y5436" s="28" t="s">
        <v>7271</v>
      </c>
    </row>
    <row r="5437" s="9" customFormat="1" customHeight="1" spans="1:25">
      <c r="A5437" s="17" t="s">
        <v>399</v>
      </c>
      <c r="B5437" s="17" t="s">
        <v>6937</v>
      </c>
      <c r="C5437" s="16" t="s">
        <v>283</v>
      </c>
      <c r="D5437" s="17" t="s">
        <v>6905</v>
      </c>
      <c r="E5437" s="401" t="s">
        <v>7263</v>
      </c>
      <c r="F5437" s="17" t="s">
        <v>7264</v>
      </c>
      <c r="G5437" s="17" t="s">
        <v>31</v>
      </c>
      <c r="H5437" s="39" t="s">
        <v>7265</v>
      </c>
      <c r="I5437" s="23" t="e">
        <f>VLOOKUP(H5437,'合同综合查询数据（3月返）'!$A:$A,1,FALSE)</f>
        <v>#N/A</v>
      </c>
      <c r="J5437" s="152" t="s">
        <v>33</v>
      </c>
      <c r="K5437" s="17" t="s">
        <v>7266</v>
      </c>
      <c r="L5437" s="17" t="s">
        <v>7267</v>
      </c>
      <c r="M5437" s="26"/>
      <c r="N5437" s="391">
        <v>43610</v>
      </c>
      <c r="O5437" s="28" t="s">
        <v>37</v>
      </c>
      <c r="P5437" s="419">
        <v>0</v>
      </c>
      <c r="Q5437" s="422">
        <v>288</v>
      </c>
      <c r="R5437" s="110">
        <f t="shared" si="124"/>
        <v>0</v>
      </c>
      <c r="S5437" s="117">
        <v>202303</v>
      </c>
      <c r="T5437" s="132" t="s">
        <v>7276</v>
      </c>
      <c r="U5437" s="215"/>
      <c r="V5437" s="398"/>
      <c r="W5437" s="122"/>
      <c r="X5437" s="28" t="s">
        <v>7270</v>
      </c>
      <c r="Y5437" s="28" t="s">
        <v>7271</v>
      </c>
    </row>
    <row r="5438" s="9" customFormat="1" customHeight="1" spans="1:25">
      <c r="A5438" s="17" t="s">
        <v>399</v>
      </c>
      <c r="B5438" s="17" t="s">
        <v>6937</v>
      </c>
      <c r="C5438" s="16" t="s">
        <v>283</v>
      </c>
      <c r="D5438" s="17" t="s">
        <v>6905</v>
      </c>
      <c r="E5438" s="401" t="s">
        <v>7263</v>
      </c>
      <c r="F5438" s="17" t="s">
        <v>7264</v>
      </c>
      <c r="G5438" s="17" t="s">
        <v>31</v>
      </c>
      <c r="H5438" s="39" t="s">
        <v>7265</v>
      </c>
      <c r="I5438" s="23" t="e">
        <f>VLOOKUP(H5438,'合同综合查询数据（3月返）'!$A:$A,1,FALSE)</f>
        <v>#N/A</v>
      </c>
      <c r="J5438" s="152" t="s">
        <v>33</v>
      </c>
      <c r="K5438" s="17" t="s">
        <v>7266</v>
      </c>
      <c r="L5438" s="17" t="s">
        <v>7272</v>
      </c>
      <c r="M5438" s="26"/>
      <c r="N5438" s="391">
        <v>43922</v>
      </c>
      <c r="O5438" s="28" t="s">
        <v>37</v>
      </c>
      <c r="P5438" s="419">
        <v>0</v>
      </c>
      <c r="Q5438" s="422">
        <v>288</v>
      </c>
      <c r="R5438" s="110">
        <f t="shared" si="124"/>
        <v>0</v>
      </c>
      <c r="S5438" s="117">
        <v>202303</v>
      </c>
      <c r="T5438" s="132" t="s">
        <v>7277</v>
      </c>
      <c r="U5438" s="215"/>
      <c r="V5438" s="398"/>
      <c r="W5438" s="122"/>
      <c r="X5438" s="28" t="s">
        <v>7270</v>
      </c>
      <c r="Y5438" s="28" t="s">
        <v>7271</v>
      </c>
    </row>
    <row r="5439" s="9" customFormat="1" customHeight="1" spans="1:25">
      <c r="A5439" s="17" t="s">
        <v>399</v>
      </c>
      <c r="B5439" s="17" t="s">
        <v>6937</v>
      </c>
      <c r="C5439" s="16" t="s">
        <v>283</v>
      </c>
      <c r="D5439" s="17" t="s">
        <v>6905</v>
      </c>
      <c r="E5439" s="401" t="s">
        <v>7263</v>
      </c>
      <c r="F5439" s="17" t="s">
        <v>7264</v>
      </c>
      <c r="G5439" s="17" t="s">
        <v>31</v>
      </c>
      <c r="H5439" s="39" t="s">
        <v>7265</v>
      </c>
      <c r="I5439" s="23" t="e">
        <f>VLOOKUP(H5439,'合同综合查询数据（3月返）'!$A:$A,1,FALSE)</f>
        <v>#N/A</v>
      </c>
      <c r="J5439" s="152" t="s">
        <v>33</v>
      </c>
      <c r="K5439" s="17" t="s">
        <v>7266</v>
      </c>
      <c r="L5439" s="17" t="s">
        <v>7272</v>
      </c>
      <c r="M5439" s="26"/>
      <c r="N5439" s="391">
        <v>44712</v>
      </c>
      <c r="O5439" s="28" t="s">
        <v>37</v>
      </c>
      <c r="P5439" s="419">
        <v>0</v>
      </c>
      <c r="Q5439" s="422">
        <v>-288</v>
      </c>
      <c r="R5439" s="110">
        <f t="shared" si="124"/>
        <v>0</v>
      </c>
      <c r="S5439" s="117">
        <v>202303</v>
      </c>
      <c r="T5439" s="132" t="s">
        <v>7278</v>
      </c>
      <c r="U5439" s="215"/>
      <c r="V5439" s="398"/>
      <c r="W5439" s="122"/>
      <c r="X5439" s="28" t="s">
        <v>7270</v>
      </c>
      <c r="Y5439" s="28" t="s">
        <v>7271</v>
      </c>
    </row>
    <row r="5440" s="9" customFormat="1" customHeight="1" spans="1:25">
      <c r="A5440" s="17" t="s">
        <v>399</v>
      </c>
      <c r="B5440" s="17" t="s">
        <v>6937</v>
      </c>
      <c r="C5440" s="16" t="s">
        <v>283</v>
      </c>
      <c r="D5440" s="17" t="s">
        <v>6905</v>
      </c>
      <c r="E5440" s="401" t="s">
        <v>7263</v>
      </c>
      <c r="F5440" s="17" t="s">
        <v>7264</v>
      </c>
      <c r="G5440" s="17" t="s">
        <v>31</v>
      </c>
      <c r="H5440" s="39" t="s">
        <v>7265</v>
      </c>
      <c r="I5440" s="23" t="e">
        <f>VLOOKUP(H5440,'合同综合查询数据（3月返）'!$A:$A,1,FALSE)</f>
        <v>#N/A</v>
      </c>
      <c r="J5440" s="152" t="s">
        <v>33</v>
      </c>
      <c r="K5440" s="17" t="s">
        <v>7266</v>
      </c>
      <c r="L5440" s="17" t="s">
        <v>7267</v>
      </c>
      <c r="M5440" s="26"/>
      <c r="N5440" s="391">
        <v>44773</v>
      </c>
      <c r="O5440" s="28" t="s">
        <v>37</v>
      </c>
      <c r="P5440" s="419">
        <v>0</v>
      </c>
      <c r="Q5440" s="422">
        <v>-288</v>
      </c>
      <c r="R5440" s="110">
        <f t="shared" si="124"/>
        <v>0</v>
      </c>
      <c r="S5440" s="117">
        <v>202303</v>
      </c>
      <c r="T5440" s="132" t="s">
        <v>7279</v>
      </c>
      <c r="U5440" s="215"/>
      <c r="V5440" s="398"/>
      <c r="W5440" s="122"/>
      <c r="X5440" s="28" t="s">
        <v>7270</v>
      </c>
      <c r="Y5440" s="28" t="s">
        <v>7271</v>
      </c>
    </row>
    <row r="5441" s="9" customFormat="1" customHeight="1" spans="1:25">
      <c r="A5441" s="17" t="s">
        <v>399</v>
      </c>
      <c r="B5441" s="17" t="s">
        <v>6937</v>
      </c>
      <c r="C5441" s="16" t="s">
        <v>283</v>
      </c>
      <c r="D5441" s="17" t="s">
        <v>6905</v>
      </c>
      <c r="E5441" s="401" t="s">
        <v>7280</v>
      </c>
      <c r="F5441" s="17" t="s">
        <v>7281</v>
      </c>
      <c r="G5441" s="17" t="s">
        <v>88</v>
      </c>
      <c r="H5441" s="39" t="s">
        <v>7282</v>
      </c>
      <c r="I5441" s="23" t="e">
        <f>VLOOKUP(H5441,'合同综合查询数据（3月返）'!$A:$A,1,FALSE)</f>
        <v>#N/A</v>
      </c>
      <c r="J5441" s="152" t="s">
        <v>126</v>
      </c>
      <c r="K5441" s="17" t="s">
        <v>7283</v>
      </c>
      <c r="L5441" s="17" t="s">
        <v>7284</v>
      </c>
      <c r="M5441" s="26" t="s">
        <v>7285</v>
      </c>
      <c r="N5441" s="391">
        <v>43610</v>
      </c>
      <c r="O5441" s="17" t="s">
        <v>3267</v>
      </c>
      <c r="P5441" s="419">
        <v>5200</v>
      </c>
      <c r="Q5441" s="422">
        <v>5</v>
      </c>
      <c r="R5441" s="423">
        <f t="shared" si="124"/>
        <v>26000</v>
      </c>
      <c r="S5441" s="117">
        <v>202303</v>
      </c>
      <c r="T5441" s="132" t="s">
        <v>7286</v>
      </c>
      <c r="U5441" s="215"/>
      <c r="V5441" s="398"/>
      <c r="W5441" s="122"/>
      <c r="X5441" s="28" t="s">
        <v>7270</v>
      </c>
      <c r="Y5441" s="28" t="s">
        <v>7271</v>
      </c>
    </row>
    <row r="5442" s="9" customFormat="1" customHeight="1" spans="1:25">
      <c r="A5442" s="17" t="s">
        <v>399</v>
      </c>
      <c r="B5442" s="17" t="s">
        <v>6937</v>
      </c>
      <c r="C5442" s="16" t="s">
        <v>283</v>
      </c>
      <c r="D5442" s="17" t="s">
        <v>6905</v>
      </c>
      <c r="E5442" s="401" t="s">
        <v>7280</v>
      </c>
      <c r="F5442" s="17" t="s">
        <v>7281</v>
      </c>
      <c r="G5442" s="17" t="s">
        <v>88</v>
      </c>
      <c r="H5442" s="39" t="s">
        <v>7282</v>
      </c>
      <c r="I5442" s="23" t="e">
        <f>VLOOKUP(H5442,'合同综合查询数据（3月返）'!$A:$A,1,FALSE)</f>
        <v>#N/A</v>
      </c>
      <c r="J5442" s="152" t="s">
        <v>126</v>
      </c>
      <c r="K5442" s="17" t="s">
        <v>7283</v>
      </c>
      <c r="L5442" s="17" t="s">
        <v>7284</v>
      </c>
      <c r="M5442" s="26" t="s">
        <v>7285</v>
      </c>
      <c r="N5442" s="391">
        <v>44773</v>
      </c>
      <c r="O5442" s="17" t="s">
        <v>3267</v>
      </c>
      <c r="P5442" s="419">
        <v>5200</v>
      </c>
      <c r="Q5442" s="422">
        <v>-5</v>
      </c>
      <c r="R5442" s="423">
        <f t="shared" si="124"/>
        <v>-26000</v>
      </c>
      <c r="S5442" s="117">
        <v>202303</v>
      </c>
      <c r="T5442" s="132" t="s">
        <v>7287</v>
      </c>
      <c r="U5442" s="215"/>
      <c r="V5442" s="398"/>
      <c r="W5442" s="122"/>
      <c r="X5442" s="28" t="s">
        <v>7270</v>
      </c>
      <c r="Y5442" s="28" t="s">
        <v>7271</v>
      </c>
    </row>
    <row r="5443" s="9" customFormat="1" customHeight="1" spans="1:25">
      <c r="A5443" s="17" t="s">
        <v>399</v>
      </c>
      <c r="B5443" s="17" t="s">
        <v>6937</v>
      </c>
      <c r="C5443" s="16" t="s">
        <v>283</v>
      </c>
      <c r="D5443" s="17" t="s">
        <v>6905</v>
      </c>
      <c r="E5443" s="401" t="s">
        <v>7280</v>
      </c>
      <c r="F5443" s="17" t="s">
        <v>7281</v>
      </c>
      <c r="G5443" s="17" t="s">
        <v>31</v>
      </c>
      <c r="H5443" s="39" t="s">
        <v>7282</v>
      </c>
      <c r="I5443" s="23" t="e">
        <f>VLOOKUP(H5443,'合同综合查询数据（3月返）'!$A:$A,1,FALSE)</f>
        <v>#N/A</v>
      </c>
      <c r="J5443" s="152" t="s">
        <v>33</v>
      </c>
      <c r="K5443" s="17" t="s">
        <v>7283</v>
      </c>
      <c r="L5443" s="17" t="s">
        <v>7284</v>
      </c>
      <c r="M5443" s="26"/>
      <c r="N5443" s="391">
        <v>43610</v>
      </c>
      <c r="O5443" s="28" t="s">
        <v>37</v>
      </c>
      <c r="P5443" s="419">
        <v>0</v>
      </c>
      <c r="Q5443" s="422">
        <v>288</v>
      </c>
      <c r="R5443" s="110">
        <f t="shared" si="124"/>
        <v>0</v>
      </c>
      <c r="S5443" s="117">
        <v>202303</v>
      </c>
      <c r="T5443" s="132" t="s">
        <v>7288</v>
      </c>
      <c r="U5443" s="215"/>
      <c r="V5443" s="398"/>
      <c r="W5443" s="122"/>
      <c r="X5443" s="28" t="s">
        <v>7270</v>
      </c>
      <c r="Y5443" s="28" t="s">
        <v>7271</v>
      </c>
    </row>
    <row r="5444" s="9" customFormat="1" customHeight="1" spans="1:25">
      <c r="A5444" s="17" t="s">
        <v>399</v>
      </c>
      <c r="B5444" s="17" t="s">
        <v>6937</v>
      </c>
      <c r="C5444" s="16" t="s">
        <v>283</v>
      </c>
      <c r="D5444" s="17" t="s">
        <v>6905</v>
      </c>
      <c r="E5444" s="401" t="s">
        <v>7280</v>
      </c>
      <c r="F5444" s="17" t="s">
        <v>7281</v>
      </c>
      <c r="G5444" s="17" t="s">
        <v>31</v>
      </c>
      <c r="H5444" s="39" t="s">
        <v>7282</v>
      </c>
      <c r="I5444" s="23" t="e">
        <f>VLOOKUP(H5444,'合同综合查询数据（3月返）'!$A:$A,1,FALSE)</f>
        <v>#N/A</v>
      </c>
      <c r="J5444" s="152" t="s">
        <v>33</v>
      </c>
      <c r="K5444" s="17" t="s">
        <v>7283</v>
      </c>
      <c r="L5444" s="17" t="s">
        <v>7284</v>
      </c>
      <c r="M5444" s="26"/>
      <c r="N5444" s="391">
        <v>44773</v>
      </c>
      <c r="O5444" s="28" t="s">
        <v>37</v>
      </c>
      <c r="P5444" s="419">
        <v>0</v>
      </c>
      <c r="Q5444" s="422">
        <v>-288</v>
      </c>
      <c r="R5444" s="110">
        <f t="shared" si="124"/>
        <v>0</v>
      </c>
      <c r="S5444" s="117">
        <v>202303</v>
      </c>
      <c r="T5444" s="132" t="s">
        <v>7289</v>
      </c>
      <c r="U5444" s="215"/>
      <c r="V5444" s="398"/>
      <c r="W5444" s="122"/>
      <c r="X5444" s="28" t="s">
        <v>7270</v>
      </c>
      <c r="Y5444" s="28" t="s">
        <v>7271</v>
      </c>
    </row>
    <row r="5445" s="10" customFormat="1" customHeight="1" spans="1:25">
      <c r="A5445" s="43" t="s">
        <v>399</v>
      </c>
      <c r="B5445" s="43" t="s">
        <v>6937</v>
      </c>
      <c r="C5445" s="42" t="s">
        <v>283</v>
      </c>
      <c r="D5445" s="43" t="s">
        <v>6905</v>
      </c>
      <c r="E5445" s="395" t="s">
        <v>7290</v>
      </c>
      <c r="F5445" s="43" t="s">
        <v>7291</v>
      </c>
      <c r="G5445" s="43" t="s">
        <v>88</v>
      </c>
      <c r="H5445" s="57" t="s">
        <v>7292</v>
      </c>
      <c r="I5445" s="47" t="e">
        <f>VLOOKUP(H5445,'合同综合查询数据（3月返）'!$A:$A,1,FALSE)</f>
        <v>#N/A</v>
      </c>
      <c r="J5445" s="65" t="s">
        <v>126</v>
      </c>
      <c r="K5445" s="43" t="s">
        <v>4898</v>
      </c>
      <c r="L5445" s="43" t="s">
        <v>7293</v>
      </c>
      <c r="M5445" s="50" t="s">
        <v>7294</v>
      </c>
      <c r="N5445" s="392">
        <v>42236</v>
      </c>
      <c r="O5445" s="43" t="s">
        <v>3267</v>
      </c>
      <c r="P5445" s="417">
        <v>5200</v>
      </c>
      <c r="Q5445" s="53">
        <v>8</v>
      </c>
      <c r="R5445" s="418">
        <f t="shared" si="124"/>
        <v>41600</v>
      </c>
      <c r="S5445" s="70">
        <v>202303</v>
      </c>
      <c r="T5445" s="142" t="s">
        <v>7295</v>
      </c>
      <c r="U5445" s="167"/>
      <c r="V5445" s="399"/>
      <c r="W5445" s="146"/>
      <c r="X5445" s="51"/>
      <c r="Y5445" s="51"/>
    </row>
    <row r="5446" s="10" customFormat="1" customHeight="1" spans="1:25">
      <c r="A5446" s="43" t="s">
        <v>399</v>
      </c>
      <c r="B5446" s="43" t="s">
        <v>6937</v>
      </c>
      <c r="C5446" s="42" t="s">
        <v>283</v>
      </c>
      <c r="D5446" s="43" t="s">
        <v>6905</v>
      </c>
      <c r="E5446" s="395" t="s">
        <v>7290</v>
      </c>
      <c r="F5446" s="43" t="s">
        <v>7291</v>
      </c>
      <c r="G5446" s="43" t="s">
        <v>88</v>
      </c>
      <c r="H5446" s="57" t="s">
        <v>7292</v>
      </c>
      <c r="I5446" s="47" t="e">
        <f>VLOOKUP(H5446,'合同综合查询数据（3月返）'!$A:$A,1,FALSE)</f>
        <v>#N/A</v>
      </c>
      <c r="J5446" s="65" t="s">
        <v>126</v>
      </c>
      <c r="K5446" s="43" t="s">
        <v>4898</v>
      </c>
      <c r="L5446" s="43" t="s">
        <v>7293</v>
      </c>
      <c r="M5446" s="50" t="s">
        <v>7294</v>
      </c>
      <c r="N5446" s="392">
        <v>44712</v>
      </c>
      <c r="O5446" s="43" t="s">
        <v>3267</v>
      </c>
      <c r="P5446" s="417">
        <v>5200</v>
      </c>
      <c r="Q5446" s="53">
        <v>-8</v>
      </c>
      <c r="R5446" s="418">
        <f t="shared" si="124"/>
        <v>-41600</v>
      </c>
      <c r="S5446" s="70">
        <v>202303</v>
      </c>
      <c r="T5446" s="142" t="s">
        <v>7295</v>
      </c>
      <c r="U5446" s="43"/>
      <c r="V5446" s="399"/>
      <c r="W5446" s="146"/>
      <c r="X5446" s="51"/>
      <c r="Y5446" s="51"/>
    </row>
    <row r="5447" s="10" customFormat="1" customHeight="1" spans="1:25">
      <c r="A5447" s="43" t="s">
        <v>399</v>
      </c>
      <c r="B5447" s="43" t="s">
        <v>6937</v>
      </c>
      <c r="C5447" s="42" t="s">
        <v>283</v>
      </c>
      <c r="D5447" s="43" t="s">
        <v>6905</v>
      </c>
      <c r="E5447" s="395" t="s">
        <v>7290</v>
      </c>
      <c r="F5447" s="43" t="s">
        <v>7291</v>
      </c>
      <c r="G5447" s="43" t="s">
        <v>88</v>
      </c>
      <c r="H5447" s="57" t="s">
        <v>7292</v>
      </c>
      <c r="I5447" s="47" t="e">
        <f>VLOOKUP(H5447,'合同综合查询数据（3月返）'!$A:$A,1,FALSE)</f>
        <v>#N/A</v>
      </c>
      <c r="J5447" s="65" t="s">
        <v>126</v>
      </c>
      <c r="K5447" s="43" t="s">
        <v>4898</v>
      </c>
      <c r="L5447" s="43" t="s">
        <v>7296</v>
      </c>
      <c r="M5447" s="50" t="s">
        <v>7297</v>
      </c>
      <c r="N5447" s="392">
        <v>42236</v>
      </c>
      <c r="O5447" s="43" t="s">
        <v>3267</v>
      </c>
      <c r="P5447" s="417">
        <v>5200</v>
      </c>
      <c r="Q5447" s="53">
        <v>4</v>
      </c>
      <c r="R5447" s="418">
        <f t="shared" si="124"/>
        <v>20800</v>
      </c>
      <c r="S5447" s="70">
        <v>202303</v>
      </c>
      <c r="T5447" s="142" t="s">
        <v>7298</v>
      </c>
      <c r="U5447" s="43"/>
      <c r="V5447" s="399"/>
      <c r="W5447" s="146"/>
      <c r="X5447" s="51"/>
      <c r="Y5447" s="51"/>
    </row>
    <row r="5448" s="10" customFormat="1" customHeight="1" spans="1:25">
      <c r="A5448" s="43" t="s">
        <v>399</v>
      </c>
      <c r="B5448" s="43" t="s">
        <v>6937</v>
      </c>
      <c r="C5448" s="42" t="s">
        <v>283</v>
      </c>
      <c r="D5448" s="43" t="s">
        <v>6905</v>
      </c>
      <c r="E5448" s="395" t="s">
        <v>7290</v>
      </c>
      <c r="F5448" s="43" t="s">
        <v>7291</v>
      </c>
      <c r="G5448" s="43" t="s">
        <v>88</v>
      </c>
      <c r="H5448" s="57" t="s">
        <v>7292</v>
      </c>
      <c r="I5448" s="47" t="e">
        <f>VLOOKUP(H5448,'合同综合查询数据（3月返）'!$A:$A,1,FALSE)</f>
        <v>#N/A</v>
      </c>
      <c r="J5448" s="65" t="s">
        <v>126</v>
      </c>
      <c r="K5448" s="43" t="s">
        <v>4898</v>
      </c>
      <c r="L5448" s="43" t="s">
        <v>7299</v>
      </c>
      <c r="M5448" s="50" t="s">
        <v>7297</v>
      </c>
      <c r="N5448" s="392">
        <v>43969</v>
      </c>
      <c r="O5448" s="43" t="s">
        <v>3267</v>
      </c>
      <c r="P5448" s="417">
        <v>5200</v>
      </c>
      <c r="Q5448" s="53">
        <v>8</v>
      </c>
      <c r="R5448" s="418">
        <f t="shared" si="124"/>
        <v>41600</v>
      </c>
      <c r="S5448" s="70">
        <v>202303</v>
      </c>
      <c r="T5448" s="142" t="s">
        <v>7300</v>
      </c>
      <c r="U5448" s="43"/>
      <c r="V5448" s="399"/>
      <c r="W5448" s="146"/>
      <c r="X5448" s="51"/>
      <c r="Y5448" s="51"/>
    </row>
    <row r="5449" s="10" customFormat="1" customHeight="1" spans="1:25">
      <c r="A5449" s="43" t="s">
        <v>399</v>
      </c>
      <c r="B5449" s="43" t="s">
        <v>6937</v>
      </c>
      <c r="C5449" s="42" t="s">
        <v>283</v>
      </c>
      <c r="D5449" s="43" t="s">
        <v>6905</v>
      </c>
      <c r="E5449" s="395" t="s">
        <v>7290</v>
      </c>
      <c r="F5449" s="43" t="s">
        <v>7291</v>
      </c>
      <c r="G5449" s="43" t="s">
        <v>88</v>
      </c>
      <c r="H5449" s="57" t="s">
        <v>7292</v>
      </c>
      <c r="I5449" s="47" t="e">
        <f>VLOOKUP(H5449,'合同综合查询数据（3月返）'!$A:$A,1,FALSE)</f>
        <v>#N/A</v>
      </c>
      <c r="J5449" s="65" t="s">
        <v>126</v>
      </c>
      <c r="K5449" s="43" t="s">
        <v>4898</v>
      </c>
      <c r="L5449" s="43" t="s">
        <v>7299</v>
      </c>
      <c r="M5449" s="50" t="s">
        <v>7297</v>
      </c>
      <c r="N5449" s="392">
        <v>43969</v>
      </c>
      <c r="O5449" s="43" t="s">
        <v>3267</v>
      </c>
      <c r="P5449" s="417">
        <v>5200</v>
      </c>
      <c r="Q5449" s="53">
        <v>1</v>
      </c>
      <c r="R5449" s="418">
        <f t="shared" si="124"/>
        <v>5200</v>
      </c>
      <c r="S5449" s="70">
        <v>202303</v>
      </c>
      <c r="T5449" s="142" t="s">
        <v>7301</v>
      </c>
      <c r="U5449" s="43"/>
      <c r="V5449" s="399"/>
      <c r="W5449" s="146"/>
      <c r="X5449" s="51"/>
      <c r="Y5449" s="51"/>
    </row>
    <row r="5450" s="10" customFormat="1" customHeight="1" spans="1:25">
      <c r="A5450" s="43" t="s">
        <v>399</v>
      </c>
      <c r="B5450" s="43" t="s">
        <v>6937</v>
      </c>
      <c r="C5450" s="42" t="s">
        <v>283</v>
      </c>
      <c r="D5450" s="43" t="s">
        <v>6905</v>
      </c>
      <c r="E5450" s="395" t="s">
        <v>7290</v>
      </c>
      <c r="F5450" s="43" t="s">
        <v>7291</v>
      </c>
      <c r="G5450" s="43" t="s">
        <v>88</v>
      </c>
      <c r="H5450" s="57" t="s">
        <v>7292</v>
      </c>
      <c r="I5450" s="47" t="e">
        <f>VLOOKUP(H5450,'合同综合查询数据（3月返）'!$A:$A,1,FALSE)</f>
        <v>#N/A</v>
      </c>
      <c r="J5450" s="65" t="s">
        <v>126</v>
      </c>
      <c r="K5450" s="43" t="s">
        <v>4898</v>
      </c>
      <c r="L5450" s="43" t="s">
        <v>7299</v>
      </c>
      <c r="M5450" s="50" t="s">
        <v>7297</v>
      </c>
      <c r="N5450" s="392">
        <v>44742</v>
      </c>
      <c r="O5450" s="43" t="s">
        <v>3267</v>
      </c>
      <c r="P5450" s="417">
        <v>5200</v>
      </c>
      <c r="Q5450" s="53">
        <v>-2</v>
      </c>
      <c r="R5450" s="418">
        <f t="shared" si="124"/>
        <v>-10400</v>
      </c>
      <c r="S5450" s="70">
        <v>202303</v>
      </c>
      <c r="T5450" s="142" t="s">
        <v>7302</v>
      </c>
      <c r="U5450" s="43"/>
      <c r="V5450" s="399"/>
      <c r="W5450" s="146"/>
      <c r="X5450" s="51"/>
      <c r="Y5450" s="51"/>
    </row>
    <row r="5451" s="10" customFormat="1" customHeight="1" spans="1:25">
      <c r="A5451" s="43" t="s">
        <v>399</v>
      </c>
      <c r="B5451" s="43" t="s">
        <v>6937</v>
      </c>
      <c r="C5451" s="42" t="s">
        <v>283</v>
      </c>
      <c r="D5451" s="43" t="s">
        <v>6905</v>
      </c>
      <c r="E5451" s="395" t="s">
        <v>7290</v>
      </c>
      <c r="F5451" s="43" t="s">
        <v>7291</v>
      </c>
      <c r="G5451" s="43" t="s">
        <v>88</v>
      </c>
      <c r="H5451" s="57" t="s">
        <v>7292</v>
      </c>
      <c r="I5451" s="47" t="e">
        <f>VLOOKUP(H5451,'合同综合查询数据（3月返）'!$A:$A,1,FALSE)</f>
        <v>#N/A</v>
      </c>
      <c r="J5451" s="65" t="s">
        <v>126</v>
      </c>
      <c r="K5451" s="43" t="s">
        <v>4898</v>
      </c>
      <c r="L5451" s="43" t="s">
        <v>7299</v>
      </c>
      <c r="M5451" s="50" t="s">
        <v>7297</v>
      </c>
      <c r="N5451" s="392">
        <v>44742</v>
      </c>
      <c r="O5451" s="43" t="s">
        <v>3267</v>
      </c>
      <c r="P5451" s="417">
        <v>5200</v>
      </c>
      <c r="Q5451" s="53">
        <v>-7</v>
      </c>
      <c r="R5451" s="418">
        <f t="shared" si="124"/>
        <v>-36400</v>
      </c>
      <c r="S5451" s="70">
        <v>202303</v>
      </c>
      <c r="T5451" s="142" t="s">
        <v>7303</v>
      </c>
      <c r="U5451" s="43"/>
      <c r="V5451" s="399"/>
      <c r="W5451" s="146"/>
      <c r="X5451" s="51"/>
      <c r="Y5451" s="51"/>
    </row>
    <row r="5452" s="10" customFormat="1" customHeight="1" spans="1:25">
      <c r="A5452" s="43" t="s">
        <v>399</v>
      </c>
      <c r="B5452" s="43" t="s">
        <v>6937</v>
      </c>
      <c r="C5452" s="42" t="s">
        <v>283</v>
      </c>
      <c r="D5452" s="43" t="s">
        <v>6905</v>
      </c>
      <c r="E5452" s="395" t="s">
        <v>7290</v>
      </c>
      <c r="F5452" s="43" t="s">
        <v>7291</v>
      </c>
      <c r="G5452" s="43" t="s">
        <v>88</v>
      </c>
      <c r="H5452" s="57" t="s">
        <v>7292</v>
      </c>
      <c r="I5452" s="47" t="e">
        <f>VLOOKUP(H5452,'合同综合查询数据（3月返）'!$A:$A,1,FALSE)</f>
        <v>#N/A</v>
      </c>
      <c r="J5452" s="65" t="s">
        <v>126</v>
      </c>
      <c r="K5452" s="43" t="s">
        <v>4898</v>
      </c>
      <c r="L5452" s="43" t="s">
        <v>7299</v>
      </c>
      <c r="M5452" s="50" t="s">
        <v>7297</v>
      </c>
      <c r="N5452" s="392">
        <v>44743</v>
      </c>
      <c r="O5452" s="43" t="s">
        <v>3267</v>
      </c>
      <c r="P5452" s="417">
        <v>5200</v>
      </c>
      <c r="Q5452" s="53">
        <v>7</v>
      </c>
      <c r="R5452" s="418">
        <f t="shared" si="124"/>
        <v>36400</v>
      </c>
      <c r="S5452" s="70">
        <v>202303</v>
      </c>
      <c r="T5452" s="142" t="s">
        <v>7304</v>
      </c>
      <c r="U5452" s="43"/>
      <c r="V5452" s="399"/>
      <c r="W5452" s="146"/>
      <c r="X5452" s="51"/>
      <c r="Y5452" s="51"/>
    </row>
    <row r="5453" s="10" customFormat="1" customHeight="1" spans="1:25">
      <c r="A5453" s="43" t="s">
        <v>399</v>
      </c>
      <c r="B5453" s="43" t="s">
        <v>6937</v>
      </c>
      <c r="C5453" s="42" t="s">
        <v>283</v>
      </c>
      <c r="D5453" s="43" t="s">
        <v>6905</v>
      </c>
      <c r="E5453" s="395" t="s">
        <v>7290</v>
      </c>
      <c r="F5453" s="43" t="s">
        <v>7291</v>
      </c>
      <c r="G5453" s="43" t="s">
        <v>88</v>
      </c>
      <c r="H5453" s="57" t="s">
        <v>7292</v>
      </c>
      <c r="I5453" s="47" t="e">
        <f>VLOOKUP(H5453,'合同综合查询数据（3月返）'!$A:$A,1,FALSE)</f>
        <v>#N/A</v>
      </c>
      <c r="J5453" s="65" t="s">
        <v>126</v>
      </c>
      <c r="K5453" s="43" t="s">
        <v>7305</v>
      </c>
      <c r="L5453" s="43" t="s">
        <v>7306</v>
      </c>
      <c r="M5453" s="50" t="s">
        <v>7297</v>
      </c>
      <c r="N5453" s="392">
        <v>43997</v>
      </c>
      <c r="O5453" s="43" t="s">
        <v>3267</v>
      </c>
      <c r="P5453" s="417">
        <v>5200</v>
      </c>
      <c r="Q5453" s="53">
        <v>6</v>
      </c>
      <c r="R5453" s="418">
        <f t="shared" si="124"/>
        <v>31200</v>
      </c>
      <c r="S5453" s="70">
        <v>202303</v>
      </c>
      <c r="T5453" s="142" t="s">
        <v>7307</v>
      </c>
      <c r="U5453" s="43"/>
      <c r="V5453" s="399"/>
      <c r="W5453" s="146"/>
      <c r="X5453" s="51"/>
      <c r="Y5453" s="51"/>
    </row>
    <row r="5454" s="10" customFormat="1" customHeight="1" spans="1:25">
      <c r="A5454" s="43" t="s">
        <v>399</v>
      </c>
      <c r="B5454" s="43" t="s">
        <v>6937</v>
      </c>
      <c r="C5454" s="42" t="s">
        <v>283</v>
      </c>
      <c r="D5454" s="43" t="s">
        <v>6905</v>
      </c>
      <c r="E5454" s="395" t="s">
        <v>7290</v>
      </c>
      <c r="F5454" s="43" t="s">
        <v>7291</v>
      </c>
      <c r="G5454" s="43" t="s">
        <v>88</v>
      </c>
      <c r="H5454" s="57" t="s">
        <v>7292</v>
      </c>
      <c r="I5454" s="47" t="e">
        <f>VLOOKUP(H5454,'合同综合查询数据（3月返）'!$A:$A,1,FALSE)</f>
        <v>#N/A</v>
      </c>
      <c r="J5454" s="65" t="s">
        <v>126</v>
      </c>
      <c r="K5454" s="43" t="s">
        <v>4898</v>
      </c>
      <c r="L5454" s="43" t="s">
        <v>7296</v>
      </c>
      <c r="M5454" s="50" t="s">
        <v>7294</v>
      </c>
      <c r="N5454" s="392">
        <v>43924</v>
      </c>
      <c r="O5454" s="43" t="s">
        <v>3267</v>
      </c>
      <c r="P5454" s="417">
        <v>5200</v>
      </c>
      <c r="Q5454" s="53">
        <v>2</v>
      </c>
      <c r="R5454" s="418">
        <f t="shared" si="124"/>
        <v>10400</v>
      </c>
      <c r="S5454" s="70">
        <v>202303</v>
      </c>
      <c r="T5454" s="142" t="s">
        <v>7308</v>
      </c>
      <c r="U5454" s="43"/>
      <c r="V5454" s="399"/>
      <c r="W5454" s="146"/>
      <c r="X5454" s="51"/>
      <c r="Y5454" s="51"/>
    </row>
    <row r="5455" s="10" customFormat="1" customHeight="1" spans="1:25">
      <c r="A5455" s="43" t="s">
        <v>399</v>
      </c>
      <c r="B5455" s="43" t="s">
        <v>6937</v>
      </c>
      <c r="C5455" s="42" t="s">
        <v>283</v>
      </c>
      <c r="D5455" s="43" t="s">
        <v>6905</v>
      </c>
      <c r="E5455" s="395" t="s">
        <v>7290</v>
      </c>
      <c r="F5455" s="43" t="s">
        <v>7291</v>
      </c>
      <c r="G5455" s="43" t="s">
        <v>88</v>
      </c>
      <c r="H5455" s="57" t="s">
        <v>7292</v>
      </c>
      <c r="I5455" s="47" t="e">
        <f>VLOOKUP(H5455,'合同综合查询数据（3月返）'!$A:$A,1,FALSE)</f>
        <v>#N/A</v>
      </c>
      <c r="J5455" s="65" t="s">
        <v>126</v>
      </c>
      <c r="K5455" s="43" t="s">
        <v>7309</v>
      </c>
      <c r="L5455" s="43" t="s">
        <v>7310</v>
      </c>
      <c r="M5455" s="50" t="s">
        <v>7311</v>
      </c>
      <c r="N5455" s="392">
        <v>42236</v>
      </c>
      <c r="O5455" s="43" t="s">
        <v>3267</v>
      </c>
      <c r="P5455" s="417">
        <v>5200</v>
      </c>
      <c r="Q5455" s="53">
        <v>4</v>
      </c>
      <c r="R5455" s="418">
        <f t="shared" si="124"/>
        <v>20800</v>
      </c>
      <c r="S5455" s="70">
        <v>202303</v>
      </c>
      <c r="T5455" s="142" t="s">
        <v>7312</v>
      </c>
      <c r="U5455" s="43"/>
      <c r="V5455" s="399"/>
      <c r="W5455" s="146"/>
      <c r="X5455" s="51"/>
      <c r="Y5455" s="51"/>
    </row>
    <row r="5456" s="10" customFormat="1" customHeight="1" spans="1:25">
      <c r="A5456" s="43" t="s">
        <v>399</v>
      </c>
      <c r="B5456" s="43" t="s">
        <v>6937</v>
      </c>
      <c r="C5456" s="42" t="s">
        <v>283</v>
      </c>
      <c r="D5456" s="43" t="s">
        <v>6905</v>
      </c>
      <c r="E5456" s="395" t="s">
        <v>7290</v>
      </c>
      <c r="F5456" s="43" t="s">
        <v>7291</v>
      </c>
      <c r="G5456" s="43" t="s">
        <v>88</v>
      </c>
      <c r="H5456" s="57" t="s">
        <v>7292</v>
      </c>
      <c r="I5456" s="47" t="e">
        <f>VLOOKUP(H5456,'合同综合查询数据（3月返）'!$A:$A,1,FALSE)</f>
        <v>#N/A</v>
      </c>
      <c r="J5456" s="65" t="s">
        <v>126</v>
      </c>
      <c r="K5456" s="43" t="s">
        <v>7309</v>
      </c>
      <c r="L5456" s="43" t="s">
        <v>7310</v>
      </c>
      <c r="M5456" s="50" t="s">
        <v>7311</v>
      </c>
      <c r="N5456" s="392">
        <v>44712</v>
      </c>
      <c r="O5456" s="43" t="s">
        <v>3267</v>
      </c>
      <c r="P5456" s="417">
        <v>5200</v>
      </c>
      <c r="Q5456" s="53">
        <v>-4</v>
      </c>
      <c r="R5456" s="418">
        <f t="shared" si="124"/>
        <v>-20800</v>
      </c>
      <c r="S5456" s="70">
        <v>202303</v>
      </c>
      <c r="T5456" s="142" t="s">
        <v>7312</v>
      </c>
      <c r="U5456" s="43"/>
      <c r="V5456" s="399"/>
      <c r="W5456" s="146"/>
      <c r="X5456" s="51"/>
      <c r="Y5456" s="51"/>
    </row>
    <row r="5457" s="10" customFormat="1" customHeight="1" spans="1:25">
      <c r="A5457" s="43" t="s">
        <v>399</v>
      </c>
      <c r="B5457" s="43" t="s">
        <v>6937</v>
      </c>
      <c r="C5457" s="42" t="s">
        <v>283</v>
      </c>
      <c r="D5457" s="43" t="s">
        <v>6905</v>
      </c>
      <c r="E5457" s="395" t="s">
        <v>7290</v>
      </c>
      <c r="F5457" s="43" t="s">
        <v>7291</v>
      </c>
      <c r="G5457" s="43" t="s">
        <v>88</v>
      </c>
      <c r="H5457" s="57" t="s">
        <v>7292</v>
      </c>
      <c r="I5457" s="47" t="e">
        <f>VLOOKUP(H5457,'合同综合查询数据（3月返）'!$A:$A,1,FALSE)</f>
        <v>#N/A</v>
      </c>
      <c r="J5457" s="65" t="s">
        <v>126</v>
      </c>
      <c r="K5457" s="43" t="s">
        <v>7313</v>
      </c>
      <c r="L5457" s="43" t="s">
        <v>7314</v>
      </c>
      <c r="M5457" s="50" t="s">
        <v>7315</v>
      </c>
      <c r="N5457" s="392">
        <v>43490</v>
      </c>
      <c r="O5457" s="43" t="s">
        <v>3267</v>
      </c>
      <c r="P5457" s="417">
        <v>5200</v>
      </c>
      <c r="Q5457" s="53">
        <v>5</v>
      </c>
      <c r="R5457" s="418">
        <f t="shared" si="124"/>
        <v>26000</v>
      </c>
      <c r="S5457" s="70">
        <v>202303</v>
      </c>
      <c r="T5457" s="142" t="s">
        <v>7316</v>
      </c>
      <c r="U5457" s="43"/>
      <c r="V5457" s="399"/>
      <c r="W5457" s="146"/>
      <c r="X5457" s="51"/>
      <c r="Y5457" s="51"/>
    </row>
    <row r="5458" s="10" customFormat="1" customHeight="1" spans="1:25">
      <c r="A5458" s="43" t="s">
        <v>399</v>
      </c>
      <c r="B5458" s="43" t="s">
        <v>6937</v>
      </c>
      <c r="C5458" s="42" t="s">
        <v>283</v>
      </c>
      <c r="D5458" s="43" t="s">
        <v>6905</v>
      </c>
      <c r="E5458" s="395" t="s">
        <v>7290</v>
      </c>
      <c r="F5458" s="43" t="s">
        <v>7291</v>
      </c>
      <c r="G5458" s="43" t="s">
        <v>88</v>
      </c>
      <c r="H5458" s="57" t="s">
        <v>7292</v>
      </c>
      <c r="I5458" s="47" t="e">
        <f>VLOOKUP(H5458,'合同综合查询数据（3月返）'!$A:$A,1,FALSE)</f>
        <v>#N/A</v>
      </c>
      <c r="J5458" s="65" t="s">
        <v>126</v>
      </c>
      <c r="K5458" s="43" t="s">
        <v>7313</v>
      </c>
      <c r="L5458" s="43" t="s">
        <v>7314</v>
      </c>
      <c r="M5458" s="50" t="s">
        <v>7315</v>
      </c>
      <c r="N5458" s="392">
        <v>43997</v>
      </c>
      <c r="O5458" s="43" t="s">
        <v>3267</v>
      </c>
      <c r="P5458" s="417">
        <v>5200</v>
      </c>
      <c r="Q5458" s="53">
        <v>-5</v>
      </c>
      <c r="R5458" s="418">
        <f t="shared" si="124"/>
        <v>-26000</v>
      </c>
      <c r="S5458" s="70">
        <v>202303</v>
      </c>
      <c r="T5458" s="142" t="s">
        <v>7316</v>
      </c>
      <c r="U5458" s="43"/>
      <c r="V5458" s="399"/>
      <c r="W5458" s="146"/>
      <c r="X5458" s="51"/>
      <c r="Y5458" s="51"/>
    </row>
    <row r="5459" s="10" customFormat="1" customHeight="1" spans="1:25">
      <c r="A5459" s="62" t="s">
        <v>399</v>
      </c>
      <c r="B5459" s="43" t="s">
        <v>6937</v>
      </c>
      <c r="C5459" s="60" t="s">
        <v>283</v>
      </c>
      <c r="D5459" s="60" t="s">
        <v>6905</v>
      </c>
      <c r="E5459" s="47" t="s">
        <v>7290</v>
      </c>
      <c r="F5459" s="62" t="s">
        <v>7291</v>
      </c>
      <c r="G5459" s="138" t="s">
        <v>88</v>
      </c>
      <c r="H5459" s="57" t="s">
        <v>7292</v>
      </c>
      <c r="I5459" s="47" t="e">
        <f>VLOOKUP(H5459,'合同综合查询数据（3月返）'!$A:$A,1,FALSE)</f>
        <v>#N/A</v>
      </c>
      <c r="J5459" s="65" t="s">
        <v>126</v>
      </c>
      <c r="K5459" s="62" t="s">
        <v>7305</v>
      </c>
      <c r="L5459" s="138" t="s">
        <v>7306</v>
      </c>
      <c r="M5459" s="50" t="s">
        <v>7297</v>
      </c>
      <c r="N5459" s="51">
        <v>44531</v>
      </c>
      <c r="O5459" s="138" t="s">
        <v>3267</v>
      </c>
      <c r="P5459" s="417">
        <v>5200</v>
      </c>
      <c r="Q5459" s="53">
        <v>2</v>
      </c>
      <c r="R5459" s="54">
        <f t="shared" si="124"/>
        <v>10400</v>
      </c>
      <c r="S5459" s="70">
        <v>202303</v>
      </c>
      <c r="T5459" s="142" t="s">
        <v>7317</v>
      </c>
      <c r="U5459" s="139"/>
      <c r="V5459" s="399"/>
      <c r="W5459" s="146"/>
      <c r="X5459" s="51"/>
      <c r="Y5459" s="51"/>
    </row>
    <row r="5460" s="10" customFormat="1" customHeight="1" spans="1:25">
      <c r="A5460" s="62" t="s">
        <v>399</v>
      </c>
      <c r="B5460" s="43" t="s">
        <v>6937</v>
      </c>
      <c r="C5460" s="60" t="s">
        <v>283</v>
      </c>
      <c r="D5460" s="60" t="s">
        <v>6905</v>
      </c>
      <c r="E5460" s="47" t="s">
        <v>7290</v>
      </c>
      <c r="F5460" s="62" t="s">
        <v>7291</v>
      </c>
      <c r="G5460" s="138" t="s">
        <v>31</v>
      </c>
      <c r="H5460" s="57" t="s">
        <v>7292</v>
      </c>
      <c r="I5460" s="47" t="e">
        <f>VLOOKUP(H5460,'合同综合查询数据（3月返）'!$A:$A,1,FALSE)</f>
        <v>#N/A</v>
      </c>
      <c r="J5460" s="65" t="s">
        <v>33</v>
      </c>
      <c r="K5460" s="43" t="s">
        <v>7309</v>
      </c>
      <c r="L5460" s="138" t="s">
        <v>7310</v>
      </c>
      <c r="M5460" s="50" t="s">
        <v>7311</v>
      </c>
      <c r="N5460" s="51" t="s">
        <v>6928</v>
      </c>
      <c r="O5460" s="138" t="s">
        <v>37</v>
      </c>
      <c r="P5460" s="417">
        <v>0</v>
      </c>
      <c r="Q5460" s="53">
        <v>256</v>
      </c>
      <c r="R5460" s="54">
        <f t="shared" si="124"/>
        <v>0</v>
      </c>
      <c r="S5460" s="70">
        <v>202303</v>
      </c>
      <c r="T5460" s="142" t="s">
        <v>7318</v>
      </c>
      <c r="U5460" s="139"/>
      <c r="V5460" s="399"/>
      <c r="W5460" s="146"/>
      <c r="X5460" s="51"/>
      <c r="Y5460" s="51"/>
    </row>
    <row r="5461" s="10" customFormat="1" customHeight="1" spans="1:25">
      <c r="A5461" s="62" t="s">
        <v>399</v>
      </c>
      <c r="B5461" s="43" t="s">
        <v>6937</v>
      </c>
      <c r="C5461" s="60" t="s">
        <v>283</v>
      </c>
      <c r="D5461" s="60" t="s">
        <v>6905</v>
      </c>
      <c r="E5461" s="47" t="s">
        <v>7290</v>
      </c>
      <c r="F5461" s="62" t="s">
        <v>7291</v>
      </c>
      <c r="G5461" s="138" t="s">
        <v>31</v>
      </c>
      <c r="H5461" s="57" t="s">
        <v>7292</v>
      </c>
      <c r="I5461" s="47" t="e">
        <f>VLOOKUP(H5461,'合同综合查询数据（3月返）'!$A:$A,1,FALSE)</f>
        <v>#N/A</v>
      </c>
      <c r="J5461" s="65" t="s">
        <v>33</v>
      </c>
      <c r="K5461" s="43" t="s">
        <v>7309</v>
      </c>
      <c r="L5461" s="138" t="s">
        <v>7310</v>
      </c>
      <c r="M5461" s="50" t="s">
        <v>7311</v>
      </c>
      <c r="N5461" s="392">
        <v>44712</v>
      </c>
      <c r="O5461" s="138" t="s">
        <v>37</v>
      </c>
      <c r="P5461" s="417">
        <v>0</v>
      </c>
      <c r="Q5461" s="53">
        <v>-256</v>
      </c>
      <c r="R5461" s="54">
        <f t="shared" si="124"/>
        <v>0</v>
      </c>
      <c r="S5461" s="70">
        <v>202303</v>
      </c>
      <c r="T5461" s="142" t="s">
        <v>7318</v>
      </c>
      <c r="U5461" s="139"/>
      <c r="V5461" s="399"/>
      <c r="W5461" s="146"/>
      <c r="X5461" s="51"/>
      <c r="Y5461" s="51"/>
    </row>
    <row r="5462" s="10" customFormat="1" customHeight="1" spans="1:25">
      <c r="A5462" s="62" t="s">
        <v>399</v>
      </c>
      <c r="B5462" s="43" t="s">
        <v>6937</v>
      </c>
      <c r="C5462" s="60" t="s">
        <v>283</v>
      </c>
      <c r="D5462" s="60" t="s">
        <v>6905</v>
      </c>
      <c r="E5462" s="47" t="s">
        <v>7290</v>
      </c>
      <c r="F5462" s="62" t="s">
        <v>7291</v>
      </c>
      <c r="G5462" s="138" t="s">
        <v>31</v>
      </c>
      <c r="H5462" s="57" t="s">
        <v>7292</v>
      </c>
      <c r="I5462" s="47" t="e">
        <f>VLOOKUP(H5462,'合同综合查询数据（3月返）'!$A:$A,1,FALSE)</f>
        <v>#N/A</v>
      </c>
      <c r="J5462" s="65" t="s">
        <v>33</v>
      </c>
      <c r="K5462" s="43" t="s">
        <v>4898</v>
      </c>
      <c r="L5462" s="138" t="s">
        <v>7293</v>
      </c>
      <c r="M5462" s="50" t="s">
        <v>7294</v>
      </c>
      <c r="N5462" s="51" t="s">
        <v>6928</v>
      </c>
      <c r="O5462" s="138" t="s">
        <v>37</v>
      </c>
      <c r="P5462" s="417">
        <v>0</v>
      </c>
      <c r="Q5462" s="53">
        <v>512</v>
      </c>
      <c r="R5462" s="54">
        <f t="shared" si="124"/>
        <v>0</v>
      </c>
      <c r="S5462" s="70">
        <v>202303</v>
      </c>
      <c r="T5462" s="142" t="s">
        <v>7319</v>
      </c>
      <c r="U5462" s="139"/>
      <c r="V5462" s="399"/>
      <c r="W5462" s="146"/>
      <c r="X5462" s="51"/>
      <c r="Y5462" s="51"/>
    </row>
    <row r="5463" s="10" customFormat="1" customHeight="1" spans="1:25">
      <c r="A5463" s="62" t="s">
        <v>399</v>
      </c>
      <c r="B5463" s="43" t="s">
        <v>6937</v>
      </c>
      <c r="C5463" s="60" t="s">
        <v>283</v>
      </c>
      <c r="D5463" s="60" t="s">
        <v>6905</v>
      </c>
      <c r="E5463" s="47" t="s">
        <v>7290</v>
      </c>
      <c r="F5463" s="62" t="s">
        <v>7291</v>
      </c>
      <c r="G5463" s="138" t="s">
        <v>31</v>
      </c>
      <c r="H5463" s="57" t="s">
        <v>7292</v>
      </c>
      <c r="I5463" s="47" t="e">
        <f>VLOOKUP(H5463,'合同综合查询数据（3月返）'!$A:$A,1,FALSE)</f>
        <v>#N/A</v>
      </c>
      <c r="J5463" s="65" t="s">
        <v>33</v>
      </c>
      <c r="K5463" s="43" t="s">
        <v>4898</v>
      </c>
      <c r="L5463" s="138" t="s">
        <v>7293</v>
      </c>
      <c r="M5463" s="50" t="s">
        <v>7294</v>
      </c>
      <c r="N5463" s="392">
        <v>44712</v>
      </c>
      <c r="O5463" s="138" t="s">
        <v>37</v>
      </c>
      <c r="P5463" s="417">
        <v>0</v>
      </c>
      <c r="Q5463" s="53">
        <v>-512</v>
      </c>
      <c r="R5463" s="54">
        <f t="shared" si="124"/>
        <v>0</v>
      </c>
      <c r="S5463" s="70">
        <v>202303</v>
      </c>
      <c r="T5463" s="142" t="s">
        <v>7319</v>
      </c>
      <c r="U5463" s="139"/>
      <c r="V5463" s="399"/>
      <c r="W5463" s="146"/>
      <c r="X5463" s="51"/>
      <c r="Y5463" s="51"/>
    </row>
    <row r="5464" s="10" customFormat="1" customHeight="1" spans="1:25">
      <c r="A5464" s="62" t="s">
        <v>399</v>
      </c>
      <c r="B5464" s="43" t="s">
        <v>6937</v>
      </c>
      <c r="C5464" s="60" t="s">
        <v>283</v>
      </c>
      <c r="D5464" s="60" t="s">
        <v>6905</v>
      </c>
      <c r="E5464" s="47" t="s">
        <v>7290</v>
      </c>
      <c r="F5464" s="62" t="s">
        <v>7291</v>
      </c>
      <c r="G5464" s="138" t="s">
        <v>31</v>
      </c>
      <c r="H5464" s="57" t="s">
        <v>7292</v>
      </c>
      <c r="I5464" s="47" t="e">
        <f>VLOOKUP(H5464,'合同综合查询数据（3月返）'!$A:$A,1,FALSE)</f>
        <v>#N/A</v>
      </c>
      <c r="J5464" s="65" t="s">
        <v>33</v>
      </c>
      <c r="K5464" s="43" t="s">
        <v>4898</v>
      </c>
      <c r="L5464" s="138" t="s">
        <v>7296</v>
      </c>
      <c r="M5464" s="50" t="s">
        <v>7297</v>
      </c>
      <c r="N5464" s="51" t="s">
        <v>6928</v>
      </c>
      <c r="O5464" s="138" t="s">
        <v>37</v>
      </c>
      <c r="P5464" s="417">
        <v>0</v>
      </c>
      <c r="Q5464" s="53">
        <v>384</v>
      </c>
      <c r="R5464" s="54">
        <f t="shared" si="124"/>
        <v>0</v>
      </c>
      <c r="S5464" s="70">
        <v>202303</v>
      </c>
      <c r="T5464" s="142" t="s">
        <v>7320</v>
      </c>
      <c r="U5464" s="139"/>
      <c r="V5464" s="399"/>
      <c r="W5464" s="146"/>
      <c r="X5464" s="51"/>
      <c r="Y5464" s="51"/>
    </row>
    <row r="5465" s="10" customFormat="1" customHeight="1" spans="1:25">
      <c r="A5465" s="62" t="s">
        <v>399</v>
      </c>
      <c r="B5465" s="43" t="s">
        <v>6937</v>
      </c>
      <c r="C5465" s="60" t="s">
        <v>283</v>
      </c>
      <c r="D5465" s="60" t="s">
        <v>6905</v>
      </c>
      <c r="E5465" s="47" t="s">
        <v>7290</v>
      </c>
      <c r="F5465" s="62" t="s">
        <v>7291</v>
      </c>
      <c r="G5465" s="138" t="s">
        <v>31</v>
      </c>
      <c r="H5465" s="57" t="s">
        <v>7292</v>
      </c>
      <c r="I5465" s="47" t="e">
        <f>VLOOKUP(H5465,'合同综合查询数据（3月返）'!$A:$A,1,FALSE)</f>
        <v>#N/A</v>
      </c>
      <c r="J5465" s="65" t="s">
        <v>33</v>
      </c>
      <c r="K5465" s="43" t="s">
        <v>4898</v>
      </c>
      <c r="L5465" s="138" t="s">
        <v>7299</v>
      </c>
      <c r="M5465" s="50" t="s">
        <v>7297</v>
      </c>
      <c r="N5465" s="51" t="s">
        <v>6928</v>
      </c>
      <c r="O5465" s="138" t="s">
        <v>37</v>
      </c>
      <c r="P5465" s="417">
        <v>0</v>
      </c>
      <c r="Q5465" s="53">
        <v>512</v>
      </c>
      <c r="R5465" s="54">
        <f t="shared" si="124"/>
        <v>0</v>
      </c>
      <c r="S5465" s="70">
        <v>202303</v>
      </c>
      <c r="T5465" s="142" t="s">
        <v>7321</v>
      </c>
      <c r="U5465" s="139"/>
      <c r="V5465" s="399"/>
      <c r="W5465" s="146"/>
      <c r="X5465" s="51"/>
      <c r="Y5465" s="51"/>
    </row>
    <row r="5466" s="10" customFormat="1" customHeight="1" spans="1:25">
      <c r="A5466" s="62" t="s">
        <v>399</v>
      </c>
      <c r="B5466" s="43" t="s">
        <v>6937</v>
      </c>
      <c r="C5466" s="60" t="s">
        <v>283</v>
      </c>
      <c r="D5466" s="60" t="s">
        <v>6905</v>
      </c>
      <c r="E5466" s="47" t="s">
        <v>7290</v>
      </c>
      <c r="F5466" s="62" t="s">
        <v>7291</v>
      </c>
      <c r="G5466" s="138" t="s">
        <v>31</v>
      </c>
      <c r="H5466" s="57" t="s">
        <v>7292</v>
      </c>
      <c r="I5466" s="47" t="e">
        <f>VLOOKUP(H5466,'合同综合查询数据（3月返）'!$A:$A,1,FALSE)</f>
        <v>#N/A</v>
      </c>
      <c r="J5466" s="65" t="s">
        <v>33</v>
      </c>
      <c r="K5466" s="43" t="s">
        <v>4898</v>
      </c>
      <c r="L5466" s="138" t="s">
        <v>7299</v>
      </c>
      <c r="M5466" s="50" t="s">
        <v>7297</v>
      </c>
      <c r="N5466" s="51">
        <v>44743</v>
      </c>
      <c r="O5466" s="138" t="s">
        <v>37</v>
      </c>
      <c r="P5466" s="417">
        <v>0</v>
      </c>
      <c r="Q5466" s="53">
        <v>-256</v>
      </c>
      <c r="R5466" s="54">
        <f t="shared" si="124"/>
        <v>0</v>
      </c>
      <c r="S5466" s="70">
        <v>202303</v>
      </c>
      <c r="T5466" s="142" t="s">
        <v>7322</v>
      </c>
      <c r="U5466" s="139"/>
      <c r="V5466" s="399"/>
      <c r="W5466" s="146"/>
      <c r="X5466" s="51"/>
      <c r="Y5466" s="51"/>
    </row>
    <row r="5467" s="10" customFormat="1" customHeight="1" spans="1:25">
      <c r="A5467" s="62" t="s">
        <v>399</v>
      </c>
      <c r="B5467" s="43" t="s">
        <v>6937</v>
      </c>
      <c r="C5467" s="60" t="s">
        <v>283</v>
      </c>
      <c r="D5467" s="60" t="s">
        <v>6905</v>
      </c>
      <c r="E5467" s="47" t="s">
        <v>7290</v>
      </c>
      <c r="F5467" s="62" t="s">
        <v>7291</v>
      </c>
      <c r="G5467" s="138" t="s">
        <v>31</v>
      </c>
      <c r="H5467" s="57" t="s">
        <v>7292</v>
      </c>
      <c r="I5467" s="47" t="e">
        <f>VLOOKUP(H5467,'合同综合查询数据（3月返）'!$A:$A,1,FALSE)</f>
        <v>#N/A</v>
      </c>
      <c r="J5467" s="65" t="s">
        <v>33</v>
      </c>
      <c r="K5467" s="62" t="s">
        <v>7305</v>
      </c>
      <c r="L5467" s="138" t="s">
        <v>7306</v>
      </c>
      <c r="M5467" s="50" t="s">
        <v>7297</v>
      </c>
      <c r="N5467" s="51">
        <v>44531</v>
      </c>
      <c r="O5467" s="138" t="s">
        <v>37</v>
      </c>
      <c r="P5467" s="417">
        <v>0</v>
      </c>
      <c r="Q5467" s="53">
        <v>128</v>
      </c>
      <c r="R5467" s="54">
        <f t="shared" si="124"/>
        <v>0</v>
      </c>
      <c r="S5467" s="70">
        <v>202303</v>
      </c>
      <c r="T5467" s="142" t="s">
        <v>7323</v>
      </c>
      <c r="U5467" s="139"/>
      <c r="V5467" s="399"/>
      <c r="W5467" s="146"/>
      <c r="X5467" s="51"/>
      <c r="Y5467" s="51"/>
    </row>
    <row r="5468" s="10" customFormat="1" customHeight="1" spans="1:25">
      <c r="A5468" s="62" t="s">
        <v>399</v>
      </c>
      <c r="B5468" s="43" t="s">
        <v>6937</v>
      </c>
      <c r="C5468" s="60" t="s">
        <v>283</v>
      </c>
      <c r="D5468" s="60" t="s">
        <v>6905</v>
      </c>
      <c r="E5468" s="47" t="s">
        <v>7290</v>
      </c>
      <c r="F5468" s="62" t="s">
        <v>7291</v>
      </c>
      <c r="G5468" s="138" t="s">
        <v>31</v>
      </c>
      <c r="H5468" s="57" t="s">
        <v>7292</v>
      </c>
      <c r="I5468" s="47" t="e">
        <f>VLOOKUP(H5468,'合同综合查询数据（3月返）'!$A:$A,1,FALSE)</f>
        <v>#N/A</v>
      </c>
      <c r="J5468" s="65" t="s">
        <v>33</v>
      </c>
      <c r="K5468" s="62" t="s">
        <v>7305</v>
      </c>
      <c r="L5468" s="138" t="s">
        <v>7306</v>
      </c>
      <c r="M5468" s="50" t="s">
        <v>7297</v>
      </c>
      <c r="N5468" s="51">
        <v>44531</v>
      </c>
      <c r="O5468" s="138" t="s">
        <v>152</v>
      </c>
      <c r="P5468" s="417">
        <v>0</v>
      </c>
      <c r="Q5468" s="53">
        <v>1</v>
      </c>
      <c r="R5468" s="54">
        <f t="shared" si="124"/>
        <v>0</v>
      </c>
      <c r="S5468" s="70">
        <v>202303</v>
      </c>
      <c r="T5468" s="142" t="s">
        <v>7324</v>
      </c>
      <c r="U5468" s="139"/>
      <c r="V5468" s="399"/>
      <c r="W5468" s="146"/>
      <c r="X5468" s="51"/>
      <c r="Y5468" s="51"/>
    </row>
    <row r="5469" s="10" customFormat="1" customHeight="1" spans="1:25">
      <c r="A5469" s="43" t="s">
        <v>399</v>
      </c>
      <c r="B5469" s="43" t="s">
        <v>6937</v>
      </c>
      <c r="C5469" s="42" t="s">
        <v>283</v>
      </c>
      <c r="D5469" s="42" t="s">
        <v>6905</v>
      </c>
      <c r="E5469" s="395" t="s">
        <v>7290</v>
      </c>
      <c r="F5469" s="43" t="s">
        <v>7291</v>
      </c>
      <c r="G5469" s="138" t="s">
        <v>88</v>
      </c>
      <c r="H5469" s="57" t="s">
        <v>7292</v>
      </c>
      <c r="I5469" s="47" t="e">
        <f>VLOOKUP(H5469,'合同综合查询数据（3月返）'!$A:$A,1,FALSE)</f>
        <v>#N/A</v>
      </c>
      <c r="J5469" s="65" t="s">
        <v>126</v>
      </c>
      <c r="K5469" s="43" t="s">
        <v>7305</v>
      </c>
      <c r="L5469" s="138" t="s">
        <v>7306</v>
      </c>
      <c r="M5469" s="50" t="s">
        <v>7297</v>
      </c>
      <c r="N5469" s="51">
        <v>44470</v>
      </c>
      <c r="O5469" s="138" t="s">
        <v>3267</v>
      </c>
      <c r="P5469" s="417">
        <v>5200</v>
      </c>
      <c r="Q5469" s="53">
        <v>3</v>
      </c>
      <c r="R5469" s="54">
        <f t="shared" si="124"/>
        <v>15600</v>
      </c>
      <c r="S5469" s="70">
        <v>202303</v>
      </c>
      <c r="T5469" s="142" t="s">
        <v>7325</v>
      </c>
      <c r="U5469" s="139"/>
      <c r="V5469" s="399"/>
      <c r="W5469" s="146"/>
      <c r="X5469" s="51"/>
      <c r="Y5469" s="51"/>
    </row>
    <row r="5470" s="10" customFormat="1" customHeight="1" spans="1:25">
      <c r="A5470" s="43" t="s">
        <v>399</v>
      </c>
      <c r="B5470" s="43" t="s">
        <v>6937</v>
      </c>
      <c r="C5470" s="42" t="s">
        <v>283</v>
      </c>
      <c r="D5470" s="42" t="s">
        <v>6905</v>
      </c>
      <c r="E5470" s="395" t="s">
        <v>7290</v>
      </c>
      <c r="F5470" s="43" t="s">
        <v>7291</v>
      </c>
      <c r="G5470" s="138" t="s">
        <v>88</v>
      </c>
      <c r="H5470" s="57" t="s">
        <v>7292</v>
      </c>
      <c r="I5470" s="47" t="e">
        <f>VLOOKUP(H5470,'合同综合查询数据（3月返）'!$A:$A,1,FALSE)</f>
        <v>#N/A</v>
      </c>
      <c r="J5470" s="65" t="s">
        <v>126</v>
      </c>
      <c r="K5470" s="43" t="s">
        <v>7326</v>
      </c>
      <c r="L5470" s="43" t="s">
        <v>7296</v>
      </c>
      <c r="M5470" s="50" t="s">
        <v>7297</v>
      </c>
      <c r="N5470" s="51">
        <v>44652</v>
      </c>
      <c r="O5470" s="138" t="s">
        <v>3267</v>
      </c>
      <c r="P5470" s="417">
        <v>5200</v>
      </c>
      <c r="Q5470" s="53">
        <v>2</v>
      </c>
      <c r="R5470" s="54">
        <f t="shared" si="124"/>
        <v>10400</v>
      </c>
      <c r="S5470" s="70">
        <v>202303</v>
      </c>
      <c r="T5470" s="142" t="s">
        <v>7327</v>
      </c>
      <c r="U5470" s="139"/>
      <c r="V5470" s="399"/>
      <c r="W5470" s="146"/>
      <c r="X5470" s="51"/>
      <c r="Y5470" s="51"/>
    </row>
    <row r="5471" s="10" customFormat="1" customHeight="1" spans="1:25">
      <c r="A5471" s="43" t="s">
        <v>399</v>
      </c>
      <c r="B5471" s="43" t="s">
        <v>6937</v>
      </c>
      <c r="C5471" s="42" t="s">
        <v>283</v>
      </c>
      <c r="D5471" s="42" t="s">
        <v>6905</v>
      </c>
      <c r="E5471" s="395" t="s">
        <v>7290</v>
      </c>
      <c r="F5471" s="43" t="s">
        <v>7291</v>
      </c>
      <c r="G5471" s="138" t="s">
        <v>31</v>
      </c>
      <c r="H5471" s="57" t="s">
        <v>7292</v>
      </c>
      <c r="I5471" s="47" t="e">
        <f>VLOOKUP(H5471,'合同综合查询数据（3月返）'!$A:$A,1,FALSE)</f>
        <v>#N/A</v>
      </c>
      <c r="J5471" s="65" t="s">
        <v>33</v>
      </c>
      <c r="K5471" s="43" t="s">
        <v>7305</v>
      </c>
      <c r="L5471" s="138" t="s">
        <v>7306</v>
      </c>
      <c r="M5471" s="50" t="s">
        <v>7297</v>
      </c>
      <c r="N5471" s="51">
        <v>44470</v>
      </c>
      <c r="O5471" s="138" t="s">
        <v>37</v>
      </c>
      <c r="P5471" s="52">
        <v>0</v>
      </c>
      <c r="Q5471" s="53">
        <v>128</v>
      </c>
      <c r="R5471" s="54">
        <f t="shared" si="124"/>
        <v>0</v>
      </c>
      <c r="S5471" s="70">
        <v>202303</v>
      </c>
      <c r="T5471" s="142" t="s">
        <v>7328</v>
      </c>
      <c r="U5471" s="139"/>
      <c r="V5471" s="399"/>
      <c r="W5471" s="146"/>
      <c r="X5471" s="51"/>
      <c r="Y5471" s="51"/>
    </row>
    <row r="5472" s="10" customFormat="1" customHeight="1" spans="1:25">
      <c r="A5472" s="43" t="s">
        <v>399</v>
      </c>
      <c r="B5472" s="43" t="s">
        <v>6937</v>
      </c>
      <c r="C5472" s="42" t="s">
        <v>283</v>
      </c>
      <c r="D5472" s="42" t="s">
        <v>6905</v>
      </c>
      <c r="E5472" s="395" t="s">
        <v>7290</v>
      </c>
      <c r="F5472" s="43" t="s">
        <v>7291</v>
      </c>
      <c r="G5472" s="138" t="s">
        <v>31</v>
      </c>
      <c r="H5472" s="57" t="s">
        <v>7292</v>
      </c>
      <c r="I5472" s="47" t="e">
        <f>VLOOKUP(H5472,'合同综合查询数据（3月返）'!$A:$A,1,FALSE)</f>
        <v>#N/A</v>
      </c>
      <c r="J5472" s="65" t="s">
        <v>33</v>
      </c>
      <c r="K5472" s="43" t="s">
        <v>7326</v>
      </c>
      <c r="L5472" s="138" t="s">
        <v>7296</v>
      </c>
      <c r="M5472" s="50" t="s">
        <v>7297</v>
      </c>
      <c r="N5472" s="51">
        <v>44652</v>
      </c>
      <c r="O5472" s="138" t="s">
        <v>37</v>
      </c>
      <c r="P5472" s="52">
        <v>0</v>
      </c>
      <c r="Q5472" s="53">
        <v>128</v>
      </c>
      <c r="R5472" s="54">
        <f t="shared" si="124"/>
        <v>0</v>
      </c>
      <c r="S5472" s="70">
        <v>202303</v>
      </c>
      <c r="T5472" s="142" t="s">
        <v>7329</v>
      </c>
      <c r="U5472" s="139"/>
      <c r="V5472" s="399"/>
      <c r="W5472" s="146"/>
      <c r="X5472" s="51"/>
      <c r="Y5472" s="51"/>
    </row>
    <row r="5473" s="10" customFormat="1" customHeight="1" spans="1:25">
      <c r="A5473" s="43" t="s">
        <v>399</v>
      </c>
      <c r="B5473" s="43" t="s">
        <v>6937</v>
      </c>
      <c r="C5473" s="42" t="s">
        <v>283</v>
      </c>
      <c r="D5473" s="42" t="s">
        <v>6905</v>
      </c>
      <c r="E5473" s="395" t="s">
        <v>7290</v>
      </c>
      <c r="F5473" s="43" t="s">
        <v>7291</v>
      </c>
      <c r="G5473" s="138" t="s">
        <v>31</v>
      </c>
      <c r="H5473" s="57" t="s">
        <v>7292</v>
      </c>
      <c r="I5473" s="47" t="e">
        <f>VLOOKUP(H5473,'合同综合查询数据（3月返）'!$A:$A,1,FALSE)</f>
        <v>#N/A</v>
      </c>
      <c r="J5473" s="65" t="s">
        <v>33</v>
      </c>
      <c r="K5473" s="43" t="s">
        <v>7305</v>
      </c>
      <c r="L5473" s="138" t="s">
        <v>7306</v>
      </c>
      <c r="M5473" s="50" t="s">
        <v>7297</v>
      </c>
      <c r="N5473" s="51">
        <v>44743</v>
      </c>
      <c r="O5473" s="138" t="s">
        <v>37</v>
      </c>
      <c r="P5473" s="52">
        <v>0</v>
      </c>
      <c r="Q5473" s="53">
        <v>256</v>
      </c>
      <c r="R5473" s="54">
        <f t="shared" si="124"/>
        <v>0</v>
      </c>
      <c r="S5473" s="70">
        <v>202303</v>
      </c>
      <c r="T5473" s="142" t="s">
        <v>7330</v>
      </c>
      <c r="U5473" s="139"/>
      <c r="V5473" s="399"/>
      <c r="W5473" s="146"/>
      <c r="X5473" s="51"/>
      <c r="Y5473" s="51"/>
    </row>
    <row r="5474" s="10" customFormat="1" customHeight="1" spans="1:25">
      <c r="A5474" s="43" t="s">
        <v>399</v>
      </c>
      <c r="B5474" s="43" t="s">
        <v>6937</v>
      </c>
      <c r="C5474" s="42" t="s">
        <v>283</v>
      </c>
      <c r="D5474" s="42" t="s">
        <v>6905</v>
      </c>
      <c r="E5474" s="395" t="s">
        <v>7290</v>
      </c>
      <c r="F5474" s="43" t="s">
        <v>7291</v>
      </c>
      <c r="G5474" s="138" t="s">
        <v>31</v>
      </c>
      <c r="H5474" s="57" t="s">
        <v>7331</v>
      </c>
      <c r="I5474" s="47" t="e">
        <f>VLOOKUP(H5474,'合同综合查询数据（3月返）'!$A:$A,1,FALSE)</f>
        <v>#N/A</v>
      </c>
      <c r="J5474" s="65" t="s">
        <v>33</v>
      </c>
      <c r="K5474" s="43" t="s">
        <v>7332</v>
      </c>
      <c r="L5474" s="138" t="s">
        <v>7333</v>
      </c>
      <c r="M5474" s="50" t="s">
        <v>7297</v>
      </c>
      <c r="N5474" s="51">
        <v>44904</v>
      </c>
      <c r="O5474" s="138" t="s">
        <v>37</v>
      </c>
      <c r="P5474" s="52">
        <v>0</v>
      </c>
      <c r="Q5474" s="53">
        <v>160</v>
      </c>
      <c r="R5474" s="54">
        <f t="shared" si="124"/>
        <v>0</v>
      </c>
      <c r="S5474" s="70">
        <v>202303</v>
      </c>
      <c r="T5474" s="142" t="s">
        <v>7334</v>
      </c>
      <c r="U5474" s="139"/>
      <c r="V5474" s="399"/>
      <c r="W5474" s="146"/>
      <c r="X5474" s="51"/>
      <c r="Y5474" s="51"/>
    </row>
    <row r="5475" s="10" customFormat="1" customHeight="1" spans="1:25">
      <c r="A5475" s="42" t="s">
        <v>399</v>
      </c>
      <c r="B5475" s="43" t="s">
        <v>6236</v>
      </c>
      <c r="C5475" s="43" t="s">
        <v>6947</v>
      </c>
      <c r="D5475" s="43" t="s">
        <v>6905</v>
      </c>
      <c r="E5475" s="44" t="s">
        <v>7335</v>
      </c>
      <c r="F5475" s="42" t="s">
        <v>7336</v>
      </c>
      <c r="G5475" s="42" t="s">
        <v>88</v>
      </c>
      <c r="H5475" s="45" t="s">
        <v>7337</v>
      </c>
      <c r="I5475" s="47" t="e">
        <f>VLOOKUP(H5475,'合同综合查询数据（3月返）'!$A:$A,1,FALSE)</f>
        <v>#N/A</v>
      </c>
      <c r="J5475" s="48" t="s">
        <v>2256</v>
      </c>
      <c r="K5475" s="42" t="s">
        <v>6964</v>
      </c>
      <c r="L5475" s="49" t="s">
        <v>7338</v>
      </c>
      <c r="M5475" s="50" t="s">
        <v>7339</v>
      </c>
      <c r="N5475" s="51" t="s">
        <v>7340</v>
      </c>
      <c r="O5475" s="51" t="s">
        <v>127</v>
      </c>
      <c r="P5475" s="52">
        <v>5000</v>
      </c>
      <c r="Q5475" s="53">
        <v>2</v>
      </c>
      <c r="R5475" s="54">
        <f t="shared" si="124"/>
        <v>10000</v>
      </c>
      <c r="S5475" s="70">
        <v>202303</v>
      </c>
      <c r="T5475" s="56" t="s">
        <v>7341</v>
      </c>
      <c r="U5475" s="57"/>
      <c r="V5475" s="399"/>
      <c r="W5475" s="59"/>
      <c r="X5475" s="51"/>
      <c r="Y5475" s="51"/>
    </row>
    <row r="5476" s="10" customFormat="1" customHeight="1" spans="1:25">
      <c r="A5476" s="42" t="s">
        <v>399</v>
      </c>
      <c r="B5476" s="43" t="s">
        <v>6236</v>
      </c>
      <c r="C5476" s="43" t="s">
        <v>6947</v>
      </c>
      <c r="D5476" s="43" t="s">
        <v>6905</v>
      </c>
      <c r="E5476" s="44" t="s">
        <v>7335</v>
      </c>
      <c r="F5476" s="42" t="s">
        <v>7336</v>
      </c>
      <c r="G5476" s="42" t="s">
        <v>88</v>
      </c>
      <c r="H5476" s="45" t="s">
        <v>7337</v>
      </c>
      <c r="I5476" s="47" t="e">
        <f>VLOOKUP(H5476,'合同综合查询数据（3月返）'!$A:$A,1,FALSE)</f>
        <v>#N/A</v>
      </c>
      <c r="J5476" s="48" t="s">
        <v>2256</v>
      </c>
      <c r="K5476" s="42" t="s">
        <v>6964</v>
      </c>
      <c r="L5476" s="49" t="s">
        <v>7338</v>
      </c>
      <c r="M5476" s="50" t="s">
        <v>7339</v>
      </c>
      <c r="N5476" s="51">
        <v>43951</v>
      </c>
      <c r="O5476" s="51" t="s">
        <v>127</v>
      </c>
      <c r="P5476" s="52">
        <v>5000</v>
      </c>
      <c r="Q5476" s="53">
        <v>-2</v>
      </c>
      <c r="R5476" s="54">
        <f t="shared" si="124"/>
        <v>-10000</v>
      </c>
      <c r="S5476" s="70">
        <v>202303</v>
      </c>
      <c r="T5476" s="56" t="s">
        <v>7341</v>
      </c>
      <c r="U5476" s="57"/>
      <c r="V5476" s="399"/>
      <c r="W5476" s="59"/>
      <c r="X5476" s="51"/>
      <c r="Y5476" s="51"/>
    </row>
    <row r="5477" s="10" customFormat="1" customHeight="1" spans="1:25">
      <c r="A5477" s="42" t="s">
        <v>399</v>
      </c>
      <c r="B5477" s="43" t="s">
        <v>6236</v>
      </c>
      <c r="C5477" s="43" t="s">
        <v>6947</v>
      </c>
      <c r="D5477" s="43" t="s">
        <v>6905</v>
      </c>
      <c r="E5477" s="44" t="s">
        <v>7335</v>
      </c>
      <c r="F5477" s="42" t="s">
        <v>7336</v>
      </c>
      <c r="G5477" s="42" t="s">
        <v>88</v>
      </c>
      <c r="H5477" s="45" t="s">
        <v>7337</v>
      </c>
      <c r="I5477" s="47" t="e">
        <f>VLOOKUP(H5477,'合同综合查询数据（3月返）'!$A:$A,1,FALSE)</f>
        <v>#N/A</v>
      </c>
      <c r="J5477" s="48" t="s">
        <v>2256</v>
      </c>
      <c r="K5477" s="42" t="s">
        <v>6967</v>
      </c>
      <c r="L5477" s="49" t="s">
        <v>7342</v>
      </c>
      <c r="M5477" s="50" t="s">
        <v>7343</v>
      </c>
      <c r="N5477" s="51">
        <v>43344</v>
      </c>
      <c r="O5477" s="51" t="s">
        <v>127</v>
      </c>
      <c r="P5477" s="52">
        <v>5000</v>
      </c>
      <c r="Q5477" s="53">
        <v>1</v>
      </c>
      <c r="R5477" s="54">
        <f t="shared" si="124"/>
        <v>5000</v>
      </c>
      <c r="S5477" s="70">
        <v>202303</v>
      </c>
      <c r="T5477" s="56" t="s">
        <v>7344</v>
      </c>
      <c r="U5477" s="57"/>
      <c r="V5477" s="399"/>
      <c r="W5477" s="59"/>
      <c r="X5477" s="51"/>
      <c r="Y5477" s="51"/>
    </row>
    <row r="5478" s="10" customFormat="1" customHeight="1" spans="1:25">
      <c r="A5478" s="42" t="s">
        <v>399</v>
      </c>
      <c r="B5478" s="43" t="s">
        <v>6236</v>
      </c>
      <c r="C5478" s="43" t="s">
        <v>6947</v>
      </c>
      <c r="D5478" s="43" t="s">
        <v>6905</v>
      </c>
      <c r="E5478" s="44" t="s">
        <v>7335</v>
      </c>
      <c r="F5478" s="42" t="s">
        <v>7336</v>
      </c>
      <c r="G5478" s="42" t="s">
        <v>88</v>
      </c>
      <c r="H5478" s="45" t="s">
        <v>7337</v>
      </c>
      <c r="I5478" s="47" t="e">
        <f>VLOOKUP(H5478,'合同综合查询数据（3月返）'!$A:$A,1,FALSE)</f>
        <v>#N/A</v>
      </c>
      <c r="J5478" s="48" t="s">
        <v>2256</v>
      </c>
      <c r="K5478" s="42" t="s">
        <v>6967</v>
      </c>
      <c r="L5478" s="49" t="s">
        <v>7342</v>
      </c>
      <c r="M5478" s="50" t="s">
        <v>7343</v>
      </c>
      <c r="N5478" s="51">
        <v>43435</v>
      </c>
      <c r="O5478" s="51" t="s">
        <v>127</v>
      </c>
      <c r="P5478" s="52">
        <v>5000</v>
      </c>
      <c r="Q5478" s="53">
        <v>2</v>
      </c>
      <c r="R5478" s="54">
        <f t="shared" si="124"/>
        <v>10000</v>
      </c>
      <c r="S5478" s="70">
        <v>202303</v>
      </c>
      <c r="T5478" s="56" t="s">
        <v>7345</v>
      </c>
      <c r="U5478" s="57"/>
      <c r="V5478" s="399"/>
      <c r="W5478" s="59"/>
      <c r="X5478" s="51"/>
      <c r="Y5478" s="51"/>
    </row>
    <row r="5479" s="10" customFormat="1" customHeight="1" spans="1:25">
      <c r="A5479" s="42" t="s">
        <v>399</v>
      </c>
      <c r="B5479" s="43" t="s">
        <v>6236</v>
      </c>
      <c r="C5479" s="43" t="s">
        <v>6947</v>
      </c>
      <c r="D5479" s="43" t="s">
        <v>6905</v>
      </c>
      <c r="E5479" s="44" t="s">
        <v>7335</v>
      </c>
      <c r="F5479" s="42" t="s">
        <v>7336</v>
      </c>
      <c r="G5479" s="42" t="s">
        <v>88</v>
      </c>
      <c r="H5479" s="45" t="s">
        <v>7337</v>
      </c>
      <c r="I5479" s="47" t="e">
        <f>VLOOKUP(H5479,'合同综合查询数据（3月返）'!$A:$A,1,FALSE)</f>
        <v>#N/A</v>
      </c>
      <c r="J5479" s="48" t="s">
        <v>2256</v>
      </c>
      <c r="K5479" s="42" t="s">
        <v>6967</v>
      </c>
      <c r="L5479" s="49" t="s">
        <v>7342</v>
      </c>
      <c r="M5479" s="50" t="s">
        <v>7343</v>
      </c>
      <c r="N5479" s="51">
        <v>43497</v>
      </c>
      <c r="O5479" s="51" t="s">
        <v>127</v>
      </c>
      <c r="P5479" s="52">
        <v>5000</v>
      </c>
      <c r="Q5479" s="53">
        <v>3</v>
      </c>
      <c r="R5479" s="54">
        <f t="shared" ref="R5479:R5514" si="125">ROUND(P5479*Q5479,2)</f>
        <v>15000</v>
      </c>
      <c r="S5479" s="70">
        <v>202303</v>
      </c>
      <c r="T5479" s="56" t="s">
        <v>7346</v>
      </c>
      <c r="U5479" s="57"/>
      <c r="V5479" s="399"/>
      <c r="W5479" s="59"/>
      <c r="X5479" s="51"/>
      <c r="Y5479" s="51"/>
    </row>
    <row r="5480" s="10" customFormat="1" customHeight="1" spans="1:25">
      <c r="A5480" s="42" t="s">
        <v>399</v>
      </c>
      <c r="B5480" s="43" t="s">
        <v>6236</v>
      </c>
      <c r="C5480" s="43" t="s">
        <v>6947</v>
      </c>
      <c r="D5480" s="43" t="s">
        <v>6905</v>
      </c>
      <c r="E5480" s="44" t="s">
        <v>7335</v>
      </c>
      <c r="F5480" s="42" t="s">
        <v>7336</v>
      </c>
      <c r="G5480" s="42" t="s">
        <v>31</v>
      </c>
      <c r="H5480" s="45" t="s">
        <v>7337</v>
      </c>
      <c r="I5480" s="47" t="e">
        <f>VLOOKUP(H5480,'合同综合查询数据（3月返）'!$A:$A,1,FALSE)</f>
        <v>#N/A</v>
      </c>
      <c r="J5480" s="48" t="s">
        <v>33</v>
      </c>
      <c r="K5480" s="42" t="s">
        <v>6967</v>
      </c>
      <c r="L5480" s="49" t="s">
        <v>7342</v>
      </c>
      <c r="M5480" s="50" t="s">
        <v>7343</v>
      </c>
      <c r="N5480" s="51" t="s">
        <v>7340</v>
      </c>
      <c r="O5480" s="51" t="s">
        <v>37</v>
      </c>
      <c r="P5480" s="52">
        <v>0</v>
      </c>
      <c r="Q5480" s="53">
        <v>352</v>
      </c>
      <c r="R5480" s="54">
        <f t="shared" si="125"/>
        <v>0</v>
      </c>
      <c r="S5480" s="70">
        <v>202303</v>
      </c>
      <c r="T5480" s="56" t="s">
        <v>7347</v>
      </c>
      <c r="U5480" s="57"/>
      <c r="V5480" s="399"/>
      <c r="W5480" s="59"/>
      <c r="X5480" s="51"/>
      <c r="Y5480" s="51"/>
    </row>
    <row r="5481" s="10" customFormat="1" customHeight="1" spans="1:25">
      <c r="A5481" s="42" t="s">
        <v>399</v>
      </c>
      <c r="B5481" s="43" t="s">
        <v>6236</v>
      </c>
      <c r="C5481" s="43" t="s">
        <v>6947</v>
      </c>
      <c r="D5481" s="43" t="s">
        <v>6905</v>
      </c>
      <c r="E5481" s="44" t="s">
        <v>7335</v>
      </c>
      <c r="F5481" s="42" t="s">
        <v>7336</v>
      </c>
      <c r="G5481" s="42" t="s">
        <v>31</v>
      </c>
      <c r="H5481" s="45" t="s">
        <v>7337</v>
      </c>
      <c r="I5481" s="47" t="e">
        <f>VLOOKUP(H5481,'合同综合查询数据（3月返）'!$A:$A,1,FALSE)</f>
        <v>#N/A</v>
      </c>
      <c r="J5481" s="48" t="s">
        <v>33</v>
      </c>
      <c r="K5481" s="42" t="s">
        <v>6967</v>
      </c>
      <c r="L5481" s="49" t="s">
        <v>7342</v>
      </c>
      <c r="M5481" s="50" t="s">
        <v>7343</v>
      </c>
      <c r="N5481" s="51" t="s">
        <v>7340</v>
      </c>
      <c r="O5481" s="51" t="s">
        <v>37</v>
      </c>
      <c r="P5481" s="52">
        <v>30</v>
      </c>
      <c r="Q5481" s="53">
        <v>64</v>
      </c>
      <c r="R5481" s="54">
        <f t="shared" si="125"/>
        <v>1920</v>
      </c>
      <c r="S5481" s="70">
        <v>202303</v>
      </c>
      <c r="T5481" s="56" t="s">
        <v>7348</v>
      </c>
      <c r="U5481" s="57"/>
      <c r="V5481" s="399"/>
      <c r="W5481" s="59"/>
      <c r="X5481" s="51"/>
      <c r="Y5481" s="51"/>
    </row>
    <row r="5482" s="10" customFormat="1" customHeight="1" spans="1:25">
      <c r="A5482" s="42" t="s">
        <v>399</v>
      </c>
      <c r="B5482" s="43" t="s">
        <v>6236</v>
      </c>
      <c r="C5482" s="43" t="s">
        <v>6947</v>
      </c>
      <c r="D5482" s="43" t="s">
        <v>6905</v>
      </c>
      <c r="E5482" s="44" t="s">
        <v>7335</v>
      </c>
      <c r="F5482" s="42" t="s">
        <v>7336</v>
      </c>
      <c r="G5482" s="42" t="s">
        <v>88</v>
      </c>
      <c r="H5482" s="45" t="s">
        <v>7337</v>
      </c>
      <c r="I5482" s="47" t="e">
        <f>VLOOKUP(H5482,'合同综合查询数据（3月返）'!$A:$A,1,FALSE)</f>
        <v>#N/A</v>
      </c>
      <c r="J5482" s="48" t="s">
        <v>2256</v>
      </c>
      <c r="K5482" s="42" t="s">
        <v>7349</v>
      </c>
      <c r="L5482" s="49" t="s">
        <v>7338</v>
      </c>
      <c r="M5482" s="50" t="s">
        <v>7339</v>
      </c>
      <c r="N5482" s="51">
        <v>44450</v>
      </c>
      <c r="O5482" s="51" t="s">
        <v>127</v>
      </c>
      <c r="P5482" s="52">
        <v>5000</v>
      </c>
      <c r="Q5482" s="53">
        <v>2</v>
      </c>
      <c r="R5482" s="54">
        <f t="shared" si="125"/>
        <v>10000</v>
      </c>
      <c r="S5482" s="70">
        <v>202303</v>
      </c>
      <c r="T5482" s="56" t="s">
        <v>7350</v>
      </c>
      <c r="U5482" s="57"/>
      <c r="V5482" s="399"/>
      <c r="W5482" s="59"/>
      <c r="X5482" s="51"/>
      <c r="Y5482" s="51"/>
    </row>
    <row r="5483" s="10" customFormat="1" customHeight="1" spans="1:25">
      <c r="A5483" s="42" t="s">
        <v>399</v>
      </c>
      <c r="B5483" s="43" t="s">
        <v>6236</v>
      </c>
      <c r="C5483" s="43" t="s">
        <v>6947</v>
      </c>
      <c r="D5483" s="43" t="s">
        <v>6905</v>
      </c>
      <c r="E5483" s="44" t="s">
        <v>7335</v>
      </c>
      <c r="F5483" s="42" t="s">
        <v>7336</v>
      </c>
      <c r="G5483" s="42" t="s">
        <v>31</v>
      </c>
      <c r="H5483" s="45" t="s">
        <v>7337</v>
      </c>
      <c r="I5483" s="47" t="e">
        <f>VLOOKUP(H5483,'合同综合查询数据（3月返）'!$A:$A,1,FALSE)</f>
        <v>#N/A</v>
      </c>
      <c r="J5483" s="48" t="s">
        <v>33</v>
      </c>
      <c r="K5483" s="42" t="s">
        <v>7349</v>
      </c>
      <c r="L5483" s="49" t="s">
        <v>7338</v>
      </c>
      <c r="M5483" s="50" t="s">
        <v>7339</v>
      </c>
      <c r="N5483" s="51">
        <v>44450</v>
      </c>
      <c r="O5483" s="51" t="s">
        <v>37</v>
      </c>
      <c r="P5483" s="52">
        <v>0</v>
      </c>
      <c r="Q5483" s="53">
        <v>128</v>
      </c>
      <c r="R5483" s="54">
        <f t="shared" si="125"/>
        <v>0</v>
      </c>
      <c r="S5483" s="70">
        <v>202303</v>
      </c>
      <c r="T5483" s="56" t="s">
        <v>7351</v>
      </c>
      <c r="U5483" s="57"/>
      <c r="V5483" s="399"/>
      <c r="W5483" s="59"/>
      <c r="X5483" s="51"/>
      <c r="Y5483" s="51"/>
    </row>
    <row r="5484" s="10" customFormat="1" customHeight="1" spans="1:25">
      <c r="A5484" s="42" t="s">
        <v>399</v>
      </c>
      <c r="B5484" s="43" t="s">
        <v>6236</v>
      </c>
      <c r="C5484" s="43" t="s">
        <v>6947</v>
      </c>
      <c r="D5484" s="43" t="s">
        <v>6905</v>
      </c>
      <c r="E5484" s="44" t="s">
        <v>7335</v>
      </c>
      <c r="F5484" s="42" t="s">
        <v>7336</v>
      </c>
      <c r="G5484" s="42" t="s">
        <v>88</v>
      </c>
      <c r="H5484" s="45" t="s">
        <v>7337</v>
      </c>
      <c r="I5484" s="47" t="e">
        <f>VLOOKUP(H5484,'合同综合查询数据（3月返）'!$A:$A,1,FALSE)</f>
        <v>#N/A</v>
      </c>
      <c r="J5484" s="48" t="s">
        <v>2256</v>
      </c>
      <c r="K5484" s="42" t="s">
        <v>7352</v>
      </c>
      <c r="L5484" s="49" t="s">
        <v>7342</v>
      </c>
      <c r="M5484" s="50" t="s">
        <v>7343</v>
      </c>
      <c r="N5484" s="51">
        <v>44470</v>
      </c>
      <c r="O5484" s="51" t="s">
        <v>127</v>
      </c>
      <c r="P5484" s="52">
        <v>5000</v>
      </c>
      <c r="Q5484" s="53">
        <v>1</v>
      </c>
      <c r="R5484" s="54">
        <f t="shared" si="125"/>
        <v>5000</v>
      </c>
      <c r="S5484" s="70">
        <v>202303</v>
      </c>
      <c r="T5484" s="56" t="s">
        <v>7353</v>
      </c>
      <c r="U5484" s="57"/>
      <c r="V5484" s="399"/>
      <c r="W5484" s="59"/>
      <c r="X5484" s="51"/>
      <c r="Y5484" s="51"/>
    </row>
    <row r="5485" s="10" customFormat="1" customHeight="1" spans="1:25">
      <c r="A5485" s="42" t="s">
        <v>399</v>
      </c>
      <c r="B5485" s="43" t="s">
        <v>6236</v>
      </c>
      <c r="C5485" s="43" t="s">
        <v>6947</v>
      </c>
      <c r="D5485" s="43" t="s">
        <v>6905</v>
      </c>
      <c r="E5485" s="44" t="s">
        <v>7335</v>
      </c>
      <c r="F5485" s="42" t="s">
        <v>7336</v>
      </c>
      <c r="G5485" s="42" t="s">
        <v>88</v>
      </c>
      <c r="H5485" s="45" t="s">
        <v>7337</v>
      </c>
      <c r="I5485" s="47" t="e">
        <f>VLOOKUP(H5485,'合同综合查询数据（3月返）'!$A:$A,1,FALSE)</f>
        <v>#N/A</v>
      </c>
      <c r="J5485" s="48" t="s">
        <v>2256</v>
      </c>
      <c r="K5485" s="42" t="s">
        <v>7349</v>
      </c>
      <c r="L5485" s="49" t="s">
        <v>7338</v>
      </c>
      <c r="M5485" s="50" t="s">
        <v>7339</v>
      </c>
      <c r="N5485" s="51">
        <v>44895</v>
      </c>
      <c r="O5485" s="51" t="s">
        <v>127</v>
      </c>
      <c r="P5485" s="52">
        <v>5000</v>
      </c>
      <c r="Q5485" s="53">
        <v>-2</v>
      </c>
      <c r="R5485" s="54">
        <f t="shared" si="125"/>
        <v>-10000</v>
      </c>
      <c r="S5485" s="70">
        <v>202303</v>
      </c>
      <c r="T5485" s="56" t="s">
        <v>7354</v>
      </c>
      <c r="U5485" s="57"/>
      <c r="V5485" s="399"/>
      <c r="W5485" s="59"/>
      <c r="X5485" s="51"/>
      <c r="Y5485" s="51"/>
    </row>
    <row r="5486" s="10" customFormat="1" customHeight="1" spans="1:25">
      <c r="A5486" s="42" t="s">
        <v>399</v>
      </c>
      <c r="B5486" s="43" t="s">
        <v>6236</v>
      </c>
      <c r="C5486" s="43" t="s">
        <v>6947</v>
      </c>
      <c r="D5486" s="43" t="s">
        <v>6905</v>
      </c>
      <c r="E5486" s="44" t="s">
        <v>7335</v>
      </c>
      <c r="F5486" s="42" t="s">
        <v>7336</v>
      </c>
      <c r="G5486" s="42" t="s">
        <v>88</v>
      </c>
      <c r="H5486" s="45" t="s">
        <v>7355</v>
      </c>
      <c r="I5486" s="47" t="e">
        <f>VLOOKUP(H5486,'合同综合查询数据（3月返）'!$A:$A,1,FALSE)</f>
        <v>#N/A</v>
      </c>
      <c r="J5486" s="48" t="s">
        <v>2256</v>
      </c>
      <c r="K5486" s="42" t="s">
        <v>7356</v>
      </c>
      <c r="L5486" s="49" t="s">
        <v>7357</v>
      </c>
      <c r="M5486" s="50" t="s">
        <v>7339</v>
      </c>
      <c r="N5486" s="51">
        <v>44899</v>
      </c>
      <c r="O5486" s="51" t="s">
        <v>127</v>
      </c>
      <c r="P5486" s="52">
        <v>5000</v>
      </c>
      <c r="Q5486" s="53">
        <v>3</v>
      </c>
      <c r="R5486" s="124">
        <f t="shared" si="125"/>
        <v>15000</v>
      </c>
      <c r="S5486" s="70">
        <v>202303</v>
      </c>
      <c r="T5486" s="56" t="s">
        <v>7358</v>
      </c>
      <c r="U5486" s="57"/>
      <c r="V5486" s="399"/>
      <c r="W5486" s="59"/>
      <c r="X5486" s="51"/>
      <c r="Y5486" s="51"/>
    </row>
    <row r="5487" s="10" customFormat="1" customHeight="1" spans="1:25">
      <c r="A5487" s="42" t="s">
        <v>399</v>
      </c>
      <c r="B5487" s="43" t="s">
        <v>6236</v>
      </c>
      <c r="C5487" s="43" t="s">
        <v>6947</v>
      </c>
      <c r="D5487" s="43" t="s">
        <v>6905</v>
      </c>
      <c r="E5487" s="44" t="s">
        <v>7335</v>
      </c>
      <c r="F5487" s="42" t="s">
        <v>7336</v>
      </c>
      <c r="G5487" s="42" t="s">
        <v>31</v>
      </c>
      <c r="H5487" s="45" t="s">
        <v>7337</v>
      </c>
      <c r="I5487" s="47" t="e">
        <f>VLOOKUP(H5487,'合同综合查询数据（3月返）'!$A:$A,1,FALSE)</f>
        <v>#N/A</v>
      </c>
      <c r="J5487" s="48" t="s">
        <v>33</v>
      </c>
      <c r="K5487" s="42" t="s">
        <v>7349</v>
      </c>
      <c r="L5487" s="49" t="s">
        <v>7338</v>
      </c>
      <c r="M5487" s="50" t="s">
        <v>7339</v>
      </c>
      <c r="N5487" s="51">
        <v>44531</v>
      </c>
      <c r="O5487" s="51" t="s">
        <v>152</v>
      </c>
      <c r="P5487" s="52">
        <v>0</v>
      </c>
      <c r="Q5487" s="53">
        <v>1</v>
      </c>
      <c r="R5487" s="54">
        <f t="shared" si="125"/>
        <v>0</v>
      </c>
      <c r="S5487" s="70">
        <v>202303</v>
      </c>
      <c r="T5487" s="56" t="s">
        <v>7359</v>
      </c>
      <c r="U5487" s="57"/>
      <c r="V5487" s="399"/>
      <c r="W5487" s="59"/>
      <c r="X5487" s="51"/>
      <c r="Y5487" s="51"/>
    </row>
    <row r="5488" s="10" customFormat="1" customHeight="1" spans="1:25">
      <c r="A5488" s="42" t="s">
        <v>399</v>
      </c>
      <c r="B5488" s="43" t="s">
        <v>6236</v>
      </c>
      <c r="C5488" s="43" t="s">
        <v>6947</v>
      </c>
      <c r="D5488" s="43" t="s">
        <v>6905</v>
      </c>
      <c r="E5488" s="44" t="s">
        <v>7335</v>
      </c>
      <c r="F5488" s="42" t="s">
        <v>7336</v>
      </c>
      <c r="G5488" s="42" t="s">
        <v>31</v>
      </c>
      <c r="H5488" s="45" t="s">
        <v>7337</v>
      </c>
      <c r="I5488" s="47" t="e">
        <f>VLOOKUP(H5488,'合同综合查询数据（3月返）'!$A:$A,1,FALSE)</f>
        <v>#N/A</v>
      </c>
      <c r="J5488" s="48" t="s">
        <v>33</v>
      </c>
      <c r="K5488" s="42" t="s">
        <v>6967</v>
      </c>
      <c r="L5488" s="49" t="s">
        <v>7342</v>
      </c>
      <c r="M5488" s="50" t="s">
        <v>7343</v>
      </c>
      <c r="N5488" s="51">
        <v>44895</v>
      </c>
      <c r="O5488" s="51" t="s">
        <v>37</v>
      </c>
      <c r="P5488" s="52">
        <v>30</v>
      </c>
      <c r="Q5488" s="53">
        <v>-64</v>
      </c>
      <c r="R5488" s="54">
        <f t="shared" si="125"/>
        <v>-1920</v>
      </c>
      <c r="S5488" s="70">
        <v>202303</v>
      </c>
      <c r="T5488" s="56" t="s">
        <v>7360</v>
      </c>
      <c r="U5488" s="57"/>
      <c r="V5488" s="399"/>
      <c r="W5488" s="59"/>
      <c r="X5488" s="51"/>
      <c r="Y5488" s="51"/>
    </row>
    <row r="5489" s="10" customFormat="1" customHeight="1" spans="1:25">
      <c r="A5489" s="42" t="s">
        <v>399</v>
      </c>
      <c r="B5489" s="43" t="s">
        <v>6236</v>
      </c>
      <c r="C5489" s="43" t="s">
        <v>6947</v>
      </c>
      <c r="D5489" s="43" t="s">
        <v>6905</v>
      </c>
      <c r="E5489" s="44" t="s">
        <v>7335</v>
      </c>
      <c r="F5489" s="42" t="s">
        <v>7336</v>
      </c>
      <c r="G5489" s="42" t="s">
        <v>31</v>
      </c>
      <c r="H5489" s="45" t="s">
        <v>7337</v>
      </c>
      <c r="I5489" s="47" t="e">
        <f>VLOOKUP(H5489,'合同综合查询数据（3月返）'!$A:$A,1,FALSE)</f>
        <v>#N/A</v>
      </c>
      <c r="J5489" s="48" t="s">
        <v>33</v>
      </c>
      <c r="K5489" s="42" t="s">
        <v>6967</v>
      </c>
      <c r="L5489" s="49" t="s">
        <v>7342</v>
      </c>
      <c r="M5489" s="50" t="s">
        <v>7343</v>
      </c>
      <c r="N5489" s="51">
        <v>44895</v>
      </c>
      <c r="O5489" s="51" t="s">
        <v>37</v>
      </c>
      <c r="P5489" s="52">
        <v>0</v>
      </c>
      <c r="Q5489" s="53">
        <v>-64</v>
      </c>
      <c r="R5489" s="54">
        <f t="shared" si="125"/>
        <v>0</v>
      </c>
      <c r="S5489" s="70">
        <v>202303</v>
      </c>
      <c r="T5489" s="56" t="s">
        <v>7360</v>
      </c>
      <c r="U5489" s="57"/>
      <c r="V5489" s="399"/>
      <c r="W5489" s="59"/>
      <c r="X5489" s="51"/>
      <c r="Y5489" s="51"/>
    </row>
    <row r="5490" s="10" customFormat="1" customHeight="1" spans="1:25">
      <c r="A5490" s="42" t="s">
        <v>399</v>
      </c>
      <c r="B5490" s="43" t="s">
        <v>6236</v>
      </c>
      <c r="C5490" s="43" t="s">
        <v>6947</v>
      </c>
      <c r="D5490" s="43" t="s">
        <v>6905</v>
      </c>
      <c r="E5490" s="44" t="s">
        <v>7335</v>
      </c>
      <c r="F5490" s="42" t="s">
        <v>7336</v>
      </c>
      <c r="G5490" s="42" t="s">
        <v>31</v>
      </c>
      <c r="H5490" s="45" t="s">
        <v>7337</v>
      </c>
      <c r="I5490" s="47" t="e">
        <f>VLOOKUP(H5490,'合同综合查询数据（3月返）'!$A:$A,1,FALSE)</f>
        <v>#N/A</v>
      </c>
      <c r="J5490" s="48" t="s">
        <v>33</v>
      </c>
      <c r="K5490" s="42" t="s">
        <v>7349</v>
      </c>
      <c r="L5490" s="49" t="s">
        <v>7338</v>
      </c>
      <c r="M5490" s="50" t="s">
        <v>7339</v>
      </c>
      <c r="N5490" s="51">
        <v>44895</v>
      </c>
      <c r="O5490" s="51" t="s">
        <v>37</v>
      </c>
      <c r="P5490" s="52">
        <v>0</v>
      </c>
      <c r="Q5490" s="53">
        <v>-128</v>
      </c>
      <c r="R5490" s="54">
        <f t="shared" si="125"/>
        <v>0</v>
      </c>
      <c r="S5490" s="70">
        <v>202303</v>
      </c>
      <c r="T5490" s="56" t="s">
        <v>7361</v>
      </c>
      <c r="U5490" s="57"/>
      <c r="V5490" s="399"/>
      <c r="W5490" s="59"/>
      <c r="X5490" s="51"/>
      <c r="Y5490" s="51"/>
    </row>
    <row r="5491" s="10" customFormat="1" customHeight="1" spans="1:25">
      <c r="A5491" s="42" t="s">
        <v>399</v>
      </c>
      <c r="B5491" s="43" t="s">
        <v>6236</v>
      </c>
      <c r="C5491" s="43" t="s">
        <v>6947</v>
      </c>
      <c r="D5491" s="43" t="s">
        <v>6905</v>
      </c>
      <c r="E5491" s="44" t="s">
        <v>7335</v>
      </c>
      <c r="F5491" s="42" t="s">
        <v>7336</v>
      </c>
      <c r="G5491" s="42" t="s">
        <v>31</v>
      </c>
      <c r="H5491" s="45" t="s">
        <v>7355</v>
      </c>
      <c r="I5491" s="47" t="e">
        <f>VLOOKUP(H5491,'合同综合查询数据（3月返）'!$A:$A,1,FALSE)</f>
        <v>#N/A</v>
      </c>
      <c r="J5491" s="48" t="s">
        <v>33</v>
      </c>
      <c r="K5491" s="42" t="s">
        <v>7356</v>
      </c>
      <c r="L5491" s="49" t="s">
        <v>7357</v>
      </c>
      <c r="M5491" s="50" t="s">
        <v>7339</v>
      </c>
      <c r="N5491" s="51">
        <v>44899</v>
      </c>
      <c r="O5491" s="51" t="s">
        <v>37</v>
      </c>
      <c r="P5491" s="52">
        <v>0</v>
      </c>
      <c r="Q5491" s="53">
        <v>128</v>
      </c>
      <c r="R5491" s="124">
        <f t="shared" si="125"/>
        <v>0</v>
      </c>
      <c r="S5491" s="70">
        <v>202303</v>
      </c>
      <c r="T5491" s="56" t="s">
        <v>7362</v>
      </c>
      <c r="U5491" s="57"/>
      <c r="V5491" s="399"/>
      <c r="W5491" s="59"/>
      <c r="X5491" s="51"/>
      <c r="Y5491" s="51"/>
    </row>
    <row r="5492" s="10" customFormat="1" customHeight="1" spans="1:25">
      <c r="A5492" s="42" t="s">
        <v>399</v>
      </c>
      <c r="B5492" s="42" t="s">
        <v>6971</v>
      </c>
      <c r="C5492" s="42" t="s">
        <v>4249</v>
      </c>
      <c r="D5492" s="43" t="s">
        <v>6905</v>
      </c>
      <c r="E5492" s="44" t="s">
        <v>7363</v>
      </c>
      <c r="F5492" s="42" t="s">
        <v>7364</v>
      </c>
      <c r="G5492" s="42" t="s">
        <v>88</v>
      </c>
      <c r="H5492" s="45" t="s">
        <v>7365</v>
      </c>
      <c r="I5492" s="47" t="e">
        <f>VLOOKUP(H5492,'合同综合查询数据（3月返）'!$A:$A,1,FALSE)</f>
        <v>#N/A</v>
      </c>
      <c r="J5492" s="48" t="s">
        <v>126</v>
      </c>
      <c r="K5492" s="42" t="s">
        <v>4252</v>
      </c>
      <c r="L5492" s="49" t="s">
        <v>7366</v>
      </c>
      <c r="M5492" s="50" t="s">
        <v>7367</v>
      </c>
      <c r="N5492" s="51">
        <v>43469</v>
      </c>
      <c r="O5492" s="138" t="s">
        <v>3534</v>
      </c>
      <c r="P5492" s="52">
        <v>5500</v>
      </c>
      <c r="Q5492" s="53">
        <v>1</v>
      </c>
      <c r="R5492" s="54">
        <f t="shared" si="125"/>
        <v>5500</v>
      </c>
      <c r="S5492" s="70">
        <v>202303</v>
      </c>
      <c r="T5492" s="400" t="s">
        <v>7368</v>
      </c>
      <c r="U5492" s="59"/>
      <c r="V5492" s="399"/>
      <c r="W5492" s="59"/>
      <c r="X5492" s="51"/>
      <c r="Y5492" s="51"/>
    </row>
    <row r="5493" s="10" customFormat="1" customHeight="1" spans="1:25">
      <c r="A5493" s="42" t="s">
        <v>399</v>
      </c>
      <c r="B5493" s="42" t="s">
        <v>6971</v>
      </c>
      <c r="C5493" s="42" t="s">
        <v>4249</v>
      </c>
      <c r="D5493" s="43" t="s">
        <v>6905</v>
      </c>
      <c r="E5493" s="44" t="s">
        <v>7363</v>
      </c>
      <c r="F5493" s="42" t="s">
        <v>7364</v>
      </c>
      <c r="G5493" s="42" t="s">
        <v>31</v>
      </c>
      <c r="H5493" s="45" t="s">
        <v>7365</v>
      </c>
      <c r="I5493" s="47" t="e">
        <f>VLOOKUP(H5493,'合同综合查询数据（3月返）'!$A:$A,1,FALSE)</f>
        <v>#N/A</v>
      </c>
      <c r="J5493" s="48" t="s">
        <v>33</v>
      </c>
      <c r="K5493" s="42" t="s">
        <v>4252</v>
      </c>
      <c r="L5493" s="49" t="s">
        <v>7366</v>
      </c>
      <c r="M5493" s="50"/>
      <c r="N5493" s="392">
        <v>43469</v>
      </c>
      <c r="O5493" s="42" t="s">
        <v>37</v>
      </c>
      <c r="P5493" s="52">
        <v>0</v>
      </c>
      <c r="Q5493" s="53">
        <v>112</v>
      </c>
      <c r="R5493" s="54">
        <f t="shared" si="125"/>
        <v>0</v>
      </c>
      <c r="S5493" s="70">
        <v>202303</v>
      </c>
      <c r="T5493" s="400" t="s">
        <v>7369</v>
      </c>
      <c r="U5493" s="59"/>
      <c r="V5493" s="399"/>
      <c r="W5493" s="59"/>
      <c r="X5493" s="51"/>
      <c r="Y5493" s="51"/>
    </row>
    <row r="5494" s="10" customFormat="1" customHeight="1" spans="1:25">
      <c r="A5494" s="42" t="s">
        <v>399</v>
      </c>
      <c r="B5494" s="42" t="s">
        <v>6971</v>
      </c>
      <c r="C5494" s="42" t="s">
        <v>4249</v>
      </c>
      <c r="D5494" s="43" t="s">
        <v>6905</v>
      </c>
      <c r="E5494" s="44" t="s">
        <v>7363</v>
      </c>
      <c r="F5494" s="42" t="s">
        <v>7364</v>
      </c>
      <c r="G5494" s="42" t="s">
        <v>31</v>
      </c>
      <c r="H5494" s="45" t="s">
        <v>7365</v>
      </c>
      <c r="I5494" s="47" t="e">
        <f>VLOOKUP(H5494,'合同综合查询数据（3月返）'!$A:$A,1,FALSE)</f>
        <v>#N/A</v>
      </c>
      <c r="J5494" s="48" t="s">
        <v>33</v>
      </c>
      <c r="K5494" s="42" t="s">
        <v>4252</v>
      </c>
      <c r="L5494" s="49" t="s">
        <v>7366</v>
      </c>
      <c r="M5494" s="50"/>
      <c r="N5494" s="392">
        <v>43469</v>
      </c>
      <c r="O5494" s="42" t="s">
        <v>37</v>
      </c>
      <c r="P5494" s="52">
        <v>0</v>
      </c>
      <c r="Q5494" s="53">
        <v>48</v>
      </c>
      <c r="R5494" s="54">
        <f t="shared" si="125"/>
        <v>0</v>
      </c>
      <c r="S5494" s="70">
        <v>202303</v>
      </c>
      <c r="T5494" s="400" t="s">
        <v>7370</v>
      </c>
      <c r="U5494" s="59"/>
      <c r="V5494" s="399"/>
      <c r="W5494" s="59"/>
      <c r="X5494" s="51"/>
      <c r="Y5494" s="51"/>
    </row>
    <row r="5495" s="10" customFormat="1" customHeight="1" spans="1:25">
      <c r="A5495" s="42" t="s">
        <v>399</v>
      </c>
      <c r="B5495" s="42" t="s">
        <v>6971</v>
      </c>
      <c r="C5495" s="42" t="s">
        <v>4249</v>
      </c>
      <c r="D5495" s="43" t="s">
        <v>6905</v>
      </c>
      <c r="E5495" s="44" t="s">
        <v>7363</v>
      </c>
      <c r="F5495" s="42" t="s">
        <v>7364</v>
      </c>
      <c r="G5495" s="42" t="s">
        <v>88</v>
      </c>
      <c r="H5495" s="45" t="s">
        <v>7365</v>
      </c>
      <c r="I5495" s="47" t="e">
        <f>VLOOKUP(H5495,'合同综合查询数据（3月返）'!$A:$A,1,FALSE)</f>
        <v>#N/A</v>
      </c>
      <c r="J5495" s="48" t="s">
        <v>126</v>
      </c>
      <c r="K5495" s="42" t="s">
        <v>4252</v>
      </c>
      <c r="L5495" s="49" t="s">
        <v>7366</v>
      </c>
      <c r="M5495" s="50" t="s">
        <v>7367</v>
      </c>
      <c r="N5495" s="392">
        <v>43469</v>
      </c>
      <c r="O5495" s="138" t="s">
        <v>3534</v>
      </c>
      <c r="P5495" s="52">
        <v>5500</v>
      </c>
      <c r="Q5495" s="53">
        <v>2</v>
      </c>
      <c r="R5495" s="54">
        <f t="shared" si="125"/>
        <v>11000</v>
      </c>
      <c r="S5495" s="70">
        <v>202303</v>
      </c>
      <c r="T5495" s="400"/>
      <c r="U5495" s="59"/>
      <c r="V5495" s="399"/>
      <c r="W5495" s="59"/>
      <c r="X5495" s="51"/>
      <c r="Y5495" s="51"/>
    </row>
    <row r="5496" s="10" customFormat="1" customHeight="1" spans="1:25">
      <c r="A5496" s="42" t="s">
        <v>399</v>
      </c>
      <c r="B5496" s="43" t="s">
        <v>6236</v>
      </c>
      <c r="C5496" s="43" t="s">
        <v>2035</v>
      </c>
      <c r="D5496" s="43" t="s">
        <v>6905</v>
      </c>
      <c r="E5496" s="44" t="s">
        <v>7371</v>
      </c>
      <c r="F5496" s="42" t="s">
        <v>7372</v>
      </c>
      <c r="G5496" s="42" t="s">
        <v>88</v>
      </c>
      <c r="H5496" s="45" t="s">
        <v>7373</v>
      </c>
      <c r="I5496" s="47" t="e">
        <f>VLOOKUP(H5496,'合同综合查询数据（3月返）'!$A:$A,1,FALSE)</f>
        <v>#N/A</v>
      </c>
      <c r="J5496" s="48" t="s">
        <v>2256</v>
      </c>
      <c r="K5496" s="42" t="s">
        <v>4980</v>
      </c>
      <c r="L5496" s="49" t="s">
        <v>7374</v>
      </c>
      <c r="M5496" s="50" t="s">
        <v>7375</v>
      </c>
      <c r="N5496" s="51">
        <v>43339</v>
      </c>
      <c r="O5496" s="51" t="s">
        <v>127</v>
      </c>
      <c r="P5496" s="52">
        <v>5000</v>
      </c>
      <c r="Q5496" s="53">
        <v>4</v>
      </c>
      <c r="R5496" s="54">
        <f t="shared" si="125"/>
        <v>20000</v>
      </c>
      <c r="S5496" s="70">
        <v>202303</v>
      </c>
      <c r="T5496" s="56" t="s">
        <v>7376</v>
      </c>
      <c r="U5496" s="57"/>
      <c r="V5496" s="399"/>
      <c r="W5496" s="59"/>
      <c r="X5496" s="51"/>
      <c r="Y5496" s="51"/>
    </row>
    <row r="5497" s="10" customFormat="1" customHeight="1" spans="1:25">
      <c r="A5497" s="42" t="s">
        <v>399</v>
      </c>
      <c r="B5497" s="43" t="s">
        <v>6236</v>
      </c>
      <c r="C5497" s="43" t="s">
        <v>2035</v>
      </c>
      <c r="D5497" s="43" t="s">
        <v>6905</v>
      </c>
      <c r="E5497" s="44" t="s">
        <v>7371</v>
      </c>
      <c r="F5497" s="42" t="s">
        <v>7372</v>
      </c>
      <c r="G5497" s="42" t="s">
        <v>88</v>
      </c>
      <c r="H5497" s="45" t="s">
        <v>7373</v>
      </c>
      <c r="I5497" s="47" t="e">
        <f>VLOOKUP(H5497,'合同综合查询数据（3月返）'!$A:$A,1,FALSE)</f>
        <v>#N/A</v>
      </c>
      <c r="J5497" s="48" t="s">
        <v>2256</v>
      </c>
      <c r="K5497" s="42" t="s">
        <v>4980</v>
      </c>
      <c r="L5497" s="49" t="s">
        <v>7374</v>
      </c>
      <c r="M5497" s="50" t="s">
        <v>7375</v>
      </c>
      <c r="N5497" s="51">
        <v>44013</v>
      </c>
      <c r="O5497" s="51" t="s">
        <v>127</v>
      </c>
      <c r="P5497" s="52">
        <v>5000</v>
      </c>
      <c r="Q5497" s="53">
        <v>1</v>
      </c>
      <c r="R5497" s="54">
        <f t="shared" si="125"/>
        <v>5000</v>
      </c>
      <c r="S5497" s="70">
        <v>202303</v>
      </c>
      <c r="T5497" s="56" t="s">
        <v>7377</v>
      </c>
      <c r="U5497" s="57"/>
      <c r="V5497" s="399"/>
      <c r="W5497" s="59"/>
      <c r="X5497" s="51"/>
      <c r="Y5497" s="51"/>
    </row>
    <row r="5498" s="10" customFormat="1" customHeight="1" spans="1:25">
      <c r="A5498" s="42" t="s">
        <v>399</v>
      </c>
      <c r="B5498" s="43" t="s">
        <v>6236</v>
      </c>
      <c r="C5498" s="43" t="s">
        <v>2035</v>
      </c>
      <c r="D5498" s="43" t="s">
        <v>6905</v>
      </c>
      <c r="E5498" s="44" t="s">
        <v>7371</v>
      </c>
      <c r="F5498" s="42" t="s">
        <v>7372</v>
      </c>
      <c r="G5498" s="42" t="s">
        <v>31</v>
      </c>
      <c r="H5498" s="45" t="s">
        <v>7373</v>
      </c>
      <c r="I5498" s="47" t="e">
        <f>VLOOKUP(H5498,'合同综合查询数据（3月返）'!$A:$A,1,FALSE)</f>
        <v>#N/A</v>
      </c>
      <c r="J5498" s="48" t="s">
        <v>33</v>
      </c>
      <c r="K5498" s="42" t="s">
        <v>4980</v>
      </c>
      <c r="L5498" s="49" t="s">
        <v>7374</v>
      </c>
      <c r="M5498" s="50"/>
      <c r="N5498" s="51">
        <v>43339</v>
      </c>
      <c r="O5498" s="51" t="s">
        <v>37</v>
      </c>
      <c r="P5498" s="54">
        <v>50</v>
      </c>
      <c r="Q5498" s="53">
        <f>416-Q5499</f>
        <v>160</v>
      </c>
      <c r="R5498" s="54">
        <f t="shared" si="125"/>
        <v>8000</v>
      </c>
      <c r="S5498" s="70">
        <v>202303</v>
      </c>
      <c r="T5498" s="56" t="s">
        <v>7378</v>
      </c>
      <c r="U5498" s="57"/>
      <c r="V5498" s="399"/>
      <c r="W5498" s="59"/>
      <c r="X5498" s="51"/>
      <c r="Y5498" s="51"/>
    </row>
    <row r="5499" s="10" customFormat="1" customHeight="1" spans="1:25">
      <c r="A5499" s="42" t="s">
        <v>399</v>
      </c>
      <c r="B5499" s="43" t="s">
        <v>6236</v>
      </c>
      <c r="C5499" s="43" t="s">
        <v>2035</v>
      </c>
      <c r="D5499" s="43" t="s">
        <v>6905</v>
      </c>
      <c r="E5499" s="44" t="s">
        <v>7371</v>
      </c>
      <c r="F5499" s="42" t="s">
        <v>7372</v>
      </c>
      <c r="G5499" s="42" t="s">
        <v>31</v>
      </c>
      <c r="H5499" s="45" t="s">
        <v>7373</v>
      </c>
      <c r="I5499" s="47" t="e">
        <f>VLOOKUP(H5499,'合同综合查询数据（3月返）'!$A:$A,1,FALSE)</f>
        <v>#N/A</v>
      </c>
      <c r="J5499" s="48" t="s">
        <v>33</v>
      </c>
      <c r="K5499" s="42" t="s">
        <v>4980</v>
      </c>
      <c r="L5499" s="49" t="s">
        <v>7374</v>
      </c>
      <c r="M5499" s="50"/>
      <c r="N5499" s="51">
        <v>43339</v>
      </c>
      <c r="O5499" s="51" t="s">
        <v>37</v>
      </c>
      <c r="P5499" s="52">
        <v>0</v>
      </c>
      <c r="Q5499" s="53">
        <v>256</v>
      </c>
      <c r="R5499" s="54">
        <f t="shared" si="125"/>
        <v>0</v>
      </c>
      <c r="S5499" s="70">
        <v>202303</v>
      </c>
      <c r="T5499" s="56" t="s">
        <v>7379</v>
      </c>
      <c r="U5499" s="57"/>
      <c r="V5499" s="399"/>
      <c r="W5499" s="59"/>
      <c r="X5499" s="51"/>
      <c r="Y5499" s="51"/>
    </row>
    <row r="5500" s="10" customFormat="1" customHeight="1" spans="1:25">
      <c r="A5500" s="42" t="s">
        <v>399</v>
      </c>
      <c r="B5500" s="43" t="s">
        <v>6236</v>
      </c>
      <c r="C5500" s="43" t="s">
        <v>2035</v>
      </c>
      <c r="D5500" s="43" t="s">
        <v>6905</v>
      </c>
      <c r="E5500" s="44" t="s">
        <v>7371</v>
      </c>
      <c r="F5500" s="42" t="s">
        <v>7372</v>
      </c>
      <c r="G5500" s="42" t="s">
        <v>31</v>
      </c>
      <c r="H5500" s="45" t="s">
        <v>7373</v>
      </c>
      <c r="I5500" s="47" t="e">
        <f>VLOOKUP(H5500,'合同综合查询数据（3月返）'!$A:$A,1,FALSE)</f>
        <v>#N/A</v>
      </c>
      <c r="J5500" s="48" t="s">
        <v>33</v>
      </c>
      <c r="K5500" s="42" t="s">
        <v>4980</v>
      </c>
      <c r="L5500" s="49" t="s">
        <v>7380</v>
      </c>
      <c r="M5500" s="50"/>
      <c r="N5500" s="51">
        <v>44681</v>
      </c>
      <c r="O5500" s="51" t="s">
        <v>37</v>
      </c>
      <c r="P5500" s="52">
        <v>0</v>
      </c>
      <c r="Q5500" s="53">
        <v>-128</v>
      </c>
      <c r="R5500" s="54">
        <f t="shared" si="125"/>
        <v>0</v>
      </c>
      <c r="S5500" s="70">
        <v>202303</v>
      </c>
      <c r="T5500" s="56" t="s">
        <v>7381</v>
      </c>
      <c r="U5500" s="57"/>
      <c r="V5500" s="399"/>
      <c r="W5500" s="59"/>
      <c r="X5500" s="51"/>
      <c r="Y5500" s="51"/>
    </row>
    <row r="5501" s="10" customFormat="1" customHeight="1" spans="1:25">
      <c r="A5501" s="42" t="s">
        <v>399</v>
      </c>
      <c r="B5501" s="43" t="s">
        <v>6236</v>
      </c>
      <c r="C5501" s="43" t="s">
        <v>2035</v>
      </c>
      <c r="D5501" s="43" t="s">
        <v>6905</v>
      </c>
      <c r="E5501" s="44" t="s">
        <v>7371</v>
      </c>
      <c r="F5501" s="42" t="s">
        <v>7372</v>
      </c>
      <c r="G5501" s="42" t="s">
        <v>31</v>
      </c>
      <c r="H5501" s="45" t="s">
        <v>7373</v>
      </c>
      <c r="I5501" s="47" t="e">
        <f>VLOOKUP(H5501,'合同综合查询数据（3月返）'!$A:$A,1,FALSE)</f>
        <v>#N/A</v>
      </c>
      <c r="J5501" s="48" t="s">
        <v>33</v>
      </c>
      <c r="K5501" s="42" t="s">
        <v>4980</v>
      </c>
      <c r="L5501" s="49" t="s">
        <v>7380</v>
      </c>
      <c r="M5501" s="50"/>
      <c r="N5501" s="51">
        <v>44681</v>
      </c>
      <c r="O5501" s="51" t="s">
        <v>37</v>
      </c>
      <c r="P5501" s="52">
        <v>50</v>
      </c>
      <c r="Q5501" s="53">
        <v>-160</v>
      </c>
      <c r="R5501" s="54">
        <f t="shared" si="125"/>
        <v>-8000</v>
      </c>
      <c r="S5501" s="70">
        <v>202303</v>
      </c>
      <c r="T5501" s="56" t="s">
        <v>7382</v>
      </c>
      <c r="U5501" s="57"/>
      <c r="V5501" s="399"/>
      <c r="W5501" s="59"/>
      <c r="X5501" s="51"/>
      <c r="Y5501" s="51"/>
    </row>
    <row r="5502" s="10" customFormat="1" customHeight="1" spans="1:25">
      <c r="A5502" s="42" t="s">
        <v>399</v>
      </c>
      <c r="B5502" s="43" t="s">
        <v>6236</v>
      </c>
      <c r="C5502" s="43" t="s">
        <v>2035</v>
      </c>
      <c r="D5502" s="43" t="s">
        <v>6905</v>
      </c>
      <c r="E5502" s="44" t="s">
        <v>7371</v>
      </c>
      <c r="F5502" s="42" t="s">
        <v>7372</v>
      </c>
      <c r="G5502" s="42" t="s">
        <v>88</v>
      </c>
      <c r="H5502" s="45" t="s">
        <v>7373</v>
      </c>
      <c r="I5502" s="47" t="e">
        <f>VLOOKUP(H5502,'合同综合查询数据（3月返）'!$A:$A,1,FALSE)</f>
        <v>#N/A</v>
      </c>
      <c r="J5502" s="48" t="s">
        <v>2256</v>
      </c>
      <c r="K5502" s="42" t="s">
        <v>4980</v>
      </c>
      <c r="L5502" s="49" t="s">
        <v>7380</v>
      </c>
      <c r="M5502" s="50" t="s">
        <v>7375</v>
      </c>
      <c r="N5502" s="51">
        <v>43497</v>
      </c>
      <c r="O5502" s="51" t="s">
        <v>127</v>
      </c>
      <c r="P5502" s="52">
        <v>5000</v>
      </c>
      <c r="Q5502" s="53">
        <v>5</v>
      </c>
      <c r="R5502" s="54">
        <f t="shared" si="125"/>
        <v>25000</v>
      </c>
      <c r="S5502" s="70">
        <v>202303</v>
      </c>
      <c r="T5502" s="56" t="s">
        <v>7383</v>
      </c>
      <c r="U5502" s="57"/>
      <c r="V5502" s="399"/>
      <c r="W5502" s="59"/>
      <c r="X5502" s="51"/>
      <c r="Y5502" s="51"/>
    </row>
    <row r="5503" s="10" customFormat="1" customHeight="1" spans="1:25">
      <c r="A5503" s="42" t="s">
        <v>399</v>
      </c>
      <c r="B5503" s="43" t="s">
        <v>6236</v>
      </c>
      <c r="C5503" s="43" t="s">
        <v>2035</v>
      </c>
      <c r="D5503" s="43" t="s">
        <v>6905</v>
      </c>
      <c r="E5503" s="44" t="s">
        <v>7371</v>
      </c>
      <c r="F5503" s="42" t="s">
        <v>7372</v>
      </c>
      <c r="G5503" s="42" t="s">
        <v>88</v>
      </c>
      <c r="H5503" s="45" t="s">
        <v>7373</v>
      </c>
      <c r="I5503" s="47" t="e">
        <f>VLOOKUP(H5503,'合同综合查询数据（3月返）'!$A:$A,1,FALSE)</f>
        <v>#N/A</v>
      </c>
      <c r="J5503" s="48" t="s">
        <v>2256</v>
      </c>
      <c r="K5503" s="42" t="s">
        <v>4980</v>
      </c>
      <c r="L5503" s="49" t="s">
        <v>7380</v>
      </c>
      <c r="M5503" s="50" t="s">
        <v>7375</v>
      </c>
      <c r="N5503" s="51">
        <v>44681</v>
      </c>
      <c r="O5503" s="51" t="s">
        <v>127</v>
      </c>
      <c r="P5503" s="52">
        <v>5000</v>
      </c>
      <c r="Q5503" s="53">
        <v>-5</v>
      </c>
      <c r="R5503" s="54">
        <f t="shared" si="125"/>
        <v>-25000</v>
      </c>
      <c r="S5503" s="70">
        <v>202303</v>
      </c>
      <c r="T5503" s="56" t="s">
        <v>7383</v>
      </c>
      <c r="U5503" s="57"/>
      <c r="V5503" s="399"/>
      <c r="W5503" s="59"/>
      <c r="X5503" s="51"/>
      <c r="Y5503" s="51"/>
    </row>
    <row r="5504" s="10" customFormat="1" customHeight="1" spans="1:25">
      <c r="A5504" s="42" t="s">
        <v>399</v>
      </c>
      <c r="B5504" s="43" t="s">
        <v>6236</v>
      </c>
      <c r="C5504" s="43" t="s">
        <v>2035</v>
      </c>
      <c r="D5504" s="43" t="s">
        <v>6905</v>
      </c>
      <c r="E5504" s="44" t="s">
        <v>7371</v>
      </c>
      <c r="F5504" s="42" t="s">
        <v>7372</v>
      </c>
      <c r="G5504" s="42" t="s">
        <v>88</v>
      </c>
      <c r="H5504" s="45" t="s">
        <v>7373</v>
      </c>
      <c r="I5504" s="47" t="e">
        <f>VLOOKUP(H5504,'合同综合查询数据（3月返）'!$A:$A,1,FALSE)</f>
        <v>#N/A</v>
      </c>
      <c r="J5504" s="48" t="s">
        <v>2256</v>
      </c>
      <c r="K5504" s="42" t="s">
        <v>4980</v>
      </c>
      <c r="L5504" s="49" t="s">
        <v>7374</v>
      </c>
      <c r="M5504" s="50" t="s">
        <v>7375</v>
      </c>
      <c r="N5504" s="51">
        <v>44576</v>
      </c>
      <c r="O5504" s="51" t="s">
        <v>127</v>
      </c>
      <c r="P5504" s="52">
        <v>5000</v>
      </c>
      <c r="Q5504" s="53">
        <v>1</v>
      </c>
      <c r="R5504" s="54">
        <f t="shared" si="125"/>
        <v>5000</v>
      </c>
      <c r="S5504" s="70">
        <v>202303</v>
      </c>
      <c r="T5504" s="56" t="s">
        <v>7384</v>
      </c>
      <c r="U5504" s="57"/>
      <c r="V5504" s="399"/>
      <c r="W5504" s="59"/>
      <c r="X5504" s="51"/>
      <c r="Y5504" s="51"/>
    </row>
    <row r="5505" s="10" customFormat="1" customHeight="1" spans="1:25">
      <c r="A5505" s="42" t="s">
        <v>399</v>
      </c>
      <c r="B5505" s="43" t="s">
        <v>6236</v>
      </c>
      <c r="C5505" s="43" t="s">
        <v>2035</v>
      </c>
      <c r="D5505" s="43" t="s">
        <v>6905</v>
      </c>
      <c r="E5505" s="44" t="s">
        <v>7371</v>
      </c>
      <c r="F5505" s="42" t="s">
        <v>7372</v>
      </c>
      <c r="G5505" s="42" t="s">
        <v>31</v>
      </c>
      <c r="H5505" s="45" t="s">
        <v>7373</v>
      </c>
      <c r="I5505" s="47" t="e">
        <f>VLOOKUP(H5505,'合同综合查询数据（3月返）'!$A:$A,1,FALSE)</f>
        <v>#N/A</v>
      </c>
      <c r="J5505" s="48" t="s">
        <v>33</v>
      </c>
      <c r="K5505" s="42" t="s">
        <v>4980</v>
      </c>
      <c r="L5505" s="49" t="s">
        <v>7380</v>
      </c>
      <c r="M5505" s="50"/>
      <c r="N5505" s="51">
        <v>43497</v>
      </c>
      <c r="O5505" s="51" t="s">
        <v>37</v>
      </c>
      <c r="P5505" s="52">
        <v>0</v>
      </c>
      <c r="Q5505" s="53">
        <v>128</v>
      </c>
      <c r="R5505" s="54">
        <f t="shared" si="125"/>
        <v>0</v>
      </c>
      <c r="S5505" s="70">
        <v>202303</v>
      </c>
      <c r="T5505" s="56" t="s">
        <v>7381</v>
      </c>
      <c r="U5505" s="57"/>
      <c r="V5505" s="399"/>
      <c r="W5505" s="59"/>
      <c r="X5505" s="51"/>
      <c r="Y5505" s="51"/>
    </row>
    <row r="5506" s="10" customFormat="1" customHeight="1" spans="1:25">
      <c r="A5506" s="42" t="s">
        <v>399</v>
      </c>
      <c r="B5506" s="43" t="s">
        <v>6236</v>
      </c>
      <c r="C5506" s="43" t="s">
        <v>2035</v>
      </c>
      <c r="D5506" s="43" t="s">
        <v>6905</v>
      </c>
      <c r="E5506" s="44" t="s">
        <v>7371</v>
      </c>
      <c r="F5506" s="42" t="s">
        <v>7372</v>
      </c>
      <c r="G5506" s="42" t="s">
        <v>31</v>
      </c>
      <c r="H5506" s="45" t="s">
        <v>7373</v>
      </c>
      <c r="I5506" s="47" t="e">
        <f>VLOOKUP(H5506,'合同综合查询数据（3月返）'!$A:$A,1,FALSE)</f>
        <v>#N/A</v>
      </c>
      <c r="J5506" s="48" t="s">
        <v>33</v>
      </c>
      <c r="K5506" s="42" t="s">
        <v>4980</v>
      </c>
      <c r="L5506" s="49" t="s">
        <v>7380</v>
      </c>
      <c r="M5506" s="50"/>
      <c r="N5506" s="51">
        <v>43497</v>
      </c>
      <c r="O5506" s="51" t="s">
        <v>37</v>
      </c>
      <c r="P5506" s="52">
        <v>0</v>
      </c>
      <c r="Q5506" s="53">
        <v>160</v>
      </c>
      <c r="R5506" s="54">
        <f t="shared" si="125"/>
        <v>0</v>
      </c>
      <c r="S5506" s="70">
        <v>202303</v>
      </c>
      <c r="T5506" s="56" t="s">
        <v>7385</v>
      </c>
      <c r="U5506" s="57"/>
      <c r="V5506" s="399"/>
      <c r="W5506" s="59"/>
      <c r="X5506" s="51"/>
      <c r="Y5506" s="51"/>
    </row>
    <row r="5507" s="10" customFormat="1" customHeight="1" spans="1:25">
      <c r="A5507" s="42" t="s">
        <v>399</v>
      </c>
      <c r="B5507" s="43" t="s">
        <v>6236</v>
      </c>
      <c r="C5507" s="43" t="s">
        <v>2035</v>
      </c>
      <c r="D5507" s="43" t="s">
        <v>6905</v>
      </c>
      <c r="E5507" s="44" t="s">
        <v>7371</v>
      </c>
      <c r="F5507" s="42" t="s">
        <v>7372</v>
      </c>
      <c r="G5507" s="42" t="s">
        <v>31</v>
      </c>
      <c r="H5507" s="45" t="s">
        <v>7373</v>
      </c>
      <c r="I5507" s="47" t="e">
        <f>VLOOKUP(H5507,'合同综合查询数据（3月返）'!$A:$A,1,FALSE)</f>
        <v>#N/A</v>
      </c>
      <c r="J5507" s="48" t="s">
        <v>33</v>
      </c>
      <c r="K5507" s="42" t="s">
        <v>4980</v>
      </c>
      <c r="L5507" s="49" t="s">
        <v>7374</v>
      </c>
      <c r="M5507" s="50"/>
      <c r="N5507" s="51">
        <v>44895</v>
      </c>
      <c r="O5507" s="51" t="s">
        <v>37</v>
      </c>
      <c r="P5507" s="52">
        <v>0</v>
      </c>
      <c r="Q5507" s="53">
        <v>-128</v>
      </c>
      <c r="R5507" s="54">
        <f t="shared" si="125"/>
        <v>0</v>
      </c>
      <c r="S5507" s="70">
        <v>202303</v>
      </c>
      <c r="T5507" s="56" t="s">
        <v>7386</v>
      </c>
      <c r="U5507" s="57"/>
      <c r="V5507" s="399"/>
      <c r="W5507" s="59"/>
      <c r="X5507" s="51"/>
      <c r="Y5507" s="51"/>
    </row>
    <row r="5508" s="9" customFormat="1" customHeight="1" spans="1:25">
      <c r="A5508" s="16" t="s">
        <v>399</v>
      </c>
      <c r="B5508" s="17" t="s">
        <v>6236</v>
      </c>
      <c r="C5508" s="17" t="s">
        <v>2035</v>
      </c>
      <c r="D5508" s="17" t="s">
        <v>6905</v>
      </c>
      <c r="E5508" s="18" t="s">
        <v>7371</v>
      </c>
      <c r="F5508" s="16" t="s">
        <v>7387</v>
      </c>
      <c r="G5508" s="16" t="s">
        <v>302</v>
      </c>
      <c r="H5508" s="19" t="s">
        <v>7388</v>
      </c>
      <c r="I5508" s="23" t="e">
        <f>VLOOKUP(H5508,'合同综合查询数据（3月返）'!$A:$A,1,FALSE)</f>
        <v>#N/A</v>
      </c>
      <c r="J5508" s="24" t="s">
        <v>302</v>
      </c>
      <c r="K5508" s="16" t="s">
        <v>7196</v>
      </c>
      <c r="L5508" s="25"/>
      <c r="M5508" s="26"/>
      <c r="N5508" s="28">
        <v>43800</v>
      </c>
      <c r="O5508" s="28" t="s">
        <v>1962</v>
      </c>
      <c r="P5508" s="29">
        <v>58333.33</v>
      </c>
      <c r="Q5508" s="35">
        <v>1</v>
      </c>
      <c r="R5508" s="36">
        <f t="shared" si="125"/>
        <v>58333.33</v>
      </c>
      <c r="S5508" s="117">
        <v>202303</v>
      </c>
      <c r="T5508" s="38" t="s">
        <v>7389</v>
      </c>
      <c r="U5508" s="39"/>
      <c r="V5508" s="398"/>
      <c r="W5508" s="41"/>
      <c r="X5508" s="28" t="s">
        <v>7390</v>
      </c>
      <c r="Y5508" s="28" t="s">
        <v>7391</v>
      </c>
    </row>
    <row r="5509" s="9" customFormat="1" customHeight="1" spans="1:25">
      <c r="A5509" s="16" t="s">
        <v>399</v>
      </c>
      <c r="B5509" s="17" t="s">
        <v>6236</v>
      </c>
      <c r="C5509" s="17" t="s">
        <v>2035</v>
      </c>
      <c r="D5509" s="17" t="s">
        <v>6905</v>
      </c>
      <c r="E5509" s="18" t="s">
        <v>7371</v>
      </c>
      <c r="F5509" s="16" t="s">
        <v>7387</v>
      </c>
      <c r="G5509" s="16" t="s">
        <v>302</v>
      </c>
      <c r="H5509" s="19" t="s">
        <v>7388</v>
      </c>
      <c r="I5509" s="23" t="e">
        <f>VLOOKUP(H5509,'合同综合查询数据（3月返）'!$A:$A,1,FALSE)</f>
        <v>#N/A</v>
      </c>
      <c r="J5509" s="24" t="s">
        <v>302</v>
      </c>
      <c r="K5509" s="16" t="s">
        <v>7196</v>
      </c>
      <c r="L5509" s="25"/>
      <c r="M5509" s="26"/>
      <c r="N5509" s="28">
        <v>44286</v>
      </c>
      <c r="O5509" s="301">
        <v>-100</v>
      </c>
      <c r="P5509" s="29">
        <v>58333.33</v>
      </c>
      <c r="Q5509" s="35">
        <v>-1</v>
      </c>
      <c r="R5509" s="36">
        <f t="shared" si="125"/>
        <v>-58333.33</v>
      </c>
      <c r="S5509" s="117">
        <v>202303</v>
      </c>
      <c r="T5509" s="375" t="s">
        <v>7392</v>
      </c>
      <c r="U5509" s="39"/>
      <c r="V5509" s="398"/>
      <c r="W5509" s="41"/>
      <c r="X5509" s="28" t="s">
        <v>7390</v>
      </c>
      <c r="Y5509" s="28" t="s">
        <v>7391</v>
      </c>
    </row>
    <row r="5510" s="9" customFormat="1" customHeight="1" spans="1:25">
      <c r="A5510" s="16" t="s">
        <v>399</v>
      </c>
      <c r="B5510" s="17" t="s">
        <v>6236</v>
      </c>
      <c r="C5510" s="17" t="s">
        <v>2035</v>
      </c>
      <c r="D5510" s="17" t="s">
        <v>6905</v>
      </c>
      <c r="E5510" s="18" t="s">
        <v>7371</v>
      </c>
      <c r="F5510" s="16" t="s">
        <v>7387</v>
      </c>
      <c r="G5510" s="16" t="s">
        <v>302</v>
      </c>
      <c r="H5510" s="19" t="s">
        <v>7393</v>
      </c>
      <c r="I5510" s="23" t="e">
        <f>VLOOKUP(H5510,'合同综合查询数据（3月返）'!$A:$A,1,FALSE)</f>
        <v>#N/A</v>
      </c>
      <c r="J5510" s="24" t="s">
        <v>302</v>
      </c>
      <c r="K5510" s="16" t="s">
        <v>7196</v>
      </c>
      <c r="L5510" s="25"/>
      <c r="M5510" s="26"/>
      <c r="N5510" s="28">
        <v>43922</v>
      </c>
      <c r="O5510" s="28" t="s">
        <v>1962</v>
      </c>
      <c r="P5510" s="29">
        <v>58333.33</v>
      </c>
      <c r="Q5510" s="35">
        <v>1</v>
      </c>
      <c r="R5510" s="36">
        <f t="shared" si="125"/>
        <v>58333.33</v>
      </c>
      <c r="S5510" s="117">
        <v>202303</v>
      </c>
      <c r="T5510" s="38" t="s">
        <v>7394</v>
      </c>
      <c r="U5510" s="39"/>
      <c r="V5510" s="398"/>
      <c r="W5510" s="41"/>
      <c r="X5510" s="28" t="s">
        <v>7395</v>
      </c>
      <c r="Y5510" s="28" t="s">
        <v>7396</v>
      </c>
    </row>
    <row r="5511" s="9" customFormat="1" customHeight="1" spans="1:25">
      <c r="A5511" s="16" t="s">
        <v>399</v>
      </c>
      <c r="B5511" s="17" t="s">
        <v>6236</v>
      </c>
      <c r="C5511" s="17" t="s">
        <v>2035</v>
      </c>
      <c r="D5511" s="17" t="s">
        <v>6905</v>
      </c>
      <c r="E5511" s="18" t="s">
        <v>7371</v>
      </c>
      <c r="F5511" s="16" t="s">
        <v>7387</v>
      </c>
      <c r="G5511" s="16" t="s">
        <v>302</v>
      </c>
      <c r="H5511" s="19" t="s">
        <v>7393</v>
      </c>
      <c r="I5511" s="23" t="e">
        <f>VLOOKUP(H5511,'合同综合查询数据（3月返）'!$A:$A,1,FALSE)</f>
        <v>#N/A</v>
      </c>
      <c r="J5511" s="24" t="s">
        <v>302</v>
      </c>
      <c r="K5511" s="16" t="s">
        <v>7196</v>
      </c>
      <c r="L5511" s="25"/>
      <c r="M5511" s="26"/>
      <c r="N5511" s="28">
        <v>44286</v>
      </c>
      <c r="O5511" s="301">
        <v>-100</v>
      </c>
      <c r="P5511" s="29">
        <v>58333.33</v>
      </c>
      <c r="Q5511" s="35">
        <v>-1</v>
      </c>
      <c r="R5511" s="36">
        <f t="shared" si="125"/>
        <v>-58333.33</v>
      </c>
      <c r="S5511" s="117">
        <v>202303</v>
      </c>
      <c r="T5511" s="375" t="s">
        <v>7392</v>
      </c>
      <c r="U5511" s="39"/>
      <c r="V5511" s="398"/>
      <c r="W5511" s="41"/>
      <c r="X5511" s="28" t="s">
        <v>7395</v>
      </c>
      <c r="Y5511" s="28" t="s">
        <v>7396</v>
      </c>
    </row>
    <row r="5512" s="10" customFormat="1" customHeight="1" spans="1:25">
      <c r="A5512" s="42" t="s">
        <v>399</v>
      </c>
      <c r="B5512" s="43" t="s">
        <v>6236</v>
      </c>
      <c r="C5512" s="43" t="s">
        <v>2035</v>
      </c>
      <c r="D5512" s="43" t="s">
        <v>6905</v>
      </c>
      <c r="E5512" s="44" t="s">
        <v>7371</v>
      </c>
      <c r="F5512" s="42" t="s">
        <v>7387</v>
      </c>
      <c r="G5512" s="42" t="s">
        <v>31</v>
      </c>
      <c r="H5512" s="45" t="s">
        <v>7397</v>
      </c>
      <c r="I5512" s="47" t="e">
        <f>VLOOKUP(H5512,'合同综合查询数据（3月返）'!$A:$A,1,FALSE)</f>
        <v>#N/A</v>
      </c>
      <c r="J5512" s="48" t="s">
        <v>33</v>
      </c>
      <c r="K5512" s="42" t="s">
        <v>7196</v>
      </c>
      <c r="L5512" s="49"/>
      <c r="M5512" s="50"/>
      <c r="N5512" s="51">
        <v>43800</v>
      </c>
      <c r="O5512" s="51" t="s">
        <v>37</v>
      </c>
      <c r="P5512" s="52">
        <v>18</v>
      </c>
      <c r="Q5512" s="53">
        <v>1792</v>
      </c>
      <c r="R5512" s="54">
        <f t="shared" si="125"/>
        <v>32256</v>
      </c>
      <c r="S5512" s="70">
        <v>202303</v>
      </c>
      <c r="T5512" s="56" t="s">
        <v>7398</v>
      </c>
      <c r="U5512" s="57"/>
      <c r="V5512" s="399"/>
      <c r="W5512" s="59"/>
      <c r="X5512" s="51"/>
      <c r="Y5512" s="51"/>
    </row>
    <row r="5513" s="10" customFormat="1" customHeight="1" spans="1:25">
      <c r="A5513" s="42" t="s">
        <v>399</v>
      </c>
      <c r="B5513" s="43" t="s">
        <v>6236</v>
      </c>
      <c r="C5513" s="43" t="s">
        <v>2035</v>
      </c>
      <c r="D5513" s="43" t="s">
        <v>6905</v>
      </c>
      <c r="E5513" s="44" t="s">
        <v>7371</v>
      </c>
      <c r="F5513" s="42" t="s">
        <v>7387</v>
      </c>
      <c r="G5513" s="42" t="s">
        <v>31</v>
      </c>
      <c r="H5513" s="45" t="s">
        <v>7397</v>
      </c>
      <c r="I5513" s="47" t="e">
        <f>VLOOKUP(H5513,'合同综合查询数据（3月返）'!$A:$A,1,FALSE)</f>
        <v>#N/A</v>
      </c>
      <c r="J5513" s="48" t="s">
        <v>33</v>
      </c>
      <c r="K5513" s="42" t="s">
        <v>7196</v>
      </c>
      <c r="L5513" s="49"/>
      <c r="M5513" s="50"/>
      <c r="N5513" s="51">
        <v>44286</v>
      </c>
      <c r="O5513" s="51" t="s">
        <v>37</v>
      </c>
      <c r="P5513" s="52">
        <v>18</v>
      </c>
      <c r="Q5513" s="53">
        <v>-1792</v>
      </c>
      <c r="R5513" s="54">
        <f t="shared" si="125"/>
        <v>-32256</v>
      </c>
      <c r="S5513" s="70">
        <v>202303</v>
      </c>
      <c r="T5513" s="56" t="s">
        <v>7398</v>
      </c>
      <c r="U5513" s="57"/>
      <c r="V5513" s="399"/>
      <c r="W5513" s="59"/>
      <c r="X5513" s="51"/>
      <c r="Y5513" s="51"/>
    </row>
    <row r="5514" s="10" customFormat="1" customHeight="1" spans="1:25">
      <c r="A5514" s="42" t="s">
        <v>399</v>
      </c>
      <c r="B5514" s="43" t="s">
        <v>6236</v>
      </c>
      <c r="C5514" s="43" t="s">
        <v>2035</v>
      </c>
      <c r="D5514" s="43" t="s">
        <v>6905</v>
      </c>
      <c r="E5514" s="44" t="s">
        <v>7371</v>
      </c>
      <c r="F5514" s="42" t="s">
        <v>7372</v>
      </c>
      <c r="G5514" s="42" t="s">
        <v>88</v>
      </c>
      <c r="H5514" s="45" t="s">
        <v>7399</v>
      </c>
      <c r="I5514" s="47" t="e">
        <f>VLOOKUP(H5514,'合同综合查询数据（3月返）'!$A:$A,1,FALSE)</f>
        <v>#N/A</v>
      </c>
      <c r="J5514" s="48" t="s">
        <v>2256</v>
      </c>
      <c r="K5514" s="42" t="s">
        <v>4980</v>
      </c>
      <c r="L5514" s="49" t="s">
        <v>7400</v>
      </c>
      <c r="M5514" s="50" t="s">
        <v>7375</v>
      </c>
      <c r="N5514" s="51">
        <v>44927</v>
      </c>
      <c r="O5514" s="51" t="s">
        <v>2283</v>
      </c>
      <c r="P5514" s="52">
        <v>5000</v>
      </c>
      <c r="Q5514" s="53">
        <v>6</v>
      </c>
      <c r="R5514" s="69">
        <f t="shared" si="125"/>
        <v>30000</v>
      </c>
      <c r="S5514" s="55">
        <v>202303</v>
      </c>
      <c r="T5514" s="56" t="s">
        <v>7401</v>
      </c>
      <c r="U5514" s="57"/>
      <c r="V5514" s="373"/>
      <c r="W5514" s="59"/>
      <c r="X5514" s="51"/>
      <c r="Y5514" s="51"/>
    </row>
    <row r="5515" s="10" customFormat="1" customHeight="1" spans="1:25">
      <c r="A5515" s="42" t="s">
        <v>399</v>
      </c>
      <c r="B5515" s="43" t="s">
        <v>6236</v>
      </c>
      <c r="C5515" s="43" t="s">
        <v>2035</v>
      </c>
      <c r="D5515" s="43" t="s">
        <v>6905</v>
      </c>
      <c r="E5515" s="44" t="s">
        <v>7371</v>
      </c>
      <c r="F5515" s="42" t="s">
        <v>7372</v>
      </c>
      <c r="G5515" s="42" t="s">
        <v>88</v>
      </c>
      <c r="H5515" s="45" t="s">
        <v>7399</v>
      </c>
      <c r="I5515" s="47" t="e">
        <f>VLOOKUP(H5515,'合同综合查询数据（3月返）'!$A:$A,1,FALSE)</f>
        <v>#N/A</v>
      </c>
      <c r="J5515" s="48" t="s">
        <v>2256</v>
      </c>
      <c r="K5515" s="42" t="s">
        <v>4980</v>
      </c>
      <c r="L5515" s="49" t="s">
        <v>7400</v>
      </c>
      <c r="M5515" s="50"/>
      <c r="N5515" s="51">
        <v>45006</v>
      </c>
      <c r="O5515" s="51" t="s">
        <v>2283</v>
      </c>
      <c r="P5515" s="52">
        <v>5000</v>
      </c>
      <c r="Q5515" s="53">
        <v>1</v>
      </c>
      <c r="R5515" s="69">
        <f>ROUND(P5515*Q5515*11/31,2)</f>
        <v>1774.19</v>
      </c>
      <c r="S5515" s="55">
        <v>202303</v>
      </c>
      <c r="T5515" s="56" t="s">
        <v>7402</v>
      </c>
      <c r="U5515" s="57"/>
      <c r="V5515" s="373"/>
      <c r="W5515" s="59"/>
      <c r="X5515" s="51"/>
      <c r="Y5515" s="51"/>
    </row>
    <row r="5516" s="10" customFormat="1" customHeight="1" spans="1:25">
      <c r="A5516" s="42" t="s">
        <v>399</v>
      </c>
      <c r="B5516" s="43" t="s">
        <v>6236</v>
      </c>
      <c r="C5516" s="43" t="s">
        <v>2035</v>
      </c>
      <c r="D5516" s="43" t="s">
        <v>6905</v>
      </c>
      <c r="E5516" s="44" t="s">
        <v>7371</v>
      </c>
      <c r="F5516" s="42" t="s">
        <v>7372</v>
      </c>
      <c r="G5516" s="42" t="s">
        <v>31</v>
      </c>
      <c r="H5516" s="45" t="s">
        <v>7399</v>
      </c>
      <c r="I5516" s="47" t="e">
        <f>VLOOKUP(H5516,'合同综合查询数据（3月返）'!$A:$A,1,FALSE)</f>
        <v>#N/A</v>
      </c>
      <c r="J5516" s="48" t="s">
        <v>33</v>
      </c>
      <c r="K5516" s="42" t="s">
        <v>4980</v>
      </c>
      <c r="L5516" s="49" t="s">
        <v>7400</v>
      </c>
      <c r="M5516" s="50"/>
      <c r="N5516" s="51">
        <v>44933</v>
      </c>
      <c r="O5516" s="51" t="s">
        <v>37</v>
      </c>
      <c r="P5516" s="52">
        <v>0</v>
      </c>
      <c r="Q5516" s="53">
        <v>576</v>
      </c>
      <c r="R5516" s="69">
        <f t="shared" ref="R5516:R5579" si="126">ROUND(P5516*Q5516,2)</f>
        <v>0</v>
      </c>
      <c r="S5516" s="55">
        <v>202303</v>
      </c>
      <c r="T5516" s="56" t="s">
        <v>7403</v>
      </c>
      <c r="U5516" s="57"/>
      <c r="V5516" s="373"/>
      <c r="W5516" s="59"/>
      <c r="X5516" s="51"/>
      <c r="Y5516" s="51"/>
    </row>
    <row r="5517" s="10" customFormat="1" customHeight="1" spans="1:25">
      <c r="A5517" s="42" t="s">
        <v>399</v>
      </c>
      <c r="B5517" s="43" t="s">
        <v>6236</v>
      </c>
      <c r="C5517" s="43" t="s">
        <v>2035</v>
      </c>
      <c r="D5517" s="43" t="s">
        <v>6905</v>
      </c>
      <c r="E5517" s="44" t="s">
        <v>7371</v>
      </c>
      <c r="F5517" s="42" t="s">
        <v>7372</v>
      </c>
      <c r="G5517" s="42" t="s">
        <v>31</v>
      </c>
      <c r="H5517" s="45" t="s">
        <v>7399</v>
      </c>
      <c r="I5517" s="47" t="e">
        <f>VLOOKUP(H5517,'合同综合查询数据（3月返）'!$A:$A,1,FALSE)</f>
        <v>#N/A</v>
      </c>
      <c r="J5517" s="48" t="s">
        <v>33</v>
      </c>
      <c r="K5517" s="42" t="s">
        <v>4980</v>
      </c>
      <c r="L5517" s="49" t="s">
        <v>7400</v>
      </c>
      <c r="M5517" s="50"/>
      <c r="N5517" s="51">
        <v>44933</v>
      </c>
      <c r="O5517" s="51" t="s">
        <v>37</v>
      </c>
      <c r="P5517" s="52">
        <v>50</v>
      </c>
      <c r="Q5517" s="53">
        <f>736-576</f>
        <v>160</v>
      </c>
      <c r="R5517" s="69">
        <f t="shared" si="126"/>
        <v>8000</v>
      </c>
      <c r="S5517" s="55">
        <v>202303</v>
      </c>
      <c r="T5517" s="56" t="s">
        <v>7403</v>
      </c>
      <c r="U5517" s="57"/>
      <c r="V5517" s="373"/>
      <c r="W5517" s="59"/>
      <c r="X5517" s="51"/>
      <c r="Y5517" s="51"/>
    </row>
    <row r="5518" s="10" customFormat="1" customHeight="1" spans="1:25">
      <c r="A5518" s="42" t="s">
        <v>399</v>
      </c>
      <c r="B5518" s="43" t="s">
        <v>6236</v>
      </c>
      <c r="C5518" s="43" t="s">
        <v>2035</v>
      </c>
      <c r="D5518" s="43" t="s">
        <v>6905</v>
      </c>
      <c r="E5518" s="44" t="s">
        <v>7371</v>
      </c>
      <c r="F5518" s="42" t="s">
        <v>7372</v>
      </c>
      <c r="G5518" s="42" t="s">
        <v>31</v>
      </c>
      <c r="H5518" s="45" t="s">
        <v>7399</v>
      </c>
      <c r="I5518" s="47" t="e">
        <f>VLOOKUP(H5518,'合同综合查询数据（3月返）'!$A:$A,1,FALSE)</f>
        <v>#N/A</v>
      </c>
      <c r="J5518" s="48" t="s">
        <v>33</v>
      </c>
      <c r="K5518" s="42" t="s">
        <v>4980</v>
      </c>
      <c r="L5518" s="49" t="s">
        <v>7400</v>
      </c>
      <c r="M5518" s="50"/>
      <c r="N5518" s="51">
        <v>44985</v>
      </c>
      <c r="O5518" s="51" t="s">
        <v>37</v>
      </c>
      <c r="P5518" s="52">
        <v>50</v>
      </c>
      <c r="Q5518" s="53">
        <v>-160</v>
      </c>
      <c r="R5518" s="69">
        <f t="shared" si="126"/>
        <v>-8000</v>
      </c>
      <c r="S5518" s="55">
        <v>202303</v>
      </c>
      <c r="T5518" s="56" t="s">
        <v>7404</v>
      </c>
      <c r="U5518" s="57"/>
      <c r="V5518" s="373"/>
      <c r="W5518" s="59"/>
      <c r="X5518" s="51"/>
      <c r="Y5518" s="51"/>
    </row>
    <row r="5519" s="10" customFormat="1" customHeight="1" spans="1:25">
      <c r="A5519" s="42" t="s">
        <v>399</v>
      </c>
      <c r="B5519" s="43" t="s">
        <v>6236</v>
      </c>
      <c r="C5519" s="43" t="s">
        <v>2035</v>
      </c>
      <c r="D5519" s="43" t="s">
        <v>6905</v>
      </c>
      <c r="E5519" s="44" t="s">
        <v>7371</v>
      </c>
      <c r="F5519" s="42" t="s">
        <v>7372</v>
      </c>
      <c r="G5519" s="42" t="s">
        <v>31</v>
      </c>
      <c r="H5519" s="45" t="s">
        <v>7399</v>
      </c>
      <c r="I5519" s="47" t="e">
        <f>VLOOKUP(H5519,'合同综合查询数据（3月返）'!$A:$A,1,FALSE)</f>
        <v>#N/A</v>
      </c>
      <c r="J5519" s="48" t="s">
        <v>33</v>
      </c>
      <c r="K5519" s="42" t="s">
        <v>4980</v>
      </c>
      <c r="L5519" s="49" t="s">
        <v>7400</v>
      </c>
      <c r="M5519" s="50"/>
      <c r="N5519" s="51">
        <v>44985</v>
      </c>
      <c r="O5519" s="51" t="s">
        <v>37</v>
      </c>
      <c r="P5519" s="52">
        <v>0</v>
      </c>
      <c r="Q5519" s="53">
        <v>-56</v>
      </c>
      <c r="R5519" s="69">
        <f t="shared" si="126"/>
        <v>0</v>
      </c>
      <c r="S5519" s="55">
        <v>202303</v>
      </c>
      <c r="T5519" s="56" t="s">
        <v>7404</v>
      </c>
      <c r="U5519" s="57"/>
      <c r="V5519" s="373"/>
      <c r="W5519" s="59"/>
      <c r="X5519" s="51"/>
      <c r="Y5519" s="51"/>
    </row>
    <row r="5520" s="10" customFormat="1" customHeight="1" spans="1:25">
      <c r="A5520" s="42" t="s">
        <v>399</v>
      </c>
      <c r="B5520" s="43" t="s">
        <v>6236</v>
      </c>
      <c r="C5520" s="43" t="s">
        <v>2035</v>
      </c>
      <c r="D5520" s="43" t="s">
        <v>6905</v>
      </c>
      <c r="E5520" s="44" t="s">
        <v>7371</v>
      </c>
      <c r="F5520" s="42" t="s">
        <v>7372</v>
      </c>
      <c r="G5520" s="42" t="s">
        <v>31</v>
      </c>
      <c r="H5520" s="45" t="s">
        <v>7405</v>
      </c>
      <c r="I5520" s="47" t="e">
        <f>VLOOKUP(H5520,'合同综合查询数据（3月返）'!$A:$A,1,FALSE)</f>
        <v>#N/A</v>
      </c>
      <c r="J5520" s="48" t="s">
        <v>451</v>
      </c>
      <c r="K5520" s="42" t="s">
        <v>7196</v>
      </c>
      <c r="L5520" s="49" t="s">
        <v>7406</v>
      </c>
      <c r="M5520" s="50"/>
      <c r="N5520" s="51">
        <v>44986</v>
      </c>
      <c r="O5520" s="51" t="s">
        <v>37</v>
      </c>
      <c r="P5520" s="52">
        <v>0</v>
      </c>
      <c r="Q5520" s="52">
        <v>256</v>
      </c>
      <c r="R5520" s="69">
        <f t="shared" si="126"/>
        <v>0</v>
      </c>
      <c r="S5520" s="55">
        <v>202303</v>
      </c>
      <c r="T5520" s="56" t="s">
        <v>7407</v>
      </c>
      <c r="U5520" s="57"/>
      <c r="V5520" s="373"/>
      <c r="W5520" s="59"/>
      <c r="X5520" s="51"/>
      <c r="Y5520" s="51"/>
    </row>
    <row r="5521" s="10" customFormat="1" customHeight="1" spans="1:25">
      <c r="A5521" s="42" t="s">
        <v>399</v>
      </c>
      <c r="B5521" s="43" t="s">
        <v>6236</v>
      </c>
      <c r="C5521" s="43" t="s">
        <v>2035</v>
      </c>
      <c r="D5521" s="43" t="s">
        <v>6905</v>
      </c>
      <c r="E5521" s="44" t="s">
        <v>7371</v>
      </c>
      <c r="F5521" s="42" t="s">
        <v>7372</v>
      </c>
      <c r="G5521" s="42" t="s">
        <v>31</v>
      </c>
      <c r="H5521" s="45" t="s">
        <v>7405</v>
      </c>
      <c r="I5521" s="47" t="e">
        <f>VLOOKUP(H5521,'合同综合查询数据（3月返）'!$A:$A,1,FALSE)</f>
        <v>#N/A</v>
      </c>
      <c r="J5521" s="48" t="s">
        <v>451</v>
      </c>
      <c r="K5521" s="42" t="s">
        <v>7196</v>
      </c>
      <c r="L5521" s="49" t="s">
        <v>7406</v>
      </c>
      <c r="M5521" s="50"/>
      <c r="N5521" s="51">
        <v>44986</v>
      </c>
      <c r="O5521" s="51" t="s">
        <v>152</v>
      </c>
      <c r="P5521" s="52">
        <v>0</v>
      </c>
      <c r="Q5521" s="52">
        <v>1</v>
      </c>
      <c r="R5521" s="69">
        <f t="shared" si="126"/>
        <v>0</v>
      </c>
      <c r="S5521" s="55">
        <v>202303</v>
      </c>
      <c r="T5521" s="56" t="s">
        <v>7408</v>
      </c>
      <c r="U5521" s="57"/>
      <c r="V5521" s="373"/>
      <c r="W5521" s="59"/>
      <c r="X5521" s="51"/>
      <c r="Y5521" s="51"/>
    </row>
    <row r="5522" s="10" customFormat="1" customHeight="1" spans="1:25">
      <c r="A5522" s="42" t="s">
        <v>399</v>
      </c>
      <c r="B5522" s="42" t="s">
        <v>6971</v>
      </c>
      <c r="C5522" s="42" t="s">
        <v>7040</v>
      </c>
      <c r="D5522" s="43" t="s">
        <v>6905</v>
      </c>
      <c r="E5522" s="44" t="s">
        <v>7409</v>
      </c>
      <c r="F5522" s="42" t="s">
        <v>7410</v>
      </c>
      <c r="G5522" s="42" t="s">
        <v>88</v>
      </c>
      <c r="H5522" s="45" t="s">
        <v>7411</v>
      </c>
      <c r="I5522" s="47" t="e">
        <f>VLOOKUP(H5522,'合同综合查询数据（3月返）'!$A:$A,1,FALSE)</f>
        <v>#N/A</v>
      </c>
      <c r="J5522" s="48" t="s">
        <v>126</v>
      </c>
      <c r="K5522" s="42" t="s">
        <v>7412</v>
      </c>
      <c r="L5522" s="49" t="s">
        <v>7413</v>
      </c>
      <c r="M5522" s="50" t="s">
        <v>7414</v>
      </c>
      <c r="N5522" s="51">
        <v>43497</v>
      </c>
      <c r="O5522" s="43" t="s">
        <v>127</v>
      </c>
      <c r="P5522" s="52">
        <v>5000</v>
      </c>
      <c r="Q5522" s="53">
        <v>1</v>
      </c>
      <c r="R5522" s="54">
        <f t="shared" si="126"/>
        <v>5000</v>
      </c>
      <c r="S5522" s="70">
        <v>202303</v>
      </c>
      <c r="T5522" s="400" t="s">
        <v>7415</v>
      </c>
      <c r="U5522" s="59"/>
      <c r="V5522" s="399"/>
      <c r="W5522" s="59"/>
      <c r="X5522" s="51"/>
      <c r="Y5522" s="51"/>
    </row>
    <row r="5523" s="10" customFormat="1" customHeight="1" spans="1:25">
      <c r="A5523" s="42" t="s">
        <v>399</v>
      </c>
      <c r="B5523" s="42" t="s">
        <v>6971</v>
      </c>
      <c r="C5523" s="42" t="s">
        <v>7040</v>
      </c>
      <c r="D5523" s="43" t="s">
        <v>6905</v>
      </c>
      <c r="E5523" s="44" t="s">
        <v>7409</v>
      </c>
      <c r="F5523" s="42" t="s">
        <v>7410</v>
      </c>
      <c r="G5523" s="42" t="s">
        <v>31</v>
      </c>
      <c r="H5523" s="45" t="s">
        <v>7411</v>
      </c>
      <c r="I5523" s="47" t="e">
        <f>VLOOKUP(H5523,'合同综合查询数据（3月返）'!$A:$A,1,FALSE)</f>
        <v>#N/A</v>
      </c>
      <c r="J5523" s="48" t="s">
        <v>3856</v>
      </c>
      <c r="K5523" s="42" t="s">
        <v>7412</v>
      </c>
      <c r="L5523" s="49" t="s">
        <v>7413</v>
      </c>
      <c r="M5523" s="50" t="s">
        <v>7414</v>
      </c>
      <c r="N5523" s="51">
        <v>43497</v>
      </c>
      <c r="O5523" s="42" t="s">
        <v>37</v>
      </c>
      <c r="P5523" s="52">
        <v>0</v>
      </c>
      <c r="Q5523" s="53">
        <v>160</v>
      </c>
      <c r="R5523" s="54">
        <f t="shared" si="126"/>
        <v>0</v>
      </c>
      <c r="S5523" s="70">
        <v>202303</v>
      </c>
      <c r="T5523" s="400" t="s">
        <v>7416</v>
      </c>
      <c r="U5523" s="59"/>
      <c r="V5523" s="399"/>
      <c r="W5523" s="59"/>
      <c r="X5523" s="51"/>
      <c r="Y5523" s="51"/>
    </row>
    <row r="5524" s="10" customFormat="1" customHeight="1" spans="1:25">
      <c r="A5524" s="42" t="s">
        <v>399</v>
      </c>
      <c r="B5524" s="43" t="s">
        <v>6236</v>
      </c>
      <c r="C5524" s="43" t="s">
        <v>169</v>
      </c>
      <c r="D5524" s="43" t="s">
        <v>6905</v>
      </c>
      <c r="E5524" s="44" t="s">
        <v>6887</v>
      </c>
      <c r="F5524" s="42" t="s">
        <v>7417</v>
      </c>
      <c r="G5524" s="42" t="s">
        <v>88</v>
      </c>
      <c r="H5524" s="45" t="s">
        <v>7418</v>
      </c>
      <c r="I5524" s="47" t="e">
        <f>VLOOKUP(H5524,'合同综合查询数据（3月返）'!$A:$A,1,FALSE)</f>
        <v>#N/A</v>
      </c>
      <c r="J5524" s="48" t="s">
        <v>2256</v>
      </c>
      <c r="K5524" s="42" t="s">
        <v>171</v>
      </c>
      <c r="L5524" s="49" t="s">
        <v>7419</v>
      </c>
      <c r="M5524" s="50" t="s">
        <v>7420</v>
      </c>
      <c r="N5524" s="51" t="s">
        <v>7421</v>
      </c>
      <c r="O5524" s="51" t="s">
        <v>92</v>
      </c>
      <c r="P5524" s="52">
        <v>4500</v>
      </c>
      <c r="Q5524" s="53">
        <v>4</v>
      </c>
      <c r="R5524" s="54">
        <f t="shared" si="126"/>
        <v>18000</v>
      </c>
      <c r="S5524" s="70">
        <v>202303</v>
      </c>
      <c r="T5524" s="56" t="s">
        <v>7422</v>
      </c>
      <c r="U5524" s="57"/>
      <c r="V5524" s="399"/>
      <c r="W5524" s="59"/>
      <c r="X5524" s="51"/>
      <c r="Y5524" s="51"/>
    </row>
    <row r="5525" s="10" customFormat="1" customHeight="1" spans="1:25">
      <c r="A5525" s="42" t="s">
        <v>399</v>
      </c>
      <c r="B5525" s="43" t="s">
        <v>6236</v>
      </c>
      <c r="C5525" s="43" t="s">
        <v>169</v>
      </c>
      <c r="D5525" s="43" t="s">
        <v>6905</v>
      </c>
      <c r="E5525" s="44" t="s">
        <v>6887</v>
      </c>
      <c r="F5525" s="42" t="s">
        <v>7417</v>
      </c>
      <c r="G5525" s="42" t="s">
        <v>88</v>
      </c>
      <c r="H5525" s="45" t="s">
        <v>7418</v>
      </c>
      <c r="I5525" s="47" t="e">
        <f>VLOOKUP(H5525,'合同综合查询数据（3月返）'!$A:$A,1,FALSE)</f>
        <v>#N/A</v>
      </c>
      <c r="J5525" s="48" t="s">
        <v>2256</v>
      </c>
      <c r="K5525" s="42" t="s">
        <v>171</v>
      </c>
      <c r="L5525" s="49" t="s">
        <v>7419</v>
      </c>
      <c r="M5525" s="50" t="s">
        <v>7420</v>
      </c>
      <c r="N5525" s="51">
        <v>44651</v>
      </c>
      <c r="O5525" s="51" t="s">
        <v>92</v>
      </c>
      <c r="P5525" s="52">
        <v>4500</v>
      </c>
      <c r="Q5525" s="53">
        <v>-4</v>
      </c>
      <c r="R5525" s="54">
        <f t="shared" si="126"/>
        <v>-18000</v>
      </c>
      <c r="S5525" s="70">
        <v>202303</v>
      </c>
      <c r="T5525" s="56" t="s">
        <v>7423</v>
      </c>
      <c r="U5525" s="57"/>
      <c r="V5525" s="399"/>
      <c r="W5525" s="59"/>
      <c r="X5525" s="51"/>
      <c r="Y5525" s="51"/>
    </row>
    <row r="5526" s="10" customFormat="1" customHeight="1" spans="1:25">
      <c r="A5526" s="42" t="s">
        <v>399</v>
      </c>
      <c r="B5526" s="43" t="s">
        <v>6236</v>
      </c>
      <c r="C5526" s="43" t="s">
        <v>169</v>
      </c>
      <c r="D5526" s="43" t="s">
        <v>6905</v>
      </c>
      <c r="E5526" s="44" t="s">
        <v>6887</v>
      </c>
      <c r="F5526" s="42" t="s">
        <v>7417</v>
      </c>
      <c r="G5526" s="42" t="s">
        <v>31</v>
      </c>
      <c r="H5526" s="45" t="s">
        <v>7418</v>
      </c>
      <c r="I5526" s="47" t="e">
        <f>VLOOKUP(H5526,'合同综合查询数据（3月返）'!$A:$A,1,FALSE)</f>
        <v>#N/A</v>
      </c>
      <c r="J5526" s="48" t="s">
        <v>33</v>
      </c>
      <c r="K5526" s="42" t="s">
        <v>7424</v>
      </c>
      <c r="L5526" s="49" t="s">
        <v>7419</v>
      </c>
      <c r="M5526" s="50"/>
      <c r="N5526" s="51">
        <v>43208</v>
      </c>
      <c r="O5526" s="51" t="s">
        <v>37</v>
      </c>
      <c r="P5526" s="52">
        <v>0</v>
      </c>
      <c r="Q5526" s="53">
        <v>288</v>
      </c>
      <c r="R5526" s="54">
        <f t="shared" si="126"/>
        <v>0</v>
      </c>
      <c r="S5526" s="70">
        <v>202303</v>
      </c>
      <c r="T5526" s="56" t="s">
        <v>7425</v>
      </c>
      <c r="U5526" s="57"/>
      <c r="V5526" s="399"/>
      <c r="W5526" s="59"/>
      <c r="X5526" s="51"/>
      <c r="Y5526" s="51"/>
    </row>
    <row r="5527" s="10" customFormat="1" customHeight="1" spans="1:25">
      <c r="A5527" s="42" t="s">
        <v>399</v>
      </c>
      <c r="B5527" s="43" t="s">
        <v>6236</v>
      </c>
      <c r="C5527" s="43" t="s">
        <v>169</v>
      </c>
      <c r="D5527" s="43" t="s">
        <v>6905</v>
      </c>
      <c r="E5527" s="44" t="s">
        <v>6887</v>
      </c>
      <c r="F5527" s="42" t="s">
        <v>7417</v>
      </c>
      <c r="G5527" s="42" t="s">
        <v>31</v>
      </c>
      <c r="H5527" s="45" t="s">
        <v>7418</v>
      </c>
      <c r="I5527" s="47" t="e">
        <f>VLOOKUP(H5527,'合同综合查询数据（3月返）'!$A:$A,1,FALSE)</f>
        <v>#N/A</v>
      </c>
      <c r="J5527" s="48" t="s">
        <v>33</v>
      </c>
      <c r="K5527" s="42" t="s">
        <v>7424</v>
      </c>
      <c r="L5527" s="49" t="s">
        <v>7419</v>
      </c>
      <c r="M5527" s="50"/>
      <c r="N5527" s="51">
        <v>44651</v>
      </c>
      <c r="O5527" s="51" t="s">
        <v>37</v>
      </c>
      <c r="P5527" s="52">
        <v>0</v>
      </c>
      <c r="Q5527" s="53">
        <v>-288</v>
      </c>
      <c r="R5527" s="54">
        <f t="shared" si="126"/>
        <v>0</v>
      </c>
      <c r="S5527" s="70">
        <v>202303</v>
      </c>
      <c r="T5527" s="56" t="s">
        <v>7426</v>
      </c>
      <c r="U5527" s="57"/>
      <c r="V5527" s="399"/>
      <c r="W5527" s="59"/>
      <c r="X5527" s="51"/>
      <c r="Y5527" s="51"/>
    </row>
    <row r="5528" s="10" customFormat="1" customHeight="1" spans="1:25">
      <c r="A5528" s="42" t="s">
        <v>61</v>
      </c>
      <c r="B5528" s="43" t="s">
        <v>6236</v>
      </c>
      <c r="C5528" s="43" t="s">
        <v>63</v>
      </c>
      <c r="D5528" s="43" t="s">
        <v>6237</v>
      </c>
      <c r="E5528" s="44" t="s">
        <v>76</v>
      </c>
      <c r="F5528" s="42" t="s">
        <v>77</v>
      </c>
      <c r="G5528" s="42" t="s">
        <v>88</v>
      </c>
      <c r="H5528" s="45" t="s">
        <v>7427</v>
      </c>
      <c r="I5528" s="47" t="e">
        <f>VLOOKUP(H5528,'合同综合查询数据（3月返）'!$A:$A,1,FALSE)</f>
        <v>#N/A</v>
      </c>
      <c r="J5528" s="48" t="s">
        <v>3074</v>
      </c>
      <c r="K5528" s="42" t="s">
        <v>7428</v>
      </c>
      <c r="L5528" s="49"/>
      <c r="M5528" s="50" t="s">
        <v>7429</v>
      </c>
      <c r="N5528" s="51">
        <v>44562</v>
      </c>
      <c r="O5528" s="51" t="s">
        <v>2283</v>
      </c>
      <c r="P5528" s="52">
        <v>6818</v>
      </c>
      <c r="Q5528" s="53">
        <v>20</v>
      </c>
      <c r="R5528" s="54">
        <f t="shared" si="126"/>
        <v>136360</v>
      </c>
      <c r="S5528" s="55">
        <v>202303</v>
      </c>
      <c r="T5528" s="56" t="s">
        <v>7430</v>
      </c>
      <c r="U5528" s="57"/>
      <c r="V5528" s="58"/>
      <c r="W5528" s="59"/>
      <c r="X5528" s="51"/>
      <c r="Y5528" s="51"/>
    </row>
    <row r="5529" s="10" customFormat="1" customHeight="1" spans="1:25">
      <c r="A5529" s="42" t="s">
        <v>61</v>
      </c>
      <c r="B5529" s="43" t="s">
        <v>6236</v>
      </c>
      <c r="C5529" s="43" t="s">
        <v>63</v>
      </c>
      <c r="D5529" s="43" t="s">
        <v>6237</v>
      </c>
      <c r="E5529" s="44" t="s">
        <v>76</v>
      </c>
      <c r="F5529" s="42" t="s">
        <v>77</v>
      </c>
      <c r="G5529" s="42" t="s">
        <v>88</v>
      </c>
      <c r="H5529" s="45" t="s">
        <v>7427</v>
      </c>
      <c r="I5529" s="47" t="e">
        <f>VLOOKUP(H5529,'合同综合查询数据（3月返）'!$A:$A,1,FALSE)</f>
        <v>#N/A</v>
      </c>
      <c r="J5529" s="48" t="s">
        <v>3074</v>
      </c>
      <c r="K5529" s="42" t="s">
        <v>7428</v>
      </c>
      <c r="L5529" s="49"/>
      <c r="M5529" s="50" t="s">
        <v>7429</v>
      </c>
      <c r="N5529" s="51">
        <v>44708</v>
      </c>
      <c r="O5529" s="51" t="s">
        <v>2283</v>
      </c>
      <c r="P5529" s="52">
        <v>6818</v>
      </c>
      <c r="Q5529" s="53">
        <v>1</v>
      </c>
      <c r="R5529" s="54">
        <f t="shared" si="126"/>
        <v>6818</v>
      </c>
      <c r="S5529" s="55">
        <v>202303</v>
      </c>
      <c r="T5529" s="56" t="s">
        <v>7431</v>
      </c>
      <c r="U5529" s="57"/>
      <c r="V5529" s="58"/>
      <c r="W5529" s="59"/>
      <c r="X5529" s="51"/>
      <c r="Y5529" s="51"/>
    </row>
    <row r="5530" s="9" customFormat="1" customHeight="1" spans="1:25">
      <c r="A5530" s="16" t="s">
        <v>403</v>
      </c>
      <c r="B5530" s="17" t="s">
        <v>7432</v>
      </c>
      <c r="C5530" s="17" t="s">
        <v>2833</v>
      </c>
      <c r="D5530" s="17" t="s">
        <v>6905</v>
      </c>
      <c r="E5530" s="18" t="s">
        <v>7433</v>
      </c>
      <c r="F5530" s="16" t="s">
        <v>7434</v>
      </c>
      <c r="G5530" s="16" t="s">
        <v>88</v>
      </c>
      <c r="H5530" s="19" t="s">
        <v>7435</v>
      </c>
      <c r="I5530" s="23" t="e">
        <f>VLOOKUP(H5530,'合同综合查询数据（3月返）'!$A:$A,1,FALSE)</f>
        <v>#N/A</v>
      </c>
      <c r="J5530" s="24" t="s">
        <v>3074</v>
      </c>
      <c r="K5530" s="16" t="s">
        <v>7436</v>
      </c>
      <c r="L5530" s="25"/>
      <c r="M5530" s="26" t="s">
        <v>7437</v>
      </c>
      <c r="N5530" s="28">
        <v>43770</v>
      </c>
      <c r="O5530" s="28" t="s">
        <v>457</v>
      </c>
      <c r="P5530" s="29">
        <v>5100</v>
      </c>
      <c r="Q5530" s="35">
        <v>75</v>
      </c>
      <c r="R5530" s="36">
        <f t="shared" si="126"/>
        <v>382500</v>
      </c>
      <c r="S5530" s="37">
        <v>202303</v>
      </c>
      <c r="T5530" s="38" t="s">
        <v>7438</v>
      </c>
      <c r="U5530" s="39"/>
      <c r="V5530" s="40"/>
      <c r="W5530" s="41"/>
      <c r="X5530" s="28">
        <v>43692</v>
      </c>
      <c r="Y5530" s="28">
        <v>45883</v>
      </c>
    </row>
    <row r="5531" s="9" customFormat="1" customHeight="1" spans="1:25">
      <c r="A5531" s="16" t="s">
        <v>403</v>
      </c>
      <c r="B5531" s="17" t="s">
        <v>7432</v>
      </c>
      <c r="C5531" s="17" t="s">
        <v>2833</v>
      </c>
      <c r="D5531" s="17" t="s">
        <v>6905</v>
      </c>
      <c r="E5531" s="18" t="s">
        <v>7433</v>
      </c>
      <c r="F5531" s="16" t="s">
        <v>7434</v>
      </c>
      <c r="G5531" s="16" t="s">
        <v>88</v>
      </c>
      <c r="H5531" s="19" t="s">
        <v>7435</v>
      </c>
      <c r="I5531" s="23" t="e">
        <f>VLOOKUP(H5531,'合同综合查询数据（3月返）'!$A:$A,1,FALSE)</f>
        <v>#N/A</v>
      </c>
      <c r="J5531" s="24" t="s">
        <v>3074</v>
      </c>
      <c r="K5531" s="16" t="s">
        <v>7436</v>
      </c>
      <c r="L5531" s="25"/>
      <c r="M5531" s="26" t="s">
        <v>7437</v>
      </c>
      <c r="N5531" s="28">
        <v>43770</v>
      </c>
      <c r="O5531" s="28" t="s">
        <v>470</v>
      </c>
      <c r="P5531" s="29">
        <v>5100</v>
      </c>
      <c r="Q5531" s="35">
        <v>24</v>
      </c>
      <c r="R5531" s="36">
        <f t="shared" si="126"/>
        <v>122400</v>
      </c>
      <c r="S5531" s="37">
        <v>202303</v>
      </c>
      <c r="T5531" s="38" t="s">
        <v>7439</v>
      </c>
      <c r="U5531" s="39"/>
      <c r="V5531" s="40"/>
      <c r="W5531" s="41"/>
      <c r="X5531" s="28">
        <v>43692</v>
      </c>
      <c r="Y5531" s="28">
        <v>45883</v>
      </c>
    </row>
    <row r="5532" s="9" customFormat="1" customHeight="1" spans="1:25">
      <c r="A5532" s="16" t="s">
        <v>403</v>
      </c>
      <c r="B5532" s="17" t="s">
        <v>7432</v>
      </c>
      <c r="C5532" s="17" t="s">
        <v>2833</v>
      </c>
      <c r="D5532" s="17" t="s">
        <v>6905</v>
      </c>
      <c r="E5532" s="18" t="s">
        <v>7433</v>
      </c>
      <c r="F5532" s="16" t="s">
        <v>7434</v>
      </c>
      <c r="G5532" s="16" t="s">
        <v>88</v>
      </c>
      <c r="H5532" s="19" t="s">
        <v>7435</v>
      </c>
      <c r="I5532" s="23" t="e">
        <f>VLOOKUP(H5532,'合同综合查询数据（3月返）'!$A:$A,1,FALSE)</f>
        <v>#N/A</v>
      </c>
      <c r="J5532" s="24" t="s">
        <v>3074</v>
      </c>
      <c r="K5532" s="16" t="s">
        <v>7436</v>
      </c>
      <c r="L5532" s="25"/>
      <c r="M5532" s="26" t="s">
        <v>7437</v>
      </c>
      <c r="N5532" s="28">
        <v>43770</v>
      </c>
      <c r="O5532" s="28" t="s">
        <v>511</v>
      </c>
      <c r="P5532" s="29">
        <v>5100</v>
      </c>
      <c r="Q5532" s="35">
        <v>2</v>
      </c>
      <c r="R5532" s="36">
        <f t="shared" si="126"/>
        <v>10200</v>
      </c>
      <c r="S5532" s="37">
        <v>202303</v>
      </c>
      <c r="T5532" s="38" t="s">
        <v>7440</v>
      </c>
      <c r="U5532" s="39"/>
      <c r="V5532" s="40"/>
      <c r="W5532" s="41"/>
      <c r="X5532" s="28">
        <v>43692</v>
      </c>
      <c r="Y5532" s="28">
        <v>45883</v>
      </c>
    </row>
    <row r="5533" s="9" customFormat="1" customHeight="1" spans="1:25">
      <c r="A5533" s="16" t="s">
        <v>403</v>
      </c>
      <c r="B5533" s="17" t="s">
        <v>7432</v>
      </c>
      <c r="C5533" s="17" t="s">
        <v>2833</v>
      </c>
      <c r="D5533" s="17" t="s">
        <v>6905</v>
      </c>
      <c r="E5533" s="18" t="s">
        <v>7433</v>
      </c>
      <c r="F5533" s="16" t="s">
        <v>7434</v>
      </c>
      <c r="G5533" s="16" t="s">
        <v>88</v>
      </c>
      <c r="H5533" s="19" t="s">
        <v>7435</v>
      </c>
      <c r="I5533" s="23" t="e">
        <f>VLOOKUP(H5533,'合同综合查询数据（3月返）'!$A:$A,1,FALSE)</f>
        <v>#N/A</v>
      </c>
      <c r="J5533" s="24" t="s">
        <v>3074</v>
      </c>
      <c r="K5533" s="16" t="s">
        <v>7436</v>
      </c>
      <c r="L5533" s="25"/>
      <c r="M5533" s="26" t="s">
        <v>7437</v>
      </c>
      <c r="N5533" s="28">
        <v>43770</v>
      </c>
      <c r="O5533" s="28" t="s">
        <v>574</v>
      </c>
      <c r="P5533" s="29">
        <v>5100</v>
      </c>
      <c r="Q5533" s="35">
        <v>12</v>
      </c>
      <c r="R5533" s="36">
        <f t="shared" si="126"/>
        <v>61200</v>
      </c>
      <c r="S5533" s="37">
        <v>202303</v>
      </c>
      <c r="T5533" s="38" t="s">
        <v>7441</v>
      </c>
      <c r="U5533" s="39"/>
      <c r="V5533" s="40"/>
      <c r="W5533" s="41"/>
      <c r="X5533" s="28">
        <v>43692</v>
      </c>
      <c r="Y5533" s="28">
        <v>45883</v>
      </c>
    </row>
    <row r="5534" s="9" customFormat="1" customHeight="1" spans="1:25">
      <c r="A5534" s="16" t="s">
        <v>403</v>
      </c>
      <c r="B5534" s="17" t="s">
        <v>7432</v>
      </c>
      <c r="C5534" s="17" t="s">
        <v>2833</v>
      </c>
      <c r="D5534" s="17" t="s">
        <v>6905</v>
      </c>
      <c r="E5534" s="18" t="s">
        <v>7433</v>
      </c>
      <c r="F5534" s="16" t="s">
        <v>7434</v>
      </c>
      <c r="G5534" s="16" t="s">
        <v>88</v>
      </c>
      <c r="H5534" s="19" t="s">
        <v>7435</v>
      </c>
      <c r="I5534" s="23" t="e">
        <f>VLOOKUP(H5534,'合同综合查询数据（3月返）'!$A:$A,1,FALSE)</f>
        <v>#N/A</v>
      </c>
      <c r="J5534" s="24" t="s">
        <v>3074</v>
      </c>
      <c r="K5534" s="16" t="s">
        <v>7436</v>
      </c>
      <c r="L5534" s="25"/>
      <c r="M5534" s="26" t="s">
        <v>7437</v>
      </c>
      <c r="N5534" s="28">
        <v>43770</v>
      </c>
      <c r="O5534" s="28" t="s">
        <v>540</v>
      </c>
      <c r="P5534" s="29">
        <v>5100</v>
      </c>
      <c r="Q5534" s="35">
        <v>1</v>
      </c>
      <c r="R5534" s="36">
        <f t="shared" si="126"/>
        <v>5100</v>
      </c>
      <c r="S5534" s="37">
        <v>202303</v>
      </c>
      <c r="T5534" s="38" t="s">
        <v>7442</v>
      </c>
      <c r="U5534" s="39"/>
      <c r="V5534" s="40"/>
      <c r="W5534" s="41"/>
      <c r="X5534" s="28">
        <v>43692</v>
      </c>
      <c r="Y5534" s="28">
        <v>45883</v>
      </c>
    </row>
    <row r="5535" s="9" customFormat="1" customHeight="1" spans="1:25">
      <c r="A5535" s="16" t="s">
        <v>403</v>
      </c>
      <c r="B5535" s="17" t="s">
        <v>7432</v>
      </c>
      <c r="C5535" s="17" t="s">
        <v>2833</v>
      </c>
      <c r="D5535" s="17" t="s">
        <v>6905</v>
      </c>
      <c r="E5535" s="18" t="s">
        <v>7433</v>
      </c>
      <c r="F5535" s="16" t="s">
        <v>7434</v>
      </c>
      <c r="G5535" s="16" t="s">
        <v>88</v>
      </c>
      <c r="H5535" s="19" t="s">
        <v>7435</v>
      </c>
      <c r="I5535" s="23" t="e">
        <f>VLOOKUP(H5535,'合同综合查询数据（3月返）'!$A:$A,1,FALSE)</f>
        <v>#N/A</v>
      </c>
      <c r="J5535" s="24" t="s">
        <v>3074</v>
      </c>
      <c r="K5535" s="16" t="s">
        <v>7436</v>
      </c>
      <c r="L5535" s="25"/>
      <c r="M5535" s="26" t="s">
        <v>7437</v>
      </c>
      <c r="N5535" s="28">
        <v>43837</v>
      </c>
      <c r="O5535" s="28" t="s">
        <v>511</v>
      </c>
      <c r="P5535" s="29">
        <v>5100</v>
      </c>
      <c r="Q5535" s="35">
        <v>4</v>
      </c>
      <c r="R5535" s="36">
        <f t="shared" si="126"/>
        <v>20400</v>
      </c>
      <c r="S5535" s="37">
        <v>202303</v>
      </c>
      <c r="T5535" s="38" t="s">
        <v>7443</v>
      </c>
      <c r="U5535" s="39"/>
      <c r="V5535" s="40"/>
      <c r="W5535" s="41"/>
      <c r="X5535" s="28">
        <v>43692</v>
      </c>
      <c r="Y5535" s="28">
        <v>45883</v>
      </c>
    </row>
    <row r="5536" s="9" customFormat="1" customHeight="1" spans="1:25">
      <c r="A5536" s="16" t="s">
        <v>403</v>
      </c>
      <c r="B5536" s="17" t="s">
        <v>7432</v>
      </c>
      <c r="C5536" s="17" t="s">
        <v>2833</v>
      </c>
      <c r="D5536" s="17" t="s">
        <v>6905</v>
      </c>
      <c r="E5536" s="18" t="s">
        <v>7433</v>
      </c>
      <c r="F5536" s="16" t="s">
        <v>7434</v>
      </c>
      <c r="G5536" s="16" t="s">
        <v>88</v>
      </c>
      <c r="H5536" s="19" t="s">
        <v>7435</v>
      </c>
      <c r="I5536" s="23" t="e">
        <f>VLOOKUP(H5536,'合同综合查询数据（3月返）'!$A:$A,1,FALSE)</f>
        <v>#N/A</v>
      </c>
      <c r="J5536" s="24" t="s">
        <v>3074</v>
      </c>
      <c r="K5536" s="16" t="s">
        <v>7436</v>
      </c>
      <c r="L5536" s="25"/>
      <c r="M5536" s="26" t="s">
        <v>7437</v>
      </c>
      <c r="N5536" s="28">
        <v>43906</v>
      </c>
      <c r="O5536" s="28" t="s">
        <v>457</v>
      </c>
      <c r="P5536" s="29">
        <v>5100</v>
      </c>
      <c r="Q5536" s="35">
        <v>1</v>
      </c>
      <c r="R5536" s="36">
        <f t="shared" si="126"/>
        <v>5100</v>
      </c>
      <c r="S5536" s="37">
        <v>202303</v>
      </c>
      <c r="T5536" s="38" t="s">
        <v>7444</v>
      </c>
      <c r="U5536" s="39"/>
      <c r="V5536" s="40"/>
      <c r="W5536" s="41"/>
      <c r="X5536" s="28">
        <v>43692</v>
      </c>
      <c r="Y5536" s="28">
        <v>45883</v>
      </c>
    </row>
    <row r="5537" s="9" customFormat="1" customHeight="1" spans="1:25">
      <c r="A5537" s="16" t="s">
        <v>403</v>
      </c>
      <c r="B5537" s="17" t="s">
        <v>7432</v>
      </c>
      <c r="C5537" s="17" t="s">
        <v>2833</v>
      </c>
      <c r="D5537" s="17" t="s">
        <v>6905</v>
      </c>
      <c r="E5537" s="18" t="s">
        <v>7433</v>
      </c>
      <c r="F5537" s="16" t="s">
        <v>7434</v>
      </c>
      <c r="G5537" s="16" t="s">
        <v>88</v>
      </c>
      <c r="H5537" s="19" t="s">
        <v>7435</v>
      </c>
      <c r="I5537" s="23" t="e">
        <f>VLOOKUP(H5537,'合同综合查询数据（3月返）'!$A:$A,1,FALSE)</f>
        <v>#N/A</v>
      </c>
      <c r="J5537" s="24" t="s">
        <v>3074</v>
      </c>
      <c r="K5537" s="16" t="s">
        <v>7436</v>
      </c>
      <c r="L5537" s="25"/>
      <c r="M5537" s="26" t="s">
        <v>7437</v>
      </c>
      <c r="N5537" s="28">
        <v>44012</v>
      </c>
      <c r="O5537" s="28" t="s">
        <v>457</v>
      </c>
      <c r="P5537" s="29">
        <v>5100</v>
      </c>
      <c r="Q5537" s="35">
        <v>-1</v>
      </c>
      <c r="R5537" s="36">
        <f t="shared" si="126"/>
        <v>-5100</v>
      </c>
      <c r="S5537" s="37">
        <v>202303</v>
      </c>
      <c r="T5537" s="38" t="s">
        <v>7445</v>
      </c>
      <c r="U5537" s="39"/>
      <c r="V5537" s="40"/>
      <c r="W5537" s="41"/>
      <c r="X5537" s="28">
        <v>43692</v>
      </c>
      <c r="Y5537" s="28">
        <v>45883</v>
      </c>
    </row>
    <row r="5538" s="9" customFormat="1" customHeight="1" spans="1:25">
      <c r="A5538" s="16" t="s">
        <v>403</v>
      </c>
      <c r="B5538" s="17" t="s">
        <v>7432</v>
      </c>
      <c r="C5538" s="17" t="s">
        <v>2833</v>
      </c>
      <c r="D5538" s="17" t="s">
        <v>6905</v>
      </c>
      <c r="E5538" s="18" t="s">
        <v>7433</v>
      </c>
      <c r="F5538" s="16" t="s">
        <v>7434</v>
      </c>
      <c r="G5538" s="16" t="s">
        <v>88</v>
      </c>
      <c r="H5538" s="19" t="s">
        <v>7435</v>
      </c>
      <c r="I5538" s="23" t="e">
        <f>VLOOKUP(H5538,'合同综合查询数据（3月返）'!$A:$A,1,FALSE)</f>
        <v>#N/A</v>
      </c>
      <c r="J5538" s="24" t="s">
        <v>3074</v>
      </c>
      <c r="K5538" s="16" t="s">
        <v>7436</v>
      </c>
      <c r="L5538" s="25"/>
      <c r="M5538" s="26" t="s">
        <v>7437</v>
      </c>
      <c r="N5538" s="28">
        <v>43908</v>
      </c>
      <c r="O5538" s="28" t="s">
        <v>457</v>
      </c>
      <c r="P5538" s="29">
        <v>5100</v>
      </c>
      <c r="Q5538" s="35">
        <v>1</v>
      </c>
      <c r="R5538" s="36">
        <f t="shared" si="126"/>
        <v>5100</v>
      </c>
      <c r="S5538" s="37">
        <v>202303</v>
      </c>
      <c r="T5538" s="38" t="s">
        <v>7446</v>
      </c>
      <c r="U5538" s="39"/>
      <c r="V5538" s="40"/>
      <c r="W5538" s="41"/>
      <c r="X5538" s="28">
        <v>43692</v>
      </c>
      <c r="Y5538" s="28">
        <v>45883</v>
      </c>
    </row>
    <row r="5539" s="9" customFormat="1" customHeight="1" spans="1:25">
      <c r="A5539" s="16" t="s">
        <v>403</v>
      </c>
      <c r="B5539" s="17" t="s">
        <v>7432</v>
      </c>
      <c r="C5539" s="17" t="s">
        <v>2833</v>
      </c>
      <c r="D5539" s="17" t="s">
        <v>6905</v>
      </c>
      <c r="E5539" s="18" t="s">
        <v>7433</v>
      </c>
      <c r="F5539" s="16" t="s">
        <v>7434</v>
      </c>
      <c r="G5539" s="16" t="s">
        <v>88</v>
      </c>
      <c r="H5539" s="19" t="s">
        <v>7435</v>
      </c>
      <c r="I5539" s="23" t="e">
        <f>VLOOKUP(H5539,'合同综合查询数据（3月返）'!$A:$A,1,FALSE)</f>
        <v>#N/A</v>
      </c>
      <c r="J5539" s="24" t="s">
        <v>3074</v>
      </c>
      <c r="K5539" s="16" t="s">
        <v>7436</v>
      </c>
      <c r="L5539" s="25"/>
      <c r="M5539" s="26" t="s">
        <v>7437</v>
      </c>
      <c r="N5539" s="28">
        <v>43915</v>
      </c>
      <c r="O5539" s="28" t="s">
        <v>457</v>
      </c>
      <c r="P5539" s="29">
        <v>5100</v>
      </c>
      <c r="Q5539" s="35">
        <v>7</v>
      </c>
      <c r="R5539" s="36">
        <f t="shared" si="126"/>
        <v>35700</v>
      </c>
      <c r="S5539" s="37">
        <v>202303</v>
      </c>
      <c r="T5539" s="38" t="s">
        <v>7447</v>
      </c>
      <c r="U5539" s="39"/>
      <c r="V5539" s="40"/>
      <c r="W5539" s="41"/>
      <c r="X5539" s="28">
        <v>43692</v>
      </c>
      <c r="Y5539" s="28">
        <v>45883</v>
      </c>
    </row>
    <row r="5540" s="9" customFormat="1" customHeight="1" spans="1:25">
      <c r="A5540" s="16" t="s">
        <v>403</v>
      </c>
      <c r="B5540" s="17" t="s">
        <v>7432</v>
      </c>
      <c r="C5540" s="17" t="s">
        <v>2833</v>
      </c>
      <c r="D5540" s="17" t="s">
        <v>6905</v>
      </c>
      <c r="E5540" s="18" t="s">
        <v>7433</v>
      </c>
      <c r="F5540" s="16" t="s">
        <v>7434</v>
      </c>
      <c r="G5540" s="16" t="s">
        <v>88</v>
      </c>
      <c r="H5540" s="19" t="s">
        <v>7435</v>
      </c>
      <c r="I5540" s="23" t="e">
        <f>VLOOKUP(H5540,'合同综合查询数据（3月返）'!$A:$A,1,FALSE)</f>
        <v>#N/A</v>
      </c>
      <c r="J5540" s="24" t="s">
        <v>3074</v>
      </c>
      <c r="K5540" s="16" t="s">
        <v>7436</v>
      </c>
      <c r="L5540" s="25"/>
      <c r="M5540" s="26" t="s">
        <v>7437</v>
      </c>
      <c r="N5540" s="28">
        <v>43917</v>
      </c>
      <c r="O5540" s="28" t="s">
        <v>457</v>
      </c>
      <c r="P5540" s="29">
        <v>5100</v>
      </c>
      <c r="Q5540" s="35">
        <v>6</v>
      </c>
      <c r="R5540" s="36">
        <f t="shared" si="126"/>
        <v>30600</v>
      </c>
      <c r="S5540" s="37">
        <v>202303</v>
      </c>
      <c r="T5540" s="38" t="s">
        <v>7448</v>
      </c>
      <c r="U5540" s="39"/>
      <c r="V5540" s="40"/>
      <c r="W5540" s="41"/>
      <c r="X5540" s="28">
        <v>43692</v>
      </c>
      <c r="Y5540" s="28">
        <v>45883</v>
      </c>
    </row>
    <row r="5541" s="9" customFormat="1" customHeight="1" spans="1:25">
      <c r="A5541" s="16" t="s">
        <v>403</v>
      </c>
      <c r="B5541" s="17" t="s">
        <v>7432</v>
      </c>
      <c r="C5541" s="17" t="s">
        <v>2833</v>
      </c>
      <c r="D5541" s="17" t="s">
        <v>6905</v>
      </c>
      <c r="E5541" s="18" t="s">
        <v>7433</v>
      </c>
      <c r="F5541" s="16" t="s">
        <v>7434</v>
      </c>
      <c r="G5541" s="16" t="s">
        <v>88</v>
      </c>
      <c r="H5541" s="19" t="s">
        <v>7435</v>
      </c>
      <c r="I5541" s="23" t="e">
        <f>VLOOKUP(H5541,'合同综合查询数据（3月返）'!$A:$A,1,FALSE)</f>
        <v>#N/A</v>
      </c>
      <c r="J5541" s="24" t="s">
        <v>3074</v>
      </c>
      <c r="K5541" s="16" t="s">
        <v>7436</v>
      </c>
      <c r="L5541" s="25"/>
      <c r="M5541" s="26" t="s">
        <v>7437</v>
      </c>
      <c r="N5541" s="28">
        <v>43918</v>
      </c>
      <c r="O5541" s="28" t="s">
        <v>457</v>
      </c>
      <c r="P5541" s="29">
        <v>5100</v>
      </c>
      <c r="Q5541" s="35">
        <v>4</v>
      </c>
      <c r="R5541" s="36">
        <f t="shared" si="126"/>
        <v>20400</v>
      </c>
      <c r="S5541" s="37">
        <v>202303</v>
      </c>
      <c r="T5541" s="38" t="s">
        <v>7449</v>
      </c>
      <c r="U5541" s="39"/>
      <c r="V5541" s="40"/>
      <c r="W5541" s="41"/>
      <c r="X5541" s="28">
        <v>43692</v>
      </c>
      <c r="Y5541" s="28">
        <v>45883</v>
      </c>
    </row>
    <row r="5542" s="9" customFormat="1" customHeight="1" spans="1:25">
      <c r="A5542" s="16" t="s">
        <v>403</v>
      </c>
      <c r="B5542" s="17" t="s">
        <v>7432</v>
      </c>
      <c r="C5542" s="17" t="s">
        <v>2833</v>
      </c>
      <c r="D5542" s="17" t="s">
        <v>6905</v>
      </c>
      <c r="E5542" s="18" t="s">
        <v>7433</v>
      </c>
      <c r="F5542" s="16" t="s">
        <v>7434</v>
      </c>
      <c r="G5542" s="16" t="s">
        <v>88</v>
      </c>
      <c r="H5542" s="19" t="s">
        <v>7435</v>
      </c>
      <c r="I5542" s="23" t="e">
        <f>VLOOKUP(H5542,'合同综合查询数据（3月返）'!$A:$A,1,FALSE)</f>
        <v>#N/A</v>
      </c>
      <c r="J5542" s="24" t="s">
        <v>3074</v>
      </c>
      <c r="K5542" s="16" t="s">
        <v>7436</v>
      </c>
      <c r="L5542" s="25"/>
      <c r="M5542" s="26" t="s">
        <v>7437</v>
      </c>
      <c r="N5542" s="28">
        <v>43923</v>
      </c>
      <c r="O5542" s="28" t="s">
        <v>457</v>
      </c>
      <c r="P5542" s="29">
        <v>5100</v>
      </c>
      <c r="Q5542" s="35">
        <v>15</v>
      </c>
      <c r="R5542" s="36">
        <f t="shared" si="126"/>
        <v>76500</v>
      </c>
      <c r="S5542" s="37">
        <v>202303</v>
      </c>
      <c r="T5542" s="38" t="s">
        <v>7450</v>
      </c>
      <c r="U5542" s="39"/>
      <c r="V5542" s="40"/>
      <c r="W5542" s="41"/>
      <c r="X5542" s="28">
        <v>43692</v>
      </c>
      <c r="Y5542" s="28">
        <v>45883</v>
      </c>
    </row>
    <row r="5543" s="9" customFormat="1" customHeight="1" spans="1:25">
      <c r="A5543" s="16" t="s">
        <v>403</v>
      </c>
      <c r="B5543" s="17" t="s">
        <v>7432</v>
      </c>
      <c r="C5543" s="17" t="s">
        <v>2833</v>
      </c>
      <c r="D5543" s="17" t="s">
        <v>6905</v>
      </c>
      <c r="E5543" s="18" t="s">
        <v>7433</v>
      </c>
      <c r="F5543" s="16" t="s">
        <v>7434</v>
      </c>
      <c r="G5543" s="16" t="s">
        <v>88</v>
      </c>
      <c r="H5543" s="19" t="s">
        <v>7435</v>
      </c>
      <c r="I5543" s="23" t="e">
        <f>VLOOKUP(H5543,'合同综合查询数据（3月返）'!$A:$A,1,FALSE)</f>
        <v>#N/A</v>
      </c>
      <c r="J5543" s="24" t="s">
        <v>3074</v>
      </c>
      <c r="K5543" s="16" t="s">
        <v>7436</v>
      </c>
      <c r="L5543" s="25"/>
      <c r="M5543" s="26" t="s">
        <v>7437</v>
      </c>
      <c r="N5543" s="28">
        <v>43937</v>
      </c>
      <c r="O5543" s="28" t="s">
        <v>457</v>
      </c>
      <c r="P5543" s="29">
        <v>5100</v>
      </c>
      <c r="Q5543" s="35">
        <v>7</v>
      </c>
      <c r="R5543" s="36">
        <f t="shared" si="126"/>
        <v>35700</v>
      </c>
      <c r="S5543" s="37">
        <v>202303</v>
      </c>
      <c r="T5543" s="38" t="s">
        <v>7451</v>
      </c>
      <c r="U5543" s="39"/>
      <c r="V5543" s="40"/>
      <c r="W5543" s="41"/>
      <c r="X5543" s="28">
        <v>43692</v>
      </c>
      <c r="Y5543" s="28">
        <v>45883</v>
      </c>
    </row>
    <row r="5544" s="9" customFormat="1" customHeight="1" spans="1:25">
      <c r="A5544" s="16" t="s">
        <v>403</v>
      </c>
      <c r="B5544" s="17" t="s">
        <v>7432</v>
      </c>
      <c r="C5544" s="17" t="s">
        <v>2833</v>
      </c>
      <c r="D5544" s="17" t="s">
        <v>6905</v>
      </c>
      <c r="E5544" s="18" t="s">
        <v>7433</v>
      </c>
      <c r="F5544" s="16" t="s">
        <v>7434</v>
      </c>
      <c r="G5544" s="16" t="s">
        <v>88</v>
      </c>
      <c r="H5544" s="19" t="s">
        <v>7435</v>
      </c>
      <c r="I5544" s="23" t="e">
        <f>VLOOKUP(H5544,'合同综合查询数据（3月返）'!$A:$A,1,FALSE)</f>
        <v>#N/A</v>
      </c>
      <c r="J5544" s="24" t="s">
        <v>3074</v>
      </c>
      <c r="K5544" s="16" t="s">
        <v>7436</v>
      </c>
      <c r="L5544" s="25"/>
      <c r="M5544" s="26" t="s">
        <v>7437</v>
      </c>
      <c r="N5544" s="28">
        <v>43961</v>
      </c>
      <c r="O5544" s="28" t="s">
        <v>457</v>
      </c>
      <c r="P5544" s="29">
        <v>5100</v>
      </c>
      <c r="Q5544" s="35">
        <v>3</v>
      </c>
      <c r="R5544" s="36">
        <f t="shared" si="126"/>
        <v>15300</v>
      </c>
      <c r="S5544" s="37">
        <v>202303</v>
      </c>
      <c r="T5544" s="38" t="s">
        <v>7452</v>
      </c>
      <c r="U5544" s="39"/>
      <c r="V5544" s="40"/>
      <c r="W5544" s="41"/>
      <c r="X5544" s="28">
        <v>43692</v>
      </c>
      <c r="Y5544" s="28">
        <v>45883</v>
      </c>
    </row>
    <row r="5545" s="9" customFormat="1" customHeight="1" spans="1:25">
      <c r="A5545" s="16" t="s">
        <v>403</v>
      </c>
      <c r="B5545" s="17" t="s">
        <v>7432</v>
      </c>
      <c r="C5545" s="17" t="s">
        <v>2833</v>
      </c>
      <c r="D5545" s="17" t="s">
        <v>6905</v>
      </c>
      <c r="E5545" s="18" t="s">
        <v>7433</v>
      </c>
      <c r="F5545" s="16" t="s">
        <v>7434</v>
      </c>
      <c r="G5545" s="16" t="s">
        <v>88</v>
      </c>
      <c r="H5545" s="19" t="s">
        <v>7435</v>
      </c>
      <c r="I5545" s="23" t="e">
        <f>VLOOKUP(H5545,'合同综合查询数据（3月返）'!$A:$A,1,FALSE)</f>
        <v>#N/A</v>
      </c>
      <c r="J5545" s="24" t="s">
        <v>3074</v>
      </c>
      <c r="K5545" s="16" t="s">
        <v>7436</v>
      </c>
      <c r="L5545" s="25"/>
      <c r="M5545" s="26" t="s">
        <v>7437</v>
      </c>
      <c r="N5545" s="28">
        <v>43964</v>
      </c>
      <c r="O5545" s="28" t="s">
        <v>457</v>
      </c>
      <c r="P5545" s="29">
        <v>5100</v>
      </c>
      <c r="Q5545" s="35">
        <v>1</v>
      </c>
      <c r="R5545" s="36">
        <f t="shared" si="126"/>
        <v>5100</v>
      </c>
      <c r="S5545" s="37">
        <v>202303</v>
      </c>
      <c r="T5545" s="38" t="s">
        <v>7453</v>
      </c>
      <c r="U5545" s="39"/>
      <c r="V5545" s="40"/>
      <c r="W5545" s="41"/>
      <c r="X5545" s="28">
        <v>43692</v>
      </c>
      <c r="Y5545" s="28">
        <v>45883</v>
      </c>
    </row>
    <row r="5546" s="9" customFormat="1" customHeight="1" spans="1:25">
      <c r="A5546" s="16" t="s">
        <v>403</v>
      </c>
      <c r="B5546" s="17" t="s">
        <v>7432</v>
      </c>
      <c r="C5546" s="17" t="s">
        <v>2833</v>
      </c>
      <c r="D5546" s="17" t="s">
        <v>6905</v>
      </c>
      <c r="E5546" s="18" t="s">
        <v>7433</v>
      </c>
      <c r="F5546" s="16" t="s">
        <v>7434</v>
      </c>
      <c r="G5546" s="16" t="s">
        <v>88</v>
      </c>
      <c r="H5546" s="19" t="s">
        <v>7435</v>
      </c>
      <c r="I5546" s="23" t="e">
        <f>VLOOKUP(H5546,'合同综合查询数据（3月返）'!$A:$A,1,FALSE)</f>
        <v>#N/A</v>
      </c>
      <c r="J5546" s="24" t="s">
        <v>3074</v>
      </c>
      <c r="K5546" s="16" t="s">
        <v>7436</v>
      </c>
      <c r="L5546" s="25"/>
      <c r="M5546" s="26" t="s">
        <v>7437</v>
      </c>
      <c r="N5546" s="28">
        <v>43983</v>
      </c>
      <c r="O5546" s="28" t="s">
        <v>457</v>
      </c>
      <c r="P5546" s="29">
        <v>5100</v>
      </c>
      <c r="Q5546" s="35">
        <v>12</v>
      </c>
      <c r="R5546" s="36">
        <f t="shared" si="126"/>
        <v>61200</v>
      </c>
      <c r="S5546" s="37">
        <v>202303</v>
      </c>
      <c r="T5546" s="38" t="s">
        <v>7454</v>
      </c>
      <c r="U5546" s="39"/>
      <c r="V5546" s="40"/>
      <c r="W5546" s="41"/>
      <c r="X5546" s="28">
        <v>43692</v>
      </c>
      <c r="Y5546" s="28">
        <v>45883</v>
      </c>
    </row>
    <row r="5547" s="9" customFormat="1" customHeight="1" spans="1:25">
      <c r="A5547" s="16" t="s">
        <v>403</v>
      </c>
      <c r="B5547" s="17" t="s">
        <v>7432</v>
      </c>
      <c r="C5547" s="17" t="s">
        <v>2833</v>
      </c>
      <c r="D5547" s="17" t="s">
        <v>6905</v>
      </c>
      <c r="E5547" s="18" t="s">
        <v>7433</v>
      </c>
      <c r="F5547" s="16" t="s">
        <v>7434</v>
      </c>
      <c r="G5547" s="16" t="s">
        <v>88</v>
      </c>
      <c r="H5547" s="19" t="s">
        <v>7435</v>
      </c>
      <c r="I5547" s="23" t="e">
        <f>VLOOKUP(H5547,'合同综合查询数据（3月返）'!$A:$A,1,FALSE)</f>
        <v>#N/A</v>
      </c>
      <c r="J5547" s="24" t="s">
        <v>3074</v>
      </c>
      <c r="K5547" s="16" t="s">
        <v>7436</v>
      </c>
      <c r="L5547" s="25"/>
      <c r="M5547" s="26" t="s">
        <v>7437</v>
      </c>
      <c r="N5547" s="28">
        <v>43824</v>
      </c>
      <c r="O5547" s="28" t="s">
        <v>540</v>
      </c>
      <c r="P5547" s="29">
        <v>5100</v>
      </c>
      <c r="Q5547" s="35">
        <v>1</v>
      </c>
      <c r="R5547" s="36">
        <f t="shared" si="126"/>
        <v>5100</v>
      </c>
      <c r="S5547" s="37">
        <v>202303</v>
      </c>
      <c r="T5547" s="38" t="s">
        <v>7455</v>
      </c>
      <c r="U5547" s="39"/>
      <c r="V5547" s="40"/>
      <c r="W5547" s="41"/>
      <c r="X5547" s="28">
        <v>43692</v>
      </c>
      <c r="Y5547" s="28">
        <v>45883</v>
      </c>
    </row>
    <row r="5548" s="9" customFormat="1" customHeight="1" spans="1:25">
      <c r="A5548" s="16" t="s">
        <v>403</v>
      </c>
      <c r="B5548" s="17" t="s">
        <v>7432</v>
      </c>
      <c r="C5548" s="17" t="s">
        <v>2833</v>
      </c>
      <c r="D5548" s="17" t="s">
        <v>6905</v>
      </c>
      <c r="E5548" s="18" t="s">
        <v>7433</v>
      </c>
      <c r="F5548" s="16" t="s">
        <v>7434</v>
      </c>
      <c r="G5548" s="16" t="s">
        <v>88</v>
      </c>
      <c r="H5548" s="19" t="s">
        <v>7435</v>
      </c>
      <c r="I5548" s="23" t="e">
        <f>VLOOKUP(H5548,'合同综合查询数据（3月返）'!$A:$A,1,FALSE)</f>
        <v>#N/A</v>
      </c>
      <c r="J5548" s="24" t="s">
        <v>3074</v>
      </c>
      <c r="K5548" s="16" t="s">
        <v>7436</v>
      </c>
      <c r="L5548" s="25"/>
      <c r="M5548" s="26" t="s">
        <v>7437</v>
      </c>
      <c r="N5548" s="28">
        <v>43831</v>
      </c>
      <c r="O5548" s="28" t="s">
        <v>545</v>
      </c>
      <c r="P5548" s="29">
        <v>3500</v>
      </c>
      <c r="Q5548" s="35">
        <v>15</v>
      </c>
      <c r="R5548" s="36">
        <f t="shared" si="126"/>
        <v>52500</v>
      </c>
      <c r="S5548" s="37">
        <v>202303</v>
      </c>
      <c r="T5548" s="38" t="s">
        <v>7456</v>
      </c>
      <c r="U5548" s="39"/>
      <c r="V5548" s="40"/>
      <c r="W5548" s="41"/>
      <c r="X5548" s="28">
        <v>43692</v>
      </c>
      <c r="Y5548" s="28">
        <v>45883</v>
      </c>
    </row>
    <row r="5549" s="9" customFormat="1" customHeight="1" spans="1:25">
      <c r="A5549" s="16" t="s">
        <v>403</v>
      </c>
      <c r="B5549" s="17" t="s">
        <v>7432</v>
      </c>
      <c r="C5549" s="17" t="s">
        <v>2833</v>
      </c>
      <c r="D5549" s="17" t="s">
        <v>6905</v>
      </c>
      <c r="E5549" s="18" t="s">
        <v>7433</v>
      </c>
      <c r="F5549" s="16" t="s">
        <v>7434</v>
      </c>
      <c r="G5549" s="16" t="s">
        <v>88</v>
      </c>
      <c r="H5549" s="19" t="s">
        <v>7435</v>
      </c>
      <c r="I5549" s="23" t="e">
        <f>VLOOKUP(H5549,'合同综合查询数据（3月返）'!$A:$A,1,FALSE)</f>
        <v>#N/A</v>
      </c>
      <c r="J5549" s="24" t="s">
        <v>3074</v>
      </c>
      <c r="K5549" s="16" t="s">
        <v>7436</v>
      </c>
      <c r="L5549" s="25"/>
      <c r="M5549" s="26" t="s">
        <v>7437</v>
      </c>
      <c r="N5549" s="28">
        <v>44012</v>
      </c>
      <c r="O5549" s="28" t="s">
        <v>511</v>
      </c>
      <c r="P5549" s="29">
        <v>5100</v>
      </c>
      <c r="Q5549" s="35">
        <v>2</v>
      </c>
      <c r="R5549" s="36">
        <f t="shared" si="126"/>
        <v>10200</v>
      </c>
      <c r="S5549" s="37">
        <v>202303</v>
      </c>
      <c r="T5549" s="38" t="s">
        <v>7457</v>
      </c>
      <c r="U5549" s="39"/>
      <c r="V5549" s="40"/>
      <c r="W5549" s="41"/>
      <c r="X5549" s="28">
        <v>43692</v>
      </c>
      <c r="Y5549" s="28">
        <v>45883</v>
      </c>
    </row>
    <row r="5550" s="9" customFormat="1" customHeight="1" spans="1:25">
      <c r="A5550" s="16" t="s">
        <v>403</v>
      </c>
      <c r="B5550" s="17" t="s">
        <v>7432</v>
      </c>
      <c r="C5550" s="17" t="s">
        <v>2833</v>
      </c>
      <c r="D5550" s="17" t="s">
        <v>6905</v>
      </c>
      <c r="E5550" s="18" t="s">
        <v>7433</v>
      </c>
      <c r="F5550" s="16" t="s">
        <v>7434</v>
      </c>
      <c r="G5550" s="16" t="s">
        <v>88</v>
      </c>
      <c r="H5550" s="19" t="s">
        <v>7435</v>
      </c>
      <c r="I5550" s="23" t="e">
        <f>VLOOKUP(H5550,'合同综合查询数据（3月返）'!$A:$A,1,FALSE)</f>
        <v>#N/A</v>
      </c>
      <c r="J5550" s="24" t="s">
        <v>3074</v>
      </c>
      <c r="K5550" s="16" t="s">
        <v>7436</v>
      </c>
      <c r="L5550" s="25"/>
      <c r="M5550" s="26" t="s">
        <v>7437</v>
      </c>
      <c r="N5550" s="28">
        <v>44012</v>
      </c>
      <c r="O5550" s="28" t="s">
        <v>457</v>
      </c>
      <c r="P5550" s="29">
        <v>5100</v>
      </c>
      <c r="Q5550" s="35">
        <v>16</v>
      </c>
      <c r="R5550" s="36">
        <f t="shared" si="126"/>
        <v>81600</v>
      </c>
      <c r="S5550" s="37">
        <v>202303</v>
      </c>
      <c r="T5550" s="38" t="s">
        <v>7458</v>
      </c>
      <c r="U5550" s="39"/>
      <c r="V5550" s="40"/>
      <c r="W5550" s="41"/>
      <c r="X5550" s="28">
        <v>43692</v>
      </c>
      <c r="Y5550" s="28">
        <v>45883</v>
      </c>
    </row>
    <row r="5551" s="9" customFormat="1" customHeight="1" spans="1:25">
      <c r="A5551" s="16" t="s">
        <v>403</v>
      </c>
      <c r="B5551" s="17" t="s">
        <v>7432</v>
      </c>
      <c r="C5551" s="17" t="s">
        <v>2833</v>
      </c>
      <c r="D5551" s="17" t="s">
        <v>6905</v>
      </c>
      <c r="E5551" s="18" t="s">
        <v>7433</v>
      </c>
      <c r="F5551" s="16" t="s">
        <v>7434</v>
      </c>
      <c r="G5551" s="16" t="s">
        <v>88</v>
      </c>
      <c r="H5551" s="19" t="s">
        <v>7435</v>
      </c>
      <c r="I5551" s="23" t="e">
        <f>VLOOKUP(H5551,'合同综合查询数据（3月返）'!$A:$A,1,FALSE)</f>
        <v>#N/A</v>
      </c>
      <c r="J5551" s="24" t="s">
        <v>3074</v>
      </c>
      <c r="K5551" s="16" t="s">
        <v>7436</v>
      </c>
      <c r="L5551" s="25"/>
      <c r="M5551" s="26" t="s">
        <v>7437</v>
      </c>
      <c r="N5551" s="28">
        <v>44018</v>
      </c>
      <c r="O5551" s="28" t="s">
        <v>511</v>
      </c>
      <c r="P5551" s="29">
        <v>5100</v>
      </c>
      <c r="Q5551" s="35">
        <v>1</v>
      </c>
      <c r="R5551" s="36">
        <f t="shared" si="126"/>
        <v>5100</v>
      </c>
      <c r="S5551" s="37">
        <v>202303</v>
      </c>
      <c r="T5551" s="38" t="s">
        <v>7459</v>
      </c>
      <c r="U5551" s="39"/>
      <c r="V5551" s="40"/>
      <c r="W5551" s="41"/>
      <c r="X5551" s="28">
        <v>43692</v>
      </c>
      <c r="Y5551" s="28">
        <v>45883</v>
      </c>
    </row>
    <row r="5552" s="9" customFormat="1" customHeight="1" spans="1:25">
      <c r="A5552" s="16" t="s">
        <v>403</v>
      </c>
      <c r="B5552" s="17" t="s">
        <v>7432</v>
      </c>
      <c r="C5552" s="17" t="s">
        <v>2833</v>
      </c>
      <c r="D5552" s="17" t="s">
        <v>6905</v>
      </c>
      <c r="E5552" s="18" t="s">
        <v>7433</v>
      </c>
      <c r="F5552" s="16" t="s">
        <v>7434</v>
      </c>
      <c r="G5552" s="16" t="s">
        <v>88</v>
      </c>
      <c r="H5552" s="19" t="s">
        <v>7435</v>
      </c>
      <c r="I5552" s="23" t="e">
        <f>VLOOKUP(H5552,'合同综合查询数据（3月返）'!$A:$A,1,FALSE)</f>
        <v>#N/A</v>
      </c>
      <c r="J5552" s="24" t="s">
        <v>3074</v>
      </c>
      <c r="K5552" s="16" t="s">
        <v>7436</v>
      </c>
      <c r="L5552" s="25"/>
      <c r="M5552" s="26" t="s">
        <v>7437</v>
      </c>
      <c r="N5552" s="28">
        <v>44019</v>
      </c>
      <c r="O5552" s="28" t="s">
        <v>457</v>
      </c>
      <c r="P5552" s="29">
        <v>5100</v>
      </c>
      <c r="Q5552" s="35">
        <v>1</v>
      </c>
      <c r="R5552" s="36">
        <f t="shared" si="126"/>
        <v>5100</v>
      </c>
      <c r="S5552" s="37">
        <v>202303</v>
      </c>
      <c r="T5552" s="38" t="s">
        <v>7460</v>
      </c>
      <c r="U5552" s="39"/>
      <c r="V5552" s="40"/>
      <c r="W5552" s="41"/>
      <c r="X5552" s="28">
        <v>43692</v>
      </c>
      <c r="Y5552" s="28">
        <v>45883</v>
      </c>
    </row>
    <row r="5553" s="9" customFormat="1" customHeight="1" spans="1:25">
      <c r="A5553" s="16" t="s">
        <v>403</v>
      </c>
      <c r="B5553" s="17" t="s">
        <v>7432</v>
      </c>
      <c r="C5553" s="17" t="s">
        <v>2833</v>
      </c>
      <c r="D5553" s="17" t="s">
        <v>6905</v>
      </c>
      <c r="E5553" s="18" t="s">
        <v>7433</v>
      </c>
      <c r="F5553" s="16" t="s">
        <v>7434</v>
      </c>
      <c r="G5553" s="16" t="s">
        <v>88</v>
      </c>
      <c r="H5553" s="19" t="s">
        <v>7435</v>
      </c>
      <c r="I5553" s="23" t="e">
        <f>VLOOKUP(H5553,'合同综合查询数据（3月返）'!$A:$A,1,FALSE)</f>
        <v>#N/A</v>
      </c>
      <c r="J5553" s="24" t="s">
        <v>3074</v>
      </c>
      <c r="K5553" s="16" t="s">
        <v>7436</v>
      </c>
      <c r="L5553" s="25"/>
      <c r="M5553" s="26" t="s">
        <v>7437</v>
      </c>
      <c r="N5553" s="28">
        <v>44029</v>
      </c>
      <c r="O5553" s="28" t="s">
        <v>457</v>
      </c>
      <c r="P5553" s="29">
        <v>5100</v>
      </c>
      <c r="Q5553" s="35">
        <v>13</v>
      </c>
      <c r="R5553" s="36">
        <f t="shared" si="126"/>
        <v>66300</v>
      </c>
      <c r="S5553" s="37">
        <v>202303</v>
      </c>
      <c r="T5553" s="38" t="s">
        <v>7461</v>
      </c>
      <c r="U5553" s="39"/>
      <c r="V5553" s="40"/>
      <c r="W5553" s="41"/>
      <c r="X5553" s="28">
        <v>43692</v>
      </c>
      <c r="Y5553" s="28">
        <v>45883</v>
      </c>
    </row>
    <row r="5554" s="9" customFormat="1" customHeight="1" spans="1:25">
      <c r="A5554" s="16" t="s">
        <v>403</v>
      </c>
      <c r="B5554" s="17" t="s">
        <v>7432</v>
      </c>
      <c r="C5554" s="17" t="s">
        <v>2833</v>
      </c>
      <c r="D5554" s="17" t="s">
        <v>6905</v>
      </c>
      <c r="E5554" s="18" t="s">
        <v>7433</v>
      </c>
      <c r="F5554" s="16" t="s">
        <v>7434</v>
      </c>
      <c r="G5554" s="16" t="s">
        <v>88</v>
      </c>
      <c r="H5554" s="19" t="s">
        <v>7435</v>
      </c>
      <c r="I5554" s="23" t="e">
        <f>VLOOKUP(H5554,'合同综合查询数据（3月返）'!$A:$A,1,FALSE)</f>
        <v>#N/A</v>
      </c>
      <c r="J5554" s="24" t="s">
        <v>3074</v>
      </c>
      <c r="K5554" s="16" t="s">
        <v>7436</v>
      </c>
      <c r="L5554" s="25"/>
      <c r="M5554" s="26" t="s">
        <v>7437</v>
      </c>
      <c r="N5554" s="28">
        <v>44035</v>
      </c>
      <c r="O5554" s="28" t="s">
        <v>457</v>
      </c>
      <c r="P5554" s="29">
        <v>5100</v>
      </c>
      <c r="Q5554" s="35">
        <v>2</v>
      </c>
      <c r="R5554" s="36">
        <f t="shared" si="126"/>
        <v>10200</v>
      </c>
      <c r="S5554" s="37">
        <v>202303</v>
      </c>
      <c r="T5554" s="38" t="s">
        <v>7462</v>
      </c>
      <c r="U5554" s="39"/>
      <c r="V5554" s="40"/>
      <c r="W5554" s="41"/>
      <c r="X5554" s="28">
        <v>43692</v>
      </c>
      <c r="Y5554" s="28">
        <v>45883</v>
      </c>
    </row>
    <row r="5555" s="9" customFormat="1" customHeight="1" spans="1:25">
      <c r="A5555" s="16" t="s">
        <v>403</v>
      </c>
      <c r="B5555" s="17" t="s">
        <v>7432</v>
      </c>
      <c r="C5555" s="17" t="s">
        <v>2833</v>
      </c>
      <c r="D5555" s="17" t="s">
        <v>6905</v>
      </c>
      <c r="E5555" s="18" t="s">
        <v>7433</v>
      </c>
      <c r="F5555" s="16" t="s">
        <v>7434</v>
      </c>
      <c r="G5555" s="16" t="s">
        <v>88</v>
      </c>
      <c r="H5555" s="19" t="s">
        <v>7435</v>
      </c>
      <c r="I5555" s="23" t="e">
        <f>VLOOKUP(H5555,'合同综合查询数据（3月返）'!$A:$A,1,FALSE)</f>
        <v>#N/A</v>
      </c>
      <c r="J5555" s="24" t="s">
        <v>3074</v>
      </c>
      <c r="K5555" s="16" t="s">
        <v>7436</v>
      </c>
      <c r="L5555" s="25"/>
      <c r="M5555" s="26" t="s">
        <v>7437</v>
      </c>
      <c r="N5555" s="28">
        <v>44035</v>
      </c>
      <c r="O5555" s="28" t="s">
        <v>457</v>
      </c>
      <c r="P5555" s="29">
        <v>5100</v>
      </c>
      <c r="Q5555" s="35">
        <v>-2</v>
      </c>
      <c r="R5555" s="36">
        <f t="shared" si="126"/>
        <v>-10200</v>
      </c>
      <c r="S5555" s="37">
        <v>202303</v>
      </c>
      <c r="T5555" s="38" t="s">
        <v>7463</v>
      </c>
      <c r="U5555" s="39"/>
      <c r="V5555" s="40"/>
      <c r="W5555" s="41"/>
      <c r="X5555" s="28">
        <v>43692</v>
      </c>
      <c r="Y5555" s="28">
        <v>45883</v>
      </c>
    </row>
    <row r="5556" s="9" customFormat="1" customHeight="1" spans="1:25">
      <c r="A5556" s="16" t="s">
        <v>403</v>
      </c>
      <c r="B5556" s="17" t="s">
        <v>7432</v>
      </c>
      <c r="C5556" s="17" t="s">
        <v>2833</v>
      </c>
      <c r="D5556" s="17" t="s">
        <v>6905</v>
      </c>
      <c r="E5556" s="18" t="s">
        <v>7433</v>
      </c>
      <c r="F5556" s="16" t="s">
        <v>7434</v>
      </c>
      <c r="G5556" s="16" t="s">
        <v>88</v>
      </c>
      <c r="H5556" s="19" t="s">
        <v>7435</v>
      </c>
      <c r="I5556" s="23" t="e">
        <f>VLOOKUP(H5556,'合同综合查询数据（3月返）'!$A:$A,1,FALSE)</f>
        <v>#N/A</v>
      </c>
      <c r="J5556" s="24" t="s">
        <v>3074</v>
      </c>
      <c r="K5556" s="16" t="s">
        <v>7436</v>
      </c>
      <c r="L5556" s="25"/>
      <c r="M5556" s="26" t="s">
        <v>7437</v>
      </c>
      <c r="N5556" s="28">
        <v>44012</v>
      </c>
      <c r="O5556" s="28" t="s">
        <v>511</v>
      </c>
      <c r="P5556" s="29">
        <v>5100</v>
      </c>
      <c r="Q5556" s="35">
        <v>2</v>
      </c>
      <c r="R5556" s="36">
        <f t="shared" si="126"/>
        <v>10200</v>
      </c>
      <c r="S5556" s="37">
        <v>202303</v>
      </c>
      <c r="T5556" s="38" t="s">
        <v>7464</v>
      </c>
      <c r="U5556" s="39"/>
      <c r="V5556" s="40"/>
      <c r="W5556" s="41"/>
      <c r="X5556" s="28">
        <v>43692</v>
      </c>
      <c r="Y5556" s="28">
        <v>45883</v>
      </c>
    </row>
    <row r="5557" s="9" customFormat="1" customHeight="1" spans="1:25">
      <c r="A5557" s="16" t="s">
        <v>403</v>
      </c>
      <c r="B5557" s="17" t="s">
        <v>7432</v>
      </c>
      <c r="C5557" s="17" t="s">
        <v>2833</v>
      </c>
      <c r="D5557" s="17" t="s">
        <v>6905</v>
      </c>
      <c r="E5557" s="18" t="s">
        <v>7433</v>
      </c>
      <c r="F5557" s="16" t="s">
        <v>7434</v>
      </c>
      <c r="G5557" s="16" t="s">
        <v>88</v>
      </c>
      <c r="H5557" s="19" t="s">
        <v>7435</v>
      </c>
      <c r="I5557" s="23" t="e">
        <f>VLOOKUP(H5557,'合同综合查询数据（3月返）'!$A:$A,1,FALSE)</f>
        <v>#N/A</v>
      </c>
      <c r="J5557" s="24" t="s">
        <v>3074</v>
      </c>
      <c r="K5557" s="16" t="s">
        <v>7436</v>
      </c>
      <c r="L5557" s="25"/>
      <c r="M5557" s="26" t="s">
        <v>7437</v>
      </c>
      <c r="N5557" s="28">
        <v>44064</v>
      </c>
      <c r="O5557" s="28" t="s">
        <v>457</v>
      </c>
      <c r="P5557" s="29">
        <v>5100</v>
      </c>
      <c r="Q5557" s="35">
        <v>-1</v>
      </c>
      <c r="R5557" s="36">
        <f t="shared" si="126"/>
        <v>-5100</v>
      </c>
      <c r="S5557" s="37">
        <v>202303</v>
      </c>
      <c r="T5557" s="38" t="s">
        <v>7465</v>
      </c>
      <c r="U5557" s="39"/>
      <c r="V5557" s="40"/>
      <c r="W5557" s="41"/>
      <c r="X5557" s="28">
        <v>43692</v>
      </c>
      <c r="Y5557" s="28">
        <v>45883</v>
      </c>
    </row>
    <row r="5558" s="9" customFormat="1" customHeight="1" spans="1:25">
      <c r="A5558" s="16" t="s">
        <v>403</v>
      </c>
      <c r="B5558" s="17" t="s">
        <v>7432</v>
      </c>
      <c r="C5558" s="17" t="s">
        <v>2833</v>
      </c>
      <c r="D5558" s="17" t="s">
        <v>6905</v>
      </c>
      <c r="E5558" s="18" t="s">
        <v>7433</v>
      </c>
      <c r="F5558" s="16" t="s">
        <v>7434</v>
      </c>
      <c r="G5558" s="16" t="s">
        <v>88</v>
      </c>
      <c r="H5558" s="19" t="s">
        <v>7435</v>
      </c>
      <c r="I5558" s="23" t="e">
        <f>VLOOKUP(H5558,'合同综合查询数据（3月返）'!$A:$A,1,FALSE)</f>
        <v>#N/A</v>
      </c>
      <c r="J5558" s="24" t="s">
        <v>3074</v>
      </c>
      <c r="K5558" s="16" t="s">
        <v>7436</v>
      </c>
      <c r="L5558" s="25"/>
      <c r="M5558" s="26" t="s">
        <v>7437</v>
      </c>
      <c r="N5558" s="28">
        <v>44064</v>
      </c>
      <c r="O5558" s="28" t="s">
        <v>470</v>
      </c>
      <c r="P5558" s="29">
        <v>5100</v>
      </c>
      <c r="Q5558" s="35">
        <v>-2</v>
      </c>
      <c r="R5558" s="36">
        <f t="shared" si="126"/>
        <v>-10200</v>
      </c>
      <c r="S5558" s="37">
        <v>202303</v>
      </c>
      <c r="T5558" s="38" t="s">
        <v>7466</v>
      </c>
      <c r="U5558" s="39"/>
      <c r="V5558" s="40"/>
      <c r="W5558" s="41"/>
      <c r="X5558" s="28">
        <v>43692</v>
      </c>
      <c r="Y5558" s="28">
        <v>45883</v>
      </c>
    </row>
    <row r="5559" s="9" customFormat="1" customHeight="1" spans="1:25">
      <c r="A5559" s="16" t="s">
        <v>403</v>
      </c>
      <c r="B5559" s="17" t="s">
        <v>7432</v>
      </c>
      <c r="C5559" s="17" t="s">
        <v>2833</v>
      </c>
      <c r="D5559" s="17" t="s">
        <v>6905</v>
      </c>
      <c r="E5559" s="18" t="s">
        <v>7433</v>
      </c>
      <c r="F5559" s="16" t="s">
        <v>7434</v>
      </c>
      <c r="G5559" s="16" t="s">
        <v>88</v>
      </c>
      <c r="H5559" s="19" t="s">
        <v>7435</v>
      </c>
      <c r="I5559" s="23" t="e">
        <f>VLOOKUP(H5559,'合同综合查询数据（3月返）'!$A:$A,1,FALSE)</f>
        <v>#N/A</v>
      </c>
      <c r="J5559" s="24" t="s">
        <v>3074</v>
      </c>
      <c r="K5559" s="16" t="s">
        <v>7436</v>
      </c>
      <c r="L5559" s="25"/>
      <c r="M5559" s="26" t="s">
        <v>7437</v>
      </c>
      <c r="N5559" s="28">
        <v>44076</v>
      </c>
      <c r="O5559" s="28" t="s">
        <v>457</v>
      </c>
      <c r="P5559" s="29">
        <v>5100</v>
      </c>
      <c r="Q5559" s="35">
        <v>6</v>
      </c>
      <c r="R5559" s="36">
        <f t="shared" si="126"/>
        <v>30600</v>
      </c>
      <c r="S5559" s="37">
        <v>202303</v>
      </c>
      <c r="T5559" s="38" t="s">
        <v>7467</v>
      </c>
      <c r="U5559" s="39"/>
      <c r="V5559" s="40"/>
      <c r="W5559" s="41"/>
      <c r="X5559" s="28">
        <v>43692</v>
      </c>
      <c r="Y5559" s="28">
        <v>45883</v>
      </c>
    </row>
    <row r="5560" s="9" customFormat="1" customHeight="1" spans="1:25">
      <c r="A5560" s="16" t="s">
        <v>403</v>
      </c>
      <c r="B5560" s="17" t="s">
        <v>7432</v>
      </c>
      <c r="C5560" s="17" t="s">
        <v>2833</v>
      </c>
      <c r="D5560" s="17" t="s">
        <v>6905</v>
      </c>
      <c r="E5560" s="18" t="s">
        <v>7433</v>
      </c>
      <c r="F5560" s="16" t="s">
        <v>7434</v>
      </c>
      <c r="G5560" s="16" t="s">
        <v>88</v>
      </c>
      <c r="H5560" s="19" t="s">
        <v>7435</v>
      </c>
      <c r="I5560" s="23" t="e">
        <f>VLOOKUP(H5560,'合同综合查询数据（3月返）'!$A:$A,1,FALSE)</f>
        <v>#N/A</v>
      </c>
      <c r="J5560" s="24" t="s">
        <v>2256</v>
      </c>
      <c r="K5560" s="16" t="s">
        <v>7436</v>
      </c>
      <c r="L5560" s="25"/>
      <c r="M5560" s="26" t="s">
        <v>7468</v>
      </c>
      <c r="N5560" s="28">
        <v>44077</v>
      </c>
      <c r="O5560" s="28" t="s">
        <v>457</v>
      </c>
      <c r="P5560" s="29">
        <v>5100</v>
      </c>
      <c r="Q5560" s="35">
        <v>17</v>
      </c>
      <c r="R5560" s="36">
        <f t="shared" si="126"/>
        <v>86700</v>
      </c>
      <c r="S5560" s="37">
        <v>202303</v>
      </c>
      <c r="T5560" s="38" t="s">
        <v>7469</v>
      </c>
      <c r="U5560" s="39"/>
      <c r="V5560" s="40"/>
      <c r="W5560" s="41"/>
      <c r="X5560" s="28">
        <v>43692</v>
      </c>
      <c r="Y5560" s="28">
        <v>45883</v>
      </c>
    </row>
    <row r="5561" s="9" customFormat="1" customHeight="1" spans="1:25">
      <c r="A5561" s="16" t="s">
        <v>403</v>
      </c>
      <c r="B5561" s="17" t="s">
        <v>7432</v>
      </c>
      <c r="C5561" s="17" t="s">
        <v>2833</v>
      </c>
      <c r="D5561" s="17" t="s">
        <v>6905</v>
      </c>
      <c r="E5561" s="18" t="s">
        <v>7433</v>
      </c>
      <c r="F5561" s="16" t="s">
        <v>7434</v>
      </c>
      <c r="G5561" s="16" t="s">
        <v>88</v>
      </c>
      <c r="H5561" s="19" t="s">
        <v>7435</v>
      </c>
      <c r="I5561" s="23" t="e">
        <f>VLOOKUP(H5561,'合同综合查询数据（3月返）'!$A:$A,1,FALSE)</f>
        <v>#N/A</v>
      </c>
      <c r="J5561" s="24" t="s">
        <v>3074</v>
      </c>
      <c r="K5561" s="16" t="s">
        <v>7436</v>
      </c>
      <c r="L5561" s="25"/>
      <c r="M5561" s="26" t="s">
        <v>7437</v>
      </c>
      <c r="N5561" s="28">
        <v>44095</v>
      </c>
      <c r="O5561" s="28" t="s">
        <v>511</v>
      </c>
      <c r="P5561" s="29">
        <v>5100</v>
      </c>
      <c r="Q5561" s="35">
        <v>1</v>
      </c>
      <c r="R5561" s="36">
        <f t="shared" si="126"/>
        <v>5100</v>
      </c>
      <c r="S5561" s="37">
        <v>202303</v>
      </c>
      <c r="T5561" s="38" t="s">
        <v>7470</v>
      </c>
      <c r="U5561" s="39"/>
      <c r="V5561" s="40"/>
      <c r="W5561" s="41"/>
      <c r="X5561" s="28">
        <v>43692</v>
      </c>
      <c r="Y5561" s="28">
        <v>45883</v>
      </c>
    </row>
    <row r="5562" s="9" customFormat="1" customHeight="1" spans="1:25">
      <c r="A5562" s="16" t="s">
        <v>403</v>
      </c>
      <c r="B5562" s="17" t="s">
        <v>7432</v>
      </c>
      <c r="C5562" s="17" t="s">
        <v>2833</v>
      </c>
      <c r="D5562" s="17" t="s">
        <v>6905</v>
      </c>
      <c r="E5562" s="18" t="s">
        <v>7433</v>
      </c>
      <c r="F5562" s="16" t="s">
        <v>7434</v>
      </c>
      <c r="G5562" s="16" t="s">
        <v>88</v>
      </c>
      <c r="H5562" s="19" t="s">
        <v>7435</v>
      </c>
      <c r="I5562" s="23" t="e">
        <f>VLOOKUP(H5562,'合同综合查询数据（3月返）'!$A:$A,1,FALSE)</f>
        <v>#N/A</v>
      </c>
      <c r="J5562" s="24" t="s">
        <v>3074</v>
      </c>
      <c r="K5562" s="16" t="s">
        <v>7436</v>
      </c>
      <c r="L5562" s="25"/>
      <c r="M5562" s="26" t="s">
        <v>7437</v>
      </c>
      <c r="N5562" s="28">
        <v>44102</v>
      </c>
      <c r="O5562" s="28" t="s">
        <v>574</v>
      </c>
      <c r="P5562" s="29">
        <v>5100</v>
      </c>
      <c r="Q5562" s="35">
        <v>1</v>
      </c>
      <c r="R5562" s="36">
        <f t="shared" si="126"/>
        <v>5100</v>
      </c>
      <c r="S5562" s="37">
        <v>202303</v>
      </c>
      <c r="T5562" s="38" t="s">
        <v>7471</v>
      </c>
      <c r="U5562" s="39"/>
      <c r="V5562" s="40"/>
      <c r="W5562" s="41"/>
      <c r="X5562" s="28">
        <v>43692</v>
      </c>
      <c r="Y5562" s="28">
        <v>45883</v>
      </c>
    </row>
    <row r="5563" s="9" customFormat="1" customHeight="1" spans="1:25">
      <c r="A5563" s="16" t="s">
        <v>403</v>
      </c>
      <c r="B5563" s="17" t="s">
        <v>7432</v>
      </c>
      <c r="C5563" s="17" t="s">
        <v>2833</v>
      </c>
      <c r="D5563" s="17" t="s">
        <v>6905</v>
      </c>
      <c r="E5563" s="18" t="s">
        <v>7433</v>
      </c>
      <c r="F5563" s="16" t="s">
        <v>7434</v>
      </c>
      <c r="G5563" s="16" t="s">
        <v>88</v>
      </c>
      <c r="H5563" s="19" t="s">
        <v>7435</v>
      </c>
      <c r="I5563" s="23" t="e">
        <f>VLOOKUP(H5563,'合同综合查询数据（3月返）'!$A:$A,1,FALSE)</f>
        <v>#N/A</v>
      </c>
      <c r="J5563" s="24" t="s">
        <v>3074</v>
      </c>
      <c r="K5563" s="16" t="s">
        <v>7436</v>
      </c>
      <c r="L5563" s="25"/>
      <c r="M5563" s="26" t="s">
        <v>7437</v>
      </c>
      <c r="N5563" s="28">
        <v>44103</v>
      </c>
      <c r="O5563" s="28" t="s">
        <v>457</v>
      </c>
      <c r="P5563" s="29">
        <v>5100</v>
      </c>
      <c r="Q5563" s="35">
        <v>13</v>
      </c>
      <c r="R5563" s="36">
        <f t="shared" si="126"/>
        <v>66300</v>
      </c>
      <c r="S5563" s="37">
        <v>202303</v>
      </c>
      <c r="T5563" s="38" t="s">
        <v>7472</v>
      </c>
      <c r="U5563" s="39"/>
      <c r="V5563" s="40"/>
      <c r="W5563" s="41"/>
      <c r="X5563" s="28">
        <v>43692</v>
      </c>
      <c r="Y5563" s="28">
        <v>45883</v>
      </c>
    </row>
    <row r="5564" s="9" customFormat="1" customHeight="1" spans="1:25">
      <c r="A5564" s="16" t="s">
        <v>403</v>
      </c>
      <c r="B5564" s="17" t="s">
        <v>7432</v>
      </c>
      <c r="C5564" s="17" t="s">
        <v>2833</v>
      </c>
      <c r="D5564" s="17" t="s">
        <v>6905</v>
      </c>
      <c r="E5564" s="18" t="s">
        <v>7433</v>
      </c>
      <c r="F5564" s="16" t="s">
        <v>7434</v>
      </c>
      <c r="G5564" s="16" t="s">
        <v>88</v>
      </c>
      <c r="H5564" s="19" t="s">
        <v>7435</v>
      </c>
      <c r="I5564" s="23" t="e">
        <f>VLOOKUP(H5564,'合同综合查询数据（3月返）'!$A:$A,1,FALSE)</f>
        <v>#N/A</v>
      </c>
      <c r="J5564" s="24" t="s">
        <v>3074</v>
      </c>
      <c r="K5564" s="16" t="s">
        <v>7436</v>
      </c>
      <c r="L5564" s="25"/>
      <c r="M5564" s="26" t="s">
        <v>7437</v>
      </c>
      <c r="N5564" s="28">
        <v>44126</v>
      </c>
      <c r="O5564" s="28" t="s">
        <v>457</v>
      </c>
      <c r="P5564" s="29">
        <v>5100</v>
      </c>
      <c r="Q5564" s="35">
        <v>14</v>
      </c>
      <c r="R5564" s="36">
        <f t="shared" si="126"/>
        <v>71400</v>
      </c>
      <c r="S5564" s="37">
        <v>202303</v>
      </c>
      <c r="T5564" s="38" t="s">
        <v>7473</v>
      </c>
      <c r="U5564" s="39"/>
      <c r="V5564" s="40"/>
      <c r="W5564" s="41"/>
      <c r="X5564" s="28">
        <v>43692</v>
      </c>
      <c r="Y5564" s="28">
        <v>45883</v>
      </c>
    </row>
    <row r="5565" s="9" customFormat="1" customHeight="1" spans="1:25">
      <c r="A5565" s="16" t="s">
        <v>403</v>
      </c>
      <c r="B5565" s="17" t="s">
        <v>7432</v>
      </c>
      <c r="C5565" s="17" t="s">
        <v>2833</v>
      </c>
      <c r="D5565" s="17" t="s">
        <v>6905</v>
      </c>
      <c r="E5565" s="18" t="s">
        <v>7433</v>
      </c>
      <c r="F5565" s="16" t="s">
        <v>7434</v>
      </c>
      <c r="G5565" s="16" t="s">
        <v>88</v>
      </c>
      <c r="H5565" s="19" t="s">
        <v>7435</v>
      </c>
      <c r="I5565" s="23" t="e">
        <f>VLOOKUP(H5565,'合同综合查询数据（3月返）'!$A:$A,1,FALSE)</f>
        <v>#N/A</v>
      </c>
      <c r="J5565" s="24" t="s">
        <v>3074</v>
      </c>
      <c r="K5565" s="16" t="s">
        <v>7436</v>
      </c>
      <c r="L5565" s="25"/>
      <c r="M5565" s="26" t="s">
        <v>7437</v>
      </c>
      <c r="N5565" s="28">
        <v>44165</v>
      </c>
      <c r="O5565" s="28" t="s">
        <v>457</v>
      </c>
      <c r="P5565" s="29">
        <v>5100</v>
      </c>
      <c r="Q5565" s="35">
        <v>14</v>
      </c>
      <c r="R5565" s="36">
        <f t="shared" si="126"/>
        <v>71400</v>
      </c>
      <c r="S5565" s="37">
        <v>202303</v>
      </c>
      <c r="T5565" s="38" t="s">
        <v>7474</v>
      </c>
      <c r="U5565" s="39"/>
      <c r="V5565" s="40"/>
      <c r="W5565" s="41"/>
      <c r="X5565" s="28">
        <v>43692</v>
      </c>
      <c r="Y5565" s="28">
        <v>45883</v>
      </c>
    </row>
    <row r="5566" s="9" customFormat="1" customHeight="1" spans="1:25">
      <c r="A5566" s="16" t="s">
        <v>403</v>
      </c>
      <c r="B5566" s="17" t="s">
        <v>7432</v>
      </c>
      <c r="C5566" s="17" t="s">
        <v>2833</v>
      </c>
      <c r="D5566" s="17" t="s">
        <v>6905</v>
      </c>
      <c r="E5566" s="18" t="s">
        <v>7433</v>
      </c>
      <c r="F5566" s="16" t="s">
        <v>7434</v>
      </c>
      <c r="G5566" s="16" t="s">
        <v>88</v>
      </c>
      <c r="H5566" s="19" t="s">
        <v>7435</v>
      </c>
      <c r="I5566" s="23" t="e">
        <f>VLOOKUP(H5566,'合同综合查询数据（3月返）'!$A:$A,1,FALSE)</f>
        <v>#N/A</v>
      </c>
      <c r="J5566" s="24" t="s">
        <v>3074</v>
      </c>
      <c r="K5566" s="16" t="s">
        <v>7436</v>
      </c>
      <c r="L5566" s="25"/>
      <c r="M5566" s="26" t="s">
        <v>7437</v>
      </c>
      <c r="N5566" s="28">
        <v>44167</v>
      </c>
      <c r="O5566" s="28" t="s">
        <v>457</v>
      </c>
      <c r="P5566" s="29">
        <v>5100</v>
      </c>
      <c r="Q5566" s="35">
        <v>5</v>
      </c>
      <c r="R5566" s="36">
        <f t="shared" si="126"/>
        <v>25500</v>
      </c>
      <c r="S5566" s="37">
        <v>202303</v>
      </c>
      <c r="T5566" s="38" t="s">
        <v>7475</v>
      </c>
      <c r="U5566" s="39"/>
      <c r="V5566" s="40"/>
      <c r="W5566" s="41"/>
      <c r="X5566" s="28">
        <v>43692</v>
      </c>
      <c r="Y5566" s="28">
        <v>45883</v>
      </c>
    </row>
    <row r="5567" s="9" customFormat="1" customHeight="1" spans="1:25">
      <c r="A5567" s="16" t="s">
        <v>403</v>
      </c>
      <c r="B5567" s="17" t="s">
        <v>7432</v>
      </c>
      <c r="C5567" s="17" t="s">
        <v>2833</v>
      </c>
      <c r="D5567" s="17" t="s">
        <v>6905</v>
      </c>
      <c r="E5567" s="18" t="s">
        <v>7433</v>
      </c>
      <c r="F5567" s="16" t="s">
        <v>7434</v>
      </c>
      <c r="G5567" s="16" t="s">
        <v>88</v>
      </c>
      <c r="H5567" s="19" t="s">
        <v>7435</v>
      </c>
      <c r="I5567" s="23" t="e">
        <f>VLOOKUP(H5567,'合同综合查询数据（3月返）'!$A:$A,1,FALSE)</f>
        <v>#N/A</v>
      </c>
      <c r="J5567" s="24" t="s">
        <v>3074</v>
      </c>
      <c r="K5567" s="16" t="s">
        <v>7436</v>
      </c>
      <c r="L5567" s="25"/>
      <c r="M5567" s="26" t="s">
        <v>7437</v>
      </c>
      <c r="N5567" s="28">
        <v>44175</v>
      </c>
      <c r="O5567" s="28" t="s">
        <v>457</v>
      </c>
      <c r="P5567" s="29">
        <v>5100</v>
      </c>
      <c r="Q5567" s="35">
        <v>1</v>
      </c>
      <c r="R5567" s="36">
        <f t="shared" si="126"/>
        <v>5100</v>
      </c>
      <c r="S5567" s="37">
        <v>202303</v>
      </c>
      <c r="T5567" s="38" t="s">
        <v>7476</v>
      </c>
      <c r="U5567" s="39"/>
      <c r="V5567" s="40"/>
      <c r="W5567" s="41"/>
      <c r="X5567" s="28">
        <v>43692</v>
      </c>
      <c r="Y5567" s="28">
        <v>45883</v>
      </c>
    </row>
    <row r="5568" s="9" customFormat="1" customHeight="1" spans="1:25">
      <c r="A5568" s="16" t="s">
        <v>403</v>
      </c>
      <c r="B5568" s="17" t="s">
        <v>7432</v>
      </c>
      <c r="C5568" s="17" t="s">
        <v>2833</v>
      </c>
      <c r="D5568" s="17" t="s">
        <v>6905</v>
      </c>
      <c r="E5568" s="18" t="s">
        <v>7433</v>
      </c>
      <c r="F5568" s="16" t="s">
        <v>7434</v>
      </c>
      <c r="G5568" s="16" t="s">
        <v>88</v>
      </c>
      <c r="H5568" s="19" t="s">
        <v>7435</v>
      </c>
      <c r="I5568" s="23" t="e">
        <f>VLOOKUP(H5568,'合同综合查询数据（3月返）'!$A:$A,1,FALSE)</f>
        <v>#N/A</v>
      </c>
      <c r="J5568" s="24" t="s">
        <v>3074</v>
      </c>
      <c r="K5568" s="16" t="s">
        <v>7436</v>
      </c>
      <c r="L5568" s="25"/>
      <c r="M5568" s="26" t="s">
        <v>7437</v>
      </c>
      <c r="N5568" s="28">
        <v>44186</v>
      </c>
      <c r="O5568" s="28" t="s">
        <v>457</v>
      </c>
      <c r="P5568" s="29">
        <v>5100</v>
      </c>
      <c r="Q5568" s="35">
        <v>9</v>
      </c>
      <c r="R5568" s="36">
        <f t="shared" si="126"/>
        <v>45900</v>
      </c>
      <c r="S5568" s="37">
        <v>202303</v>
      </c>
      <c r="T5568" s="38" t="s">
        <v>7477</v>
      </c>
      <c r="U5568" s="39"/>
      <c r="V5568" s="40"/>
      <c r="W5568" s="41"/>
      <c r="X5568" s="28">
        <v>43692</v>
      </c>
      <c r="Y5568" s="28">
        <v>45883</v>
      </c>
    </row>
    <row r="5569" s="9" customFormat="1" customHeight="1" spans="1:25">
      <c r="A5569" s="16" t="s">
        <v>403</v>
      </c>
      <c r="B5569" s="17" t="s">
        <v>7432</v>
      </c>
      <c r="C5569" s="17" t="s">
        <v>2833</v>
      </c>
      <c r="D5569" s="17" t="s">
        <v>6905</v>
      </c>
      <c r="E5569" s="18" t="s">
        <v>7433</v>
      </c>
      <c r="F5569" s="16" t="s">
        <v>7434</v>
      </c>
      <c r="G5569" s="16" t="s">
        <v>88</v>
      </c>
      <c r="H5569" s="19" t="s">
        <v>7435</v>
      </c>
      <c r="I5569" s="23" t="e">
        <f>VLOOKUP(H5569,'合同综合查询数据（3月返）'!$A:$A,1,FALSE)</f>
        <v>#N/A</v>
      </c>
      <c r="J5569" s="24" t="s">
        <v>3074</v>
      </c>
      <c r="K5569" s="16" t="s">
        <v>7436</v>
      </c>
      <c r="L5569" s="25"/>
      <c r="M5569" s="26" t="s">
        <v>7437</v>
      </c>
      <c r="N5569" s="28">
        <v>44211</v>
      </c>
      <c r="O5569" s="28" t="s">
        <v>457</v>
      </c>
      <c r="P5569" s="29">
        <v>5100</v>
      </c>
      <c r="Q5569" s="35">
        <v>5</v>
      </c>
      <c r="R5569" s="36">
        <f t="shared" si="126"/>
        <v>25500</v>
      </c>
      <c r="S5569" s="37">
        <v>202303</v>
      </c>
      <c r="T5569" s="38" t="s">
        <v>7478</v>
      </c>
      <c r="U5569" s="39"/>
      <c r="V5569" s="40"/>
      <c r="W5569" s="41"/>
      <c r="X5569" s="28">
        <v>43692</v>
      </c>
      <c r="Y5569" s="28">
        <v>45883</v>
      </c>
    </row>
    <row r="5570" s="9" customFormat="1" customHeight="1" spans="1:25">
      <c r="A5570" s="16" t="s">
        <v>403</v>
      </c>
      <c r="B5570" s="17" t="s">
        <v>7432</v>
      </c>
      <c r="C5570" s="17" t="s">
        <v>2833</v>
      </c>
      <c r="D5570" s="17" t="s">
        <v>6905</v>
      </c>
      <c r="E5570" s="18" t="s">
        <v>7433</v>
      </c>
      <c r="F5570" s="16" t="s">
        <v>7434</v>
      </c>
      <c r="G5570" s="16" t="s">
        <v>88</v>
      </c>
      <c r="H5570" s="19" t="s">
        <v>7435</v>
      </c>
      <c r="I5570" s="23" t="e">
        <f>VLOOKUP(H5570,'合同综合查询数据（3月返）'!$A:$A,1,FALSE)</f>
        <v>#N/A</v>
      </c>
      <c r="J5570" s="24" t="s">
        <v>2256</v>
      </c>
      <c r="K5570" s="16" t="s">
        <v>7436</v>
      </c>
      <c r="L5570" s="25"/>
      <c r="M5570" s="26" t="s">
        <v>7479</v>
      </c>
      <c r="N5570" s="28">
        <v>44216</v>
      </c>
      <c r="O5570" s="28" t="s">
        <v>457</v>
      </c>
      <c r="P5570" s="29">
        <v>5100</v>
      </c>
      <c r="Q5570" s="35">
        <v>3</v>
      </c>
      <c r="R5570" s="36">
        <f t="shared" si="126"/>
        <v>15300</v>
      </c>
      <c r="S5570" s="37">
        <v>202303</v>
      </c>
      <c r="T5570" s="38" t="s">
        <v>7480</v>
      </c>
      <c r="U5570" s="39"/>
      <c r="V5570" s="40"/>
      <c r="W5570" s="41"/>
      <c r="X5570" s="28">
        <v>43692</v>
      </c>
      <c r="Y5570" s="28">
        <v>45883</v>
      </c>
    </row>
    <row r="5571" s="9" customFormat="1" customHeight="1" spans="1:25">
      <c r="A5571" s="16" t="s">
        <v>403</v>
      </c>
      <c r="B5571" s="17" t="s">
        <v>7432</v>
      </c>
      <c r="C5571" s="17" t="s">
        <v>2833</v>
      </c>
      <c r="D5571" s="17" t="s">
        <v>6905</v>
      </c>
      <c r="E5571" s="18" t="s">
        <v>7433</v>
      </c>
      <c r="F5571" s="16" t="s">
        <v>7434</v>
      </c>
      <c r="G5571" s="16" t="s">
        <v>88</v>
      </c>
      <c r="H5571" s="19" t="s">
        <v>7435</v>
      </c>
      <c r="I5571" s="23" t="e">
        <f>VLOOKUP(H5571,'合同综合查询数据（3月返）'!$A:$A,1,FALSE)</f>
        <v>#N/A</v>
      </c>
      <c r="J5571" s="24" t="s">
        <v>3074</v>
      </c>
      <c r="K5571" s="16" t="s">
        <v>7436</v>
      </c>
      <c r="L5571" s="25"/>
      <c r="M5571" s="26" t="s">
        <v>7437</v>
      </c>
      <c r="N5571" s="28">
        <v>44215</v>
      </c>
      <c r="O5571" s="28" t="s">
        <v>457</v>
      </c>
      <c r="P5571" s="29">
        <v>5100</v>
      </c>
      <c r="Q5571" s="35">
        <v>2</v>
      </c>
      <c r="R5571" s="36">
        <f t="shared" si="126"/>
        <v>10200</v>
      </c>
      <c r="S5571" s="37">
        <v>202303</v>
      </c>
      <c r="T5571" s="38" t="s">
        <v>7481</v>
      </c>
      <c r="U5571" s="39"/>
      <c r="V5571" s="40"/>
      <c r="W5571" s="41"/>
      <c r="X5571" s="28">
        <v>43692</v>
      </c>
      <c r="Y5571" s="28">
        <v>45883</v>
      </c>
    </row>
    <row r="5572" s="9" customFormat="1" customHeight="1" spans="1:25">
      <c r="A5572" s="16" t="s">
        <v>403</v>
      </c>
      <c r="B5572" s="17" t="s">
        <v>7432</v>
      </c>
      <c r="C5572" s="17" t="s">
        <v>2833</v>
      </c>
      <c r="D5572" s="17" t="s">
        <v>6905</v>
      </c>
      <c r="E5572" s="18" t="s">
        <v>7433</v>
      </c>
      <c r="F5572" s="16" t="s">
        <v>7434</v>
      </c>
      <c r="G5572" s="16" t="s">
        <v>88</v>
      </c>
      <c r="H5572" s="19" t="s">
        <v>7435</v>
      </c>
      <c r="I5572" s="23" t="e">
        <f>VLOOKUP(H5572,'合同综合查询数据（3月返）'!$A:$A,1,FALSE)</f>
        <v>#N/A</v>
      </c>
      <c r="J5572" s="24" t="s">
        <v>3074</v>
      </c>
      <c r="K5572" s="16" t="s">
        <v>7436</v>
      </c>
      <c r="L5572" s="25"/>
      <c r="M5572" s="26" t="s">
        <v>7437</v>
      </c>
      <c r="N5572" s="28">
        <v>44232</v>
      </c>
      <c r="O5572" s="28" t="s">
        <v>457</v>
      </c>
      <c r="P5572" s="29">
        <v>5100</v>
      </c>
      <c r="Q5572" s="35">
        <v>2</v>
      </c>
      <c r="R5572" s="36">
        <f t="shared" si="126"/>
        <v>10200</v>
      </c>
      <c r="S5572" s="37">
        <v>202303</v>
      </c>
      <c r="T5572" s="38" t="s">
        <v>7482</v>
      </c>
      <c r="U5572" s="39"/>
      <c r="V5572" s="40"/>
      <c r="W5572" s="41"/>
      <c r="X5572" s="28">
        <v>43692</v>
      </c>
      <c r="Y5572" s="28">
        <v>45883</v>
      </c>
    </row>
    <row r="5573" s="9" customFormat="1" customHeight="1" spans="1:25">
      <c r="A5573" s="16" t="s">
        <v>403</v>
      </c>
      <c r="B5573" s="17" t="s">
        <v>7432</v>
      </c>
      <c r="C5573" s="17" t="s">
        <v>2833</v>
      </c>
      <c r="D5573" s="17" t="s">
        <v>6905</v>
      </c>
      <c r="E5573" s="18" t="s">
        <v>7433</v>
      </c>
      <c r="F5573" s="16" t="s">
        <v>7434</v>
      </c>
      <c r="G5573" s="16" t="s">
        <v>88</v>
      </c>
      <c r="H5573" s="19" t="s">
        <v>7435</v>
      </c>
      <c r="I5573" s="23" t="e">
        <f>VLOOKUP(H5573,'合同综合查询数据（3月返）'!$A:$A,1,FALSE)</f>
        <v>#N/A</v>
      </c>
      <c r="J5573" s="24" t="s">
        <v>3074</v>
      </c>
      <c r="K5573" s="16" t="s">
        <v>7436</v>
      </c>
      <c r="L5573" s="25"/>
      <c r="M5573" s="26" t="s">
        <v>7437</v>
      </c>
      <c r="N5573" s="28">
        <v>44232</v>
      </c>
      <c r="O5573" s="28" t="s">
        <v>470</v>
      </c>
      <c r="P5573" s="29">
        <v>5100</v>
      </c>
      <c r="Q5573" s="35">
        <v>-6</v>
      </c>
      <c r="R5573" s="36">
        <f t="shared" si="126"/>
        <v>-30600</v>
      </c>
      <c r="S5573" s="37">
        <v>202303</v>
      </c>
      <c r="T5573" s="38" t="s">
        <v>7483</v>
      </c>
      <c r="U5573" s="39"/>
      <c r="V5573" s="40"/>
      <c r="W5573" s="41"/>
      <c r="X5573" s="28">
        <v>43692</v>
      </c>
      <c r="Y5573" s="28">
        <v>45883</v>
      </c>
    </row>
    <row r="5574" s="9" customFormat="1" customHeight="1" spans="1:25">
      <c r="A5574" s="16" t="s">
        <v>403</v>
      </c>
      <c r="B5574" s="17" t="s">
        <v>7432</v>
      </c>
      <c r="C5574" s="17" t="s">
        <v>2833</v>
      </c>
      <c r="D5574" s="17" t="s">
        <v>6905</v>
      </c>
      <c r="E5574" s="18" t="s">
        <v>7433</v>
      </c>
      <c r="F5574" s="16" t="s">
        <v>7434</v>
      </c>
      <c r="G5574" s="16" t="s">
        <v>88</v>
      </c>
      <c r="H5574" s="19" t="s">
        <v>7435</v>
      </c>
      <c r="I5574" s="23" t="e">
        <f>VLOOKUP(H5574,'合同综合查询数据（3月返）'!$A:$A,1,FALSE)</f>
        <v>#N/A</v>
      </c>
      <c r="J5574" s="24" t="s">
        <v>3074</v>
      </c>
      <c r="K5574" s="16" t="s">
        <v>7436</v>
      </c>
      <c r="L5574" s="25"/>
      <c r="M5574" s="26" t="s">
        <v>7437</v>
      </c>
      <c r="N5574" s="28">
        <v>44232</v>
      </c>
      <c r="O5574" s="28" t="s">
        <v>457</v>
      </c>
      <c r="P5574" s="29">
        <v>5100</v>
      </c>
      <c r="Q5574" s="35">
        <v>-1</v>
      </c>
      <c r="R5574" s="36">
        <f t="shared" si="126"/>
        <v>-5100</v>
      </c>
      <c r="S5574" s="37">
        <v>202303</v>
      </c>
      <c r="T5574" s="38" t="s">
        <v>7484</v>
      </c>
      <c r="U5574" s="39"/>
      <c r="V5574" s="40"/>
      <c r="W5574" s="41"/>
      <c r="X5574" s="28">
        <v>43692</v>
      </c>
      <c r="Y5574" s="28">
        <v>45883</v>
      </c>
    </row>
    <row r="5575" s="9" customFormat="1" customHeight="1" spans="1:25">
      <c r="A5575" s="16" t="s">
        <v>403</v>
      </c>
      <c r="B5575" s="17" t="s">
        <v>7432</v>
      </c>
      <c r="C5575" s="17" t="s">
        <v>2833</v>
      </c>
      <c r="D5575" s="17" t="s">
        <v>6905</v>
      </c>
      <c r="E5575" s="18" t="s">
        <v>7433</v>
      </c>
      <c r="F5575" s="16" t="s">
        <v>7434</v>
      </c>
      <c r="G5575" s="16" t="s">
        <v>88</v>
      </c>
      <c r="H5575" s="19" t="s">
        <v>7435</v>
      </c>
      <c r="I5575" s="23" t="e">
        <f>VLOOKUP(H5575,'合同综合查询数据（3月返）'!$A:$A,1,FALSE)</f>
        <v>#N/A</v>
      </c>
      <c r="J5575" s="24" t="s">
        <v>3074</v>
      </c>
      <c r="K5575" s="16" t="s">
        <v>7436</v>
      </c>
      <c r="L5575" s="25"/>
      <c r="M5575" s="26" t="s">
        <v>7437</v>
      </c>
      <c r="N5575" s="28">
        <v>44253</v>
      </c>
      <c r="O5575" s="28" t="s">
        <v>457</v>
      </c>
      <c r="P5575" s="29">
        <v>5100</v>
      </c>
      <c r="Q5575" s="35">
        <v>1</v>
      </c>
      <c r="R5575" s="36">
        <f t="shared" si="126"/>
        <v>5100</v>
      </c>
      <c r="S5575" s="37">
        <v>202303</v>
      </c>
      <c r="T5575" s="38" t="s">
        <v>7485</v>
      </c>
      <c r="U5575" s="39"/>
      <c r="V5575" s="40"/>
      <c r="W5575" s="41"/>
      <c r="X5575" s="28">
        <v>43692</v>
      </c>
      <c r="Y5575" s="28">
        <v>45883</v>
      </c>
    </row>
    <row r="5576" s="9" customFormat="1" customHeight="1" spans="1:25">
      <c r="A5576" s="16" t="s">
        <v>403</v>
      </c>
      <c r="B5576" s="17" t="s">
        <v>7432</v>
      </c>
      <c r="C5576" s="17" t="s">
        <v>2833</v>
      </c>
      <c r="D5576" s="17" t="s">
        <v>6905</v>
      </c>
      <c r="E5576" s="18" t="s">
        <v>7433</v>
      </c>
      <c r="F5576" s="16" t="s">
        <v>7434</v>
      </c>
      <c r="G5576" s="16" t="s">
        <v>88</v>
      </c>
      <c r="H5576" s="19" t="s">
        <v>7435</v>
      </c>
      <c r="I5576" s="23" t="e">
        <f>VLOOKUP(H5576,'合同综合查询数据（3月返）'!$A:$A,1,FALSE)</f>
        <v>#N/A</v>
      </c>
      <c r="J5576" s="24" t="s">
        <v>3074</v>
      </c>
      <c r="K5576" s="16" t="s">
        <v>7436</v>
      </c>
      <c r="L5576" s="25"/>
      <c r="M5576" s="26" t="s">
        <v>7437</v>
      </c>
      <c r="N5576" s="28">
        <v>44264</v>
      </c>
      <c r="O5576" s="28" t="s">
        <v>457</v>
      </c>
      <c r="P5576" s="29">
        <v>5100</v>
      </c>
      <c r="Q5576" s="35">
        <v>11</v>
      </c>
      <c r="R5576" s="36">
        <f t="shared" si="126"/>
        <v>56100</v>
      </c>
      <c r="S5576" s="37">
        <v>202303</v>
      </c>
      <c r="T5576" s="38" t="s">
        <v>7486</v>
      </c>
      <c r="U5576" s="39"/>
      <c r="V5576" s="40"/>
      <c r="W5576" s="41"/>
      <c r="X5576" s="28">
        <v>43692</v>
      </c>
      <c r="Y5576" s="28">
        <v>45883</v>
      </c>
    </row>
    <row r="5577" s="9" customFormat="1" customHeight="1" spans="1:25">
      <c r="A5577" s="16" t="s">
        <v>403</v>
      </c>
      <c r="B5577" s="17" t="s">
        <v>7432</v>
      </c>
      <c r="C5577" s="17" t="s">
        <v>2833</v>
      </c>
      <c r="D5577" s="17" t="s">
        <v>6905</v>
      </c>
      <c r="E5577" s="18" t="s">
        <v>7433</v>
      </c>
      <c r="F5577" s="16" t="s">
        <v>7434</v>
      </c>
      <c r="G5577" s="16" t="s">
        <v>88</v>
      </c>
      <c r="H5577" s="19" t="s">
        <v>7435</v>
      </c>
      <c r="I5577" s="23" t="e">
        <f>VLOOKUP(H5577,'合同综合查询数据（3月返）'!$A:$A,1,FALSE)</f>
        <v>#N/A</v>
      </c>
      <c r="J5577" s="24" t="s">
        <v>3074</v>
      </c>
      <c r="K5577" s="16" t="s">
        <v>7436</v>
      </c>
      <c r="L5577" s="25"/>
      <c r="M5577" s="26" t="s">
        <v>7437</v>
      </c>
      <c r="N5577" s="28">
        <v>44271</v>
      </c>
      <c r="O5577" s="28" t="s">
        <v>457</v>
      </c>
      <c r="P5577" s="29">
        <v>5100</v>
      </c>
      <c r="Q5577" s="35">
        <v>11</v>
      </c>
      <c r="R5577" s="36">
        <f t="shared" si="126"/>
        <v>56100</v>
      </c>
      <c r="S5577" s="37">
        <v>202303</v>
      </c>
      <c r="T5577" s="38" t="s">
        <v>7487</v>
      </c>
      <c r="U5577" s="39"/>
      <c r="V5577" s="40"/>
      <c r="W5577" s="41"/>
      <c r="X5577" s="28">
        <v>43692</v>
      </c>
      <c r="Y5577" s="28">
        <v>45883</v>
      </c>
    </row>
    <row r="5578" s="9" customFormat="1" customHeight="1" spans="1:25">
      <c r="A5578" s="16" t="s">
        <v>403</v>
      </c>
      <c r="B5578" s="17" t="s">
        <v>7432</v>
      </c>
      <c r="C5578" s="17" t="s">
        <v>2833</v>
      </c>
      <c r="D5578" s="17" t="s">
        <v>6905</v>
      </c>
      <c r="E5578" s="18" t="s">
        <v>7433</v>
      </c>
      <c r="F5578" s="16" t="s">
        <v>7434</v>
      </c>
      <c r="G5578" s="16" t="s">
        <v>88</v>
      </c>
      <c r="H5578" s="19" t="s">
        <v>7435</v>
      </c>
      <c r="I5578" s="23" t="e">
        <f>VLOOKUP(H5578,'合同综合查询数据（3月返）'!$A:$A,1,FALSE)</f>
        <v>#N/A</v>
      </c>
      <c r="J5578" s="24" t="s">
        <v>3074</v>
      </c>
      <c r="K5578" s="16" t="s">
        <v>7436</v>
      </c>
      <c r="L5578" s="25"/>
      <c r="M5578" s="26" t="s">
        <v>7437</v>
      </c>
      <c r="N5578" s="28">
        <v>44272</v>
      </c>
      <c r="O5578" s="28" t="s">
        <v>457</v>
      </c>
      <c r="P5578" s="29">
        <v>5100</v>
      </c>
      <c r="Q5578" s="35">
        <v>5</v>
      </c>
      <c r="R5578" s="36">
        <f t="shared" si="126"/>
        <v>25500</v>
      </c>
      <c r="S5578" s="37">
        <v>202303</v>
      </c>
      <c r="T5578" s="38" t="s">
        <v>7488</v>
      </c>
      <c r="U5578" s="39"/>
      <c r="V5578" s="40"/>
      <c r="W5578" s="41"/>
      <c r="X5578" s="28">
        <v>43692</v>
      </c>
      <c r="Y5578" s="28">
        <v>45883</v>
      </c>
    </row>
    <row r="5579" s="9" customFormat="1" customHeight="1" spans="1:25">
      <c r="A5579" s="16" t="s">
        <v>403</v>
      </c>
      <c r="B5579" s="17" t="s">
        <v>7432</v>
      </c>
      <c r="C5579" s="17" t="s">
        <v>2833</v>
      </c>
      <c r="D5579" s="17" t="s">
        <v>6905</v>
      </c>
      <c r="E5579" s="18" t="s">
        <v>7433</v>
      </c>
      <c r="F5579" s="16" t="s">
        <v>7434</v>
      </c>
      <c r="G5579" s="16" t="s">
        <v>88</v>
      </c>
      <c r="H5579" s="19" t="s">
        <v>7435</v>
      </c>
      <c r="I5579" s="23" t="e">
        <f>VLOOKUP(H5579,'合同综合查询数据（3月返）'!$A:$A,1,FALSE)</f>
        <v>#N/A</v>
      </c>
      <c r="J5579" s="24" t="s">
        <v>3074</v>
      </c>
      <c r="K5579" s="16" t="s">
        <v>7436</v>
      </c>
      <c r="L5579" s="25"/>
      <c r="M5579" s="26" t="s">
        <v>7437</v>
      </c>
      <c r="N5579" s="28">
        <v>44273</v>
      </c>
      <c r="O5579" s="28" t="s">
        <v>457</v>
      </c>
      <c r="P5579" s="29">
        <v>5100</v>
      </c>
      <c r="Q5579" s="35">
        <v>9</v>
      </c>
      <c r="R5579" s="36">
        <f t="shared" si="126"/>
        <v>45900</v>
      </c>
      <c r="S5579" s="37">
        <v>202303</v>
      </c>
      <c r="T5579" s="38" t="s">
        <v>7489</v>
      </c>
      <c r="U5579" s="39"/>
      <c r="V5579" s="40"/>
      <c r="W5579" s="41"/>
      <c r="X5579" s="28">
        <v>43692</v>
      </c>
      <c r="Y5579" s="28">
        <v>45883</v>
      </c>
    </row>
    <row r="5580" s="9" customFormat="1" customHeight="1" spans="1:25">
      <c r="A5580" s="16" t="s">
        <v>403</v>
      </c>
      <c r="B5580" s="17" t="s">
        <v>7432</v>
      </c>
      <c r="C5580" s="17" t="s">
        <v>2833</v>
      </c>
      <c r="D5580" s="17" t="s">
        <v>6905</v>
      </c>
      <c r="E5580" s="18" t="s">
        <v>7433</v>
      </c>
      <c r="F5580" s="16" t="s">
        <v>7434</v>
      </c>
      <c r="G5580" s="16" t="s">
        <v>88</v>
      </c>
      <c r="H5580" s="19" t="s">
        <v>7435</v>
      </c>
      <c r="I5580" s="23" t="e">
        <f>VLOOKUP(H5580,'合同综合查询数据（3月返）'!$A:$A,1,FALSE)</f>
        <v>#N/A</v>
      </c>
      <c r="J5580" s="24" t="s">
        <v>3074</v>
      </c>
      <c r="K5580" s="16" t="s">
        <v>7436</v>
      </c>
      <c r="L5580" s="25"/>
      <c r="M5580" s="26" t="s">
        <v>7437</v>
      </c>
      <c r="N5580" s="28">
        <v>44275</v>
      </c>
      <c r="O5580" s="28" t="s">
        <v>457</v>
      </c>
      <c r="P5580" s="29">
        <v>5100</v>
      </c>
      <c r="Q5580" s="35">
        <v>12</v>
      </c>
      <c r="R5580" s="36">
        <f t="shared" ref="R5580:R5643" si="127">ROUND(P5580*Q5580,2)</f>
        <v>61200</v>
      </c>
      <c r="S5580" s="37">
        <v>202303</v>
      </c>
      <c r="T5580" s="38" t="s">
        <v>7490</v>
      </c>
      <c r="U5580" s="39"/>
      <c r="V5580" s="40"/>
      <c r="W5580" s="41"/>
      <c r="X5580" s="28">
        <v>43692</v>
      </c>
      <c r="Y5580" s="28">
        <v>45883</v>
      </c>
    </row>
    <row r="5581" s="9" customFormat="1" customHeight="1" spans="1:25">
      <c r="A5581" s="16" t="s">
        <v>403</v>
      </c>
      <c r="B5581" s="17" t="s">
        <v>7432</v>
      </c>
      <c r="C5581" s="17" t="s">
        <v>2833</v>
      </c>
      <c r="D5581" s="17" t="s">
        <v>6905</v>
      </c>
      <c r="E5581" s="18" t="s">
        <v>7433</v>
      </c>
      <c r="F5581" s="16" t="s">
        <v>7434</v>
      </c>
      <c r="G5581" s="16" t="s">
        <v>88</v>
      </c>
      <c r="H5581" s="19" t="s">
        <v>7435</v>
      </c>
      <c r="I5581" s="23" t="e">
        <f>VLOOKUP(H5581,'合同综合查询数据（3月返）'!$A:$A,1,FALSE)</f>
        <v>#N/A</v>
      </c>
      <c r="J5581" s="24" t="s">
        <v>3074</v>
      </c>
      <c r="K5581" s="16" t="s">
        <v>7436</v>
      </c>
      <c r="L5581" s="25"/>
      <c r="M5581" s="26" t="s">
        <v>7437</v>
      </c>
      <c r="N5581" s="28">
        <v>44284</v>
      </c>
      <c r="O5581" s="28" t="s">
        <v>457</v>
      </c>
      <c r="P5581" s="29">
        <v>5100</v>
      </c>
      <c r="Q5581" s="35">
        <v>6</v>
      </c>
      <c r="R5581" s="36">
        <f t="shared" si="127"/>
        <v>30600</v>
      </c>
      <c r="S5581" s="37">
        <v>202303</v>
      </c>
      <c r="T5581" s="38" t="s">
        <v>7491</v>
      </c>
      <c r="U5581" s="39"/>
      <c r="V5581" s="40"/>
      <c r="W5581" s="41"/>
      <c r="X5581" s="28">
        <v>43692</v>
      </c>
      <c r="Y5581" s="28">
        <v>45883</v>
      </c>
    </row>
    <row r="5582" s="9" customFormat="1" customHeight="1" spans="1:25">
      <c r="A5582" s="16" t="s">
        <v>403</v>
      </c>
      <c r="B5582" s="17" t="s">
        <v>7432</v>
      </c>
      <c r="C5582" s="17" t="s">
        <v>2833</v>
      </c>
      <c r="D5582" s="17" t="s">
        <v>6905</v>
      </c>
      <c r="E5582" s="18" t="s">
        <v>7433</v>
      </c>
      <c r="F5582" s="16" t="s">
        <v>7434</v>
      </c>
      <c r="G5582" s="16" t="s">
        <v>88</v>
      </c>
      <c r="H5582" s="19" t="s">
        <v>7435</v>
      </c>
      <c r="I5582" s="23" t="e">
        <f>VLOOKUP(H5582,'合同综合查询数据（3月返）'!$A:$A,1,FALSE)</f>
        <v>#N/A</v>
      </c>
      <c r="J5582" s="24" t="s">
        <v>3074</v>
      </c>
      <c r="K5582" s="16" t="s">
        <v>7436</v>
      </c>
      <c r="L5582" s="25"/>
      <c r="M5582" s="26" t="s">
        <v>7437</v>
      </c>
      <c r="N5582" s="28">
        <v>44286</v>
      </c>
      <c r="O5582" s="28" t="s">
        <v>457</v>
      </c>
      <c r="P5582" s="29">
        <v>5100</v>
      </c>
      <c r="Q5582" s="35">
        <v>10</v>
      </c>
      <c r="R5582" s="36">
        <f t="shared" si="127"/>
        <v>51000</v>
      </c>
      <c r="S5582" s="37">
        <v>202303</v>
      </c>
      <c r="T5582" s="38" t="s">
        <v>7492</v>
      </c>
      <c r="U5582" s="39"/>
      <c r="V5582" s="40"/>
      <c r="W5582" s="41"/>
      <c r="X5582" s="28">
        <v>43692</v>
      </c>
      <c r="Y5582" s="28">
        <v>45883</v>
      </c>
    </row>
    <row r="5583" s="9" customFormat="1" customHeight="1" spans="1:25">
      <c r="A5583" s="16" t="s">
        <v>403</v>
      </c>
      <c r="B5583" s="17" t="s">
        <v>7432</v>
      </c>
      <c r="C5583" s="17" t="s">
        <v>2833</v>
      </c>
      <c r="D5583" s="17" t="s">
        <v>6905</v>
      </c>
      <c r="E5583" s="18" t="s">
        <v>7433</v>
      </c>
      <c r="F5583" s="16" t="s">
        <v>7434</v>
      </c>
      <c r="G5583" s="16" t="s">
        <v>88</v>
      </c>
      <c r="H5583" s="19" t="s">
        <v>7435</v>
      </c>
      <c r="I5583" s="23" t="e">
        <f>VLOOKUP(H5583,'合同综合查询数据（3月返）'!$A:$A,1,FALSE)</f>
        <v>#N/A</v>
      </c>
      <c r="J5583" s="24" t="s">
        <v>3074</v>
      </c>
      <c r="K5583" s="16" t="s">
        <v>7436</v>
      </c>
      <c r="L5583" s="25"/>
      <c r="M5583" s="26" t="s">
        <v>7437</v>
      </c>
      <c r="N5583" s="28">
        <v>44302</v>
      </c>
      <c r="O5583" s="28" t="s">
        <v>457</v>
      </c>
      <c r="P5583" s="29">
        <v>5100</v>
      </c>
      <c r="Q5583" s="35">
        <v>24</v>
      </c>
      <c r="R5583" s="36">
        <f t="shared" si="127"/>
        <v>122400</v>
      </c>
      <c r="S5583" s="37">
        <v>202303</v>
      </c>
      <c r="T5583" s="38" t="s">
        <v>7493</v>
      </c>
      <c r="U5583" s="39"/>
      <c r="V5583" s="40"/>
      <c r="W5583" s="41"/>
      <c r="X5583" s="28">
        <v>43692</v>
      </c>
      <c r="Y5583" s="28">
        <v>45883</v>
      </c>
    </row>
    <row r="5584" s="9" customFormat="1" customHeight="1" spans="1:25">
      <c r="A5584" s="16" t="s">
        <v>403</v>
      </c>
      <c r="B5584" s="17" t="s">
        <v>7432</v>
      </c>
      <c r="C5584" s="17" t="s">
        <v>2833</v>
      </c>
      <c r="D5584" s="17" t="s">
        <v>6905</v>
      </c>
      <c r="E5584" s="18" t="s">
        <v>7433</v>
      </c>
      <c r="F5584" s="16" t="s">
        <v>7434</v>
      </c>
      <c r="G5584" s="16" t="s">
        <v>88</v>
      </c>
      <c r="H5584" s="19" t="s">
        <v>7435</v>
      </c>
      <c r="I5584" s="23" t="e">
        <f>VLOOKUP(H5584,'合同综合查询数据（3月返）'!$A:$A,1,FALSE)</f>
        <v>#N/A</v>
      </c>
      <c r="J5584" s="24" t="s">
        <v>3074</v>
      </c>
      <c r="K5584" s="16" t="s">
        <v>7436</v>
      </c>
      <c r="L5584" s="25"/>
      <c r="M5584" s="26" t="s">
        <v>7437</v>
      </c>
      <c r="N5584" s="28">
        <v>44308</v>
      </c>
      <c r="O5584" s="28" t="s">
        <v>457</v>
      </c>
      <c r="P5584" s="29">
        <v>5100</v>
      </c>
      <c r="Q5584" s="35">
        <v>6</v>
      </c>
      <c r="R5584" s="36">
        <f t="shared" si="127"/>
        <v>30600</v>
      </c>
      <c r="S5584" s="37">
        <v>202303</v>
      </c>
      <c r="T5584" s="38" t="s">
        <v>7494</v>
      </c>
      <c r="U5584" s="39"/>
      <c r="V5584" s="40"/>
      <c r="W5584" s="41"/>
      <c r="X5584" s="28">
        <v>43692</v>
      </c>
      <c r="Y5584" s="28">
        <v>45883</v>
      </c>
    </row>
    <row r="5585" s="9" customFormat="1" customHeight="1" spans="1:25">
      <c r="A5585" s="16" t="s">
        <v>403</v>
      </c>
      <c r="B5585" s="17" t="s">
        <v>7432</v>
      </c>
      <c r="C5585" s="17" t="s">
        <v>2833</v>
      </c>
      <c r="D5585" s="17" t="s">
        <v>6905</v>
      </c>
      <c r="E5585" s="18" t="s">
        <v>7433</v>
      </c>
      <c r="F5585" s="16" t="s">
        <v>7434</v>
      </c>
      <c r="G5585" s="16" t="s">
        <v>88</v>
      </c>
      <c r="H5585" s="19" t="s">
        <v>7435</v>
      </c>
      <c r="I5585" s="23" t="e">
        <f>VLOOKUP(H5585,'合同综合查询数据（3月返）'!$A:$A,1,FALSE)</f>
        <v>#N/A</v>
      </c>
      <c r="J5585" s="24" t="s">
        <v>3074</v>
      </c>
      <c r="K5585" s="16" t="s">
        <v>7436</v>
      </c>
      <c r="L5585" s="25"/>
      <c r="M5585" s="26" t="s">
        <v>7437</v>
      </c>
      <c r="N5585" s="28">
        <v>44351</v>
      </c>
      <c r="O5585" s="28" t="s">
        <v>457</v>
      </c>
      <c r="P5585" s="29">
        <v>5100</v>
      </c>
      <c r="Q5585" s="35">
        <v>39</v>
      </c>
      <c r="R5585" s="36">
        <f t="shared" si="127"/>
        <v>198900</v>
      </c>
      <c r="S5585" s="37">
        <v>202303</v>
      </c>
      <c r="T5585" s="38" t="s">
        <v>7495</v>
      </c>
      <c r="U5585" s="39"/>
      <c r="V5585" s="40"/>
      <c r="W5585" s="41"/>
      <c r="X5585" s="28">
        <v>43692</v>
      </c>
      <c r="Y5585" s="28">
        <v>45883</v>
      </c>
    </row>
    <row r="5586" s="9" customFormat="1" customHeight="1" spans="1:25">
      <c r="A5586" s="16" t="s">
        <v>403</v>
      </c>
      <c r="B5586" s="17" t="s">
        <v>7432</v>
      </c>
      <c r="C5586" s="17" t="s">
        <v>2833</v>
      </c>
      <c r="D5586" s="17" t="s">
        <v>6905</v>
      </c>
      <c r="E5586" s="18" t="s">
        <v>7433</v>
      </c>
      <c r="F5586" s="16" t="s">
        <v>7434</v>
      </c>
      <c r="G5586" s="16" t="s">
        <v>88</v>
      </c>
      <c r="H5586" s="19" t="s">
        <v>7435</v>
      </c>
      <c r="I5586" s="23" t="e">
        <f>VLOOKUP(H5586,'合同综合查询数据（3月返）'!$A:$A,1,FALSE)</f>
        <v>#N/A</v>
      </c>
      <c r="J5586" s="24" t="s">
        <v>3074</v>
      </c>
      <c r="K5586" s="16" t="s">
        <v>7436</v>
      </c>
      <c r="L5586" s="25"/>
      <c r="M5586" s="26" t="s">
        <v>7437</v>
      </c>
      <c r="N5586" s="28">
        <v>44394</v>
      </c>
      <c r="O5586" s="28" t="s">
        <v>457</v>
      </c>
      <c r="P5586" s="29">
        <v>5100</v>
      </c>
      <c r="Q5586" s="35">
        <v>3</v>
      </c>
      <c r="R5586" s="36">
        <f t="shared" si="127"/>
        <v>15300</v>
      </c>
      <c r="S5586" s="37">
        <v>202303</v>
      </c>
      <c r="T5586" s="38" t="s">
        <v>7496</v>
      </c>
      <c r="U5586" s="39"/>
      <c r="V5586" s="40"/>
      <c r="W5586" s="41"/>
      <c r="X5586" s="28">
        <v>43692</v>
      </c>
      <c r="Y5586" s="28">
        <v>45883</v>
      </c>
    </row>
    <row r="5587" s="9" customFormat="1" customHeight="1" spans="1:25">
      <c r="A5587" s="16" t="s">
        <v>403</v>
      </c>
      <c r="B5587" s="17" t="s">
        <v>7432</v>
      </c>
      <c r="C5587" s="17" t="s">
        <v>2833</v>
      </c>
      <c r="D5587" s="17" t="s">
        <v>6905</v>
      </c>
      <c r="E5587" s="18" t="s">
        <v>7433</v>
      </c>
      <c r="F5587" s="16" t="s">
        <v>7434</v>
      </c>
      <c r="G5587" s="16" t="s">
        <v>88</v>
      </c>
      <c r="H5587" s="19" t="s">
        <v>7435</v>
      </c>
      <c r="I5587" s="23" t="e">
        <f>VLOOKUP(H5587,'合同综合查询数据（3月返）'!$A:$A,1,FALSE)</f>
        <v>#N/A</v>
      </c>
      <c r="J5587" s="24" t="s">
        <v>3074</v>
      </c>
      <c r="K5587" s="16" t="s">
        <v>7436</v>
      </c>
      <c r="L5587" s="25"/>
      <c r="M5587" s="26" t="s">
        <v>7437</v>
      </c>
      <c r="N5587" s="28">
        <v>44397</v>
      </c>
      <c r="O5587" s="28" t="s">
        <v>457</v>
      </c>
      <c r="P5587" s="29">
        <v>5100</v>
      </c>
      <c r="Q5587" s="35">
        <v>-3</v>
      </c>
      <c r="R5587" s="36">
        <f t="shared" si="127"/>
        <v>-15300</v>
      </c>
      <c r="S5587" s="37">
        <v>202303</v>
      </c>
      <c r="T5587" s="38" t="s">
        <v>7497</v>
      </c>
      <c r="U5587" s="39"/>
      <c r="V5587" s="40"/>
      <c r="W5587" s="41"/>
      <c r="X5587" s="28">
        <v>43692</v>
      </c>
      <c r="Y5587" s="28">
        <v>45883</v>
      </c>
    </row>
    <row r="5588" s="9" customFormat="1" customHeight="1" spans="1:25">
      <c r="A5588" s="16" t="s">
        <v>403</v>
      </c>
      <c r="B5588" s="17" t="s">
        <v>7432</v>
      </c>
      <c r="C5588" s="17" t="s">
        <v>2833</v>
      </c>
      <c r="D5588" s="17" t="s">
        <v>6905</v>
      </c>
      <c r="E5588" s="18" t="s">
        <v>7433</v>
      </c>
      <c r="F5588" s="16" t="s">
        <v>7434</v>
      </c>
      <c r="G5588" s="16" t="s">
        <v>88</v>
      </c>
      <c r="H5588" s="19" t="s">
        <v>7435</v>
      </c>
      <c r="I5588" s="23" t="e">
        <f>VLOOKUP(H5588,'合同综合查询数据（3月返）'!$A:$A,1,FALSE)</f>
        <v>#N/A</v>
      </c>
      <c r="J5588" s="24" t="s">
        <v>3074</v>
      </c>
      <c r="K5588" s="16" t="s">
        <v>7436</v>
      </c>
      <c r="L5588" s="25"/>
      <c r="M5588" s="26" t="s">
        <v>7437</v>
      </c>
      <c r="N5588" s="28">
        <v>44394</v>
      </c>
      <c r="O5588" s="28" t="s">
        <v>457</v>
      </c>
      <c r="P5588" s="29">
        <v>5100</v>
      </c>
      <c r="Q5588" s="35">
        <v>20</v>
      </c>
      <c r="R5588" s="36">
        <f t="shared" si="127"/>
        <v>102000</v>
      </c>
      <c r="S5588" s="37">
        <v>202303</v>
      </c>
      <c r="T5588" s="38" t="s">
        <v>7498</v>
      </c>
      <c r="U5588" s="39"/>
      <c r="V5588" s="40"/>
      <c r="W5588" s="41"/>
      <c r="X5588" s="28">
        <v>43692</v>
      </c>
      <c r="Y5588" s="28">
        <v>45883</v>
      </c>
    </row>
    <row r="5589" s="9" customFormat="1" customHeight="1" spans="1:25">
      <c r="A5589" s="16" t="s">
        <v>403</v>
      </c>
      <c r="B5589" s="17" t="s">
        <v>7432</v>
      </c>
      <c r="C5589" s="17" t="s">
        <v>2833</v>
      </c>
      <c r="D5589" s="17" t="s">
        <v>6905</v>
      </c>
      <c r="E5589" s="18" t="s">
        <v>7433</v>
      </c>
      <c r="F5589" s="16" t="s">
        <v>7434</v>
      </c>
      <c r="G5589" s="16" t="s">
        <v>88</v>
      </c>
      <c r="H5589" s="19" t="s">
        <v>7435</v>
      </c>
      <c r="I5589" s="23" t="e">
        <f>VLOOKUP(H5589,'合同综合查询数据（3月返）'!$A:$A,1,FALSE)</f>
        <v>#N/A</v>
      </c>
      <c r="J5589" s="24" t="s">
        <v>3074</v>
      </c>
      <c r="K5589" s="16" t="s">
        <v>7436</v>
      </c>
      <c r="L5589" s="25"/>
      <c r="M5589" s="26" t="s">
        <v>7437</v>
      </c>
      <c r="N5589" s="28">
        <v>44397</v>
      </c>
      <c r="O5589" s="28" t="s">
        <v>457</v>
      </c>
      <c r="P5589" s="29">
        <v>5100</v>
      </c>
      <c r="Q5589" s="35">
        <v>3</v>
      </c>
      <c r="R5589" s="36">
        <f t="shared" si="127"/>
        <v>15300</v>
      </c>
      <c r="S5589" s="37">
        <v>202303</v>
      </c>
      <c r="T5589" s="38" t="s">
        <v>7499</v>
      </c>
      <c r="U5589" s="39"/>
      <c r="V5589" s="40"/>
      <c r="W5589" s="41"/>
      <c r="X5589" s="28">
        <v>43692</v>
      </c>
      <c r="Y5589" s="28">
        <v>45883</v>
      </c>
    </row>
    <row r="5590" s="9" customFormat="1" customHeight="1" spans="1:25">
      <c r="A5590" s="16" t="s">
        <v>403</v>
      </c>
      <c r="B5590" s="17" t="s">
        <v>7432</v>
      </c>
      <c r="C5590" s="17" t="s">
        <v>2833</v>
      </c>
      <c r="D5590" s="17" t="s">
        <v>6905</v>
      </c>
      <c r="E5590" s="18" t="s">
        <v>7433</v>
      </c>
      <c r="F5590" s="16" t="s">
        <v>7434</v>
      </c>
      <c r="G5590" s="16" t="s">
        <v>88</v>
      </c>
      <c r="H5590" s="19" t="s">
        <v>7435</v>
      </c>
      <c r="I5590" s="23" t="e">
        <f>VLOOKUP(H5590,'合同综合查询数据（3月返）'!$A:$A,1,FALSE)</f>
        <v>#N/A</v>
      </c>
      <c r="J5590" s="24" t="s">
        <v>3074</v>
      </c>
      <c r="K5590" s="16" t="s">
        <v>7436</v>
      </c>
      <c r="L5590" s="25"/>
      <c r="M5590" s="26" t="s">
        <v>7437</v>
      </c>
      <c r="N5590" s="28">
        <v>44428</v>
      </c>
      <c r="O5590" s="28" t="s">
        <v>457</v>
      </c>
      <c r="P5590" s="29">
        <v>5100</v>
      </c>
      <c r="Q5590" s="35">
        <v>4</v>
      </c>
      <c r="R5590" s="36">
        <f t="shared" si="127"/>
        <v>20400</v>
      </c>
      <c r="S5590" s="37">
        <v>202303</v>
      </c>
      <c r="T5590" s="38" t="s">
        <v>7500</v>
      </c>
      <c r="U5590" s="39"/>
      <c r="V5590" s="40"/>
      <c r="W5590" s="41"/>
      <c r="X5590" s="28">
        <v>43692</v>
      </c>
      <c r="Y5590" s="28">
        <v>45883</v>
      </c>
    </row>
    <row r="5591" s="9" customFormat="1" customHeight="1" spans="1:25">
      <c r="A5591" s="16" t="s">
        <v>403</v>
      </c>
      <c r="B5591" s="17" t="s">
        <v>7432</v>
      </c>
      <c r="C5591" s="17" t="s">
        <v>2833</v>
      </c>
      <c r="D5591" s="17" t="s">
        <v>6905</v>
      </c>
      <c r="E5591" s="18" t="s">
        <v>7433</v>
      </c>
      <c r="F5591" s="16" t="s">
        <v>7434</v>
      </c>
      <c r="G5591" s="16" t="s">
        <v>88</v>
      </c>
      <c r="H5591" s="19" t="s">
        <v>7435</v>
      </c>
      <c r="I5591" s="23" t="e">
        <f>VLOOKUP(H5591,'合同综合查询数据（3月返）'!$A:$A,1,FALSE)</f>
        <v>#N/A</v>
      </c>
      <c r="J5591" s="24" t="s">
        <v>3074</v>
      </c>
      <c r="K5591" s="16" t="s">
        <v>7436</v>
      </c>
      <c r="L5591" s="25"/>
      <c r="M5591" s="26" t="s">
        <v>7437</v>
      </c>
      <c r="N5591" s="28">
        <v>44439</v>
      </c>
      <c r="O5591" s="28" t="s">
        <v>457</v>
      </c>
      <c r="P5591" s="29">
        <v>5100</v>
      </c>
      <c r="Q5591" s="35">
        <v>9</v>
      </c>
      <c r="R5591" s="36">
        <f t="shared" si="127"/>
        <v>45900</v>
      </c>
      <c r="S5591" s="37">
        <v>202303</v>
      </c>
      <c r="T5591" s="38" t="s">
        <v>7501</v>
      </c>
      <c r="U5591" s="39"/>
      <c r="V5591" s="40"/>
      <c r="W5591" s="41"/>
      <c r="X5591" s="28">
        <v>43692</v>
      </c>
      <c r="Y5591" s="28">
        <v>45883</v>
      </c>
    </row>
    <row r="5592" s="9" customFormat="1" customHeight="1" spans="1:25">
      <c r="A5592" s="16" t="s">
        <v>403</v>
      </c>
      <c r="B5592" s="17" t="s">
        <v>7432</v>
      </c>
      <c r="C5592" s="17" t="s">
        <v>2833</v>
      </c>
      <c r="D5592" s="17" t="s">
        <v>6905</v>
      </c>
      <c r="E5592" s="18" t="s">
        <v>7433</v>
      </c>
      <c r="F5592" s="16" t="s">
        <v>7434</v>
      </c>
      <c r="G5592" s="16" t="s">
        <v>88</v>
      </c>
      <c r="H5592" s="19" t="s">
        <v>7435</v>
      </c>
      <c r="I5592" s="23" t="e">
        <f>VLOOKUP(H5592,'合同综合查询数据（3月返）'!$A:$A,1,FALSE)</f>
        <v>#N/A</v>
      </c>
      <c r="J5592" s="24" t="s">
        <v>3074</v>
      </c>
      <c r="K5592" s="16" t="s">
        <v>7436</v>
      </c>
      <c r="L5592" s="25"/>
      <c r="M5592" s="26" t="s">
        <v>7437</v>
      </c>
      <c r="N5592" s="28">
        <v>44461</v>
      </c>
      <c r="O5592" s="28" t="s">
        <v>457</v>
      </c>
      <c r="P5592" s="29">
        <v>5100</v>
      </c>
      <c r="Q5592" s="35">
        <v>44</v>
      </c>
      <c r="R5592" s="36">
        <f t="shared" si="127"/>
        <v>224400</v>
      </c>
      <c r="S5592" s="37">
        <v>202303</v>
      </c>
      <c r="T5592" s="38" t="s">
        <v>7502</v>
      </c>
      <c r="U5592" s="39"/>
      <c r="V5592" s="40"/>
      <c r="W5592" s="41"/>
      <c r="X5592" s="28">
        <v>43692</v>
      </c>
      <c r="Y5592" s="28">
        <v>45883</v>
      </c>
    </row>
    <row r="5593" s="9" customFormat="1" customHeight="1" spans="1:25">
      <c r="A5593" s="16" t="s">
        <v>403</v>
      </c>
      <c r="B5593" s="17" t="s">
        <v>7432</v>
      </c>
      <c r="C5593" s="17" t="s">
        <v>2833</v>
      </c>
      <c r="D5593" s="17" t="s">
        <v>6905</v>
      </c>
      <c r="E5593" s="18" t="s">
        <v>7433</v>
      </c>
      <c r="F5593" s="16" t="s">
        <v>7434</v>
      </c>
      <c r="G5593" s="16" t="s">
        <v>88</v>
      </c>
      <c r="H5593" s="19" t="s">
        <v>7435</v>
      </c>
      <c r="I5593" s="23" t="e">
        <f>VLOOKUP(H5593,'合同综合查询数据（3月返）'!$A:$A,1,FALSE)</f>
        <v>#N/A</v>
      </c>
      <c r="J5593" s="24" t="s">
        <v>3074</v>
      </c>
      <c r="K5593" s="16" t="s">
        <v>7436</v>
      </c>
      <c r="L5593" s="25"/>
      <c r="M5593" s="26" t="s">
        <v>7437</v>
      </c>
      <c r="N5593" s="28">
        <v>44462</v>
      </c>
      <c r="O5593" s="28" t="s">
        <v>457</v>
      </c>
      <c r="P5593" s="29">
        <v>5100</v>
      </c>
      <c r="Q5593" s="35">
        <v>41</v>
      </c>
      <c r="R5593" s="36">
        <f t="shared" si="127"/>
        <v>209100</v>
      </c>
      <c r="S5593" s="37">
        <v>202303</v>
      </c>
      <c r="T5593" s="38" t="s">
        <v>7503</v>
      </c>
      <c r="U5593" s="39"/>
      <c r="V5593" s="40"/>
      <c r="W5593" s="41"/>
      <c r="X5593" s="28">
        <v>43692</v>
      </c>
      <c r="Y5593" s="28">
        <v>45883</v>
      </c>
    </row>
    <row r="5594" s="9" customFormat="1" customHeight="1" spans="1:25">
      <c r="A5594" s="16" t="s">
        <v>403</v>
      </c>
      <c r="B5594" s="17" t="s">
        <v>7432</v>
      </c>
      <c r="C5594" s="17" t="s">
        <v>2833</v>
      </c>
      <c r="D5594" s="17" t="s">
        <v>6905</v>
      </c>
      <c r="E5594" s="18" t="s">
        <v>7433</v>
      </c>
      <c r="F5594" s="16" t="s">
        <v>7434</v>
      </c>
      <c r="G5594" s="16" t="s">
        <v>88</v>
      </c>
      <c r="H5594" s="19" t="s">
        <v>7435</v>
      </c>
      <c r="I5594" s="23" t="e">
        <f>VLOOKUP(H5594,'合同综合查询数据（3月返）'!$A:$A,1,FALSE)</f>
        <v>#N/A</v>
      </c>
      <c r="J5594" s="24" t="s">
        <v>3074</v>
      </c>
      <c r="K5594" s="16" t="s">
        <v>7436</v>
      </c>
      <c r="L5594" s="25"/>
      <c r="M5594" s="26" t="s">
        <v>7437</v>
      </c>
      <c r="N5594" s="28">
        <v>44463</v>
      </c>
      <c r="O5594" s="28" t="s">
        <v>457</v>
      </c>
      <c r="P5594" s="29">
        <v>5100</v>
      </c>
      <c r="Q5594" s="35">
        <v>81</v>
      </c>
      <c r="R5594" s="36">
        <f t="shared" si="127"/>
        <v>413100</v>
      </c>
      <c r="S5594" s="37">
        <v>202303</v>
      </c>
      <c r="T5594" s="38" t="s">
        <v>7504</v>
      </c>
      <c r="U5594" s="39"/>
      <c r="V5594" s="40"/>
      <c r="W5594" s="41"/>
      <c r="X5594" s="28">
        <v>43692</v>
      </c>
      <c r="Y5594" s="28">
        <v>45883</v>
      </c>
    </row>
    <row r="5595" s="9" customFormat="1" customHeight="1" spans="1:25">
      <c r="A5595" s="16" t="s">
        <v>403</v>
      </c>
      <c r="B5595" s="17" t="s">
        <v>7432</v>
      </c>
      <c r="C5595" s="17" t="s">
        <v>2833</v>
      </c>
      <c r="D5595" s="17" t="s">
        <v>6905</v>
      </c>
      <c r="E5595" s="18" t="s">
        <v>7433</v>
      </c>
      <c r="F5595" s="16" t="s">
        <v>7434</v>
      </c>
      <c r="G5595" s="16" t="s">
        <v>88</v>
      </c>
      <c r="H5595" s="19" t="s">
        <v>7435</v>
      </c>
      <c r="I5595" s="23" t="e">
        <f>VLOOKUP(H5595,'合同综合查询数据（3月返）'!$A:$A,1,FALSE)</f>
        <v>#N/A</v>
      </c>
      <c r="J5595" s="24" t="s">
        <v>3074</v>
      </c>
      <c r="K5595" s="16" t="s">
        <v>7436</v>
      </c>
      <c r="L5595" s="25"/>
      <c r="M5595" s="26" t="s">
        <v>7437</v>
      </c>
      <c r="N5595" s="28">
        <v>44466</v>
      </c>
      <c r="O5595" s="28" t="s">
        <v>457</v>
      </c>
      <c r="P5595" s="29">
        <v>5100</v>
      </c>
      <c r="Q5595" s="35">
        <v>29</v>
      </c>
      <c r="R5595" s="36">
        <f t="shared" si="127"/>
        <v>147900</v>
      </c>
      <c r="S5595" s="37">
        <v>202303</v>
      </c>
      <c r="T5595" s="38" t="s">
        <v>7505</v>
      </c>
      <c r="U5595" s="39"/>
      <c r="V5595" s="40"/>
      <c r="W5595" s="41"/>
      <c r="X5595" s="28">
        <v>43692</v>
      </c>
      <c r="Y5595" s="28">
        <v>45883</v>
      </c>
    </row>
    <row r="5596" s="9" customFormat="1" customHeight="1" spans="1:25">
      <c r="A5596" s="16" t="s">
        <v>403</v>
      </c>
      <c r="B5596" s="17" t="s">
        <v>7432</v>
      </c>
      <c r="C5596" s="17" t="s">
        <v>2833</v>
      </c>
      <c r="D5596" s="17" t="s">
        <v>6905</v>
      </c>
      <c r="E5596" s="18" t="s">
        <v>7433</v>
      </c>
      <c r="F5596" s="16" t="s">
        <v>7434</v>
      </c>
      <c r="G5596" s="16" t="s">
        <v>88</v>
      </c>
      <c r="H5596" s="19" t="s">
        <v>7435</v>
      </c>
      <c r="I5596" s="23" t="e">
        <f>VLOOKUP(H5596,'合同综合查询数据（3月返）'!$A:$A,1,FALSE)</f>
        <v>#N/A</v>
      </c>
      <c r="J5596" s="24" t="s">
        <v>3074</v>
      </c>
      <c r="K5596" s="16" t="s">
        <v>7436</v>
      </c>
      <c r="L5596" s="25"/>
      <c r="M5596" s="26" t="s">
        <v>7437</v>
      </c>
      <c r="N5596" s="28">
        <v>44468</v>
      </c>
      <c r="O5596" s="28" t="s">
        <v>457</v>
      </c>
      <c r="P5596" s="29">
        <v>5100</v>
      </c>
      <c r="Q5596" s="35">
        <v>112</v>
      </c>
      <c r="R5596" s="36">
        <f t="shared" si="127"/>
        <v>571200</v>
      </c>
      <c r="S5596" s="37">
        <v>202303</v>
      </c>
      <c r="T5596" s="38" t="s">
        <v>7506</v>
      </c>
      <c r="U5596" s="39"/>
      <c r="V5596" s="40"/>
      <c r="W5596" s="41"/>
      <c r="X5596" s="28">
        <v>43692</v>
      </c>
      <c r="Y5596" s="28">
        <v>45883</v>
      </c>
    </row>
    <row r="5597" s="9" customFormat="1" customHeight="1" spans="1:25">
      <c r="A5597" s="16" t="s">
        <v>403</v>
      </c>
      <c r="B5597" s="17" t="s">
        <v>7432</v>
      </c>
      <c r="C5597" s="17" t="s">
        <v>2833</v>
      </c>
      <c r="D5597" s="17" t="s">
        <v>6905</v>
      </c>
      <c r="E5597" s="18" t="s">
        <v>7433</v>
      </c>
      <c r="F5597" s="16" t="s">
        <v>7434</v>
      </c>
      <c r="G5597" s="16" t="s">
        <v>88</v>
      </c>
      <c r="H5597" s="19" t="s">
        <v>7435</v>
      </c>
      <c r="I5597" s="23" t="e">
        <f>VLOOKUP(H5597,'合同综合查询数据（3月返）'!$A:$A,1,FALSE)</f>
        <v>#N/A</v>
      </c>
      <c r="J5597" s="24" t="s">
        <v>3074</v>
      </c>
      <c r="K5597" s="16" t="s">
        <v>7436</v>
      </c>
      <c r="L5597" s="25"/>
      <c r="M5597" s="26" t="s">
        <v>7437</v>
      </c>
      <c r="N5597" s="28">
        <v>44500</v>
      </c>
      <c r="O5597" s="28" t="s">
        <v>457</v>
      </c>
      <c r="P5597" s="29">
        <v>5100</v>
      </c>
      <c r="Q5597" s="35">
        <v>5</v>
      </c>
      <c r="R5597" s="36">
        <f t="shared" si="127"/>
        <v>25500</v>
      </c>
      <c r="S5597" s="37">
        <v>202303</v>
      </c>
      <c r="T5597" s="38" t="s">
        <v>7507</v>
      </c>
      <c r="U5597" s="39"/>
      <c r="V5597" s="40"/>
      <c r="W5597" s="41"/>
      <c r="X5597" s="28">
        <v>43692</v>
      </c>
      <c r="Y5597" s="28">
        <v>45883</v>
      </c>
    </row>
    <row r="5598" s="9" customFormat="1" customHeight="1" spans="1:25">
      <c r="A5598" s="16" t="s">
        <v>403</v>
      </c>
      <c r="B5598" s="17" t="s">
        <v>7432</v>
      </c>
      <c r="C5598" s="17" t="s">
        <v>2833</v>
      </c>
      <c r="D5598" s="17" t="s">
        <v>6905</v>
      </c>
      <c r="E5598" s="18" t="s">
        <v>7433</v>
      </c>
      <c r="F5598" s="16" t="s">
        <v>7434</v>
      </c>
      <c r="G5598" s="16" t="s">
        <v>88</v>
      </c>
      <c r="H5598" s="19" t="s">
        <v>7435</v>
      </c>
      <c r="I5598" s="23" t="e">
        <f>VLOOKUP(H5598,'合同综合查询数据（3月返）'!$A:$A,1,FALSE)</f>
        <v>#N/A</v>
      </c>
      <c r="J5598" s="24" t="s">
        <v>3074</v>
      </c>
      <c r="K5598" s="16" t="s">
        <v>7436</v>
      </c>
      <c r="L5598" s="25"/>
      <c r="M5598" s="26" t="s">
        <v>7437</v>
      </c>
      <c r="N5598" s="28">
        <v>44734</v>
      </c>
      <c r="O5598" s="28" t="s">
        <v>511</v>
      </c>
      <c r="P5598" s="29">
        <v>5100</v>
      </c>
      <c r="Q5598" s="35">
        <v>1</v>
      </c>
      <c r="R5598" s="36">
        <f t="shared" si="127"/>
        <v>5100</v>
      </c>
      <c r="S5598" s="37">
        <v>202303</v>
      </c>
      <c r="T5598" s="38" t="s">
        <v>7508</v>
      </c>
      <c r="U5598" s="39"/>
      <c r="V5598" s="40"/>
      <c r="W5598" s="41"/>
      <c r="X5598" s="28">
        <v>43692</v>
      </c>
      <c r="Y5598" s="28">
        <v>45883</v>
      </c>
    </row>
    <row r="5599" s="9" customFormat="1" customHeight="1" spans="1:25">
      <c r="A5599" s="16" t="s">
        <v>403</v>
      </c>
      <c r="B5599" s="17" t="s">
        <v>7432</v>
      </c>
      <c r="C5599" s="17" t="s">
        <v>2833</v>
      </c>
      <c r="D5599" s="17" t="s">
        <v>6905</v>
      </c>
      <c r="E5599" s="18" t="s">
        <v>7433</v>
      </c>
      <c r="F5599" s="16" t="s">
        <v>7434</v>
      </c>
      <c r="G5599" s="16" t="s">
        <v>88</v>
      </c>
      <c r="H5599" s="19" t="s">
        <v>7435</v>
      </c>
      <c r="I5599" s="23" t="e">
        <f>VLOOKUP(H5599,'合同综合查询数据（3月返）'!$A:$A,1,FALSE)</f>
        <v>#N/A</v>
      </c>
      <c r="J5599" s="24" t="s">
        <v>3074</v>
      </c>
      <c r="K5599" s="16" t="s">
        <v>7436</v>
      </c>
      <c r="L5599" s="25"/>
      <c r="M5599" s="26" t="s">
        <v>7437</v>
      </c>
      <c r="N5599" s="28">
        <v>44756</v>
      </c>
      <c r="O5599" s="28" t="s">
        <v>457</v>
      </c>
      <c r="P5599" s="29">
        <v>5100</v>
      </c>
      <c r="Q5599" s="35">
        <v>1</v>
      </c>
      <c r="R5599" s="36">
        <f t="shared" si="127"/>
        <v>5100</v>
      </c>
      <c r="S5599" s="37">
        <v>202303</v>
      </c>
      <c r="T5599" s="38" t="s">
        <v>7509</v>
      </c>
      <c r="U5599" s="39"/>
      <c r="V5599" s="40"/>
      <c r="W5599" s="41"/>
      <c r="X5599" s="28">
        <v>43692</v>
      </c>
      <c r="Y5599" s="28">
        <v>45883</v>
      </c>
    </row>
    <row r="5600" s="9" customFormat="1" customHeight="1" spans="1:25">
      <c r="A5600" s="16" t="s">
        <v>403</v>
      </c>
      <c r="B5600" s="17" t="s">
        <v>7432</v>
      </c>
      <c r="C5600" s="17" t="s">
        <v>2833</v>
      </c>
      <c r="D5600" s="17" t="s">
        <v>6905</v>
      </c>
      <c r="E5600" s="18" t="s">
        <v>7433</v>
      </c>
      <c r="F5600" s="16" t="s">
        <v>7434</v>
      </c>
      <c r="G5600" s="16" t="s">
        <v>88</v>
      </c>
      <c r="H5600" s="19" t="s">
        <v>7435</v>
      </c>
      <c r="I5600" s="23" t="e">
        <f>VLOOKUP(H5600,'合同综合查询数据（3月返）'!$A:$A,1,FALSE)</f>
        <v>#N/A</v>
      </c>
      <c r="J5600" s="24" t="s">
        <v>3074</v>
      </c>
      <c r="K5600" s="16" t="s">
        <v>7436</v>
      </c>
      <c r="L5600" s="25"/>
      <c r="M5600" s="26" t="s">
        <v>7437</v>
      </c>
      <c r="N5600" s="28">
        <v>44825</v>
      </c>
      <c r="O5600" s="28" t="s">
        <v>511</v>
      </c>
      <c r="P5600" s="29">
        <v>5100</v>
      </c>
      <c r="Q5600" s="35">
        <v>2</v>
      </c>
      <c r="R5600" s="36">
        <f t="shared" si="127"/>
        <v>10200</v>
      </c>
      <c r="S5600" s="37">
        <v>202303</v>
      </c>
      <c r="T5600" s="38" t="s">
        <v>7510</v>
      </c>
      <c r="U5600" s="39"/>
      <c r="V5600" s="40"/>
      <c r="W5600" s="41"/>
      <c r="X5600" s="28">
        <v>43692</v>
      </c>
      <c r="Y5600" s="28">
        <v>45883</v>
      </c>
    </row>
    <row r="5601" s="9" customFormat="1" customHeight="1" spans="1:25">
      <c r="A5601" s="16" t="s">
        <v>403</v>
      </c>
      <c r="B5601" s="17" t="s">
        <v>7432</v>
      </c>
      <c r="C5601" s="17" t="s">
        <v>2833</v>
      </c>
      <c r="D5601" s="17" t="s">
        <v>6905</v>
      </c>
      <c r="E5601" s="18" t="s">
        <v>7433</v>
      </c>
      <c r="F5601" s="16" t="s">
        <v>7434</v>
      </c>
      <c r="G5601" s="16" t="s">
        <v>88</v>
      </c>
      <c r="H5601" s="19" t="s">
        <v>7435</v>
      </c>
      <c r="I5601" s="23" t="e">
        <f>VLOOKUP(H5601,'合同综合查询数据（3月返）'!$A:$A,1,FALSE)</f>
        <v>#N/A</v>
      </c>
      <c r="J5601" s="24" t="s">
        <v>3074</v>
      </c>
      <c r="K5601" s="16" t="s">
        <v>7436</v>
      </c>
      <c r="L5601" s="25"/>
      <c r="M5601" s="26" t="s">
        <v>7437</v>
      </c>
      <c r="N5601" s="28">
        <v>44869</v>
      </c>
      <c r="O5601" s="28" t="s">
        <v>457</v>
      </c>
      <c r="P5601" s="29">
        <v>5100</v>
      </c>
      <c r="Q5601" s="35">
        <v>-137</v>
      </c>
      <c r="R5601" s="36">
        <f t="shared" si="127"/>
        <v>-698700</v>
      </c>
      <c r="S5601" s="37">
        <v>202303</v>
      </c>
      <c r="T5601" s="38" t="s">
        <v>7511</v>
      </c>
      <c r="U5601" s="39"/>
      <c r="V5601" s="40"/>
      <c r="W5601" s="41"/>
      <c r="X5601" s="28">
        <v>43692</v>
      </c>
      <c r="Y5601" s="28">
        <v>45883</v>
      </c>
    </row>
    <row r="5602" s="9" customFormat="1" customHeight="1" spans="1:25">
      <c r="A5602" s="16" t="s">
        <v>403</v>
      </c>
      <c r="B5602" s="17" t="s">
        <v>7432</v>
      </c>
      <c r="C5602" s="17" t="s">
        <v>2833</v>
      </c>
      <c r="D5602" s="17" t="s">
        <v>6905</v>
      </c>
      <c r="E5602" s="18" t="s">
        <v>7433</v>
      </c>
      <c r="F5602" s="16" t="s">
        <v>7434</v>
      </c>
      <c r="G5602" s="16" t="s">
        <v>88</v>
      </c>
      <c r="H5602" s="19" t="s">
        <v>7435</v>
      </c>
      <c r="I5602" s="23" t="e">
        <f>VLOOKUP(H5602,'合同综合查询数据（3月返）'!$A:$A,1,FALSE)</f>
        <v>#N/A</v>
      </c>
      <c r="J5602" s="24" t="s">
        <v>3074</v>
      </c>
      <c r="K5602" s="16" t="s">
        <v>7436</v>
      </c>
      <c r="L5602" s="25"/>
      <c r="M5602" s="26" t="s">
        <v>7437</v>
      </c>
      <c r="N5602" s="28">
        <v>44869</v>
      </c>
      <c r="O5602" s="28" t="s">
        <v>457</v>
      </c>
      <c r="P5602" s="29">
        <v>5100</v>
      </c>
      <c r="Q5602" s="35">
        <v>-3</v>
      </c>
      <c r="R5602" s="36">
        <f t="shared" si="127"/>
        <v>-15300</v>
      </c>
      <c r="S5602" s="37">
        <v>202303</v>
      </c>
      <c r="T5602" s="38" t="s">
        <v>7512</v>
      </c>
      <c r="U5602" s="39"/>
      <c r="V5602" s="40"/>
      <c r="W5602" s="41"/>
      <c r="X5602" s="28">
        <v>43692</v>
      </c>
      <c r="Y5602" s="28">
        <v>45883</v>
      </c>
    </row>
    <row r="5603" s="9" customFormat="1" customHeight="1" spans="1:25">
      <c r="A5603" s="16" t="s">
        <v>403</v>
      </c>
      <c r="B5603" s="17" t="s">
        <v>7432</v>
      </c>
      <c r="C5603" s="17" t="s">
        <v>2833</v>
      </c>
      <c r="D5603" s="17" t="s">
        <v>6905</v>
      </c>
      <c r="E5603" s="18" t="s">
        <v>7433</v>
      </c>
      <c r="F5603" s="16" t="s">
        <v>7434</v>
      </c>
      <c r="G5603" s="16" t="s">
        <v>88</v>
      </c>
      <c r="H5603" s="19" t="s">
        <v>7435</v>
      </c>
      <c r="I5603" s="23" t="e">
        <f>VLOOKUP(H5603,'合同综合查询数据（3月返）'!$A:$A,1,FALSE)</f>
        <v>#N/A</v>
      </c>
      <c r="J5603" s="24" t="s">
        <v>3074</v>
      </c>
      <c r="K5603" s="16" t="s">
        <v>7436</v>
      </c>
      <c r="L5603" s="25"/>
      <c r="M5603" s="26" t="s">
        <v>7437</v>
      </c>
      <c r="N5603" s="28">
        <v>44911</v>
      </c>
      <c r="O5603" s="28" t="s">
        <v>457</v>
      </c>
      <c r="P5603" s="29">
        <v>5100</v>
      </c>
      <c r="Q5603" s="35">
        <v>-3</v>
      </c>
      <c r="R5603" s="116">
        <f t="shared" si="127"/>
        <v>-15300</v>
      </c>
      <c r="S5603" s="37">
        <v>202303</v>
      </c>
      <c r="T5603" s="38" t="s">
        <v>7513</v>
      </c>
      <c r="U5603" s="39"/>
      <c r="V5603" s="40"/>
      <c r="W5603" s="41"/>
      <c r="X5603" s="28">
        <v>43692</v>
      </c>
      <c r="Y5603" s="28">
        <v>45883</v>
      </c>
    </row>
    <row r="5604" s="9" customFormat="1" customHeight="1" spans="1:25">
      <c r="A5604" s="16" t="s">
        <v>403</v>
      </c>
      <c r="B5604" s="17" t="s">
        <v>7432</v>
      </c>
      <c r="C5604" s="17" t="s">
        <v>2833</v>
      </c>
      <c r="D5604" s="17" t="s">
        <v>6905</v>
      </c>
      <c r="E5604" s="18" t="s">
        <v>7433</v>
      </c>
      <c r="F5604" s="16" t="s">
        <v>7434</v>
      </c>
      <c r="G5604" s="16" t="s">
        <v>88</v>
      </c>
      <c r="H5604" s="19" t="s">
        <v>7435</v>
      </c>
      <c r="I5604" s="23" t="e">
        <f>VLOOKUP(H5604,'合同综合查询数据（3月返）'!$A:$A,1,FALSE)</f>
        <v>#N/A</v>
      </c>
      <c r="J5604" s="24" t="s">
        <v>312</v>
      </c>
      <c r="K5604" s="16" t="s">
        <v>7436</v>
      </c>
      <c r="L5604" s="25"/>
      <c r="M5604" s="26" t="s">
        <v>7437</v>
      </c>
      <c r="N5604" s="28">
        <v>43837</v>
      </c>
      <c r="O5604" s="28" t="s">
        <v>529</v>
      </c>
      <c r="P5604" s="29">
        <v>300</v>
      </c>
      <c r="Q5604" s="35">
        <v>300</v>
      </c>
      <c r="R5604" s="36">
        <f t="shared" si="127"/>
        <v>90000</v>
      </c>
      <c r="S5604" s="37">
        <v>202303</v>
      </c>
      <c r="T5604" s="38" t="s">
        <v>7514</v>
      </c>
      <c r="U5604" s="39"/>
      <c r="V5604" s="40"/>
      <c r="W5604" s="41"/>
      <c r="X5604" s="28">
        <v>43692</v>
      </c>
      <c r="Y5604" s="28">
        <v>45883</v>
      </c>
    </row>
    <row r="5605" s="10" customFormat="1" customHeight="1" spans="1:25">
      <c r="A5605" s="43" t="s">
        <v>403</v>
      </c>
      <c r="B5605" s="43" t="s">
        <v>7432</v>
      </c>
      <c r="C5605" s="43" t="s">
        <v>2833</v>
      </c>
      <c r="D5605" s="43" t="s">
        <v>6905</v>
      </c>
      <c r="E5605" s="44" t="s">
        <v>7433</v>
      </c>
      <c r="F5605" s="42" t="s">
        <v>7434</v>
      </c>
      <c r="G5605" s="42" t="s">
        <v>78</v>
      </c>
      <c r="H5605" s="45" t="s">
        <v>7515</v>
      </c>
      <c r="I5605" s="47" t="e">
        <f>VLOOKUP(H5605,'合同综合查询数据（3月返）'!$A:$A,1,FALSE)</f>
        <v>#N/A</v>
      </c>
      <c r="J5605" s="48" t="s">
        <v>475</v>
      </c>
      <c r="K5605" s="42" t="s">
        <v>7436</v>
      </c>
      <c r="L5605" s="49"/>
      <c r="M5605" s="50" t="s">
        <v>7437</v>
      </c>
      <c r="N5605" s="51"/>
      <c r="O5605" s="51"/>
      <c r="P5605" s="52">
        <v>1530</v>
      </c>
      <c r="Q5605" s="53">
        <v>289</v>
      </c>
      <c r="R5605" s="54">
        <f t="shared" si="127"/>
        <v>442170</v>
      </c>
      <c r="S5605" s="55">
        <v>202303</v>
      </c>
      <c r="T5605" s="56" t="s">
        <v>7516</v>
      </c>
      <c r="U5605" s="57"/>
      <c r="V5605" s="58"/>
      <c r="W5605" s="59"/>
      <c r="X5605" s="51"/>
      <c r="Y5605" s="51"/>
    </row>
    <row r="5606" s="9" customFormat="1" customHeight="1" spans="1:25">
      <c r="A5606" s="16" t="s">
        <v>403</v>
      </c>
      <c r="B5606" s="17" t="s">
        <v>7432</v>
      </c>
      <c r="C5606" s="17" t="s">
        <v>2833</v>
      </c>
      <c r="D5606" s="17" t="s">
        <v>6905</v>
      </c>
      <c r="E5606" s="18" t="s">
        <v>7433</v>
      </c>
      <c r="F5606" s="16" t="s">
        <v>7434</v>
      </c>
      <c r="G5606" s="16" t="s">
        <v>31</v>
      </c>
      <c r="H5606" s="19" t="s">
        <v>7435</v>
      </c>
      <c r="I5606" s="23" t="e">
        <f>VLOOKUP(H5606,'合同综合查询数据（3月返）'!$A:$A,1,FALSE)</f>
        <v>#N/A</v>
      </c>
      <c r="J5606" s="24" t="s">
        <v>7517</v>
      </c>
      <c r="K5606" s="16" t="s">
        <v>7436</v>
      </c>
      <c r="L5606" s="25"/>
      <c r="M5606" s="26" t="s">
        <v>7437</v>
      </c>
      <c r="N5606" s="28">
        <v>43840</v>
      </c>
      <c r="O5606" s="28" t="s">
        <v>37</v>
      </c>
      <c r="P5606" s="29">
        <v>10</v>
      </c>
      <c r="Q5606" s="35">
        <v>256</v>
      </c>
      <c r="R5606" s="36">
        <f t="shared" si="127"/>
        <v>2560</v>
      </c>
      <c r="S5606" s="37">
        <v>202303</v>
      </c>
      <c r="T5606" s="38" t="s">
        <v>7518</v>
      </c>
      <c r="U5606" s="39"/>
      <c r="V5606" s="40"/>
      <c r="W5606" s="41"/>
      <c r="X5606" s="28">
        <v>43692</v>
      </c>
      <c r="Y5606" s="28">
        <v>45883</v>
      </c>
    </row>
    <row r="5607" s="9" customFormat="1" customHeight="1" spans="1:25">
      <c r="A5607" s="16" t="s">
        <v>403</v>
      </c>
      <c r="B5607" s="17" t="s">
        <v>7432</v>
      </c>
      <c r="C5607" s="17" t="s">
        <v>2833</v>
      </c>
      <c r="D5607" s="17" t="s">
        <v>6905</v>
      </c>
      <c r="E5607" s="18" t="s">
        <v>7433</v>
      </c>
      <c r="F5607" s="16" t="s">
        <v>7434</v>
      </c>
      <c r="G5607" s="16" t="s">
        <v>31</v>
      </c>
      <c r="H5607" s="19" t="s">
        <v>7435</v>
      </c>
      <c r="I5607" s="23" t="e">
        <f>VLOOKUP(H5607,'合同综合查询数据（3月返）'!$A:$A,1,FALSE)</f>
        <v>#N/A</v>
      </c>
      <c r="J5607" s="24" t="s">
        <v>7517</v>
      </c>
      <c r="K5607" s="16" t="s">
        <v>7436</v>
      </c>
      <c r="L5607" s="25"/>
      <c r="M5607" s="26" t="s">
        <v>7437</v>
      </c>
      <c r="N5607" s="28">
        <v>44005</v>
      </c>
      <c r="O5607" s="28" t="s">
        <v>37</v>
      </c>
      <c r="P5607" s="29">
        <v>10</v>
      </c>
      <c r="Q5607" s="35">
        <v>512</v>
      </c>
      <c r="R5607" s="36">
        <f t="shared" si="127"/>
        <v>5120</v>
      </c>
      <c r="S5607" s="37">
        <v>202303</v>
      </c>
      <c r="T5607" s="38" t="s">
        <v>7519</v>
      </c>
      <c r="U5607" s="39"/>
      <c r="V5607" s="40"/>
      <c r="W5607" s="41"/>
      <c r="X5607" s="28">
        <v>43692</v>
      </c>
      <c r="Y5607" s="28">
        <v>45883</v>
      </c>
    </row>
    <row r="5608" s="9" customFormat="1" customHeight="1" spans="1:25">
      <c r="A5608" s="16" t="s">
        <v>403</v>
      </c>
      <c r="B5608" s="17" t="s">
        <v>7432</v>
      </c>
      <c r="C5608" s="17" t="s">
        <v>2833</v>
      </c>
      <c r="D5608" s="17" t="s">
        <v>6905</v>
      </c>
      <c r="E5608" s="18" t="s">
        <v>7433</v>
      </c>
      <c r="F5608" s="16" t="s">
        <v>7434</v>
      </c>
      <c r="G5608" s="16" t="s">
        <v>31</v>
      </c>
      <c r="H5608" s="19" t="s">
        <v>7435</v>
      </c>
      <c r="I5608" s="23" t="e">
        <f>VLOOKUP(H5608,'合同综合查询数据（3月返）'!$A:$A,1,FALSE)</f>
        <v>#N/A</v>
      </c>
      <c r="J5608" s="24" t="s">
        <v>7517</v>
      </c>
      <c r="K5608" s="16" t="s">
        <v>7436</v>
      </c>
      <c r="L5608" s="25"/>
      <c r="M5608" s="26" t="s">
        <v>7437</v>
      </c>
      <c r="N5608" s="28">
        <v>44230</v>
      </c>
      <c r="O5608" s="28" t="s">
        <v>37</v>
      </c>
      <c r="P5608" s="29">
        <v>10</v>
      </c>
      <c r="Q5608" s="35">
        <v>512</v>
      </c>
      <c r="R5608" s="36">
        <f t="shared" si="127"/>
        <v>5120</v>
      </c>
      <c r="S5608" s="37">
        <v>202303</v>
      </c>
      <c r="T5608" s="38" t="s">
        <v>7520</v>
      </c>
      <c r="U5608" s="39"/>
      <c r="V5608" s="40"/>
      <c r="W5608" s="41"/>
      <c r="X5608" s="28">
        <v>43692</v>
      </c>
      <c r="Y5608" s="28">
        <v>45883</v>
      </c>
    </row>
    <row r="5609" s="9" customFormat="1" customHeight="1" spans="1:25">
      <c r="A5609" s="16" t="s">
        <v>403</v>
      </c>
      <c r="B5609" s="17" t="s">
        <v>7432</v>
      </c>
      <c r="C5609" s="17" t="s">
        <v>2833</v>
      </c>
      <c r="D5609" s="17" t="s">
        <v>6905</v>
      </c>
      <c r="E5609" s="18" t="s">
        <v>7521</v>
      </c>
      <c r="F5609" s="16" t="s">
        <v>7522</v>
      </c>
      <c r="G5609" s="16" t="s">
        <v>302</v>
      </c>
      <c r="H5609" s="19" t="s">
        <v>7523</v>
      </c>
      <c r="I5609" s="23" t="e">
        <f>VLOOKUP(H5609,'合同综合查询数据（3月返）'!$A:$A,1,FALSE)</f>
        <v>#N/A</v>
      </c>
      <c r="J5609" s="24" t="s">
        <v>302</v>
      </c>
      <c r="K5609" s="16" t="s">
        <v>7524</v>
      </c>
      <c r="L5609" s="25"/>
      <c r="M5609" s="26"/>
      <c r="N5609" s="28">
        <v>43749</v>
      </c>
      <c r="O5609" s="28" t="s">
        <v>1366</v>
      </c>
      <c r="P5609" s="29">
        <v>225000</v>
      </c>
      <c r="Q5609" s="35">
        <v>1</v>
      </c>
      <c r="R5609" s="36">
        <f t="shared" si="127"/>
        <v>225000</v>
      </c>
      <c r="S5609" s="37">
        <v>202303</v>
      </c>
      <c r="T5609" s="38" t="s">
        <v>7525</v>
      </c>
      <c r="U5609" s="39"/>
      <c r="V5609" s="40"/>
      <c r="W5609" s="41"/>
      <c r="X5609" s="28">
        <v>43770</v>
      </c>
      <c r="Y5609" s="28">
        <v>45230</v>
      </c>
    </row>
    <row r="5610" s="9" customFormat="1" customHeight="1" spans="1:25">
      <c r="A5610" s="16" t="s">
        <v>403</v>
      </c>
      <c r="B5610" s="17" t="s">
        <v>7432</v>
      </c>
      <c r="C5610" s="17" t="s">
        <v>2833</v>
      </c>
      <c r="D5610" s="17" t="s">
        <v>6905</v>
      </c>
      <c r="E5610" s="18" t="s">
        <v>7521</v>
      </c>
      <c r="F5610" s="16" t="s">
        <v>7522</v>
      </c>
      <c r="G5610" s="16" t="s">
        <v>302</v>
      </c>
      <c r="H5610" s="19" t="s">
        <v>7523</v>
      </c>
      <c r="I5610" s="23" t="e">
        <f>VLOOKUP(H5610,'合同综合查询数据（3月返）'!$A:$A,1,FALSE)</f>
        <v>#N/A</v>
      </c>
      <c r="J5610" s="24" t="s">
        <v>302</v>
      </c>
      <c r="K5610" s="16" t="s">
        <v>7524</v>
      </c>
      <c r="L5610" s="25"/>
      <c r="M5610" s="26"/>
      <c r="N5610" s="28">
        <v>43802</v>
      </c>
      <c r="O5610" s="28" t="s">
        <v>1366</v>
      </c>
      <c r="P5610" s="29">
        <v>225000</v>
      </c>
      <c r="Q5610" s="35">
        <v>1</v>
      </c>
      <c r="R5610" s="36">
        <f t="shared" si="127"/>
        <v>225000</v>
      </c>
      <c r="S5610" s="37">
        <v>202303</v>
      </c>
      <c r="T5610" s="38" t="s">
        <v>7525</v>
      </c>
      <c r="U5610" s="39"/>
      <c r="V5610" s="40"/>
      <c r="W5610" s="41"/>
      <c r="X5610" s="28">
        <v>43770</v>
      </c>
      <c r="Y5610" s="28">
        <v>45230</v>
      </c>
    </row>
    <row r="5611" s="9" customFormat="1" customHeight="1" spans="1:25">
      <c r="A5611" s="16" t="s">
        <v>403</v>
      </c>
      <c r="B5611" s="17" t="s">
        <v>7432</v>
      </c>
      <c r="C5611" s="17" t="s">
        <v>2833</v>
      </c>
      <c r="D5611" s="17" t="s">
        <v>6905</v>
      </c>
      <c r="E5611" s="18" t="s">
        <v>7526</v>
      </c>
      <c r="F5611" s="16" t="s">
        <v>7527</v>
      </c>
      <c r="G5611" s="16" t="s">
        <v>302</v>
      </c>
      <c r="H5611" s="19" t="s">
        <v>7528</v>
      </c>
      <c r="I5611" s="23" t="e">
        <f>VLOOKUP(H5611,'合同综合查询数据（3月返）'!$A:$A,1,FALSE)</f>
        <v>#N/A</v>
      </c>
      <c r="J5611" s="24" t="s">
        <v>302</v>
      </c>
      <c r="K5611" s="16" t="s">
        <v>7529</v>
      </c>
      <c r="L5611" s="25"/>
      <c r="M5611" s="26"/>
      <c r="N5611" s="28">
        <v>44064</v>
      </c>
      <c r="O5611" s="28" t="s">
        <v>440</v>
      </c>
      <c r="P5611" s="29">
        <v>5800</v>
      </c>
      <c r="Q5611" s="35">
        <v>1</v>
      </c>
      <c r="R5611" s="36">
        <f t="shared" si="127"/>
        <v>5800</v>
      </c>
      <c r="S5611" s="37">
        <v>202303</v>
      </c>
      <c r="T5611" s="38" t="s">
        <v>7530</v>
      </c>
      <c r="U5611" s="39"/>
      <c r="V5611" s="40"/>
      <c r="W5611" s="41"/>
      <c r="X5611" s="28">
        <v>44770</v>
      </c>
      <c r="Y5611" s="28">
        <v>45016</v>
      </c>
    </row>
    <row r="5612" s="9" customFormat="1" customHeight="1" spans="1:25">
      <c r="A5612" s="16" t="s">
        <v>403</v>
      </c>
      <c r="B5612" s="17" t="s">
        <v>7432</v>
      </c>
      <c r="C5612" s="17" t="s">
        <v>2833</v>
      </c>
      <c r="D5612" s="17" t="s">
        <v>6905</v>
      </c>
      <c r="E5612" s="18" t="s">
        <v>7526</v>
      </c>
      <c r="F5612" s="16" t="s">
        <v>7527</v>
      </c>
      <c r="G5612" s="16" t="s">
        <v>302</v>
      </c>
      <c r="H5612" s="19" t="s">
        <v>7528</v>
      </c>
      <c r="I5612" s="23" t="e">
        <f>VLOOKUP(H5612,'合同综合查询数据（3月返）'!$A:$A,1,FALSE)</f>
        <v>#N/A</v>
      </c>
      <c r="J5612" s="24" t="s">
        <v>302</v>
      </c>
      <c r="K5612" s="16" t="s">
        <v>7531</v>
      </c>
      <c r="L5612" s="25"/>
      <c r="M5612" s="26"/>
      <c r="N5612" s="28">
        <v>44098</v>
      </c>
      <c r="O5612" s="28" t="s">
        <v>440</v>
      </c>
      <c r="P5612" s="29">
        <v>5800</v>
      </c>
      <c r="Q5612" s="35">
        <v>1</v>
      </c>
      <c r="R5612" s="36">
        <f t="shared" si="127"/>
        <v>5800</v>
      </c>
      <c r="S5612" s="37">
        <v>202303</v>
      </c>
      <c r="T5612" s="38" t="s">
        <v>7532</v>
      </c>
      <c r="U5612" s="39"/>
      <c r="V5612" s="40"/>
      <c r="W5612" s="41"/>
      <c r="X5612" s="28">
        <v>44770</v>
      </c>
      <c r="Y5612" s="28">
        <v>45016</v>
      </c>
    </row>
    <row r="5613" s="9" customFormat="1" customHeight="1" spans="1:25">
      <c r="A5613" s="16" t="s">
        <v>403</v>
      </c>
      <c r="B5613" s="17" t="s">
        <v>7432</v>
      </c>
      <c r="C5613" s="17" t="s">
        <v>2833</v>
      </c>
      <c r="D5613" s="17" t="s">
        <v>6905</v>
      </c>
      <c r="E5613" s="18" t="s">
        <v>7526</v>
      </c>
      <c r="F5613" s="16" t="s">
        <v>7527</v>
      </c>
      <c r="G5613" s="16" t="s">
        <v>302</v>
      </c>
      <c r="H5613" s="19" t="s">
        <v>7528</v>
      </c>
      <c r="I5613" s="23" t="e">
        <f>VLOOKUP(H5613,'合同综合查询数据（3月返）'!$A:$A,1,FALSE)</f>
        <v>#N/A</v>
      </c>
      <c r="J5613" s="24" t="s">
        <v>302</v>
      </c>
      <c r="K5613" s="16" t="s">
        <v>7533</v>
      </c>
      <c r="L5613" s="25"/>
      <c r="M5613" s="26"/>
      <c r="N5613" s="28">
        <v>44176</v>
      </c>
      <c r="O5613" s="28" t="s">
        <v>440</v>
      </c>
      <c r="P5613" s="29">
        <v>5800</v>
      </c>
      <c r="Q5613" s="35">
        <v>1</v>
      </c>
      <c r="R5613" s="36">
        <f t="shared" si="127"/>
        <v>5800</v>
      </c>
      <c r="S5613" s="37">
        <v>202303</v>
      </c>
      <c r="T5613" s="38" t="s">
        <v>7534</v>
      </c>
      <c r="U5613" s="39"/>
      <c r="V5613" s="40"/>
      <c r="W5613" s="41"/>
      <c r="X5613" s="28">
        <v>44770</v>
      </c>
      <c r="Y5613" s="28">
        <v>45016</v>
      </c>
    </row>
    <row r="5614" s="9" customFormat="1" customHeight="1" spans="1:25">
      <c r="A5614" s="16" t="s">
        <v>403</v>
      </c>
      <c r="B5614" s="17" t="s">
        <v>7432</v>
      </c>
      <c r="C5614" s="17" t="s">
        <v>2833</v>
      </c>
      <c r="D5614" s="17" t="s">
        <v>6905</v>
      </c>
      <c r="E5614" s="18" t="s">
        <v>7535</v>
      </c>
      <c r="F5614" s="16" t="s">
        <v>7434</v>
      </c>
      <c r="G5614" s="16" t="s">
        <v>88</v>
      </c>
      <c r="H5614" s="19" t="s">
        <v>7536</v>
      </c>
      <c r="I5614" s="23" t="e">
        <f>VLOOKUP(H5614,'合同综合查询数据（3月返）'!$A:$A,1,FALSE)</f>
        <v>#N/A</v>
      </c>
      <c r="J5614" s="24" t="s">
        <v>2256</v>
      </c>
      <c r="K5614" s="16" t="s">
        <v>7537</v>
      </c>
      <c r="L5614" s="25" t="s">
        <v>7538</v>
      </c>
      <c r="M5614" s="26" t="s">
        <v>7539</v>
      </c>
      <c r="N5614" s="28">
        <v>40330</v>
      </c>
      <c r="O5614" s="28" t="s">
        <v>127</v>
      </c>
      <c r="P5614" s="29">
        <v>4166.67</v>
      </c>
      <c r="Q5614" s="35">
        <v>4</v>
      </c>
      <c r="R5614" s="36">
        <f t="shared" si="127"/>
        <v>16666.68</v>
      </c>
      <c r="S5614" s="37">
        <v>202303</v>
      </c>
      <c r="T5614" s="38"/>
      <c r="U5614" s="39"/>
      <c r="V5614" s="40"/>
      <c r="W5614" s="41"/>
      <c r="X5614" s="28">
        <v>44774</v>
      </c>
      <c r="Y5614" s="28">
        <v>45138</v>
      </c>
    </row>
    <row r="5615" s="9" customFormat="1" customHeight="1" spans="1:25">
      <c r="A5615" s="16" t="s">
        <v>403</v>
      </c>
      <c r="B5615" s="17" t="s">
        <v>7432</v>
      </c>
      <c r="C5615" s="17" t="s">
        <v>2833</v>
      </c>
      <c r="D5615" s="17" t="s">
        <v>6905</v>
      </c>
      <c r="E5615" s="18" t="s">
        <v>7535</v>
      </c>
      <c r="F5615" s="16" t="s">
        <v>7434</v>
      </c>
      <c r="G5615" s="16" t="s">
        <v>88</v>
      </c>
      <c r="H5615" s="19" t="s">
        <v>7536</v>
      </c>
      <c r="I5615" s="23" t="e">
        <f>VLOOKUP(H5615,'合同综合查询数据（3月返）'!$A:$A,1,FALSE)</f>
        <v>#N/A</v>
      </c>
      <c r="J5615" s="24" t="s">
        <v>2256</v>
      </c>
      <c r="K5615" s="16" t="s">
        <v>7537</v>
      </c>
      <c r="L5615" s="25" t="s">
        <v>7538</v>
      </c>
      <c r="M5615" s="26" t="s">
        <v>7539</v>
      </c>
      <c r="N5615" s="28">
        <v>43738</v>
      </c>
      <c r="O5615" s="28" t="s">
        <v>127</v>
      </c>
      <c r="P5615" s="29">
        <v>4166.67</v>
      </c>
      <c r="Q5615" s="35">
        <v>-1</v>
      </c>
      <c r="R5615" s="36">
        <f t="shared" si="127"/>
        <v>-4166.67</v>
      </c>
      <c r="S5615" s="37">
        <v>202303</v>
      </c>
      <c r="T5615" s="38" t="s">
        <v>7540</v>
      </c>
      <c r="U5615" s="39"/>
      <c r="V5615" s="40"/>
      <c r="W5615" s="41"/>
      <c r="X5615" s="28">
        <v>44774</v>
      </c>
      <c r="Y5615" s="28">
        <v>45138</v>
      </c>
    </row>
    <row r="5616" s="9" customFormat="1" customHeight="1" spans="1:25">
      <c r="A5616" s="16" t="s">
        <v>403</v>
      </c>
      <c r="B5616" s="17" t="s">
        <v>7432</v>
      </c>
      <c r="C5616" s="17" t="s">
        <v>2833</v>
      </c>
      <c r="D5616" s="17" t="s">
        <v>6905</v>
      </c>
      <c r="E5616" s="18" t="s">
        <v>7535</v>
      </c>
      <c r="F5616" s="16" t="s">
        <v>7434</v>
      </c>
      <c r="G5616" s="16" t="s">
        <v>88</v>
      </c>
      <c r="H5616" s="19" t="s">
        <v>7536</v>
      </c>
      <c r="I5616" s="23" t="e">
        <f>VLOOKUP(H5616,'合同综合查询数据（3月返）'!$A:$A,1,FALSE)</f>
        <v>#N/A</v>
      </c>
      <c r="J5616" s="24" t="s">
        <v>2256</v>
      </c>
      <c r="K5616" s="16" t="s">
        <v>7541</v>
      </c>
      <c r="L5616" s="25" t="s">
        <v>7542</v>
      </c>
      <c r="M5616" s="26" t="s">
        <v>7543</v>
      </c>
      <c r="N5616" s="28">
        <v>43271</v>
      </c>
      <c r="O5616" s="28" t="s">
        <v>457</v>
      </c>
      <c r="P5616" s="29">
        <v>5000</v>
      </c>
      <c r="Q5616" s="35">
        <v>4</v>
      </c>
      <c r="R5616" s="36">
        <f t="shared" si="127"/>
        <v>20000</v>
      </c>
      <c r="S5616" s="37">
        <v>202303</v>
      </c>
      <c r="T5616" s="38"/>
      <c r="U5616" s="39"/>
      <c r="V5616" s="40"/>
      <c r="W5616" s="41"/>
      <c r="X5616" s="28">
        <v>44774</v>
      </c>
      <c r="Y5616" s="28">
        <v>45138</v>
      </c>
    </row>
    <row r="5617" s="9" customFormat="1" customHeight="1" spans="1:25">
      <c r="A5617" s="16" t="s">
        <v>403</v>
      </c>
      <c r="B5617" s="17" t="s">
        <v>7432</v>
      </c>
      <c r="C5617" s="17" t="s">
        <v>2833</v>
      </c>
      <c r="D5617" s="17" t="s">
        <v>6905</v>
      </c>
      <c r="E5617" s="18" t="s">
        <v>7535</v>
      </c>
      <c r="F5617" s="16" t="s">
        <v>7434</v>
      </c>
      <c r="G5617" s="16" t="s">
        <v>88</v>
      </c>
      <c r="H5617" s="19" t="s">
        <v>7536</v>
      </c>
      <c r="I5617" s="23" t="e">
        <f>VLOOKUP(H5617,'合同综合查询数据（3月返）'!$A:$A,1,FALSE)</f>
        <v>#N/A</v>
      </c>
      <c r="J5617" s="24" t="s">
        <v>1033</v>
      </c>
      <c r="K5617" s="16" t="s">
        <v>7537</v>
      </c>
      <c r="L5617" s="25"/>
      <c r="M5617" s="26" t="s">
        <v>7539</v>
      </c>
      <c r="N5617" s="28">
        <v>41907</v>
      </c>
      <c r="O5617" s="28" t="s">
        <v>127</v>
      </c>
      <c r="P5617" s="29">
        <v>4166.67</v>
      </c>
      <c r="Q5617" s="35">
        <v>6</v>
      </c>
      <c r="R5617" s="36">
        <f t="shared" si="127"/>
        <v>25000.02</v>
      </c>
      <c r="S5617" s="37">
        <v>202303</v>
      </c>
      <c r="T5617" s="38" t="s">
        <v>7544</v>
      </c>
      <c r="U5617" s="39"/>
      <c r="V5617" s="40"/>
      <c r="W5617" s="41"/>
      <c r="X5617" s="28">
        <v>44774</v>
      </c>
      <c r="Y5617" s="28">
        <v>45138</v>
      </c>
    </row>
    <row r="5618" s="9" customFormat="1" customHeight="1" spans="1:25">
      <c r="A5618" s="16" t="s">
        <v>403</v>
      </c>
      <c r="B5618" s="17" t="s">
        <v>7432</v>
      </c>
      <c r="C5618" s="17" t="s">
        <v>2833</v>
      </c>
      <c r="D5618" s="17" t="s">
        <v>6905</v>
      </c>
      <c r="E5618" s="18" t="s">
        <v>7535</v>
      </c>
      <c r="F5618" s="16" t="s">
        <v>7434</v>
      </c>
      <c r="G5618" s="16" t="s">
        <v>88</v>
      </c>
      <c r="H5618" s="19" t="s">
        <v>7536</v>
      </c>
      <c r="I5618" s="23" t="e">
        <f>VLOOKUP(H5618,'合同综合查询数据（3月返）'!$A:$A,1,FALSE)</f>
        <v>#N/A</v>
      </c>
      <c r="J5618" s="24" t="s">
        <v>126</v>
      </c>
      <c r="K5618" s="16" t="s">
        <v>7537</v>
      </c>
      <c r="L5618" s="25" t="s">
        <v>7538</v>
      </c>
      <c r="M5618" s="26" t="s">
        <v>7539</v>
      </c>
      <c r="N5618" s="28">
        <v>43483</v>
      </c>
      <c r="O5618" s="28" t="s">
        <v>127</v>
      </c>
      <c r="P5618" s="29">
        <v>4166.67</v>
      </c>
      <c r="Q5618" s="35">
        <v>5</v>
      </c>
      <c r="R5618" s="36">
        <f t="shared" si="127"/>
        <v>20833.35</v>
      </c>
      <c r="S5618" s="37">
        <v>202303</v>
      </c>
      <c r="T5618" s="38" t="s">
        <v>7545</v>
      </c>
      <c r="U5618" s="39"/>
      <c r="V5618" s="40"/>
      <c r="W5618" s="41"/>
      <c r="X5618" s="28">
        <v>44774</v>
      </c>
      <c r="Y5618" s="28">
        <v>45138</v>
      </c>
    </row>
    <row r="5619" s="9" customFormat="1" customHeight="1" spans="1:25">
      <c r="A5619" s="16" t="s">
        <v>403</v>
      </c>
      <c r="B5619" s="17" t="s">
        <v>7432</v>
      </c>
      <c r="C5619" s="17" t="s">
        <v>2833</v>
      </c>
      <c r="D5619" s="17" t="s">
        <v>6905</v>
      </c>
      <c r="E5619" s="18" t="s">
        <v>7535</v>
      </c>
      <c r="F5619" s="16" t="s">
        <v>7434</v>
      </c>
      <c r="G5619" s="16" t="s">
        <v>88</v>
      </c>
      <c r="H5619" s="19" t="s">
        <v>7536</v>
      </c>
      <c r="I5619" s="23" t="e">
        <f>VLOOKUP(H5619,'合同综合查询数据（3月返）'!$A:$A,1,FALSE)</f>
        <v>#N/A</v>
      </c>
      <c r="J5619" s="24" t="s">
        <v>126</v>
      </c>
      <c r="K5619" s="16" t="s">
        <v>7537</v>
      </c>
      <c r="L5619" s="25" t="s">
        <v>7538</v>
      </c>
      <c r="M5619" s="26" t="s">
        <v>7539</v>
      </c>
      <c r="N5619" s="28">
        <v>43738</v>
      </c>
      <c r="O5619" s="28" t="s">
        <v>127</v>
      </c>
      <c r="P5619" s="29">
        <v>4166.67</v>
      </c>
      <c r="Q5619" s="35">
        <v>-5</v>
      </c>
      <c r="R5619" s="36">
        <f t="shared" si="127"/>
        <v>-20833.35</v>
      </c>
      <c r="S5619" s="37">
        <v>202303</v>
      </c>
      <c r="T5619" s="38" t="s">
        <v>7546</v>
      </c>
      <c r="U5619" s="39"/>
      <c r="V5619" s="40"/>
      <c r="W5619" s="41"/>
      <c r="X5619" s="28">
        <v>44774</v>
      </c>
      <c r="Y5619" s="28">
        <v>45138</v>
      </c>
    </row>
    <row r="5620" s="9" customFormat="1" customHeight="1" spans="1:25">
      <c r="A5620" s="16" t="s">
        <v>403</v>
      </c>
      <c r="B5620" s="17" t="s">
        <v>7432</v>
      </c>
      <c r="C5620" s="17" t="s">
        <v>2833</v>
      </c>
      <c r="D5620" s="17" t="s">
        <v>6905</v>
      </c>
      <c r="E5620" s="18" t="s">
        <v>7535</v>
      </c>
      <c r="F5620" s="16" t="s">
        <v>7434</v>
      </c>
      <c r="G5620" s="16" t="s">
        <v>88</v>
      </c>
      <c r="H5620" s="19" t="s">
        <v>7536</v>
      </c>
      <c r="I5620" s="23" t="e">
        <f>VLOOKUP(H5620,'合同综合查询数据（3月返）'!$A:$A,1,FALSE)</f>
        <v>#N/A</v>
      </c>
      <c r="J5620" s="24" t="s">
        <v>2256</v>
      </c>
      <c r="K5620" s="16" t="s">
        <v>7541</v>
      </c>
      <c r="L5620" s="25" t="s">
        <v>7542</v>
      </c>
      <c r="M5620" s="26" t="s">
        <v>7543</v>
      </c>
      <c r="N5620" s="28">
        <v>43648</v>
      </c>
      <c r="O5620" s="28" t="s">
        <v>457</v>
      </c>
      <c r="P5620" s="29">
        <v>5000</v>
      </c>
      <c r="Q5620" s="35">
        <v>4</v>
      </c>
      <c r="R5620" s="36">
        <f t="shared" si="127"/>
        <v>20000</v>
      </c>
      <c r="S5620" s="37">
        <v>202303</v>
      </c>
      <c r="T5620" s="38" t="s">
        <v>7547</v>
      </c>
      <c r="U5620" s="39"/>
      <c r="V5620" s="40"/>
      <c r="W5620" s="41"/>
      <c r="X5620" s="28">
        <v>44774</v>
      </c>
      <c r="Y5620" s="28">
        <v>45138</v>
      </c>
    </row>
    <row r="5621" s="9" customFormat="1" customHeight="1" spans="1:25">
      <c r="A5621" s="16" t="s">
        <v>403</v>
      </c>
      <c r="B5621" s="17" t="s">
        <v>7432</v>
      </c>
      <c r="C5621" s="17" t="s">
        <v>2833</v>
      </c>
      <c r="D5621" s="17" t="s">
        <v>6905</v>
      </c>
      <c r="E5621" s="18" t="s">
        <v>7535</v>
      </c>
      <c r="F5621" s="16" t="s">
        <v>7434</v>
      </c>
      <c r="G5621" s="16" t="s">
        <v>88</v>
      </c>
      <c r="H5621" s="19" t="s">
        <v>7536</v>
      </c>
      <c r="I5621" s="23" t="e">
        <f>VLOOKUP(H5621,'合同综合查询数据（3月返）'!$A:$A,1,FALSE)</f>
        <v>#N/A</v>
      </c>
      <c r="J5621" s="24" t="s">
        <v>2256</v>
      </c>
      <c r="K5621" s="16" t="s">
        <v>7537</v>
      </c>
      <c r="L5621" s="25" t="s">
        <v>7538</v>
      </c>
      <c r="M5621" s="26" t="s">
        <v>7539</v>
      </c>
      <c r="N5621" s="28">
        <v>40330</v>
      </c>
      <c r="O5621" s="28" t="s">
        <v>127</v>
      </c>
      <c r="P5621" s="29">
        <v>4166.67</v>
      </c>
      <c r="Q5621" s="35">
        <v>10</v>
      </c>
      <c r="R5621" s="36">
        <f t="shared" si="127"/>
        <v>41666.7</v>
      </c>
      <c r="S5621" s="37">
        <v>202303</v>
      </c>
      <c r="T5621" s="38" t="s">
        <v>7548</v>
      </c>
      <c r="U5621" s="39"/>
      <c r="V5621" s="40"/>
      <c r="W5621" s="41"/>
      <c r="X5621" s="28">
        <v>44774</v>
      </c>
      <c r="Y5621" s="28">
        <v>45138</v>
      </c>
    </row>
    <row r="5622" s="9" customFormat="1" customHeight="1" spans="1:25">
      <c r="A5622" s="16" t="s">
        <v>403</v>
      </c>
      <c r="B5622" s="17" t="s">
        <v>7432</v>
      </c>
      <c r="C5622" s="17" t="s">
        <v>2833</v>
      </c>
      <c r="D5622" s="17" t="s">
        <v>6905</v>
      </c>
      <c r="E5622" s="18" t="s">
        <v>7535</v>
      </c>
      <c r="F5622" s="16" t="s">
        <v>7434</v>
      </c>
      <c r="G5622" s="16" t="s">
        <v>88</v>
      </c>
      <c r="H5622" s="19" t="s">
        <v>7536</v>
      </c>
      <c r="I5622" s="23" t="e">
        <f>VLOOKUP(H5622,'合同综合查询数据（3月返）'!$A:$A,1,FALSE)</f>
        <v>#N/A</v>
      </c>
      <c r="J5622" s="24" t="s">
        <v>2256</v>
      </c>
      <c r="K5622" s="16" t="s">
        <v>7537</v>
      </c>
      <c r="L5622" s="25" t="s">
        <v>7538</v>
      </c>
      <c r="M5622" s="26" t="s">
        <v>7539</v>
      </c>
      <c r="N5622" s="28">
        <v>43769</v>
      </c>
      <c r="O5622" s="28" t="s">
        <v>127</v>
      </c>
      <c r="P5622" s="29">
        <v>4166.67</v>
      </c>
      <c r="Q5622" s="35">
        <v>2</v>
      </c>
      <c r="R5622" s="36">
        <f t="shared" si="127"/>
        <v>8333.34</v>
      </c>
      <c r="S5622" s="37">
        <v>202303</v>
      </c>
      <c r="T5622" s="38" t="s">
        <v>7549</v>
      </c>
      <c r="U5622" s="39"/>
      <c r="V5622" s="40"/>
      <c r="W5622" s="41"/>
      <c r="X5622" s="28">
        <v>44774</v>
      </c>
      <c r="Y5622" s="28">
        <v>45138</v>
      </c>
    </row>
    <row r="5623" s="9" customFormat="1" customHeight="1" spans="1:25">
      <c r="A5623" s="16" t="s">
        <v>403</v>
      </c>
      <c r="B5623" s="17" t="s">
        <v>7432</v>
      </c>
      <c r="C5623" s="17" t="s">
        <v>2833</v>
      </c>
      <c r="D5623" s="17" t="s">
        <v>6905</v>
      </c>
      <c r="E5623" s="18" t="s">
        <v>7535</v>
      </c>
      <c r="F5623" s="16" t="s">
        <v>7550</v>
      </c>
      <c r="G5623" s="16" t="s">
        <v>88</v>
      </c>
      <c r="H5623" s="19" t="s">
        <v>7536</v>
      </c>
      <c r="I5623" s="23" t="e">
        <f>VLOOKUP(H5623,'合同综合查询数据（3月返）'!$A:$A,1,FALSE)</f>
        <v>#N/A</v>
      </c>
      <c r="J5623" s="24" t="s">
        <v>2256</v>
      </c>
      <c r="K5623" s="16" t="s">
        <v>7541</v>
      </c>
      <c r="L5623" s="25" t="s">
        <v>7551</v>
      </c>
      <c r="M5623" s="26" t="s">
        <v>7543</v>
      </c>
      <c r="N5623" s="28">
        <v>42970</v>
      </c>
      <c r="O5623" s="28" t="s">
        <v>457</v>
      </c>
      <c r="P5623" s="29">
        <v>5000</v>
      </c>
      <c r="Q5623" s="35">
        <v>4</v>
      </c>
      <c r="R5623" s="36">
        <f t="shared" si="127"/>
        <v>20000</v>
      </c>
      <c r="S5623" s="37">
        <v>202303</v>
      </c>
      <c r="T5623" s="38" t="s">
        <v>7552</v>
      </c>
      <c r="U5623" s="39"/>
      <c r="V5623" s="40"/>
      <c r="W5623" s="41"/>
      <c r="X5623" s="28">
        <v>44774</v>
      </c>
      <c r="Y5623" s="28">
        <v>45138</v>
      </c>
    </row>
    <row r="5624" s="9" customFormat="1" customHeight="1" spans="1:25">
      <c r="A5624" s="16" t="s">
        <v>403</v>
      </c>
      <c r="B5624" s="17" t="s">
        <v>7432</v>
      </c>
      <c r="C5624" s="17" t="s">
        <v>2833</v>
      </c>
      <c r="D5624" s="17" t="s">
        <v>6905</v>
      </c>
      <c r="E5624" s="18" t="s">
        <v>7535</v>
      </c>
      <c r="F5624" s="16" t="s">
        <v>7550</v>
      </c>
      <c r="G5624" s="16" t="s">
        <v>88</v>
      </c>
      <c r="H5624" s="19" t="s">
        <v>7536</v>
      </c>
      <c r="I5624" s="23" t="e">
        <f>VLOOKUP(H5624,'合同综合查询数据（3月返）'!$A:$A,1,FALSE)</f>
        <v>#N/A</v>
      </c>
      <c r="J5624" s="24" t="s">
        <v>2256</v>
      </c>
      <c r="K5624" s="16" t="s">
        <v>7541</v>
      </c>
      <c r="L5624" s="25" t="s">
        <v>7551</v>
      </c>
      <c r="M5624" s="26" t="s">
        <v>7543</v>
      </c>
      <c r="N5624" s="28">
        <v>42989</v>
      </c>
      <c r="O5624" s="28" t="s">
        <v>457</v>
      </c>
      <c r="P5624" s="29">
        <v>5000</v>
      </c>
      <c r="Q5624" s="35">
        <v>3</v>
      </c>
      <c r="R5624" s="36">
        <f t="shared" si="127"/>
        <v>15000</v>
      </c>
      <c r="S5624" s="37">
        <v>202303</v>
      </c>
      <c r="T5624" s="38" t="s">
        <v>7553</v>
      </c>
      <c r="U5624" s="39"/>
      <c r="V5624" s="40"/>
      <c r="W5624" s="41"/>
      <c r="X5624" s="28">
        <v>44774</v>
      </c>
      <c r="Y5624" s="28">
        <v>45138</v>
      </c>
    </row>
    <row r="5625" s="9" customFormat="1" customHeight="1" spans="1:25">
      <c r="A5625" s="16" t="s">
        <v>403</v>
      </c>
      <c r="B5625" s="17" t="s">
        <v>7432</v>
      </c>
      <c r="C5625" s="17" t="s">
        <v>2833</v>
      </c>
      <c r="D5625" s="17" t="s">
        <v>6905</v>
      </c>
      <c r="E5625" s="18" t="s">
        <v>7535</v>
      </c>
      <c r="F5625" s="16" t="s">
        <v>7550</v>
      </c>
      <c r="G5625" s="16" t="s">
        <v>88</v>
      </c>
      <c r="H5625" s="19" t="s">
        <v>7536</v>
      </c>
      <c r="I5625" s="23" t="e">
        <f>VLOOKUP(H5625,'合同综合查询数据（3月返）'!$A:$A,1,FALSE)</f>
        <v>#N/A</v>
      </c>
      <c r="J5625" s="24" t="s">
        <v>2256</v>
      </c>
      <c r="K5625" s="16" t="s">
        <v>7541</v>
      </c>
      <c r="L5625" s="25" t="s">
        <v>7551</v>
      </c>
      <c r="M5625" s="26" t="s">
        <v>7543</v>
      </c>
      <c r="N5625" s="28">
        <v>44712</v>
      </c>
      <c r="O5625" s="28" t="s">
        <v>457</v>
      </c>
      <c r="P5625" s="29">
        <v>0</v>
      </c>
      <c r="Q5625" s="35">
        <v>-7</v>
      </c>
      <c r="R5625" s="36">
        <f t="shared" si="127"/>
        <v>0</v>
      </c>
      <c r="S5625" s="37">
        <v>202303</v>
      </c>
      <c r="T5625" s="38" t="s">
        <v>7554</v>
      </c>
      <c r="U5625" s="39"/>
      <c r="V5625" s="40"/>
      <c r="W5625" s="41"/>
      <c r="X5625" s="28">
        <v>44774</v>
      </c>
      <c r="Y5625" s="28">
        <v>45138</v>
      </c>
    </row>
    <row r="5626" s="9" customFormat="1" customHeight="1" spans="1:25">
      <c r="A5626" s="16" t="s">
        <v>403</v>
      </c>
      <c r="B5626" s="17" t="s">
        <v>7432</v>
      </c>
      <c r="C5626" s="17" t="s">
        <v>2833</v>
      </c>
      <c r="D5626" s="17" t="s">
        <v>6905</v>
      </c>
      <c r="E5626" s="18" t="s">
        <v>7535</v>
      </c>
      <c r="F5626" s="16" t="s">
        <v>7550</v>
      </c>
      <c r="G5626" s="16" t="s">
        <v>88</v>
      </c>
      <c r="H5626" s="19" t="s">
        <v>7536</v>
      </c>
      <c r="I5626" s="23" t="e">
        <f>VLOOKUP(H5626,'合同综合查询数据（3月返）'!$A:$A,1,FALSE)</f>
        <v>#N/A</v>
      </c>
      <c r="J5626" s="24" t="s">
        <v>126</v>
      </c>
      <c r="K5626" s="16" t="s">
        <v>7541</v>
      </c>
      <c r="L5626" s="25" t="s">
        <v>7555</v>
      </c>
      <c r="M5626" s="26" t="s">
        <v>7543</v>
      </c>
      <c r="N5626" s="28">
        <v>43355</v>
      </c>
      <c r="O5626" s="28" t="s">
        <v>457</v>
      </c>
      <c r="P5626" s="29">
        <v>5000</v>
      </c>
      <c r="Q5626" s="35">
        <v>7</v>
      </c>
      <c r="R5626" s="36">
        <f t="shared" si="127"/>
        <v>35000</v>
      </c>
      <c r="S5626" s="37">
        <v>202303</v>
      </c>
      <c r="T5626" s="38" t="s">
        <v>7556</v>
      </c>
      <c r="U5626" s="39"/>
      <c r="V5626" s="40"/>
      <c r="W5626" s="41"/>
      <c r="X5626" s="28">
        <v>44774</v>
      </c>
      <c r="Y5626" s="28">
        <v>45138</v>
      </c>
    </row>
    <row r="5627" s="9" customFormat="1" customHeight="1" spans="1:25">
      <c r="A5627" s="16" t="s">
        <v>403</v>
      </c>
      <c r="B5627" s="17" t="s">
        <v>7432</v>
      </c>
      <c r="C5627" s="17" t="s">
        <v>2833</v>
      </c>
      <c r="D5627" s="17" t="s">
        <v>6905</v>
      </c>
      <c r="E5627" s="18" t="s">
        <v>7535</v>
      </c>
      <c r="F5627" s="16" t="s">
        <v>7550</v>
      </c>
      <c r="G5627" s="16" t="s">
        <v>88</v>
      </c>
      <c r="H5627" s="19" t="s">
        <v>7536</v>
      </c>
      <c r="I5627" s="23" t="e">
        <f>VLOOKUP(H5627,'合同综合查询数据（3月返）'!$A:$A,1,FALSE)</f>
        <v>#N/A</v>
      </c>
      <c r="J5627" s="24" t="s">
        <v>126</v>
      </c>
      <c r="K5627" s="16" t="s">
        <v>7541</v>
      </c>
      <c r="L5627" s="25"/>
      <c r="M5627" s="26" t="s">
        <v>7543</v>
      </c>
      <c r="N5627" s="28">
        <v>44094</v>
      </c>
      <c r="O5627" s="28" t="s">
        <v>457</v>
      </c>
      <c r="P5627" s="29">
        <v>5000</v>
      </c>
      <c r="Q5627" s="35">
        <v>-8</v>
      </c>
      <c r="R5627" s="36">
        <f t="shared" si="127"/>
        <v>-40000</v>
      </c>
      <c r="S5627" s="37">
        <v>202303</v>
      </c>
      <c r="T5627" s="38" t="s">
        <v>7557</v>
      </c>
      <c r="U5627" s="39"/>
      <c r="V5627" s="40"/>
      <c r="W5627" s="41"/>
      <c r="X5627" s="28">
        <v>44774</v>
      </c>
      <c r="Y5627" s="28">
        <v>45138</v>
      </c>
    </row>
    <row r="5628" s="9" customFormat="1" customHeight="1" spans="1:25">
      <c r="A5628" s="16" t="s">
        <v>403</v>
      </c>
      <c r="B5628" s="17" t="s">
        <v>7432</v>
      </c>
      <c r="C5628" s="17" t="s">
        <v>2833</v>
      </c>
      <c r="D5628" s="17" t="s">
        <v>6905</v>
      </c>
      <c r="E5628" s="18" t="s">
        <v>7535</v>
      </c>
      <c r="F5628" s="16" t="s">
        <v>7550</v>
      </c>
      <c r="G5628" s="16" t="s">
        <v>88</v>
      </c>
      <c r="H5628" s="19" t="s">
        <v>7536</v>
      </c>
      <c r="I5628" s="23" t="e">
        <f>VLOOKUP(H5628,'合同综合查询数据（3月返）'!$A:$A,1,FALSE)</f>
        <v>#N/A</v>
      </c>
      <c r="J5628" s="24" t="s">
        <v>126</v>
      </c>
      <c r="K5628" s="16" t="s">
        <v>7541</v>
      </c>
      <c r="L5628" s="25"/>
      <c r="M5628" s="26" t="s">
        <v>7543</v>
      </c>
      <c r="N5628" s="28">
        <v>44317</v>
      </c>
      <c r="O5628" s="28" t="s">
        <v>457</v>
      </c>
      <c r="P5628" s="29">
        <v>5000</v>
      </c>
      <c r="Q5628" s="35">
        <v>-6</v>
      </c>
      <c r="R5628" s="36">
        <f t="shared" si="127"/>
        <v>-30000</v>
      </c>
      <c r="S5628" s="37">
        <v>202303</v>
      </c>
      <c r="T5628" s="38" t="s">
        <v>7558</v>
      </c>
      <c r="U5628" s="39"/>
      <c r="V5628" s="40"/>
      <c r="W5628" s="41"/>
      <c r="X5628" s="28">
        <v>44774</v>
      </c>
      <c r="Y5628" s="28">
        <v>45138</v>
      </c>
    </row>
    <row r="5629" s="9" customFormat="1" customHeight="1" spans="1:25">
      <c r="A5629" s="16" t="s">
        <v>403</v>
      </c>
      <c r="B5629" s="17" t="s">
        <v>7432</v>
      </c>
      <c r="C5629" s="17" t="s">
        <v>2833</v>
      </c>
      <c r="D5629" s="17" t="s">
        <v>6905</v>
      </c>
      <c r="E5629" s="18" t="s">
        <v>7535</v>
      </c>
      <c r="F5629" s="16" t="s">
        <v>7550</v>
      </c>
      <c r="G5629" s="16" t="s">
        <v>88</v>
      </c>
      <c r="H5629" s="19" t="s">
        <v>7536</v>
      </c>
      <c r="I5629" s="23" t="e">
        <f>VLOOKUP(H5629,'合同综合查询数据（3月返）'!$A:$A,1,FALSE)</f>
        <v>#N/A</v>
      </c>
      <c r="J5629" s="24" t="s">
        <v>126</v>
      </c>
      <c r="K5629" s="16" t="s">
        <v>7541</v>
      </c>
      <c r="L5629" s="25" t="s">
        <v>7542</v>
      </c>
      <c r="M5629" s="26" t="s">
        <v>7543</v>
      </c>
      <c r="N5629" s="28">
        <v>44347</v>
      </c>
      <c r="O5629" s="28" t="s">
        <v>457</v>
      </c>
      <c r="P5629" s="29">
        <v>5000</v>
      </c>
      <c r="Q5629" s="35">
        <v>-3</v>
      </c>
      <c r="R5629" s="36">
        <f t="shared" si="127"/>
        <v>-15000</v>
      </c>
      <c r="S5629" s="37">
        <v>202303</v>
      </c>
      <c r="T5629" s="38" t="s">
        <v>7559</v>
      </c>
      <c r="U5629" s="39"/>
      <c r="V5629" s="40"/>
      <c r="W5629" s="41"/>
      <c r="X5629" s="28">
        <v>44774</v>
      </c>
      <c r="Y5629" s="28">
        <v>45138</v>
      </c>
    </row>
    <row r="5630" s="9" customFormat="1" customHeight="1" spans="1:25">
      <c r="A5630" s="16" t="s">
        <v>403</v>
      </c>
      <c r="B5630" s="17" t="s">
        <v>7432</v>
      </c>
      <c r="C5630" s="17" t="s">
        <v>2833</v>
      </c>
      <c r="D5630" s="17" t="s">
        <v>6905</v>
      </c>
      <c r="E5630" s="18" t="s">
        <v>7535</v>
      </c>
      <c r="F5630" s="16" t="s">
        <v>7550</v>
      </c>
      <c r="G5630" s="16" t="s">
        <v>88</v>
      </c>
      <c r="H5630" s="19" t="s">
        <v>7536</v>
      </c>
      <c r="I5630" s="23" t="e">
        <f>VLOOKUP(H5630,'合同综合查询数据（3月返）'!$A:$A,1,FALSE)</f>
        <v>#N/A</v>
      </c>
      <c r="J5630" s="24" t="s">
        <v>126</v>
      </c>
      <c r="K5630" s="16" t="s">
        <v>7541</v>
      </c>
      <c r="L5630" s="25" t="s">
        <v>7542</v>
      </c>
      <c r="M5630" s="26" t="s">
        <v>7543</v>
      </c>
      <c r="N5630" s="28">
        <v>44712</v>
      </c>
      <c r="O5630" s="28" t="s">
        <v>457</v>
      </c>
      <c r="P5630" s="29">
        <v>0</v>
      </c>
      <c r="Q5630" s="35">
        <v>-5</v>
      </c>
      <c r="R5630" s="36">
        <f t="shared" si="127"/>
        <v>0</v>
      </c>
      <c r="S5630" s="37">
        <v>202303</v>
      </c>
      <c r="T5630" s="38" t="s">
        <v>7560</v>
      </c>
      <c r="U5630" s="39"/>
      <c r="V5630" s="40"/>
      <c r="W5630" s="41"/>
      <c r="X5630" s="28">
        <v>44774</v>
      </c>
      <c r="Y5630" s="28">
        <v>45138</v>
      </c>
    </row>
    <row r="5631" s="9" customFormat="1" customHeight="1" spans="1:25">
      <c r="A5631" s="16" t="s">
        <v>403</v>
      </c>
      <c r="B5631" s="17" t="s">
        <v>7432</v>
      </c>
      <c r="C5631" s="17" t="s">
        <v>2833</v>
      </c>
      <c r="D5631" s="17" t="s">
        <v>6905</v>
      </c>
      <c r="E5631" s="18" t="s">
        <v>7535</v>
      </c>
      <c r="F5631" s="16" t="s">
        <v>7434</v>
      </c>
      <c r="G5631" s="16" t="s">
        <v>88</v>
      </c>
      <c r="H5631" s="19" t="s">
        <v>7536</v>
      </c>
      <c r="I5631" s="23" t="e">
        <f>VLOOKUP(H5631,'合同综合查询数据（3月返）'!$A:$A,1,FALSE)</f>
        <v>#N/A</v>
      </c>
      <c r="J5631" s="24" t="s">
        <v>2256</v>
      </c>
      <c r="K5631" s="16" t="s">
        <v>7537</v>
      </c>
      <c r="L5631" s="25" t="s">
        <v>7538</v>
      </c>
      <c r="M5631" s="26" t="s">
        <v>7539</v>
      </c>
      <c r="N5631" s="28">
        <v>44681</v>
      </c>
      <c r="O5631" s="28" t="s">
        <v>127</v>
      </c>
      <c r="P5631" s="29">
        <v>4166.67</v>
      </c>
      <c r="Q5631" s="35">
        <v>-3</v>
      </c>
      <c r="R5631" s="36">
        <f t="shared" si="127"/>
        <v>-12500.01</v>
      </c>
      <c r="S5631" s="37">
        <v>202303</v>
      </c>
      <c r="T5631" s="38" t="s">
        <v>7561</v>
      </c>
      <c r="U5631" s="39"/>
      <c r="V5631" s="40"/>
      <c r="W5631" s="41"/>
      <c r="X5631" s="28">
        <v>44774</v>
      </c>
      <c r="Y5631" s="28">
        <v>45138</v>
      </c>
    </row>
    <row r="5632" s="9" customFormat="1" customHeight="1" spans="1:25">
      <c r="A5632" s="16" t="s">
        <v>403</v>
      </c>
      <c r="B5632" s="17" t="s">
        <v>7432</v>
      </c>
      <c r="C5632" s="17" t="s">
        <v>2833</v>
      </c>
      <c r="D5632" s="17" t="s">
        <v>6905</v>
      </c>
      <c r="E5632" s="18" t="s">
        <v>7535</v>
      </c>
      <c r="F5632" s="16" t="s">
        <v>7434</v>
      </c>
      <c r="G5632" s="16" t="s">
        <v>88</v>
      </c>
      <c r="H5632" s="19" t="s">
        <v>7536</v>
      </c>
      <c r="I5632" s="23" t="e">
        <f>VLOOKUP(H5632,'合同综合查询数据（3月返）'!$A:$A,1,FALSE)</f>
        <v>#N/A</v>
      </c>
      <c r="J5632" s="24" t="s">
        <v>2256</v>
      </c>
      <c r="K5632" s="16" t="s">
        <v>7537</v>
      </c>
      <c r="L5632" s="25" t="s">
        <v>7538</v>
      </c>
      <c r="M5632" s="26" t="s">
        <v>7539</v>
      </c>
      <c r="N5632" s="28">
        <v>44779</v>
      </c>
      <c r="O5632" s="28" t="s">
        <v>127</v>
      </c>
      <c r="P5632" s="29">
        <v>4166.67</v>
      </c>
      <c r="Q5632" s="35">
        <v>-7</v>
      </c>
      <c r="R5632" s="36">
        <f t="shared" si="127"/>
        <v>-29166.69</v>
      </c>
      <c r="S5632" s="37">
        <v>202303</v>
      </c>
      <c r="T5632" s="38" t="s">
        <v>7562</v>
      </c>
      <c r="U5632" s="39"/>
      <c r="V5632" s="40"/>
      <c r="W5632" s="41"/>
      <c r="X5632" s="28">
        <v>44774</v>
      </c>
      <c r="Y5632" s="28">
        <v>45138</v>
      </c>
    </row>
    <row r="5633" s="9" customFormat="1" customHeight="1" spans="1:25">
      <c r="A5633" s="16" t="s">
        <v>403</v>
      </c>
      <c r="B5633" s="17" t="s">
        <v>7432</v>
      </c>
      <c r="C5633" s="17" t="s">
        <v>2833</v>
      </c>
      <c r="D5633" s="17" t="s">
        <v>6905</v>
      </c>
      <c r="E5633" s="18" t="s">
        <v>7535</v>
      </c>
      <c r="F5633" s="16" t="s">
        <v>7434</v>
      </c>
      <c r="G5633" s="16" t="s">
        <v>88</v>
      </c>
      <c r="H5633" s="19" t="s">
        <v>7536</v>
      </c>
      <c r="I5633" s="23" t="e">
        <f>VLOOKUP(H5633,'合同综合查询数据（3月返）'!$A:$A,1,FALSE)</f>
        <v>#N/A</v>
      </c>
      <c r="J5633" s="24" t="s">
        <v>2256</v>
      </c>
      <c r="K5633" s="16" t="s">
        <v>7537</v>
      </c>
      <c r="L5633" s="25" t="s">
        <v>7538</v>
      </c>
      <c r="M5633" s="26" t="s">
        <v>7539</v>
      </c>
      <c r="N5633" s="28">
        <v>44783</v>
      </c>
      <c r="O5633" s="28" t="s">
        <v>127</v>
      </c>
      <c r="P5633" s="29">
        <v>4166.67</v>
      </c>
      <c r="Q5633" s="35">
        <v>-1</v>
      </c>
      <c r="R5633" s="36">
        <f t="shared" si="127"/>
        <v>-4166.67</v>
      </c>
      <c r="S5633" s="37">
        <v>202303</v>
      </c>
      <c r="T5633" s="38" t="s">
        <v>7563</v>
      </c>
      <c r="U5633" s="39"/>
      <c r="V5633" s="40"/>
      <c r="W5633" s="41"/>
      <c r="X5633" s="28">
        <v>44774</v>
      </c>
      <c r="Y5633" s="28">
        <v>45138</v>
      </c>
    </row>
    <row r="5634" s="9" customFormat="1" customHeight="1" spans="1:25">
      <c r="A5634" s="16" t="s">
        <v>403</v>
      </c>
      <c r="B5634" s="17" t="s">
        <v>7432</v>
      </c>
      <c r="C5634" s="17" t="s">
        <v>2833</v>
      </c>
      <c r="D5634" s="17" t="s">
        <v>6905</v>
      </c>
      <c r="E5634" s="18" t="s">
        <v>7535</v>
      </c>
      <c r="F5634" s="16" t="s">
        <v>7434</v>
      </c>
      <c r="G5634" s="16" t="s">
        <v>31</v>
      </c>
      <c r="H5634" s="19" t="s">
        <v>7536</v>
      </c>
      <c r="I5634" s="23" t="e">
        <f>VLOOKUP(H5634,'合同综合查询数据（3月返）'!$A:$A,1,FALSE)</f>
        <v>#N/A</v>
      </c>
      <c r="J5634" s="24" t="s">
        <v>7564</v>
      </c>
      <c r="K5634" s="16" t="s">
        <v>5480</v>
      </c>
      <c r="L5634" s="25" t="s">
        <v>7538</v>
      </c>
      <c r="M5634" s="26" t="s">
        <v>7539</v>
      </c>
      <c r="N5634" s="28" t="s">
        <v>1225</v>
      </c>
      <c r="O5634" s="28"/>
      <c r="P5634" s="29">
        <v>0</v>
      </c>
      <c r="Q5634" s="35">
        <v>800</v>
      </c>
      <c r="R5634" s="36">
        <f t="shared" si="127"/>
        <v>0</v>
      </c>
      <c r="S5634" s="37">
        <v>202303</v>
      </c>
      <c r="T5634" s="38" t="s">
        <v>7565</v>
      </c>
      <c r="U5634" s="39"/>
      <c r="V5634" s="40"/>
      <c r="W5634" s="41"/>
      <c r="X5634" s="28">
        <v>44774</v>
      </c>
      <c r="Y5634" s="28">
        <v>45138</v>
      </c>
    </row>
    <row r="5635" s="9" customFormat="1" customHeight="1" spans="1:25">
      <c r="A5635" s="16" t="s">
        <v>403</v>
      </c>
      <c r="B5635" s="17" t="s">
        <v>7432</v>
      </c>
      <c r="C5635" s="17" t="s">
        <v>2833</v>
      </c>
      <c r="D5635" s="17" t="s">
        <v>6905</v>
      </c>
      <c r="E5635" s="18" t="s">
        <v>7535</v>
      </c>
      <c r="F5635" s="16" t="s">
        <v>7434</v>
      </c>
      <c r="G5635" s="16" t="s">
        <v>31</v>
      </c>
      <c r="H5635" s="19" t="s">
        <v>7536</v>
      </c>
      <c r="I5635" s="23" t="e">
        <f>VLOOKUP(H5635,'合同综合查询数据（3月返）'!$A:$A,1,FALSE)</f>
        <v>#N/A</v>
      </c>
      <c r="J5635" s="24" t="s">
        <v>7564</v>
      </c>
      <c r="K5635" s="16" t="s">
        <v>5480</v>
      </c>
      <c r="L5635" s="25" t="s">
        <v>7555</v>
      </c>
      <c r="M5635" s="26" t="s">
        <v>7539</v>
      </c>
      <c r="N5635" s="28" t="s">
        <v>1225</v>
      </c>
      <c r="O5635" s="28"/>
      <c r="P5635" s="29">
        <v>0</v>
      </c>
      <c r="Q5635" s="35">
        <v>544</v>
      </c>
      <c r="R5635" s="36">
        <f t="shared" si="127"/>
        <v>0</v>
      </c>
      <c r="S5635" s="37">
        <v>202303</v>
      </c>
      <c r="T5635" s="38" t="s">
        <v>7566</v>
      </c>
      <c r="U5635" s="39"/>
      <c r="V5635" s="40"/>
      <c r="W5635" s="41"/>
      <c r="X5635" s="28">
        <v>44774</v>
      </c>
      <c r="Y5635" s="28">
        <v>45138</v>
      </c>
    </row>
    <row r="5636" s="9" customFormat="1" customHeight="1" spans="1:25">
      <c r="A5636" s="16" t="s">
        <v>403</v>
      </c>
      <c r="B5636" s="17" t="s">
        <v>7432</v>
      </c>
      <c r="C5636" s="17" t="s">
        <v>2833</v>
      </c>
      <c r="D5636" s="17" t="s">
        <v>6905</v>
      </c>
      <c r="E5636" s="18" t="s">
        <v>7535</v>
      </c>
      <c r="F5636" s="16" t="s">
        <v>7434</v>
      </c>
      <c r="G5636" s="16" t="s">
        <v>31</v>
      </c>
      <c r="H5636" s="19" t="s">
        <v>7536</v>
      </c>
      <c r="I5636" s="23" t="e">
        <f>VLOOKUP(H5636,'合同综合查询数据（3月返）'!$A:$A,1,FALSE)</f>
        <v>#N/A</v>
      </c>
      <c r="J5636" s="24" t="s">
        <v>7564</v>
      </c>
      <c r="K5636" s="16" t="s">
        <v>5480</v>
      </c>
      <c r="L5636" s="25" t="s">
        <v>7567</v>
      </c>
      <c r="M5636" s="26" t="s">
        <v>7539</v>
      </c>
      <c r="N5636" s="28" t="s">
        <v>1225</v>
      </c>
      <c r="O5636" s="28"/>
      <c r="P5636" s="29">
        <v>0</v>
      </c>
      <c r="Q5636" s="35">
        <v>544</v>
      </c>
      <c r="R5636" s="36">
        <f t="shared" si="127"/>
        <v>0</v>
      </c>
      <c r="S5636" s="37">
        <v>202303</v>
      </c>
      <c r="T5636" s="38" t="s">
        <v>7568</v>
      </c>
      <c r="U5636" s="39"/>
      <c r="V5636" s="40"/>
      <c r="W5636" s="41"/>
      <c r="X5636" s="28">
        <v>44774</v>
      </c>
      <c r="Y5636" s="28">
        <v>45138</v>
      </c>
    </row>
    <row r="5637" s="9" customFormat="1" customHeight="1" spans="1:25">
      <c r="A5637" s="16" t="s">
        <v>403</v>
      </c>
      <c r="B5637" s="17" t="s">
        <v>7432</v>
      </c>
      <c r="C5637" s="17" t="s">
        <v>2833</v>
      </c>
      <c r="D5637" s="17" t="s">
        <v>6905</v>
      </c>
      <c r="E5637" s="18" t="s">
        <v>7535</v>
      </c>
      <c r="F5637" s="16" t="s">
        <v>7434</v>
      </c>
      <c r="G5637" s="16" t="s">
        <v>31</v>
      </c>
      <c r="H5637" s="19" t="s">
        <v>7536</v>
      </c>
      <c r="I5637" s="23" t="e">
        <f>VLOOKUP(H5637,'合同综合查询数据（3月返）'!$A:$A,1,FALSE)</f>
        <v>#N/A</v>
      </c>
      <c r="J5637" s="24" t="s">
        <v>7564</v>
      </c>
      <c r="K5637" s="16" t="s">
        <v>5480</v>
      </c>
      <c r="L5637" s="25" t="s">
        <v>7567</v>
      </c>
      <c r="M5637" s="26" t="s">
        <v>7539</v>
      </c>
      <c r="N5637" s="28">
        <v>44712</v>
      </c>
      <c r="O5637" s="28"/>
      <c r="P5637" s="29">
        <v>0</v>
      </c>
      <c r="Q5637" s="35">
        <v>-544</v>
      </c>
      <c r="R5637" s="36">
        <f t="shared" si="127"/>
        <v>0</v>
      </c>
      <c r="S5637" s="37">
        <v>202303</v>
      </c>
      <c r="T5637" s="38" t="s">
        <v>7569</v>
      </c>
      <c r="U5637" s="39"/>
      <c r="V5637" s="40"/>
      <c r="W5637" s="41"/>
      <c r="X5637" s="28">
        <v>44774</v>
      </c>
      <c r="Y5637" s="28">
        <v>45138</v>
      </c>
    </row>
    <row r="5638" s="9" customFormat="1" customHeight="1" spans="1:25">
      <c r="A5638" s="16" t="s">
        <v>403</v>
      </c>
      <c r="B5638" s="17" t="s">
        <v>7432</v>
      </c>
      <c r="C5638" s="17" t="s">
        <v>2833</v>
      </c>
      <c r="D5638" s="17" t="s">
        <v>6905</v>
      </c>
      <c r="E5638" s="18" t="s">
        <v>7535</v>
      </c>
      <c r="F5638" s="16" t="s">
        <v>7434</v>
      </c>
      <c r="G5638" s="16" t="s">
        <v>31</v>
      </c>
      <c r="H5638" s="19" t="s">
        <v>7536</v>
      </c>
      <c r="I5638" s="23" t="e">
        <f>VLOOKUP(H5638,'合同综合查询数据（3月返）'!$A:$A,1,FALSE)</f>
        <v>#N/A</v>
      </c>
      <c r="J5638" s="24" t="s">
        <v>7564</v>
      </c>
      <c r="K5638" s="16" t="s">
        <v>5480</v>
      </c>
      <c r="L5638" s="25" t="s">
        <v>7542</v>
      </c>
      <c r="M5638" s="26" t="s">
        <v>7539</v>
      </c>
      <c r="N5638" s="28" t="s">
        <v>1225</v>
      </c>
      <c r="O5638" s="28"/>
      <c r="P5638" s="29">
        <v>0</v>
      </c>
      <c r="Q5638" s="35">
        <v>288</v>
      </c>
      <c r="R5638" s="36">
        <f t="shared" si="127"/>
        <v>0</v>
      </c>
      <c r="S5638" s="37">
        <v>202303</v>
      </c>
      <c r="T5638" s="38" t="s">
        <v>7570</v>
      </c>
      <c r="U5638" s="39"/>
      <c r="V5638" s="40"/>
      <c r="W5638" s="41"/>
      <c r="X5638" s="28">
        <v>44774</v>
      </c>
      <c r="Y5638" s="28">
        <v>45138</v>
      </c>
    </row>
    <row r="5639" s="9" customFormat="1" customHeight="1" spans="1:25">
      <c r="A5639" s="16" t="s">
        <v>403</v>
      </c>
      <c r="B5639" s="17" t="s">
        <v>7432</v>
      </c>
      <c r="C5639" s="17" t="s">
        <v>2833</v>
      </c>
      <c r="D5639" s="17" t="s">
        <v>6905</v>
      </c>
      <c r="E5639" s="18" t="s">
        <v>7535</v>
      </c>
      <c r="F5639" s="16" t="s">
        <v>7434</v>
      </c>
      <c r="G5639" s="16" t="s">
        <v>31</v>
      </c>
      <c r="H5639" s="19" t="s">
        <v>7536</v>
      </c>
      <c r="I5639" s="23" t="e">
        <f>VLOOKUP(H5639,'合同综合查询数据（3月返）'!$A:$A,1,FALSE)</f>
        <v>#N/A</v>
      </c>
      <c r="J5639" s="24" t="s">
        <v>7564</v>
      </c>
      <c r="K5639" s="16" t="s">
        <v>5480</v>
      </c>
      <c r="L5639" s="25" t="s">
        <v>7542</v>
      </c>
      <c r="M5639" s="26" t="s">
        <v>7539</v>
      </c>
      <c r="N5639" s="28">
        <v>44712</v>
      </c>
      <c r="O5639" s="28"/>
      <c r="P5639" s="29">
        <v>0</v>
      </c>
      <c r="Q5639" s="35">
        <v>-288</v>
      </c>
      <c r="R5639" s="36">
        <f t="shared" si="127"/>
        <v>0</v>
      </c>
      <c r="S5639" s="37">
        <v>202303</v>
      </c>
      <c r="T5639" s="38" t="s">
        <v>7571</v>
      </c>
      <c r="U5639" s="39"/>
      <c r="V5639" s="40"/>
      <c r="W5639" s="41"/>
      <c r="X5639" s="28">
        <v>44774</v>
      </c>
      <c r="Y5639" s="28">
        <v>45138</v>
      </c>
    </row>
    <row r="5640" s="9" customFormat="1" customHeight="1" spans="1:25">
      <c r="A5640" s="16" t="s">
        <v>403</v>
      </c>
      <c r="B5640" s="17" t="s">
        <v>7432</v>
      </c>
      <c r="C5640" s="17" t="s">
        <v>2833</v>
      </c>
      <c r="D5640" s="17" t="s">
        <v>6905</v>
      </c>
      <c r="E5640" s="18" t="s">
        <v>7535</v>
      </c>
      <c r="F5640" s="16" t="s">
        <v>7434</v>
      </c>
      <c r="G5640" s="16" t="s">
        <v>31</v>
      </c>
      <c r="H5640" s="19" t="s">
        <v>7536</v>
      </c>
      <c r="I5640" s="23" t="e">
        <f>VLOOKUP(H5640,'合同综合查询数据（3月返）'!$A:$A,1,FALSE)</f>
        <v>#N/A</v>
      </c>
      <c r="J5640" s="24" t="s">
        <v>1019</v>
      </c>
      <c r="K5640" s="16" t="s">
        <v>5480</v>
      </c>
      <c r="L5640" s="25"/>
      <c r="M5640" s="26" t="s">
        <v>7539</v>
      </c>
      <c r="N5640" s="28">
        <v>43769</v>
      </c>
      <c r="O5640" s="28"/>
      <c r="P5640" s="29">
        <v>0</v>
      </c>
      <c r="Q5640" s="35">
        <v>1024</v>
      </c>
      <c r="R5640" s="36">
        <f t="shared" si="127"/>
        <v>0</v>
      </c>
      <c r="S5640" s="37">
        <v>202303</v>
      </c>
      <c r="T5640" s="38" t="s">
        <v>7572</v>
      </c>
      <c r="U5640" s="39"/>
      <c r="V5640" s="40"/>
      <c r="W5640" s="41"/>
      <c r="X5640" s="28">
        <v>44774</v>
      </c>
      <c r="Y5640" s="28">
        <v>45138</v>
      </c>
    </row>
    <row r="5641" s="9" customFormat="1" customHeight="1" spans="1:25">
      <c r="A5641" s="16" t="s">
        <v>403</v>
      </c>
      <c r="B5641" s="17" t="s">
        <v>7432</v>
      </c>
      <c r="C5641" s="17" t="s">
        <v>2833</v>
      </c>
      <c r="D5641" s="17" t="s">
        <v>6905</v>
      </c>
      <c r="E5641" s="18" t="s">
        <v>7535</v>
      </c>
      <c r="F5641" s="16" t="s">
        <v>7434</v>
      </c>
      <c r="G5641" s="16" t="s">
        <v>88</v>
      </c>
      <c r="H5641" s="19" t="s">
        <v>7536</v>
      </c>
      <c r="I5641" s="23" t="e">
        <f>VLOOKUP(H5641,'合同综合查询数据（3月返）'!$A:$A,1,FALSE)</f>
        <v>#N/A</v>
      </c>
      <c r="J5641" s="24" t="s">
        <v>126</v>
      </c>
      <c r="K5641" s="16" t="s">
        <v>7541</v>
      </c>
      <c r="L5641" s="25"/>
      <c r="M5641" s="26" t="s">
        <v>7543</v>
      </c>
      <c r="N5641" s="28">
        <v>44094</v>
      </c>
      <c r="O5641" s="28" t="s">
        <v>457</v>
      </c>
      <c r="P5641" s="29">
        <v>0</v>
      </c>
      <c r="Q5641" s="35">
        <v>8</v>
      </c>
      <c r="R5641" s="36">
        <f t="shared" si="127"/>
        <v>0</v>
      </c>
      <c r="S5641" s="37">
        <v>202303</v>
      </c>
      <c r="T5641" s="38" t="s">
        <v>7573</v>
      </c>
      <c r="U5641" s="39"/>
      <c r="V5641" s="40"/>
      <c r="W5641" s="41"/>
      <c r="X5641" s="28">
        <v>44774</v>
      </c>
      <c r="Y5641" s="28">
        <v>45138</v>
      </c>
    </row>
    <row r="5642" s="9" customFormat="1" customHeight="1" spans="1:25">
      <c r="A5642" s="16" t="s">
        <v>403</v>
      </c>
      <c r="B5642" s="17" t="s">
        <v>7432</v>
      </c>
      <c r="C5642" s="17" t="s">
        <v>2833</v>
      </c>
      <c r="D5642" s="17" t="s">
        <v>6905</v>
      </c>
      <c r="E5642" s="18" t="s">
        <v>7535</v>
      </c>
      <c r="F5642" s="16" t="s">
        <v>7434</v>
      </c>
      <c r="G5642" s="16" t="s">
        <v>88</v>
      </c>
      <c r="H5642" s="19" t="s">
        <v>7536</v>
      </c>
      <c r="I5642" s="23" t="e">
        <f>VLOOKUP(H5642,'合同综合查询数据（3月返）'!$A:$A,1,FALSE)</f>
        <v>#N/A</v>
      </c>
      <c r="J5642" s="24" t="s">
        <v>126</v>
      </c>
      <c r="K5642" s="16" t="s">
        <v>7541</v>
      </c>
      <c r="L5642" s="25"/>
      <c r="M5642" s="26" t="s">
        <v>7543</v>
      </c>
      <c r="N5642" s="28">
        <v>44317</v>
      </c>
      <c r="O5642" s="28" t="s">
        <v>457</v>
      </c>
      <c r="P5642" s="29">
        <v>0</v>
      </c>
      <c r="Q5642" s="35">
        <v>6</v>
      </c>
      <c r="R5642" s="36">
        <f t="shared" si="127"/>
        <v>0</v>
      </c>
      <c r="S5642" s="37">
        <v>202303</v>
      </c>
      <c r="T5642" s="38" t="s">
        <v>7574</v>
      </c>
      <c r="U5642" s="39"/>
      <c r="V5642" s="40"/>
      <c r="W5642" s="41"/>
      <c r="X5642" s="28">
        <v>44774</v>
      </c>
      <c r="Y5642" s="28">
        <v>45138</v>
      </c>
    </row>
    <row r="5643" s="9" customFormat="1" customHeight="1" spans="1:25">
      <c r="A5643" s="16" t="s">
        <v>403</v>
      </c>
      <c r="B5643" s="17" t="s">
        <v>7432</v>
      </c>
      <c r="C5643" s="17" t="s">
        <v>2833</v>
      </c>
      <c r="D5643" s="17" t="s">
        <v>6905</v>
      </c>
      <c r="E5643" s="18" t="s">
        <v>7535</v>
      </c>
      <c r="F5643" s="16" t="s">
        <v>7434</v>
      </c>
      <c r="G5643" s="16" t="s">
        <v>31</v>
      </c>
      <c r="H5643" s="19" t="s">
        <v>7536</v>
      </c>
      <c r="I5643" s="23" t="e">
        <f>VLOOKUP(H5643,'合同综合查询数据（3月返）'!$A:$A,1,FALSE)</f>
        <v>#N/A</v>
      </c>
      <c r="J5643" s="24" t="s">
        <v>7564</v>
      </c>
      <c r="K5643" s="16" t="s">
        <v>7575</v>
      </c>
      <c r="L5643" s="25"/>
      <c r="M5643" s="26"/>
      <c r="N5643" s="28">
        <v>44094</v>
      </c>
      <c r="O5643" s="28" t="s">
        <v>37</v>
      </c>
      <c r="P5643" s="29">
        <v>0</v>
      </c>
      <c r="Q5643" s="35">
        <v>544</v>
      </c>
      <c r="R5643" s="36">
        <f t="shared" si="127"/>
        <v>0</v>
      </c>
      <c r="S5643" s="37">
        <v>202303</v>
      </c>
      <c r="T5643" s="38" t="s">
        <v>7576</v>
      </c>
      <c r="U5643" s="39"/>
      <c r="V5643" s="40"/>
      <c r="W5643" s="41"/>
      <c r="X5643" s="28">
        <v>44774</v>
      </c>
      <c r="Y5643" s="28">
        <v>45138</v>
      </c>
    </row>
    <row r="5644" s="9" customFormat="1" customHeight="1" spans="1:25">
      <c r="A5644" s="16" t="s">
        <v>403</v>
      </c>
      <c r="B5644" s="17" t="s">
        <v>7432</v>
      </c>
      <c r="C5644" s="17" t="s">
        <v>2833</v>
      </c>
      <c r="D5644" s="17" t="s">
        <v>6905</v>
      </c>
      <c r="E5644" s="18" t="s">
        <v>7535</v>
      </c>
      <c r="F5644" s="16" t="s">
        <v>7434</v>
      </c>
      <c r="G5644" s="16" t="s">
        <v>31</v>
      </c>
      <c r="H5644" s="19" t="s">
        <v>7536</v>
      </c>
      <c r="I5644" s="23" t="e">
        <f>VLOOKUP(H5644,'合同综合查询数据（3月返）'!$A:$A,1,FALSE)</f>
        <v>#N/A</v>
      </c>
      <c r="J5644" s="24" t="s">
        <v>7564</v>
      </c>
      <c r="K5644" s="16" t="s">
        <v>7575</v>
      </c>
      <c r="L5644" s="25"/>
      <c r="M5644" s="26"/>
      <c r="N5644" s="28">
        <v>44218</v>
      </c>
      <c r="O5644" s="28" t="s">
        <v>37</v>
      </c>
      <c r="P5644" s="29">
        <v>0</v>
      </c>
      <c r="Q5644" s="35">
        <v>256</v>
      </c>
      <c r="R5644" s="36">
        <f t="shared" ref="R5644:R5707" si="128">ROUND(P5644*Q5644,2)</f>
        <v>0</v>
      </c>
      <c r="S5644" s="37">
        <v>202303</v>
      </c>
      <c r="T5644" s="38" t="s">
        <v>7577</v>
      </c>
      <c r="U5644" s="39"/>
      <c r="V5644" s="40"/>
      <c r="W5644" s="41"/>
      <c r="X5644" s="28">
        <v>44774</v>
      </c>
      <c r="Y5644" s="28">
        <v>45138</v>
      </c>
    </row>
    <row r="5645" s="9" customFormat="1" customHeight="1" spans="1:25">
      <c r="A5645" s="16" t="s">
        <v>403</v>
      </c>
      <c r="B5645" s="17" t="s">
        <v>7432</v>
      </c>
      <c r="C5645" s="17" t="s">
        <v>2833</v>
      </c>
      <c r="D5645" s="17" t="s">
        <v>6905</v>
      </c>
      <c r="E5645" s="18" t="s">
        <v>7535</v>
      </c>
      <c r="F5645" s="16" t="s">
        <v>7434</v>
      </c>
      <c r="G5645" s="16" t="s">
        <v>31</v>
      </c>
      <c r="H5645" s="19" t="s">
        <v>7536</v>
      </c>
      <c r="I5645" s="23" t="e">
        <f>VLOOKUP(H5645,'合同综合查询数据（3月返）'!$A:$A,1,FALSE)</f>
        <v>#N/A</v>
      </c>
      <c r="J5645" s="24" t="s">
        <v>7564</v>
      </c>
      <c r="K5645" s="16" t="s">
        <v>5480</v>
      </c>
      <c r="L5645" s="25" t="s">
        <v>7538</v>
      </c>
      <c r="M5645" s="26" t="s">
        <v>7539</v>
      </c>
      <c r="N5645" s="28">
        <v>44779</v>
      </c>
      <c r="O5645" s="28"/>
      <c r="P5645" s="29">
        <v>0</v>
      </c>
      <c r="Q5645" s="35">
        <v>-384</v>
      </c>
      <c r="R5645" s="36">
        <f t="shared" si="128"/>
        <v>0</v>
      </c>
      <c r="S5645" s="37">
        <v>202303</v>
      </c>
      <c r="T5645" s="38" t="s">
        <v>7578</v>
      </c>
      <c r="U5645" s="39"/>
      <c r="V5645" s="40"/>
      <c r="W5645" s="41"/>
      <c r="X5645" s="28">
        <v>44774</v>
      </c>
      <c r="Y5645" s="28">
        <v>45138</v>
      </c>
    </row>
    <row r="5646" s="10" customFormat="1" customHeight="1" spans="1:25">
      <c r="A5646" s="42" t="s">
        <v>403</v>
      </c>
      <c r="B5646" s="43" t="s">
        <v>7432</v>
      </c>
      <c r="C5646" s="43" t="s">
        <v>2833</v>
      </c>
      <c r="D5646" s="43" t="s">
        <v>6905</v>
      </c>
      <c r="E5646" s="44" t="s">
        <v>7535</v>
      </c>
      <c r="F5646" s="42" t="s">
        <v>7434</v>
      </c>
      <c r="G5646" s="42" t="s">
        <v>31</v>
      </c>
      <c r="H5646" s="45" t="s">
        <v>7579</v>
      </c>
      <c r="I5646" s="47" t="e">
        <f>VLOOKUP(H5646,'合同综合查询数据（3月返）'!$A:$A,1,FALSE)</f>
        <v>#N/A</v>
      </c>
      <c r="J5646" s="48" t="s">
        <v>7580</v>
      </c>
      <c r="K5646" s="42"/>
      <c r="L5646" s="49" t="s">
        <v>7581</v>
      </c>
      <c r="M5646" s="50"/>
      <c r="N5646" s="51" t="s">
        <v>1225</v>
      </c>
      <c r="O5646" s="51" t="s">
        <v>37</v>
      </c>
      <c r="P5646" s="52">
        <v>0</v>
      </c>
      <c r="Q5646" s="53">
        <v>1024</v>
      </c>
      <c r="R5646" s="54">
        <f t="shared" si="128"/>
        <v>0</v>
      </c>
      <c r="S5646" s="55">
        <v>202303</v>
      </c>
      <c r="T5646" s="56" t="s">
        <v>7582</v>
      </c>
      <c r="U5646" s="57"/>
      <c r="V5646" s="58"/>
      <c r="W5646" s="59"/>
      <c r="X5646" s="51">
        <v>44440</v>
      </c>
      <c r="Y5646" s="51"/>
    </row>
    <row r="5647" s="10" customFormat="1" customHeight="1" spans="1:25">
      <c r="A5647" s="42" t="s">
        <v>403</v>
      </c>
      <c r="B5647" s="43" t="s">
        <v>7432</v>
      </c>
      <c r="C5647" s="43" t="s">
        <v>2833</v>
      </c>
      <c r="D5647" s="43" t="s">
        <v>6905</v>
      </c>
      <c r="E5647" s="44" t="s">
        <v>7535</v>
      </c>
      <c r="F5647" s="42" t="s">
        <v>7434</v>
      </c>
      <c r="G5647" s="42" t="s">
        <v>31</v>
      </c>
      <c r="H5647" s="45" t="s">
        <v>7579</v>
      </c>
      <c r="I5647" s="47" t="e">
        <f>VLOOKUP(H5647,'合同综合查询数据（3月返）'!$A:$A,1,FALSE)</f>
        <v>#N/A</v>
      </c>
      <c r="J5647" s="48" t="s">
        <v>7580</v>
      </c>
      <c r="K5647" s="42"/>
      <c r="L5647" s="49" t="s">
        <v>7581</v>
      </c>
      <c r="M5647" s="50"/>
      <c r="N5647" s="51">
        <v>44765</v>
      </c>
      <c r="O5647" s="51" t="s">
        <v>37</v>
      </c>
      <c r="P5647" s="52">
        <v>0</v>
      </c>
      <c r="Q5647" s="53">
        <v>224</v>
      </c>
      <c r="R5647" s="54">
        <f t="shared" si="128"/>
        <v>0</v>
      </c>
      <c r="S5647" s="55">
        <v>202303</v>
      </c>
      <c r="T5647" s="56" t="s">
        <v>7583</v>
      </c>
      <c r="U5647" s="57"/>
      <c r="V5647" s="58"/>
      <c r="W5647" s="59"/>
      <c r="X5647" s="51">
        <v>44440</v>
      </c>
      <c r="Y5647" s="51"/>
    </row>
    <row r="5648" s="9" customFormat="1" customHeight="1" spans="1:25">
      <c r="A5648" s="16" t="s">
        <v>401</v>
      </c>
      <c r="B5648" s="17" t="s">
        <v>7432</v>
      </c>
      <c r="C5648" s="17" t="s">
        <v>2833</v>
      </c>
      <c r="D5648" s="17" t="s">
        <v>6905</v>
      </c>
      <c r="E5648" s="18" t="s">
        <v>7584</v>
      </c>
      <c r="F5648" s="16" t="s">
        <v>7585</v>
      </c>
      <c r="G5648" s="16" t="s">
        <v>88</v>
      </c>
      <c r="H5648" s="19" t="s">
        <v>7586</v>
      </c>
      <c r="I5648" s="23" t="e">
        <f>VLOOKUP(H5648,'合同综合查询数据（3月返）'!$A:$A,1,FALSE)</f>
        <v>#N/A</v>
      </c>
      <c r="J5648" s="24" t="s">
        <v>126</v>
      </c>
      <c r="K5648" s="16" t="s">
        <v>5480</v>
      </c>
      <c r="L5648" s="25"/>
      <c r="M5648" s="26" t="s">
        <v>7587</v>
      </c>
      <c r="N5648" s="28">
        <v>41579</v>
      </c>
      <c r="O5648" s="28" t="s">
        <v>127</v>
      </c>
      <c r="P5648" s="29">
        <v>4166</v>
      </c>
      <c r="Q5648" s="35">
        <v>3</v>
      </c>
      <c r="R5648" s="36">
        <f t="shared" si="128"/>
        <v>12498</v>
      </c>
      <c r="S5648" s="37">
        <v>202303</v>
      </c>
      <c r="T5648" s="38"/>
      <c r="U5648" s="39"/>
      <c r="V5648" s="40"/>
      <c r="W5648" s="41"/>
      <c r="X5648" s="28">
        <v>43983</v>
      </c>
      <c r="Y5648" s="28">
        <v>45077</v>
      </c>
    </row>
    <row r="5649" s="9" customFormat="1" customHeight="1" spans="1:25">
      <c r="A5649" s="16" t="s">
        <v>401</v>
      </c>
      <c r="B5649" s="17" t="s">
        <v>7432</v>
      </c>
      <c r="C5649" s="17" t="s">
        <v>2833</v>
      </c>
      <c r="D5649" s="17" t="s">
        <v>6905</v>
      </c>
      <c r="E5649" s="18" t="s">
        <v>7584</v>
      </c>
      <c r="F5649" s="16" t="s">
        <v>7585</v>
      </c>
      <c r="G5649" s="16" t="s">
        <v>88</v>
      </c>
      <c r="H5649" s="19" t="s">
        <v>7586</v>
      </c>
      <c r="I5649" s="23" t="e">
        <f>VLOOKUP(H5649,'合同综合查询数据（3月返）'!$A:$A,1,FALSE)</f>
        <v>#N/A</v>
      </c>
      <c r="J5649" s="24" t="s">
        <v>126</v>
      </c>
      <c r="K5649" s="16" t="s">
        <v>5480</v>
      </c>
      <c r="L5649" s="25"/>
      <c r="M5649" s="26" t="s">
        <v>7587</v>
      </c>
      <c r="N5649" s="28">
        <v>44301</v>
      </c>
      <c r="O5649" s="28" t="s">
        <v>127</v>
      </c>
      <c r="P5649" s="29">
        <v>0</v>
      </c>
      <c r="Q5649" s="35">
        <v>2</v>
      </c>
      <c r="R5649" s="36">
        <f t="shared" si="128"/>
        <v>0</v>
      </c>
      <c r="S5649" s="37">
        <v>202303</v>
      </c>
      <c r="T5649" s="38" t="s">
        <v>7588</v>
      </c>
      <c r="U5649" s="39"/>
      <c r="V5649" s="40"/>
      <c r="W5649" s="41"/>
      <c r="X5649" s="28">
        <v>43983</v>
      </c>
      <c r="Y5649" s="28">
        <v>45077</v>
      </c>
    </row>
    <row r="5650" s="9" customFormat="1" customHeight="1" spans="1:25">
      <c r="A5650" s="16" t="s">
        <v>401</v>
      </c>
      <c r="B5650" s="17" t="s">
        <v>7432</v>
      </c>
      <c r="C5650" s="17" t="s">
        <v>2833</v>
      </c>
      <c r="D5650" s="17" t="s">
        <v>6905</v>
      </c>
      <c r="E5650" s="18" t="s">
        <v>7584</v>
      </c>
      <c r="F5650" s="16" t="s">
        <v>7585</v>
      </c>
      <c r="G5650" s="16" t="s">
        <v>88</v>
      </c>
      <c r="H5650" s="19" t="s">
        <v>7586</v>
      </c>
      <c r="I5650" s="23" t="e">
        <f>VLOOKUP(H5650,'合同综合查询数据（3月返）'!$A:$A,1,FALSE)</f>
        <v>#N/A</v>
      </c>
      <c r="J5650" s="24" t="s">
        <v>126</v>
      </c>
      <c r="K5650" s="16" t="s">
        <v>5480</v>
      </c>
      <c r="L5650" s="25"/>
      <c r="M5650" s="26" t="s">
        <v>7587</v>
      </c>
      <c r="N5650" s="28">
        <v>44348</v>
      </c>
      <c r="O5650" s="28" t="s">
        <v>127</v>
      </c>
      <c r="P5650" s="29">
        <v>0</v>
      </c>
      <c r="Q5650" s="35">
        <v>1</v>
      </c>
      <c r="R5650" s="36">
        <f t="shared" si="128"/>
        <v>0</v>
      </c>
      <c r="S5650" s="37">
        <v>202303</v>
      </c>
      <c r="T5650" s="38" t="s">
        <v>7589</v>
      </c>
      <c r="U5650" s="39"/>
      <c r="V5650" s="40"/>
      <c r="W5650" s="41"/>
      <c r="X5650" s="28">
        <v>43983</v>
      </c>
      <c r="Y5650" s="28">
        <v>45077</v>
      </c>
    </row>
    <row r="5651" s="9" customFormat="1" customHeight="1" spans="1:25">
      <c r="A5651" s="16" t="s">
        <v>401</v>
      </c>
      <c r="B5651" s="17" t="s">
        <v>7432</v>
      </c>
      <c r="C5651" s="17" t="s">
        <v>2833</v>
      </c>
      <c r="D5651" s="17" t="s">
        <v>6905</v>
      </c>
      <c r="E5651" s="18" t="s">
        <v>7584</v>
      </c>
      <c r="F5651" s="16" t="s">
        <v>7585</v>
      </c>
      <c r="G5651" s="16" t="s">
        <v>88</v>
      </c>
      <c r="H5651" s="19" t="s">
        <v>7586</v>
      </c>
      <c r="I5651" s="23" t="e">
        <f>VLOOKUP(H5651,'合同综合查询数据（3月返）'!$A:$A,1,FALSE)</f>
        <v>#N/A</v>
      </c>
      <c r="J5651" s="24" t="s">
        <v>126</v>
      </c>
      <c r="K5651" s="16" t="s">
        <v>5480</v>
      </c>
      <c r="L5651" s="25"/>
      <c r="M5651" s="26" t="s">
        <v>7587</v>
      </c>
      <c r="N5651" s="28">
        <v>44681</v>
      </c>
      <c r="O5651" s="28" t="s">
        <v>127</v>
      </c>
      <c r="P5651" s="29">
        <v>4166</v>
      </c>
      <c r="Q5651" s="35">
        <v>-3</v>
      </c>
      <c r="R5651" s="36">
        <f t="shared" si="128"/>
        <v>-12498</v>
      </c>
      <c r="S5651" s="37">
        <v>202303</v>
      </c>
      <c r="T5651" s="38" t="s">
        <v>7590</v>
      </c>
      <c r="U5651" s="39"/>
      <c r="V5651" s="40"/>
      <c r="W5651" s="41"/>
      <c r="X5651" s="28">
        <v>43983</v>
      </c>
      <c r="Y5651" s="28">
        <v>45077</v>
      </c>
    </row>
    <row r="5652" s="9" customFormat="1" customHeight="1" spans="1:25">
      <c r="A5652" s="16" t="s">
        <v>401</v>
      </c>
      <c r="B5652" s="17" t="s">
        <v>7432</v>
      </c>
      <c r="C5652" s="17" t="s">
        <v>2833</v>
      </c>
      <c r="D5652" s="17" t="s">
        <v>6905</v>
      </c>
      <c r="E5652" s="18" t="s">
        <v>7584</v>
      </c>
      <c r="F5652" s="16" t="s">
        <v>7585</v>
      </c>
      <c r="G5652" s="16" t="s">
        <v>88</v>
      </c>
      <c r="H5652" s="19" t="s">
        <v>7586</v>
      </c>
      <c r="I5652" s="23" t="e">
        <f>VLOOKUP(H5652,'合同综合查询数据（3月返）'!$A:$A,1,FALSE)</f>
        <v>#N/A</v>
      </c>
      <c r="J5652" s="24" t="s">
        <v>126</v>
      </c>
      <c r="K5652" s="16" t="s">
        <v>5480</v>
      </c>
      <c r="L5652" s="25"/>
      <c r="M5652" s="26" t="s">
        <v>7587</v>
      </c>
      <c r="N5652" s="28">
        <v>44681</v>
      </c>
      <c r="O5652" s="28" t="s">
        <v>127</v>
      </c>
      <c r="P5652" s="29">
        <v>0</v>
      </c>
      <c r="Q5652" s="35">
        <v>-2</v>
      </c>
      <c r="R5652" s="36">
        <f t="shared" si="128"/>
        <v>0</v>
      </c>
      <c r="S5652" s="37">
        <v>202303</v>
      </c>
      <c r="T5652" s="38" t="s">
        <v>7591</v>
      </c>
      <c r="U5652" s="39"/>
      <c r="V5652" s="40"/>
      <c r="W5652" s="41"/>
      <c r="X5652" s="28">
        <v>43983</v>
      </c>
      <c r="Y5652" s="28">
        <v>45077</v>
      </c>
    </row>
    <row r="5653" s="9" customFormat="1" customHeight="1" spans="1:25">
      <c r="A5653" s="16" t="s">
        <v>401</v>
      </c>
      <c r="B5653" s="17" t="s">
        <v>7432</v>
      </c>
      <c r="C5653" s="17" t="s">
        <v>2833</v>
      </c>
      <c r="D5653" s="17" t="s">
        <v>6905</v>
      </c>
      <c r="E5653" s="18" t="s">
        <v>7584</v>
      </c>
      <c r="F5653" s="16" t="s">
        <v>7585</v>
      </c>
      <c r="G5653" s="16" t="s">
        <v>88</v>
      </c>
      <c r="H5653" s="19" t="s">
        <v>7586</v>
      </c>
      <c r="I5653" s="23" t="e">
        <f>VLOOKUP(H5653,'合同综合查询数据（3月返）'!$A:$A,1,FALSE)</f>
        <v>#N/A</v>
      </c>
      <c r="J5653" s="24" t="s">
        <v>126</v>
      </c>
      <c r="K5653" s="16" t="s">
        <v>5480</v>
      </c>
      <c r="L5653" s="25"/>
      <c r="M5653" s="26" t="s">
        <v>7587</v>
      </c>
      <c r="N5653" s="28">
        <v>44712</v>
      </c>
      <c r="O5653" s="28" t="s">
        <v>127</v>
      </c>
      <c r="P5653" s="29">
        <v>0</v>
      </c>
      <c r="Q5653" s="35">
        <v>-1</v>
      </c>
      <c r="R5653" s="36">
        <f t="shared" si="128"/>
        <v>0</v>
      </c>
      <c r="S5653" s="37">
        <v>202303</v>
      </c>
      <c r="T5653" s="38" t="s">
        <v>7592</v>
      </c>
      <c r="U5653" s="39"/>
      <c r="V5653" s="40"/>
      <c r="W5653" s="41"/>
      <c r="X5653" s="28">
        <v>43983</v>
      </c>
      <c r="Y5653" s="28">
        <v>45077</v>
      </c>
    </row>
    <row r="5654" s="9" customFormat="1" customHeight="1" spans="1:25">
      <c r="A5654" s="16" t="s">
        <v>401</v>
      </c>
      <c r="B5654" s="17" t="s">
        <v>7432</v>
      </c>
      <c r="C5654" s="17" t="s">
        <v>2833</v>
      </c>
      <c r="D5654" s="17" t="s">
        <v>6905</v>
      </c>
      <c r="E5654" s="18" t="s">
        <v>7584</v>
      </c>
      <c r="F5654" s="16" t="s">
        <v>7585</v>
      </c>
      <c r="G5654" s="16" t="s">
        <v>31</v>
      </c>
      <c r="H5654" s="19" t="s">
        <v>7586</v>
      </c>
      <c r="I5654" s="23" t="e">
        <f>VLOOKUP(H5654,'合同综合查询数据（3月返）'!$A:$A,1,FALSE)</f>
        <v>#N/A</v>
      </c>
      <c r="J5654" s="24" t="s">
        <v>7564</v>
      </c>
      <c r="K5654" s="16" t="s">
        <v>5480</v>
      </c>
      <c r="L5654" s="25" t="s">
        <v>7593</v>
      </c>
      <c r="M5654" s="26"/>
      <c r="N5654" s="28">
        <v>41579</v>
      </c>
      <c r="O5654" s="28"/>
      <c r="P5654" s="29">
        <v>0</v>
      </c>
      <c r="Q5654" s="35">
        <v>416</v>
      </c>
      <c r="R5654" s="36">
        <f t="shared" si="128"/>
        <v>0</v>
      </c>
      <c r="S5654" s="37">
        <v>202303</v>
      </c>
      <c r="T5654" s="38" t="s">
        <v>7594</v>
      </c>
      <c r="U5654" s="39"/>
      <c r="V5654" s="40"/>
      <c r="W5654" s="41"/>
      <c r="X5654" s="28">
        <v>43983</v>
      </c>
      <c r="Y5654" s="28">
        <v>45077</v>
      </c>
    </row>
    <row r="5655" s="9" customFormat="1" customHeight="1" spans="1:25">
      <c r="A5655" s="16" t="s">
        <v>401</v>
      </c>
      <c r="B5655" s="17" t="s">
        <v>7432</v>
      </c>
      <c r="C5655" s="17" t="s">
        <v>2833</v>
      </c>
      <c r="D5655" s="17" t="s">
        <v>6905</v>
      </c>
      <c r="E5655" s="18" t="s">
        <v>7584</v>
      </c>
      <c r="F5655" s="16" t="s">
        <v>7585</v>
      </c>
      <c r="G5655" s="16" t="s">
        <v>31</v>
      </c>
      <c r="H5655" s="19" t="s">
        <v>7586</v>
      </c>
      <c r="I5655" s="23" t="e">
        <f>VLOOKUP(H5655,'合同综合查询数据（3月返）'!$A:$A,1,FALSE)</f>
        <v>#N/A</v>
      </c>
      <c r="J5655" s="24" t="s">
        <v>7564</v>
      </c>
      <c r="K5655" s="16" t="s">
        <v>5480</v>
      </c>
      <c r="L5655" s="25" t="s">
        <v>7593</v>
      </c>
      <c r="M5655" s="26"/>
      <c r="N5655" s="28">
        <v>44712</v>
      </c>
      <c r="O5655" s="28"/>
      <c r="P5655" s="29">
        <v>0</v>
      </c>
      <c r="Q5655" s="35">
        <v>-416</v>
      </c>
      <c r="R5655" s="36">
        <f t="shared" si="128"/>
        <v>0</v>
      </c>
      <c r="S5655" s="37">
        <v>202303</v>
      </c>
      <c r="T5655" s="38" t="s">
        <v>7595</v>
      </c>
      <c r="U5655" s="39"/>
      <c r="V5655" s="40"/>
      <c r="W5655" s="41"/>
      <c r="X5655" s="28">
        <v>43983</v>
      </c>
      <c r="Y5655" s="28">
        <v>45077</v>
      </c>
    </row>
    <row r="5656" s="9" customFormat="1" customHeight="1" spans="1:25">
      <c r="A5656" s="16" t="s">
        <v>401</v>
      </c>
      <c r="B5656" s="17" t="s">
        <v>7432</v>
      </c>
      <c r="C5656" s="17" t="s">
        <v>2833</v>
      </c>
      <c r="D5656" s="17" t="s">
        <v>6905</v>
      </c>
      <c r="E5656" s="18" t="s">
        <v>7584</v>
      </c>
      <c r="F5656" s="16" t="s">
        <v>7585</v>
      </c>
      <c r="G5656" s="16" t="s">
        <v>88</v>
      </c>
      <c r="H5656" s="19" t="s">
        <v>7586</v>
      </c>
      <c r="I5656" s="23" t="e">
        <f>VLOOKUP(H5656,'合同综合查询数据（3月返）'!$A:$A,1,FALSE)</f>
        <v>#N/A</v>
      </c>
      <c r="J5656" s="24" t="s">
        <v>126</v>
      </c>
      <c r="K5656" s="16" t="s">
        <v>5480</v>
      </c>
      <c r="L5656" s="25"/>
      <c r="M5656" s="26" t="s">
        <v>7587</v>
      </c>
      <c r="N5656" s="28">
        <v>43766</v>
      </c>
      <c r="O5656" s="28" t="s">
        <v>127</v>
      </c>
      <c r="P5656" s="29">
        <v>4166</v>
      </c>
      <c r="Q5656" s="35">
        <v>1</v>
      </c>
      <c r="R5656" s="36">
        <f t="shared" si="128"/>
        <v>4166</v>
      </c>
      <c r="S5656" s="37">
        <v>202303</v>
      </c>
      <c r="T5656" s="38" t="s">
        <v>7596</v>
      </c>
      <c r="U5656" s="39"/>
      <c r="V5656" s="40"/>
      <c r="W5656" s="41"/>
      <c r="X5656" s="28">
        <v>43983</v>
      </c>
      <c r="Y5656" s="28">
        <v>45077</v>
      </c>
    </row>
    <row r="5657" s="9" customFormat="1" customHeight="1" spans="1:25">
      <c r="A5657" s="16" t="s">
        <v>401</v>
      </c>
      <c r="B5657" s="17" t="s">
        <v>7432</v>
      </c>
      <c r="C5657" s="17" t="s">
        <v>2833</v>
      </c>
      <c r="D5657" s="17" t="s">
        <v>6905</v>
      </c>
      <c r="E5657" s="18" t="s">
        <v>7584</v>
      </c>
      <c r="F5657" s="16" t="s">
        <v>7585</v>
      </c>
      <c r="G5657" s="16" t="s">
        <v>88</v>
      </c>
      <c r="H5657" s="19" t="s">
        <v>7586</v>
      </c>
      <c r="I5657" s="23" t="e">
        <f>VLOOKUP(H5657,'合同综合查询数据（3月返）'!$A:$A,1,FALSE)</f>
        <v>#N/A</v>
      </c>
      <c r="J5657" s="24" t="s">
        <v>126</v>
      </c>
      <c r="K5657" s="16" t="s">
        <v>5480</v>
      </c>
      <c r="L5657" s="25"/>
      <c r="M5657" s="26" t="s">
        <v>7587</v>
      </c>
      <c r="N5657" s="28">
        <v>44712</v>
      </c>
      <c r="O5657" s="28" t="s">
        <v>127</v>
      </c>
      <c r="P5657" s="29">
        <v>4166</v>
      </c>
      <c r="Q5657" s="35">
        <v>-1</v>
      </c>
      <c r="R5657" s="36">
        <f t="shared" si="128"/>
        <v>-4166</v>
      </c>
      <c r="S5657" s="37">
        <v>202303</v>
      </c>
      <c r="T5657" s="38" t="s">
        <v>7597</v>
      </c>
      <c r="U5657" s="39"/>
      <c r="V5657" s="40"/>
      <c r="W5657" s="41"/>
      <c r="X5657" s="28">
        <v>43983</v>
      </c>
      <c r="Y5657" s="28">
        <v>45077</v>
      </c>
    </row>
    <row r="5658" s="9" customFormat="1" customHeight="1" spans="1:25">
      <c r="A5658" s="16" t="s">
        <v>401</v>
      </c>
      <c r="B5658" s="17" t="s">
        <v>7432</v>
      </c>
      <c r="C5658" s="17" t="s">
        <v>2833</v>
      </c>
      <c r="D5658" s="17" t="s">
        <v>6905</v>
      </c>
      <c r="E5658" s="18" t="s">
        <v>7584</v>
      </c>
      <c r="F5658" s="16" t="s">
        <v>7585</v>
      </c>
      <c r="G5658" s="16" t="s">
        <v>31</v>
      </c>
      <c r="H5658" s="19" t="s">
        <v>7586</v>
      </c>
      <c r="I5658" s="23" t="e">
        <f>VLOOKUP(H5658,'合同综合查询数据（3月返）'!$A:$A,1,FALSE)</f>
        <v>#N/A</v>
      </c>
      <c r="J5658" s="24" t="s">
        <v>7564</v>
      </c>
      <c r="K5658" s="16" t="s">
        <v>7598</v>
      </c>
      <c r="L5658" s="25" t="s">
        <v>7599</v>
      </c>
      <c r="M5658" s="26"/>
      <c r="N5658" s="28">
        <v>44078</v>
      </c>
      <c r="O5658" s="28" t="s">
        <v>37</v>
      </c>
      <c r="P5658" s="29">
        <v>0</v>
      </c>
      <c r="Q5658" s="35">
        <v>256</v>
      </c>
      <c r="R5658" s="36">
        <f t="shared" si="128"/>
        <v>0</v>
      </c>
      <c r="S5658" s="37">
        <v>202303</v>
      </c>
      <c r="T5658" s="38" t="s">
        <v>7600</v>
      </c>
      <c r="U5658" s="39"/>
      <c r="V5658" s="40"/>
      <c r="W5658" s="41"/>
      <c r="X5658" s="28">
        <v>43983</v>
      </c>
      <c r="Y5658" s="28">
        <v>45077</v>
      </c>
    </row>
    <row r="5659" s="9" customFormat="1" customHeight="1" spans="1:25">
      <c r="A5659" s="16" t="s">
        <v>401</v>
      </c>
      <c r="B5659" s="17" t="s">
        <v>7432</v>
      </c>
      <c r="C5659" s="17" t="s">
        <v>2833</v>
      </c>
      <c r="D5659" s="17" t="s">
        <v>6905</v>
      </c>
      <c r="E5659" s="18" t="s">
        <v>7584</v>
      </c>
      <c r="F5659" s="16" t="s">
        <v>7585</v>
      </c>
      <c r="G5659" s="16" t="s">
        <v>31</v>
      </c>
      <c r="H5659" s="19" t="s">
        <v>7586</v>
      </c>
      <c r="I5659" s="23" t="e">
        <f>VLOOKUP(H5659,'合同综合查询数据（3月返）'!$A:$A,1,FALSE)</f>
        <v>#N/A</v>
      </c>
      <c r="J5659" s="24" t="s">
        <v>7564</v>
      </c>
      <c r="K5659" s="16" t="s">
        <v>7598</v>
      </c>
      <c r="L5659" s="25" t="s">
        <v>7599</v>
      </c>
      <c r="M5659" s="26"/>
      <c r="N5659" s="28">
        <v>44218</v>
      </c>
      <c r="O5659" s="28" t="s">
        <v>37</v>
      </c>
      <c r="P5659" s="29">
        <v>0</v>
      </c>
      <c r="Q5659" s="35">
        <v>256</v>
      </c>
      <c r="R5659" s="36">
        <f t="shared" si="128"/>
        <v>0</v>
      </c>
      <c r="S5659" s="37">
        <v>202303</v>
      </c>
      <c r="T5659" s="38" t="s">
        <v>7601</v>
      </c>
      <c r="U5659" s="39"/>
      <c r="V5659" s="40"/>
      <c r="W5659" s="41"/>
      <c r="X5659" s="28">
        <v>43983</v>
      </c>
      <c r="Y5659" s="28">
        <v>45077</v>
      </c>
    </row>
    <row r="5660" s="10" customFormat="1" customHeight="1" spans="1:25">
      <c r="A5660" s="42" t="s">
        <v>401</v>
      </c>
      <c r="B5660" s="43" t="s">
        <v>7432</v>
      </c>
      <c r="C5660" s="43" t="s">
        <v>2833</v>
      </c>
      <c r="D5660" s="43" t="s">
        <v>6905</v>
      </c>
      <c r="E5660" s="44" t="s">
        <v>7584</v>
      </c>
      <c r="F5660" s="42" t="s">
        <v>7585</v>
      </c>
      <c r="G5660" s="42" t="s">
        <v>31</v>
      </c>
      <c r="H5660" s="45" t="s">
        <v>7602</v>
      </c>
      <c r="I5660" s="47" t="e">
        <f>VLOOKUP(H5660,'合同综合查询数据（3月返）'!$A:$A,1,FALSE)</f>
        <v>#N/A</v>
      </c>
      <c r="J5660" s="48" t="s">
        <v>7580</v>
      </c>
      <c r="K5660" s="42" t="s">
        <v>7603</v>
      </c>
      <c r="L5660" s="49" t="s">
        <v>7604</v>
      </c>
      <c r="M5660" s="50"/>
      <c r="N5660" s="51" t="s">
        <v>1225</v>
      </c>
      <c r="O5660" s="51" t="s">
        <v>37</v>
      </c>
      <c r="P5660" s="52">
        <v>0</v>
      </c>
      <c r="Q5660" s="53">
        <v>512</v>
      </c>
      <c r="R5660" s="54">
        <f t="shared" si="128"/>
        <v>0</v>
      </c>
      <c r="S5660" s="55">
        <v>202303</v>
      </c>
      <c r="T5660" s="56" t="s">
        <v>7605</v>
      </c>
      <c r="U5660" s="57"/>
      <c r="V5660" s="58"/>
      <c r="W5660" s="59"/>
      <c r="X5660" s="51"/>
      <c r="Y5660" s="51"/>
    </row>
    <row r="5661" s="10" customFormat="1" customHeight="1" spans="1:25">
      <c r="A5661" s="42" t="s">
        <v>401</v>
      </c>
      <c r="B5661" s="43" t="s">
        <v>7432</v>
      </c>
      <c r="C5661" s="43" t="s">
        <v>2833</v>
      </c>
      <c r="D5661" s="43" t="s">
        <v>6905</v>
      </c>
      <c r="E5661" s="44" t="s">
        <v>7584</v>
      </c>
      <c r="F5661" s="42" t="s">
        <v>7585</v>
      </c>
      <c r="G5661" s="42" t="s">
        <v>31</v>
      </c>
      <c r="H5661" s="45" t="s">
        <v>7602</v>
      </c>
      <c r="I5661" s="47" t="e">
        <f>VLOOKUP(H5661,'合同综合查询数据（3月返）'!$A:$A,1,FALSE)</f>
        <v>#N/A</v>
      </c>
      <c r="J5661" s="48" t="s">
        <v>7580</v>
      </c>
      <c r="K5661" s="42" t="s">
        <v>7603</v>
      </c>
      <c r="L5661" s="49" t="s">
        <v>7604</v>
      </c>
      <c r="M5661" s="50"/>
      <c r="N5661" s="51">
        <v>44767</v>
      </c>
      <c r="O5661" s="51" t="s">
        <v>37</v>
      </c>
      <c r="P5661" s="52">
        <v>50</v>
      </c>
      <c r="Q5661" s="53">
        <v>192</v>
      </c>
      <c r="R5661" s="54">
        <f t="shared" si="128"/>
        <v>9600</v>
      </c>
      <c r="S5661" s="55">
        <v>202303</v>
      </c>
      <c r="T5661" s="56" t="s">
        <v>7606</v>
      </c>
      <c r="U5661" s="57"/>
      <c r="V5661" s="58"/>
      <c r="W5661" s="59"/>
      <c r="X5661" s="51">
        <v>43983</v>
      </c>
      <c r="Y5661" s="51">
        <v>45077</v>
      </c>
    </row>
    <row r="5662" s="10" customFormat="1" customHeight="1" spans="1:25">
      <c r="A5662" s="42" t="s">
        <v>401</v>
      </c>
      <c r="B5662" s="43" t="s">
        <v>7432</v>
      </c>
      <c r="C5662" s="43" t="s">
        <v>2833</v>
      </c>
      <c r="D5662" s="43" t="s">
        <v>6905</v>
      </c>
      <c r="E5662" s="44" t="s">
        <v>7584</v>
      </c>
      <c r="F5662" s="42" t="s">
        <v>7585</v>
      </c>
      <c r="G5662" s="42" t="s">
        <v>31</v>
      </c>
      <c r="H5662" s="45" t="s">
        <v>7602</v>
      </c>
      <c r="I5662" s="47" t="e">
        <f>VLOOKUP(H5662,'合同综合查询数据（3月返）'!$A:$A,1,FALSE)</f>
        <v>#N/A</v>
      </c>
      <c r="J5662" s="48" t="s">
        <v>7580</v>
      </c>
      <c r="K5662" s="42" t="s">
        <v>7603</v>
      </c>
      <c r="L5662" s="49" t="s">
        <v>7604</v>
      </c>
      <c r="M5662" s="50"/>
      <c r="N5662" s="51">
        <v>44767</v>
      </c>
      <c r="O5662" s="51" t="s">
        <v>37</v>
      </c>
      <c r="P5662" s="52">
        <v>50</v>
      </c>
      <c r="Q5662" s="53">
        <f>448-192</f>
        <v>256</v>
      </c>
      <c r="R5662" s="54">
        <f t="shared" si="128"/>
        <v>12800</v>
      </c>
      <c r="S5662" s="55">
        <v>202303</v>
      </c>
      <c r="T5662" s="56" t="s">
        <v>7607</v>
      </c>
      <c r="U5662" s="57"/>
      <c r="V5662" s="58"/>
      <c r="W5662" s="59"/>
      <c r="X5662" s="51"/>
      <c r="Y5662" s="51"/>
    </row>
    <row r="5663" s="9" customFormat="1" customHeight="1" spans="1:25">
      <c r="A5663" s="16" t="s">
        <v>401</v>
      </c>
      <c r="B5663" s="17" t="s">
        <v>7432</v>
      </c>
      <c r="C5663" s="17" t="s">
        <v>2833</v>
      </c>
      <c r="D5663" s="17" t="s">
        <v>6905</v>
      </c>
      <c r="E5663" s="18" t="s">
        <v>7584</v>
      </c>
      <c r="F5663" s="16" t="s">
        <v>7585</v>
      </c>
      <c r="G5663" s="16" t="s">
        <v>31</v>
      </c>
      <c r="H5663" s="19" t="s">
        <v>7586</v>
      </c>
      <c r="I5663" s="23" t="e">
        <f>VLOOKUP(H5663,'合同综合查询数据（3月返）'!$A:$A,1,FALSE)</f>
        <v>#N/A</v>
      </c>
      <c r="J5663" s="24" t="s">
        <v>7580</v>
      </c>
      <c r="K5663" s="16" t="s">
        <v>7608</v>
      </c>
      <c r="L5663" s="25"/>
      <c r="M5663" s="26"/>
      <c r="N5663" s="28">
        <v>44317</v>
      </c>
      <c r="O5663" s="28" t="s">
        <v>37</v>
      </c>
      <c r="P5663" s="29">
        <v>0</v>
      </c>
      <c r="Q5663" s="35">
        <v>512</v>
      </c>
      <c r="R5663" s="36">
        <f t="shared" si="128"/>
        <v>0</v>
      </c>
      <c r="S5663" s="37">
        <v>202303</v>
      </c>
      <c r="T5663" s="38" t="s">
        <v>7609</v>
      </c>
      <c r="U5663" s="39"/>
      <c r="V5663" s="40"/>
      <c r="W5663" s="41"/>
      <c r="X5663" s="28">
        <v>43983</v>
      </c>
      <c r="Y5663" s="28">
        <v>45077</v>
      </c>
    </row>
    <row r="5664" s="9" customFormat="1" customHeight="1" spans="1:25">
      <c r="A5664" s="16" t="s">
        <v>401</v>
      </c>
      <c r="B5664" s="17" t="s">
        <v>7432</v>
      </c>
      <c r="C5664" s="17" t="s">
        <v>2833</v>
      </c>
      <c r="D5664" s="17" t="s">
        <v>6905</v>
      </c>
      <c r="E5664" s="18" t="s">
        <v>7584</v>
      </c>
      <c r="F5664" s="16" t="s">
        <v>7585</v>
      </c>
      <c r="G5664" s="16" t="s">
        <v>31</v>
      </c>
      <c r="H5664" s="19" t="s">
        <v>7586</v>
      </c>
      <c r="I5664" s="23" t="e">
        <f>VLOOKUP(H5664,'合同综合查询数据（3月返）'!$A:$A,1,FALSE)</f>
        <v>#N/A</v>
      </c>
      <c r="J5664" s="24" t="s">
        <v>7580</v>
      </c>
      <c r="K5664" s="16" t="s">
        <v>7608</v>
      </c>
      <c r="L5664" s="25"/>
      <c r="M5664" s="26"/>
      <c r="N5664" s="28">
        <v>44317</v>
      </c>
      <c r="O5664" s="28" t="s">
        <v>37</v>
      </c>
      <c r="P5664" s="29">
        <v>50</v>
      </c>
      <c r="Q5664" s="35">
        <v>1280</v>
      </c>
      <c r="R5664" s="36">
        <f t="shared" si="128"/>
        <v>64000</v>
      </c>
      <c r="S5664" s="37">
        <v>202303</v>
      </c>
      <c r="T5664" s="38" t="s">
        <v>7610</v>
      </c>
      <c r="U5664" s="39"/>
      <c r="V5664" s="40"/>
      <c r="W5664" s="41"/>
      <c r="X5664" s="28"/>
      <c r="Y5664" s="28"/>
    </row>
    <row r="5665" s="9" customFormat="1" customHeight="1" spans="1:25">
      <c r="A5665" s="16" t="s">
        <v>401</v>
      </c>
      <c r="B5665" s="17" t="s">
        <v>7432</v>
      </c>
      <c r="C5665" s="17" t="s">
        <v>2833</v>
      </c>
      <c r="D5665" s="17" t="s">
        <v>6905</v>
      </c>
      <c r="E5665" s="18" t="s">
        <v>7584</v>
      </c>
      <c r="F5665" s="16" t="s">
        <v>7585</v>
      </c>
      <c r="G5665" s="16" t="s">
        <v>31</v>
      </c>
      <c r="H5665" s="19" t="s">
        <v>7586</v>
      </c>
      <c r="I5665" s="23" t="e">
        <f>VLOOKUP(H5665,'合同综合查询数据（3月返）'!$A:$A,1,FALSE)</f>
        <v>#N/A</v>
      </c>
      <c r="J5665" s="24" t="s">
        <v>7580</v>
      </c>
      <c r="K5665" s="16" t="s">
        <v>7608</v>
      </c>
      <c r="L5665" s="25"/>
      <c r="M5665" s="26"/>
      <c r="N5665" s="28">
        <v>44317</v>
      </c>
      <c r="O5665" s="28" t="s">
        <v>152</v>
      </c>
      <c r="P5665" s="29">
        <v>0</v>
      </c>
      <c r="Q5665" s="35">
        <v>4</v>
      </c>
      <c r="R5665" s="36">
        <f t="shared" si="128"/>
        <v>0</v>
      </c>
      <c r="S5665" s="37">
        <v>202303</v>
      </c>
      <c r="T5665" s="38" t="s">
        <v>7611</v>
      </c>
      <c r="U5665" s="39"/>
      <c r="V5665" s="40"/>
      <c r="W5665" s="41"/>
      <c r="X5665" s="28">
        <v>43983</v>
      </c>
      <c r="Y5665" s="28">
        <v>45077</v>
      </c>
    </row>
    <row r="5666" s="9" customFormat="1" customHeight="1" spans="1:25">
      <c r="A5666" s="16" t="s">
        <v>401</v>
      </c>
      <c r="B5666" s="17" t="s">
        <v>7432</v>
      </c>
      <c r="C5666" s="17" t="s">
        <v>2833</v>
      </c>
      <c r="D5666" s="17" t="s">
        <v>6905</v>
      </c>
      <c r="E5666" s="18" t="s">
        <v>7584</v>
      </c>
      <c r="F5666" s="16" t="s">
        <v>7585</v>
      </c>
      <c r="G5666" s="16" t="s">
        <v>88</v>
      </c>
      <c r="H5666" s="19" t="s">
        <v>7612</v>
      </c>
      <c r="I5666" s="23" t="e">
        <f>VLOOKUP(H5666,'合同综合查询数据（3月返）'!$A:$A,1,FALSE)</f>
        <v>#N/A</v>
      </c>
      <c r="J5666" s="24" t="s">
        <v>90</v>
      </c>
      <c r="K5666" s="16" t="s">
        <v>5480</v>
      </c>
      <c r="L5666" s="25"/>
      <c r="M5666" s="26" t="s">
        <v>7613</v>
      </c>
      <c r="N5666" s="28">
        <v>43915</v>
      </c>
      <c r="O5666" s="28" t="s">
        <v>457</v>
      </c>
      <c r="P5666" s="29">
        <v>5000</v>
      </c>
      <c r="Q5666" s="35">
        <v>3</v>
      </c>
      <c r="R5666" s="36">
        <f t="shared" si="128"/>
        <v>15000</v>
      </c>
      <c r="S5666" s="37">
        <v>202303</v>
      </c>
      <c r="T5666" s="38" t="s">
        <v>7614</v>
      </c>
      <c r="U5666" s="39"/>
      <c r="V5666" s="40"/>
      <c r="W5666" s="41"/>
      <c r="X5666" s="28">
        <v>43922</v>
      </c>
      <c r="Y5666" s="28">
        <v>46234</v>
      </c>
    </row>
    <row r="5667" s="9" customFormat="1" customHeight="1" spans="1:25">
      <c r="A5667" s="16" t="s">
        <v>401</v>
      </c>
      <c r="B5667" s="17" t="s">
        <v>7432</v>
      </c>
      <c r="C5667" s="17" t="s">
        <v>2833</v>
      </c>
      <c r="D5667" s="17" t="s">
        <v>6905</v>
      </c>
      <c r="E5667" s="18" t="s">
        <v>7584</v>
      </c>
      <c r="F5667" s="16" t="s">
        <v>7585</v>
      </c>
      <c r="G5667" s="16" t="s">
        <v>88</v>
      </c>
      <c r="H5667" s="19" t="s">
        <v>7612</v>
      </c>
      <c r="I5667" s="23" t="e">
        <f>VLOOKUP(H5667,'合同综合查询数据（3月返）'!$A:$A,1,FALSE)</f>
        <v>#N/A</v>
      </c>
      <c r="J5667" s="24" t="s">
        <v>90</v>
      </c>
      <c r="K5667" s="16" t="s">
        <v>5480</v>
      </c>
      <c r="L5667" s="25"/>
      <c r="M5667" s="26" t="s">
        <v>7613</v>
      </c>
      <c r="N5667" s="28">
        <v>43930</v>
      </c>
      <c r="O5667" s="28" t="s">
        <v>457</v>
      </c>
      <c r="P5667" s="29">
        <v>5000</v>
      </c>
      <c r="Q5667" s="35">
        <v>1</v>
      </c>
      <c r="R5667" s="36">
        <f t="shared" si="128"/>
        <v>5000</v>
      </c>
      <c r="S5667" s="37">
        <v>202303</v>
      </c>
      <c r="T5667" s="38" t="s">
        <v>7615</v>
      </c>
      <c r="U5667" s="39"/>
      <c r="V5667" s="40"/>
      <c r="W5667" s="41"/>
      <c r="X5667" s="28">
        <v>43922</v>
      </c>
      <c r="Y5667" s="28">
        <v>46234</v>
      </c>
    </row>
    <row r="5668" s="9" customFormat="1" customHeight="1" spans="1:25">
      <c r="A5668" s="16" t="s">
        <v>401</v>
      </c>
      <c r="B5668" s="17" t="s">
        <v>7432</v>
      </c>
      <c r="C5668" s="17" t="s">
        <v>2833</v>
      </c>
      <c r="D5668" s="17" t="s">
        <v>6905</v>
      </c>
      <c r="E5668" s="18" t="s">
        <v>7584</v>
      </c>
      <c r="F5668" s="16" t="s">
        <v>7585</v>
      </c>
      <c r="G5668" s="16" t="s">
        <v>88</v>
      </c>
      <c r="H5668" s="19" t="s">
        <v>7612</v>
      </c>
      <c r="I5668" s="23" t="e">
        <f>VLOOKUP(H5668,'合同综合查询数据（3月返）'!$A:$A,1,FALSE)</f>
        <v>#N/A</v>
      </c>
      <c r="J5668" s="24" t="s">
        <v>90</v>
      </c>
      <c r="K5668" s="16" t="s">
        <v>5480</v>
      </c>
      <c r="L5668" s="25"/>
      <c r="M5668" s="26" t="s">
        <v>7613</v>
      </c>
      <c r="N5668" s="28">
        <v>43938</v>
      </c>
      <c r="O5668" s="28" t="s">
        <v>457</v>
      </c>
      <c r="P5668" s="29">
        <v>5000</v>
      </c>
      <c r="Q5668" s="35">
        <v>2</v>
      </c>
      <c r="R5668" s="36">
        <f t="shared" si="128"/>
        <v>10000</v>
      </c>
      <c r="S5668" s="37">
        <v>202303</v>
      </c>
      <c r="T5668" s="38" t="s">
        <v>7616</v>
      </c>
      <c r="U5668" s="39"/>
      <c r="V5668" s="40"/>
      <c r="W5668" s="41"/>
      <c r="X5668" s="28">
        <v>43922</v>
      </c>
      <c r="Y5668" s="28">
        <v>46234</v>
      </c>
    </row>
    <row r="5669" s="9" customFormat="1" customHeight="1" spans="1:25">
      <c r="A5669" s="16" t="s">
        <v>401</v>
      </c>
      <c r="B5669" s="17" t="s">
        <v>7432</v>
      </c>
      <c r="C5669" s="17" t="s">
        <v>2833</v>
      </c>
      <c r="D5669" s="17" t="s">
        <v>6905</v>
      </c>
      <c r="E5669" s="18" t="s">
        <v>7584</v>
      </c>
      <c r="F5669" s="16" t="s">
        <v>7585</v>
      </c>
      <c r="G5669" s="16" t="s">
        <v>88</v>
      </c>
      <c r="H5669" s="19" t="s">
        <v>7612</v>
      </c>
      <c r="I5669" s="23" t="e">
        <f>VLOOKUP(H5669,'合同综合查询数据（3月返）'!$A:$A,1,FALSE)</f>
        <v>#N/A</v>
      </c>
      <c r="J5669" s="24" t="s">
        <v>90</v>
      </c>
      <c r="K5669" s="16" t="s">
        <v>5480</v>
      </c>
      <c r="L5669" s="25"/>
      <c r="M5669" s="26" t="s">
        <v>7613</v>
      </c>
      <c r="N5669" s="28">
        <v>43964</v>
      </c>
      <c r="O5669" s="28" t="s">
        <v>457</v>
      </c>
      <c r="P5669" s="29">
        <v>5000</v>
      </c>
      <c r="Q5669" s="35">
        <v>1</v>
      </c>
      <c r="R5669" s="36">
        <f t="shared" si="128"/>
        <v>5000</v>
      </c>
      <c r="S5669" s="37">
        <v>202303</v>
      </c>
      <c r="T5669" s="38" t="s">
        <v>7617</v>
      </c>
      <c r="U5669" s="39"/>
      <c r="V5669" s="40"/>
      <c r="W5669" s="41"/>
      <c r="X5669" s="28">
        <v>43922</v>
      </c>
      <c r="Y5669" s="28">
        <v>46234</v>
      </c>
    </row>
    <row r="5670" s="9" customFormat="1" customHeight="1" spans="1:25">
      <c r="A5670" s="16" t="s">
        <v>401</v>
      </c>
      <c r="B5670" s="17" t="s">
        <v>7432</v>
      </c>
      <c r="C5670" s="17" t="s">
        <v>2833</v>
      </c>
      <c r="D5670" s="17" t="s">
        <v>6905</v>
      </c>
      <c r="E5670" s="18" t="s">
        <v>7584</v>
      </c>
      <c r="F5670" s="16" t="s">
        <v>7585</v>
      </c>
      <c r="G5670" s="16" t="s">
        <v>88</v>
      </c>
      <c r="H5670" s="19" t="s">
        <v>7612</v>
      </c>
      <c r="I5670" s="23" t="e">
        <f>VLOOKUP(H5670,'合同综合查询数据（3月返）'!$A:$A,1,FALSE)</f>
        <v>#N/A</v>
      </c>
      <c r="J5670" s="24" t="s">
        <v>90</v>
      </c>
      <c r="K5670" s="16" t="s">
        <v>5480</v>
      </c>
      <c r="L5670" s="25"/>
      <c r="M5670" s="26" t="s">
        <v>7613</v>
      </c>
      <c r="N5670" s="28">
        <v>43949</v>
      </c>
      <c r="O5670" s="28" t="s">
        <v>457</v>
      </c>
      <c r="P5670" s="29">
        <v>5000</v>
      </c>
      <c r="Q5670" s="35">
        <v>1</v>
      </c>
      <c r="R5670" s="36">
        <f t="shared" si="128"/>
        <v>5000</v>
      </c>
      <c r="S5670" s="37">
        <v>202303</v>
      </c>
      <c r="T5670" s="38" t="s">
        <v>7618</v>
      </c>
      <c r="U5670" s="39"/>
      <c r="V5670" s="40"/>
      <c r="W5670" s="41"/>
      <c r="X5670" s="28">
        <v>43922</v>
      </c>
      <c r="Y5670" s="28">
        <v>46234</v>
      </c>
    </row>
    <row r="5671" s="9" customFormat="1" customHeight="1" spans="1:25">
      <c r="A5671" s="16" t="s">
        <v>401</v>
      </c>
      <c r="B5671" s="17" t="s">
        <v>7432</v>
      </c>
      <c r="C5671" s="17" t="s">
        <v>2833</v>
      </c>
      <c r="D5671" s="17" t="s">
        <v>6905</v>
      </c>
      <c r="E5671" s="18" t="s">
        <v>7584</v>
      </c>
      <c r="F5671" s="16" t="s">
        <v>7585</v>
      </c>
      <c r="G5671" s="16" t="s">
        <v>88</v>
      </c>
      <c r="H5671" s="19" t="s">
        <v>7612</v>
      </c>
      <c r="I5671" s="23" t="e">
        <f>VLOOKUP(H5671,'合同综合查询数据（3月返）'!$A:$A,1,FALSE)</f>
        <v>#N/A</v>
      </c>
      <c r="J5671" s="24" t="s">
        <v>90</v>
      </c>
      <c r="K5671" s="16" t="s">
        <v>5480</v>
      </c>
      <c r="L5671" s="25"/>
      <c r="M5671" s="26" t="s">
        <v>7613</v>
      </c>
      <c r="N5671" s="28">
        <v>44001</v>
      </c>
      <c r="O5671" s="28" t="s">
        <v>457</v>
      </c>
      <c r="P5671" s="29">
        <v>5000</v>
      </c>
      <c r="Q5671" s="35">
        <v>1</v>
      </c>
      <c r="R5671" s="36">
        <f t="shared" si="128"/>
        <v>5000</v>
      </c>
      <c r="S5671" s="37">
        <v>202303</v>
      </c>
      <c r="T5671" s="38" t="s">
        <v>7619</v>
      </c>
      <c r="U5671" s="39"/>
      <c r="V5671" s="40"/>
      <c r="W5671" s="41"/>
      <c r="X5671" s="28">
        <v>43922</v>
      </c>
      <c r="Y5671" s="28">
        <v>46234</v>
      </c>
    </row>
    <row r="5672" s="9" customFormat="1" customHeight="1" spans="1:25">
      <c r="A5672" s="16" t="s">
        <v>401</v>
      </c>
      <c r="B5672" s="17" t="s">
        <v>7432</v>
      </c>
      <c r="C5672" s="17" t="s">
        <v>2833</v>
      </c>
      <c r="D5672" s="17" t="s">
        <v>6905</v>
      </c>
      <c r="E5672" s="18" t="s">
        <v>7584</v>
      </c>
      <c r="F5672" s="16" t="s">
        <v>7585</v>
      </c>
      <c r="G5672" s="16" t="s">
        <v>88</v>
      </c>
      <c r="H5672" s="19" t="s">
        <v>7612</v>
      </c>
      <c r="I5672" s="23" t="e">
        <f>VLOOKUP(H5672,'合同综合查询数据（3月返）'!$A:$A,1,FALSE)</f>
        <v>#N/A</v>
      </c>
      <c r="J5672" s="24" t="s">
        <v>90</v>
      </c>
      <c r="K5672" s="16" t="s">
        <v>5480</v>
      </c>
      <c r="L5672" s="25"/>
      <c r="M5672" s="26" t="s">
        <v>7613</v>
      </c>
      <c r="N5672" s="28">
        <v>44046</v>
      </c>
      <c r="O5672" s="28" t="s">
        <v>457</v>
      </c>
      <c r="P5672" s="29">
        <v>5000</v>
      </c>
      <c r="Q5672" s="35">
        <v>1</v>
      </c>
      <c r="R5672" s="36">
        <f t="shared" si="128"/>
        <v>5000</v>
      </c>
      <c r="S5672" s="37">
        <v>202303</v>
      </c>
      <c r="T5672" s="38" t="s">
        <v>7620</v>
      </c>
      <c r="U5672" s="39"/>
      <c r="V5672" s="40"/>
      <c r="W5672" s="41"/>
      <c r="X5672" s="28">
        <v>43922</v>
      </c>
      <c r="Y5672" s="28">
        <v>46234</v>
      </c>
    </row>
    <row r="5673" s="9" customFormat="1" customHeight="1" spans="1:25">
      <c r="A5673" s="16" t="s">
        <v>401</v>
      </c>
      <c r="B5673" s="17" t="s">
        <v>7432</v>
      </c>
      <c r="C5673" s="17" t="s">
        <v>2833</v>
      </c>
      <c r="D5673" s="17" t="s">
        <v>6905</v>
      </c>
      <c r="E5673" s="18" t="s">
        <v>7584</v>
      </c>
      <c r="F5673" s="16" t="s">
        <v>7585</v>
      </c>
      <c r="G5673" s="16" t="s">
        <v>88</v>
      </c>
      <c r="H5673" s="19" t="s">
        <v>7612</v>
      </c>
      <c r="I5673" s="23" t="e">
        <f>VLOOKUP(H5673,'合同综合查询数据（3月返）'!$A:$A,1,FALSE)</f>
        <v>#N/A</v>
      </c>
      <c r="J5673" s="24" t="s">
        <v>90</v>
      </c>
      <c r="K5673" s="16" t="s">
        <v>5480</v>
      </c>
      <c r="L5673" s="25"/>
      <c r="M5673" s="26" t="s">
        <v>7613</v>
      </c>
      <c r="N5673" s="28">
        <v>44061</v>
      </c>
      <c r="O5673" s="28" t="s">
        <v>457</v>
      </c>
      <c r="P5673" s="29">
        <v>5000</v>
      </c>
      <c r="Q5673" s="35">
        <v>1</v>
      </c>
      <c r="R5673" s="36">
        <f t="shared" si="128"/>
        <v>5000</v>
      </c>
      <c r="S5673" s="37">
        <v>202303</v>
      </c>
      <c r="T5673" s="38" t="s">
        <v>7621</v>
      </c>
      <c r="U5673" s="39"/>
      <c r="V5673" s="40"/>
      <c r="W5673" s="41"/>
      <c r="X5673" s="28">
        <v>43922</v>
      </c>
      <c r="Y5673" s="28">
        <v>46234</v>
      </c>
    </row>
    <row r="5674" s="9" customFormat="1" customHeight="1" spans="1:25">
      <c r="A5674" s="16" t="s">
        <v>401</v>
      </c>
      <c r="B5674" s="17" t="s">
        <v>7432</v>
      </c>
      <c r="C5674" s="17" t="s">
        <v>2833</v>
      </c>
      <c r="D5674" s="17" t="s">
        <v>6905</v>
      </c>
      <c r="E5674" s="18" t="s">
        <v>7584</v>
      </c>
      <c r="F5674" s="16" t="s">
        <v>7585</v>
      </c>
      <c r="G5674" s="16" t="s">
        <v>88</v>
      </c>
      <c r="H5674" s="19" t="s">
        <v>7612</v>
      </c>
      <c r="I5674" s="23" t="e">
        <f>VLOOKUP(H5674,'合同综合查询数据（3月返）'!$A:$A,1,FALSE)</f>
        <v>#N/A</v>
      </c>
      <c r="J5674" s="24" t="s">
        <v>90</v>
      </c>
      <c r="K5674" s="16" t="s">
        <v>5480</v>
      </c>
      <c r="L5674" s="25"/>
      <c r="M5674" s="26" t="s">
        <v>7613</v>
      </c>
      <c r="N5674" s="28">
        <v>44076</v>
      </c>
      <c r="O5674" s="28" t="s">
        <v>457</v>
      </c>
      <c r="P5674" s="29">
        <v>5000</v>
      </c>
      <c r="Q5674" s="35">
        <v>1</v>
      </c>
      <c r="R5674" s="36">
        <f t="shared" si="128"/>
        <v>5000</v>
      </c>
      <c r="S5674" s="37">
        <v>202303</v>
      </c>
      <c r="T5674" s="38" t="s">
        <v>7622</v>
      </c>
      <c r="U5674" s="39"/>
      <c r="V5674" s="40"/>
      <c r="W5674" s="41"/>
      <c r="X5674" s="28">
        <v>43922</v>
      </c>
      <c r="Y5674" s="28">
        <v>46234</v>
      </c>
    </row>
    <row r="5675" s="9" customFormat="1" customHeight="1" spans="1:25">
      <c r="A5675" s="16" t="s">
        <v>401</v>
      </c>
      <c r="B5675" s="17" t="s">
        <v>7432</v>
      </c>
      <c r="C5675" s="17" t="s">
        <v>2833</v>
      </c>
      <c r="D5675" s="17" t="s">
        <v>6905</v>
      </c>
      <c r="E5675" s="18" t="s">
        <v>7584</v>
      </c>
      <c r="F5675" s="16" t="s">
        <v>7585</v>
      </c>
      <c r="G5675" s="16" t="s">
        <v>88</v>
      </c>
      <c r="H5675" s="19" t="s">
        <v>7612</v>
      </c>
      <c r="I5675" s="23" t="e">
        <f>VLOOKUP(H5675,'合同综合查询数据（3月返）'!$A:$A,1,FALSE)</f>
        <v>#N/A</v>
      </c>
      <c r="J5675" s="24" t="s">
        <v>90</v>
      </c>
      <c r="K5675" s="16" t="s">
        <v>5480</v>
      </c>
      <c r="L5675" s="25"/>
      <c r="M5675" s="26" t="s">
        <v>7613</v>
      </c>
      <c r="N5675" s="28">
        <v>44083</v>
      </c>
      <c r="O5675" s="28" t="s">
        <v>457</v>
      </c>
      <c r="P5675" s="29">
        <v>5000</v>
      </c>
      <c r="Q5675" s="35">
        <v>-1</v>
      </c>
      <c r="R5675" s="36">
        <f t="shared" si="128"/>
        <v>-5000</v>
      </c>
      <c r="S5675" s="37">
        <v>202303</v>
      </c>
      <c r="T5675" s="38" t="s">
        <v>7623</v>
      </c>
      <c r="U5675" s="39"/>
      <c r="V5675" s="40"/>
      <c r="W5675" s="41"/>
      <c r="X5675" s="28">
        <v>43922</v>
      </c>
      <c r="Y5675" s="28">
        <v>46234</v>
      </c>
    </row>
    <row r="5676" s="9" customFormat="1" customHeight="1" spans="1:25">
      <c r="A5676" s="16" t="s">
        <v>401</v>
      </c>
      <c r="B5676" s="17" t="s">
        <v>7432</v>
      </c>
      <c r="C5676" s="17" t="s">
        <v>2833</v>
      </c>
      <c r="D5676" s="17" t="s">
        <v>6905</v>
      </c>
      <c r="E5676" s="18" t="s">
        <v>7584</v>
      </c>
      <c r="F5676" s="16" t="s">
        <v>7585</v>
      </c>
      <c r="G5676" s="16" t="s">
        <v>88</v>
      </c>
      <c r="H5676" s="19" t="s">
        <v>7612</v>
      </c>
      <c r="I5676" s="23" t="e">
        <f>VLOOKUP(H5676,'合同综合查询数据（3月返）'!$A:$A,1,FALSE)</f>
        <v>#N/A</v>
      </c>
      <c r="J5676" s="24" t="s">
        <v>90</v>
      </c>
      <c r="K5676" s="16" t="s">
        <v>5480</v>
      </c>
      <c r="L5676" s="25"/>
      <c r="M5676" s="26" t="s">
        <v>7613</v>
      </c>
      <c r="N5676" s="28">
        <v>44091</v>
      </c>
      <c r="O5676" s="28" t="s">
        <v>457</v>
      </c>
      <c r="P5676" s="29">
        <v>5000</v>
      </c>
      <c r="Q5676" s="35">
        <v>1</v>
      </c>
      <c r="R5676" s="36">
        <f t="shared" si="128"/>
        <v>5000</v>
      </c>
      <c r="S5676" s="37">
        <v>202303</v>
      </c>
      <c r="T5676" s="38" t="s">
        <v>7624</v>
      </c>
      <c r="U5676" s="39"/>
      <c r="V5676" s="40"/>
      <c r="W5676" s="41"/>
      <c r="X5676" s="28">
        <v>43922</v>
      </c>
      <c r="Y5676" s="28">
        <v>46234</v>
      </c>
    </row>
    <row r="5677" s="9" customFormat="1" customHeight="1" spans="1:25">
      <c r="A5677" s="16" t="s">
        <v>401</v>
      </c>
      <c r="B5677" s="17" t="s">
        <v>7432</v>
      </c>
      <c r="C5677" s="17" t="s">
        <v>2833</v>
      </c>
      <c r="D5677" s="17" t="s">
        <v>6905</v>
      </c>
      <c r="E5677" s="18" t="s">
        <v>7584</v>
      </c>
      <c r="F5677" s="16" t="s">
        <v>7585</v>
      </c>
      <c r="G5677" s="16" t="s">
        <v>88</v>
      </c>
      <c r="H5677" s="19" t="s">
        <v>7612</v>
      </c>
      <c r="I5677" s="23" t="e">
        <f>VLOOKUP(H5677,'合同综合查询数据（3月返）'!$A:$A,1,FALSE)</f>
        <v>#N/A</v>
      </c>
      <c r="J5677" s="24" t="s">
        <v>90</v>
      </c>
      <c r="K5677" s="16" t="s">
        <v>5480</v>
      </c>
      <c r="L5677" s="25"/>
      <c r="M5677" s="26" t="s">
        <v>7613</v>
      </c>
      <c r="N5677" s="28">
        <v>44097</v>
      </c>
      <c r="O5677" s="28" t="s">
        <v>457</v>
      </c>
      <c r="P5677" s="29">
        <v>5000</v>
      </c>
      <c r="Q5677" s="35">
        <v>1</v>
      </c>
      <c r="R5677" s="36">
        <f t="shared" si="128"/>
        <v>5000</v>
      </c>
      <c r="S5677" s="37">
        <v>202303</v>
      </c>
      <c r="T5677" s="38" t="s">
        <v>7625</v>
      </c>
      <c r="U5677" s="39"/>
      <c r="V5677" s="40"/>
      <c r="W5677" s="41"/>
      <c r="X5677" s="28">
        <v>43922</v>
      </c>
      <c r="Y5677" s="28">
        <v>46234</v>
      </c>
    </row>
    <row r="5678" s="9" customFormat="1" customHeight="1" spans="1:25">
      <c r="A5678" s="16" t="s">
        <v>401</v>
      </c>
      <c r="B5678" s="17" t="s">
        <v>7432</v>
      </c>
      <c r="C5678" s="17" t="s">
        <v>2833</v>
      </c>
      <c r="D5678" s="17" t="s">
        <v>6905</v>
      </c>
      <c r="E5678" s="18" t="s">
        <v>7584</v>
      </c>
      <c r="F5678" s="16" t="s">
        <v>7585</v>
      </c>
      <c r="G5678" s="16" t="s">
        <v>88</v>
      </c>
      <c r="H5678" s="19" t="s">
        <v>7612</v>
      </c>
      <c r="I5678" s="23" t="e">
        <f>VLOOKUP(H5678,'合同综合查询数据（3月返）'!$A:$A,1,FALSE)</f>
        <v>#N/A</v>
      </c>
      <c r="J5678" s="24" t="s">
        <v>90</v>
      </c>
      <c r="K5678" s="16" t="s">
        <v>5480</v>
      </c>
      <c r="L5678" s="25"/>
      <c r="M5678" s="26" t="s">
        <v>7626</v>
      </c>
      <c r="N5678" s="28">
        <v>44037</v>
      </c>
      <c r="O5678" s="28" t="s">
        <v>457</v>
      </c>
      <c r="P5678" s="29">
        <v>5000</v>
      </c>
      <c r="Q5678" s="35">
        <v>102</v>
      </c>
      <c r="R5678" s="36">
        <f t="shared" si="128"/>
        <v>510000</v>
      </c>
      <c r="S5678" s="37">
        <v>202303</v>
      </c>
      <c r="T5678" s="38" t="s">
        <v>7627</v>
      </c>
      <c r="U5678" s="39"/>
      <c r="V5678" s="40"/>
      <c r="W5678" s="41"/>
      <c r="X5678" s="28">
        <v>43922</v>
      </c>
      <c r="Y5678" s="28">
        <v>46234</v>
      </c>
    </row>
    <row r="5679" s="9" customFormat="1" customHeight="1" spans="1:25">
      <c r="A5679" s="16" t="s">
        <v>401</v>
      </c>
      <c r="B5679" s="17" t="s">
        <v>7432</v>
      </c>
      <c r="C5679" s="17" t="s">
        <v>2833</v>
      </c>
      <c r="D5679" s="17" t="s">
        <v>6905</v>
      </c>
      <c r="E5679" s="18" t="s">
        <v>7584</v>
      </c>
      <c r="F5679" s="16" t="s">
        <v>7585</v>
      </c>
      <c r="G5679" s="16" t="s">
        <v>88</v>
      </c>
      <c r="H5679" s="19" t="s">
        <v>7612</v>
      </c>
      <c r="I5679" s="23" t="e">
        <f>VLOOKUP(H5679,'合同综合查询数据（3月返）'!$A:$A,1,FALSE)</f>
        <v>#N/A</v>
      </c>
      <c r="J5679" s="24" t="s">
        <v>90</v>
      </c>
      <c r="K5679" s="16" t="s">
        <v>5480</v>
      </c>
      <c r="L5679" s="25"/>
      <c r="M5679" s="26" t="s">
        <v>7626</v>
      </c>
      <c r="N5679" s="28">
        <v>44039</v>
      </c>
      <c r="O5679" s="28" t="s">
        <v>457</v>
      </c>
      <c r="P5679" s="29">
        <v>5000</v>
      </c>
      <c r="Q5679" s="35">
        <v>16</v>
      </c>
      <c r="R5679" s="36">
        <f t="shared" si="128"/>
        <v>80000</v>
      </c>
      <c r="S5679" s="37">
        <v>202303</v>
      </c>
      <c r="T5679" s="38" t="s">
        <v>7628</v>
      </c>
      <c r="U5679" s="39"/>
      <c r="V5679" s="40"/>
      <c r="W5679" s="41"/>
      <c r="X5679" s="28">
        <v>43922</v>
      </c>
      <c r="Y5679" s="28">
        <v>46234</v>
      </c>
    </row>
    <row r="5680" s="9" customFormat="1" customHeight="1" spans="1:25">
      <c r="A5680" s="16" t="s">
        <v>401</v>
      </c>
      <c r="B5680" s="17" t="s">
        <v>7432</v>
      </c>
      <c r="C5680" s="17" t="s">
        <v>2833</v>
      </c>
      <c r="D5680" s="17" t="s">
        <v>6905</v>
      </c>
      <c r="E5680" s="18" t="s">
        <v>7584</v>
      </c>
      <c r="F5680" s="16" t="s">
        <v>7585</v>
      </c>
      <c r="G5680" s="16" t="s">
        <v>88</v>
      </c>
      <c r="H5680" s="19" t="s">
        <v>7612</v>
      </c>
      <c r="I5680" s="23" t="e">
        <f>VLOOKUP(H5680,'合同综合查询数据（3月返）'!$A:$A,1,FALSE)</f>
        <v>#N/A</v>
      </c>
      <c r="J5680" s="24" t="s">
        <v>90</v>
      </c>
      <c r="K5680" s="16" t="s">
        <v>5480</v>
      </c>
      <c r="L5680" s="25"/>
      <c r="M5680" s="26" t="s">
        <v>7626</v>
      </c>
      <c r="N5680" s="28">
        <v>44037</v>
      </c>
      <c r="O5680" s="28" t="s">
        <v>574</v>
      </c>
      <c r="P5680" s="29">
        <v>27415</v>
      </c>
      <c r="Q5680" s="35">
        <v>10</v>
      </c>
      <c r="R5680" s="36">
        <f t="shared" si="128"/>
        <v>274150</v>
      </c>
      <c r="S5680" s="37">
        <v>202303</v>
      </c>
      <c r="T5680" s="38" t="s">
        <v>7629</v>
      </c>
      <c r="U5680" s="39"/>
      <c r="V5680" s="40"/>
      <c r="W5680" s="41"/>
      <c r="X5680" s="28">
        <v>43922</v>
      </c>
      <c r="Y5680" s="28">
        <v>46234</v>
      </c>
    </row>
    <row r="5681" s="9" customFormat="1" customHeight="1" spans="1:25">
      <c r="A5681" s="16" t="s">
        <v>401</v>
      </c>
      <c r="B5681" s="17" t="s">
        <v>7432</v>
      </c>
      <c r="C5681" s="17" t="s">
        <v>2833</v>
      </c>
      <c r="D5681" s="17" t="s">
        <v>6905</v>
      </c>
      <c r="E5681" s="18" t="s">
        <v>7584</v>
      </c>
      <c r="F5681" s="16" t="s">
        <v>7585</v>
      </c>
      <c r="G5681" s="16" t="s">
        <v>88</v>
      </c>
      <c r="H5681" s="19" t="s">
        <v>7612</v>
      </c>
      <c r="I5681" s="23" t="e">
        <f>VLOOKUP(H5681,'合同综合查询数据（3月返）'!$A:$A,1,FALSE)</f>
        <v>#N/A</v>
      </c>
      <c r="J5681" s="24" t="s">
        <v>90</v>
      </c>
      <c r="K5681" s="16" t="s">
        <v>5480</v>
      </c>
      <c r="L5681" s="25"/>
      <c r="M5681" s="26" t="s">
        <v>7626</v>
      </c>
      <c r="N5681" s="28">
        <v>44044</v>
      </c>
      <c r="O5681" s="28" t="s">
        <v>545</v>
      </c>
      <c r="P5681" s="29">
        <v>3000</v>
      </c>
      <c r="Q5681" s="35">
        <v>12</v>
      </c>
      <c r="R5681" s="36">
        <f t="shared" si="128"/>
        <v>36000</v>
      </c>
      <c r="S5681" s="37">
        <v>202303</v>
      </c>
      <c r="T5681" s="38" t="s">
        <v>7630</v>
      </c>
      <c r="U5681" s="39"/>
      <c r="V5681" s="40"/>
      <c r="W5681" s="41"/>
      <c r="X5681" s="28">
        <v>43922</v>
      </c>
      <c r="Y5681" s="28">
        <v>46234</v>
      </c>
    </row>
    <row r="5682" s="9" customFormat="1" customHeight="1" spans="1:25">
      <c r="A5682" s="16" t="s">
        <v>401</v>
      </c>
      <c r="B5682" s="17" t="s">
        <v>7432</v>
      </c>
      <c r="C5682" s="17" t="s">
        <v>2833</v>
      </c>
      <c r="D5682" s="17" t="s">
        <v>6905</v>
      </c>
      <c r="E5682" s="18" t="s">
        <v>7584</v>
      </c>
      <c r="F5682" s="16" t="s">
        <v>7585</v>
      </c>
      <c r="G5682" s="16" t="s">
        <v>88</v>
      </c>
      <c r="H5682" s="19" t="s">
        <v>7612</v>
      </c>
      <c r="I5682" s="23" t="e">
        <f>VLOOKUP(H5682,'合同综合查询数据（3月返）'!$A:$A,1,FALSE)</f>
        <v>#N/A</v>
      </c>
      <c r="J5682" s="24" t="s">
        <v>90</v>
      </c>
      <c r="K5682" s="16" t="s">
        <v>5480</v>
      </c>
      <c r="L5682" s="25"/>
      <c r="M5682" s="26" t="s">
        <v>7626</v>
      </c>
      <c r="N5682" s="28">
        <v>44053</v>
      </c>
      <c r="O5682" s="28" t="s">
        <v>457</v>
      </c>
      <c r="P5682" s="29">
        <v>5000</v>
      </c>
      <c r="Q5682" s="35">
        <v>3</v>
      </c>
      <c r="R5682" s="36">
        <f t="shared" si="128"/>
        <v>15000</v>
      </c>
      <c r="S5682" s="37">
        <v>202303</v>
      </c>
      <c r="T5682" s="38" t="s">
        <v>7631</v>
      </c>
      <c r="U5682" s="39"/>
      <c r="V5682" s="40"/>
      <c r="W5682" s="41"/>
      <c r="X5682" s="28">
        <v>43922</v>
      </c>
      <c r="Y5682" s="28">
        <v>46234</v>
      </c>
    </row>
    <row r="5683" s="9" customFormat="1" customHeight="1" spans="1:25">
      <c r="A5683" s="16" t="s">
        <v>401</v>
      </c>
      <c r="B5683" s="17" t="s">
        <v>7432</v>
      </c>
      <c r="C5683" s="17" t="s">
        <v>2833</v>
      </c>
      <c r="D5683" s="17" t="s">
        <v>6905</v>
      </c>
      <c r="E5683" s="18" t="s">
        <v>7584</v>
      </c>
      <c r="F5683" s="16" t="s">
        <v>7585</v>
      </c>
      <c r="G5683" s="16" t="s">
        <v>88</v>
      </c>
      <c r="H5683" s="19" t="s">
        <v>7612</v>
      </c>
      <c r="I5683" s="23" t="e">
        <f>VLOOKUP(H5683,'合同综合查询数据（3月返）'!$A:$A,1,FALSE)</f>
        <v>#N/A</v>
      </c>
      <c r="J5683" s="24" t="s">
        <v>90</v>
      </c>
      <c r="K5683" s="16" t="s">
        <v>5480</v>
      </c>
      <c r="L5683" s="25"/>
      <c r="M5683" s="26" t="s">
        <v>7626</v>
      </c>
      <c r="N5683" s="28">
        <v>44057</v>
      </c>
      <c r="O5683" s="28" t="s">
        <v>457</v>
      </c>
      <c r="P5683" s="29">
        <v>5000</v>
      </c>
      <c r="Q5683" s="35">
        <v>2</v>
      </c>
      <c r="R5683" s="36">
        <f t="shared" si="128"/>
        <v>10000</v>
      </c>
      <c r="S5683" s="37">
        <v>202303</v>
      </c>
      <c r="T5683" s="38" t="s">
        <v>7632</v>
      </c>
      <c r="U5683" s="39"/>
      <c r="V5683" s="40"/>
      <c r="W5683" s="41"/>
      <c r="X5683" s="28">
        <v>43922</v>
      </c>
      <c r="Y5683" s="28">
        <v>46234</v>
      </c>
    </row>
    <row r="5684" s="9" customFormat="1" customHeight="1" spans="1:25">
      <c r="A5684" s="16" t="s">
        <v>401</v>
      </c>
      <c r="B5684" s="17" t="s">
        <v>7432</v>
      </c>
      <c r="C5684" s="17" t="s">
        <v>2833</v>
      </c>
      <c r="D5684" s="17" t="s">
        <v>6905</v>
      </c>
      <c r="E5684" s="18" t="s">
        <v>7584</v>
      </c>
      <c r="F5684" s="16" t="s">
        <v>7585</v>
      </c>
      <c r="G5684" s="16" t="s">
        <v>88</v>
      </c>
      <c r="H5684" s="19" t="s">
        <v>7612</v>
      </c>
      <c r="I5684" s="23" t="e">
        <f>VLOOKUP(H5684,'合同综合查询数据（3月返）'!$A:$A,1,FALSE)</f>
        <v>#N/A</v>
      </c>
      <c r="J5684" s="24" t="s">
        <v>90</v>
      </c>
      <c r="K5684" s="16" t="s">
        <v>5480</v>
      </c>
      <c r="L5684" s="25"/>
      <c r="M5684" s="26" t="s">
        <v>7626</v>
      </c>
      <c r="N5684" s="28">
        <v>44074</v>
      </c>
      <c r="O5684" s="28" t="s">
        <v>457</v>
      </c>
      <c r="P5684" s="29">
        <v>5000</v>
      </c>
      <c r="Q5684" s="35">
        <v>2</v>
      </c>
      <c r="R5684" s="36">
        <f t="shared" si="128"/>
        <v>10000</v>
      </c>
      <c r="S5684" s="37">
        <v>202303</v>
      </c>
      <c r="T5684" s="38" t="s">
        <v>7633</v>
      </c>
      <c r="U5684" s="39"/>
      <c r="V5684" s="40"/>
      <c r="W5684" s="41"/>
      <c r="X5684" s="28">
        <v>43922</v>
      </c>
      <c r="Y5684" s="28">
        <v>46234</v>
      </c>
    </row>
    <row r="5685" s="9" customFormat="1" customHeight="1" spans="1:25">
      <c r="A5685" s="16" t="s">
        <v>401</v>
      </c>
      <c r="B5685" s="17" t="s">
        <v>7432</v>
      </c>
      <c r="C5685" s="17" t="s">
        <v>2833</v>
      </c>
      <c r="D5685" s="17" t="s">
        <v>6905</v>
      </c>
      <c r="E5685" s="18" t="s">
        <v>7584</v>
      </c>
      <c r="F5685" s="16" t="s">
        <v>7585</v>
      </c>
      <c r="G5685" s="16" t="s">
        <v>88</v>
      </c>
      <c r="H5685" s="19" t="s">
        <v>7612</v>
      </c>
      <c r="I5685" s="23" t="e">
        <f>VLOOKUP(H5685,'合同综合查询数据（3月返）'!$A:$A,1,FALSE)</f>
        <v>#N/A</v>
      </c>
      <c r="J5685" s="24" t="s">
        <v>90</v>
      </c>
      <c r="K5685" s="16" t="s">
        <v>5480</v>
      </c>
      <c r="L5685" s="25"/>
      <c r="M5685" s="26" t="s">
        <v>7613</v>
      </c>
      <c r="N5685" s="28">
        <v>44104</v>
      </c>
      <c r="O5685" s="28" t="s">
        <v>457</v>
      </c>
      <c r="P5685" s="29">
        <v>5000</v>
      </c>
      <c r="Q5685" s="35">
        <v>3</v>
      </c>
      <c r="R5685" s="36">
        <f t="shared" si="128"/>
        <v>15000</v>
      </c>
      <c r="S5685" s="37">
        <v>202303</v>
      </c>
      <c r="T5685" s="38" t="s">
        <v>7634</v>
      </c>
      <c r="U5685" s="39"/>
      <c r="V5685" s="40"/>
      <c r="W5685" s="41"/>
      <c r="X5685" s="28">
        <v>43922</v>
      </c>
      <c r="Y5685" s="28">
        <v>46234</v>
      </c>
    </row>
    <row r="5686" s="9" customFormat="1" customHeight="1" spans="1:25">
      <c r="A5686" s="16" t="s">
        <v>401</v>
      </c>
      <c r="B5686" s="17" t="s">
        <v>7432</v>
      </c>
      <c r="C5686" s="17" t="s">
        <v>2833</v>
      </c>
      <c r="D5686" s="17" t="s">
        <v>6905</v>
      </c>
      <c r="E5686" s="18" t="s">
        <v>7584</v>
      </c>
      <c r="F5686" s="16" t="s">
        <v>7585</v>
      </c>
      <c r="G5686" s="16" t="s">
        <v>88</v>
      </c>
      <c r="H5686" s="19" t="s">
        <v>7612</v>
      </c>
      <c r="I5686" s="23" t="e">
        <f>VLOOKUP(H5686,'合同综合查询数据（3月返）'!$A:$A,1,FALSE)</f>
        <v>#N/A</v>
      </c>
      <c r="J5686" s="24" t="s">
        <v>90</v>
      </c>
      <c r="K5686" s="16" t="s">
        <v>5480</v>
      </c>
      <c r="L5686" s="25"/>
      <c r="M5686" s="26" t="s">
        <v>7626</v>
      </c>
      <c r="N5686" s="28">
        <v>44102</v>
      </c>
      <c r="O5686" s="28" t="s">
        <v>457</v>
      </c>
      <c r="P5686" s="29">
        <v>5000</v>
      </c>
      <c r="Q5686" s="35">
        <v>14</v>
      </c>
      <c r="R5686" s="36">
        <f t="shared" si="128"/>
        <v>70000</v>
      </c>
      <c r="S5686" s="37">
        <v>202303</v>
      </c>
      <c r="T5686" s="38" t="s">
        <v>7635</v>
      </c>
      <c r="U5686" s="39"/>
      <c r="V5686" s="40"/>
      <c r="W5686" s="41"/>
      <c r="X5686" s="28">
        <v>43922</v>
      </c>
      <c r="Y5686" s="28">
        <v>46234</v>
      </c>
    </row>
    <row r="5687" s="9" customFormat="1" customHeight="1" spans="1:25">
      <c r="A5687" s="16" t="s">
        <v>401</v>
      </c>
      <c r="B5687" s="17" t="s">
        <v>7432</v>
      </c>
      <c r="C5687" s="17" t="s">
        <v>2833</v>
      </c>
      <c r="D5687" s="17" t="s">
        <v>6905</v>
      </c>
      <c r="E5687" s="18" t="s">
        <v>7584</v>
      </c>
      <c r="F5687" s="16" t="s">
        <v>7585</v>
      </c>
      <c r="G5687" s="16" t="s">
        <v>88</v>
      </c>
      <c r="H5687" s="19" t="s">
        <v>7612</v>
      </c>
      <c r="I5687" s="23" t="e">
        <f>VLOOKUP(H5687,'合同综合查询数据（3月返）'!$A:$A,1,FALSE)</f>
        <v>#N/A</v>
      </c>
      <c r="J5687" s="24" t="s">
        <v>90</v>
      </c>
      <c r="K5687" s="16" t="s">
        <v>5480</v>
      </c>
      <c r="L5687" s="25"/>
      <c r="M5687" s="26" t="s">
        <v>7626</v>
      </c>
      <c r="N5687" s="28">
        <v>44125</v>
      </c>
      <c r="O5687" s="28" t="s">
        <v>457</v>
      </c>
      <c r="P5687" s="29">
        <v>5000</v>
      </c>
      <c r="Q5687" s="35">
        <v>13</v>
      </c>
      <c r="R5687" s="36">
        <f t="shared" si="128"/>
        <v>65000</v>
      </c>
      <c r="S5687" s="37">
        <v>202303</v>
      </c>
      <c r="T5687" s="38" t="s">
        <v>7636</v>
      </c>
      <c r="U5687" s="39"/>
      <c r="V5687" s="40"/>
      <c r="W5687" s="41"/>
      <c r="X5687" s="28">
        <v>43922</v>
      </c>
      <c r="Y5687" s="28">
        <v>46234</v>
      </c>
    </row>
    <row r="5688" s="9" customFormat="1" customHeight="1" spans="1:25">
      <c r="A5688" s="16" t="s">
        <v>401</v>
      </c>
      <c r="B5688" s="17" t="s">
        <v>7432</v>
      </c>
      <c r="C5688" s="17" t="s">
        <v>2833</v>
      </c>
      <c r="D5688" s="17" t="s">
        <v>6905</v>
      </c>
      <c r="E5688" s="18" t="s">
        <v>7584</v>
      </c>
      <c r="F5688" s="16" t="s">
        <v>7585</v>
      </c>
      <c r="G5688" s="16" t="s">
        <v>88</v>
      </c>
      <c r="H5688" s="19" t="s">
        <v>7612</v>
      </c>
      <c r="I5688" s="23" t="e">
        <f>VLOOKUP(H5688,'合同综合查询数据（3月返）'!$A:$A,1,FALSE)</f>
        <v>#N/A</v>
      </c>
      <c r="J5688" s="24" t="s">
        <v>90</v>
      </c>
      <c r="K5688" s="16" t="s">
        <v>5480</v>
      </c>
      <c r="L5688" s="25"/>
      <c r="M5688" s="26" t="s">
        <v>7613</v>
      </c>
      <c r="N5688" s="28">
        <v>44116</v>
      </c>
      <c r="O5688" s="28" t="s">
        <v>457</v>
      </c>
      <c r="P5688" s="29">
        <v>5000</v>
      </c>
      <c r="Q5688" s="35">
        <v>1</v>
      </c>
      <c r="R5688" s="36">
        <f t="shared" si="128"/>
        <v>5000</v>
      </c>
      <c r="S5688" s="37">
        <v>202303</v>
      </c>
      <c r="T5688" s="38" t="s">
        <v>7637</v>
      </c>
      <c r="U5688" s="39"/>
      <c r="V5688" s="40"/>
      <c r="W5688" s="41"/>
      <c r="X5688" s="28">
        <v>43922</v>
      </c>
      <c r="Y5688" s="28">
        <v>46234</v>
      </c>
    </row>
    <row r="5689" s="9" customFormat="1" customHeight="1" spans="1:25">
      <c r="A5689" s="16" t="s">
        <v>401</v>
      </c>
      <c r="B5689" s="17" t="s">
        <v>7432</v>
      </c>
      <c r="C5689" s="17" t="s">
        <v>2833</v>
      </c>
      <c r="D5689" s="17" t="s">
        <v>6905</v>
      </c>
      <c r="E5689" s="18" t="s">
        <v>7584</v>
      </c>
      <c r="F5689" s="16" t="s">
        <v>7585</v>
      </c>
      <c r="G5689" s="16" t="s">
        <v>88</v>
      </c>
      <c r="H5689" s="19" t="s">
        <v>7612</v>
      </c>
      <c r="I5689" s="23" t="e">
        <f>VLOOKUP(H5689,'合同综合查询数据（3月返）'!$A:$A,1,FALSE)</f>
        <v>#N/A</v>
      </c>
      <c r="J5689" s="24" t="s">
        <v>90</v>
      </c>
      <c r="K5689" s="16" t="s">
        <v>5480</v>
      </c>
      <c r="L5689" s="25"/>
      <c r="M5689" s="26" t="s">
        <v>7613</v>
      </c>
      <c r="N5689" s="28">
        <v>44127</v>
      </c>
      <c r="O5689" s="28" t="s">
        <v>457</v>
      </c>
      <c r="P5689" s="29">
        <v>5000</v>
      </c>
      <c r="Q5689" s="35">
        <v>1</v>
      </c>
      <c r="R5689" s="36">
        <f t="shared" si="128"/>
        <v>5000</v>
      </c>
      <c r="S5689" s="37">
        <v>202303</v>
      </c>
      <c r="T5689" s="38" t="s">
        <v>7638</v>
      </c>
      <c r="U5689" s="39"/>
      <c r="V5689" s="40"/>
      <c r="W5689" s="41"/>
      <c r="X5689" s="28">
        <v>43922</v>
      </c>
      <c r="Y5689" s="28">
        <v>46234</v>
      </c>
    </row>
    <row r="5690" s="9" customFormat="1" customHeight="1" spans="1:25">
      <c r="A5690" s="16" t="s">
        <v>401</v>
      </c>
      <c r="B5690" s="17" t="s">
        <v>7432</v>
      </c>
      <c r="C5690" s="17" t="s">
        <v>2833</v>
      </c>
      <c r="D5690" s="17" t="s">
        <v>6905</v>
      </c>
      <c r="E5690" s="18" t="s">
        <v>7584</v>
      </c>
      <c r="F5690" s="16" t="s">
        <v>7585</v>
      </c>
      <c r="G5690" s="16" t="s">
        <v>88</v>
      </c>
      <c r="H5690" s="19" t="s">
        <v>7612</v>
      </c>
      <c r="I5690" s="23" t="e">
        <f>VLOOKUP(H5690,'合同综合查询数据（3月返）'!$A:$A,1,FALSE)</f>
        <v>#N/A</v>
      </c>
      <c r="J5690" s="24" t="s">
        <v>90</v>
      </c>
      <c r="K5690" s="16" t="s">
        <v>5480</v>
      </c>
      <c r="L5690" s="25"/>
      <c r="M5690" s="26" t="s">
        <v>7626</v>
      </c>
      <c r="N5690" s="28">
        <v>44158</v>
      </c>
      <c r="O5690" s="28" t="s">
        <v>457</v>
      </c>
      <c r="P5690" s="29">
        <v>5000</v>
      </c>
      <c r="Q5690" s="35">
        <v>14</v>
      </c>
      <c r="R5690" s="36">
        <f t="shared" si="128"/>
        <v>70000</v>
      </c>
      <c r="S5690" s="37">
        <v>202303</v>
      </c>
      <c r="T5690" s="38" t="s">
        <v>7639</v>
      </c>
      <c r="U5690" s="39"/>
      <c r="V5690" s="40"/>
      <c r="W5690" s="41"/>
      <c r="X5690" s="28">
        <v>43922</v>
      </c>
      <c r="Y5690" s="28">
        <v>46234</v>
      </c>
    </row>
    <row r="5691" s="9" customFormat="1" customHeight="1" spans="1:25">
      <c r="A5691" s="16" t="s">
        <v>401</v>
      </c>
      <c r="B5691" s="17" t="s">
        <v>7432</v>
      </c>
      <c r="C5691" s="17" t="s">
        <v>2833</v>
      </c>
      <c r="D5691" s="17" t="s">
        <v>6905</v>
      </c>
      <c r="E5691" s="18" t="s">
        <v>7584</v>
      </c>
      <c r="F5691" s="16" t="s">
        <v>7585</v>
      </c>
      <c r="G5691" s="16" t="s">
        <v>88</v>
      </c>
      <c r="H5691" s="19" t="s">
        <v>7612</v>
      </c>
      <c r="I5691" s="23" t="e">
        <f>VLOOKUP(H5691,'合同综合查询数据（3月返）'!$A:$A,1,FALSE)</f>
        <v>#N/A</v>
      </c>
      <c r="J5691" s="24" t="s">
        <v>90</v>
      </c>
      <c r="K5691" s="16" t="s">
        <v>5480</v>
      </c>
      <c r="L5691" s="25"/>
      <c r="M5691" s="26" t="s">
        <v>7626</v>
      </c>
      <c r="N5691" s="28">
        <v>44166</v>
      </c>
      <c r="O5691" s="28" t="s">
        <v>457</v>
      </c>
      <c r="P5691" s="29">
        <v>5000</v>
      </c>
      <c r="Q5691" s="35">
        <v>8</v>
      </c>
      <c r="R5691" s="36">
        <f t="shared" si="128"/>
        <v>40000</v>
      </c>
      <c r="S5691" s="37">
        <v>202303</v>
      </c>
      <c r="T5691" s="38" t="s">
        <v>7640</v>
      </c>
      <c r="U5691" s="39"/>
      <c r="V5691" s="40"/>
      <c r="W5691" s="41"/>
      <c r="X5691" s="28">
        <v>43922</v>
      </c>
      <c r="Y5691" s="28">
        <v>46234</v>
      </c>
    </row>
    <row r="5692" s="9" customFormat="1" customHeight="1" spans="1:25">
      <c r="A5692" s="16" t="s">
        <v>401</v>
      </c>
      <c r="B5692" s="17" t="s">
        <v>7432</v>
      </c>
      <c r="C5692" s="17" t="s">
        <v>2833</v>
      </c>
      <c r="D5692" s="17" t="s">
        <v>6905</v>
      </c>
      <c r="E5692" s="18" t="s">
        <v>7584</v>
      </c>
      <c r="F5692" s="16" t="s">
        <v>7585</v>
      </c>
      <c r="G5692" s="16" t="s">
        <v>88</v>
      </c>
      <c r="H5692" s="19" t="s">
        <v>7612</v>
      </c>
      <c r="I5692" s="23" t="e">
        <f>VLOOKUP(H5692,'合同综合查询数据（3月返）'!$A:$A,1,FALSE)</f>
        <v>#N/A</v>
      </c>
      <c r="J5692" s="24" t="s">
        <v>90</v>
      </c>
      <c r="K5692" s="16" t="s">
        <v>5480</v>
      </c>
      <c r="L5692" s="25"/>
      <c r="M5692" s="26" t="s">
        <v>7626</v>
      </c>
      <c r="N5692" s="28">
        <v>44169</v>
      </c>
      <c r="O5692" s="28" t="s">
        <v>457</v>
      </c>
      <c r="P5692" s="29">
        <v>5000</v>
      </c>
      <c r="Q5692" s="35">
        <v>6</v>
      </c>
      <c r="R5692" s="36">
        <f t="shared" si="128"/>
        <v>30000</v>
      </c>
      <c r="S5692" s="37">
        <v>202303</v>
      </c>
      <c r="T5692" s="38" t="s">
        <v>7641</v>
      </c>
      <c r="U5692" s="39"/>
      <c r="V5692" s="40"/>
      <c r="W5692" s="41"/>
      <c r="X5692" s="28">
        <v>43922</v>
      </c>
      <c r="Y5692" s="28">
        <v>46234</v>
      </c>
    </row>
    <row r="5693" s="9" customFormat="1" customHeight="1" spans="1:25">
      <c r="A5693" s="16" t="s">
        <v>401</v>
      </c>
      <c r="B5693" s="17" t="s">
        <v>7432</v>
      </c>
      <c r="C5693" s="17" t="s">
        <v>2833</v>
      </c>
      <c r="D5693" s="17" t="s">
        <v>6905</v>
      </c>
      <c r="E5693" s="18" t="s">
        <v>7584</v>
      </c>
      <c r="F5693" s="16" t="s">
        <v>7585</v>
      </c>
      <c r="G5693" s="16" t="s">
        <v>88</v>
      </c>
      <c r="H5693" s="19" t="s">
        <v>7612</v>
      </c>
      <c r="I5693" s="23" t="e">
        <f>VLOOKUP(H5693,'合同综合查询数据（3月返）'!$A:$A,1,FALSE)</f>
        <v>#N/A</v>
      </c>
      <c r="J5693" s="24" t="s">
        <v>90</v>
      </c>
      <c r="K5693" s="16" t="s">
        <v>5480</v>
      </c>
      <c r="L5693" s="25"/>
      <c r="M5693" s="26" t="s">
        <v>7613</v>
      </c>
      <c r="N5693" s="28">
        <v>44187</v>
      </c>
      <c r="O5693" s="28" t="s">
        <v>457</v>
      </c>
      <c r="P5693" s="29">
        <v>5000</v>
      </c>
      <c r="Q5693" s="35">
        <v>3</v>
      </c>
      <c r="R5693" s="36">
        <f t="shared" si="128"/>
        <v>15000</v>
      </c>
      <c r="S5693" s="37">
        <v>202303</v>
      </c>
      <c r="T5693" s="38" t="s">
        <v>7642</v>
      </c>
      <c r="U5693" s="39"/>
      <c r="V5693" s="40"/>
      <c r="W5693" s="41"/>
      <c r="X5693" s="28">
        <v>43922</v>
      </c>
      <c r="Y5693" s="28">
        <v>46234</v>
      </c>
    </row>
    <row r="5694" s="9" customFormat="1" customHeight="1" spans="1:25">
      <c r="A5694" s="16" t="s">
        <v>401</v>
      </c>
      <c r="B5694" s="17" t="s">
        <v>7432</v>
      </c>
      <c r="C5694" s="17" t="s">
        <v>2833</v>
      </c>
      <c r="D5694" s="17" t="s">
        <v>6905</v>
      </c>
      <c r="E5694" s="18" t="s">
        <v>7584</v>
      </c>
      <c r="F5694" s="16" t="s">
        <v>7585</v>
      </c>
      <c r="G5694" s="16" t="s">
        <v>88</v>
      </c>
      <c r="H5694" s="19" t="s">
        <v>7612</v>
      </c>
      <c r="I5694" s="23" t="e">
        <f>VLOOKUP(H5694,'合同综合查询数据（3月返）'!$A:$A,1,FALSE)</f>
        <v>#N/A</v>
      </c>
      <c r="J5694" s="24" t="s">
        <v>90</v>
      </c>
      <c r="K5694" s="16" t="s">
        <v>5480</v>
      </c>
      <c r="L5694" s="25"/>
      <c r="M5694" s="26" t="s">
        <v>7613</v>
      </c>
      <c r="N5694" s="28">
        <v>44190</v>
      </c>
      <c r="O5694" s="28" t="s">
        <v>457</v>
      </c>
      <c r="P5694" s="29">
        <v>5000</v>
      </c>
      <c r="Q5694" s="35">
        <v>-2</v>
      </c>
      <c r="R5694" s="36">
        <f t="shared" si="128"/>
        <v>-10000</v>
      </c>
      <c r="S5694" s="37">
        <v>202303</v>
      </c>
      <c r="T5694" s="38" t="s">
        <v>7643</v>
      </c>
      <c r="U5694" s="39"/>
      <c r="V5694" s="40"/>
      <c r="W5694" s="41"/>
      <c r="X5694" s="28">
        <v>43922</v>
      </c>
      <c r="Y5694" s="28">
        <v>46234</v>
      </c>
    </row>
    <row r="5695" s="9" customFormat="1" customHeight="1" spans="1:25">
      <c r="A5695" s="16" t="s">
        <v>401</v>
      </c>
      <c r="B5695" s="17" t="s">
        <v>7432</v>
      </c>
      <c r="C5695" s="17" t="s">
        <v>2833</v>
      </c>
      <c r="D5695" s="17" t="s">
        <v>6905</v>
      </c>
      <c r="E5695" s="18" t="s">
        <v>7584</v>
      </c>
      <c r="F5695" s="16" t="s">
        <v>7585</v>
      </c>
      <c r="G5695" s="16" t="s">
        <v>88</v>
      </c>
      <c r="H5695" s="19" t="s">
        <v>7612</v>
      </c>
      <c r="I5695" s="23" t="e">
        <f>VLOOKUP(H5695,'合同综合查询数据（3月返）'!$A:$A,1,FALSE)</f>
        <v>#N/A</v>
      </c>
      <c r="J5695" s="24" t="s">
        <v>90</v>
      </c>
      <c r="K5695" s="16" t="s">
        <v>5480</v>
      </c>
      <c r="L5695" s="25"/>
      <c r="M5695" s="26" t="s">
        <v>7613</v>
      </c>
      <c r="N5695" s="28">
        <v>44172</v>
      </c>
      <c r="O5695" s="28" t="s">
        <v>457</v>
      </c>
      <c r="P5695" s="29">
        <v>5000</v>
      </c>
      <c r="Q5695" s="35">
        <v>1</v>
      </c>
      <c r="R5695" s="36">
        <f t="shared" si="128"/>
        <v>5000</v>
      </c>
      <c r="S5695" s="37">
        <v>202303</v>
      </c>
      <c r="T5695" s="38" t="s">
        <v>7644</v>
      </c>
      <c r="U5695" s="39"/>
      <c r="V5695" s="40"/>
      <c r="W5695" s="41"/>
      <c r="X5695" s="28">
        <v>43922</v>
      </c>
      <c r="Y5695" s="28">
        <v>46234</v>
      </c>
    </row>
    <row r="5696" s="9" customFormat="1" customHeight="1" spans="1:25">
      <c r="A5696" s="16" t="s">
        <v>401</v>
      </c>
      <c r="B5696" s="17" t="s">
        <v>7432</v>
      </c>
      <c r="C5696" s="17" t="s">
        <v>2833</v>
      </c>
      <c r="D5696" s="17" t="s">
        <v>6905</v>
      </c>
      <c r="E5696" s="18" t="s">
        <v>7584</v>
      </c>
      <c r="F5696" s="16" t="s">
        <v>7585</v>
      </c>
      <c r="G5696" s="16" t="s">
        <v>88</v>
      </c>
      <c r="H5696" s="19" t="s">
        <v>7612</v>
      </c>
      <c r="I5696" s="23" t="e">
        <f>VLOOKUP(H5696,'合同综合查询数据（3月返）'!$A:$A,1,FALSE)</f>
        <v>#N/A</v>
      </c>
      <c r="J5696" s="24" t="s">
        <v>90</v>
      </c>
      <c r="K5696" s="16" t="s">
        <v>5480</v>
      </c>
      <c r="L5696" s="25"/>
      <c r="M5696" s="26" t="s">
        <v>7613</v>
      </c>
      <c r="N5696" s="28">
        <v>44188</v>
      </c>
      <c r="O5696" s="28" t="s">
        <v>457</v>
      </c>
      <c r="P5696" s="29">
        <v>5000</v>
      </c>
      <c r="Q5696" s="35">
        <v>-1</v>
      </c>
      <c r="R5696" s="36">
        <f t="shared" si="128"/>
        <v>-5000</v>
      </c>
      <c r="S5696" s="37">
        <v>202303</v>
      </c>
      <c r="T5696" s="38" t="s">
        <v>7645</v>
      </c>
      <c r="U5696" s="39"/>
      <c r="V5696" s="40"/>
      <c r="W5696" s="41"/>
      <c r="X5696" s="28">
        <v>43922</v>
      </c>
      <c r="Y5696" s="28">
        <v>46234</v>
      </c>
    </row>
    <row r="5697" s="9" customFormat="1" customHeight="1" spans="1:25">
      <c r="A5697" s="16" t="s">
        <v>401</v>
      </c>
      <c r="B5697" s="17" t="s">
        <v>7432</v>
      </c>
      <c r="C5697" s="17" t="s">
        <v>2833</v>
      </c>
      <c r="D5697" s="17" t="s">
        <v>6905</v>
      </c>
      <c r="E5697" s="18" t="s">
        <v>7584</v>
      </c>
      <c r="F5697" s="16" t="s">
        <v>7585</v>
      </c>
      <c r="G5697" s="16" t="s">
        <v>88</v>
      </c>
      <c r="H5697" s="19" t="s">
        <v>7612</v>
      </c>
      <c r="I5697" s="23" t="e">
        <f>VLOOKUP(H5697,'合同综合查询数据（3月返）'!$A:$A,1,FALSE)</f>
        <v>#N/A</v>
      </c>
      <c r="J5697" s="24" t="s">
        <v>90</v>
      </c>
      <c r="K5697" s="16" t="s">
        <v>5480</v>
      </c>
      <c r="L5697" s="25"/>
      <c r="M5697" s="26" t="s">
        <v>7613</v>
      </c>
      <c r="N5697" s="28">
        <v>44189</v>
      </c>
      <c r="O5697" s="28" t="s">
        <v>457</v>
      </c>
      <c r="P5697" s="29">
        <v>5000</v>
      </c>
      <c r="Q5697" s="35">
        <v>2</v>
      </c>
      <c r="R5697" s="36">
        <f t="shared" si="128"/>
        <v>10000</v>
      </c>
      <c r="S5697" s="37">
        <v>202303</v>
      </c>
      <c r="T5697" s="38" t="s">
        <v>7646</v>
      </c>
      <c r="U5697" s="39"/>
      <c r="V5697" s="40"/>
      <c r="W5697" s="41"/>
      <c r="X5697" s="28">
        <v>43922</v>
      </c>
      <c r="Y5697" s="28">
        <v>46234</v>
      </c>
    </row>
    <row r="5698" s="9" customFormat="1" customHeight="1" spans="1:25">
      <c r="A5698" s="16" t="s">
        <v>401</v>
      </c>
      <c r="B5698" s="17" t="s">
        <v>7432</v>
      </c>
      <c r="C5698" s="17" t="s">
        <v>2833</v>
      </c>
      <c r="D5698" s="17" t="s">
        <v>6905</v>
      </c>
      <c r="E5698" s="18" t="s">
        <v>7584</v>
      </c>
      <c r="F5698" s="16" t="s">
        <v>7585</v>
      </c>
      <c r="G5698" s="16" t="s">
        <v>88</v>
      </c>
      <c r="H5698" s="19" t="s">
        <v>7612</v>
      </c>
      <c r="I5698" s="23" t="e">
        <f>VLOOKUP(H5698,'合同综合查询数据（3月返）'!$A:$A,1,FALSE)</f>
        <v>#N/A</v>
      </c>
      <c r="J5698" s="24" t="s">
        <v>90</v>
      </c>
      <c r="K5698" s="16" t="s">
        <v>5480</v>
      </c>
      <c r="L5698" s="25"/>
      <c r="M5698" s="26" t="s">
        <v>7613</v>
      </c>
      <c r="N5698" s="28">
        <v>44194</v>
      </c>
      <c r="O5698" s="28" t="s">
        <v>457</v>
      </c>
      <c r="P5698" s="29">
        <v>5000</v>
      </c>
      <c r="Q5698" s="35">
        <v>1</v>
      </c>
      <c r="R5698" s="36">
        <f t="shared" si="128"/>
        <v>5000</v>
      </c>
      <c r="S5698" s="37">
        <v>202303</v>
      </c>
      <c r="T5698" s="38" t="s">
        <v>7647</v>
      </c>
      <c r="U5698" s="39"/>
      <c r="V5698" s="40"/>
      <c r="W5698" s="41"/>
      <c r="X5698" s="28">
        <v>43922</v>
      </c>
      <c r="Y5698" s="28">
        <v>46234</v>
      </c>
    </row>
    <row r="5699" s="9" customFormat="1" customHeight="1" spans="1:25">
      <c r="A5699" s="16" t="s">
        <v>401</v>
      </c>
      <c r="B5699" s="17" t="s">
        <v>7432</v>
      </c>
      <c r="C5699" s="17" t="s">
        <v>2833</v>
      </c>
      <c r="D5699" s="17" t="s">
        <v>6905</v>
      </c>
      <c r="E5699" s="18" t="s">
        <v>7584</v>
      </c>
      <c r="F5699" s="16" t="s">
        <v>7585</v>
      </c>
      <c r="G5699" s="16" t="s">
        <v>88</v>
      </c>
      <c r="H5699" s="19" t="s">
        <v>7612</v>
      </c>
      <c r="I5699" s="23" t="e">
        <f>VLOOKUP(H5699,'合同综合查询数据（3月返）'!$A:$A,1,FALSE)</f>
        <v>#N/A</v>
      </c>
      <c r="J5699" s="24" t="s">
        <v>90</v>
      </c>
      <c r="K5699" s="16" t="s">
        <v>5480</v>
      </c>
      <c r="L5699" s="25"/>
      <c r="M5699" s="26" t="s">
        <v>7626</v>
      </c>
      <c r="N5699" s="28">
        <v>44202</v>
      </c>
      <c r="O5699" s="28" t="s">
        <v>457</v>
      </c>
      <c r="P5699" s="29">
        <v>5000</v>
      </c>
      <c r="Q5699" s="35">
        <v>1</v>
      </c>
      <c r="R5699" s="36">
        <f t="shared" si="128"/>
        <v>5000</v>
      </c>
      <c r="S5699" s="37">
        <v>202303</v>
      </c>
      <c r="T5699" s="38" t="s">
        <v>7648</v>
      </c>
      <c r="U5699" s="39"/>
      <c r="V5699" s="40"/>
      <c r="W5699" s="41"/>
      <c r="X5699" s="28">
        <v>43922</v>
      </c>
      <c r="Y5699" s="28">
        <v>46234</v>
      </c>
    </row>
    <row r="5700" s="9" customFormat="1" customHeight="1" spans="1:25">
      <c r="A5700" s="16" t="s">
        <v>401</v>
      </c>
      <c r="B5700" s="17" t="s">
        <v>7432</v>
      </c>
      <c r="C5700" s="17" t="s">
        <v>2833</v>
      </c>
      <c r="D5700" s="17" t="s">
        <v>6905</v>
      </c>
      <c r="E5700" s="18" t="s">
        <v>7584</v>
      </c>
      <c r="F5700" s="16" t="s">
        <v>7585</v>
      </c>
      <c r="G5700" s="16" t="s">
        <v>88</v>
      </c>
      <c r="H5700" s="19" t="s">
        <v>7612</v>
      </c>
      <c r="I5700" s="23" t="e">
        <f>VLOOKUP(H5700,'合同综合查询数据（3月返）'!$A:$A,1,FALSE)</f>
        <v>#N/A</v>
      </c>
      <c r="J5700" s="24" t="s">
        <v>90</v>
      </c>
      <c r="K5700" s="16" t="s">
        <v>5480</v>
      </c>
      <c r="L5700" s="25"/>
      <c r="M5700" s="26" t="s">
        <v>7613</v>
      </c>
      <c r="N5700" s="28">
        <v>44214</v>
      </c>
      <c r="O5700" s="28" t="s">
        <v>457</v>
      </c>
      <c r="P5700" s="29">
        <v>5000</v>
      </c>
      <c r="Q5700" s="35">
        <v>1</v>
      </c>
      <c r="R5700" s="36">
        <f t="shared" si="128"/>
        <v>5000</v>
      </c>
      <c r="S5700" s="37">
        <v>202303</v>
      </c>
      <c r="T5700" s="38" t="s">
        <v>7649</v>
      </c>
      <c r="U5700" s="39"/>
      <c r="V5700" s="40"/>
      <c r="W5700" s="41"/>
      <c r="X5700" s="28">
        <v>43922</v>
      </c>
      <c r="Y5700" s="28">
        <v>46234</v>
      </c>
    </row>
    <row r="5701" s="9" customFormat="1" customHeight="1" spans="1:25">
      <c r="A5701" s="16" t="s">
        <v>401</v>
      </c>
      <c r="B5701" s="17" t="s">
        <v>7432</v>
      </c>
      <c r="C5701" s="17" t="s">
        <v>2833</v>
      </c>
      <c r="D5701" s="17" t="s">
        <v>6905</v>
      </c>
      <c r="E5701" s="18" t="s">
        <v>7584</v>
      </c>
      <c r="F5701" s="16" t="s">
        <v>7585</v>
      </c>
      <c r="G5701" s="16" t="s">
        <v>88</v>
      </c>
      <c r="H5701" s="19" t="s">
        <v>7612</v>
      </c>
      <c r="I5701" s="23" t="e">
        <f>VLOOKUP(H5701,'合同综合查询数据（3月返）'!$A:$A,1,FALSE)</f>
        <v>#N/A</v>
      </c>
      <c r="J5701" s="24" t="s">
        <v>90</v>
      </c>
      <c r="K5701" s="16" t="s">
        <v>5480</v>
      </c>
      <c r="L5701" s="25"/>
      <c r="M5701" s="26" t="s">
        <v>7613</v>
      </c>
      <c r="N5701" s="28">
        <v>44222</v>
      </c>
      <c r="O5701" s="28" t="s">
        <v>457</v>
      </c>
      <c r="P5701" s="29">
        <v>5000</v>
      </c>
      <c r="Q5701" s="35">
        <v>2</v>
      </c>
      <c r="R5701" s="36">
        <f t="shared" si="128"/>
        <v>10000</v>
      </c>
      <c r="S5701" s="37">
        <v>202303</v>
      </c>
      <c r="T5701" s="38" t="s">
        <v>7650</v>
      </c>
      <c r="U5701" s="39"/>
      <c r="V5701" s="40"/>
      <c r="W5701" s="41"/>
      <c r="X5701" s="28">
        <v>43922</v>
      </c>
      <c r="Y5701" s="28">
        <v>46234</v>
      </c>
    </row>
    <row r="5702" s="9" customFormat="1" customHeight="1" spans="1:25">
      <c r="A5702" s="16" t="s">
        <v>401</v>
      </c>
      <c r="B5702" s="17" t="s">
        <v>7432</v>
      </c>
      <c r="C5702" s="17" t="s">
        <v>2833</v>
      </c>
      <c r="D5702" s="17" t="s">
        <v>6905</v>
      </c>
      <c r="E5702" s="18" t="s">
        <v>7584</v>
      </c>
      <c r="F5702" s="16" t="s">
        <v>7585</v>
      </c>
      <c r="G5702" s="16" t="s">
        <v>88</v>
      </c>
      <c r="H5702" s="19" t="s">
        <v>7612</v>
      </c>
      <c r="I5702" s="23" t="e">
        <f>VLOOKUP(H5702,'合同综合查询数据（3月返）'!$A:$A,1,FALSE)</f>
        <v>#N/A</v>
      </c>
      <c r="J5702" s="24" t="s">
        <v>90</v>
      </c>
      <c r="K5702" s="16" t="s">
        <v>5480</v>
      </c>
      <c r="L5702" s="25"/>
      <c r="M5702" s="26" t="s">
        <v>7613</v>
      </c>
      <c r="N5702" s="28">
        <v>44221</v>
      </c>
      <c r="O5702" s="28" t="s">
        <v>457</v>
      </c>
      <c r="P5702" s="29">
        <v>5000</v>
      </c>
      <c r="Q5702" s="35">
        <v>2</v>
      </c>
      <c r="R5702" s="36">
        <f t="shared" si="128"/>
        <v>10000</v>
      </c>
      <c r="S5702" s="37">
        <v>202303</v>
      </c>
      <c r="T5702" s="38" t="s">
        <v>7651</v>
      </c>
      <c r="U5702" s="39"/>
      <c r="V5702" s="40"/>
      <c r="W5702" s="41"/>
      <c r="X5702" s="28">
        <v>43922</v>
      </c>
      <c r="Y5702" s="28">
        <v>46234</v>
      </c>
    </row>
    <row r="5703" s="9" customFormat="1" customHeight="1" spans="1:25">
      <c r="A5703" s="16" t="s">
        <v>401</v>
      </c>
      <c r="B5703" s="17" t="s">
        <v>7432</v>
      </c>
      <c r="C5703" s="17" t="s">
        <v>2833</v>
      </c>
      <c r="D5703" s="17" t="s">
        <v>6905</v>
      </c>
      <c r="E5703" s="18" t="s">
        <v>7584</v>
      </c>
      <c r="F5703" s="16" t="s">
        <v>7585</v>
      </c>
      <c r="G5703" s="16" t="s">
        <v>88</v>
      </c>
      <c r="H5703" s="19" t="s">
        <v>7612</v>
      </c>
      <c r="I5703" s="23" t="e">
        <f>VLOOKUP(H5703,'合同综合查询数据（3月返）'!$A:$A,1,FALSE)</f>
        <v>#N/A</v>
      </c>
      <c r="J5703" s="24" t="s">
        <v>90</v>
      </c>
      <c r="K5703" s="16" t="s">
        <v>5480</v>
      </c>
      <c r="L5703" s="25"/>
      <c r="M5703" s="26" t="s">
        <v>7613</v>
      </c>
      <c r="N5703" s="28">
        <v>44224</v>
      </c>
      <c r="O5703" s="28" t="s">
        <v>457</v>
      </c>
      <c r="P5703" s="29">
        <v>5000</v>
      </c>
      <c r="Q5703" s="35">
        <v>1</v>
      </c>
      <c r="R5703" s="36">
        <f t="shared" si="128"/>
        <v>5000</v>
      </c>
      <c r="S5703" s="37">
        <v>202303</v>
      </c>
      <c r="T5703" s="38" t="s">
        <v>7652</v>
      </c>
      <c r="U5703" s="39"/>
      <c r="V5703" s="40"/>
      <c r="W5703" s="41"/>
      <c r="X5703" s="28">
        <v>43922</v>
      </c>
      <c r="Y5703" s="28">
        <v>46234</v>
      </c>
    </row>
    <row r="5704" s="9" customFormat="1" customHeight="1" spans="1:25">
      <c r="A5704" s="16" t="s">
        <v>401</v>
      </c>
      <c r="B5704" s="17" t="s">
        <v>7432</v>
      </c>
      <c r="C5704" s="17" t="s">
        <v>2833</v>
      </c>
      <c r="D5704" s="17" t="s">
        <v>6905</v>
      </c>
      <c r="E5704" s="18" t="s">
        <v>7584</v>
      </c>
      <c r="F5704" s="16" t="s">
        <v>7585</v>
      </c>
      <c r="G5704" s="16" t="s">
        <v>88</v>
      </c>
      <c r="H5704" s="19" t="s">
        <v>7612</v>
      </c>
      <c r="I5704" s="23" t="e">
        <f>VLOOKUP(H5704,'合同综合查询数据（3月返）'!$A:$A,1,FALSE)</f>
        <v>#N/A</v>
      </c>
      <c r="J5704" s="24" t="s">
        <v>90</v>
      </c>
      <c r="K5704" s="16" t="s">
        <v>5480</v>
      </c>
      <c r="L5704" s="25"/>
      <c r="M5704" s="26" t="s">
        <v>7626</v>
      </c>
      <c r="N5704" s="28">
        <v>44225</v>
      </c>
      <c r="O5704" s="28" t="s">
        <v>457</v>
      </c>
      <c r="P5704" s="29">
        <v>5000</v>
      </c>
      <c r="Q5704" s="35">
        <v>28</v>
      </c>
      <c r="R5704" s="36">
        <f t="shared" si="128"/>
        <v>140000</v>
      </c>
      <c r="S5704" s="37">
        <v>202303</v>
      </c>
      <c r="T5704" s="38" t="s">
        <v>7653</v>
      </c>
      <c r="U5704" s="39"/>
      <c r="V5704" s="40"/>
      <c r="W5704" s="41"/>
      <c r="X5704" s="28">
        <v>43922</v>
      </c>
      <c r="Y5704" s="28">
        <v>46234</v>
      </c>
    </row>
    <row r="5705" s="9" customFormat="1" customHeight="1" spans="1:25">
      <c r="A5705" s="16" t="s">
        <v>401</v>
      </c>
      <c r="B5705" s="17" t="s">
        <v>7432</v>
      </c>
      <c r="C5705" s="17" t="s">
        <v>2833</v>
      </c>
      <c r="D5705" s="17" t="s">
        <v>6905</v>
      </c>
      <c r="E5705" s="18" t="s">
        <v>7584</v>
      </c>
      <c r="F5705" s="16" t="s">
        <v>7585</v>
      </c>
      <c r="G5705" s="16" t="s">
        <v>88</v>
      </c>
      <c r="H5705" s="19" t="s">
        <v>7612</v>
      </c>
      <c r="I5705" s="23" t="e">
        <f>VLOOKUP(H5705,'合同综合查询数据（3月返）'!$A:$A,1,FALSE)</f>
        <v>#N/A</v>
      </c>
      <c r="J5705" s="24" t="s">
        <v>90</v>
      </c>
      <c r="K5705" s="16" t="s">
        <v>5480</v>
      </c>
      <c r="L5705" s="25"/>
      <c r="M5705" s="26" t="s">
        <v>7626</v>
      </c>
      <c r="N5705" s="28">
        <v>44226</v>
      </c>
      <c r="O5705" s="28" t="s">
        <v>457</v>
      </c>
      <c r="P5705" s="29">
        <v>5000</v>
      </c>
      <c r="Q5705" s="35">
        <v>77</v>
      </c>
      <c r="R5705" s="36">
        <f t="shared" si="128"/>
        <v>385000</v>
      </c>
      <c r="S5705" s="37">
        <v>202303</v>
      </c>
      <c r="T5705" s="38" t="s">
        <v>7654</v>
      </c>
      <c r="U5705" s="39"/>
      <c r="V5705" s="40"/>
      <c r="W5705" s="41"/>
      <c r="X5705" s="28">
        <v>43922</v>
      </c>
      <c r="Y5705" s="28">
        <v>46234</v>
      </c>
    </row>
    <row r="5706" s="9" customFormat="1" customHeight="1" spans="1:25">
      <c r="A5706" s="16" t="s">
        <v>401</v>
      </c>
      <c r="B5706" s="17" t="s">
        <v>7432</v>
      </c>
      <c r="C5706" s="17" t="s">
        <v>2833</v>
      </c>
      <c r="D5706" s="17" t="s">
        <v>6905</v>
      </c>
      <c r="E5706" s="18" t="s">
        <v>7584</v>
      </c>
      <c r="F5706" s="16" t="s">
        <v>7585</v>
      </c>
      <c r="G5706" s="16" t="s">
        <v>88</v>
      </c>
      <c r="H5706" s="19" t="s">
        <v>7612</v>
      </c>
      <c r="I5706" s="23" t="e">
        <f>VLOOKUP(H5706,'合同综合查询数据（3月返）'!$A:$A,1,FALSE)</f>
        <v>#N/A</v>
      </c>
      <c r="J5706" s="24" t="s">
        <v>90</v>
      </c>
      <c r="K5706" s="16" t="s">
        <v>5480</v>
      </c>
      <c r="L5706" s="25"/>
      <c r="M5706" s="26" t="s">
        <v>7626</v>
      </c>
      <c r="N5706" s="28">
        <v>44227</v>
      </c>
      <c r="O5706" s="28" t="s">
        <v>457</v>
      </c>
      <c r="P5706" s="29">
        <v>5000</v>
      </c>
      <c r="Q5706" s="35">
        <v>5</v>
      </c>
      <c r="R5706" s="36">
        <f t="shared" si="128"/>
        <v>25000</v>
      </c>
      <c r="S5706" s="37">
        <v>202303</v>
      </c>
      <c r="T5706" s="38" t="s">
        <v>7655</v>
      </c>
      <c r="U5706" s="39"/>
      <c r="V5706" s="40"/>
      <c r="W5706" s="41"/>
      <c r="X5706" s="28">
        <v>43922</v>
      </c>
      <c r="Y5706" s="28">
        <v>46234</v>
      </c>
    </row>
    <row r="5707" s="9" customFormat="1" customHeight="1" spans="1:25">
      <c r="A5707" s="16" t="s">
        <v>401</v>
      </c>
      <c r="B5707" s="17" t="s">
        <v>7432</v>
      </c>
      <c r="C5707" s="17" t="s">
        <v>2833</v>
      </c>
      <c r="D5707" s="17" t="s">
        <v>6905</v>
      </c>
      <c r="E5707" s="18" t="s">
        <v>7584</v>
      </c>
      <c r="F5707" s="16" t="s">
        <v>7585</v>
      </c>
      <c r="G5707" s="16" t="s">
        <v>88</v>
      </c>
      <c r="H5707" s="19" t="s">
        <v>7612</v>
      </c>
      <c r="I5707" s="23" t="e">
        <f>VLOOKUP(H5707,'合同综合查询数据（3月返）'!$A:$A,1,FALSE)</f>
        <v>#N/A</v>
      </c>
      <c r="J5707" s="24" t="s">
        <v>90</v>
      </c>
      <c r="K5707" s="16" t="s">
        <v>5480</v>
      </c>
      <c r="L5707" s="25"/>
      <c r="M5707" s="26" t="s">
        <v>7626</v>
      </c>
      <c r="N5707" s="28">
        <v>44232</v>
      </c>
      <c r="O5707" s="28" t="s">
        <v>457</v>
      </c>
      <c r="P5707" s="29">
        <v>5000</v>
      </c>
      <c r="Q5707" s="35">
        <v>5</v>
      </c>
      <c r="R5707" s="36">
        <f t="shared" si="128"/>
        <v>25000</v>
      </c>
      <c r="S5707" s="37">
        <v>202303</v>
      </c>
      <c r="T5707" s="38" t="s">
        <v>7656</v>
      </c>
      <c r="U5707" s="39"/>
      <c r="V5707" s="40"/>
      <c r="W5707" s="41"/>
      <c r="X5707" s="28">
        <v>43922</v>
      </c>
      <c r="Y5707" s="28">
        <v>46234</v>
      </c>
    </row>
    <row r="5708" s="9" customFormat="1" customHeight="1" spans="1:25">
      <c r="A5708" s="16" t="s">
        <v>401</v>
      </c>
      <c r="B5708" s="17" t="s">
        <v>7432</v>
      </c>
      <c r="C5708" s="17" t="s">
        <v>2833</v>
      </c>
      <c r="D5708" s="17" t="s">
        <v>6905</v>
      </c>
      <c r="E5708" s="18" t="s">
        <v>7584</v>
      </c>
      <c r="F5708" s="16" t="s">
        <v>7585</v>
      </c>
      <c r="G5708" s="16" t="s">
        <v>88</v>
      </c>
      <c r="H5708" s="19" t="s">
        <v>7612</v>
      </c>
      <c r="I5708" s="23" t="e">
        <f>VLOOKUP(H5708,'合同综合查询数据（3月返）'!$A:$A,1,FALSE)</f>
        <v>#N/A</v>
      </c>
      <c r="J5708" s="24" t="s">
        <v>90</v>
      </c>
      <c r="K5708" s="16" t="s">
        <v>5480</v>
      </c>
      <c r="L5708" s="25"/>
      <c r="M5708" s="26" t="s">
        <v>7626</v>
      </c>
      <c r="N5708" s="28">
        <v>44234</v>
      </c>
      <c r="O5708" s="28" t="s">
        <v>457</v>
      </c>
      <c r="P5708" s="29">
        <v>5000</v>
      </c>
      <c r="Q5708" s="35">
        <v>18</v>
      </c>
      <c r="R5708" s="36">
        <f t="shared" ref="R5708:R5756" si="129">ROUND(P5708*Q5708,2)</f>
        <v>90000</v>
      </c>
      <c r="S5708" s="37">
        <v>202303</v>
      </c>
      <c r="T5708" s="38" t="s">
        <v>7657</v>
      </c>
      <c r="U5708" s="39"/>
      <c r="V5708" s="40"/>
      <c r="W5708" s="41"/>
      <c r="X5708" s="28">
        <v>43922</v>
      </c>
      <c r="Y5708" s="28">
        <v>46234</v>
      </c>
    </row>
    <row r="5709" s="9" customFormat="1" customHeight="1" spans="1:25">
      <c r="A5709" s="16" t="s">
        <v>401</v>
      </c>
      <c r="B5709" s="17" t="s">
        <v>7432</v>
      </c>
      <c r="C5709" s="17" t="s">
        <v>2833</v>
      </c>
      <c r="D5709" s="17" t="s">
        <v>6905</v>
      </c>
      <c r="E5709" s="18" t="s">
        <v>7584</v>
      </c>
      <c r="F5709" s="16" t="s">
        <v>7585</v>
      </c>
      <c r="G5709" s="16" t="s">
        <v>88</v>
      </c>
      <c r="H5709" s="19" t="s">
        <v>7612</v>
      </c>
      <c r="I5709" s="23" t="e">
        <f>VLOOKUP(H5709,'合同综合查询数据（3月返）'!$A:$A,1,FALSE)</f>
        <v>#N/A</v>
      </c>
      <c r="J5709" s="24" t="s">
        <v>90</v>
      </c>
      <c r="K5709" s="16" t="s">
        <v>5480</v>
      </c>
      <c r="L5709" s="25"/>
      <c r="M5709" s="26" t="s">
        <v>7626</v>
      </c>
      <c r="N5709" s="28">
        <v>44251</v>
      </c>
      <c r="O5709" s="28" t="s">
        <v>457</v>
      </c>
      <c r="P5709" s="29">
        <v>5000</v>
      </c>
      <c r="Q5709" s="35">
        <v>4</v>
      </c>
      <c r="R5709" s="36">
        <f t="shared" si="129"/>
        <v>20000</v>
      </c>
      <c r="S5709" s="37">
        <v>202303</v>
      </c>
      <c r="T5709" s="38" t="s">
        <v>7658</v>
      </c>
      <c r="U5709" s="39"/>
      <c r="V5709" s="40"/>
      <c r="W5709" s="41"/>
      <c r="X5709" s="28">
        <v>43922</v>
      </c>
      <c r="Y5709" s="28">
        <v>46234</v>
      </c>
    </row>
    <row r="5710" s="9" customFormat="1" customHeight="1" spans="1:25">
      <c r="A5710" s="16" t="s">
        <v>401</v>
      </c>
      <c r="B5710" s="17" t="s">
        <v>7432</v>
      </c>
      <c r="C5710" s="17" t="s">
        <v>2833</v>
      </c>
      <c r="D5710" s="17" t="s">
        <v>6905</v>
      </c>
      <c r="E5710" s="18" t="s">
        <v>7584</v>
      </c>
      <c r="F5710" s="16" t="s">
        <v>7585</v>
      </c>
      <c r="G5710" s="16" t="s">
        <v>88</v>
      </c>
      <c r="H5710" s="19" t="s">
        <v>7612</v>
      </c>
      <c r="I5710" s="23" t="e">
        <f>VLOOKUP(H5710,'合同综合查询数据（3月返）'!$A:$A,1,FALSE)</f>
        <v>#N/A</v>
      </c>
      <c r="J5710" s="24" t="s">
        <v>90</v>
      </c>
      <c r="K5710" s="16" t="s">
        <v>5480</v>
      </c>
      <c r="L5710" s="25"/>
      <c r="M5710" s="26" t="s">
        <v>7626</v>
      </c>
      <c r="N5710" s="28">
        <v>44258</v>
      </c>
      <c r="O5710" s="28" t="s">
        <v>457</v>
      </c>
      <c r="P5710" s="29">
        <v>5000</v>
      </c>
      <c r="Q5710" s="35">
        <v>7</v>
      </c>
      <c r="R5710" s="36">
        <f t="shared" si="129"/>
        <v>35000</v>
      </c>
      <c r="S5710" s="37">
        <v>202303</v>
      </c>
      <c r="T5710" s="38" t="s">
        <v>7659</v>
      </c>
      <c r="U5710" s="39"/>
      <c r="V5710" s="40"/>
      <c r="W5710" s="41"/>
      <c r="X5710" s="28">
        <v>43922</v>
      </c>
      <c r="Y5710" s="28">
        <v>46234</v>
      </c>
    </row>
    <row r="5711" s="9" customFormat="1" customHeight="1" spans="1:25">
      <c r="A5711" s="16" t="s">
        <v>401</v>
      </c>
      <c r="B5711" s="17" t="s">
        <v>7432</v>
      </c>
      <c r="C5711" s="17" t="s">
        <v>2833</v>
      </c>
      <c r="D5711" s="17" t="s">
        <v>6905</v>
      </c>
      <c r="E5711" s="18" t="s">
        <v>7584</v>
      </c>
      <c r="F5711" s="16" t="s">
        <v>7585</v>
      </c>
      <c r="G5711" s="16" t="s">
        <v>88</v>
      </c>
      <c r="H5711" s="19" t="s">
        <v>7612</v>
      </c>
      <c r="I5711" s="23" t="e">
        <f>VLOOKUP(H5711,'合同综合查询数据（3月返）'!$A:$A,1,FALSE)</f>
        <v>#N/A</v>
      </c>
      <c r="J5711" s="24" t="s">
        <v>90</v>
      </c>
      <c r="K5711" s="16" t="s">
        <v>5480</v>
      </c>
      <c r="L5711" s="25"/>
      <c r="M5711" s="26" t="s">
        <v>7613</v>
      </c>
      <c r="N5711" s="28">
        <v>44282</v>
      </c>
      <c r="O5711" s="28" t="s">
        <v>457</v>
      </c>
      <c r="P5711" s="29">
        <v>5000</v>
      </c>
      <c r="Q5711" s="35">
        <v>1</v>
      </c>
      <c r="R5711" s="36">
        <f t="shared" si="129"/>
        <v>5000</v>
      </c>
      <c r="S5711" s="37">
        <v>202303</v>
      </c>
      <c r="T5711" s="38" t="s">
        <v>7660</v>
      </c>
      <c r="U5711" s="39"/>
      <c r="V5711" s="40"/>
      <c r="W5711" s="41"/>
      <c r="X5711" s="28">
        <v>43922</v>
      </c>
      <c r="Y5711" s="28">
        <v>46234</v>
      </c>
    </row>
    <row r="5712" s="9" customFormat="1" customHeight="1" spans="1:25">
      <c r="A5712" s="16" t="s">
        <v>401</v>
      </c>
      <c r="B5712" s="17" t="s">
        <v>7432</v>
      </c>
      <c r="C5712" s="17" t="s">
        <v>2833</v>
      </c>
      <c r="D5712" s="17" t="s">
        <v>6905</v>
      </c>
      <c r="E5712" s="18" t="s">
        <v>7584</v>
      </c>
      <c r="F5712" s="16" t="s">
        <v>7585</v>
      </c>
      <c r="G5712" s="16" t="s">
        <v>88</v>
      </c>
      <c r="H5712" s="19" t="s">
        <v>7612</v>
      </c>
      <c r="I5712" s="23" t="e">
        <f>VLOOKUP(H5712,'合同综合查询数据（3月返）'!$A:$A,1,FALSE)</f>
        <v>#N/A</v>
      </c>
      <c r="J5712" s="24" t="s">
        <v>90</v>
      </c>
      <c r="K5712" s="16" t="s">
        <v>5480</v>
      </c>
      <c r="L5712" s="25"/>
      <c r="M5712" s="26" t="s">
        <v>7626</v>
      </c>
      <c r="N5712" s="28">
        <v>44284</v>
      </c>
      <c r="O5712" s="28" t="s">
        <v>457</v>
      </c>
      <c r="P5712" s="29">
        <v>5000</v>
      </c>
      <c r="Q5712" s="35">
        <v>5</v>
      </c>
      <c r="R5712" s="36">
        <f t="shared" si="129"/>
        <v>25000</v>
      </c>
      <c r="S5712" s="37">
        <v>202303</v>
      </c>
      <c r="T5712" s="38" t="s">
        <v>7661</v>
      </c>
      <c r="U5712" s="39"/>
      <c r="V5712" s="40"/>
      <c r="W5712" s="41"/>
      <c r="X5712" s="28">
        <v>43922</v>
      </c>
      <c r="Y5712" s="28">
        <v>46234</v>
      </c>
    </row>
    <row r="5713" s="9" customFormat="1" customHeight="1" spans="1:25">
      <c r="A5713" s="16" t="s">
        <v>401</v>
      </c>
      <c r="B5713" s="17" t="s">
        <v>7432</v>
      </c>
      <c r="C5713" s="17" t="s">
        <v>2833</v>
      </c>
      <c r="D5713" s="17" t="s">
        <v>6905</v>
      </c>
      <c r="E5713" s="18" t="s">
        <v>7584</v>
      </c>
      <c r="F5713" s="16" t="s">
        <v>7585</v>
      </c>
      <c r="G5713" s="16" t="s">
        <v>88</v>
      </c>
      <c r="H5713" s="19" t="s">
        <v>7612</v>
      </c>
      <c r="I5713" s="23" t="e">
        <f>VLOOKUP(H5713,'合同综合查询数据（3月返）'!$A:$A,1,FALSE)</f>
        <v>#N/A</v>
      </c>
      <c r="J5713" s="24" t="s">
        <v>90</v>
      </c>
      <c r="K5713" s="16" t="s">
        <v>5480</v>
      </c>
      <c r="L5713" s="25"/>
      <c r="M5713" s="26" t="s">
        <v>7626</v>
      </c>
      <c r="N5713" s="28">
        <v>44288</v>
      </c>
      <c r="O5713" s="28" t="s">
        <v>457</v>
      </c>
      <c r="P5713" s="29">
        <v>5000</v>
      </c>
      <c r="Q5713" s="35">
        <v>4</v>
      </c>
      <c r="R5713" s="36">
        <f t="shared" si="129"/>
        <v>20000</v>
      </c>
      <c r="S5713" s="37">
        <v>202303</v>
      </c>
      <c r="T5713" s="38" t="s">
        <v>7662</v>
      </c>
      <c r="U5713" s="39"/>
      <c r="V5713" s="40"/>
      <c r="W5713" s="41"/>
      <c r="X5713" s="28">
        <v>43922</v>
      </c>
      <c r="Y5713" s="28">
        <v>46234</v>
      </c>
    </row>
    <row r="5714" s="9" customFormat="1" customHeight="1" spans="1:25">
      <c r="A5714" s="16" t="s">
        <v>401</v>
      </c>
      <c r="B5714" s="17" t="s">
        <v>7432</v>
      </c>
      <c r="C5714" s="17" t="s">
        <v>2833</v>
      </c>
      <c r="D5714" s="17" t="s">
        <v>6905</v>
      </c>
      <c r="E5714" s="18" t="s">
        <v>7584</v>
      </c>
      <c r="F5714" s="16" t="s">
        <v>7585</v>
      </c>
      <c r="G5714" s="16" t="s">
        <v>88</v>
      </c>
      <c r="H5714" s="19" t="s">
        <v>7612</v>
      </c>
      <c r="I5714" s="23" t="e">
        <f>VLOOKUP(H5714,'合同综合查询数据（3月返）'!$A:$A,1,FALSE)</f>
        <v>#N/A</v>
      </c>
      <c r="J5714" s="24" t="s">
        <v>90</v>
      </c>
      <c r="K5714" s="16" t="s">
        <v>5480</v>
      </c>
      <c r="L5714" s="25"/>
      <c r="M5714" s="26" t="s">
        <v>7626</v>
      </c>
      <c r="N5714" s="28">
        <v>44292</v>
      </c>
      <c r="O5714" s="28" t="s">
        <v>457</v>
      </c>
      <c r="P5714" s="29">
        <v>5000</v>
      </c>
      <c r="Q5714" s="35">
        <v>8</v>
      </c>
      <c r="R5714" s="36">
        <f t="shared" si="129"/>
        <v>40000</v>
      </c>
      <c r="S5714" s="37">
        <v>202303</v>
      </c>
      <c r="T5714" s="38" t="s">
        <v>7663</v>
      </c>
      <c r="U5714" s="39"/>
      <c r="V5714" s="40"/>
      <c r="W5714" s="41"/>
      <c r="X5714" s="28">
        <v>43922</v>
      </c>
      <c r="Y5714" s="28">
        <v>46234</v>
      </c>
    </row>
    <row r="5715" s="9" customFormat="1" customHeight="1" spans="1:25">
      <c r="A5715" s="16" t="s">
        <v>401</v>
      </c>
      <c r="B5715" s="17" t="s">
        <v>7432</v>
      </c>
      <c r="C5715" s="17" t="s">
        <v>2833</v>
      </c>
      <c r="D5715" s="17" t="s">
        <v>6905</v>
      </c>
      <c r="E5715" s="18" t="s">
        <v>7584</v>
      </c>
      <c r="F5715" s="16" t="s">
        <v>7585</v>
      </c>
      <c r="G5715" s="16" t="s">
        <v>88</v>
      </c>
      <c r="H5715" s="19" t="s">
        <v>7612</v>
      </c>
      <c r="I5715" s="23" t="e">
        <f>VLOOKUP(H5715,'合同综合查询数据（3月返）'!$A:$A,1,FALSE)</f>
        <v>#N/A</v>
      </c>
      <c r="J5715" s="24" t="s">
        <v>90</v>
      </c>
      <c r="K5715" s="16" t="s">
        <v>5480</v>
      </c>
      <c r="L5715" s="25"/>
      <c r="M5715" s="26" t="s">
        <v>7626</v>
      </c>
      <c r="N5715" s="28">
        <v>44293</v>
      </c>
      <c r="O5715" s="28" t="s">
        <v>457</v>
      </c>
      <c r="P5715" s="29">
        <v>5000</v>
      </c>
      <c r="Q5715" s="35">
        <v>8</v>
      </c>
      <c r="R5715" s="36">
        <f t="shared" si="129"/>
        <v>40000</v>
      </c>
      <c r="S5715" s="37">
        <v>202303</v>
      </c>
      <c r="T5715" s="38" t="s">
        <v>7664</v>
      </c>
      <c r="U5715" s="39"/>
      <c r="V5715" s="40"/>
      <c r="W5715" s="41"/>
      <c r="X5715" s="28">
        <v>43922</v>
      </c>
      <c r="Y5715" s="28">
        <v>46234</v>
      </c>
    </row>
    <row r="5716" s="9" customFormat="1" customHeight="1" spans="1:25">
      <c r="A5716" s="16" t="s">
        <v>401</v>
      </c>
      <c r="B5716" s="17" t="s">
        <v>7432</v>
      </c>
      <c r="C5716" s="17" t="s">
        <v>2833</v>
      </c>
      <c r="D5716" s="17" t="s">
        <v>6905</v>
      </c>
      <c r="E5716" s="18" t="s">
        <v>7584</v>
      </c>
      <c r="F5716" s="16" t="s">
        <v>7585</v>
      </c>
      <c r="G5716" s="16" t="s">
        <v>88</v>
      </c>
      <c r="H5716" s="19" t="s">
        <v>7612</v>
      </c>
      <c r="I5716" s="23" t="e">
        <f>VLOOKUP(H5716,'合同综合查询数据（3月返）'!$A:$A,1,FALSE)</f>
        <v>#N/A</v>
      </c>
      <c r="J5716" s="24" t="s">
        <v>90</v>
      </c>
      <c r="K5716" s="16" t="s">
        <v>5480</v>
      </c>
      <c r="L5716" s="25"/>
      <c r="M5716" s="26" t="s">
        <v>7613</v>
      </c>
      <c r="N5716" s="28">
        <v>44293</v>
      </c>
      <c r="O5716" s="28" t="s">
        <v>457</v>
      </c>
      <c r="P5716" s="29">
        <v>5000</v>
      </c>
      <c r="Q5716" s="35">
        <v>3</v>
      </c>
      <c r="R5716" s="36">
        <f t="shared" si="129"/>
        <v>15000</v>
      </c>
      <c r="S5716" s="37">
        <v>202303</v>
      </c>
      <c r="T5716" s="38" t="s">
        <v>7665</v>
      </c>
      <c r="U5716" s="39"/>
      <c r="V5716" s="40"/>
      <c r="W5716" s="41"/>
      <c r="X5716" s="28">
        <v>43922</v>
      </c>
      <c r="Y5716" s="28">
        <v>46234</v>
      </c>
    </row>
    <row r="5717" s="9" customFormat="1" customHeight="1" spans="1:25">
      <c r="A5717" s="16" t="s">
        <v>401</v>
      </c>
      <c r="B5717" s="17" t="s">
        <v>7432</v>
      </c>
      <c r="C5717" s="17" t="s">
        <v>2833</v>
      </c>
      <c r="D5717" s="17" t="s">
        <v>6905</v>
      </c>
      <c r="E5717" s="18" t="s">
        <v>7584</v>
      </c>
      <c r="F5717" s="16" t="s">
        <v>7585</v>
      </c>
      <c r="G5717" s="16" t="s">
        <v>88</v>
      </c>
      <c r="H5717" s="19" t="s">
        <v>7612</v>
      </c>
      <c r="I5717" s="23" t="e">
        <f>VLOOKUP(H5717,'合同综合查询数据（3月返）'!$A:$A,1,FALSE)</f>
        <v>#N/A</v>
      </c>
      <c r="J5717" s="24" t="s">
        <v>90</v>
      </c>
      <c r="K5717" s="16" t="s">
        <v>5480</v>
      </c>
      <c r="L5717" s="25"/>
      <c r="M5717" s="26" t="s">
        <v>7613</v>
      </c>
      <c r="N5717" s="28">
        <v>44298</v>
      </c>
      <c r="O5717" s="28" t="s">
        <v>457</v>
      </c>
      <c r="P5717" s="29">
        <v>5000</v>
      </c>
      <c r="Q5717" s="35">
        <v>1</v>
      </c>
      <c r="R5717" s="36">
        <f t="shared" si="129"/>
        <v>5000</v>
      </c>
      <c r="S5717" s="37">
        <v>202303</v>
      </c>
      <c r="T5717" s="38" t="s">
        <v>7666</v>
      </c>
      <c r="U5717" s="39"/>
      <c r="V5717" s="40"/>
      <c r="W5717" s="41"/>
      <c r="X5717" s="28">
        <v>43922</v>
      </c>
      <c r="Y5717" s="28">
        <v>46234</v>
      </c>
    </row>
    <row r="5718" s="9" customFormat="1" customHeight="1" spans="1:25">
      <c r="A5718" s="16" t="s">
        <v>401</v>
      </c>
      <c r="B5718" s="17" t="s">
        <v>7432</v>
      </c>
      <c r="C5718" s="17" t="s">
        <v>2833</v>
      </c>
      <c r="D5718" s="17" t="s">
        <v>6905</v>
      </c>
      <c r="E5718" s="18" t="s">
        <v>7584</v>
      </c>
      <c r="F5718" s="16" t="s">
        <v>7585</v>
      </c>
      <c r="G5718" s="16" t="s">
        <v>88</v>
      </c>
      <c r="H5718" s="19" t="s">
        <v>7612</v>
      </c>
      <c r="I5718" s="23" t="e">
        <f>VLOOKUP(H5718,'合同综合查询数据（3月返）'!$A:$A,1,FALSE)</f>
        <v>#N/A</v>
      </c>
      <c r="J5718" s="24" t="s">
        <v>90</v>
      </c>
      <c r="K5718" s="16" t="s">
        <v>5480</v>
      </c>
      <c r="L5718" s="25"/>
      <c r="M5718" s="26" t="s">
        <v>7613</v>
      </c>
      <c r="N5718" s="28">
        <v>44300</v>
      </c>
      <c r="O5718" s="28" t="s">
        <v>457</v>
      </c>
      <c r="P5718" s="29">
        <v>5000</v>
      </c>
      <c r="Q5718" s="35">
        <v>2</v>
      </c>
      <c r="R5718" s="36">
        <f t="shared" si="129"/>
        <v>10000</v>
      </c>
      <c r="S5718" s="37">
        <v>202303</v>
      </c>
      <c r="T5718" s="38" t="s">
        <v>7667</v>
      </c>
      <c r="U5718" s="39"/>
      <c r="V5718" s="40"/>
      <c r="W5718" s="41"/>
      <c r="X5718" s="28">
        <v>43922</v>
      </c>
      <c r="Y5718" s="28">
        <v>46234</v>
      </c>
    </row>
    <row r="5719" s="9" customFormat="1" customHeight="1" spans="1:25">
      <c r="A5719" s="16" t="s">
        <v>401</v>
      </c>
      <c r="B5719" s="17" t="s">
        <v>7432</v>
      </c>
      <c r="C5719" s="17" t="s">
        <v>2833</v>
      </c>
      <c r="D5719" s="17" t="s">
        <v>6905</v>
      </c>
      <c r="E5719" s="18" t="s">
        <v>7584</v>
      </c>
      <c r="F5719" s="16" t="s">
        <v>7585</v>
      </c>
      <c r="G5719" s="16" t="s">
        <v>88</v>
      </c>
      <c r="H5719" s="19" t="s">
        <v>7612</v>
      </c>
      <c r="I5719" s="23" t="e">
        <f>VLOOKUP(H5719,'合同综合查询数据（3月返）'!$A:$A,1,FALSE)</f>
        <v>#N/A</v>
      </c>
      <c r="J5719" s="24" t="s">
        <v>90</v>
      </c>
      <c r="K5719" s="16" t="s">
        <v>5480</v>
      </c>
      <c r="L5719" s="25"/>
      <c r="M5719" s="26" t="s">
        <v>7626</v>
      </c>
      <c r="N5719" s="28">
        <v>44301</v>
      </c>
      <c r="O5719" s="28" t="s">
        <v>457</v>
      </c>
      <c r="P5719" s="29">
        <v>5000</v>
      </c>
      <c r="Q5719" s="35">
        <v>18</v>
      </c>
      <c r="R5719" s="36">
        <f t="shared" si="129"/>
        <v>90000</v>
      </c>
      <c r="S5719" s="37">
        <v>202303</v>
      </c>
      <c r="T5719" s="38" t="s">
        <v>7668</v>
      </c>
      <c r="U5719" s="39"/>
      <c r="V5719" s="40"/>
      <c r="W5719" s="41"/>
      <c r="X5719" s="28">
        <v>43922</v>
      </c>
      <c r="Y5719" s="28">
        <v>46234</v>
      </c>
    </row>
    <row r="5720" s="9" customFormat="1" customHeight="1" spans="1:25">
      <c r="A5720" s="16" t="s">
        <v>401</v>
      </c>
      <c r="B5720" s="17" t="s">
        <v>7432</v>
      </c>
      <c r="C5720" s="17" t="s">
        <v>2833</v>
      </c>
      <c r="D5720" s="17" t="s">
        <v>6905</v>
      </c>
      <c r="E5720" s="18" t="s">
        <v>7584</v>
      </c>
      <c r="F5720" s="16" t="s">
        <v>7585</v>
      </c>
      <c r="G5720" s="16" t="s">
        <v>88</v>
      </c>
      <c r="H5720" s="19" t="s">
        <v>7612</v>
      </c>
      <c r="I5720" s="23" t="e">
        <f>VLOOKUP(H5720,'合同综合查询数据（3月返）'!$A:$A,1,FALSE)</f>
        <v>#N/A</v>
      </c>
      <c r="J5720" s="24" t="s">
        <v>90</v>
      </c>
      <c r="K5720" s="16" t="s">
        <v>5480</v>
      </c>
      <c r="L5720" s="25"/>
      <c r="M5720" s="26" t="s">
        <v>7626</v>
      </c>
      <c r="N5720" s="28">
        <v>44307</v>
      </c>
      <c r="O5720" s="28" t="s">
        <v>457</v>
      </c>
      <c r="P5720" s="29">
        <v>5000</v>
      </c>
      <c r="Q5720" s="35">
        <v>17</v>
      </c>
      <c r="R5720" s="36">
        <f t="shared" si="129"/>
        <v>85000</v>
      </c>
      <c r="S5720" s="37">
        <v>202303</v>
      </c>
      <c r="T5720" s="38" t="s">
        <v>7669</v>
      </c>
      <c r="U5720" s="39"/>
      <c r="V5720" s="40"/>
      <c r="W5720" s="41"/>
      <c r="X5720" s="28">
        <v>43922</v>
      </c>
      <c r="Y5720" s="28">
        <v>46234</v>
      </c>
    </row>
    <row r="5721" s="9" customFormat="1" customHeight="1" spans="1:25">
      <c r="A5721" s="16" t="s">
        <v>401</v>
      </c>
      <c r="B5721" s="17" t="s">
        <v>7432</v>
      </c>
      <c r="C5721" s="17" t="s">
        <v>2833</v>
      </c>
      <c r="D5721" s="17" t="s">
        <v>6905</v>
      </c>
      <c r="E5721" s="18" t="s">
        <v>7584</v>
      </c>
      <c r="F5721" s="16" t="s">
        <v>7585</v>
      </c>
      <c r="G5721" s="16" t="s">
        <v>88</v>
      </c>
      <c r="H5721" s="19" t="s">
        <v>7612</v>
      </c>
      <c r="I5721" s="23" t="e">
        <f>VLOOKUP(H5721,'合同综合查询数据（3月返）'!$A:$A,1,FALSE)</f>
        <v>#N/A</v>
      </c>
      <c r="J5721" s="24" t="s">
        <v>90</v>
      </c>
      <c r="K5721" s="16" t="s">
        <v>5480</v>
      </c>
      <c r="L5721" s="25"/>
      <c r="M5721" s="26" t="s">
        <v>7626</v>
      </c>
      <c r="N5721" s="28">
        <v>44307</v>
      </c>
      <c r="O5721" s="28" t="s">
        <v>457</v>
      </c>
      <c r="P5721" s="29">
        <v>5000</v>
      </c>
      <c r="Q5721" s="35">
        <v>2</v>
      </c>
      <c r="R5721" s="36">
        <f t="shared" si="129"/>
        <v>10000</v>
      </c>
      <c r="S5721" s="37">
        <v>202303</v>
      </c>
      <c r="T5721" s="38" t="s">
        <v>7670</v>
      </c>
      <c r="U5721" s="39"/>
      <c r="V5721" s="40"/>
      <c r="W5721" s="41"/>
      <c r="X5721" s="28">
        <v>43922</v>
      </c>
      <c r="Y5721" s="28">
        <v>46234</v>
      </c>
    </row>
    <row r="5722" s="9" customFormat="1" customHeight="1" spans="1:25">
      <c r="A5722" s="16" t="s">
        <v>401</v>
      </c>
      <c r="B5722" s="17" t="s">
        <v>7432</v>
      </c>
      <c r="C5722" s="17" t="s">
        <v>2833</v>
      </c>
      <c r="D5722" s="17" t="s">
        <v>6905</v>
      </c>
      <c r="E5722" s="18" t="s">
        <v>7584</v>
      </c>
      <c r="F5722" s="16" t="s">
        <v>7585</v>
      </c>
      <c r="G5722" s="16" t="s">
        <v>88</v>
      </c>
      <c r="H5722" s="19" t="s">
        <v>7612</v>
      </c>
      <c r="I5722" s="23" t="e">
        <f>VLOOKUP(H5722,'合同综合查询数据（3月返）'!$A:$A,1,FALSE)</f>
        <v>#N/A</v>
      </c>
      <c r="J5722" s="24" t="s">
        <v>90</v>
      </c>
      <c r="K5722" s="16" t="s">
        <v>5480</v>
      </c>
      <c r="L5722" s="25"/>
      <c r="M5722" s="26" t="s">
        <v>7613</v>
      </c>
      <c r="N5722" s="28">
        <v>44307</v>
      </c>
      <c r="O5722" s="28" t="s">
        <v>457</v>
      </c>
      <c r="P5722" s="29">
        <v>5000</v>
      </c>
      <c r="Q5722" s="35">
        <v>3</v>
      </c>
      <c r="R5722" s="36">
        <f t="shared" si="129"/>
        <v>15000</v>
      </c>
      <c r="S5722" s="37">
        <v>202303</v>
      </c>
      <c r="T5722" s="38" t="s">
        <v>7671</v>
      </c>
      <c r="U5722" s="39"/>
      <c r="V5722" s="40"/>
      <c r="W5722" s="41"/>
      <c r="X5722" s="28">
        <v>43922</v>
      </c>
      <c r="Y5722" s="28">
        <v>46234</v>
      </c>
    </row>
    <row r="5723" s="9" customFormat="1" customHeight="1" spans="1:25">
      <c r="A5723" s="16" t="s">
        <v>401</v>
      </c>
      <c r="B5723" s="17" t="s">
        <v>7432</v>
      </c>
      <c r="C5723" s="17" t="s">
        <v>2833</v>
      </c>
      <c r="D5723" s="17" t="s">
        <v>6905</v>
      </c>
      <c r="E5723" s="18" t="s">
        <v>7584</v>
      </c>
      <c r="F5723" s="16" t="s">
        <v>7585</v>
      </c>
      <c r="G5723" s="16" t="s">
        <v>88</v>
      </c>
      <c r="H5723" s="19" t="s">
        <v>7612</v>
      </c>
      <c r="I5723" s="23" t="e">
        <f>VLOOKUP(H5723,'合同综合查询数据（3月返）'!$A:$A,1,FALSE)</f>
        <v>#N/A</v>
      </c>
      <c r="J5723" s="24" t="s">
        <v>90</v>
      </c>
      <c r="K5723" s="16" t="s">
        <v>5480</v>
      </c>
      <c r="L5723" s="25"/>
      <c r="M5723" s="26" t="s">
        <v>7613</v>
      </c>
      <c r="N5723" s="28">
        <v>44308</v>
      </c>
      <c r="O5723" s="28" t="s">
        <v>457</v>
      </c>
      <c r="P5723" s="29">
        <v>5000</v>
      </c>
      <c r="Q5723" s="35">
        <v>-3</v>
      </c>
      <c r="R5723" s="36">
        <f t="shared" si="129"/>
        <v>-15000</v>
      </c>
      <c r="S5723" s="37">
        <v>202303</v>
      </c>
      <c r="T5723" s="38" t="s">
        <v>7672</v>
      </c>
      <c r="U5723" s="39"/>
      <c r="V5723" s="40"/>
      <c r="W5723" s="41"/>
      <c r="X5723" s="28">
        <v>43922</v>
      </c>
      <c r="Y5723" s="28">
        <v>46234</v>
      </c>
    </row>
    <row r="5724" s="9" customFormat="1" customHeight="1" spans="1:25">
      <c r="A5724" s="16" t="s">
        <v>401</v>
      </c>
      <c r="B5724" s="17" t="s">
        <v>7432</v>
      </c>
      <c r="C5724" s="17" t="s">
        <v>2833</v>
      </c>
      <c r="D5724" s="17" t="s">
        <v>6905</v>
      </c>
      <c r="E5724" s="18" t="s">
        <v>7584</v>
      </c>
      <c r="F5724" s="16" t="s">
        <v>7585</v>
      </c>
      <c r="G5724" s="16" t="s">
        <v>88</v>
      </c>
      <c r="H5724" s="19" t="s">
        <v>7612</v>
      </c>
      <c r="I5724" s="23" t="e">
        <f>VLOOKUP(H5724,'合同综合查询数据（3月返）'!$A:$A,1,FALSE)</f>
        <v>#N/A</v>
      </c>
      <c r="J5724" s="24" t="s">
        <v>90</v>
      </c>
      <c r="K5724" s="16" t="s">
        <v>5480</v>
      </c>
      <c r="L5724" s="25"/>
      <c r="M5724" s="26" t="s">
        <v>7613</v>
      </c>
      <c r="N5724" s="28">
        <v>44309</v>
      </c>
      <c r="O5724" s="28" t="s">
        <v>457</v>
      </c>
      <c r="P5724" s="29">
        <v>5000</v>
      </c>
      <c r="Q5724" s="35">
        <v>15</v>
      </c>
      <c r="R5724" s="36">
        <f t="shared" si="129"/>
        <v>75000</v>
      </c>
      <c r="S5724" s="37">
        <v>202303</v>
      </c>
      <c r="T5724" s="38" t="s">
        <v>7673</v>
      </c>
      <c r="U5724" s="39"/>
      <c r="V5724" s="40"/>
      <c r="W5724" s="41"/>
      <c r="X5724" s="28">
        <v>43922</v>
      </c>
      <c r="Y5724" s="28">
        <v>46234</v>
      </c>
    </row>
    <row r="5725" s="9" customFormat="1" customHeight="1" spans="1:25">
      <c r="A5725" s="16" t="s">
        <v>401</v>
      </c>
      <c r="B5725" s="17" t="s">
        <v>7432</v>
      </c>
      <c r="C5725" s="17" t="s">
        <v>2833</v>
      </c>
      <c r="D5725" s="17" t="s">
        <v>6905</v>
      </c>
      <c r="E5725" s="18" t="s">
        <v>7584</v>
      </c>
      <c r="F5725" s="16" t="s">
        <v>7585</v>
      </c>
      <c r="G5725" s="16" t="s">
        <v>88</v>
      </c>
      <c r="H5725" s="19" t="s">
        <v>7612</v>
      </c>
      <c r="I5725" s="23" t="e">
        <f>VLOOKUP(H5725,'合同综合查询数据（3月返）'!$A:$A,1,FALSE)</f>
        <v>#N/A</v>
      </c>
      <c r="J5725" s="24" t="s">
        <v>90</v>
      </c>
      <c r="K5725" s="16" t="s">
        <v>5480</v>
      </c>
      <c r="L5725" s="25"/>
      <c r="M5725" s="26" t="s">
        <v>7626</v>
      </c>
      <c r="N5725" s="28">
        <v>44312</v>
      </c>
      <c r="O5725" s="28" t="s">
        <v>457</v>
      </c>
      <c r="P5725" s="29">
        <v>5000</v>
      </c>
      <c r="Q5725" s="35">
        <v>1</v>
      </c>
      <c r="R5725" s="36">
        <f t="shared" si="129"/>
        <v>5000</v>
      </c>
      <c r="S5725" s="37">
        <v>202303</v>
      </c>
      <c r="T5725" s="38" t="s">
        <v>7674</v>
      </c>
      <c r="U5725" s="39"/>
      <c r="V5725" s="40"/>
      <c r="W5725" s="41"/>
      <c r="X5725" s="28">
        <v>43922</v>
      </c>
      <c r="Y5725" s="28">
        <v>46234</v>
      </c>
    </row>
    <row r="5726" s="9" customFormat="1" customHeight="1" spans="1:25">
      <c r="A5726" s="16" t="s">
        <v>401</v>
      </c>
      <c r="B5726" s="17" t="s">
        <v>7432</v>
      </c>
      <c r="C5726" s="17" t="s">
        <v>2833</v>
      </c>
      <c r="D5726" s="17" t="s">
        <v>6905</v>
      </c>
      <c r="E5726" s="18" t="s">
        <v>7584</v>
      </c>
      <c r="F5726" s="16" t="s">
        <v>7585</v>
      </c>
      <c r="G5726" s="16" t="s">
        <v>88</v>
      </c>
      <c r="H5726" s="19" t="s">
        <v>7612</v>
      </c>
      <c r="I5726" s="23" t="e">
        <f>VLOOKUP(H5726,'合同综合查询数据（3月返）'!$A:$A,1,FALSE)</f>
        <v>#N/A</v>
      </c>
      <c r="J5726" s="24" t="s">
        <v>90</v>
      </c>
      <c r="K5726" s="16" t="s">
        <v>5480</v>
      </c>
      <c r="L5726" s="25"/>
      <c r="M5726" s="26" t="s">
        <v>7613</v>
      </c>
      <c r="N5726" s="28">
        <v>44313</v>
      </c>
      <c r="O5726" s="28" t="s">
        <v>457</v>
      </c>
      <c r="P5726" s="29">
        <v>5000</v>
      </c>
      <c r="Q5726" s="35">
        <v>6</v>
      </c>
      <c r="R5726" s="36">
        <f t="shared" si="129"/>
        <v>30000</v>
      </c>
      <c r="S5726" s="37">
        <v>202303</v>
      </c>
      <c r="T5726" s="38" t="s">
        <v>7675</v>
      </c>
      <c r="U5726" s="39"/>
      <c r="V5726" s="40"/>
      <c r="W5726" s="41"/>
      <c r="X5726" s="28">
        <v>43922</v>
      </c>
      <c r="Y5726" s="28">
        <v>46234</v>
      </c>
    </row>
    <row r="5727" s="9" customFormat="1" customHeight="1" spans="1:25">
      <c r="A5727" s="16" t="s">
        <v>401</v>
      </c>
      <c r="B5727" s="17" t="s">
        <v>7432</v>
      </c>
      <c r="C5727" s="17" t="s">
        <v>2833</v>
      </c>
      <c r="D5727" s="17" t="s">
        <v>6905</v>
      </c>
      <c r="E5727" s="18" t="s">
        <v>7584</v>
      </c>
      <c r="F5727" s="16" t="s">
        <v>7585</v>
      </c>
      <c r="G5727" s="16" t="s">
        <v>88</v>
      </c>
      <c r="H5727" s="19" t="s">
        <v>7612</v>
      </c>
      <c r="I5727" s="23" t="e">
        <f>VLOOKUP(H5727,'合同综合查询数据（3月返）'!$A:$A,1,FALSE)</f>
        <v>#N/A</v>
      </c>
      <c r="J5727" s="24" t="s">
        <v>90</v>
      </c>
      <c r="K5727" s="16" t="s">
        <v>5480</v>
      </c>
      <c r="L5727" s="25"/>
      <c r="M5727" s="26" t="s">
        <v>7613</v>
      </c>
      <c r="N5727" s="28">
        <v>44316</v>
      </c>
      <c r="O5727" s="28" t="s">
        <v>457</v>
      </c>
      <c r="P5727" s="29">
        <v>5000</v>
      </c>
      <c r="Q5727" s="35">
        <v>3</v>
      </c>
      <c r="R5727" s="36">
        <f t="shared" si="129"/>
        <v>15000</v>
      </c>
      <c r="S5727" s="37">
        <v>202303</v>
      </c>
      <c r="T5727" s="38" t="s">
        <v>7676</v>
      </c>
      <c r="U5727" s="39"/>
      <c r="V5727" s="40"/>
      <c r="W5727" s="41"/>
      <c r="X5727" s="28">
        <v>43922</v>
      </c>
      <c r="Y5727" s="28">
        <v>46234</v>
      </c>
    </row>
    <row r="5728" s="9" customFormat="1" customHeight="1" spans="1:25">
      <c r="A5728" s="16" t="s">
        <v>401</v>
      </c>
      <c r="B5728" s="17" t="s">
        <v>7432</v>
      </c>
      <c r="C5728" s="17" t="s">
        <v>2833</v>
      </c>
      <c r="D5728" s="17" t="s">
        <v>6905</v>
      </c>
      <c r="E5728" s="18" t="s">
        <v>7584</v>
      </c>
      <c r="F5728" s="16" t="s">
        <v>7585</v>
      </c>
      <c r="G5728" s="16" t="s">
        <v>88</v>
      </c>
      <c r="H5728" s="19" t="s">
        <v>7612</v>
      </c>
      <c r="I5728" s="23" t="e">
        <f>VLOOKUP(H5728,'合同综合查询数据（3月返）'!$A:$A,1,FALSE)</f>
        <v>#N/A</v>
      </c>
      <c r="J5728" s="24" t="s">
        <v>90</v>
      </c>
      <c r="K5728" s="16" t="s">
        <v>5480</v>
      </c>
      <c r="L5728" s="25"/>
      <c r="M5728" s="26" t="s">
        <v>7613</v>
      </c>
      <c r="N5728" s="28">
        <v>44322</v>
      </c>
      <c r="O5728" s="28" t="s">
        <v>457</v>
      </c>
      <c r="P5728" s="29">
        <v>5000</v>
      </c>
      <c r="Q5728" s="35">
        <v>2</v>
      </c>
      <c r="R5728" s="36">
        <f t="shared" si="129"/>
        <v>10000</v>
      </c>
      <c r="S5728" s="37">
        <v>202303</v>
      </c>
      <c r="T5728" s="38" t="s">
        <v>7677</v>
      </c>
      <c r="U5728" s="39"/>
      <c r="V5728" s="40"/>
      <c r="W5728" s="41"/>
      <c r="X5728" s="28">
        <v>43922</v>
      </c>
      <c r="Y5728" s="28">
        <v>46234</v>
      </c>
    </row>
    <row r="5729" s="9" customFormat="1" customHeight="1" spans="1:25">
      <c r="A5729" s="16" t="s">
        <v>401</v>
      </c>
      <c r="B5729" s="17" t="s">
        <v>7432</v>
      </c>
      <c r="C5729" s="17" t="s">
        <v>2833</v>
      </c>
      <c r="D5729" s="17" t="s">
        <v>6905</v>
      </c>
      <c r="E5729" s="18" t="s">
        <v>7584</v>
      </c>
      <c r="F5729" s="16" t="s">
        <v>7585</v>
      </c>
      <c r="G5729" s="16" t="s">
        <v>88</v>
      </c>
      <c r="H5729" s="19" t="s">
        <v>7612</v>
      </c>
      <c r="I5729" s="23" t="e">
        <f>VLOOKUP(H5729,'合同综合查询数据（3月返）'!$A:$A,1,FALSE)</f>
        <v>#N/A</v>
      </c>
      <c r="J5729" s="24" t="s">
        <v>90</v>
      </c>
      <c r="K5729" s="16" t="s">
        <v>5480</v>
      </c>
      <c r="L5729" s="25"/>
      <c r="M5729" s="26" t="s">
        <v>7613</v>
      </c>
      <c r="N5729" s="28">
        <v>44323</v>
      </c>
      <c r="O5729" s="28" t="s">
        <v>457</v>
      </c>
      <c r="P5729" s="29">
        <v>5000</v>
      </c>
      <c r="Q5729" s="35">
        <v>10</v>
      </c>
      <c r="R5729" s="36">
        <f t="shared" si="129"/>
        <v>50000</v>
      </c>
      <c r="S5729" s="37">
        <v>202303</v>
      </c>
      <c r="T5729" s="38" t="s">
        <v>7678</v>
      </c>
      <c r="U5729" s="39"/>
      <c r="V5729" s="40"/>
      <c r="W5729" s="41"/>
      <c r="X5729" s="28">
        <v>43922</v>
      </c>
      <c r="Y5729" s="28">
        <v>46234</v>
      </c>
    </row>
    <row r="5730" s="9" customFormat="1" customHeight="1" spans="1:25">
      <c r="A5730" s="16" t="s">
        <v>401</v>
      </c>
      <c r="B5730" s="17" t="s">
        <v>7432</v>
      </c>
      <c r="C5730" s="17" t="s">
        <v>2833</v>
      </c>
      <c r="D5730" s="17" t="s">
        <v>6905</v>
      </c>
      <c r="E5730" s="18" t="s">
        <v>7584</v>
      </c>
      <c r="F5730" s="16" t="s">
        <v>7585</v>
      </c>
      <c r="G5730" s="16" t="s">
        <v>88</v>
      </c>
      <c r="H5730" s="19" t="s">
        <v>7612</v>
      </c>
      <c r="I5730" s="23" t="e">
        <f>VLOOKUP(H5730,'合同综合查询数据（3月返）'!$A:$A,1,FALSE)</f>
        <v>#N/A</v>
      </c>
      <c r="J5730" s="24" t="s">
        <v>90</v>
      </c>
      <c r="K5730" s="16" t="s">
        <v>5480</v>
      </c>
      <c r="L5730" s="25"/>
      <c r="M5730" s="26" t="s">
        <v>7613</v>
      </c>
      <c r="N5730" s="28">
        <v>44324</v>
      </c>
      <c r="O5730" s="28" t="s">
        <v>457</v>
      </c>
      <c r="P5730" s="29">
        <v>5000</v>
      </c>
      <c r="Q5730" s="35">
        <v>6</v>
      </c>
      <c r="R5730" s="36">
        <f t="shared" si="129"/>
        <v>30000</v>
      </c>
      <c r="S5730" s="37">
        <v>202303</v>
      </c>
      <c r="T5730" s="38" t="s">
        <v>7679</v>
      </c>
      <c r="U5730" s="39"/>
      <c r="V5730" s="40"/>
      <c r="W5730" s="41"/>
      <c r="X5730" s="28">
        <v>43922</v>
      </c>
      <c r="Y5730" s="28">
        <v>46234</v>
      </c>
    </row>
    <row r="5731" s="9" customFormat="1" customHeight="1" spans="1:25">
      <c r="A5731" s="16" t="s">
        <v>401</v>
      </c>
      <c r="B5731" s="17" t="s">
        <v>7432</v>
      </c>
      <c r="C5731" s="17" t="s">
        <v>2833</v>
      </c>
      <c r="D5731" s="17" t="s">
        <v>6905</v>
      </c>
      <c r="E5731" s="18" t="s">
        <v>7584</v>
      </c>
      <c r="F5731" s="16" t="s">
        <v>7585</v>
      </c>
      <c r="G5731" s="16" t="s">
        <v>88</v>
      </c>
      <c r="H5731" s="19" t="s">
        <v>7612</v>
      </c>
      <c r="I5731" s="23" t="e">
        <f>VLOOKUP(H5731,'合同综合查询数据（3月返）'!$A:$A,1,FALSE)</f>
        <v>#N/A</v>
      </c>
      <c r="J5731" s="24" t="s">
        <v>90</v>
      </c>
      <c r="K5731" s="16" t="s">
        <v>5480</v>
      </c>
      <c r="L5731" s="25"/>
      <c r="M5731" s="26" t="s">
        <v>7613</v>
      </c>
      <c r="N5731" s="28">
        <v>44326</v>
      </c>
      <c r="O5731" s="28" t="s">
        <v>457</v>
      </c>
      <c r="P5731" s="29">
        <v>5000</v>
      </c>
      <c r="Q5731" s="35">
        <v>4</v>
      </c>
      <c r="R5731" s="36">
        <f t="shared" si="129"/>
        <v>20000</v>
      </c>
      <c r="S5731" s="37">
        <v>202303</v>
      </c>
      <c r="T5731" s="38" t="s">
        <v>7680</v>
      </c>
      <c r="U5731" s="39"/>
      <c r="V5731" s="40"/>
      <c r="W5731" s="41"/>
      <c r="X5731" s="28">
        <v>43922</v>
      </c>
      <c r="Y5731" s="28">
        <v>46234</v>
      </c>
    </row>
    <row r="5732" s="9" customFormat="1" customHeight="1" spans="1:25">
      <c r="A5732" s="16" t="s">
        <v>401</v>
      </c>
      <c r="B5732" s="17" t="s">
        <v>7432</v>
      </c>
      <c r="C5732" s="17" t="s">
        <v>2833</v>
      </c>
      <c r="D5732" s="17" t="s">
        <v>6905</v>
      </c>
      <c r="E5732" s="18" t="s">
        <v>7584</v>
      </c>
      <c r="F5732" s="16" t="s">
        <v>7585</v>
      </c>
      <c r="G5732" s="16" t="s">
        <v>88</v>
      </c>
      <c r="H5732" s="19" t="s">
        <v>7612</v>
      </c>
      <c r="I5732" s="23" t="e">
        <f>VLOOKUP(H5732,'合同综合查询数据（3月返）'!$A:$A,1,FALSE)</f>
        <v>#N/A</v>
      </c>
      <c r="J5732" s="24" t="s">
        <v>90</v>
      </c>
      <c r="K5732" s="16" t="s">
        <v>5480</v>
      </c>
      <c r="L5732" s="25"/>
      <c r="M5732" s="26" t="s">
        <v>7613</v>
      </c>
      <c r="N5732" s="28">
        <v>44328</v>
      </c>
      <c r="O5732" s="28" t="s">
        <v>457</v>
      </c>
      <c r="P5732" s="29">
        <v>5000</v>
      </c>
      <c r="Q5732" s="35">
        <v>4</v>
      </c>
      <c r="R5732" s="36">
        <f t="shared" si="129"/>
        <v>20000</v>
      </c>
      <c r="S5732" s="37">
        <v>202303</v>
      </c>
      <c r="T5732" s="38" t="s">
        <v>7681</v>
      </c>
      <c r="U5732" s="39"/>
      <c r="V5732" s="40"/>
      <c r="W5732" s="41"/>
      <c r="X5732" s="28">
        <v>43922</v>
      </c>
      <c r="Y5732" s="28">
        <v>46234</v>
      </c>
    </row>
    <row r="5733" s="9" customFormat="1" customHeight="1" spans="1:25">
      <c r="A5733" s="16" t="s">
        <v>401</v>
      </c>
      <c r="B5733" s="17" t="s">
        <v>7432</v>
      </c>
      <c r="C5733" s="17" t="s">
        <v>2833</v>
      </c>
      <c r="D5733" s="17" t="s">
        <v>6905</v>
      </c>
      <c r="E5733" s="18" t="s">
        <v>7584</v>
      </c>
      <c r="F5733" s="16" t="s">
        <v>7585</v>
      </c>
      <c r="G5733" s="16" t="s">
        <v>88</v>
      </c>
      <c r="H5733" s="19" t="s">
        <v>7612</v>
      </c>
      <c r="I5733" s="23" t="e">
        <f>VLOOKUP(H5733,'合同综合查询数据（3月返）'!$A:$A,1,FALSE)</f>
        <v>#N/A</v>
      </c>
      <c r="J5733" s="24" t="s">
        <v>90</v>
      </c>
      <c r="K5733" s="16" t="s">
        <v>5480</v>
      </c>
      <c r="L5733" s="25"/>
      <c r="M5733" s="26" t="s">
        <v>7626</v>
      </c>
      <c r="N5733" s="28">
        <v>44380</v>
      </c>
      <c r="O5733" s="28" t="s">
        <v>457</v>
      </c>
      <c r="P5733" s="29">
        <v>5000</v>
      </c>
      <c r="Q5733" s="35">
        <v>3</v>
      </c>
      <c r="R5733" s="36">
        <f t="shared" si="129"/>
        <v>15000</v>
      </c>
      <c r="S5733" s="37">
        <v>202303</v>
      </c>
      <c r="T5733" s="38" t="s">
        <v>7682</v>
      </c>
      <c r="U5733" s="39"/>
      <c r="V5733" s="40"/>
      <c r="W5733" s="41"/>
      <c r="X5733" s="28">
        <v>43922</v>
      </c>
      <c r="Y5733" s="28">
        <v>46234</v>
      </c>
    </row>
    <row r="5734" s="9" customFormat="1" customHeight="1" spans="1:25">
      <c r="A5734" s="16" t="s">
        <v>401</v>
      </c>
      <c r="B5734" s="17" t="s">
        <v>7432</v>
      </c>
      <c r="C5734" s="17" t="s">
        <v>2833</v>
      </c>
      <c r="D5734" s="17" t="s">
        <v>6905</v>
      </c>
      <c r="E5734" s="18" t="s">
        <v>7584</v>
      </c>
      <c r="F5734" s="16" t="s">
        <v>7585</v>
      </c>
      <c r="G5734" s="16" t="s">
        <v>88</v>
      </c>
      <c r="H5734" s="19" t="s">
        <v>7612</v>
      </c>
      <c r="I5734" s="23" t="e">
        <f>VLOOKUP(H5734,'合同综合查询数据（3月返）'!$A:$A,1,FALSE)</f>
        <v>#N/A</v>
      </c>
      <c r="J5734" s="24" t="s">
        <v>90</v>
      </c>
      <c r="K5734" s="16" t="s">
        <v>5480</v>
      </c>
      <c r="L5734" s="25"/>
      <c r="M5734" s="26" t="s">
        <v>7613</v>
      </c>
      <c r="N5734" s="28">
        <v>44380</v>
      </c>
      <c r="O5734" s="28" t="s">
        <v>457</v>
      </c>
      <c r="P5734" s="29">
        <v>5000</v>
      </c>
      <c r="Q5734" s="35">
        <v>27</v>
      </c>
      <c r="R5734" s="36">
        <f t="shared" si="129"/>
        <v>135000</v>
      </c>
      <c r="S5734" s="37">
        <v>202303</v>
      </c>
      <c r="T5734" s="38" t="s">
        <v>7683</v>
      </c>
      <c r="U5734" s="39"/>
      <c r="V5734" s="40"/>
      <c r="W5734" s="41"/>
      <c r="X5734" s="28">
        <v>43922</v>
      </c>
      <c r="Y5734" s="28">
        <v>46234</v>
      </c>
    </row>
    <row r="5735" s="9" customFormat="1" customHeight="1" spans="1:25">
      <c r="A5735" s="16" t="s">
        <v>401</v>
      </c>
      <c r="B5735" s="17" t="s">
        <v>7432</v>
      </c>
      <c r="C5735" s="17" t="s">
        <v>2833</v>
      </c>
      <c r="D5735" s="17" t="s">
        <v>6905</v>
      </c>
      <c r="E5735" s="18" t="s">
        <v>7584</v>
      </c>
      <c r="F5735" s="16" t="s">
        <v>7585</v>
      </c>
      <c r="G5735" s="16" t="s">
        <v>88</v>
      </c>
      <c r="H5735" s="19" t="s">
        <v>7612</v>
      </c>
      <c r="I5735" s="23" t="e">
        <f>VLOOKUP(H5735,'合同综合查询数据（3月返）'!$A:$A,1,FALSE)</f>
        <v>#N/A</v>
      </c>
      <c r="J5735" s="24" t="s">
        <v>90</v>
      </c>
      <c r="K5735" s="16" t="s">
        <v>5480</v>
      </c>
      <c r="L5735" s="25"/>
      <c r="M5735" s="26" t="s">
        <v>7626</v>
      </c>
      <c r="N5735" s="28">
        <v>44410</v>
      </c>
      <c r="O5735" s="28" t="s">
        <v>457</v>
      </c>
      <c r="P5735" s="29">
        <v>5000</v>
      </c>
      <c r="Q5735" s="35">
        <v>5</v>
      </c>
      <c r="R5735" s="36">
        <f t="shared" si="129"/>
        <v>25000</v>
      </c>
      <c r="S5735" s="37">
        <v>202303</v>
      </c>
      <c r="T5735" s="38" t="s">
        <v>7684</v>
      </c>
      <c r="U5735" s="39"/>
      <c r="V5735" s="40"/>
      <c r="W5735" s="41"/>
      <c r="X5735" s="28">
        <v>43922</v>
      </c>
      <c r="Y5735" s="28">
        <v>46234</v>
      </c>
    </row>
    <row r="5736" s="9" customFormat="1" customHeight="1" spans="1:25">
      <c r="A5736" s="16" t="s">
        <v>401</v>
      </c>
      <c r="B5736" s="17" t="s">
        <v>7432</v>
      </c>
      <c r="C5736" s="17" t="s">
        <v>2833</v>
      </c>
      <c r="D5736" s="17" t="s">
        <v>6905</v>
      </c>
      <c r="E5736" s="18" t="s">
        <v>7584</v>
      </c>
      <c r="F5736" s="16" t="s">
        <v>7585</v>
      </c>
      <c r="G5736" s="16" t="s">
        <v>88</v>
      </c>
      <c r="H5736" s="19" t="s">
        <v>7612</v>
      </c>
      <c r="I5736" s="23" t="e">
        <f>VLOOKUP(H5736,'合同综合查询数据（3月返）'!$A:$A,1,FALSE)</f>
        <v>#N/A</v>
      </c>
      <c r="J5736" s="24" t="s">
        <v>90</v>
      </c>
      <c r="K5736" s="16" t="s">
        <v>5480</v>
      </c>
      <c r="L5736" s="25"/>
      <c r="M5736" s="26" t="s">
        <v>7626</v>
      </c>
      <c r="N5736" s="28">
        <v>44426</v>
      </c>
      <c r="O5736" s="28" t="s">
        <v>457</v>
      </c>
      <c r="P5736" s="29">
        <v>5000</v>
      </c>
      <c r="Q5736" s="35">
        <v>5</v>
      </c>
      <c r="R5736" s="36">
        <f t="shared" si="129"/>
        <v>25000</v>
      </c>
      <c r="S5736" s="37">
        <v>202303</v>
      </c>
      <c r="T5736" s="38" t="s">
        <v>7685</v>
      </c>
      <c r="U5736" s="39"/>
      <c r="V5736" s="40"/>
      <c r="W5736" s="41"/>
      <c r="X5736" s="28">
        <v>43922</v>
      </c>
      <c r="Y5736" s="28">
        <v>46234</v>
      </c>
    </row>
    <row r="5737" s="9" customFormat="1" customHeight="1" spans="1:25">
      <c r="A5737" s="16" t="s">
        <v>401</v>
      </c>
      <c r="B5737" s="17" t="s">
        <v>7432</v>
      </c>
      <c r="C5737" s="17" t="s">
        <v>2833</v>
      </c>
      <c r="D5737" s="17" t="s">
        <v>6905</v>
      </c>
      <c r="E5737" s="18" t="s">
        <v>7584</v>
      </c>
      <c r="F5737" s="16" t="s">
        <v>7585</v>
      </c>
      <c r="G5737" s="16" t="s">
        <v>88</v>
      </c>
      <c r="H5737" s="19" t="s">
        <v>7612</v>
      </c>
      <c r="I5737" s="23" t="e">
        <f>VLOOKUP(H5737,'合同综合查询数据（3月返）'!$A:$A,1,FALSE)</f>
        <v>#N/A</v>
      </c>
      <c r="J5737" s="24" t="s">
        <v>90</v>
      </c>
      <c r="K5737" s="16" t="s">
        <v>5480</v>
      </c>
      <c r="L5737" s="25"/>
      <c r="M5737" s="26" t="s">
        <v>7613</v>
      </c>
      <c r="N5737" s="28">
        <v>44439</v>
      </c>
      <c r="O5737" s="28" t="s">
        <v>457</v>
      </c>
      <c r="P5737" s="29">
        <v>5000</v>
      </c>
      <c r="Q5737" s="35">
        <v>3</v>
      </c>
      <c r="R5737" s="36">
        <f t="shared" si="129"/>
        <v>15000</v>
      </c>
      <c r="S5737" s="37">
        <v>202303</v>
      </c>
      <c r="T5737" s="38" t="s">
        <v>7686</v>
      </c>
      <c r="U5737" s="39"/>
      <c r="V5737" s="40"/>
      <c r="W5737" s="41"/>
      <c r="X5737" s="28">
        <v>43922</v>
      </c>
      <c r="Y5737" s="28">
        <v>46234</v>
      </c>
    </row>
    <row r="5738" s="9" customFormat="1" customHeight="1" spans="1:25">
      <c r="A5738" s="16" t="s">
        <v>401</v>
      </c>
      <c r="B5738" s="17" t="s">
        <v>7432</v>
      </c>
      <c r="C5738" s="17" t="s">
        <v>2833</v>
      </c>
      <c r="D5738" s="17" t="s">
        <v>6905</v>
      </c>
      <c r="E5738" s="18" t="s">
        <v>7584</v>
      </c>
      <c r="F5738" s="16" t="s">
        <v>7585</v>
      </c>
      <c r="G5738" s="16" t="s">
        <v>88</v>
      </c>
      <c r="H5738" s="19" t="s">
        <v>7612</v>
      </c>
      <c r="I5738" s="23" t="e">
        <f>VLOOKUP(H5738,'合同综合查询数据（3月返）'!$A:$A,1,FALSE)</f>
        <v>#N/A</v>
      </c>
      <c r="J5738" s="24" t="s">
        <v>90</v>
      </c>
      <c r="K5738" s="16" t="s">
        <v>5480</v>
      </c>
      <c r="L5738" s="25"/>
      <c r="M5738" s="26" t="s">
        <v>7626</v>
      </c>
      <c r="N5738" s="28">
        <v>44439</v>
      </c>
      <c r="O5738" s="28" t="s">
        <v>457</v>
      </c>
      <c r="P5738" s="29">
        <v>5000</v>
      </c>
      <c r="Q5738" s="35">
        <v>6</v>
      </c>
      <c r="R5738" s="36">
        <f t="shared" si="129"/>
        <v>30000</v>
      </c>
      <c r="S5738" s="37">
        <v>202303</v>
      </c>
      <c r="T5738" s="38" t="s">
        <v>7687</v>
      </c>
      <c r="U5738" s="39"/>
      <c r="V5738" s="40"/>
      <c r="W5738" s="41"/>
      <c r="X5738" s="28">
        <v>43922</v>
      </c>
      <c r="Y5738" s="28">
        <v>46234</v>
      </c>
    </row>
    <row r="5739" s="9" customFormat="1" customHeight="1" spans="1:25">
      <c r="A5739" s="16" t="s">
        <v>401</v>
      </c>
      <c r="B5739" s="17" t="s">
        <v>7432</v>
      </c>
      <c r="C5739" s="17" t="s">
        <v>2833</v>
      </c>
      <c r="D5739" s="17" t="s">
        <v>6905</v>
      </c>
      <c r="E5739" s="18" t="s">
        <v>7584</v>
      </c>
      <c r="F5739" s="16" t="s">
        <v>7585</v>
      </c>
      <c r="G5739" s="16" t="s">
        <v>88</v>
      </c>
      <c r="H5739" s="19" t="s">
        <v>7612</v>
      </c>
      <c r="I5739" s="23" t="e">
        <f>VLOOKUP(H5739,'合同综合查询数据（3月返）'!$A:$A,1,FALSE)</f>
        <v>#N/A</v>
      </c>
      <c r="J5739" s="24" t="s">
        <v>90</v>
      </c>
      <c r="K5739" s="16" t="s">
        <v>5480</v>
      </c>
      <c r="L5739" s="25"/>
      <c r="M5739" s="26" t="s">
        <v>7613</v>
      </c>
      <c r="N5739" s="28">
        <v>44510</v>
      </c>
      <c r="O5739" s="28" t="s">
        <v>457</v>
      </c>
      <c r="P5739" s="29">
        <v>5000</v>
      </c>
      <c r="Q5739" s="35">
        <v>-9</v>
      </c>
      <c r="R5739" s="36">
        <f t="shared" si="129"/>
        <v>-45000</v>
      </c>
      <c r="S5739" s="37">
        <v>202303</v>
      </c>
      <c r="T5739" s="38" t="s">
        <v>7688</v>
      </c>
      <c r="U5739" s="39"/>
      <c r="V5739" s="40"/>
      <c r="W5739" s="41"/>
      <c r="X5739" s="28">
        <v>43922</v>
      </c>
      <c r="Y5739" s="28">
        <v>46234</v>
      </c>
    </row>
    <row r="5740" s="9" customFormat="1" customHeight="1" spans="1:25">
      <c r="A5740" s="16" t="s">
        <v>401</v>
      </c>
      <c r="B5740" s="17" t="s">
        <v>7432</v>
      </c>
      <c r="C5740" s="17" t="s">
        <v>2833</v>
      </c>
      <c r="D5740" s="17" t="s">
        <v>6905</v>
      </c>
      <c r="E5740" s="18" t="s">
        <v>7584</v>
      </c>
      <c r="F5740" s="16" t="s">
        <v>7585</v>
      </c>
      <c r="G5740" s="16" t="s">
        <v>88</v>
      </c>
      <c r="H5740" s="19" t="s">
        <v>7612</v>
      </c>
      <c r="I5740" s="23" t="e">
        <f>VLOOKUP(H5740,'合同综合查询数据（3月返）'!$A:$A,1,FALSE)</f>
        <v>#N/A</v>
      </c>
      <c r="J5740" s="24" t="s">
        <v>90</v>
      </c>
      <c r="K5740" s="16" t="s">
        <v>5480</v>
      </c>
      <c r="L5740" s="25"/>
      <c r="M5740" s="26" t="s">
        <v>7613</v>
      </c>
      <c r="N5740" s="28">
        <v>44532</v>
      </c>
      <c r="O5740" s="28" t="s">
        <v>457</v>
      </c>
      <c r="P5740" s="29">
        <v>5000</v>
      </c>
      <c r="Q5740" s="35">
        <v>1</v>
      </c>
      <c r="R5740" s="36">
        <f t="shared" si="129"/>
        <v>5000</v>
      </c>
      <c r="S5740" s="37">
        <v>202303</v>
      </c>
      <c r="T5740" s="38" t="s">
        <v>7689</v>
      </c>
      <c r="U5740" s="39"/>
      <c r="V5740" s="40"/>
      <c r="W5740" s="41"/>
      <c r="X5740" s="28">
        <v>43922</v>
      </c>
      <c r="Y5740" s="28">
        <v>46234</v>
      </c>
    </row>
    <row r="5741" s="9" customFormat="1" customHeight="1" spans="1:25">
      <c r="A5741" s="16" t="s">
        <v>401</v>
      </c>
      <c r="B5741" s="17" t="s">
        <v>7432</v>
      </c>
      <c r="C5741" s="17" t="s">
        <v>2833</v>
      </c>
      <c r="D5741" s="17" t="s">
        <v>6905</v>
      </c>
      <c r="E5741" s="18" t="s">
        <v>7584</v>
      </c>
      <c r="F5741" s="16" t="s">
        <v>7585</v>
      </c>
      <c r="G5741" s="16" t="s">
        <v>88</v>
      </c>
      <c r="H5741" s="19" t="s">
        <v>7612</v>
      </c>
      <c r="I5741" s="23" t="e">
        <f>VLOOKUP(H5741,'合同综合查询数据（3月返）'!$A:$A,1,FALSE)</f>
        <v>#N/A</v>
      </c>
      <c r="J5741" s="24" t="s">
        <v>90</v>
      </c>
      <c r="K5741" s="16" t="s">
        <v>5480</v>
      </c>
      <c r="L5741" s="25"/>
      <c r="M5741" s="26" t="s">
        <v>7626</v>
      </c>
      <c r="N5741" s="28">
        <v>44537</v>
      </c>
      <c r="O5741" s="28" t="s">
        <v>457</v>
      </c>
      <c r="P5741" s="29">
        <v>5000</v>
      </c>
      <c r="Q5741" s="35">
        <v>11</v>
      </c>
      <c r="R5741" s="36">
        <f t="shared" si="129"/>
        <v>55000</v>
      </c>
      <c r="S5741" s="37">
        <v>202303</v>
      </c>
      <c r="T5741" s="38" t="s">
        <v>7690</v>
      </c>
      <c r="U5741" s="39"/>
      <c r="V5741" s="40"/>
      <c r="W5741" s="41"/>
      <c r="X5741" s="28">
        <v>43922</v>
      </c>
      <c r="Y5741" s="28">
        <v>46234</v>
      </c>
    </row>
    <row r="5742" s="9" customFormat="1" customHeight="1" spans="1:25">
      <c r="A5742" s="16" t="s">
        <v>401</v>
      </c>
      <c r="B5742" s="17" t="s">
        <v>7432</v>
      </c>
      <c r="C5742" s="17" t="s">
        <v>2833</v>
      </c>
      <c r="D5742" s="17" t="s">
        <v>6905</v>
      </c>
      <c r="E5742" s="18" t="s">
        <v>7584</v>
      </c>
      <c r="F5742" s="16" t="s">
        <v>7585</v>
      </c>
      <c r="G5742" s="16" t="s">
        <v>88</v>
      </c>
      <c r="H5742" s="19" t="s">
        <v>7612</v>
      </c>
      <c r="I5742" s="23" t="e">
        <f>VLOOKUP(H5742,'合同综合查询数据（3月返）'!$A:$A,1,FALSE)</f>
        <v>#N/A</v>
      </c>
      <c r="J5742" s="24" t="s">
        <v>90</v>
      </c>
      <c r="K5742" s="16" t="s">
        <v>5480</v>
      </c>
      <c r="L5742" s="25"/>
      <c r="M5742" s="26" t="s">
        <v>7613</v>
      </c>
      <c r="N5742" s="28">
        <v>44561</v>
      </c>
      <c r="O5742" s="28" t="s">
        <v>457</v>
      </c>
      <c r="P5742" s="29">
        <v>5000</v>
      </c>
      <c r="Q5742" s="35">
        <v>-10</v>
      </c>
      <c r="R5742" s="36">
        <f t="shared" si="129"/>
        <v>-50000</v>
      </c>
      <c r="S5742" s="37">
        <v>202303</v>
      </c>
      <c r="T5742" s="38" t="s">
        <v>7691</v>
      </c>
      <c r="U5742" s="39"/>
      <c r="V5742" s="40"/>
      <c r="W5742" s="41"/>
      <c r="X5742" s="28">
        <v>43922</v>
      </c>
      <c r="Y5742" s="28">
        <v>46234</v>
      </c>
    </row>
    <row r="5743" s="9" customFormat="1" customHeight="1" spans="1:25">
      <c r="A5743" s="16" t="s">
        <v>401</v>
      </c>
      <c r="B5743" s="17" t="s">
        <v>7432</v>
      </c>
      <c r="C5743" s="17" t="s">
        <v>2833</v>
      </c>
      <c r="D5743" s="17" t="s">
        <v>6905</v>
      </c>
      <c r="E5743" s="18" t="s">
        <v>7584</v>
      </c>
      <c r="F5743" s="16" t="s">
        <v>7585</v>
      </c>
      <c r="G5743" s="16" t="s">
        <v>88</v>
      </c>
      <c r="H5743" s="19" t="s">
        <v>7612</v>
      </c>
      <c r="I5743" s="23" t="e">
        <f>VLOOKUP(H5743,'合同综合查询数据（3月返）'!$A:$A,1,FALSE)</f>
        <v>#N/A</v>
      </c>
      <c r="J5743" s="24" t="s">
        <v>90</v>
      </c>
      <c r="K5743" s="16" t="s">
        <v>5480</v>
      </c>
      <c r="L5743" s="25"/>
      <c r="M5743" s="26" t="s">
        <v>7613</v>
      </c>
      <c r="N5743" s="28">
        <v>44573</v>
      </c>
      <c r="O5743" s="28" t="s">
        <v>457</v>
      </c>
      <c r="P5743" s="29">
        <v>5000</v>
      </c>
      <c r="Q5743" s="35">
        <v>-3</v>
      </c>
      <c r="R5743" s="36">
        <f t="shared" si="129"/>
        <v>-15000</v>
      </c>
      <c r="S5743" s="37">
        <v>202303</v>
      </c>
      <c r="T5743" s="38" t="s">
        <v>7692</v>
      </c>
      <c r="U5743" s="39"/>
      <c r="V5743" s="40"/>
      <c r="W5743" s="41"/>
      <c r="X5743" s="28">
        <v>43922</v>
      </c>
      <c r="Y5743" s="28">
        <v>46234</v>
      </c>
    </row>
    <row r="5744" s="9" customFormat="1" customHeight="1" spans="1:25">
      <c r="A5744" s="16" t="s">
        <v>401</v>
      </c>
      <c r="B5744" s="17" t="s">
        <v>7432</v>
      </c>
      <c r="C5744" s="17" t="s">
        <v>2833</v>
      </c>
      <c r="D5744" s="17" t="s">
        <v>6905</v>
      </c>
      <c r="E5744" s="18" t="s">
        <v>7584</v>
      </c>
      <c r="F5744" s="16" t="s">
        <v>7585</v>
      </c>
      <c r="G5744" s="16" t="s">
        <v>88</v>
      </c>
      <c r="H5744" s="19" t="s">
        <v>7612</v>
      </c>
      <c r="I5744" s="23" t="e">
        <f>VLOOKUP(H5744,'合同综合查询数据（3月返）'!$A:$A,1,FALSE)</f>
        <v>#N/A</v>
      </c>
      <c r="J5744" s="24" t="s">
        <v>90</v>
      </c>
      <c r="K5744" s="16" t="s">
        <v>5480</v>
      </c>
      <c r="L5744" s="25"/>
      <c r="M5744" s="26" t="s">
        <v>7613</v>
      </c>
      <c r="N5744" s="28">
        <v>44602</v>
      </c>
      <c r="O5744" s="28" t="s">
        <v>457</v>
      </c>
      <c r="P5744" s="29">
        <v>5000</v>
      </c>
      <c r="Q5744" s="35">
        <v>2</v>
      </c>
      <c r="R5744" s="36">
        <f t="shared" si="129"/>
        <v>10000</v>
      </c>
      <c r="S5744" s="37">
        <v>202303</v>
      </c>
      <c r="T5744" s="38" t="s">
        <v>7693</v>
      </c>
      <c r="U5744" s="39"/>
      <c r="V5744" s="40"/>
      <c r="W5744" s="41"/>
      <c r="X5744" s="28">
        <v>43922</v>
      </c>
      <c r="Y5744" s="28">
        <v>46234</v>
      </c>
    </row>
    <row r="5745" s="9" customFormat="1" customHeight="1" spans="1:25">
      <c r="A5745" s="16" t="s">
        <v>401</v>
      </c>
      <c r="B5745" s="17" t="s">
        <v>7432</v>
      </c>
      <c r="C5745" s="17" t="s">
        <v>2833</v>
      </c>
      <c r="D5745" s="17" t="s">
        <v>6905</v>
      </c>
      <c r="E5745" s="18" t="s">
        <v>7584</v>
      </c>
      <c r="F5745" s="16" t="s">
        <v>7585</v>
      </c>
      <c r="G5745" s="16" t="s">
        <v>88</v>
      </c>
      <c r="H5745" s="19" t="s">
        <v>7612</v>
      </c>
      <c r="I5745" s="23" t="e">
        <f>VLOOKUP(H5745,'合同综合查询数据（3月返）'!$A:$A,1,FALSE)</f>
        <v>#N/A</v>
      </c>
      <c r="J5745" s="24" t="s">
        <v>90</v>
      </c>
      <c r="K5745" s="16" t="s">
        <v>5480</v>
      </c>
      <c r="L5745" s="25"/>
      <c r="M5745" s="26" t="s">
        <v>7613</v>
      </c>
      <c r="N5745" s="28">
        <v>44606</v>
      </c>
      <c r="O5745" s="28" t="s">
        <v>457</v>
      </c>
      <c r="P5745" s="29">
        <v>5000</v>
      </c>
      <c r="Q5745" s="35">
        <v>-1</v>
      </c>
      <c r="R5745" s="36">
        <f t="shared" si="129"/>
        <v>-5000</v>
      </c>
      <c r="S5745" s="37">
        <v>202303</v>
      </c>
      <c r="T5745" s="38" t="s">
        <v>7694</v>
      </c>
      <c r="U5745" s="39"/>
      <c r="V5745" s="40"/>
      <c r="W5745" s="41"/>
      <c r="X5745" s="28">
        <v>43922</v>
      </c>
      <c r="Y5745" s="28">
        <v>46234</v>
      </c>
    </row>
    <row r="5746" s="9" customFormat="1" customHeight="1" spans="1:25">
      <c r="A5746" s="16" t="s">
        <v>401</v>
      </c>
      <c r="B5746" s="17" t="s">
        <v>7432</v>
      </c>
      <c r="C5746" s="17" t="s">
        <v>2833</v>
      </c>
      <c r="D5746" s="17" t="s">
        <v>6905</v>
      </c>
      <c r="E5746" s="18" t="s">
        <v>7584</v>
      </c>
      <c r="F5746" s="16" t="s">
        <v>7585</v>
      </c>
      <c r="G5746" s="16" t="s">
        <v>88</v>
      </c>
      <c r="H5746" s="19" t="s">
        <v>7612</v>
      </c>
      <c r="I5746" s="23" t="e">
        <f>VLOOKUP(H5746,'合同综合查询数据（3月返）'!$A:$A,1,FALSE)</f>
        <v>#N/A</v>
      </c>
      <c r="J5746" s="24" t="s">
        <v>90</v>
      </c>
      <c r="K5746" s="16" t="s">
        <v>5480</v>
      </c>
      <c r="L5746" s="25"/>
      <c r="M5746" s="26" t="s">
        <v>7613</v>
      </c>
      <c r="N5746" s="28">
        <v>44671</v>
      </c>
      <c r="O5746" s="28" t="s">
        <v>457</v>
      </c>
      <c r="P5746" s="29">
        <v>5000</v>
      </c>
      <c r="Q5746" s="35">
        <v>-8</v>
      </c>
      <c r="R5746" s="36">
        <f t="shared" si="129"/>
        <v>-40000</v>
      </c>
      <c r="S5746" s="37">
        <v>202303</v>
      </c>
      <c r="T5746" s="38" t="s">
        <v>7695</v>
      </c>
      <c r="U5746" s="39"/>
      <c r="V5746" s="40"/>
      <c r="W5746" s="41"/>
      <c r="X5746" s="28">
        <v>43922</v>
      </c>
      <c r="Y5746" s="28">
        <v>46234</v>
      </c>
    </row>
    <row r="5747" s="9" customFormat="1" customHeight="1" spans="1:25">
      <c r="A5747" s="16" t="s">
        <v>401</v>
      </c>
      <c r="B5747" s="17" t="s">
        <v>7432</v>
      </c>
      <c r="C5747" s="17" t="s">
        <v>2833</v>
      </c>
      <c r="D5747" s="17" t="s">
        <v>6905</v>
      </c>
      <c r="E5747" s="18" t="s">
        <v>7584</v>
      </c>
      <c r="F5747" s="16" t="s">
        <v>7585</v>
      </c>
      <c r="G5747" s="16" t="s">
        <v>88</v>
      </c>
      <c r="H5747" s="19" t="s">
        <v>7612</v>
      </c>
      <c r="I5747" s="23" t="e">
        <f>VLOOKUP(H5747,'合同综合查询数据（3月返）'!$A:$A,1,FALSE)</f>
        <v>#N/A</v>
      </c>
      <c r="J5747" s="24" t="s">
        <v>90</v>
      </c>
      <c r="K5747" s="16" t="s">
        <v>5480</v>
      </c>
      <c r="L5747" s="25"/>
      <c r="M5747" s="26" t="s">
        <v>7626</v>
      </c>
      <c r="N5747" s="28">
        <v>44676</v>
      </c>
      <c r="O5747" s="28" t="s">
        <v>457</v>
      </c>
      <c r="P5747" s="29">
        <v>5000</v>
      </c>
      <c r="Q5747" s="35">
        <v>30</v>
      </c>
      <c r="R5747" s="36">
        <f t="shared" si="129"/>
        <v>150000</v>
      </c>
      <c r="S5747" s="37">
        <v>202303</v>
      </c>
      <c r="T5747" s="38" t="s">
        <v>7696</v>
      </c>
      <c r="U5747" s="39"/>
      <c r="V5747" s="40"/>
      <c r="W5747" s="41"/>
      <c r="X5747" s="28">
        <v>43922</v>
      </c>
      <c r="Y5747" s="28">
        <v>46234</v>
      </c>
    </row>
    <row r="5748" s="9" customFormat="1" customHeight="1" spans="1:25">
      <c r="A5748" s="16" t="s">
        <v>401</v>
      </c>
      <c r="B5748" s="17" t="s">
        <v>7432</v>
      </c>
      <c r="C5748" s="17" t="s">
        <v>2833</v>
      </c>
      <c r="D5748" s="17" t="s">
        <v>6905</v>
      </c>
      <c r="E5748" s="18" t="s">
        <v>7584</v>
      </c>
      <c r="F5748" s="16" t="s">
        <v>7585</v>
      </c>
      <c r="G5748" s="16" t="s">
        <v>88</v>
      </c>
      <c r="H5748" s="19" t="s">
        <v>7612</v>
      </c>
      <c r="I5748" s="23" t="e">
        <f>VLOOKUP(H5748,'合同综合查询数据（3月返）'!$A:$A,1,FALSE)</f>
        <v>#N/A</v>
      </c>
      <c r="J5748" s="24" t="s">
        <v>90</v>
      </c>
      <c r="K5748" s="16" t="s">
        <v>5480</v>
      </c>
      <c r="L5748" s="25"/>
      <c r="M5748" s="26" t="s">
        <v>7626</v>
      </c>
      <c r="N5748" s="28">
        <v>44678</v>
      </c>
      <c r="O5748" s="28" t="s">
        <v>457</v>
      </c>
      <c r="P5748" s="29">
        <v>5000</v>
      </c>
      <c r="Q5748" s="35">
        <v>14</v>
      </c>
      <c r="R5748" s="36">
        <f t="shared" si="129"/>
        <v>70000</v>
      </c>
      <c r="S5748" s="37">
        <v>202303</v>
      </c>
      <c r="T5748" s="38" t="s">
        <v>7697</v>
      </c>
      <c r="U5748" s="39"/>
      <c r="V5748" s="40"/>
      <c r="W5748" s="41"/>
      <c r="X5748" s="28">
        <v>43922</v>
      </c>
      <c r="Y5748" s="28">
        <v>46234</v>
      </c>
    </row>
    <row r="5749" s="9" customFormat="1" customHeight="1" spans="1:25">
      <c r="A5749" s="16" t="s">
        <v>401</v>
      </c>
      <c r="B5749" s="17" t="s">
        <v>7432</v>
      </c>
      <c r="C5749" s="17" t="s">
        <v>2833</v>
      </c>
      <c r="D5749" s="17" t="s">
        <v>6905</v>
      </c>
      <c r="E5749" s="18" t="s">
        <v>7584</v>
      </c>
      <c r="F5749" s="16" t="s">
        <v>7585</v>
      </c>
      <c r="G5749" s="16" t="s">
        <v>88</v>
      </c>
      <c r="H5749" s="19" t="s">
        <v>7612</v>
      </c>
      <c r="I5749" s="23" t="e">
        <f>VLOOKUP(H5749,'合同综合查询数据（3月返）'!$A:$A,1,FALSE)</f>
        <v>#N/A</v>
      </c>
      <c r="J5749" s="24" t="s">
        <v>90</v>
      </c>
      <c r="K5749" s="16" t="s">
        <v>5480</v>
      </c>
      <c r="L5749" s="25"/>
      <c r="M5749" s="26" t="s">
        <v>7613</v>
      </c>
      <c r="N5749" s="28">
        <v>44756</v>
      </c>
      <c r="O5749" s="28" t="s">
        <v>457</v>
      </c>
      <c r="P5749" s="29">
        <v>5000</v>
      </c>
      <c r="Q5749" s="35">
        <v>11</v>
      </c>
      <c r="R5749" s="36">
        <f t="shared" si="129"/>
        <v>55000</v>
      </c>
      <c r="S5749" s="37">
        <v>202303</v>
      </c>
      <c r="T5749" s="38" t="s">
        <v>7698</v>
      </c>
      <c r="U5749" s="39"/>
      <c r="V5749" s="40"/>
      <c r="W5749" s="41"/>
      <c r="X5749" s="28">
        <v>43922</v>
      </c>
      <c r="Y5749" s="28">
        <v>46234</v>
      </c>
    </row>
    <row r="5750" s="9" customFormat="1" customHeight="1" spans="1:25">
      <c r="A5750" s="16" t="s">
        <v>401</v>
      </c>
      <c r="B5750" s="17" t="s">
        <v>7432</v>
      </c>
      <c r="C5750" s="17" t="s">
        <v>2833</v>
      </c>
      <c r="D5750" s="17" t="s">
        <v>6905</v>
      </c>
      <c r="E5750" s="18" t="s">
        <v>7584</v>
      </c>
      <c r="F5750" s="16" t="s">
        <v>7585</v>
      </c>
      <c r="G5750" s="16" t="s">
        <v>88</v>
      </c>
      <c r="H5750" s="19" t="s">
        <v>7612</v>
      </c>
      <c r="I5750" s="23" t="e">
        <f>VLOOKUP(H5750,'合同综合查询数据（3月返）'!$A:$A,1,FALSE)</f>
        <v>#N/A</v>
      </c>
      <c r="J5750" s="24" t="s">
        <v>90</v>
      </c>
      <c r="K5750" s="16" t="s">
        <v>5480</v>
      </c>
      <c r="L5750" s="25"/>
      <c r="M5750" s="26" t="s">
        <v>7613</v>
      </c>
      <c r="N5750" s="28">
        <v>44756</v>
      </c>
      <c r="O5750" s="28" t="s">
        <v>457</v>
      </c>
      <c r="P5750" s="29">
        <v>5000</v>
      </c>
      <c r="Q5750" s="35">
        <v>-2</v>
      </c>
      <c r="R5750" s="36">
        <f t="shared" si="129"/>
        <v>-10000</v>
      </c>
      <c r="S5750" s="37">
        <v>202303</v>
      </c>
      <c r="T5750" s="38" t="s">
        <v>7699</v>
      </c>
      <c r="U5750" s="39"/>
      <c r="V5750" s="40"/>
      <c r="W5750" s="41"/>
      <c r="X5750" s="28">
        <v>43922</v>
      </c>
      <c r="Y5750" s="28">
        <v>46234</v>
      </c>
    </row>
    <row r="5751" s="9" customFormat="1" customHeight="1" spans="1:25">
      <c r="A5751" s="16" t="s">
        <v>401</v>
      </c>
      <c r="B5751" s="17" t="s">
        <v>7432</v>
      </c>
      <c r="C5751" s="17" t="s">
        <v>2833</v>
      </c>
      <c r="D5751" s="17" t="s">
        <v>6905</v>
      </c>
      <c r="E5751" s="18" t="s">
        <v>7584</v>
      </c>
      <c r="F5751" s="16" t="s">
        <v>7585</v>
      </c>
      <c r="G5751" s="16" t="s">
        <v>88</v>
      </c>
      <c r="H5751" s="19" t="s">
        <v>7612</v>
      </c>
      <c r="I5751" s="23" t="e">
        <f>VLOOKUP(H5751,'合同综合查询数据（3月返）'!$A:$A,1,FALSE)</f>
        <v>#N/A</v>
      </c>
      <c r="J5751" s="24" t="s">
        <v>90</v>
      </c>
      <c r="K5751" s="16" t="s">
        <v>5480</v>
      </c>
      <c r="L5751" s="25"/>
      <c r="M5751" s="26" t="s">
        <v>7613</v>
      </c>
      <c r="N5751" s="28">
        <v>44757</v>
      </c>
      <c r="O5751" s="28" t="s">
        <v>457</v>
      </c>
      <c r="P5751" s="29">
        <v>5000</v>
      </c>
      <c r="Q5751" s="35">
        <v>2</v>
      </c>
      <c r="R5751" s="36">
        <f t="shared" si="129"/>
        <v>10000</v>
      </c>
      <c r="S5751" s="37">
        <v>202303</v>
      </c>
      <c r="T5751" s="38" t="s">
        <v>7700</v>
      </c>
      <c r="U5751" s="39"/>
      <c r="V5751" s="40"/>
      <c r="W5751" s="41"/>
      <c r="X5751" s="28">
        <v>43922</v>
      </c>
      <c r="Y5751" s="28">
        <v>46234</v>
      </c>
    </row>
    <row r="5752" s="9" customFormat="1" customHeight="1" spans="1:25">
      <c r="A5752" s="16" t="s">
        <v>401</v>
      </c>
      <c r="B5752" s="17" t="s">
        <v>7432</v>
      </c>
      <c r="C5752" s="17" t="s">
        <v>2833</v>
      </c>
      <c r="D5752" s="17" t="s">
        <v>6905</v>
      </c>
      <c r="E5752" s="18" t="s">
        <v>7584</v>
      </c>
      <c r="F5752" s="16" t="s">
        <v>7585</v>
      </c>
      <c r="G5752" s="16" t="s">
        <v>88</v>
      </c>
      <c r="H5752" s="19" t="s">
        <v>7612</v>
      </c>
      <c r="I5752" s="23" t="e">
        <f>VLOOKUP(H5752,'合同综合查询数据（3月返）'!$A:$A,1,FALSE)</f>
        <v>#N/A</v>
      </c>
      <c r="J5752" s="24" t="s">
        <v>90</v>
      </c>
      <c r="K5752" s="16" t="s">
        <v>5480</v>
      </c>
      <c r="L5752" s="25"/>
      <c r="M5752" s="26" t="s">
        <v>7626</v>
      </c>
      <c r="N5752" s="28">
        <v>44861.40625</v>
      </c>
      <c r="O5752" s="28" t="s">
        <v>457</v>
      </c>
      <c r="P5752" s="29">
        <v>5000</v>
      </c>
      <c r="Q5752" s="35">
        <v>-6</v>
      </c>
      <c r="R5752" s="36">
        <f t="shared" si="129"/>
        <v>-30000</v>
      </c>
      <c r="S5752" s="37">
        <v>202303</v>
      </c>
      <c r="T5752" s="38" t="s">
        <v>7701</v>
      </c>
      <c r="U5752" s="39"/>
      <c r="V5752" s="40"/>
      <c r="W5752" s="41"/>
      <c r="X5752" s="28">
        <v>43922</v>
      </c>
      <c r="Y5752" s="28">
        <v>46234</v>
      </c>
    </row>
    <row r="5753" s="9" customFormat="1" customHeight="1" spans="1:25">
      <c r="A5753" s="16" t="s">
        <v>401</v>
      </c>
      <c r="B5753" s="17" t="s">
        <v>7432</v>
      </c>
      <c r="C5753" s="17" t="s">
        <v>2833</v>
      </c>
      <c r="D5753" s="17" t="s">
        <v>6905</v>
      </c>
      <c r="E5753" s="18" t="s">
        <v>7584</v>
      </c>
      <c r="F5753" s="16" t="s">
        <v>7585</v>
      </c>
      <c r="G5753" s="16" t="s">
        <v>88</v>
      </c>
      <c r="H5753" s="19" t="s">
        <v>7612</v>
      </c>
      <c r="I5753" s="23" t="e">
        <f>VLOOKUP(H5753,'合同综合查询数据（3月返）'!$A:$A,1,FALSE)</f>
        <v>#N/A</v>
      </c>
      <c r="J5753" s="24" t="s">
        <v>90</v>
      </c>
      <c r="K5753" s="16" t="s">
        <v>5480</v>
      </c>
      <c r="L5753" s="25"/>
      <c r="M5753" s="26" t="s">
        <v>7626</v>
      </c>
      <c r="N5753" s="28">
        <v>44868</v>
      </c>
      <c r="O5753" s="28" t="s">
        <v>457</v>
      </c>
      <c r="P5753" s="29">
        <v>5000</v>
      </c>
      <c r="Q5753" s="369">
        <v>1</v>
      </c>
      <c r="R5753" s="36">
        <f t="shared" si="129"/>
        <v>5000</v>
      </c>
      <c r="S5753" s="37">
        <v>202303</v>
      </c>
      <c r="T5753" s="38" t="s">
        <v>7702</v>
      </c>
      <c r="U5753" s="39"/>
      <c r="V5753" s="40"/>
      <c r="W5753" s="41"/>
      <c r="X5753" s="28">
        <v>43922</v>
      </c>
      <c r="Y5753" s="28">
        <v>46234</v>
      </c>
    </row>
    <row r="5754" s="9" customFormat="1" customHeight="1" spans="1:25">
      <c r="A5754" s="16" t="s">
        <v>401</v>
      </c>
      <c r="B5754" s="17" t="s">
        <v>7432</v>
      </c>
      <c r="C5754" s="17" t="s">
        <v>2833</v>
      </c>
      <c r="D5754" s="17" t="s">
        <v>6905</v>
      </c>
      <c r="E5754" s="18" t="s">
        <v>7584</v>
      </c>
      <c r="F5754" s="16" t="s">
        <v>7585</v>
      </c>
      <c r="G5754" s="16" t="s">
        <v>88</v>
      </c>
      <c r="H5754" s="19" t="s">
        <v>7612</v>
      </c>
      <c r="I5754" s="23" t="e">
        <f>VLOOKUP(H5754,'合同综合查询数据（3月返）'!$A:$A,1,FALSE)</f>
        <v>#N/A</v>
      </c>
      <c r="J5754" s="24" t="s">
        <v>90</v>
      </c>
      <c r="K5754" s="16" t="s">
        <v>5480</v>
      </c>
      <c r="L5754" s="25"/>
      <c r="M5754" s="26" t="s">
        <v>7626</v>
      </c>
      <c r="N5754" s="28">
        <v>44883</v>
      </c>
      <c r="O5754" s="28" t="s">
        <v>457</v>
      </c>
      <c r="P5754" s="29">
        <v>5000</v>
      </c>
      <c r="Q5754" s="35">
        <v>-7</v>
      </c>
      <c r="R5754" s="36">
        <f t="shared" si="129"/>
        <v>-35000</v>
      </c>
      <c r="S5754" s="37">
        <v>202303</v>
      </c>
      <c r="T5754" s="38" t="s">
        <v>7703</v>
      </c>
      <c r="U5754" s="39"/>
      <c r="V5754" s="40"/>
      <c r="W5754" s="41"/>
      <c r="X5754" s="28">
        <v>43922</v>
      </c>
      <c r="Y5754" s="28">
        <v>46234</v>
      </c>
    </row>
    <row r="5755" s="9" customFormat="1" customHeight="1" spans="1:25">
      <c r="A5755" s="16" t="s">
        <v>401</v>
      </c>
      <c r="B5755" s="17" t="s">
        <v>7432</v>
      </c>
      <c r="C5755" s="17" t="s">
        <v>2833</v>
      </c>
      <c r="D5755" s="17" t="s">
        <v>6905</v>
      </c>
      <c r="E5755" s="18" t="s">
        <v>7584</v>
      </c>
      <c r="F5755" s="16" t="s">
        <v>7585</v>
      </c>
      <c r="G5755" s="16" t="s">
        <v>88</v>
      </c>
      <c r="H5755" s="19" t="s">
        <v>7612</v>
      </c>
      <c r="I5755" s="23" t="e">
        <f>VLOOKUP(H5755,'合同综合查询数据（3月返）'!$A:$A,1,FALSE)</f>
        <v>#N/A</v>
      </c>
      <c r="J5755" s="24" t="s">
        <v>90</v>
      </c>
      <c r="K5755" s="16" t="s">
        <v>5480</v>
      </c>
      <c r="L5755" s="25"/>
      <c r="M5755" s="26" t="s">
        <v>7626</v>
      </c>
      <c r="N5755" s="28">
        <v>44914</v>
      </c>
      <c r="O5755" s="28" t="s">
        <v>457</v>
      </c>
      <c r="P5755" s="29">
        <v>5000</v>
      </c>
      <c r="Q5755" s="35">
        <v>-2</v>
      </c>
      <c r="R5755" s="116">
        <f t="shared" si="129"/>
        <v>-10000</v>
      </c>
      <c r="S5755" s="37">
        <v>202303</v>
      </c>
      <c r="T5755" s="38" t="s">
        <v>7704</v>
      </c>
      <c r="U5755" s="39"/>
      <c r="V5755" s="40"/>
      <c r="W5755" s="41"/>
      <c r="X5755" s="28">
        <v>43922</v>
      </c>
      <c r="Y5755" s="28">
        <v>46234</v>
      </c>
    </row>
    <row r="5756" s="9" customFormat="1" customHeight="1" spans="1:25">
      <c r="A5756" s="16" t="s">
        <v>401</v>
      </c>
      <c r="B5756" s="17" t="s">
        <v>7432</v>
      </c>
      <c r="C5756" s="17" t="s">
        <v>2833</v>
      </c>
      <c r="D5756" s="17" t="s">
        <v>6905</v>
      </c>
      <c r="E5756" s="18" t="s">
        <v>7584</v>
      </c>
      <c r="F5756" s="16" t="s">
        <v>7585</v>
      </c>
      <c r="G5756" s="16" t="s">
        <v>88</v>
      </c>
      <c r="H5756" s="19" t="s">
        <v>7612</v>
      </c>
      <c r="I5756" s="23" t="e">
        <f>VLOOKUP(H5756,'合同综合查询数据（3月返）'!$A:$A,1,FALSE)</f>
        <v>#N/A</v>
      </c>
      <c r="J5756" s="24" t="s">
        <v>90</v>
      </c>
      <c r="K5756" s="16" t="s">
        <v>5480</v>
      </c>
      <c r="L5756" s="25"/>
      <c r="M5756" s="26" t="s">
        <v>7626</v>
      </c>
      <c r="N5756" s="28">
        <v>44986.4075694444</v>
      </c>
      <c r="O5756" s="28" t="s">
        <v>457</v>
      </c>
      <c r="P5756" s="29">
        <v>5000</v>
      </c>
      <c r="Q5756" s="35">
        <v>1</v>
      </c>
      <c r="R5756" s="116">
        <f t="shared" si="129"/>
        <v>5000</v>
      </c>
      <c r="S5756" s="37">
        <v>202303</v>
      </c>
      <c r="T5756" s="380" t="s">
        <v>7705</v>
      </c>
      <c r="U5756" s="39"/>
      <c r="V5756" s="40"/>
      <c r="W5756" s="41"/>
      <c r="X5756" s="28">
        <v>43922</v>
      </c>
      <c r="Y5756" s="28">
        <v>46234</v>
      </c>
    </row>
    <row r="5757" s="9" customFormat="1" customHeight="1" spans="1:25">
      <c r="A5757" s="16" t="s">
        <v>401</v>
      </c>
      <c r="B5757" s="17" t="s">
        <v>7432</v>
      </c>
      <c r="C5757" s="17" t="s">
        <v>2833</v>
      </c>
      <c r="D5757" s="17" t="s">
        <v>6905</v>
      </c>
      <c r="E5757" s="18" t="s">
        <v>7584</v>
      </c>
      <c r="F5757" s="16" t="s">
        <v>7585</v>
      </c>
      <c r="G5757" s="16" t="s">
        <v>88</v>
      </c>
      <c r="H5757" s="19" t="s">
        <v>7612</v>
      </c>
      <c r="I5757" s="23" t="e">
        <f>VLOOKUP(H5757,'合同综合查询数据（3月返）'!$A:$A,1,FALSE)</f>
        <v>#N/A</v>
      </c>
      <c r="J5757" s="24" t="s">
        <v>90</v>
      </c>
      <c r="K5757" s="16" t="s">
        <v>5480</v>
      </c>
      <c r="L5757" s="25"/>
      <c r="M5757" s="26" t="s">
        <v>7626</v>
      </c>
      <c r="N5757" s="28">
        <v>45012.6875</v>
      </c>
      <c r="O5757" s="28" t="s">
        <v>457</v>
      </c>
      <c r="P5757" s="29">
        <v>5000</v>
      </c>
      <c r="Q5757" s="35">
        <v>-1</v>
      </c>
      <c r="R5757" s="116">
        <f>ROUND(P5757*Q5757*4/31,2)</f>
        <v>-645.16</v>
      </c>
      <c r="S5757" s="37">
        <v>202303</v>
      </c>
      <c r="T5757" s="380" t="s">
        <v>7706</v>
      </c>
      <c r="U5757" s="39"/>
      <c r="V5757" s="40"/>
      <c r="W5757" s="41"/>
      <c r="X5757" s="28">
        <v>43922</v>
      </c>
      <c r="Y5757" s="28">
        <v>46234</v>
      </c>
    </row>
    <row r="5758" s="10" customFormat="1" customHeight="1" spans="1:25">
      <c r="A5758" s="42" t="s">
        <v>401</v>
      </c>
      <c r="B5758" s="43" t="s">
        <v>7432</v>
      </c>
      <c r="C5758" s="43" t="s">
        <v>2833</v>
      </c>
      <c r="D5758" s="43" t="s">
        <v>6905</v>
      </c>
      <c r="E5758" s="44" t="s">
        <v>7584</v>
      </c>
      <c r="F5758" s="42" t="s">
        <v>7585</v>
      </c>
      <c r="G5758" s="42" t="s">
        <v>78</v>
      </c>
      <c r="H5758" s="45" t="s">
        <v>7707</v>
      </c>
      <c r="I5758" s="47" t="e">
        <f>VLOOKUP(H5758,'合同综合查询数据（3月返）'!$A:$A,1,FALSE)</f>
        <v>#N/A</v>
      </c>
      <c r="J5758" s="48" t="s">
        <v>475</v>
      </c>
      <c r="K5758" s="42" t="s">
        <v>5480</v>
      </c>
      <c r="L5758" s="49"/>
      <c r="M5758" s="50" t="s">
        <v>7613</v>
      </c>
      <c r="N5758" s="51"/>
      <c r="O5758" s="51"/>
      <c r="P5758" s="52">
        <v>2500</v>
      </c>
      <c r="Q5758" s="53">
        <v>5</v>
      </c>
      <c r="R5758" s="54">
        <f t="shared" ref="R5758:R5821" si="130">ROUND(P5758*Q5758,2)</f>
        <v>12500</v>
      </c>
      <c r="S5758" s="55">
        <v>202303</v>
      </c>
      <c r="T5758" s="56" t="s">
        <v>7708</v>
      </c>
      <c r="U5758" s="57"/>
      <c r="V5758" s="58"/>
      <c r="W5758" s="59"/>
      <c r="X5758" s="51"/>
      <c r="Y5758" s="51"/>
    </row>
    <row r="5759" s="9" customFormat="1" customHeight="1" spans="1:25">
      <c r="A5759" s="16" t="s">
        <v>401</v>
      </c>
      <c r="B5759" s="17" t="s">
        <v>7432</v>
      </c>
      <c r="C5759" s="17" t="s">
        <v>2833</v>
      </c>
      <c r="D5759" s="17" t="s">
        <v>6905</v>
      </c>
      <c r="E5759" s="18" t="s">
        <v>7584</v>
      </c>
      <c r="F5759" s="16" t="s">
        <v>7585</v>
      </c>
      <c r="G5759" s="16" t="s">
        <v>31</v>
      </c>
      <c r="H5759" s="19" t="s">
        <v>7709</v>
      </c>
      <c r="I5759" s="23" t="e">
        <f>VLOOKUP(H5759,'合同综合查询数据（3月返）'!$A:$A,1,FALSE)</f>
        <v>#N/A</v>
      </c>
      <c r="J5759" s="24" t="s">
        <v>7517</v>
      </c>
      <c r="K5759" s="16" t="s">
        <v>5480</v>
      </c>
      <c r="L5759" s="25"/>
      <c r="M5759" s="26"/>
      <c r="N5759" s="28">
        <v>43840</v>
      </c>
      <c r="O5759" s="28" t="s">
        <v>7710</v>
      </c>
      <c r="P5759" s="29">
        <v>5000</v>
      </c>
      <c r="Q5759" s="35">
        <v>1</v>
      </c>
      <c r="R5759" s="36">
        <f t="shared" si="130"/>
        <v>5000</v>
      </c>
      <c r="S5759" s="37">
        <v>202303</v>
      </c>
      <c r="T5759" s="38" t="s">
        <v>7711</v>
      </c>
      <c r="U5759" s="39"/>
      <c r="V5759" s="40"/>
      <c r="W5759" s="41"/>
      <c r="X5759" s="28">
        <v>43800</v>
      </c>
      <c r="Y5759" s="28">
        <v>45260</v>
      </c>
    </row>
    <row r="5760" s="9" customFormat="1" customHeight="1" spans="1:25">
      <c r="A5760" s="16" t="s">
        <v>401</v>
      </c>
      <c r="B5760" s="17" t="s">
        <v>7432</v>
      </c>
      <c r="C5760" s="17" t="s">
        <v>2833</v>
      </c>
      <c r="D5760" s="17" t="s">
        <v>6905</v>
      </c>
      <c r="E5760" s="18" t="s">
        <v>7584</v>
      </c>
      <c r="F5760" s="16" t="s">
        <v>7585</v>
      </c>
      <c r="G5760" s="16" t="s">
        <v>31</v>
      </c>
      <c r="H5760" s="19" t="s">
        <v>7709</v>
      </c>
      <c r="I5760" s="23" t="e">
        <f>VLOOKUP(H5760,'合同综合查询数据（3月返）'!$A:$A,1,FALSE)</f>
        <v>#N/A</v>
      </c>
      <c r="J5760" s="24" t="s">
        <v>7517</v>
      </c>
      <c r="K5760" s="16" t="s">
        <v>5480</v>
      </c>
      <c r="L5760" s="25"/>
      <c r="M5760" s="26"/>
      <c r="N5760" s="28">
        <v>44005</v>
      </c>
      <c r="O5760" s="28" t="s">
        <v>1171</v>
      </c>
      <c r="P5760" s="29">
        <v>5000</v>
      </c>
      <c r="Q5760" s="35">
        <v>2</v>
      </c>
      <c r="R5760" s="36">
        <f t="shared" si="130"/>
        <v>10000</v>
      </c>
      <c r="S5760" s="37">
        <v>202303</v>
      </c>
      <c r="T5760" s="38" t="s">
        <v>7712</v>
      </c>
      <c r="U5760" s="39"/>
      <c r="V5760" s="40"/>
      <c r="W5760" s="41"/>
      <c r="X5760" s="28">
        <v>43800</v>
      </c>
      <c r="Y5760" s="28">
        <v>45260</v>
      </c>
    </row>
    <row r="5761" s="9" customFormat="1" customHeight="1" spans="1:25">
      <c r="A5761" s="16" t="s">
        <v>401</v>
      </c>
      <c r="B5761" s="17" t="s">
        <v>7432</v>
      </c>
      <c r="C5761" s="17" t="s">
        <v>2833</v>
      </c>
      <c r="D5761" s="17" t="s">
        <v>6905</v>
      </c>
      <c r="E5761" s="18" t="s">
        <v>7584</v>
      </c>
      <c r="F5761" s="16" t="s">
        <v>7585</v>
      </c>
      <c r="G5761" s="16" t="s">
        <v>31</v>
      </c>
      <c r="H5761" s="19" t="s">
        <v>7709</v>
      </c>
      <c r="I5761" s="23" t="e">
        <f>VLOOKUP(H5761,'合同综合查询数据（3月返）'!$A:$A,1,FALSE)</f>
        <v>#N/A</v>
      </c>
      <c r="J5761" s="24" t="s">
        <v>7517</v>
      </c>
      <c r="K5761" s="16" t="s">
        <v>5480</v>
      </c>
      <c r="L5761" s="25"/>
      <c r="M5761" s="26"/>
      <c r="N5761" s="28">
        <v>44261</v>
      </c>
      <c r="O5761" s="28" t="s">
        <v>1171</v>
      </c>
      <c r="P5761" s="29">
        <v>5000</v>
      </c>
      <c r="Q5761" s="35">
        <v>2</v>
      </c>
      <c r="R5761" s="36">
        <f t="shared" si="130"/>
        <v>10000</v>
      </c>
      <c r="S5761" s="37">
        <v>202303</v>
      </c>
      <c r="T5761" s="38" t="s">
        <v>7713</v>
      </c>
      <c r="U5761" s="39"/>
      <c r="V5761" s="40"/>
      <c r="W5761" s="41"/>
      <c r="X5761" s="28">
        <v>43800</v>
      </c>
      <c r="Y5761" s="28">
        <v>45260</v>
      </c>
    </row>
    <row r="5762" s="9" customFormat="1" customHeight="1" spans="1:25">
      <c r="A5762" s="16" t="s">
        <v>401</v>
      </c>
      <c r="B5762" s="17" t="s">
        <v>7432</v>
      </c>
      <c r="C5762" s="17" t="s">
        <v>2833</v>
      </c>
      <c r="D5762" s="17" t="s">
        <v>6905</v>
      </c>
      <c r="E5762" s="18" t="s">
        <v>7584</v>
      </c>
      <c r="F5762" s="16" t="s">
        <v>7585</v>
      </c>
      <c r="G5762" s="16" t="s">
        <v>67</v>
      </c>
      <c r="H5762" s="19" t="s">
        <v>7709</v>
      </c>
      <c r="I5762" s="23" t="e">
        <f>VLOOKUP(H5762,'合同综合查询数据（3月返）'!$A:$A,1,FALSE)</f>
        <v>#N/A</v>
      </c>
      <c r="J5762" s="24" t="s">
        <v>69</v>
      </c>
      <c r="K5762" s="16" t="s">
        <v>7714</v>
      </c>
      <c r="L5762" s="25"/>
      <c r="M5762" s="26"/>
      <c r="N5762" s="28">
        <v>43800</v>
      </c>
      <c r="O5762" s="28" t="s">
        <v>71</v>
      </c>
      <c r="P5762" s="29">
        <v>500</v>
      </c>
      <c r="Q5762" s="35">
        <v>1</v>
      </c>
      <c r="R5762" s="36">
        <f t="shared" si="130"/>
        <v>500</v>
      </c>
      <c r="S5762" s="37">
        <v>202303</v>
      </c>
      <c r="T5762" s="38" t="s">
        <v>7715</v>
      </c>
      <c r="U5762" s="39"/>
      <c r="V5762" s="40"/>
      <c r="W5762" s="41"/>
      <c r="X5762" s="28">
        <v>43800</v>
      </c>
      <c r="Y5762" s="28">
        <v>45260</v>
      </c>
    </row>
    <row r="5763" s="9" customFormat="1" customHeight="1" spans="1:25">
      <c r="A5763" s="16" t="s">
        <v>401</v>
      </c>
      <c r="B5763" s="17" t="s">
        <v>7432</v>
      </c>
      <c r="C5763" s="17" t="s">
        <v>2833</v>
      </c>
      <c r="D5763" s="17" t="s">
        <v>6905</v>
      </c>
      <c r="E5763" s="18" t="s">
        <v>7584</v>
      </c>
      <c r="F5763" s="16" t="s">
        <v>7585</v>
      </c>
      <c r="G5763" s="16" t="s">
        <v>67</v>
      </c>
      <c r="H5763" s="19" t="s">
        <v>7709</v>
      </c>
      <c r="I5763" s="23" t="e">
        <f>VLOOKUP(H5763,'合同综合查询数据（3月返）'!$A:$A,1,FALSE)</f>
        <v>#N/A</v>
      </c>
      <c r="J5763" s="24" t="s">
        <v>69</v>
      </c>
      <c r="K5763" s="16" t="s">
        <v>7714</v>
      </c>
      <c r="L5763" s="25"/>
      <c r="M5763" s="26"/>
      <c r="N5763" s="28">
        <v>43800</v>
      </c>
      <c r="O5763" s="28" t="s">
        <v>71</v>
      </c>
      <c r="P5763" s="29">
        <v>500</v>
      </c>
      <c r="Q5763" s="35">
        <v>1</v>
      </c>
      <c r="R5763" s="36">
        <f t="shared" si="130"/>
        <v>500</v>
      </c>
      <c r="S5763" s="37">
        <v>202303</v>
      </c>
      <c r="T5763" s="38" t="s">
        <v>7715</v>
      </c>
      <c r="U5763" s="39"/>
      <c r="V5763" s="40"/>
      <c r="W5763" s="41"/>
      <c r="X5763" s="28">
        <v>43800</v>
      </c>
      <c r="Y5763" s="28">
        <v>45260</v>
      </c>
    </row>
    <row r="5764" s="9" customFormat="1" customHeight="1" spans="1:25">
      <c r="A5764" s="16" t="s">
        <v>401</v>
      </c>
      <c r="B5764" s="17" t="s">
        <v>7432</v>
      </c>
      <c r="C5764" s="17" t="s">
        <v>2833</v>
      </c>
      <c r="D5764" s="17" t="s">
        <v>6905</v>
      </c>
      <c r="E5764" s="18" t="s">
        <v>7584</v>
      </c>
      <c r="F5764" s="16" t="s">
        <v>7585</v>
      </c>
      <c r="G5764" s="16" t="s">
        <v>67</v>
      </c>
      <c r="H5764" s="19" t="s">
        <v>7709</v>
      </c>
      <c r="I5764" s="23" t="e">
        <f>VLOOKUP(H5764,'合同综合查询数据（3月返）'!$A:$A,1,FALSE)</f>
        <v>#N/A</v>
      </c>
      <c r="J5764" s="24" t="s">
        <v>69</v>
      </c>
      <c r="K5764" s="16" t="s">
        <v>7714</v>
      </c>
      <c r="L5764" s="25"/>
      <c r="M5764" s="26"/>
      <c r="N5764" s="28">
        <v>44012</v>
      </c>
      <c r="O5764" s="28" t="s">
        <v>71</v>
      </c>
      <c r="P5764" s="29">
        <v>500</v>
      </c>
      <c r="Q5764" s="35">
        <v>1</v>
      </c>
      <c r="R5764" s="36">
        <f t="shared" si="130"/>
        <v>500</v>
      </c>
      <c r="S5764" s="37">
        <v>202303</v>
      </c>
      <c r="T5764" s="38" t="s">
        <v>7716</v>
      </c>
      <c r="U5764" s="39"/>
      <c r="V5764" s="40"/>
      <c r="W5764" s="41"/>
      <c r="X5764" s="28">
        <v>43800</v>
      </c>
      <c r="Y5764" s="28">
        <v>45260</v>
      </c>
    </row>
    <row r="5765" s="9" customFormat="1" customHeight="1" spans="1:25">
      <c r="A5765" s="16" t="s">
        <v>401</v>
      </c>
      <c r="B5765" s="17" t="s">
        <v>7432</v>
      </c>
      <c r="C5765" s="17" t="s">
        <v>2833</v>
      </c>
      <c r="D5765" s="17" t="s">
        <v>6905</v>
      </c>
      <c r="E5765" s="18" t="s">
        <v>7584</v>
      </c>
      <c r="F5765" s="16" t="s">
        <v>7585</v>
      </c>
      <c r="G5765" s="16" t="s">
        <v>67</v>
      </c>
      <c r="H5765" s="19" t="s">
        <v>7709</v>
      </c>
      <c r="I5765" s="23" t="e">
        <f>VLOOKUP(H5765,'合同综合查询数据（3月返）'!$A:$A,1,FALSE)</f>
        <v>#N/A</v>
      </c>
      <c r="J5765" s="24" t="s">
        <v>69</v>
      </c>
      <c r="K5765" s="16" t="s">
        <v>7714</v>
      </c>
      <c r="L5765" s="25"/>
      <c r="M5765" s="26"/>
      <c r="N5765" s="28">
        <v>44012</v>
      </c>
      <c r="O5765" s="28" t="s">
        <v>71</v>
      </c>
      <c r="P5765" s="29">
        <v>500</v>
      </c>
      <c r="Q5765" s="35">
        <v>1</v>
      </c>
      <c r="R5765" s="36">
        <f t="shared" si="130"/>
        <v>500</v>
      </c>
      <c r="S5765" s="37">
        <v>202303</v>
      </c>
      <c r="T5765" s="38" t="s">
        <v>7717</v>
      </c>
      <c r="U5765" s="39"/>
      <c r="V5765" s="40"/>
      <c r="W5765" s="41"/>
      <c r="X5765" s="28">
        <v>43800</v>
      </c>
      <c r="Y5765" s="28">
        <v>45260</v>
      </c>
    </row>
    <row r="5766" s="9" customFormat="1" customHeight="1" spans="1:25">
      <c r="A5766" s="16" t="s">
        <v>401</v>
      </c>
      <c r="B5766" s="17" t="s">
        <v>7432</v>
      </c>
      <c r="C5766" s="17" t="s">
        <v>2833</v>
      </c>
      <c r="D5766" s="17" t="s">
        <v>6905</v>
      </c>
      <c r="E5766" s="18" t="s">
        <v>7584</v>
      </c>
      <c r="F5766" s="16" t="s">
        <v>7585</v>
      </c>
      <c r="G5766" s="16" t="s">
        <v>67</v>
      </c>
      <c r="H5766" s="19" t="s">
        <v>7709</v>
      </c>
      <c r="I5766" s="23" t="e">
        <f>VLOOKUP(H5766,'合同综合查询数据（3月返）'!$A:$A,1,FALSE)</f>
        <v>#N/A</v>
      </c>
      <c r="J5766" s="24" t="s">
        <v>69</v>
      </c>
      <c r="K5766" s="16" t="s">
        <v>7714</v>
      </c>
      <c r="L5766" s="25"/>
      <c r="M5766" s="26"/>
      <c r="N5766" s="28">
        <v>44021</v>
      </c>
      <c r="O5766" s="28" t="s">
        <v>71</v>
      </c>
      <c r="P5766" s="29">
        <v>500</v>
      </c>
      <c r="Q5766" s="35">
        <v>1</v>
      </c>
      <c r="R5766" s="36">
        <f t="shared" si="130"/>
        <v>500</v>
      </c>
      <c r="S5766" s="37">
        <v>202303</v>
      </c>
      <c r="T5766" s="38" t="s">
        <v>7716</v>
      </c>
      <c r="U5766" s="39"/>
      <c r="V5766" s="40"/>
      <c r="W5766" s="41"/>
      <c r="X5766" s="28">
        <v>43800</v>
      </c>
      <c r="Y5766" s="28">
        <v>45260</v>
      </c>
    </row>
    <row r="5767" s="9" customFormat="1" customHeight="1" spans="1:25">
      <c r="A5767" s="16" t="s">
        <v>401</v>
      </c>
      <c r="B5767" s="17" t="s">
        <v>7432</v>
      </c>
      <c r="C5767" s="17" t="s">
        <v>2833</v>
      </c>
      <c r="D5767" s="17" t="s">
        <v>6905</v>
      </c>
      <c r="E5767" s="18" t="s">
        <v>7584</v>
      </c>
      <c r="F5767" s="16" t="s">
        <v>7585</v>
      </c>
      <c r="G5767" s="16" t="s">
        <v>67</v>
      </c>
      <c r="H5767" s="19" t="s">
        <v>7709</v>
      </c>
      <c r="I5767" s="23" t="e">
        <f>VLOOKUP(H5767,'合同综合查询数据（3月返）'!$A:$A,1,FALSE)</f>
        <v>#N/A</v>
      </c>
      <c r="J5767" s="24" t="s">
        <v>69</v>
      </c>
      <c r="K5767" s="16" t="s">
        <v>7714</v>
      </c>
      <c r="L5767" s="25"/>
      <c r="M5767" s="26"/>
      <c r="N5767" s="28">
        <v>44021</v>
      </c>
      <c r="O5767" s="28" t="s">
        <v>71</v>
      </c>
      <c r="P5767" s="29">
        <v>500</v>
      </c>
      <c r="Q5767" s="35">
        <v>1</v>
      </c>
      <c r="R5767" s="36">
        <f t="shared" si="130"/>
        <v>500</v>
      </c>
      <c r="S5767" s="37">
        <v>202303</v>
      </c>
      <c r="T5767" s="38" t="s">
        <v>7716</v>
      </c>
      <c r="U5767" s="39"/>
      <c r="V5767" s="40"/>
      <c r="W5767" s="41"/>
      <c r="X5767" s="28">
        <v>43800</v>
      </c>
      <c r="Y5767" s="28">
        <v>45260</v>
      </c>
    </row>
    <row r="5768" s="9" customFormat="1" customHeight="1" spans="1:25">
      <c r="A5768" s="16" t="s">
        <v>401</v>
      </c>
      <c r="B5768" s="17" t="s">
        <v>7432</v>
      </c>
      <c r="C5768" s="17" t="s">
        <v>2833</v>
      </c>
      <c r="D5768" s="17" t="s">
        <v>6905</v>
      </c>
      <c r="E5768" s="18" t="s">
        <v>7584</v>
      </c>
      <c r="F5768" s="16" t="s">
        <v>7585</v>
      </c>
      <c r="G5768" s="16" t="s">
        <v>67</v>
      </c>
      <c r="H5768" s="19" t="s">
        <v>7709</v>
      </c>
      <c r="I5768" s="23" t="e">
        <f>VLOOKUP(H5768,'合同综合查询数据（3月返）'!$A:$A,1,FALSE)</f>
        <v>#N/A</v>
      </c>
      <c r="J5768" s="24" t="s">
        <v>69</v>
      </c>
      <c r="K5768" s="16" t="s">
        <v>7714</v>
      </c>
      <c r="L5768" s="25"/>
      <c r="M5768" s="26"/>
      <c r="N5768" s="28">
        <v>44021</v>
      </c>
      <c r="O5768" s="28" t="s">
        <v>71</v>
      </c>
      <c r="P5768" s="29">
        <v>500</v>
      </c>
      <c r="Q5768" s="35">
        <v>1</v>
      </c>
      <c r="R5768" s="36">
        <f t="shared" si="130"/>
        <v>500</v>
      </c>
      <c r="S5768" s="37">
        <v>202303</v>
      </c>
      <c r="T5768" s="38" t="s">
        <v>7717</v>
      </c>
      <c r="U5768" s="39"/>
      <c r="V5768" s="40"/>
      <c r="W5768" s="41"/>
      <c r="X5768" s="28">
        <v>43800</v>
      </c>
      <c r="Y5768" s="28">
        <v>45260</v>
      </c>
    </row>
    <row r="5769" s="9" customFormat="1" customHeight="1" spans="1:25">
      <c r="A5769" s="16" t="s">
        <v>401</v>
      </c>
      <c r="B5769" s="17" t="s">
        <v>7432</v>
      </c>
      <c r="C5769" s="17" t="s">
        <v>2833</v>
      </c>
      <c r="D5769" s="17" t="s">
        <v>6905</v>
      </c>
      <c r="E5769" s="18" t="s">
        <v>7584</v>
      </c>
      <c r="F5769" s="16" t="s">
        <v>7585</v>
      </c>
      <c r="G5769" s="16" t="s">
        <v>67</v>
      </c>
      <c r="H5769" s="19" t="s">
        <v>7709</v>
      </c>
      <c r="I5769" s="23" t="e">
        <f>VLOOKUP(H5769,'合同综合查询数据（3月返）'!$A:$A,1,FALSE)</f>
        <v>#N/A</v>
      </c>
      <c r="J5769" s="24" t="s">
        <v>69</v>
      </c>
      <c r="K5769" s="16" t="s">
        <v>7714</v>
      </c>
      <c r="L5769" s="25"/>
      <c r="M5769" s="26"/>
      <c r="N5769" s="28">
        <v>44021</v>
      </c>
      <c r="O5769" s="28" t="s">
        <v>71</v>
      </c>
      <c r="P5769" s="29">
        <v>500</v>
      </c>
      <c r="Q5769" s="35">
        <v>1</v>
      </c>
      <c r="R5769" s="36">
        <f t="shared" si="130"/>
        <v>500</v>
      </c>
      <c r="S5769" s="37">
        <v>202303</v>
      </c>
      <c r="T5769" s="38" t="s">
        <v>7717</v>
      </c>
      <c r="U5769" s="39"/>
      <c r="V5769" s="40"/>
      <c r="W5769" s="41"/>
      <c r="X5769" s="28">
        <v>43800</v>
      </c>
      <c r="Y5769" s="28">
        <v>45260</v>
      </c>
    </row>
    <row r="5770" s="9" customFormat="1" customHeight="1" spans="1:25">
      <c r="A5770" s="16" t="s">
        <v>401</v>
      </c>
      <c r="B5770" s="17" t="s">
        <v>7432</v>
      </c>
      <c r="C5770" s="17" t="s">
        <v>2833</v>
      </c>
      <c r="D5770" s="17" t="s">
        <v>6905</v>
      </c>
      <c r="E5770" s="18" t="s">
        <v>7718</v>
      </c>
      <c r="F5770" s="16" t="s">
        <v>7719</v>
      </c>
      <c r="G5770" s="16" t="s">
        <v>88</v>
      </c>
      <c r="H5770" s="19" t="s">
        <v>7720</v>
      </c>
      <c r="I5770" s="23" t="e">
        <f>VLOOKUP(H5770,'合同综合查询数据（3月返）'!$A:$A,1,FALSE)</f>
        <v>#N/A</v>
      </c>
      <c r="J5770" s="24" t="s">
        <v>126</v>
      </c>
      <c r="K5770" s="16" t="s">
        <v>5480</v>
      </c>
      <c r="L5770" s="25" t="s">
        <v>7721</v>
      </c>
      <c r="M5770" s="26" t="s">
        <v>7587</v>
      </c>
      <c r="N5770" s="28">
        <v>44409</v>
      </c>
      <c r="O5770" s="28" t="s">
        <v>3534</v>
      </c>
      <c r="P5770" s="29">
        <v>0</v>
      </c>
      <c r="Q5770" s="35">
        <v>4</v>
      </c>
      <c r="R5770" s="36">
        <f t="shared" si="130"/>
        <v>0</v>
      </c>
      <c r="S5770" s="37">
        <v>202303</v>
      </c>
      <c r="T5770" s="38" t="s">
        <v>7722</v>
      </c>
      <c r="U5770" s="39"/>
      <c r="V5770" s="40"/>
      <c r="W5770" s="41"/>
      <c r="X5770" s="28">
        <v>44409</v>
      </c>
      <c r="Y5770" s="28">
        <v>45138</v>
      </c>
    </row>
    <row r="5771" s="9" customFormat="1" customHeight="1" spans="1:25">
      <c r="A5771" s="16" t="s">
        <v>401</v>
      </c>
      <c r="B5771" s="17" t="s">
        <v>7432</v>
      </c>
      <c r="C5771" s="17" t="s">
        <v>2833</v>
      </c>
      <c r="D5771" s="17" t="s">
        <v>6905</v>
      </c>
      <c r="E5771" s="18" t="s">
        <v>7718</v>
      </c>
      <c r="F5771" s="16" t="s">
        <v>7719</v>
      </c>
      <c r="G5771" s="16" t="s">
        <v>88</v>
      </c>
      <c r="H5771" s="19" t="s">
        <v>7720</v>
      </c>
      <c r="I5771" s="23" t="e">
        <f>VLOOKUP(H5771,'合同综合查询数据（3月返）'!$A:$A,1,FALSE)</f>
        <v>#N/A</v>
      </c>
      <c r="J5771" s="24" t="s">
        <v>126</v>
      </c>
      <c r="K5771" s="16" t="s">
        <v>5480</v>
      </c>
      <c r="L5771" s="25" t="s">
        <v>7721</v>
      </c>
      <c r="M5771" s="26" t="s">
        <v>7587</v>
      </c>
      <c r="N5771" s="28">
        <v>44478</v>
      </c>
      <c r="O5771" s="28" t="s">
        <v>3534</v>
      </c>
      <c r="P5771" s="29">
        <v>0</v>
      </c>
      <c r="Q5771" s="35">
        <v>2</v>
      </c>
      <c r="R5771" s="36">
        <f t="shared" si="130"/>
        <v>0</v>
      </c>
      <c r="S5771" s="37">
        <v>202303</v>
      </c>
      <c r="T5771" s="38" t="s">
        <v>7723</v>
      </c>
      <c r="U5771" s="39"/>
      <c r="V5771" s="40"/>
      <c r="W5771" s="41"/>
      <c r="X5771" s="28">
        <v>44409</v>
      </c>
      <c r="Y5771" s="28">
        <v>45138</v>
      </c>
    </row>
    <row r="5772" s="10" customFormat="1" customHeight="1" spans="1:25">
      <c r="A5772" s="42" t="s">
        <v>401</v>
      </c>
      <c r="B5772" s="43" t="s">
        <v>7432</v>
      </c>
      <c r="C5772" s="43" t="s">
        <v>2833</v>
      </c>
      <c r="D5772" s="43" t="s">
        <v>6905</v>
      </c>
      <c r="E5772" s="44" t="s">
        <v>7718</v>
      </c>
      <c r="F5772" s="42" t="s">
        <v>7719</v>
      </c>
      <c r="G5772" s="42" t="s">
        <v>88</v>
      </c>
      <c r="H5772" s="45" t="s">
        <v>7724</v>
      </c>
      <c r="I5772" s="47" t="e">
        <f>VLOOKUP(H5772,'合同综合查询数据（3月返）'!$A:$A,1,FALSE)</f>
        <v>#N/A</v>
      </c>
      <c r="J5772" s="48" t="s">
        <v>126</v>
      </c>
      <c r="K5772" s="42" t="s">
        <v>5480</v>
      </c>
      <c r="L5772" s="49" t="s">
        <v>7721</v>
      </c>
      <c r="M5772" s="50" t="s">
        <v>7587</v>
      </c>
      <c r="N5772" s="51">
        <v>44688</v>
      </c>
      <c r="O5772" s="51" t="s">
        <v>506</v>
      </c>
      <c r="P5772" s="52">
        <v>0</v>
      </c>
      <c r="Q5772" s="53">
        <v>2</v>
      </c>
      <c r="R5772" s="54">
        <f t="shared" si="130"/>
        <v>0</v>
      </c>
      <c r="S5772" s="55">
        <v>202303</v>
      </c>
      <c r="T5772" s="56" t="s">
        <v>7725</v>
      </c>
      <c r="U5772" s="57"/>
      <c r="V5772" s="58"/>
      <c r="W5772" s="59"/>
      <c r="X5772" s="51">
        <v>44688</v>
      </c>
      <c r="Y5772" s="51"/>
    </row>
    <row r="5773" s="10" customFormat="1" customHeight="1" spans="1:25">
      <c r="A5773" s="42" t="s">
        <v>401</v>
      </c>
      <c r="B5773" s="43" t="s">
        <v>7432</v>
      </c>
      <c r="C5773" s="43" t="s">
        <v>2833</v>
      </c>
      <c r="D5773" s="43" t="s">
        <v>6905</v>
      </c>
      <c r="E5773" s="44" t="s">
        <v>7718</v>
      </c>
      <c r="F5773" s="42" t="s">
        <v>7719</v>
      </c>
      <c r="G5773" s="42" t="s">
        <v>31</v>
      </c>
      <c r="H5773" s="45" t="s">
        <v>7724</v>
      </c>
      <c r="I5773" s="47" t="e">
        <f>VLOOKUP(H5773,'合同综合查询数据（3月返）'!$A:$A,1,FALSE)</f>
        <v>#N/A</v>
      </c>
      <c r="J5773" s="48" t="s">
        <v>7564</v>
      </c>
      <c r="K5773" s="42" t="s">
        <v>5480</v>
      </c>
      <c r="L5773" s="49" t="s">
        <v>7721</v>
      </c>
      <c r="M5773" s="50"/>
      <c r="N5773" s="51">
        <v>44696</v>
      </c>
      <c r="O5773" s="51" t="s">
        <v>37</v>
      </c>
      <c r="P5773" s="52">
        <v>0</v>
      </c>
      <c r="Q5773" s="53">
        <v>128</v>
      </c>
      <c r="R5773" s="54">
        <f t="shared" si="130"/>
        <v>0</v>
      </c>
      <c r="S5773" s="55">
        <v>202303</v>
      </c>
      <c r="T5773" s="56" t="s">
        <v>7726</v>
      </c>
      <c r="U5773" s="57"/>
      <c r="V5773" s="58"/>
      <c r="W5773" s="59"/>
      <c r="X5773" s="51">
        <v>44688</v>
      </c>
      <c r="Y5773" s="51"/>
    </row>
    <row r="5774" s="9" customFormat="1" customHeight="1" spans="1:25">
      <c r="A5774" s="16" t="s">
        <v>401</v>
      </c>
      <c r="B5774" s="17" t="s">
        <v>7432</v>
      </c>
      <c r="C5774" s="17" t="s">
        <v>2833</v>
      </c>
      <c r="D5774" s="17" t="s">
        <v>6905</v>
      </c>
      <c r="E5774" s="18" t="s">
        <v>7718</v>
      </c>
      <c r="F5774" s="16" t="s">
        <v>7719</v>
      </c>
      <c r="G5774" s="16" t="s">
        <v>31</v>
      </c>
      <c r="H5774" s="19" t="s">
        <v>7720</v>
      </c>
      <c r="I5774" s="23" t="e">
        <f>VLOOKUP(H5774,'合同综合查询数据（3月返）'!$A:$A,1,FALSE)</f>
        <v>#N/A</v>
      </c>
      <c r="J5774" s="24" t="s">
        <v>7564</v>
      </c>
      <c r="K5774" s="16" t="s">
        <v>5480</v>
      </c>
      <c r="L5774" s="25" t="s">
        <v>7721</v>
      </c>
      <c r="M5774" s="26"/>
      <c r="N5774" s="28">
        <v>44410</v>
      </c>
      <c r="O5774" s="28" t="s">
        <v>37</v>
      </c>
      <c r="P5774" s="29">
        <v>0</v>
      </c>
      <c r="Q5774" s="35">
        <v>288</v>
      </c>
      <c r="R5774" s="36">
        <f t="shared" si="130"/>
        <v>0</v>
      </c>
      <c r="S5774" s="37">
        <v>202303</v>
      </c>
      <c r="T5774" s="38" t="s">
        <v>7727</v>
      </c>
      <c r="U5774" s="39"/>
      <c r="V5774" s="40"/>
      <c r="W5774" s="41"/>
      <c r="X5774" s="28">
        <v>44409</v>
      </c>
      <c r="Y5774" s="28">
        <v>45138</v>
      </c>
    </row>
    <row r="5775" s="10" customFormat="1" customHeight="1" spans="1:25">
      <c r="A5775" s="42" t="s">
        <v>399</v>
      </c>
      <c r="B5775" s="43" t="s">
        <v>7432</v>
      </c>
      <c r="C5775" s="43" t="s">
        <v>2833</v>
      </c>
      <c r="D5775" s="43" t="s">
        <v>6905</v>
      </c>
      <c r="E5775" s="44" t="s">
        <v>7728</v>
      </c>
      <c r="F5775" s="42" t="s">
        <v>7729</v>
      </c>
      <c r="G5775" s="42" t="s">
        <v>31</v>
      </c>
      <c r="H5775" s="45" t="s">
        <v>7730</v>
      </c>
      <c r="I5775" s="47" t="e">
        <f>VLOOKUP(H5775,'合同综合查询数据（3月返）'!$A:$A,1,FALSE)</f>
        <v>#N/A</v>
      </c>
      <c r="J5775" s="48" t="s">
        <v>7564</v>
      </c>
      <c r="K5775" s="42" t="s">
        <v>7731</v>
      </c>
      <c r="L5775" s="49"/>
      <c r="M5775" s="50"/>
      <c r="N5775" s="51">
        <v>44084</v>
      </c>
      <c r="O5775" s="51" t="s">
        <v>37</v>
      </c>
      <c r="P5775" s="52">
        <v>0</v>
      </c>
      <c r="Q5775" s="53">
        <v>288</v>
      </c>
      <c r="R5775" s="54">
        <f t="shared" si="130"/>
        <v>0</v>
      </c>
      <c r="S5775" s="55">
        <v>202303</v>
      </c>
      <c r="T5775" s="56" t="s">
        <v>7732</v>
      </c>
      <c r="U5775" s="57"/>
      <c r="V5775" s="58"/>
      <c r="W5775" s="59"/>
      <c r="X5775" s="51"/>
      <c r="Y5775" s="51"/>
    </row>
    <row r="5776" s="10" customFormat="1" customHeight="1" spans="1:25">
      <c r="A5776" s="42" t="s">
        <v>399</v>
      </c>
      <c r="B5776" s="43" t="s">
        <v>7432</v>
      </c>
      <c r="C5776" s="43" t="s">
        <v>2833</v>
      </c>
      <c r="D5776" s="43" t="s">
        <v>6905</v>
      </c>
      <c r="E5776" s="44" t="s">
        <v>7728</v>
      </c>
      <c r="F5776" s="42" t="s">
        <v>7729</v>
      </c>
      <c r="G5776" s="42" t="s">
        <v>31</v>
      </c>
      <c r="H5776" s="45" t="s">
        <v>7730</v>
      </c>
      <c r="I5776" s="47" t="e">
        <f>VLOOKUP(H5776,'合同综合查询数据（3月返）'!$A:$A,1,FALSE)</f>
        <v>#N/A</v>
      </c>
      <c r="J5776" s="48" t="s">
        <v>7564</v>
      </c>
      <c r="K5776" s="42" t="s">
        <v>7731</v>
      </c>
      <c r="L5776" s="49"/>
      <c r="M5776" s="50"/>
      <c r="N5776" s="51" t="s">
        <v>7733</v>
      </c>
      <c r="O5776" s="51" t="s">
        <v>37</v>
      </c>
      <c r="P5776" s="52">
        <v>0</v>
      </c>
      <c r="Q5776" s="53">
        <v>256</v>
      </c>
      <c r="R5776" s="54">
        <f t="shared" si="130"/>
        <v>0</v>
      </c>
      <c r="S5776" s="55">
        <v>202303</v>
      </c>
      <c r="T5776" s="56" t="s">
        <v>7734</v>
      </c>
      <c r="U5776" s="57"/>
      <c r="V5776" s="58"/>
      <c r="W5776" s="59"/>
      <c r="X5776" s="51"/>
      <c r="Y5776" s="51"/>
    </row>
    <row r="5777" s="10" customFormat="1" customHeight="1" spans="1:25">
      <c r="A5777" s="42" t="s">
        <v>399</v>
      </c>
      <c r="B5777" s="43" t="s">
        <v>7432</v>
      </c>
      <c r="C5777" s="43" t="s">
        <v>2833</v>
      </c>
      <c r="D5777" s="43" t="s">
        <v>6905</v>
      </c>
      <c r="E5777" s="44" t="s">
        <v>7735</v>
      </c>
      <c r="F5777" s="42" t="s">
        <v>7736</v>
      </c>
      <c r="G5777" s="42" t="s">
        <v>88</v>
      </c>
      <c r="H5777" s="45" t="s">
        <v>7737</v>
      </c>
      <c r="I5777" s="47" t="e">
        <f>VLOOKUP(H5777,'合同综合查询数据（3月返）'!$A:$A,1,FALSE)</f>
        <v>#N/A</v>
      </c>
      <c r="J5777" s="48" t="s">
        <v>2256</v>
      </c>
      <c r="K5777" s="42" t="s">
        <v>5480</v>
      </c>
      <c r="L5777" s="49"/>
      <c r="M5777" s="50" t="s">
        <v>7738</v>
      </c>
      <c r="N5777" s="51">
        <v>42320</v>
      </c>
      <c r="O5777" s="51" t="s">
        <v>127</v>
      </c>
      <c r="P5777" s="52">
        <v>5000</v>
      </c>
      <c r="Q5777" s="53">
        <v>5</v>
      </c>
      <c r="R5777" s="54">
        <f t="shared" si="130"/>
        <v>25000</v>
      </c>
      <c r="S5777" s="55">
        <v>202303</v>
      </c>
      <c r="T5777" s="56"/>
      <c r="U5777" s="57"/>
      <c r="V5777" s="58"/>
      <c r="W5777" s="59"/>
      <c r="X5777" s="51"/>
      <c r="Y5777" s="51"/>
    </row>
    <row r="5778" s="10" customFormat="1" customHeight="1" spans="1:25">
      <c r="A5778" s="42" t="s">
        <v>399</v>
      </c>
      <c r="B5778" s="43" t="s">
        <v>7432</v>
      </c>
      <c r="C5778" s="43" t="s">
        <v>2833</v>
      </c>
      <c r="D5778" s="43" t="s">
        <v>6905</v>
      </c>
      <c r="E5778" s="44" t="s">
        <v>7735</v>
      </c>
      <c r="F5778" s="42" t="s">
        <v>7736</v>
      </c>
      <c r="G5778" s="42" t="s">
        <v>88</v>
      </c>
      <c r="H5778" s="45" t="s">
        <v>7737</v>
      </c>
      <c r="I5778" s="47" t="e">
        <f>VLOOKUP(H5778,'合同综合查询数据（3月返）'!$A:$A,1,FALSE)</f>
        <v>#N/A</v>
      </c>
      <c r="J5778" s="48" t="s">
        <v>2256</v>
      </c>
      <c r="K5778" s="42" t="s">
        <v>5480</v>
      </c>
      <c r="L5778" s="49"/>
      <c r="M5778" s="50" t="s">
        <v>7738</v>
      </c>
      <c r="N5778" s="51">
        <v>44773</v>
      </c>
      <c r="O5778" s="51" t="s">
        <v>127</v>
      </c>
      <c r="P5778" s="52">
        <v>5000</v>
      </c>
      <c r="Q5778" s="53">
        <v>-5</v>
      </c>
      <c r="R5778" s="54">
        <f t="shared" si="130"/>
        <v>-25000</v>
      </c>
      <c r="S5778" s="55">
        <v>202303</v>
      </c>
      <c r="T5778" s="56" t="s">
        <v>7739</v>
      </c>
      <c r="U5778" s="57"/>
      <c r="V5778" s="58"/>
      <c r="W5778" s="59"/>
      <c r="X5778" s="51"/>
      <c r="Y5778" s="51"/>
    </row>
    <row r="5779" s="10" customFormat="1" customHeight="1" spans="1:25">
      <c r="A5779" s="42" t="s">
        <v>399</v>
      </c>
      <c r="B5779" s="43" t="s">
        <v>7432</v>
      </c>
      <c r="C5779" s="43" t="s">
        <v>2833</v>
      </c>
      <c r="D5779" s="43" t="s">
        <v>6905</v>
      </c>
      <c r="E5779" s="44" t="s">
        <v>7735</v>
      </c>
      <c r="F5779" s="42" t="s">
        <v>7736</v>
      </c>
      <c r="G5779" s="42" t="s">
        <v>88</v>
      </c>
      <c r="H5779" s="45" t="s">
        <v>7737</v>
      </c>
      <c r="I5779" s="47" t="e">
        <f>VLOOKUP(H5779,'合同综合查询数据（3月返）'!$A:$A,1,FALSE)</f>
        <v>#N/A</v>
      </c>
      <c r="J5779" s="48" t="s">
        <v>2256</v>
      </c>
      <c r="K5779" s="42" t="s">
        <v>2834</v>
      </c>
      <c r="L5779" s="49" t="s">
        <v>7740</v>
      </c>
      <c r="M5779" s="50" t="s">
        <v>7741</v>
      </c>
      <c r="N5779" s="51">
        <v>43459</v>
      </c>
      <c r="O5779" s="51" t="s">
        <v>127</v>
      </c>
      <c r="P5779" s="52">
        <v>5000</v>
      </c>
      <c r="Q5779" s="53">
        <v>6</v>
      </c>
      <c r="R5779" s="54">
        <f t="shared" si="130"/>
        <v>30000</v>
      </c>
      <c r="S5779" s="55">
        <v>202303</v>
      </c>
      <c r="T5779" s="56"/>
      <c r="U5779" s="57"/>
      <c r="V5779" s="58"/>
      <c r="W5779" s="59"/>
      <c r="X5779" s="51"/>
      <c r="Y5779" s="51"/>
    </row>
    <row r="5780" s="10" customFormat="1" customHeight="1" spans="1:25">
      <c r="A5780" s="42" t="s">
        <v>399</v>
      </c>
      <c r="B5780" s="43" t="s">
        <v>7432</v>
      </c>
      <c r="C5780" s="43" t="s">
        <v>2833</v>
      </c>
      <c r="D5780" s="43" t="s">
        <v>6905</v>
      </c>
      <c r="E5780" s="44" t="s">
        <v>7735</v>
      </c>
      <c r="F5780" s="42" t="s">
        <v>7736</v>
      </c>
      <c r="G5780" s="42" t="s">
        <v>88</v>
      </c>
      <c r="H5780" s="45" t="s">
        <v>7737</v>
      </c>
      <c r="I5780" s="47" t="e">
        <f>VLOOKUP(H5780,'合同综合查询数据（3月返）'!$A:$A,1,FALSE)</f>
        <v>#N/A</v>
      </c>
      <c r="J5780" s="48" t="s">
        <v>2256</v>
      </c>
      <c r="K5780" s="42" t="s">
        <v>2834</v>
      </c>
      <c r="L5780" s="49" t="s">
        <v>7742</v>
      </c>
      <c r="M5780" s="50" t="s">
        <v>7741</v>
      </c>
      <c r="N5780" s="51">
        <v>43499</v>
      </c>
      <c r="O5780" s="51" t="s">
        <v>127</v>
      </c>
      <c r="P5780" s="52">
        <v>5000</v>
      </c>
      <c r="Q5780" s="53">
        <v>6</v>
      </c>
      <c r="R5780" s="54">
        <f t="shared" si="130"/>
        <v>30000</v>
      </c>
      <c r="S5780" s="55">
        <v>202303</v>
      </c>
      <c r="T5780" s="56"/>
      <c r="U5780" s="57"/>
      <c r="V5780" s="58"/>
      <c r="W5780" s="59"/>
      <c r="X5780" s="51"/>
      <c r="Y5780" s="51"/>
    </row>
    <row r="5781" s="10" customFormat="1" customHeight="1" spans="1:25">
      <c r="A5781" s="42" t="s">
        <v>399</v>
      </c>
      <c r="B5781" s="43" t="s">
        <v>7432</v>
      </c>
      <c r="C5781" s="43" t="s">
        <v>2833</v>
      </c>
      <c r="D5781" s="43" t="s">
        <v>6905</v>
      </c>
      <c r="E5781" s="44" t="s">
        <v>7735</v>
      </c>
      <c r="F5781" s="42" t="s">
        <v>7736</v>
      </c>
      <c r="G5781" s="42" t="s">
        <v>88</v>
      </c>
      <c r="H5781" s="45" t="s">
        <v>7737</v>
      </c>
      <c r="I5781" s="47" t="e">
        <f>VLOOKUP(H5781,'合同综合查询数据（3月返）'!$A:$A,1,FALSE)</f>
        <v>#N/A</v>
      </c>
      <c r="J5781" s="48" t="s">
        <v>2256</v>
      </c>
      <c r="K5781" s="42" t="s">
        <v>2834</v>
      </c>
      <c r="L5781" s="49" t="s">
        <v>7742</v>
      </c>
      <c r="M5781" s="50" t="s">
        <v>7741</v>
      </c>
      <c r="N5781" s="51">
        <v>43767</v>
      </c>
      <c r="O5781" s="51" t="s">
        <v>127</v>
      </c>
      <c r="P5781" s="52">
        <v>5000</v>
      </c>
      <c r="Q5781" s="53">
        <v>2</v>
      </c>
      <c r="R5781" s="54">
        <f t="shared" si="130"/>
        <v>10000</v>
      </c>
      <c r="S5781" s="55">
        <v>202303</v>
      </c>
      <c r="T5781" s="56" t="s">
        <v>7743</v>
      </c>
      <c r="U5781" s="57"/>
      <c r="V5781" s="58"/>
      <c r="W5781" s="59"/>
      <c r="X5781" s="51"/>
      <c r="Y5781" s="51"/>
    </row>
    <row r="5782" s="10" customFormat="1" customHeight="1" spans="1:25">
      <c r="A5782" s="42" t="s">
        <v>399</v>
      </c>
      <c r="B5782" s="43" t="s">
        <v>7432</v>
      </c>
      <c r="C5782" s="43" t="s">
        <v>2833</v>
      </c>
      <c r="D5782" s="43" t="s">
        <v>6905</v>
      </c>
      <c r="E5782" s="44" t="s">
        <v>7735</v>
      </c>
      <c r="F5782" s="42" t="s">
        <v>7736</v>
      </c>
      <c r="G5782" s="42" t="s">
        <v>88</v>
      </c>
      <c r="H5782" s="45" t="s">
        <v>7737</v>
      </c>
      <c r="I5782" s="47" t="e">
        <f>VLOOKUP(H5782,'合同综合查询数据（3月返）'!$A:$A,1,FALSE)</f>
        <v>#N/A</v>
      </c>
      <c r="J5782" s="48" t="s">
        <v>2256</v>
      </c>
      <c r="K5782" s="42" t="s">
        <v>2834</v>
      </c>
      <c r="L5782" s="49" t="s">
        <v>7742</v>
      </c>
      <c r="M5782" s="50" t="s">
        <v>7741</v>
      </c>
      <c r="N5782" s="51">
        <v>44698</v>
      </c>
      <c r="O5782" s="51" t="s">
        <v>127</v>
      </c>
      <c r="P5782" s="52">
        <v>5000</v>
      </c>
      <c r="Q5782" s="53">
        <v>-2</v>
      </c>
      <c r="R5782" s="54">
        <f t="shared" si="130"/>
        <v>-10000</v>
      </c>
      <c r="S5782" s="55">
        <v>202303</v>
      </c>
      <c r="T5782" s="56" t="s">
        <v>7744</v>
      </c>
      <c r="U5782" s="57"/>
      <c r="V5782" s="58"/>
      <c r="W5782" s="59"/>
      <c r="X5782" s="51"/>
      <c r="Y5782" s="51"/>
    </row>
    <row r="5783" s="10" customFormat="1" customHeight="1" spans="1:25">
      <c r="A5783" s="42" t="s">
        <v>399</v>
      </c>
      <c r="B5783" s="43" t="s">
        <v>7432</v>
      </c>
      <c r="C5783" s="43" t="s">
        <v>2833</v>
      </c>
      <c r="D5783" s="43" t="s">
        <v>6905</v>
      </c>
      <c r="E5783" s="44" t="s">
        <v>7735</v>
      </c>
      <c r="F5783" s="42" t="s">
        <v>7736</v>
      </c>
      <c r="G5783" s="42" t="s">
        <v>88</v>
      </c>
      <c r="H5783" s="45" t="s">
        <v>7737</v>
      </c>
      <c r="I5783" s="47" t="e">
        <f>VLOOKUP(H5783,'合同综合查询数据（3月返）'!$A:$A,1,FALSE)</f>
        <v>#N/A</v>
      </c>
      <c r="J5783" s="48" t="s">
        <v>2256</v>
      </c>
      <c r="K5783" s="42" t="s">
        <v>2834</v>
      </c>
      <c r="L5783" s="49" t="s">
        <v>7740</v>
      </c>
      <c r="M5783" s="50" t="s">
        <v>7741</v>
      </c>
      <c r="N5783" s="51">
        <v>44700</v>
      </c>
      <c r="O5783" s="51" t="s">
        <v>127</v>
      </c>
      <c r="P5783" s="52">
        <v>5000</v>
      </c>
      <c r="Q5783" s="53">
        <v>2</v>
      </c>
      <c r="R5783" s="54">
        <f t="shared" si="130"/>
        <v>10000</v>
      </c>
      <c r="S5783" s="55">
        <v>202303</v>
      </c>
      <c r="T5783" s="56" t="s">
        <v>7745</v>
      </c>
      <c r="U5783" s="57"/>
      <c r="V5783" s="58"/>
      <c r="W5783" s="59"/>
      <c r="X5783" s="51"/>
      <c r="Y5783" s="51"/>
    </row>
    <row r="5784" s="10" customFormat="1" customHeight="1" spans="1:25">
      <c r="A5784" s="42" t="s">
        <v>399</v>
      </c>
      <c r="B5784" s="43" t="s">
        <v>7432</v>
      </c>
      <c r="C5784" s="43" t="s">
        <v>2833</v>
      </c>
      <c r="D5784" s="43" t="s">
        <v>6905</v>
      </c>
      <c r="E5784" s="44" t="s">
        <v>7735</v>
      </c>
      <c r="F5784" s="42" t="s">
        <v>7736</v>
      </c>
      <c r="G5784" s="42" t="s">
        <v>31</v>
      </c>
      <c r="H5784" s="45" t="s">
        <v>7737</v>
      </c>
      <c r="I5784" s="47" t="e">
        <f>VLOOKUP(H5784,'合同综合查询数据（3月返）'!$A:$A,1,FALSE)</f>
        <v>#N/A</v>
      </c>
      <c r="J5784" s="48" t="s">
        <v>7564</v>
      </c>
      <c r="K5784" s="42" t="s">
        <v>5480</v>
      </c>
      <c r="L5784" s="49"/>
      <c r="M5784" s="50" t="s">
        <v>7738</v>
      </c>
      <c r="N5784" s="51">
        <v>43767</v>
      </c>
      <c r="O5784" s="51"/>
      <c r="P5784" s="52">
        <v>0</v>
      </c>
      <c r="Q5784" s="53">
        <v>544</v>
      </c>
      <c r="R5784" s="54">
        <f t="shared" si="130"/>
        <v>0</v>
      </c>
      <c r="S5784" s="55">
        <v>202303</v>
      </c>
      <c r="T5784" s="56" t="s">
        <v>7746</v>
      </c>
      <c r="U5784" s="57"/>
      <c r="V5784" s="58"/>
      <c r="W5784" s="59"/>
      <c r="X5784" s="51"/>
      <c r="Y5784" s="51"/>
    </row>
    <row r="5785" s="10" customFormat="1" customHeight="1" spans="1:25">
      <c r="A5785" s="42" t="s">
        <v>399</v>
      </c>
      <c r="B5785" s="43" t="s">
        <v>7432</v>
      </c>
      <c r="C5785" s="43" t="s">
        <v>2833</v>
      </c>
      <c r="D5785" s="43" t="s">
        <v>6905</v>
      </c>
      <c r="E5785" s="44" t="s">
        <v>7735</v>
      </c>
      <c r="F5785" s="42" t="s">
        <v>7736</v>
      </c>
      <c r="G5785" s="42" t="s">
        <v>31</v>
      </c>
      <c r="H5785" s="45" t="s">
        <v>7737</v>
      </c>
      <c r="I5785" s="47" t="e">
        <f>VLOOKUP(H5785,'合同综合查询数据（3月返）'!$A:$A,1,FALSE)</f>
        <v>#N/A</v>
      </c>
      <c r="J5785" s="48" t="s">
        <v>7564</v>
      </c>
      <c r="K5785" s="42" t="s">
        <v>5480</v>
      </c>
      <c r="L5785" s="49"/>
      <c r="M5785" s="50" t="s">
        <v>7738</v>
      </c>
      <c r="N5785" s="51">
        <v>44773</v>
      </c>
      <c r="O5785" s="51"/>
      <c r="P5785" s="52">
        <v>0</v>
      </c>
      <c r="Q5785" s="53">
        <v>-544</v>
      </c>
      <c r="R5785" s="54">
        <f t="shared" si="130"/>
        <v>0</v>
      </c>
      <c r="S5785" s="55">
        <v>202303</v>
      </c>
      <c r="T5785" s="56" t="s">
        <v>7747</v>
      </c>
      <c r="U5785" s="57"/>
      <c r="V5785" s="58"/>
      <c r="W5785" s="59"/>
      <c r="X5785" s="51"/>
      <c r="Y5785" s="51"/>
    </row>
    <row r="5786" s="10" customFormat="1" customHeight="1" spans="1:25">
      <c r="A5786" s="42" t="s">
        <v>399</v>
      </c>
      <c r="B5786" s="43" t="s">
        <v>7432</v>
      </c>
      <c r="C5786" s="43" t="s">
        <v>2833</v>
      </c>
      <c r="D5786" s="43" t="s">
        <v>6905</v>
      </c>
      <c r="E5786" s="44" t="s">
        <v>7735</v>
      </c>
      <c r="F5786" s="42" t="s">
        <v>7736</v>
      </c>
      <c r="G5786" s="42" t="s">
        <v>31</v>
      </c>
      <c r="H5786" s="45" t="s">
        <v>7737</v>
      </c>
      <c r="I5786" s="47" t="e">
        <f>VLOOKUP(H5786,'合同综合查询数据（3月返）'!$A:$A,1,FALSE)</f>
        <v>#N/A</v>
      </c>
      <c r="J5786" s="48" t="s">
        <v>7564</v>
      </c>
      <c r="K5786" s="42" t="s">
        <v>2834</v>
      </c>
      <c r="L5786" s="49" t="s">
        <v>7748</v>
      </c>
      <c r="M5786" s="50" t="s">
        <v>7741</v>
      </c>
      <c r="N5786" s="51">
        <v>43767</v>
      </c>
      <c r="O5786" s="51"/>
      <c r="P5786" s="52">
        <v>0</v>
      </c>
      <c r="Q5786" s="53">
        <v>1088</v>
      </c>
      <c r="R5786" s="54">
        <f t="shared" si="130"/>
        <v>0</v>
      </c>
      <c r="S5786" s="55">
        <v>202303</v>
      </c>
      <c r="T5786" s="56" t="s">
        <v>7749</v>
      </c>
      <c r="U5786" s="57"/>
      <c r="V5786" s="58"/>
      <c r="W5786" s="59"/>
      <c r="X5786" s="51"/>
      <c r="Y5786" s="51"/>
    </row>
    <row r="5787" s="10" customFormat="1" customHeight="1" spans="1:25">
      <c r="A5787" s="42" t="s">
        <v>399</v>
      </c>
      <c r="B5787" s="43" t="s">
        <v>7432</v>
      </c>
      <c r="C5787" s="43" t="s">
        <v>2833</v>
      </c>
      <c r="D5787" s="43" t="s">
        <v>6905</v>
      </c>
      <c r="E5787" s="44" t="s">
        <v>7735</v>
      </c>
      <c r="F5787" s="42" t="s">
        <v>7736</v>
      </c>
      <c r="G5787" s="42" t="s">
        <v>31</v>
      </c>
      <c r="H5787" s="45" t="s">
        <v>7737</v>
      </c>
      <c r="I5787" s="47" t="e">
        <f>VLOOKUP(H5787,'合同综合查询数据（3月返）'!$A:$A,1,FALSE)</f>
        <v>#N/A</v>
      </c>
      <c r="J5787" s="48" t="s">
        <v>7564</v>
      </c>
      <c r="K5787" s="42" t="s">
        <v>2834</v>
      </c>
      <c r="L5787" s="49" t="s">
        <v>7750</v>
      </c>
      <c r="M5787" s="50" t="s">
        <v>7741</v>
      </c>
      <c r="N5787" s="51">
        <v>44698</v>
      </c>
      <c r="O5787" s="51"/>
      <c r="P5787" s="52">
        <v>0</v>
      </c>
      <c r="Q5787" s="53">
        <v>-128</v>
      </c>
      <c r="R5787" s="54">
        <f t="shared" si="130"/>
        <v>0</v>
      </c>
      <c r="S5787" s="55">
        <v>202303</v>
      </c>
      <c r="T5787" s="56" t="s">
        <v>7751</v>
      </c>
      <c r="U5787" s="57"/>
      <c r="V5787" s="58"/>
      <c r="W5787" s="59"/>
      <c r="X5787" s="51"/>
      <c r="Y5787" s="51"/>
    </row>
    <row r="5788" s="9" customFormat="1" customHeight="1" spans="1:25">
      <c r="A5788" s="16" t="s">
        <v>399</v>
      </c>
      <c r="B5788" s="17" t="s">
        <v>7432</v>
      </c>
      <c r="C5788" s="17" t="s">
        <v>2833</v>
      </c>
      <c r="D5788" s="17" t="s">
        <v>6905</v>
      </c>
      <c r="E5788" s="18" t="s">
        <v>7735</v>
      </c>
      <c r="F5788" s="16" t="s">
        <v>7736</v>
      </c>
      <c r="G5788" s="16" t="s">
        <v>88</v>
      </c>
      <c r="H5788" s="19" t="s">
        <v>7752</v>
      </c>
      <c r="I5788" s="23" t="e">
        <f>VLOOKUP(H5788,'合同综合查询数据（3月返）'!$A:$A,1,FALSE)</f>
        <v>#N/A</v>
      </c>
      <c r="J5788" s="24" t="s">
        <v>90</v>
      </c>
      <c r="K5788" s="16" t="s">
        <v>7753</v>
      </c>
      <c r="L5788" s="25"/>
      <c r="M5788" s="26" t="s">
        <v>7608</v>
      </c>
      <c r="N5788" s="28">
        <v>43910</v>
      </c>
      <c r="O5788" s="28" t="s">
        <v>545</v>
      </c>
      <c r="P5788" s="29">
        <v>0</v>
      </c>
      <c r="Q5788" s="35">
        <v>14</v>
      </c>
      <c r="R5788" s="36">
        <f t="shared" si="130"/>
        <v>0</v>
      </c>
      <c r="S5788" s="37">
        <v>202303</v>
      </c>
      <c r="T5788" s="38" t="s">
        <v>7754</v>
      </c>
      <c r="U5788" s="39"/>
      <c r="V5788" s="40"/>
      <c r="W5788" s="41"/>
      <c r="X5788" s="28">
        <v>43815</v>
      </c>
      <c r="Y5788" s="28">
        <v>46006</v>
      </c>
    </row>
    <row r="5789" s="9" customFormat="1" customHeight="1" spans="1:25">
      <c r="A5789" s="16" t="s">
        <v>399</v>
      </c>
      <c r="B5789" s="17" t="s">
        <v>7432</v>
      </c>
      <c r="C5789" s="17" t="s">
        <v>2833</v>
      </c>
      <c r="D5789" s="17" t="s">
        <v>6905</v>
      </c>
      <c r="E5789" s="18" t="s">
        <v>7735</v>
      </c>
      <c r="F5789" s="16" t="s">
        <v>7736</v>
      </c>
      <c r="G5789" s="16" t="s">
        <v>88</v>
      </c>
      <c r="H5789" s="19" t="s">
        <v>7752</v>
      </c>
      <c r="I5789" s="23" t="e">
        <f>VLOOKUP(H5789,'合同综合查询数据（3月返）'!$A:$A,1,FALSE)</f>
        <v>#N/A</v>
      </c>
      <c r="J5789" s="24" t="s">
        <v>90</v>
      </c>
      <c r="K5789" s="16" t="s">
        <v>7753</v>
      </c>
      <c r="L5789" s="25"/>
      <c r="M5789" s="26" t="s">
        <v>7608</v>
      </c>
      <c r="N5789" s="28">
        <v>43910</v>
      </c>
      <c r="O5789" s="28" t="s">
        <v>457</v>
      </c>
      <c r="P5789" s="29">
        <v>4790</v>
      </c>
      <c r="Q5789" s="35">
        <v>18</v>
      </c>
      <c r="R5789" s="36">
        <f t="shared" si="130"/>
        <v>86220</v>
      </c>
      <c r="S5789" s="37">
        <v>202303</v>
      </c>
      <c r="T5789" s="38" t="s">
        <v>7755</v>
      </c>
      <c r="U5789" s="39"/>
      <c r="V5789" s="40"/>
      <c r="W5789" s="41"/>
      <c r="X5789" s="28">
        <v>43815</v>
      </c>
      <c r="Y5789" s="28">
        <v>46006</v>
      </c>
    </row>
    <row r="5790" s="9" customFormat="1" customHeight="1" spans="1:25">
      <c r="A5790" s="16" t="s">
        <v>399</v>
      </c>
      <c r="B5790" s="17" t="s">
        <v>7432</v>
      </c>
      <c r="C5790" s="17" t="s">
        <v>2833</v>
      </c>
      <c r="D5790" s="17" t="s">
        <v>6905</v>
      </c>
      <c r="E5790" s="18" t="s">
        <v>7735</v>
      </c>
      <c r="F5790" s="16" t="s">
        <v>7736</v>
      </c>
      <c r="G5790" s="16" t="s">
        <v>88</v>
      </c>
      <c r="H5790" s="19" t="s">
        <v>7752</v>
      </c>
      <c r="I5790" s="23" t="e">
        <f>VLOOKUP(H5790,'合同综合查询数据（3月返）'!$A:$A,1,FALSE)</f>
        <v>#N/A</v>
      </c>
      <c r="J5790" s="24" t="s">
        <v>90</v>
      </c>
      <c r="K5790" s="16" t="s">
        <v>7753</v>
      </c>
      <c r="L5790" s="25"/>
      <c r="M5790" s="26" t="s">
        <v>7608</v>
      </c>
      <c r="N5790" s="28">
        <v>43910</v>
      </c>
      <c r="O5790" s="28" t="s">
        <v>461</v>
      </c>
      <c r="P5790" s="29">
        <v>9580</v>
      </c>
      <c r="Q5790" s="35">
        <v>17</v>
      </c>
      <c r="R5790" s="36">
        <f t="shared" si="130"/>
        <v>162860</v>
      </c>
      <c r="S5790" s="37">
        <v>202303</v>
      </c>
      <c r="T5790" s="38" t="s">
        <v>7756</v>
      </c>
      <c r="U5790" s="39"/>
      <c r="V5790" s="40"/>
      <c r="W5790" s="41"/>
      <c r="X5790" s="28">
        <v>43815</v>
      </c>
      <c r="Y5790" s="28">
        <v>46006</v>
      </c>
    </row>
    <row r="5791" s="9" customFormat="1" customHeight="1" spans="1:25">
      <c r="A5791" s="16" t="s">
        <v>399</v>
      </c>
      <c r="B5791" s="17" t="s">
        <v>7432</v>
      </c>
      <c r="C5791" s="17" t="s">
        <v>2833</v>
      </c>
      <c r="D5791" s="17" t="s">
        <v>6905</v>
      </c>
      <c r="E5791" s="18" t="s">
        <v>7735</v>
      </c>
      <c r="F5791" s="16" t="s">
        <v>7736</v>
      </c>
      <c r="G5791" s="16" t="s">
        <v>88</v>
      </c>
      <c r="H5791" s="19" t="s">
        <v>7752</v>
      </c>
      <c r="I5791" s="23" t="e">
        <f>VLOOKUP(H5791,'合同综合查询数据（3月返）'!$A:$A,1,FALSE)</f>
        <v>#N/A</v>
      </c>
      <c r="J5791" s="24" t="s">
        <v>90</v>
      </c>
      <c r="K5791" s="16" t="s">
        <v>7753</v>
      </c>
      <c r="L5791" s="25"/>
      <c r="M5791" s="26" t="s">
        <v>7608</v>
      </c>
      <c r="N5791" s="28">
        <v>43910</v>
      </c>
      <c r="O5791" s="28" t="s">
        <v>511</v>
      </c>
      <c r="P5791" s="29">
        <v>10860</v>
      </c>
      <c r="Q5791" s="35">
        <v>4</v>
      </c>
      <c r="R5791" s="36">
        <f t="shared" si="130"/>
        <v>43440</v>
      </c>
      <c r="S5791" s="37">
        <v>202303</v>
      </c>
      <c r="T5791" s="38" t="s">
        <v>7757</v>
      </c>
      <c r="U5791" s="39"/>
      <c r="V5791" s="40"/>
      <c r="W5791" s="41"/>
      <c r="X5791" s="28">
        <v>43815</v>
      </c>
      <c r="Y5791" s="28">
        <v>46006</v>
      </c>
    </row>
    <row r="5792" s="9" customFormat="1" customHeight="1" spans="1:25">
      <c r="A5792" s="16" t="s">
        <v>399</v>
      </c>
      <c r="B5792" s="17" t="s">
        <v>7432</v>
      </c>
      <c r="C5792" s="17" t="s">
        <v>2833</v>
      </c>
      <c r="D5792" s="17" t="s">
        <v>6905</v>
      </c>
      <c r="E5792" s="18" t="s">
        <v>7735</v>
      </c>
      <c r="F5792" s="16" t="s">
        <v>7736</v>
      </c>
      <c r="G5792" s="16" t="s">
        <v>88</v>
      </c>
      <c r="H5792" s="19" t="s">
        <v>7752</v>
      </c>
      <c r="I5792" s="23" t="e">
        <f>VLOOKUP(H5792,'合同综合查询数据（3月返）'!$A:$A,1,FALSE)</f>
        <v>#N/A</v>
      </c>
      <c r="J5792" s="24" t="s">
        <v>90</v>
      </c>
      <c r="K5792" s="16" t="s">
        <v>7753</v>
      </c>
      <c r="L5792" s="25"/>
      <c r="M5792" s="26" t="s">
        <v>7608</v>
      </c>
      <c r="N5792" s="28">
        <v>43910</v>
      </c>
      <c r="O5792" s="28" t="s">
        <v>574</v>
      </c>
      <c r="P5792" s="29">
        <v>30630</v>
      </c>
      <c r="Q5792" s="35">
        <v>10</v>
      </c>
      <c r="R5792" s="36">
        <f t="shared" si="130"/>
        <v>306300</v>
      </c>
      <c r="S5792" s="37">
        <v>202303</v>
      </c>
      <c r="T5792" s="38" t="s">
        <v>7758</v>
      </c>
      <c r="U5792" s="39"/>
      <c r="V5792" s="40"/>
      <c r="W5792" s="41"/>
      <c r="X5792" s="28">
        <v>43815</v>
      </c>
      <c r="Y5792" s="28">
        <v>46006</v>
      </c>
    </row>
    <row r="5793" s="9" customFormat="1" customHeight="1" spans="1:25">
      <c r="A5793" s="16" t="s">
        <v>399</v>
      </c>
      <c r="B5793" s="17" t="s">
        <v>7432</v>
      </c>
      <c r="C5793" s="17" t="s">
        <v>2833</v>
      </c>
      <c r="D5793" s="17" t="s">
        <v>6905</v>
      </c>
      <c r="E5793" s="18" t="s">
        <v>7735</v>
      </c>
      <c r="F5793" s="16" t="s">
        <v>7736</v>
      </c>
      <c r="G5793" s="16" t="s">
        <v>88</v>
      </c>
      <c r="H5793" s="19" t="s">
        <v>7752</v>
      </c>
      <c r="I5793" s="23" t="e">
        <f>VLOOKUP(H5793,'合同综合查询数据（3月返）'!$A:$A,1,FALSE)</f>
        <v>#N/A</v>
      </c>
      <c r="J5793" s="24" t="s">
        <v>90</v>
      </c>
      <c r="K5793" s="16" t="s">
        <v>7753</v>
      </c>
      <c r="L5793" s="25"/>
      <c r="M5793" s="26" t="s">
        <v>7608</v>
      </c>
      <c r="N5793" s="28">
        <v>43917</v>
      </c>
      <c r="O5793" s="28" t="s">
        <v>461</v>
      </c>
      <c r="P5793" s="29">
        <v>9580</v>
      </c>
      <c r="Q5793" s="35">
        <v>4</v>
      </c>
      <c r="R5793" s="36">
        <f t="shared" si="130"/>
        <v>38320</v>
      </c>
      <c r="S5793" s="37">
        <v>202303</v>
      </c>
      <c r="T5793" s="38" t="s">
        <v>7759</v>
      </c>
      <c r="U5793" s="39"/>
      <c r="V5793" s="40"/>
      <c r="W5793" s="41"/>
      <c r="X5793" s="28">
        <v>43815</v>
      </c>
      <c r="Y5793" s="28">
        <v>46006</v>
      </c>
    </row>
    <row r="5794" s="9" customFormat="1" customHeight="1" spans="1:25">
      <c r="A5794" s="16" t="s">
        <v>399</v>
      </c>
      <c r="B5794" s="17" t="s">
        <v>7432</v>
      </c>
      <c r="C5794" s="17" t="s">
        <v>2833</v>
      </c>
      <c r="D5794" s="17" t="s">
        <v>6905</v>
      </c>
      <c r="E5794" s="18" t="s">
        <v>7735</v>
      </c>
      <c r="F5794" s="16" t="s">
        <v>7736</v>
      </c>
      <c r="G5794" s="16" t="s">
        <v>88</v>
      </c>
      <c r="H5794" s="19" t="s">
        <v>7752</v>
      </c>
      <c r="I5794" s="23" t="e">
        <f>VLOOKUP(H5794,'合同综合查询数据（3月返）'!$A:$A,1,FALSE)</f>
        <v>#N/A</v>
      </c>
      <c r="J5794" s="24" t="s">
        <v>90</v>
      </c>
      <c r="K5794" s="16" t="s">
        <v>7753</v>
      </c>
      <c r="L5794" s="25"/>
      <c r="M5794" s="26" t="s">
        <v>7608</v>
      </c>
      <c r="N5794" s="28">
        <v>43918</v>
      </c>
      <c r="O5794" s="28" t="s">
        <v>461</v>
      </c>
      <c r="P5794" s="29">
        <v>9580</v>
      </c>
      <c r="Q5794" s="35">
        <v>3</v>
      </c>
      <c r="R5794" s="36">
        <f t="shared" si="130"/>
        <v>28740</v>
      </c>
      <c r="S5794" s="37">
        <v>202303</v>
      </c>
      <c r="T5794" s="38" t="s">
        <v>7760</v>
      </c>
      <c r="U5794" s="39"/>
      <c r="V5794" s="40"/>
      <c r="W5794" s="41"/>
      <c r="X5794" s="28">
        <v>43815</v>
      </c>
      <c r="Y5794" s="28">
        <v>46006</v>
      </c>
    </row>
    <row r="5795" s="9" customFormat="1" customHeight="1" spans="1:25">
      <c r="A5795" s="16" t="s">
        <v>399</v>
      </c>
      <c r="B5795" s="17" t="s">
        <v>7432</v>
      </c>
      <c r="C5795" s="17" t="s">
        <v>2833</v>
      </c>
      <c r="D5795" s="17" t="s">
        <v>6905</v>
      </c>
      <c r="E5795" s="18" t="s">
        <v>7735</v>
      </c>
      <c r="F5795" s="16" t="s">
        <v>7736</v>
      </c>
      <c r="G5795" s="16" t="s">
        <v>88</v>
      </c>
      <c r="H5795" s="19" t="s">
        <v>7752</v>
      </c>
      <c r="I5795" s="23" t="e">
        <f>VLOOKUP(H5795,'合同综合查询数据（3月返）'!$A:$A,1,FALSE)</f>
        <v>#N/A</v>
      </c>
      <c r="J5795" s="24" t="s">
        <v>90</v>
      </c>
      <c r="K5795" s="16" t="s">
        <v>7753</v>
      </c>
      <c r="L5795" s="25"/>
      <c r="M5795" s="26" t="s">
        <v>7608</v>
      </c>
      <c r="N5795" s="28">
        <v>43919</v>
      </c>
      <c r="O5795" s="28" t="s">
        <v>461</v>
      </c>
      <c r="P5795" s="29">
        <v>9580</v>
      </c>
      <c r="Q5795" s="35">
        <v>3</v>
      </c>
      <c r="R5795" s="36">
        <f t="shared" si="130"/>
        <v>28740</v>
      </c>
      <c r="S5795" s="37">
        <v>202303</v>
      </c>
      <c r="T5795" s="38" t="s">
        <v>7761</v>
      </c>
      <c r="U5795" s="39"/>
      <c r="V5795" s="40"/>
      <c r="W5795" s="41"/>
      <c r="X5795" s="28">
        <v>43815</v>
      </c>
      <c r="Y5795" s="28">
        <v>46006</v>
      </c>
    </row>
    <row r="5796" s="9" customFormat="1" customHeight="1" spans="1:25">
      <c r="A5796" s="16" t="s">
        <v>399</v>
      </c>
      <c r="B5796" s="17" t="s">
        <v>7432</v>
      </c>
      <c r="C5796" s="17" t="s">
        <v>2833</v>
      </c>
      <c r="D5796" s="17" t="s">
        <v>6905</v>
      </c>
      <c r="E5796" s="18" t="s">
        <v>7735</v>
      </c>
      <c r="F5796" s="16" t="s">
        <v>7736</v>
      </c>
      <c r="G5796" s="16" t="s">
        <v>88</v>
      </c>
      <c r="H5796" s="19" t="s">
        <v>7752</v>
      </c>
      <c r="I5796" s="23" t="e">
        <f>VLOOKUP(H5796,'合同综合查询数据（3月返）'!$A:$A,1,FALSE)</f>
        <v>#N/A</v>
      </c>
      <c r="J5796" s="24" t="s">
        <v>90</v>
      </c>
      <c r="K5796" s="16" t="s">
        <v>7753</v>
      </c>
      <c r="L5796" s="25"/>
      <c r="M5796" s="26" t="s">
        <v>7608</v>
      </c>
      <c r="N5796" s="28">
        <v>43920</v>
      </c>
      <c r="O5796" s="28" t="s">
        <v>461</v>
      </c>
      <c r="P5796" s="29">
        <v>9580</v>
      </c>
      <c r="Q5796" s="35">
        <v>9</v>
      </c>
      <c r="R5796" s="36">
        <f t="shared" si="130"/>
        <v>86220</v>
      </c>
      <c r="S5796" s="37">
        <v>202303</v>
      </c>
      <c r="T5796" s="38" t="s">
        <v>7762</v>
      </c>
      <c r="U5796" s="39"/>
      <c r="V5796" s="40"/>
      <c r="W5796" s="41"/>
      <c r="X5796" s="28">
        <v>43815</v>
      </c>
      <c r="Y5796" s="28">
        <v>46006</v>
      </c>
    </row>
    <row r="5797" s="9" customFormat="1" customHeight="1" spans="1:25">
      <c r="A5797" s="16" t="s">
        <v>399</v>
      </c>
      <c r="B5797" s="17" t="s">
        <v>7432</v>
      </c>
      <c r="C5797" s="17" t="s">
        <v>2833</v>
      </c>
      <c r="D5797" s="17" t="s">
        <v>6905</v>
      </c>
      <c r="E5797" s="18" t="s">
        <v>7735</v>
      </c>
      <c r="F5797" s="16" t="s">
        <v>7736</v>
      </c>
      <c r="G5797" s="16" t="s">
        <v>88</v>
      </c>
      <c r="H5797" s="19" t="s">
        <v>7752</v>
      </c>
      <c r="I5797" s="23" t="e">
        <f>VLOOKUP(H5797,'合同综合查询数据（3月返）'!$A:$A,1,FALSE)</f>
        <v>#N/A</v>
      </c>
      <c r="J5797" s="24" t="s">
        <v>90</v>
      </c>
      <c r="K5797" s="16" t="s">
        <v>7753</v>
      </c>
      <c r="L5797" s="25"/>
      <c r="M5797" s="26" t="s">
        <v>7608</v>
      </c>
      <c r="N5797" s="28">
        <v>43921</v>
      </c>
      <c r="O5797" s="28" t="s">
        <v>461</v>
      </c>
      <c r="P5797" s="29">
        <v>9580</v>
      </c>
      <c r="Q5797" s="35">
        <v>9</v>
      </c>
      <c r="R5797" s="36">
        <f t="shared" si="130"/>
        <v>86220</v>
      </c>
      <c r="S5797" s="37">
        <v>202303</v>
      </c>
      <c r="T5797" s="38" t="s">
        <v>7763</v>
      </c>
      <c r="U5797" s="39"/>
      <c r="V5797" s="40"/>
      <c r="W5797" s="41"/>
      <c r="X5797" s="28">
        <v>43815</v>
      </c>
      <c r="Y5797" s="28">
        <v>46006</v>
      </c>
    </row>
    <row r="5798" s="9" customFormat="1" customHeight="1" spans="1:25">
      <c r="A5798" s="16" t="s">
        <v>399</v>
      </c>
      <c r="B5798" s="17" t="s">
        <v>7432</v>
      </c>
      <c r="C5798" s="17" t="s">
        <v>2833</v>
      </c>
      <c r="D5798" s="17" t="s">
        <v>6905</v>
      </c>
      <c r="E5798" s="18" t="s">
        <v>7735</v>
      </c>
      <c r="F5798" s="16" t="s">
        <v>7736</v>
      </c>
      <c r="G5798" s="16" t="s">
        <v>88</v>
      </c>
      <c r="H5798" s="19" t="s">
        <v>7752</v>
      </c>
      <c r="I5798" s="23" t="e">
        <f>VLOOKUP(H5798,'合同综合查询数据（3月返）'!$A:$A,1,FALSE)</f>
        <v>#N/A</v>
      </c>
      <c r="J5798" s="24" t="s">
        <v>90</v>
      </c>
      <c r="K5798" s="16" t="s">
        <v>7753</v>
      </c>
      <c r="L5798" s="25"/>
      <c r="M5798" s="26" t="s">
        <v>7608</v>
      </c>
      <c r="N5798" s="28">
        <v>43924</v>
      </c>
      <c r="O5798" s="28" t="s">
        <v>461</v>
      </c>
      <c r="P5798" s="29">
        <v>9580</v>
      </c>
      <c r="Q5798" s="35">
        <v>35</v>
      </c>
      <c r="R5798" s="36">
        <f t="shared" si="130"/>
        <v>335300</v>
      </c>
      <c r="S5798" s="37">
        <v>202303</v>
      </c>
      <c r="T5798" s="38" t="s">
        <v>7764</v>
      </c>
      <c r="U5798" s="39"/>
      <c r="V5798" s="40"/>
      <c r="W5798" s="41"/>
      <c r="X5798" s="28">
        <v>43815</v>
      </c>
      <c r="Y5798" s="28">
        <v>46006</v>
      </c>
    </row>
    <row r="5799" s="9" customFormat="1" customHeight="1" spans="1:25">
      <c r="A5799" s="16" t="s">
        <v>399</v>
      </c>
      <c r="B5799" s="17" t="s">
        <v>7432</v>
      </c>
      <c r="C5799" s="17" t="s">
        <v>2833</v>
      </c>
      <c r="D5799" s="17" t="s">
        <v>6905</v>
      </c>
      <c r="E5799" s="18" t="s">
        <v>7735</v>
      </c>
      <c r="F5799" s="16" t="s">
        <v>7736</v>
      </c>
      <c r="G5799" s="16" t="s">
        <v>88</v>
      </c>
      <c r="H5799" s="19" t="s">
        <v>7752</v>
      </c>
      <c r="I5799" s="23" t="e">
        <f>VLOOKUP(H5799,'合同综合查询数据（3月返）'!$A:$A,1,FALSE)</f>
        <v>#N/A</v>
      </c>
      <c r="J5799" s="24" t="s">
        <v>90</v>
      </c>
      <c r="K5799" s="16" t="s">
        <v>7753</v>
      </c>
      <c r="L5799" s="25"/>
      <c r="M5799" s="26" t="s">
        <v>7608</v>
      </c>
      <c r="N5799" s="28">
        <v>43928</v>
      </c>
      <c r="O5799" s="28" t="s">
        <v>461</v>
      </c>
      <c r="P5799" s="29">
        <v>9580</v>
      </c>
      <c r="Q5799" s="35">
        <v>4</v>
      </c>
      <c r="R5799" s="36">
        <f t="shared" si="130"/>
        <v>38320</v>
      </c>
      <c r="S5799" s="37">
        <v>202303</v>
      </c>
      <c r="T5799" s="38" t="s">
        <v>7765</v>
      </c>
      <c r="U5799" s="39"/>
      <c r="V5799" s="40"/>
      <c r="W5799" s="41"/>
      <c r="X5799" s="28">
        <v>43815</v>
      </c>
      <c r="Y5799" s="28">
        <v>46006</v>
      </c>
    </row>
    <row r="5800" s="9" customFormat="1" customHeight="1" spans="1:25">
      <c r="A5800" s="16" t="s">
        <v>399</v>
      </c>
      <c r="B5800" s="17" t="s">
        <v>7432</v>
      </c>
      <c r="C5800" s="17" t="s">
        <v>2833</v>
      </c>
      <c r="D5800" s="17" t="s">
        <v>6905</v>
      </c>
      <c r="E5800" s="18" t="s">
        <v>7735</v>
      </c>
      <c r="F5800" s="16" t="s">
        <v>7736</v>
      </c>
      <c r="G5800" s="16" t="s">
        <v>88</v>
      </c>
      <c r="H5800" s="19" t="s">
        <v>7752</v>
      </c>
      <c r="I5800" s="23" t="e">
        <f>VLOOKUP(H5800,'合同综合查询数据（3月返）'!$A:$A,1,FALSE)</f>
        <v>#N/A</v>
      </c>
      <c r="J5800" s="24" t="s">
        <v>90</v>
      </c>
      <c r="K5800" s="16" t="s">
        <v>7753</v>
      </c>
      <c r="L5800" s="25"/>
      <c r="M5800" s="26" t="s">
        <v>7608</v>
      </c>
      <c r="N5800" s="28">
        <v>43929</v>
      </c>
      <c r="O5800" s="28" t="s">
        <v>461</v>
      </c>
      <c r="P5800" s="29">
        <v>9580</v>
      </c>
      <c r="Q5800" s="35">
        <v>1</v>
      </c>
      <c r="R5800" s="36">
        <f t="shared" si="130"/>
        <v>9580</v>
      </c>
      <c r="S5800" s="37">
        <v>202303</v>
      </c>
      <c r="T5800" s="38" t="s">
        <v>7766</v>
      </c>
      <c r="U5800" s="39"/>
      <c r="V5800" s="40"/>
      <c r="W5800" s="41"/>
      <c r="X5800" s="28">
        <v>43815</v>
      </c>
      <c r="Y5800" s="28">
        <v>46006</v>
      </c>
    </row>
    <row r="5801" s="9" customFormat="1" customHeight="1" spans="1:25">
      <c r="A5801" s="16" t="s">
        <v>399</v>
      </c>
      <c r="B5801" s="17" t="s">
        <v>7432</v>
      </c>
      <c r="C5801" s="17" t="s">
        <v>2833</v>
      </c>
      <c r="D5801" s="17" t="s">
        <v>6905</v>
      </c>
      <c r="E5801" s="18" t="s">
        <v>7735</v>
      </c>
      <c r="F5801" s="16" t="s">
        <v>7736</v>
      </c>
      <c r="G5801" s="16" t="s">
        <v>88</v>
      </c>
      <c r="H5801" s="19" t="s">
        <v>7752</v>
      </c>
      <c r="I5801" s="23" t="e">
        <f>VLOOKUP(H5801,'合同综合查询数据（3月返）'!$A:$A,1,FALSE)</f>
        <v>#N/A</v>
      </c>
      <c r="J5801" s="24" t="s">
        <v>90</v>
      </c>
      <c r="K5801" s="16" t="s">
        <v>7753</v>
      </c>
      <c r="L5801" s="25"/>
      <c r="M5801" s="26" t="s">
        <v>7608</v>
      </c>
      <c r="N5801" s="28">
        <v>43930</v>
      </c>
      <c r="O5801" s="28" t="s">
        <v>461</v>
      </c>
      <c r="P5801" s="29">
        <v>9580</v>
      </c>
      <c r="Q5801" s="35">
        <v>14</v>
      </c>
      <c r="R5801" s="36">
        <f t="shared" si="130"/>
        <v>134120</v>
      </c>
      <c r="S5801" s="37">
        <v>202303</v>
      </c>
      <c r="T5801" s="38" t="s">
        <v>7767</v>
      </c>
      <c r="U5801" s="39"/>
      <c r="V5801" s="40"/>
      <c r="W5801" s="41"/>
      <c r="X5801" s="28">
        <v>43815</v>
      </c>
      <c r="Y5801" s="28">
        <v>46006</v>
      </c>
    </row>
    <row r="5802" s="9" customFormat="1" customHeight="1" spans="1:25">
      <c r="A5802" s="16" t="s">
        <v>399</v>
      </c>
      <c r="B5802" s="17" t="s">
        <v>7432</v>
      </c>
      <c r="C5802" s="17" t="s">
        <v>2833</v>
      </c>
      <c r="D5802" s="17" t="s">
        <v>6905</v>
      </c>
      <c r="E5802" s="18" t="s">
        <v>7735</v>
      </c>
      <c r="F5802" s="16" t="s">
        <v>7736</v>
      </c>
      <c r="G5802" s="16" t="s">
        <v>88</v>
      </c>
      <c r="H5802" s="19" t="s">
        <v>7752</v>
      </c>
      <c r="I5802" s="23" t="e">
        <f>VLOOKUP(H5802,'合同综合查询数据（3月返）'!$A:$A,1,FALSE)</f>
        <v>#N/A</v>
      </c>
      <c r="J5802" s="24" t="s">
        <v>90</v>
      </c>
      <c r="K5802" s="16" t="s">
        <v>7753</v>
      </c>
      <c r="L5802" s="25"/>
      <c r="M5802" s="26" t="s">
        <v>7608</v>
      </c>
      <c r="N5802" s="28">
        <v>43931</v>
      </c>
      <c r="O5802" s="28" t="s">
        <v>461</v>
      </c>
      <c r="P5802" s="29">
        <v>9580</v>
      </c>
      <c r="Q5802" s="35">
        <v>6</v>
      </c>
      <c r="R5802" s="36">
        <f t="shared" si="130"/>
        <v>57480</v>
      </c>
      <c r="S5802" s="37">
        <v>202303</v>
      </c>
      <c r="T5802" s="38" t="s">
        <v>7768</v>
      </c>
      <c r="U5802" s="39"/>
      <c r="V5802" s="40"/>
      <c r="W5802" s="41"/>
      <c r="X5802" s="28">
        <v>43815</v>
      </c>
      <c r="Y5802" s="28">
        <v>46006</v>
      </c>
    </row>
    <row r="5803" s="9" customFormat="1" customHeight="1" spans="1:25">
      <c r="A5803" s="16" t="s">
        <v>399</v>
      </c>
      <c r="B5803" s="17" t="s">
        <v>7432</v>
      </c>
      <c r="C5803" s="17" t="s">
        <v>2833</v>
      </c>
      <c r="D5803" s="17" t="s">
        <v>6905</v>
      </c>
      <c r="E5803" s="18" t="s">
        <v>7735</v>
      </c>
      <c r="F5803" s="16" t="s">
        <v>7736</v>
      </c>
      <c r="G5803" s="16" t="s">
        <v>88</v>
      </c>
      <c r="H5803" s="19" t="s">
        <v>7752</v>
      </c>
      <c r="I5803" s="23" t="e">
        <f>VLOOKUP(H5803,'合同综合查询数据（3月返）'!$A:$A,1,FALSE)</f>
        <v>#N/A</v>
      </c>
      <c r="J5803" s="24" t="s">
        <v>90</v>
      </c>
      <c r="K5803" s="16" t="s">
        <v>7753</v>
      </c>
      <c r="L5803" s="25"/>
      <c r="M5803" s="26" t="s">
        <v>7608</v>
      </c>
      <c r="N5803" s="28">
        <v>43934</v>
      </c>
      <c r="O5803" s="28" t="s">
        <v>461</v>
      </c>
      <c r="P5803" s="29">
        <v>9580</v>
      </c>
      <c r="Q5803" s="35">
        <v>4</v>
      </c>
      <c r="R5803" s="36">
        <f t="shared" si="130"/>
        <v>38320</v>
      </c>
      <c r="S5803" s="37">
        <v>202303</v>
      </c>
      <c r="T5803" s="38" t="s">
        <v>7769</v>
      </c>
      <c r="U5803" s="39"/>
      <c r="V5803" s="40"/>
      <c r="W5803" s="41"/>
      <c r="X5803" s="28">
        <v>43815</v>
      </c>
      <c r="Y5803" s="28">
        <v>46006</v>
      </c>
    </row>
    <row r="5804" s="9" customFormat="1" customHeight="1" spans="1:25">
      <c r="A5804" s="16" t="s">
        <v>399</v>
      </c>
      <c r="B5804" s="17" t="s">
        <v>7432</v>
      </c>
      <c r="C5804" s="17" t="s">
        <v>2833</v>
      </c>
      <c r="D5804" s="17" t="s">
        <v>6905</v>
      </c>
      <c r="E5804" s="18" t="s">
        <v>7735</v>
      </c>
      <c r="F5804" s="16" t="s">
        <v>7736</v>
      </c>
      <c r="G5804" s="16" t="s">
        <v>88</v>
      </c>
      <c r="H5804" s="19" t="s">
        <v>7752</v>
      </c>
      <c r="I5804" s="23" t="e">
        <f>VLOOKUP(H5804,'合同综合查询数据（3月返）'!$A:$A,1,FALSE)</f>
        <v>#N/A</v>
      </c>
      <c r="J5804" s="24" t="s">
        <v>90</v>
      </c>
      <c r="K5804" s="16" t="s">
        <v>7753</v>
      </c>
      <c r="L5804" s="25"/>
      <c r="M5804" s="26" t="s">
        <v>7608</v>
      </c>
      <c r="N5804" s="28">
        <v>43935</v>
      </c>
      <c r="O5804" s="28" t="s">
        <v>461</v>
      </c>
      <c r="P5804" s="29">
        <v>9580</v>
      </c>
      <c r="Q5804" s="35">
        <v>20</v>
      </c>
      <c r="R5804" s="36">
        <f t="shared" si="130"/>
        <v>191600</v>
      </c>
      <c r="S5804" s="37">
        <v>202303</v>
      </c>
      <c r="T5804" s="38" t="s">
        <v>7770</v>
      </c>
      <c r="U5804" s="39"/>
      <c r="V5804" s="40"/>
      <c r="W5804" s="41"/>
      <c r="X5804" s="28">
        <v>43815</v>
      </c>
      <c r="Y5804" s="28">
        <v>46006</v>
      </c>
    </row>
    <row r="5805" s="9" customFormat="1" customHeight="1" spans="1:25">
      <c r="A5805" s="16" t="s">
        <v>399</v>
      </c>
      <c r="B5805" s="17" t="s">
        <v>7432</v>
      </c>
      <c r="C5805" s="17" t="s">
        <v>2833</v>
      </c>
      <c r="D5805" s="17" t="s">
        <v>6905</v>
      </c>
      <c r="E5805" s="18" t="s">
        <v>7735</v>
      </c>
      <c r="F5805" s="16" t="s">
        <v>7736</v>
      </c>
      <c r="G5805" s="16" t="s">
        <v>88</v>
      </c>
      <c r="H5805" s="19" t="s">
        <v>7752</v>
      </c>
      <c r="I5805" s="23" t="e">
        <f>VLOOKUP(H5805,'合同综合查询数据（3月返）'!$A:$A,1,FALSE)</f>
        <v>#N/A</v>
      </c>
      <c r="J5805" s="24" t="s">
        <v>90</v>
      </c>
      <c r="K5805" s="16" t="s">
        <v>7753</v>
      </c>
      <c r="L5805" s="25"/>
      <c r="M5805" s="26" t="s">
        <v>7608</v>
      </c>
      <c r="N5805" s="28">
        <v>43936</v>
      </c>
      <c r="O5805" s="28" t="s">
        <v>461</v>
      </c>
      <c r="P5805" s="29">
        <v>9580</v>
      </c>
      <c r="Q5805" s="35">
        <v>12</v>
      </c>
      <c r="R5805" s="36">
        <f t="shared" si="130"/>
        <v>114960</v>
      </c>
      <c r="S5805" s="37">
        <v>202303</v>
      </c>
      <c r="T5805" s="38" t="s">
        <v>7771</v>
      </c>
      <c r="U5805" s="39"/>
      <c r="V5805" s="40"/>
      <c r="W5805" s="41"/>
      <c r="X5805" s="28">
        <v>43815</v>
      </c>
      <c r="Y5805" s="28">
        <v>46006</v>
      </c>
    </row>
    <row r="5806" s="9" customFormat="1" customHeight="1" spans="1:25">
      <c r="A5806" s="16" t="s">
        <v>399</v>
      </c>
      <c r="B5806" s="17" t="s">
        <v>7432</v>
      </c>
      <c r="C5806" s="17" t="s">
        <v>2833</v>
      </c>
      <c r="D5806" s="17" t="s">
        <v>6905</v>
      </c>
      <c r="E5806" s="18" t="s">
        <v>7735</v>
      </c>
      <c r="F5806" s="16" t="s">
        <v>7736</v>
      </c>
      <c r="G5806" s="16" t="s">
        <v>88</v>
      </c>
      <c r="H5806" s="19" t="s">
        <v>7752</v>
      </c>
      <c r="I5806" s="23" t="e">
        <f>VLOOKUP(H5806,'合同综合查询数据（3月返）'!$A:$A,1,FALSE)</f>
        <v>#N/A</v>
      </c>
      <c r="J5806" s="24" t="s">
        <v>90</v>
      </c>
      <c r="K5806" s="16" t="s">
        <v>7753</v>
      </c>
      <c r="L5806" s="25"/>
      <c r="M5806" s="26" t="s">
        <v>7608</v>
      </c>
      <c r="N5806" s="28">
        <v>43937</v>
      </c>
      <c r="O5806" s="28" t="s">
        <v>461</v>
      </c>
      <c r="P5806" s="29">
        <v>9580</v>
      </c>
      <c r="Q5806" s="35">
        <v>23</v>
      </c>
      <c r="R5806" s="36">
        <f t="shared" si="130"/>
        <v>220340</v>
      </c>
      <c r="S5806" s="37">
        <v>202303</v>
      </c>
      <c r="T5806" s="38" t="s">
        <v>7772</v>
      </c>
      <c r="U5806" s="39"/>
      <c r="V5806" s="40"/>
      <c r="W5806" s="41"/>
      <c r="X5806" s="28">
        <v>43815</v>
      </c>
      <c r="Y5806" s="28">
        <v>46006</v>
      </c>
    </row>
    <row r="5807" s="9" customFormat="1" customHeight="1" spans="1:25">
      <c r="A5807" s="16" t="s">
        <v>399</v>
      </c>
      <c r="B5807" s="17" t="s">
        <v>7432</v>
      </c>
      <c r="C5807" s="17" t="s">
        <v>2833</v>
      </c>
      <c r="D5807" s="17" t="s">
        <v>6905</v>
      </c>
      <c r="E5807" s="18" t="s">
        <v>7735</v>
      </c>
      <c r="F5807" s="16" t="s">
        <v>7736</v>
      </c>
      <c r="G5807" s="16" t="s">
        <v>88</v>
      </c>
      <c r="H5807" s="19" t="s">
        <v>7752</v>
      </c>
      <c r="I5807" s="23" t="e">
        <f>VLOOKUP(H5807,'合同综合查询数据（3月返）'!$A:$A,1,FALSE)</f>
        <v>#N/A</v>
      </c>
      <c r="J5807" s="24" t="s">
        <v>90</v>
      </c>
      <c r="K5807" s="16" t="s">
        <v>7753</v>
      </c>
      <c r="L5807" s="25"/>
      <c r="M5807" s="26" t="s">
        <v>7608</v>
      </c>
      <c r="N5807" s="28">
        <v>43938</v>
      </c>
      <c r="O5807" s="28" t="s">
        <v>461</v>
      </c>
      <c r="P5807" s="29">
        <v>9580</v>
      </c>
      <c r="Q5807" s="35">
        <v>24</v>
      </c>
      <c r="R5807" s="36">
        <f t="shared" si="130"/>
        <v>229920</v>
      </c>
      <c r="S5807" s="37">
        <v>202303</v>
      </c>
      <c r="T5807" s="38" t="s">
        <v>7773</v>
      </c>
      <c r="U5807" s="39"/>
      <c r="V5807" s="40"/>
      <c r="W5807" s="41"/>
      <c r="X5807" s="28">
        <v>43815</v>
      </c>
      <c r="Y5807" s="28">
        <v>46006</v>
      </c>
    </row>
    <row r="5808" s="9" customFormat="1" customHeight="1" spans="1:25">
      <c r="A5808" s="16" t="s">
        <v>399</v>
      </c>
      <c r="B5808" s="17" t="s">
        <v>7432</v>
      </c>
      <c r="C5808" s="17" t="s">
        <v>2833</v>
      </c>
      <c r="D5808" s="17" t="s">
        <v>6905</v>
      </c>
      <c r="E5808" s="18" t="s">
        <v>7735</v>
      </c>
      <c r="F5808" s="16" t="s">
        <v>7736</v>
      </c>
      <c r="G5808" s="16" t="s">
        <v>88</v>
      </c>
      <c r="H5808" s="19" t="s">
        <v>7752</v>
      </c>
      <c r="I5808" s="23" t="e">
        <f>VLOOKUP(H5808,'合同综合查询数据（3月返）'!$A:$A,1,FALSE)</f>
        <v>#N/A</v>
      </c>
      <c r="J5808" s="24" t="s">
        <v>90</v>
      </c>
      <c r="K5808" s="16" t="s">
        <v>7753</v>
      </c>
      <c r="L5808" s="25"/>
      <c r="M5808" s="26" t="s">
        <v>7608</v>
      </c>
      <c r="N5808" s="28">
        <v>43941</v>
      </c>
      <c r="O5808" s="28" t="s">
        <v>461</v>
      </c>
      <c r="P5808" s="29">
        <v>9580</v>
      </c>
      <c r="Q5808" s="35">
        <v>14</v>
      </c>
      <c r="R5808" s="36">
        <f t="shared" si="130"/>
        <v>134120</v>
      </c>
      <c r="S5808" s="37">
        <v>202303</v>
      </c>
      <c r="T5808" s="38" t="s">
        <v>7774</v>
      </c>
      <c r="U5808" s="39"/>
      <c r="V5808" s="40"/>
      <c r="W5808" s="41"/>
      <c r="X5808" s="28">
        <v>43815</v>
      </c>
      <c r="Y5808" s="28">
        <v>46006</v>
      </c>
    </row>
    <row r="5809" s="9" customFormat="1" customHeight="1" spans="1:25">
      <c r="A5809" s="16" t="s">
        <v>399</v>
      </c>
      <c r="B5809" s="17" t="s">
        <v>7432</v>
      </c>
      <c r="C5809" s="17" t="s">
        <v>2833</v>
      </c>
      <c r="D5809" s="17" t="s">
        <v>6905</v>
      </c>
      <c r="E5809" s="18" t="s">
        <v>7735</v>
      </c>
      <c r="F5809" s="16" t="s">
        <v>7736</v>
      </c>
      <c r="G5809" s="16" t="s">
        <v>88</v>
      </c>
      <c r="H5809" s="19" t="s">
        <v>7752</v>
      </c>
      <c r="I5809" s="23" t="e">
        <f>VLOOKUP(H5809,'合同综合查询数据（3月返）'!$A:$A,1,FALSE)</f>
        <v>#N/A</v>
      </c>
      <c r="J5809" s="24" t="s">
        <v>90</v>
      </c>
      <c r="K5809" s="16" t="s">
        <v>7753</v>
      </c>
      <c r="L5809" s="25"/>
      <c r="M5809" s="26" t="s">
        <v>7608</v>
      </c>
      <c r="N5809" s="28">
        <v>43943</v>
      </c>
      <c r="O5809" s="28" t="s">
        <v>461</v>
      </c>
      <c r="P5809" s="29">
        <v>9580</v>
      </c>
      <c r="Q5809" s="35">
        <v>20</v>
      </c>
      <c r="R5809" s="36">
        <f t="shared" si="130"/>
        <v>191600</v>
      </c>
      <c r="S5809" s="37">
        <v>202303</v>
      </c>
      <c r="T5809" s="38" t="s">
        <v>7775</v>
      </c>
      <c r="U5809" s="39"/>
      <c r="V5809" s="40"/>
      <c r="W5809" s="41"/>
      <c r="X5809" s="28">
        <v>43815</v>
      </c>
      <c r="Y5809" s="28">
        <v>46006</v>
      </c>
    </row>
    <row r="5810" s="9" customFormat="1" customHeight="1" spans="1:25">
      <c r="A5810" s="16" t="s">
        <v>399</v>
      </c>
      <c r="B5810" s="17" t="s">
        <v>7432</v>
      </c>
      <c r="C5810" s="17" t="s">
        <v>2833</v>
      </c>
      <c r="D5810" s="17" t="s">
        <v>6905</v>
      </c>
      <c r="E5810" s="18" t="s">
        <v>7735</v>
      </c>
      <c r="F5810" s="16" t="s">
        <v>7736</v>
      </c>
      <c r="G5810" s="16" t="s">
        <v>88</v>
      </c>
      <c r="H5810" s="19" t="s">
        <v>7752</v>
      </c>
      <c r="I5810" s="23" t="e">
        <f>VLOOKUP(H5810,'合同综合查询数据（3月返）'!$A:$A,1,FALSE)</f>
        <v>#N/A</v>
      </c>
      <c r="J5810" s="24" t="s">
        <v>90</v>
      </c>
      <c r="K5810" s="16" t="s">
        <v>7753</v>
      </c>
      <c r="L5810" s="25"/>
      <c r="M5810" s="26" t="s">
        <v>7608</v>
      </c>
      <c r="N5810" s="28">
        <v>43958</v>
      </c>
      <c r="O5810" s="28" t="s">
        <v>461</v>
      </c>
      <c r="P5810" s="29">
        <v>9580</v>
      </c>
      <c r="Q5810" s="35">
        <v>-39</v>
      </c>
      <c r="R5810" s="36">
        <f t="shared" si="130"/>
        <v>-373620</v>
      </c>
      <c r="S5810" s="37">
        <v>202303</v>
      </c>
      <c r="T5810" s="38" t="s">
        <v>7776</v>
      </c>
      <c r="U5810" s="39"/>
      <c r="V5810" s="40"/>
      <c r="W5810" s="41"/>
      <c r="X5810" s="28">
        <v>43815</v>
      </c>
      <c r="Y5810" s="28">
        <v>46006</v>
      </c>
    </row>
    <row r="5811" s="9" customFormat="1" customHeight="1" spans="1:25">
      <c r="A5811" s="16" t="s">
        <v>399</v>
      </c>
      <c r="B5811" s="17" t="s">
        <v>7432</v>
      </c>
      <c r="C5811" s="17" t="s">
        <v>2833</v>
      </c>
      <c r="D5811" s="17" t="s">
        <v>6905</v>
      </c>
      <c r="E5811" s="18" t="s">
        <v>7735</v>
      </c>
      <c r="F5811" s="16" t="s">
        <v>7736</v>
      </c>
      <c r="G5811" s="16" t="s">
        <v>88</v>
      </c>
      <c r="H5811" s="19" t="s">
        <v>7752</v>
      </c>
      <c r="I5811" s="23" t="e">
        <f>VLOOKUP(H5811,'合同综合查询数据（3月返）'!$A:$A,1,FALSE)</f>
        <v>#N/A</v>
      </c>
      <c r="J5811" s="24" t="s">
        <v>90</v>
      </c>
      <c r="K5811" s="16" t="s">
        <v>7753</v>
      </c>
      <c r="L5811" s="25"/>
      <c r="M5811" s="26" t="s">
        <v>7608</v>
      </c>
      <c r="N5811" s="28">
        <v>43970</v>
      </c>
      <c r="O5811" s="28" t="s">
        <v>461</v>
      </c>
      <c r="P5811" s="29">
        <v>9580</v>
      </c>
      <c r="Q5811" s="35">
        <v>-20</v>
      </c>
      <c r="R5811" s="36">
        <f t="shared" si="130"/>
        <v>-191600</v>
      </c>
      <c r="S5811" s="37">
        <v>202303</v>
      </c>
      <c r="T5811" s="38" t="s">
        <v>7777</v>
      </c>
      <c r="U5811" s="39"/>
      <c r="V5811" s="40"/>
      <c r="W5811" s="41"/>
      <c r="X5811" s="28">
        <v>43815</v>
      </c>
      <c r="Y5811" s="28">
        <v>46006</v>
      </c>
    </row>
    <row r="5812" s="9" customFormat="1" customHeight="1" spans="1:25">
      <c r="A5812" s="16" t="s">
        <v>399</v>
      </c>
      <c r="B5812" s="17" t="s">
        <v>7432</v>
      </c>
      <c r="C5812" s="17" t="s">
        <v>2833</v>
      </c>
      <c r="D5812" s="17" t="s">
        <v>6905</v>
      </c>
      <c r="E5812" s="18" t="s">
        <v>7735</v>
      </c>
      <c r="F5812" s="16" t="s">
        <v>7736</v>
      </c>
      <c r="G5812" s="16" t="s">
        <v>88</v>
      </c>
      <c r="H5812" s="19" t="s">
        <v>7752</v>
      </c>
      <c r="I5812" s="23" t="e">
        <f>VLOOKUP(H5812,'合同综合查询数据（3月返）'!$A:$A,1,FALSE)</f>
        <v>#N/A</v>
      </c>
      <c r="J5812" s="24" t="s">
        <v>90</v>
      </c>
      <c r="K5812" s="16" t="s">
        <v>7753</v>
      </c>
      <c r="L5812" s="25"/>
      <c r="M5812" s="26" t="s">
        <v>7608</v>
      </c>
      <c r="N5812" s="28">
        <v>43963</v>
      </c>
      <c r="O5812" s="28" t="s">
        <v>461</v>
      </c>
      <c r="P5812" s="29">
        <v>9580</v>
      </c>
      <c r="Q5812" s="35">
        <v>3</v>
      </c>
      <c r="R5812" s="36">
        <f t="shared" si="130"/>
        <v>28740</v>
      </c>
      <c r="S5812" s="37">
        <v>202303</v>
      </c>
      <c r="T5812" s="38" t="s">
        <v>7778</v>
      </c>
      <c r="U5812" s="39"/>
      <c r="V5812" s="40"/>
      <c r="W5812" s="41"/>
      <c r="X5812" s="28">
        <v>43815</v>
      </c>
      <c r="Y5812" s="28">
        <v>46006</v>
      </c>
    </row>
    <row r="5813" s="9" customFormat="1" customHeight="1" spans="1:25">
      <c r="A5813" s="16" t="s">
        <v>399</v>
      </c>
      <c r="B5813" s="17" t="s">
        <v>7432</v>
      </c>
      <c r="C5813" s="17" t="s">
        <v>2833</v>
      </c>
      <c r="D5813" s="17" t="s">
        <v>6905</v>
      </c>
      <c r="E5813" s="18" t="s">
        <v>7735</v>
      </c>
      <c r="F5813" s="16" t="s">
        <v>7736</v>
      </c>
      <c r="G5813" s="16" t="s">
        <v>88</v>
      </c>
      <c r="H5813" s="19" t="s">
        <v>7752</v>
      </c>
      <c r="I5813" s="23" t="e">
        <f>VLOOKUP(H5813,'合同综合查询数据（3月返）'!$A:$A,1,FALSE)</f>
        <v>#N/A</v>
      </c>
      <c r="J5813" s="24" t="s">
        <v>90</v>
      </c>
      <c r="K5813" s="16" t="s">
        <v>7753</v>
      </c>
      <c r="L5813" s="25"/>
      <c r="M5813" s="26" t="s">
        <v>7608</v>
      </c>
      <c r="N5813" s="28">
        <v>43964</v>
      </c>
      <c r="O5813" s="28" t="s">
        <v>461</v>
      </c>
      <c r="P5813" s="29">
        <v>9580</v>
      </c>
      <c r="Q5813" s="35">
        <v>3</v>
      </c>
      <c r="R5813" s="36">
        <f t="shared" si="130"/>
        <v>28740</v>
      </c>
      <c r="S5813" s="37">
        <v>202303</v>
      </c>
      <c r="T5813" s="38" t="s">
        <v>7779</v>
      </c>
      <c r="U5813" s="39"/>
      <c r="V5813" s="40"/>
      <c r="W5813" s="41"/>
      <c r="X5813" s="28">
        <v>43815</v>
      </c>
      <c r="Y5813" s="28">
        <v>46006</v>
      </c>
    </row>
    <row r="5814" s="9" customFormat="1" customHeight="1" spans="1:25">
      <c r="A5814" s="16" t="s">
        <v>399</v>
      </c>
      <c r="B5814" s="17" t="s">
        <v>7432</v>
      </c>
      <c r="C5814" s="17" t="s">
        <v>2833</v>
      </c>
      <c r="D5814" s="17" t="s">
        <v>6905</v>
      </c>
      <c r="E5814" s="18" t="s">
        <v>7735</v>
      </c>
      <c r="F5814" s="16" t="s">
        <v>7736</v>
      </c>
      <c r="G5814" s="16" t="s">
        <v>88</v>
      </c>
      <c r="H5814" s="19" t="s">
        <v>7752</v>
      </c>
      <c r="I5814" s="23" t="e">
        <f>VLOOKUP(H5814,'合同综合查询数据（3月返）'!$A:$A,1,FALSE)</f>
        <v>#N/A</v>
      </c>
      <c r="J5814" s="24" t="s">
        <v>90</v>
      </c>
      <c r="K5814" s="16" t="s">
        <v>7753</v>
      </c>
      <c r="L5814" s="25"/>
      <c r="M5814" s="26" t="s">
        <v>7608</v>
      </c>
      <c r="N5814" s="28">
        <v>43966</v>
      </c>
      <c r="O5814" s="28" t="s">
        <v>461</v>
      </c>
      <c r="P5814" s="29">
        <v>9580</v>
      </c>
      <c r="Q5814" s="35">
        <v>2</v>
      </c>
      <c r="R5814" s="36">
        <f t="shared" si="130"/>
        <v>19160</v>
      </c>
      <c r="S5814" s="37">
        <v>202303</v>
      </c>
      <c r="T5814" s="38" t="s">
        <v>7780</v>
      </c>
      <c r="U5814" s="39"/>
      <c r="V5814" s="40"/>
      <c r="W5814" s="41"/>
      <c r="X5814" s="28">
        <v>43815</v>
      </c>
      <c r="Y5814" s="28">
        <v>46006</v>
      </c>
    </row>
    <row r="5815" s="9" customFormat="1" customHeight="1" spans="1:25">
      <c r="A5815" s="16" t="s">
        <v>399</v>
      </c>
      <c r="B5815" s="17" t="s">
        <v>7432</v>
      </c>
      <c r="C5815" s="17" t="s">
        <v>2833</v>
      </c>
      <c r="D5815" s="17" t="s">
        <v>6905</v>
      </c>
      <c r="E5815" s="18" t="s">
        <v>7735</v>
      </c>
      <c r="F5815" s="16" t="s">
        <v>7736</v>
      </c>
      <c r="G5815" s="16" t="s">
        <v>88</v>
      </c>
      <c r="H5815" s="19" t="s">
        <v>7752</v>
      </c>
      <c r="I5815" s="23" t="e">
        <f>VLOOKUP(H5815,'合同综合查询数据（3月返）'!$A:$A,1,FALSE)</f>
        <v>#N/A</v>
      </c>
      <c r="J5815" s="24" t="s">
        <v>90</v>
      </c>
      <c r="K5815" s="16" t="s">
        <v>7753</v>
      </c>
      <c r="L5815" s="25"/>
      <c r="M5815" s="26" t="s">
        <v>7608</v>
      </c>
      <c r="N5815" s="28">
        <v>43984</v>
      </c>
      <c r="O5815" s="28" t="s">
        <v>461</v>
      </c>
      <c r="P5815" s="29">
        <v>9580</v>
      </c>
      <c r="Q5815" s="35">
        <v>4</v>
      </c>
      <c r="R5815" s="36">
        <f t="shared" si="130"/>
        <v>38320</v>
      </c>
      <c r="S5815" s="37">
        <v>202303</v>
      </c>
      <c r="T5815" s="38" t="s">
        <v>7781</v>
      </c>
      <c r="U5815" s="39"/>
      <c r="V5815" s="40"/>
      <c r="W5815" s="41"/>
      <c r="X5815" s="28">
        <v>43815</v>
      </c>
      <c r="Y5815" s="28">
        <v>46006</v>
      </c>
    </row>
    <row r="5816" s="9" customFormat="1" customHeight="1" spans="1:25">
      <c r="A5816" s="16" t="s">
        <v>399</v>
      </c>
      <c r="B5816" s="17" t="s">
        <v>7432</v>
      </c>
      <c r="C5816" s="17" t="s">
        <v>2833</v>
      </c>
      <c r="D5816" s="17" t="s">
        <v>6905</v>
      </c>
      <c r="E5816" s="18" t="s">
        <v>7735</v>
      </c>
      <c r="F5816" s="16" t="s">
        <v>7736</v>
      </c>
      <c r="G5816" s="16" t="s">
        <v>88</v>
      </c>
      <c r="H5816" s="19" t="s">
        <v>7752</v>
      </c>
      <c r="I5816" s="23" t="e">
        <f>VLOOKUP(H5816,'合同综合查询数据（3月返）'!$A:$A,1,FALSE)</f>
        <v>#N/A</v>
      </c>
      <c r="J5816" s="24" t="s">
        <v>90</v>
      </c>
      <c r="K5816" s="16" t="s">
        <v>7753</v>
      </c>
      <c r="L5816" s="25"/>
      <c r="M5816" s="26" t="s">
        <v>7608</v>
      </c>
      <c r="N5816" s="28">
        <v>43992</v>
      </c>
      <c r="O5816" s="28" t="s">
        <v>461</v>
      </c>
      <c r="P5816" s="29">
        <v>9580</v>
      </c>
      <c r="Q5816" s="35">
        <v>1</v>
      </c>
      <c r="R5816" s="36">
        <f t="shared" si="130"/>
        <v>9580</v>
      </c>
      <c r="S5816" s="37">
        <v>202303</v>
      </c>
      <c r="T5816" s="38" t="s">
        <v>7782</v>
      </c>
      <c r="U5816" s="39"/>
      <c r="V5816" s="40"/>
      <c r="W5816" s="41"/>
      <c r="X5816" s="28">
        <v>43815</v>
      </c>
      <c r="Y5816" s="28">
        <v>46006</v>
      </c>
    </row>
    <row r="5817" s="9" customFormat="1" customHeight="1" spans="1:25">
      <c r="A5817" s="16" t="s">
        <v>399</v>
      </c>
      <c r="B5817" s="17" t="s">
        <v>7432</v>
      </c>
      <c r="C5817" s="17" t="s">
        <v>2833</v>
      </c>
      <c r="D5817" s="17" t="s">
        <v>6905</v>
      </c>
      <c r="E5817" s="18" t="s">
        <v>7735</v>
      </c>
      <c r="F5817" s="16" t="s">
        <v>7736</v>
      </c>
      <c r="G5817" s="16" t="s">
        <v>88</v>
      </c>
      <c r="H5817" s="19" t="s">
        <v>7752</v>
      </c>
      <c r="I5817" s="23" t="e">
        <f>VLOOKUP(H5817,'合同综合查询数据（3月返）'!$A:$A,1,FALSE)</f>
        <v>#N/A</v>
      </c>
      <c r="J5817" s="24" t="s">
        <v>90</v>
      </c>
      <c r="K5817" s="16" t="s">
        <v>7753</v>
      </c>
      <c r="L5817" s="25"/>
      <c r="M5817" s="26" t="s">
        <v>7608</v>
      </c>
      <c r="N5817" s="28">
        <v>44011</v>
      </c>
      <c r="O5817" s="28" t="s">
        <v>511</v>
      </c>
      <c r="P5817" s="29">
        <v>10860</v>
      </c>
      <c r="Q5817" s="35">
        <v>4</v>
      </c>
      <c r="R5817" s="36">
        <f t="shared" si="130"/>
        <v>43440</v>
      </c>
      <c r="S5817" s="37">
        <v>202303</v>
      </c>
      <c r="T5817" s="38" t="s">
        <v>7783</v>
      </c>
      <c r="U5817" s="39"/>
      <c r="V5817" s="40"/>
      <c r="W5817" s="41"/>
      <c r="X5817" s="28">
        <v>43815</v>
      </c>
      <c r="Y5817" s="28">
        <v>46006</v>
      </c>
    </row>
    <row r="5818" s="9" customFormat="1" customHeight="1" spans="1:25">
      <c r="A5818" s="16" t="s">
        <v>399</v>
      </c>
      <c r="B5818" s="17" t="s">
        <v>7432</v>
      </c>
      <c r="C5818" s="17" t="s">
        <v>2833</v>
      </c>
      <c r="D5818" s="17" t="s">
        <v>6905</v>
      </c>
      <c r="E5818" s="18" t="s">
        <v>7735</v>
      </c>
      <c r="F5818" s="16" t="s">
        <v>7736</v>
      </c>
      <c r="G5818" s="16" t="s">
        <v>88</v>
      </c>
      <c r="H5818" s="19" t="s">
        <v>7752</v>
      </c>
      <c r="I5818" s="23" t="e">
        <f>VLOOKUP(H5818,'合同综合查询数据（3月返）'!$A:$A,1,FALSE)</f>
        <v>#N/A</v>
      </c>
      <c r="J5818" s="24" t="s">
        <v>90</v>
      </c>
      <c r="K5818" s="16" t="s">
        <v>7753</v>
      </c>
      <c r="L5818" s="25"/>
      <c r="M5818" s="26" t="s">
        <v>7608</v>
      </c>
      <c r="N5818" s="28">
        <v>44012</v>
      </c>
      <c r="O5818" s="28" t="s">
        <v>461</v>
      </c>
      <c r="P5818" s="29">
        <v>9580</v>
      </c>
      <c r="Q5818" s="35">
        <v>5</v>
      </c>
      <c r="R5818" s="36">
        <f t="shared" si="130"/>
        <v>47900</v>
      </c>
      <c r="S5818" s="37">
        <v>202303</v>
      </c>
      <c r="T5818" s="38" t="s">
        <v>7784</v>
      </c>
      <c r="U5818" s="39"/>
      <c r="V5818" s="40"/>
      <c r="W5818" s="41"/>
      <c r="X5818" s="28">
        <v>43815</v>
      </c>
      <c r="Y5818" s="28">
        <v>46006</v>
      </c>
    </row>
    <row r="5819" s="9" customFormat="1" customHeight="1" spans="1:25">
      <c r="A5819" s="16" t="s">
        <v>399</v>
      </c>
      <c r="B5819" s="17" t="s">
        <v>7432</v>
      </c>
      <c r="C5819" s="17" t="s">
        <v>2833</v>
      </c>
      <c r="D5819" s="17" t="s">
        <v>6905</v>
      </c>
      <c r="E5819" s="18" t="s">
        <v>7735</v>
      </c>
      <c r="F5819" s="16" t="s">
        <v>7736</v>
      </c>
      <c r="G5819" s="16" t="s">
        <v>88</v>
      </c>
      <c r="H5819" s="19" t="s">
        <v>7752</v>
      </c>
      <c r="I5819" s="23" t="e">
        <f>VLOOKUP(H5819,'合同综合查询数据（3月返）'!$A:$A,1,FALSE)</f>
        <v>#N/A</v>
      </c>
      <c r="J5819" s="24" t="s">
        <v>90</v>
      </c>
      <c r="K5819" s="16" t="s">
        <v>7753</v>
      </c>
      <c r="L5819" s="25"/>
      <c r="M5819" s="26" t="s">
        <v>7608</v>
      </c>
      <c r="N5819" s="28">
        <v>44016</v>
      </c>
      <c r="O5819" s="28" t="s">
        <v>461</v>
      </c>
      <c r="P5819" s="29">
        <v>9580</v>
      </c>
      <c r="Q5819" s="35">
        <v>3</v>
      </c>
      <c r="R5819" s="36">
        <f t="shared" si="130"/>
        <v>28740</v>
      </c>
      <c r="S5819" s="37">
        <v>202303</v>
      </c>
      <c r="T5819" s="38" t="s">
        <v>7785</v>
      </c>
      <c r="U5819" s="39"/>
      <c r="V5819" s="40"/>
      <c r="W5819" s="41"/>
      <c r="X5819" s="28">
        <v>43815</v>
      </c>
      <c r="Y5819" s="28">
        <v>46006</v>
      </c>
    </row>
    <row r="5820" s="9" customFormat="1" customHeight="1" spans="1:25">
      <c r="A5820" s="16" t="s">
        <v>399</v>
      </c>
      <c r="B5820" s="17" t="s">
        <v>7432</v>
      </c>
      <c r="C5820" s="17" t="s">
        <v>2833</v>
      </c>
      <c r="D5820" s="17" t="s">
        <v>6905</v>
      </c>
      <c r="E5820" s="18" t="s">
        <v>7735</v>
      </c>
      <c r="F5820" s="16" t="s">
        <v>7736</v>
      </c>
      <c r="G5820" s="16" t="s">
        <v>88</v>
      </c>
      <c r="H5820" s="19" t="s">
        <v>7752</v>
      </c>
      <c r="I5820" s="23" t="e">
        <f>VLOOKUP(H5820,'合同综合查询数据（3月返）'!$A:$A,1,FALSE)</f>
        <v>#N/A</v>
      </c>
      <c r="J5820" s="24" t="s">
        <v>90</v>
      </c>
      <c r="K5820" s="16" t="s">
        <v>7753</v>
      </c>
      <c r="L5820" s="25"/>
      <c r="M5820" s="26" t="s">
        <v>7608</v>
      </c>
      <c r="N5820" s="28">
        <v>44032</v>
      </c>
      <c r="O5820" s="28" t="s">
        <v>461</v>
      </c>
      <c r="P5820" s="29">
        <v>9580</v>
      </c>
      <c r="Q5820" s="35">
        <v>13</v>
      </c>
      <c r="R5820" s="36">
        <f t="shared" si="130"/>
        <v>124540</v>
      </c>
      <c r="S5820" s="37">
        <v>202303</v>
      </c>
      <c r="T5820" s="38" t="s">
        <v>7786</v>
      </c>
      <c r="U5820" s="39"/>
      <c r="V5820" s="40"/>
      <c r="W5820" s="41"/>
      <c r="X5820" s="28">
        <v>43815</v>
      </c>
      <c r="Y5820" s="28">
        <v>46006</v>
      </c>
    </row>
    <row r="5821" s="9" customFormat="1" customHeight="1" spans="1:25">
      <c r="A5821" s="16" t="s">
        <v>399</v>
      </c>
      <c r="B5821" s="17" t="s">
        <v>7432</v>
      </c>
      <c r="C5821" s="17" t="s">
        <v>2833</v>
      </c>
      <c r="D5821" s="17" t="s">
        <v>6905</v>
      </c>
      <c r="E5821" s="18" t="s">
        <v>7735</v>
      </c>
      <c r="F5821" s="16" t="s">
        <v>7736</v>
      </c>
      <c r="G5821" s="16" t="s">
        <v>88</v>
      </c>
      <c r="H5821" s="19" t="s">
        <v>7752</v>
      </c>
      <c r="I5821" s="23" t="e">
        <f>VLOOKUP(H5821,'合同综合查询数据（3月返）'!$A:$A,1,FALSE)</f>
        <v>#N/A</v>
      </c>
      <c r="J5821" s="24" t="s">
        <v>90</v>
      </c>
      <c r="K5821" s="16" t="s">
        <v>7753</v>
      </c>
      <c r="L5821" s="25"/>
      <c r="M5821" s="26" t="s">
        <v>7608</v>
      </c>
      <c r="N5821" s="28">
        <v>44032</v>
      </c>
      <c r="O5821" s="28" t="s">
        <v>457</v>
      </c>
      <c r="P5821" s="29">
        <v>4790</v>
      </c>
      <c r="Q5821" s="35">
        <v>1</v>
      </c>
      <c r="R5821" s="36">
        <f t="shared" si="130"/>
        <v>4790</v>
      </c>
      <c r="S5821" s="37">
        <v>202303</v>
      </c>
      <c r="T5821" s="38" t="s">
        <v>7787</v>
      </c>
      <c r="U5821" s="39"/>
      <c r="V5821" s="40"/>
      <c r="W5821" s="41"/>
      <c r="X5821" s="28">
        <v>43815</v>
      </c>
      <c r="Y5821" s="28">
        <v>46006</v>
      </c>
    </row>
    <row r="5822" s="9" customFormat="1" customHeight="1" spans="1:25">
      <c r="A5822" s="16" t="s">
        <v>399</v>
      </c>
      <c r="B5822" s="17" t="s">
        <v>7432</v>
      </c>
      <c r="C5822" s="17" t="s">
        <v>2833</v>
      </c>
      <c r="D5822" s="17" t="s">
        <v>6905</v>
      </c>
      <c r="E5822" s="18" t="s">
        <v>7735</v>
      </c>
      <c r="F5822" s="16" t="s">
        <v>7736</v>
      </c>
      <c r="G5822" s="16" t="s">
        <v>88</v>
      </c>
      <c r="H5822" s="19" t="s">
        <v>7752</v>
      </c>
      <c r="I5822" s="23" t="e">
        <f>VLOOKUP(H5822,'合同综合查询数据（3月返）'!$A:$A,1,FALSE)</f>
        <v>#N/A</v>
      </c>
      <c r="J5822" s="24" t="s">
        <v>90</v>
      </c>
      <c r="K5822" s="16" t="s">
        <v>7753</v>
      </c>
      <c r="L5822" s="25"/>
      <c r="M5822" s="26" t="s">
        <v>7608</v>
      </c>
      <c r="N5822" s="28">
        <v>44012</v>
      </c>
      <c r="O5822" s="28" t="s">
        <v>461</v>
      </c>
      <c r="P5822" s="29">
        <v>9580</v>
      </c>
      <c r="Q5822" s="35">
        <v>-5</v>
      </c>
      <c r="R5822" s="36">
        <f t="shared" ref="R5822:R5885" si="131">ROUND(P5822*Q5822,2)</f>
        <v>-47900</v>
      </c>
      <c r="S5822" s="37">
        <v>202303</v>
      </c>
      <c r="T5822" s="38" t="s">
        <v>7788</v>
      </c>
      <c r="U5822" s="39"/>
      <c r="V5822" s="40"/>
      <c r="W5822" s="41"/>
      <c r="X5822" s="28">
        <v>43815</v>
      </c>
      <c r="Y5822" s="28">
        <v>46006</v>
      </c>
    </row>
    <row r="5823" s="9" customFormat="1" customHeight="1" spans="1:25">
      <c r="A5823" s="16" t="s">
        <v>399</v>
      </c>
      <c r="B5823" s="17" t="s">
        <v>7432</v>
      </c>
      <c r="C5823" s="17" t="s">
        <v>2833</v>
      </c>
      <c r="D5823" s="17" t="s">
        <v>6905</v>
      </c>
      <c r="E5823" s="18" t="s">
        <v>7735</v>
      </c>
      <c r="F5823" s="16" t="s">
        <v>7736</v>
      </c>
      <c r="G5823" s="16" t="s">
        <v>88</v>
      </c>
      <c r="H5823" s="19" t="s">
        <v>7752</v>
      </c>
      <c r="I5823" s="23" t="e">
        <f>VLOOKUP(H5823,'合同综合查询数据（3月返）'!$A:$A,1,FALSE)</f>
        <v>#N/A</v>
      </c>
      <c r="J5823" s="24" t="s">
        <v>90</v>
      </c>
      <c r="K5823" s="16" t="s">
        <v>7753</v>
      </c>
      <c r="L5823" s="25"/>
      <c r="M5823" s="26" t="s">
        <v>7608</v>
      </c>
      <c r="N5823" s="28">
        <v>44021</v>
      </c>
      <c r="O5823" s="28" t="s">
        <v>461</v>
      </c>
      <c r="P5823" s="29">
        <v>9580</v>
      </c>
      <c r="Q5823" s="35">
        <v>45</v>
      </c>
      <c r="R5823" s="36">
        <f t="shared" si="131"/>
        <v>431100</v>
      </c>
      <c r="S5823" s="37">
        <v>202303</v>
      </c>
      <c r="T5823" s="38" t="s">
        <v>7789</v>
      </c>
      <c r="U5823" s="39"/>
      <c r="V5823" s="40"/>
      <c r="W5823" s="41"/>
      <c r="X5823" s="28">
        <v>43815</v>
      </c>
      <c r="Y5823" s="28">
        <v>46006</v>
      </c>
    </row>
    <row r="5824" s="9" customFormat="1" customHeight="1" spans="1:25">
      <c r="A5824" s="16" t="s">
        <v>399</v>
      </c>
      <c r="B5824" s="17" t="s">
        <v>7432</v>
      </c>
      <c r="C5824" s="17" t="s">
        <v>2833</v>
      </c>
      <c r="D5824" s="17" t="s">
        <v>6905</v>
      </c>
      <c r="E5824" s="18" t="s">
        <v>7735</v>
      </c>
      <c r="F5824" s="16" t="s">
        <v>7736</v>
      </c>
      <c r="G5824" s="16" t="s">
        <v>88</v>
      </c>
      <c r="H5824" s="19" t="s">
        <v>7752</v>
      </c>
      <c r="I5824" s="23" t="e">
        <f>VLOOKUP(H5824,'合同综合查询数据（3月返）'!$A:$A,1,FALSE)</f>
        <v>#N/A</v>
      </c>
      <c r="J5824" s="24" t="s">
        <v>90</v>
      </c>
      <c r="K5824" s="16" t="s">
        <v>7753</v>
      </c>
      <c r="L5824" s="25"/>
      <c r="M5824" s="26" t="s">
        <v>7608</v>
      </c>
      <c r="N5824" s="28">
        <v>44029</v>
      </c>
      <c r="O5824" s="28" t="s">
        <v>461</v>
      </c>
      <c r="P5824" s="29">
        <v>9580</v>
      </c>
      <c r="Q5824" s="35">
        <v>2</v>
      </c>
      <c r="R5824" s="36">
        <f t="shared" si="131"/>
        <v>19160</v>
      </c>
      <c r="S5824" s="37">
        <v>202303</v>
      </c>
      <c r="T5824" s="38" t="s">
        <v>7790</v>
      </c>
      <c r="U5824" s="39"/>
      <c r="V5824" s="40"/>
      <c r="W5824" s="41"/>
      <c r="X5824" s="28">
        <v>43815</v>
      </c>
      <c r="Y5824" s="28">
        <v>46006</v>
      </c>
    </row>
    <row r="5825" s="9" customFormat="1" customHeight="1" spans="1:25">
      <c r="A5825" s="16" t="s">
        <v>399</v>
      </c>
      <c r="B5825" s="17" t="s">
        <v>7432</v>
      </c>
      <c r="C5825" s="17" t="s">
        <v>2833</v>
      </c>
      <c r="D5825" s="17" t="s">
        <v>6905</v>
      </c>
      <c r="E5825" s="18" t="s">
        <v>7735</v>
      </c>
      <c r="F5825" s="16" t="s">
        <v>7736</v>
      </c>
      <c r="G5825" s="16" t="s">
        <v>88</v>
      </c>
      <c r="H5825" s="19" t="s">
        <v>7752</v>
      </c>
      <c r="I5825" s="23" t="e">
        <f>VLOOKUP(H5825,'合同综合查询数据（3月返）'!$A:$A,1,FALSE)</f>
        <v>#N/A</v>
      </c>
      <c r="J5825" s="24" t="s">
        <v>90</v>
      </c>
      <c r="K5825" s="16" t="s">
        <v>7753</v>
      </c>
      <c r="L5825" s="25"/>
      <c r="M5825" s="26" t="s">
        <v>7608</v>
      </c>
      <c r="N5825" s="28">
        <v>44057</v>
      </c>
      <c r="O5825" s="28" t="s">
        <v>461</v>
      </c>
      <c r="P5825" s="29">
        <v>9580</v>
      </c>
      <c r="Q5825" s="35">
        <v>2</v>
      </c>
      <c r="R5825" s="36">
        <f t="shared" si="131"/>
        <v>19160</v>
      </c>
      <c r="S5825" s="37">
        <v>202303</v>
      </c>
      <c r="T5825" s="38" t="s">
        <v>7791</v>
      </c>
      <c r="U5825" s="39"/>
      <c r="V5825" s="40"/>
      <c r="W5825" s="41"/>
      <c r="X5825" s="28">
        <v>43815</v>
      </c>
      <c r="Y5825" s="28">
        <v>46006</v>
      </c>
    </row>
    <row r="5826" s="9" customFormat="1" customHeight="1" spans="1:25">
      <c r="A5826" s="16" t="s">
        <v>399</v>
      </c>
      <c r="B5826" s="17" t="s">
        <v>7432</v>
      </c>
      <c r="C5826" s="17" t="s">
        <v>2833</v>
      </c>
      <c r="D5826" s="17" t="s">
        <v>6905</v>
      </c>
      <c r="E5826" s="18" t="s">
        <v>7735</v>
      </c>
      <c r="F5826" s="16" t="s">
        <v>7736</v>
      </c>
      <c r="G5826" s="16" t="s">
        <v>88</v>
      </c>
      <c r="H5826" s="19" t="s">
        <v>7752</v>
      </c>
      <c r="I5826" s="23" t="e">
        <f>VLOOKUP(H5826,'合同综合查询数据（3月返）'!$A:$A,1,FALSE)</f>
        <v>#N/A</v>
      </c>
      <c r="J5826" s="24" t="s">
        <v>90</v>
      </c>
      <c r="K5826" s="16" t="s">
        <v>7753</v>
      </c>
      <c r="L5826" s="25"/>
      <c r="M5826" s="26" t="s">
        <v>7608</v>
      </c>
      <c r="N5826" s="28">
        <v>44104</v>
      </c>
      <c r="O5826" s="28" t="s">
        <v>461</v>
      </c>
      <c r="P5826" s="29">
        <v>9580</v>
      </c>
      <c r="Q5826" s="35">
        <v>7</v>
      </c>
      <c r="R5826" s="36">
        <f t="shared" si="131"/>
        <v>67060</v>
      </c>
      <c r="S5826" s="37">
        <v>202303</v>
      </c>
      <c r="T5826" s="38" t="s">
        <v>7792</v>
      </c>
      <c r="U5826" s="39"/>
      <c r="V5826" s="40"/>
      <c r="W5826" s="41"/>
      <c r="X5826" s="28">
        <v>43815</v>
      </c>
      <c r="Y5826" s="28">
        <v>46006</v>
      </c>
    </row>
    <row r="5827" s="9" customFormat="1" customHeight="1" spans="1:25">
      <c r="A5827" s="16" t="s">
        <v>399</v>
      </c>
      <c r="B5827" s="17" t="s">
        <v>7432</v>
      </c>
      <c r="C5827" s="17" t="s">
        <v>2833</v>
      </c>
      <c r="D5827" s="17" t="s">
        <v>6905</v>
      </c>
      <c r="E5827" s="18" t="s">
        <v>7735</v>
      </c>
      <c r="F5827" s="16" t="s">
        <v>7736</v>
      </c>
      <c r="G5827" s="16" t="s">
        <v>88</v>
      </c>
      <c r="H5827" s="19" t="s">
        <v>7752</v>
      </c>
      <c r="I5827" s="23" t="e">
        <f>VLOOKUP(H5827,'合同综合查询数据（3月返）'!$A:$A,1,FALSE)</f>
        <v>#N/A</v>
      </c>
      <c r="J5827" s="24" t="s">
        <v>90</v>
      </c>
      <c r="K5827" s="16" t="s">
        <v>7753</v>
      </c>
      <c r="L5827" s="25"/>
      <c r="M5827" s="26" t="s">
        <v>7608</v>
      </c>
      <c r="N5827" s="28">
        <v>44125</v>
      </c>
      <c r="O5827" s="28" t="s">
        <v>461</v>
      </c>
      <c r="P5827" s="29">
        <v>9580</v>
      </c>
      <c r="Q5827" s="35">
        <v>6</v>
      </c>
      <c r="R5827" s="36">
        <f t="shared" si="131"/>
        <v>57480</v>
      </c>
      <c r="S5827" s="37">
        <v>202303</v>
      </c>
      <c r="T5827" s="38" t="s">
        <v>7793</v>
      </c>
      <c r="U5827" s="39"/>
      <c r="V5827" s="40"/>
      <c r="W5827" s="41"/>
      <c r="X5827" s="28">
        <v>43815</v>
      </c>
      <c r="Y5827" s="28">
        <v>46006</v>
      </c>
    </row>
    <row r="5828" s="9" customFormat="1" customHeight="1" spans="1:25">
      <c r="A5828" s="16" t="s">
        <v>399</v>
      </c>
      <c r="B5828" s="17" t="s">
        <v>7432</v>
      </c>
      <c r="C5828" s="17" t="s">
        <v>2833</v>
      </c>
      <c r="D5828" s="17" t="s">
        <v>6905</v>
      </c>
      <c r="E5828" s="18" t="s">
        <v>7735</v>
      </c>
      <c r="F5828" s="16" t="s">
        <v>7736</v>
      </c>
      <c r="G5828" s="16" t="s">
        <v>88</v>
      </c>
      <c r="H5828" s="19" t="s">
        <v>7752</v>
      </c>
      <c r="I5828" s="23" t="e">
        <f>VLOOKUP(H5828,'合同综合查询数据（3月返）'!$A:$A,1,FALSE)</f>
        <v>#N/A</v>
      </c>
      <c r="J5828" s="24" t="s">
        <v>90</v>
      </c>
      <c r="K5828" s="16" t="s">
        <v>7753</v>
      </c>
      <c r="L5828" s="25"/>
      <c r="M5828" s="26" t="s">
        <v>7608</v>
      </c>
      <c r="N5828" s="28">
        <v>44137</v>
      </c>
      <c r="O5828" s="28" t="s">
        <v>511</v>
      </c>
      <c r="P5828" s="29">
        <v>10860</v>
      </c>
      <c r="Q5828" s="35">
        <v>1</v>
      </c>
      <c r="R5828" s="36">
        <f t="shared" si="131"/>
        <v>10860</v>
      </c>
      <c r="S5828" s="37">
        <v>202303</v>
      </c>
      <c r="T5828" s="38" t="s">
        <v>7794</v>
      </c>
      <c r="U5828" s="39"/>
      <c r="V5828" s="40"/>
      <c r="W5828" s="41"/>
      <c r="X5828" s="28">
        <v>43815</v>
      </c>
      <c r="Y5828" s="28">
        <v>46006</v>
      </c>
    </row>
    <row r="5829" s="9" customFormat="1" customHeight="1" spans="1:25">
      <c r="A5829" s="16" t="s">
        <v>399</v>
      </c>
      <c r="B5829" s="17" t="s">
        <v>7432</v>
      </c>
      <c r="C5829" s="17" t="s">
        <v>2833</v>
      </c>
      <c r="D5829" s="17" t="s">
        <v>6905</v>
      </c>
      <c r="E5829" s="18" t="s">
        <v>7735</v>
      </c>
      <c r="F5829" s="16" t="s">
        <v>7736</v>
      </c>
      <c r="G5829" s="16" t="s">
        <v>88</v>
      </c>
      <c r="H5829" s="19" t="s">
        <v>7752</v>
      </c>
      <c r="I5829" s="23" t="e">
        <f>VLOOKUP(H5829,'合同综合查询数据（3月返）'!$A:$A,1,FALSE)</f>
        <v>#N/A</v>
      </c>
      <c r="J5829" s="24" t="s">
        <v>90</v>
      </c>
      <c r="K5829" s="16" t="s">
        <v>7753</v>
      </c>
      <c r="L5829" s="25"/>
      <c r="M5829" s="26" t="s">
        <v>7608</v>
      </c>
      <c r="N5829" s="28">
        <v>44140</v>
      </c>
      <c r="O5829" s="28" t="s">
        <v>511</v>
      </c>
      <c r="P5829" s="29">
        <v>10860</v>
      </c>
      <c r="Q5829" s="35">
        <v>2</v>
      </c>
      <c r="R5829" s="36">
        <f t="shared" si="131"/>
        <v>21720</v>
      </c>
      <c r="S5829" s="37">
        <v>202303</v>
      </c>
      <c r="T5829" s="38" t="s">
        <v>7795</v>
      </c>
      <c r="U5829" s="39"/>
      <c r="V5829" s="40"/>
      <c r="W5829" s="41"/>
      <c r="X5829" s="28">
        <v>43815</v>
      </c>
      <c r="Y5829" s="28">
        <v>46006</v>
      </c>
    </row>
    <row r="5830" s="9" customFormat="1" customHeight="1" spans="1:25">
      <c r="A5830" s="16" t="s">
        <v>399</v>
      </c>
      <c r="B5830" s="17" t="s">
        <v>7432</v>
      </c>
      <c r="C5830" s="17" t="s">
        <v>2833</v>
      </c>
      <c r="D5830" s="17" t="s">
        <v>6905</v>
      </c>
      <c r="E5830" s="18" t="s">
        <v>7735</v>
      </c>
      <c r="F5830" s="16" t="s">
        <v>7736</v>
      </c>
      <c r="G5830" s="16" t="s">
        <v>88</v>
      </c>
      <c r="H5830" s="19" t="s">
        <v>7752</v>
      </c>
      <c r="I5830" s="23" t="e">
        <f>VLOOKUP(H5830,'合同综合查询数据（3月返）'!$A:$A,1,FALSE)</f>
        <v>#N/A</v>
      </c>
      <c r="J5830" s="24" t="s">
        <v>90</v>
      </c>
      <c r="K5830" s="16" t="s">
        <v>7753</v>
      </c>
      <c r="L5830" s="25"/>
      <c r="M5830" s="26" t="s">
        <v>7608</v>
      </c>
      <c r="N5830" s="28">
        <v>44140</v>
      </c>
      <c r="O5830" s="28" t="s">
        <v>574</v>
      </c>
      <c r="P5830" s="29">
        <v>30630</v>
      </c>
      <c r="Q5830" s="35">
        <v>2</v>
      </c>
      <c r="R5830" s="36">
        <f t="shared" si="131"/>
        <v>61260</v>
      </c>
      <c r="S5830" s="37">
        <v>202303</v>
      </c>
      <c r="T5830" s="38" t="s">
        <v>7796</v>
      </c>
      <c r="U5830" s="39"/>
      <c r="V5830" s="40"/>
      <c r="W5830" s="41"/>
      <c r="X5830" s="28">
        <v>43815</v>
      </c>
      <c r="Y5830" s="28">
        <v>46006</v>
      </c>
    </row>
    <row r="5831" s="9" customFormat="1" customHeight="1" spans="1:25">
      <c r="A5831" s="16" t="s">
        <v>399</v>
      </c>
      <c r="B5831" s="17" t="s">
        <v>7432</v>
      </c>
      <c r="C5831" s="17" t="s">
        <v>2833</v>
      </c>
      <c r="D5831" s="17" t="s">
        <v>6905</v>
      </c>
      <c r="E5831" s="18" t="s">
        <v>7735</v>
      </c>
      <c r="F5831" s="16" t="s">
        <v>7736</v>
      </c>
      <c r="G5831" s="16" t="s">
        <v>88</v>
      </c>
      <c r="H5831" s="19" t="s">
        <v>7752</v>
      </c>
      <c r="I5831" s="23" t="e">
        <f>VLOOKUP(H5831,'合同综合查询数据（3月返）'!$A:$A,1,FALSE)</f>
        <v>#N/A</v>
      </c>
      <c r="J5831" s="24" t="s">
        <v>90</v>
      </c>
      <c r="K5831" s="16" t="s">
        <v>7753</v>
      </c>
      <c r="L5831" s="25"/>
      <c r="M5831" s="26" t="s">
        <v>7608</v>
      </c>
      <c r="N5831" s="28">
        <v>44161</v>
      </c>
      <c r="O5831" s="28" t="s">
        <v>461</v>
      </c>
      <c r="P5831" s="29">
        <v>9580</v>
      </c>
      <c r="Q5831" s="35">
        <v>7</v>
      </c>
      <c r="R5831" s="36">
        <f t="shared" si="131"/>
        <v>67060</v>
      </c>
      <c r="S5831" s="37">
        <v>202303</v>
      </c>
      <c r="T5831" s="38" t="s">
        <v>7797</v>
      </c>
      <c r="U5831" s="39"/>
      <c r="V5831" s="40"/>
      <c r="W5831" s="41"/>
      <c r="X5831" s="28">
        <v>43815</v>
      </c>
      <c r="Y5831" s="28">
        <v>46006</v>
      </c>
    </row>
    <row r="5832" s="9" customFormat="1" customHeight="1" spans="1:25">
      <c r="A5832" s="16" t="s">
        <v>399</v>
      </c>
      <c r="B5832" s="17" t="s">
        <v>7432</v>
      </c>
      <c r="C5832" s="17" t="s">
        <v>2833</v>
      </c>
      <c r="D5832" s="17" t="s">
        <v>6905</v>
      </c>
      <c r="E5832" s="18" t="s">
        <v>7735</v>
      </c>
      <c r="F5832" s="16" t="s">
        <v>7736</v>
      </c>
      <c r="G5832" s="16" t="s">
        <v>88</v>
      </c>
      <c r="H5832" s="19" t="s">
        <v>7752</v>
      </c>
      <c r="I5832" s="23" t="e">
        <f>VLOOKUP(H5832,'合同综合查询数据（3月返）'!$A:$A,1,FALSE)</f>
        <v>#N/A</v>
      </c>
      <c r="J5832" s="24" t="s">
        <v>90</v>
      </c>
      <c r="K5832" s="16" t="s">
        <v>7753</v>
      </c>
      <c r="L5832" s="25"/>
      <c r="M5832" s="26" t="s">
        <v>7608</v>
      </c>
      <c r="N5832" s="28">
        <v>44196</v>
      </c>
      <c r="O5832" s="28" t="s">
        <v>461</v>
      </c>
      <c r="P5832" s="29">
        <v>9580</v>
      </c>
      <c r="Q5832" s="35">
        <v>6</v>
      </c>
      <c r="R5832" s="36">
        <f t="shared" si="131"/>
        <v>57480</v>
      </c>
      <c r="S5832" s="37">
        <v>202303</v>
      </c>
      <c r="T5832" s="38" t="s">
        <v>7798</v>
      </c>
      <c r="U5832" s="39"/>
      <c r="V5832" s="40"/>
      <c r="W5832" s="41"/>
      <c r="X5832" s="28">
        <v>43815</v>
      </c>
      <c r="Y5832" s="28">
        <v>46006</v>
      </c>
    </row>
    <row r="5833" s="9" customFormat="1" customHeight="1" spans="1:25">
      <c r="A5833" s="16" t="s">
        <v>399</v>
      </c>
      <c r="B5833" s="17" t="s">
        <v>7432</v>
      </c>
      <c r="C5833" s="17" t="s">
        <v>2833</v>
      </c>
      <c r="D5833" s="17" t="s">
        <v>6905</v>
      </c>
      <c r="E5833" s="18" t="s">
        <v>7735</v>
      </c>
      <c r="F5833" s="16" t="s">
        <v>7736</v>
      </c>
      <c r="G5833" s="16" t="s">
        <v>88</v>
      </c>
      <c r="H5833" s="19" t="s">
        <v>7752</v>
      </c>
      <c r="I5833" s="23" t="e">
        <f>VLOOKUP(H5833,'合同综合查询数据（3月返）'!$A:$A,1,FALSE)</f>
        <v>#N/A</v>
      </c>
      <c r="J5833" s="24" t="s">
        <v>90</v>
      </c>
      <c r="K5833" s="16" t="s">
        <v>7753</v>
      </c>
      <c r="L5833" s="25"/>
      <c r="M5833" s="26" t="s">
        <v>7608</v>
      </c>
      <c r="N5833" s="28">
        <v>44208</v>
      </c>
      <c r="O5833" s="28" t="s">
        <v>461</v>
      </c>
      <c r="P5833" s="29">
        <v>9580</v>
      </c>
      <c r="Q5833" s="35">
        <v>5</v>
      </c>
      <c r="R5833" s="36">
        <f t="shared" si="131"/>
        <v>47900</v>
      </c>
      <c r="S5833" s="37">
        <v>202303</v>
      </c>
      <c r="T5833" s="38" t="s">
        <v>7799</v>
      </c>
      <c r="U5833" s="39"/>
      <c r="V5833" s="40"/>
      <c r="W5833" s="41"/>
      <c r="X5833" s="28">
        <v>43815</v>
      </c>
      <c r="Y5833" s="28">
        <v>46006</v>
      </c>
    </row>
    <row r="5834" s="9" customFormat="1" customHeight="1" spans="1:25">
      <c r="A5834" s="16" t="s">
        <v>399</v>
      </c>
      <c r="B5834" s="17" t="s">
        <v>7432</v>
      </c>
      <c r="C5834" s="17" t="s">
        <v>2833</v>
      </c>
      <c r="D5834" s="17" t="s">
        <v>6905</v>
      </c>
      <c r="E5834" s="18" t="s">
        <v>7735</v>
      </c>
      <c r="F5834" s="16" t="s">
        <v>7736</v>
      </c>
      <c r="G5834" s="16" t="s">
        <v>88</v>
      </c>
      <c r="H5834" s="19" t="s">
        <v>7752</v>
      </c>
      <c r="I5834" s="23" t="e">
        <f>VLOOKUP(H5834,'合同综合查询数据（3月返）'!$A:$A,1,FALSE)</f>
        <v>#N/A</v>
      </c>
      <c r="J5834" s="24" t="s">
        <v>90</v>
      </c>
      <c r="K5834" s="16" t="s">
        <v>7753</v>
      </c>
      <c r="L5834" s="25"/>
      <c r="M5834" s="26" t="s">
        <v>7608</v>
      </c>
      <c r="N5834" s="28">
        <v>44209</v>
      </c>
      <c r="O5834" s="28" t="s">
        <v>461</v>
      </c>
      <c r="P5834" s="29">
        <v>9580</v>
      </c>
      <c r="Q5834" s="35">
        <v>1</v>
      </c>
      <c r="R5834" s="36">
        <f t="shared" si="131"/>
        <v>9580</v>
      </c>
      <c r="S5834" s="37">
        <v>202303</v>
      </c>
      <c r="T5834" s="38" t="s">
        <v>7800</v>
      </c>
      <c r="U5834" s="39"/>
      <c r="V5834" s="40"/>
      <c r="W5834" s="41"/>
      <c r="X5834" s="28">
        <v>43815</v>
      </c>
      <c r="Y5834" s="28">
        <v>46006</v>
      </c>
    </row>
    <row r="5835" s="9" customFormat="1" customHeight="1" spans="1:25">
      <c r="A5835" s="16" t="s">
        <v>399</v>
      </c>
      <c r="B5835" s="17" t="s">
        <v>7432</v>
      </c>
      <c r="C5835" s="17" t="s">
        <v>2833</v>
      </c>
      <c r="D5835" s="17" t="s">
        <v>6905</v>
      </c>
      <c r="E5835" s="18" t="s">
        <v>7735</v>
      </c>
      <c r="F5835" s="16" t="s">
        <v>7736</v>
      </c>
      <c r="G5835" s="16" t="s">
        <v>88</v>
      </c>
      <c r="H5835" s="19" t="s">
        <v>7752</v>
      </c>
      <c r="I5835" s="23" t="e">
        <f>VLOOKUP(H5835,'合同综合查询数据（3月返）'!$A:$A,1,FALSE)</f>
        <v>#N/A</v>
      </c>
      <c r="J5835" s="24" t="s">
        <v>90</v>
      </c>
      <c r="K5835" s="16" t="s">
        <v>7753</v>
      </c>
      <c r="L5835" s="25"/>
      <c r="M5835" s="26" t="s">
        <v>7608</v>
      </c>
      <c r="N5835" s="28">
        <v>44214</v>
      </c>
      <c r="O5835" s="28" t="s">
        <v>457</v>
      </c>
      <c r="P5835" s="29">
        <v>4790</v>
      </c>
      <c r="Q5835" s="35">
        <v>2</v>
      </c>
      <c r="R5835" s="36">
        <f t="shared" si="131"/>
        <v>9580</v>
      </c>
      <c r="S5835" s="37">
        <v>202303</v>
      </c>
      <c r="T5835" s="38" t="s">
        <v>7801</v>
      </c>
      <c r="U5835" s="39"/>
      <c r="V5835" s="40"/>
      <c r="W5835" s="41"/>
      <c r="X5835" s="28">
        <v>43815</v>
      </c>
      <c r="Y5835" s="28">
        <v>46006</v>
      </c>
    </row>
    <row r="5836" s="9" customFormat="1" customHeight="1" spans="1:25">
      <c r="A5836" s="16" t="s">
        <v>399</v>
      </c>
      <c r="B5836" s="17" t="s">
        <v>7432</v>
      </c>
      <c r="C5836" s="17" t="s">
        <v>2833</v>
      </c>
      <c r="D5836" s="17" t="s">
        <v>6905</v>
      </c>
      <c r="E5836" s="18" t="s">
        <v>7735</v>
      </c>
      <c r="F5836" s="16" t="s">
        <v>7736</v>
      </c>
      <c r="G5836" s="16" t="s">
        <v>88</v>
      </c>
      <c r="H5836" s="19" t="s">
        <v>7752</v>
      </c>
      <c r="I5836" s="23" t="e">
        <f>VLOOKUP(H5836,'合同综合查询数据（3月返）'!$A:$A,1,FALSE)</f>
        <v>#N/A</v>
      </c>
      <c r="J5836" s="24" t="s">
        <v>90</v>
      </c>
      <c r="K5836" s="16" t="s">
        <v>7753</v>
      </c>
      <c r="L5836" s="25"/>
      <c r="M5836" s="26" t="s">
        <v>7608</v>
      </c>
      <c r="N5836" s="28">
        <v>44224</v>
      </c>
      <c r="O5836" s="28" t="s">
        <v>461</v>
      </c>
      <c r="P5836" s="29">
        <v>9580</v>
      </c>
      <c r="Q5836" s="35">
        <v>1</v>
      </c>
      <c r="R5836" s="36">
        <f t="shared" si="131"/>
        <v>9580</v>
      </c>
      <c r="S5836" s="37">
        <v>202303</v>
      </c>
      <c r="T5836" s="38" t="s">
        <v>7802</v>
      </c>
      <c r="U5836" s="39"/>
      <c r="V5836" s="40"/>
      <c r="W5836" s="41"/>
      <c r="X5836" s="28">
        <v>43815</v>
      </c>
      <c r="Y5836" s="28">
        <v>46006</v>
      </c>
    </row>
    <row r="5837" s="9" customFormat="1" customHeight="1" spans="1:25">
      <c r="A5837" s="16" t="s">
        <v>399</v>
      </c>
      <c r="B5837" s="17" t="s">
        <v>7432</v>
      </c>
      <c r="C5837" s="17" t="s">
        <v>2833</v>
      </c>
      <c r="D5837" s="17" t="s">
        <v>6905</v>
      </c>
      <c r="E5837" s="18" t="s">
        <v>7735</v>
      </c>
      <c r="F5837" s="16" t="s">
        <v>7736</v>
      </c>
      <c r="G5837" s="16" t="s">
        <v>88</v>
      </c>
      <c r="H5837" s="19" t="s">
        <v>7752</v>
      </c>
      <c r="I5837" s="23" t="e">
        <f>VLOOKUP(H5837,'合同综合查询数据（3月返）'!$A:$A,1,FALSE)</f>
        <v>#N/A</v>
      </c>
      <c r="J5837" s="24" t="s">
        <v>90</v>
      </c>
      <c r="K5837" s="16" t="s">
        <v>7753</v>
      </c>
      <c r="L5837" s="25"/>
      <c r="M5837" s="26" t="s">
        <v>7608</v>
      </c>
      <c r="N5837" s="28">
        <v>44232</v>
      </c>
      <c r="O5837" s="28" t="s">
        <v>461</v>
      </c>
      <c r="P5837" s="29">
        <v>9580</v>
      </c>
      <c r="Q5837" s="35">
        <v>9</v>
      </c>
      <c r="R5837" s="36">
        <f t="shared" si="131"/>
        <v>86220</v>
      </c>
      <c r="S5837" s="37">
        <v>202303</v>
      </c>
      <c r="T5837" s="38" t="s">
        <v>7803</v>
      </c>
      <c r="U5837" s="39"/>
      <c r="V5837" s="40"/>
      <c r="W5837" s="41"/>
      <c r="X5837" s="28">
        <v>43815</v>
      </c>
      <c r="Y5837" s="28">
        <v>46006</v>
      </c>
    </row>
    <row r="5838" s="9" customFormat="1" customHeight="1" spans="1:25">
      <c r="A5838" s="16" t="s">
        <v>399</v>
      </c>
      <c r="B5838" s="17" t="s">
        <v>7432</v>
      </c>
      <c r="C5838" s="17" t="s">
        <v>2833</v>
      </c>
      <c r="D5838" s="17" t="s">
        <v>6905</v>
      </c>
      <c r="E5838" s="18" t="s">
        <v>7735</v>
      </c>
      <c r="F5838" s="16" t="s">
        <v>7736</v>
      </c>
      <c r="G5838" s="16" t="s">
        <v>88</v>
      </c>
      <c r="H5838" s="19" t="s">
        <v>7752</v>
      </c>
      <c r="I5838" s="23" t="e">
        <f>VLOOKUP(H5838,'合同综合查询数据（3月返）'!$A:$A,1,FALSE)</f>
        <v>#N/A</v>
      </c>
      <c r="J5838" s="24" t="s">
        <v>90</v>
      </c>
      <c r="K5838" s="16" t="s">
        <v>7753</v>
      </c>
      <c r="L5838" s="25"/>
      <c r="M5838" s="26" t="s">
        <v>7608</v>
      </c>
      <c r="N5838" s="28">
        <v>44278</v>
      </c>
      <c r="O5838" s="28" t="s">
        <v>461</v>
      </c>
      <c r="P5838" s="29">
        <v>9580</v>
      </c>
      <c r="Q5838" s="35">
        <v>13</v>
      </c>
      <c r="R5838" s="36">
        <f t="shared" si="131"/>
        <v>124540</v>
      </c>
      <c r="S5838" s="37">
        <v>202303</v>
      </c>
      <c r="T5838" s="38" t="s">
        <v>7804</v>
      </c>
      <c r="U5838" s="39"/>
      <c r="V5838" s="40"/>
      <c r="W5838" s="41"/>
      <c r="X5838" s="28">
        <v>43815</v>
      </c>
      <c r="Y5838" s="28">
        <v>46006</v>
      </c>
    </row>
    <row r="5839" s="9" customFormat="1" customHeight="1" spans="1:25">
      <c r="A5839" s="16" t="s">
        <v>399</v>
      </c>
      <c r="B5839" s="17" t="s">
        <v>7432</v>
      </c>
      <c r="C5839" s="17" t="s">
        <v>2833</v>
      </c>
      <c r="D5839" s="17" t="s">
        <v>6905</v>
      </c>
      <c r="E5839" s="18" t="s">
        <v>7735</v>
      </c>
      <c r="F5839" s="16" t="s">
        <v>7736</v>
      </c>
      <c r="G5839" s="16" t="s">
        <v>88</v>
      </c>
      <c r="H5839" s="19" t="s">
        <v>7752</v>
      </c>
      <c r="I5839" s="23" t="e">
        <f>VLOOKUP(H5839,'合同综合查询数据（3月返）'!$A:$A,1,FALSE)</f>
        <v>#N/A</v>
      </c>
      <c r="J5839" s="24" t="s">
        <v>90</v>
      </c>
      <c r="K5839" s="16" t="s">
        <v>7753</v>
      </c>
      <c r="L5839" s="25"/>
      <c r="M5839" s="26" t="s">
        <v>7608</v>
      </c>
      <c r="N5839" s="28">
        <v>44278</v>
      </c>
      <c r="O5839" s="28" t="s">
        <v>461</v>
      </c>
      <c r="P5839" s="29">
        <v>9580</v>
      </c>
      <c r="Q5839" s="35">
        <v>4</v>
      </c>
      <c r="R5839" s="36">
        <f t="shared" si="131"/>
        <v>38320</v>
      </c>
      <c r="S5839" s="37">
        <v>202303</v>
      </c>
      <c r="T5839" s="38" t="s">
        <v>7805</v>
      </c>
      <c r="U5839" s="39"/>
      <c r="V5839" s="40"/>
      <c r="W5839" s="41"/>
      <c r="X5839" s="28">
        <v>43815</v>
      </c>
      <c r="Y5839" s="28">
        <v>46006</v>
      </c>
    </row>
    <row r="5840" s="9" customFormat="1" customHeight="1" spans="1:25">
      <c r="A5840" s="16" t="s">
        <v>399</v>
      </c>
      <c r="B5840" s="17" t="s">
        <v>7432</v>
      </c>
      <c r="C5840" s="17" t="s">
        <v>2833</v>
      </c>
      <c r="D5840" s="17" t="s">
        <v>6905</v>
      </c>
      <c r="E5840" s="18" t="s">
        <v>7735</v>
      </c>
      <c r="F5840" s="16" t="s">
        <v>7736</v>
      </c>
      <c r="G5840" s="16" t="s">
        <v>88</v>
      </c>
      <c r="H5840" s="19" t="s">
        <v>7752</v>
      </c>
      <c r="I5840" s="23" t="e">
        <f>VLOOKUP(H5840,'合同综合查询数据（3月返）'!$A:$A,1,FALSE)</f>
        <v>#N/A</v>
      </c>
      <c r="J5840" s="24" t="s">
        <v>90</v>
      </c>
      <c r="K5840" s="16" t="s">
        <v>7753</v>
      </c>
      <c r="L5840" s="25"/>
      <c r="M5840" s="26" t="s">
        <v>7608</v>
      </c>
      <c r="N5840" s="28">
        <v>44286</v>
      </c>
      <c r="O5840" s="28" t="s">
        <v>461</v>
      </c>
      <c r="P5840" s="29">
        <v>9580</v>
      </c>
      <c r="Q5840" s="35">
        <v>6</v>
      </c>
      <c r="R5840" s="36">
        <f t="shared" si="131"/>
        <v>57480</v>
      </c>
      <c r="S5840" s="37">
        <v>202303</v>
      </c>
      <c r="T5840" s="38" t="s">
        <v>7806</v>
      </c>
      <c r="U5840" s="39"/>
      <c r="V5840" s="40"/>
      <c r="W5840" s="41"/>
      <c r="X5840" s="28">
        <v>43815</v>
      </c>
      <c r="Y5840" s="28">
        <v>46006</v>
      </c>
    </row>
    <row r="5841" s="9" customFormat="1" customHeight="1" spans="1:25">
      <c r="A5841" s="16" t="s">
        <v>399</v>
      </c>
      <c r="B5841" s="17" t="s">
        <v>7432</v>
      </c>
      <c r="C5841" s="17" t="s">
        <v>2833</v>
      </c>
      <c r="D5841" s="17" t="s">
        <v>6905</v>
      </c>
      <c r="E5841" s="18" t="s">
        <v>7735</v>
      </c>
      <c r="F5841" s="16" t="s">
        <v>7736</v>
      </c>
      <c r="G5841" s="16" t="s">
        <v>88</v>
      </c>
      <c r="H5841" s="19" t="s">
        <v>7752</v>
      </c>
      <c r="I5841" s="23" t="e">
        <f>VLOOKUP(H5841,'合同综合查询数据（3月返）'!$A:$A,1,FALSE)</f>
        <v>#N/A</v>
      </c>
      <c r="J5841" s="24" t="s">
        <v>90</v>
      </c>
      <c r="K5841" s="16" t="s">
        <v>7753</v>
      </c>
      <c r="L5841" s="25"/>
      <c r="M5841" s="26" t="s">
        <v>7608</v>
      </c>
      <c r="N5841" s="28">
        <v>44286</v>
      </c>
      <c r="O5841" s="28" t="s">
        <v>461</v>
      </c>
      <c r="P5841" s="29">
        <v>9580</v>
      </c>
      <c r="Q5841" s="35">
        <v>19</v>
      </c>
      <c r="R5841" s="36">
        <f t="shared" si="131"/>
        <v>182020</v>
      </c>
      <c r="S5841" s="37">
        <v>202303</v>
      </c>
      <c r="T5841" s="38" t="s">
        <v>7807</v>
      </c>
      <c r="U5841" s="39"/>
      <c r="V5841" s="40"/>
      <c r="W5841" s="41"/>
      <c r="X5841" s="28">
        <v>43815</v>
      </c>
      <c r="Y5841" s="28">
        <v>46006</v>
      </c>
    </row>
    <row r="5842" s="9" customFormat="1" customHeight="1" spans="1:25">
      <c r="A5842" s="16" t="s">
        <v>399</v>
      </c>
      <c r="B5842" s="17" t="s">
        <v>7432</v>
      </c>
      <c r="C5842" s="17" t="s">
        <v>2833</v>
      </c>
      <c r="D5842" s="17" t="s">
        <v>6905</v>
      </c>
      <c r="E5842" s="18" t="s">
        <v>7735</v>
      </c>
      <c r="F5842" s="16" t="s">
        <v>7736</v>
      </c>
      <c r="G5842" s="16" t="s">
        <v>88</v>
      </c>
      <c r="H5842" s="19" t="s">
        <v>7752</v>
      </c>
      <c r="I5842" s="23" t="e">
        <f>VLOOKUP(H5842,'合同综合查询数据（3月返）'!$A:$A,1,FALSE)</f>
        <v>#N/A</v>
      </c>
      <c r="J5842" s="24" t="s">
        <v>90</v>
      </c>
      <c r="K5842" s="16" t="s">
        <v>7753</v>
      </c>
      <c r="L5842" s="25"/>
      <c r="M5842" s="26" t="s">
        <v>7608</v>
      </c>
      <c r="N5842" s="28">
        <v>44286</v>
      </c>
      <c r="O5842" s="28" t="s">
        <v>461</v>
      </c>
      <c r="P5842" s="29">
        <v>9580</v>
      </c>
      <c r="Q5842" s="35">
        <v>4</v>
      </c>
      <c r="R5842" s="36">
        <f t="shared" si="131"/>
        <v>38320</v>
      </c>
      <c r="S5842" s="37">
        <v>202303</v>
      </c>
      <c r="T5842" s="38" t="s">
        <v>7808</v>
      </c>
      <c r="U5842" s="39"/>
      <c r="V5842" s="40"/>
      <c r="W5842" s="41"/>
      <c r="X5842" s="28">
        <v>43815</v>
      </c>
      <c r="Y5842" s="28">
        <v>46006</v>
      </c>
    </row>
    <row r="5843" s="9" customFormat="1" customHeight="1" spans="1:25">
      <c r="A5843" s="16" t="s">
        <v>399</v>
      </c>
      <c r="B5843" s="17" t="s">
        <v>7432</v>
      </c>
      <c r="C5843" s="17" t="s">
        <v>2833</v>
      </c>
      <c r="D5843" s="17" t="s">
        <v>6905</v>
      </c>
      <c r="E5843" s="18" t="s">
        <v>7735</v>
      </c>
      <c r="F5843" s="16" t="s">
        <v>7736</v>
      </c>
      <c r="G5843" s="16" t="s">
        <v>88</v>
      </c>
      <c r="H5843" s="19" t="s">
        <v>7752</v>
      </c>
      <c r="I5843" s="23" t="e">
        <f>VLOOKUP(H5843,'合同综合查询数据（3月返）'!$A:$A,1,FALSE)</f>
        <v>#N/A</v>
      </c>
      <c r="J5843" s="24" t="s">
        <v>90</v>
      </c>
      <c r="K5843" s="16" t="s">
        <v>7753</v>
      </c>
      <c r="L5843" s="25"/>
      <c r="M5843" s="26" t="s">
        <v>7608</v>
      </c>
      <c r="N5843" s="28">
        <v>44288</v>
      </c>
      <c r="O5843" s="28" t="s">
        <v>461</v>
      </c>
      <c r="P5843" s="29">
        <v>9580</v>
      </c>
      <c r="Q5843" s="35">
        <v>2</v>
      </c>
      <c r="R5843" s="36">
        <f t="shared" si="131"/>
        <v>19160</v>
      </c>
      <c r="S5843" s="37">
        <v>202303</v>
      </c>
      <c r="T5843" s="38" t="s">
        <v>7809</v>
      </c>
      <c r="U5843" s="39"/>
      <c r="V5843" s="40"/>
      <c r="W5843" s="41"/>
      <c r="X5843" s="28">
        <v>43815</v>
      </c>
      <c r="Y5843" s="28">
        <v>46006</v>
      </c>
    </row>
    <row r="5844" s="9" customFormat="1" customHeight="1" spans="1:25">
      <c r="A5844" s="16" t="s">
        <v>399</v>
      </c>
      <c r="B5844" s="17" t="s">
        <v>7432</v>
      </c>
      <c r="C5844" s="17" t="s">
        <v>2833</v>
      </c>
      <c r="D5844" s="17" t="s">
        <v>6905</v>
      </c>
      <c r="E5844" s="18" t="s">
        <v>7735</v>
      </c>
      <c r="F5844" s="16" t="s">
        <v>7736</v>
      </c>
      <c r="G5844" s="16" t="s">
        <v>88</v>
      </c>
      <c r="H5844" s="19" t="s">
        <v>7752</v>
      </c>
      <c r="I5844" s="23" t="e">
        <f>VLOOKUP(H5844,'合同综合查询数据（3月返）'!$A:$A,1,FALSE)</f>
        <v>#N/A</v>
      </c>
      <c r="J5844" s="24" t="s">
        <v>90</v>
      </c>
      <c r="K5844" s="16" t="s">
        <v>7753</v>
      </c>
      <c r="L5844" s="25"/>
      <c r="M5844" s="26" t="s">
        <v>7608</v>
      </c>
      <c r="N5844" s="28">
        <v>44290</v>
      </c>
      <c r="O5844" s="28" t="s">
        <v>461</v>
      </c>
      <c r="P5844" s="29">
        <v>9580</v>
      </c>
      <c r="Q5844" s="35">
        <v>1</v>
      </c>
      <c r="R5844" s="36">
        <f t="shared" si="131"/>
        <v>9580</v>
      </c>
      <c r="S5844" s="37">
        <v>202303</v>
      </c>
      <c r="T5844" s="38" t="s">
        <v>7810</v>
      </c>
      <c r="U5844" s="39"/>
      <c r="V5844" s="40"/>
      <c r="W5844" s="41"/>
      <c r="X5844" s="28">
        <v>43815</v>
      </c>
      <c r="Y5844" s="28">
        <v>46006</v>
      </c>
    </row>
    <row r="5845" s="9" customFormat="1" customHeight="1" spans="1:25">
      <c r="A5845" s="16" t="s">
        <v>399</v>
      </c>
      <c r="B5845" s="17" t="s">
        <v>7432</v>
      </c>
      <c r="C5845" s="17" t="s">
        <v>2833</v>
      </c>
      <c r="D5845" s="17" t="s">
        <v>6905</v>
      </c>
      <c r="E5845" s="18" t="s">
        <v>7735</v>
      </c>
      <c r="F5845" s="16" t="s">
        <v>7736</v>
      </c>
      <c r="G5845" s="16" t="s">
        <v>88</v>
      </c>
      <c r="H5845" s="19" t="s">
        <v>7752</v>
      </c>
      <c r="I5845" s="23" t="e">
        <f>VLOOKUP(H5845,'合同综合查询数据（3月返）'!$A:$A,1,FALSE)</f>
        <v>#N/A</v>
      </c>
      <c r="J5845" s="24" t="s">
        <v>90</v>
      </c>
      <c r="K5845" s="16" t="s">
        <v>7753</v>
      </c>
      <c r="L5845" s="25"/>
      <c r="M5845" s="26" t="s">
        <v>7608</v>
      </c>
      <c r="N5845" s="28">
        <v>44293</v>
      </c>
      <c r="O5845" s="28" t="s">
        <v>461</v>
      </c>
      <c r="P5845" s="29">
        <v>9580</v>
      </c>
      <c r="Q5845" s="35">
        <v>4</v>
      </c>
      <c r="R5845" s="36">
        <f t="shared" si="131"/>
        <v>38320</v>
      </c>
      <c r="S5845" s="37">
        <v>202303</v>
      </c>
      <c r="T5845" s="38" t="s">
        <v>7811</v>
      </c>
      <c r="U5845" s="39"/>
      <c r="V5845" s="40"/>
      <c r="W5845" s="41"/>
      <c r="X5845" s="28">
        <v>43815</v>
      </c>
      <c r="Y5845" s="28">
        <v>46006</v>
      </c>
    </row>
    <row r="5846" s="9" customFormat="1" customHeight="1" spans="1:25">
      <c r="A5846" s="16" t="s">
        <v>399</v>
      </c>
      <c r="B5846" s="17" t="s">
        <v>7432</v>
      </c>
      <c r="C5846" s="17" t="s">
        <v>2833</v>
      </c>
      <c r="D5846" s="17" t="s">
        <v>6905</v>
      </c>
      <c r="E5846" s="18" t="s">
        <v>7735</v>
      </c>
      <c r="F5846" s="16" t="s">
        <v>7736</v>
      </c>
      <c r="G5846" s="16" t="s">
        <v>88</v>
      </c>
      <c r="H5846" s="19" t="s">
        <v>7752</v>
      </c>
      <c r="I5846" s="23" t="e">
        <f>VLOOKUP(H5846,'合同综合查询数据（3月返）'!$A:$A,1,FALSE)</f>
        <v>#N/A</v>
      </c>
      <c r="J5846" s="24" t="s">
        <v>90</v>
      </c>
      <c r="K5846" s="16" t="s">
        <v>7753</v>
      </c>
      <c r="L5846" s="25"/>
      <c r="M5846" s="26" t="s">
        <v>7608</v>
      </c>
      <c r="N5846" s="28">
        <v>44301</v>
      </c>
      <c r="O5846" s="28" t="s">
        <v>461</v>
      </c>
      <c r="P5846" s="29">
        <v>9580</v>
      </c>
      <c r="Q5846" s="35">
        <v>16</v>
      </c>
      <c r="R5846" s="36">
        <f t="shared" si="131"/>
        <v>153280</v>
      </c>
      <c r="S5846" s="37">
        <v>202303</v>
      </c>
      <c r="T5846" s="38" t="s">
        <v>7812</v>
      </c>
      <c r="U5846" s="39"/>
      <c r="V5846" s="40"/>
      <c r="W5846" s="41"/>
      <c r="X5846" s="28">
        <v>43815</v>
      </c>
      <c r="Y5846" s="28">
        <v>46006</v>
      </c>
    </row>
    <row r="5847" s="9" customFormat="1" customHeight="1" spans="1:25">
      <c r="A5847" s="16" t="s">
        <v>399</v>
      </c>
      <c r="B5847" s="17" t="s">
        <v>7432</v>
      </c>
      <c r="C5847" s="17" t="s">
        <v>2833</v>
      </c>
      <c r="D5847" s="17" t="s">
        <v>6905</v>
      </c>
      <c r="E5847" s="18" t="s">
        <v>7735</v>
      </c>
      <c r="F5847" s="16" t="s">
        <v>7736</v>
      </c>
      <c r="G5847" s="16" t="s">
        <v>88</v>
      </c>
      <c r="H5847" s="19" t="s">
        <v>7752</v>
      </c>
      <c r="I5847" s="23" t="e">
        <f>VLOOKUP(H5847,'合同综合查询数据（3月返）'!$A:$A,1,FALSE)</f>
        <v>#N/A</v>
      </c>
      <c r="J5847" s="24" t="s">
        <v>90</v>
      </c>
      <c r="K5847" s="16" t="s">
        <v>7753</v>
      </c>
      <c r="L5847" s="25"/>
      <c r="M5847" s="26" t="s">
        <v>7608</v>
      </c>
      <c r="N5847" s="28">
        <v>44306</v>
      </c>
      <c r="O5847" s="28" t="s">
        <v>461</v>
      </c>
      <c r="P5847" s="29">
        <v>9580</v>
      </c>
      <c r="Q5847" s="35">
        <v>7</v>
      </c>
      <c r="R5847" s="36">
        <f t="shared" si="131"/>
        <v>67060</v>
      </c>
      <c r="S5847" s="37">
        <v>202303</v>
      </c>
      <c r="T5847" s="38" t="s">
        <v>7813</v>
      </c>
      <c r="U5847" s="39"/>
      <c r="V5847" s="40"/>
      <c r="W5847" s="41"/>
      <c r="X5847" s="28">
        <v>43815</v>
      </c>
      <c r="Y5847" s="28">
        <v>46006</v>
      </c>
    </row>
    <row r="5848" s="9" customFormat="1" customHeight="1" spans="1:25">
      <c r="A5848" s="16" t="s">
        <v>399</v>
      </c>
      <c r="B5848" s="17" t="s">
        <v>7432</v>
      </c>
      <c r="C5848" s="17" t="s">
        <v>2833</v>
      </c>
      <c r="D5848" s="17" t="s">
        <v>6905</v>
      </c>
      <c r="E5848" s="18" t="s">
        <v>7735</v>
      </c>
      <c r="F5848" s="16" t="s">
        <v>7736</v>
      </c>
      <c r="G5848" s="16" t="s">
        <v>88</v>
      </c>
      <c r="H5848" s="19" t="s">
        <v>7752</v>
      </c>
      <c r="I5848" s="23" t="e">
        <f>VLOOKUP(H5848,'合同综合查询数据（3月返）'!$A:$A,1,FALSE)</f>
        <v>#N/A</v>
      </c>
      <c r="J5848" s="24" t="s">
        <v>90</v>
      </c>
      <c r="K5848" s="16" t="s">
        <v>7753</v>
      </c>
      <c r="L5848" s="25"/>
      <c r="M5848" s="26" t="s">
        <v>7608</v>
      </c>
      <c r="N5848" s="28">
        <v>44306</v>
      </c>
      <c r="O5848" s="28" t="s">
        <v>457</v>
      </c>
      <c r="P5848" s="29">
        <v>4790</v>
      </c>
      <c r="Q5848" s="35">
        <v>1</v>
      </c>
      <c r="R5848" s="36">
        <f t="shared" si="131"/>
        <v>4790</v>
      </c>
      <c r="S5848" s="37">
        <v>202303</v>
      </c>
      <c r="T5848" s="38" t="s">
        <v>7814</v>
      </c>
      <c r="U5848" s="39"/>
      <c r="V5848" s="40"/>
      <c r="W5848" s="41"/>
      <c r="X5848" s="28">
        <v>43815</v>
      </c>
      <c r="Y5848" s="28">
        <v>46006</v>
      </c>
    </row>
    <row r="5849" s="9" customFormat="1" customHeight="1" spans="1:25">
      <c r="A5849" s="16" t="s">
        <v>399</v>
      </c>
      <c r="B5849" s="17" t="s">
        <v>7432</v>
      </c>
      <c r="C5849" s="17" t="s">
        <v>2833</v>
      </c>
      <c r="D5849" s="17" t="s">
        <v>6905</v>
      </c>
      <c r="E5849" s="18" t="s">
        <v>7735</v>
      </c>
      <c r="F5849" s="16" t="s">
        <v>7736</v>
      </c>
      <c r="G5849" s="16" t="s">
        <v>88</v>
      </c>
      <c r="H5849" s="19" t="s">
        <v>7752</v>
      </c>
      <c r="I5849" s="23" t="e">
        <f>VLOOKUP(H5849,'合同综合查询数据（3月返）'!$A:$A,1,FALSE)</f>
        <v>#N/A</v>
      </c>
      <c r="J5849" s="24" t="s">
        <v>90</v>
      </c>
      <c r="K5849" s="16" t="s">
        <v>7753</v>
      </c>
      <c r="L5849" s="25"/>
      <c r="M5849" s="26" t="s">
        <v>7608</v>
      </c>
      <c r="N5849" s="28">
        <v>44309</v>
      </c>
      <c r="O5849" s="28" t="s">
        <v>461</v>
      </c>
      <c r="P5849" s="29">
        <v>9580</v>
      </c>
      <c r="Q5849" s="35">
        <v>19</v>
      </c>
      <c r="R5849" s="36">
        <f t="shared" si="131"/>
        <v>182020</v>
      </c>
      <c r="S5849" s="37">
        <v>202303</v>
      </c>
      <c r="T5849" s="38" t="s">
        <v>7815</v>
      </c>
      <c r="U5849" s="39"/>
      <c r="V5849" s="40"/>
      <c r="W5849" s="41"/>
      <c r="X5849" s="28">
        <v>43815</v>
      </c>
      <c r="Y5849" s="28">
        <v>46006</v>
      </c>
    </row>
    <row r="5850" s="9" customFormat="1" customHeight="1" spans="1:25">
      <c r="A5850" s="16" t="s">
        <v>399</v>
      </c>
      <c r="B5850" s="17" t="s">
        <v>7432</v>
      </c>
      <c r="C5850" s="17" t="s">
        <v>2833</v>
      </c>
      <c r="D5850" s="17" t="s">
        <v>6905</v>
      </c>
      <c r="E5850" s="18" t="s">
        <v>7735</v>
      </c>
      <c r="F5850" s="16" t="s">
        <v>7736</v>
      </c>
      <c r="G5850" s="16" t="s">
        <v>88</v>
      </c>
      <c r="H5850" s="19" t="s">
        <v>7752</v>
      </c>
      <c r="I5850" s="23" t="e">
        <f>VLOOKUP(H5850,'合同综合查询数据（3月返）'!$A:$A,1,FALSE)</f>
        <v>#N/A</v>
      </c>
      <c r="J5850" s="24" t="s">
        <v>90</v>
      </c>
      <c r="K5850" s="16" t="s">
        <v>7753</v>
      </c>
      <c r="L5850" s="25"/>
      <c r="M5850" s="26" t="s">
        <v>7608</v>
      </c>
      <c r="N5850" s="28">
        <v>44315</v>
      </c>
      <c r="O5850" s="28" t="s">
        <v>461</v>
      </c>
      <c r="P5850" s="29">
        <v>9580</v>
      </c>
      <c r="Q5850" s="35">
        <v>14</v>
      </c>
      <c r="R5850" s="36">
        <f t="shared" si="131"/>
        <v>134120</v>
      </c>
      <c r="S5850" s="37">
        <v>202303</v>
      </c>
      <c r="T5850" s="38" t="s">
        <v>7816</v>
      </c>
      <c r="U5850" s="39"/>
      <c r="V5850" s="40"/>
      <c r="W5850" s="41"/>
      <c r="X5850" s="28">
        <v>43815</v>
      </c>
      <c r="Y5850" s="28">
        <v>46006</v>
      </c>
    </row>
    <row r="5851" s="9" customFormat="1" customHeight="1" spans="1:25">
      <c r="A5851" s="16" t="s">
        <v>399</v>
      </c>
      <c r="B5851" s="17" t="s">
        <v>7432</v>
      </c>
      <c r="C5851" s="17" t="s">
        <v>2833</v>
      </c>
      <c r="D5851" s="17" t="s">
        <v>6905</v>
      </c>
      <c r="E5851" s="18" t="s">
        <v>7735</v>
      </c>
      <c r="F5851" s="16" t="s">
        <v>7736</v>
      </c>
      <c r="G5851" s="16" t="s">
        <v>88</v>
      </c>
      <c r="H5851" s="19" t="s">
        <v>7752</v>
      </c>
      <c r="I5851" s="23" t="e">
        <f>VLOOKUP(H5851,'合同综合查询数据（3月返）'!$A:$A,1,FALSE)</f>
        <v>#N/A</v>
      </c>
      <c r="J5851" s="24" t="s">
        <v>90</v>
      </c>
      <c r="K5851" s="16" t="s">
        <v>7753</v>
      </c>
      <c r="L5851" s="25"/>
      <c r="M5851" s="26" t="s">
        <v>7608</v>
      </c>
      <c r="N5851" s="28">
        <v>44316</v>
      </c>
      <c r="O5851" s="28" t="s">
        <v>461</v>
      </c>
      <c r="P5851" s="29">
        <v>9580</v>
      </c>
      <c r="Q5851" s="35">
        <v>17</v>
      </c>
      <c r="R5851" s="36">
        <f t="shared" si="131"/>
        <v>162860</v>
      </c>
      <c r="S5851" s="37">
        <v>202303</v>
      </c>
      <c r="T5851" s="38" t="s">
        <v>7817</v>
      </c>
      <c r="U5851" s="39"/>
      <c r="V5851" s="40"/>
      <c r="W5851" s="41"/>
      <c r="X5851" s="28">
        <v>43815</v>
      </c>
      <c r="Y5851" s="28">
        <v>46006</v>
      </c>
    </row>
    <row r="5852" s="9" customFormat="1" customHeight="1" spans="1:25">
      <c r="A5852" s="16" t="s">
        <v>399</v>
      </c>
      <c r="B5852" s="17" t="s">
        <v>7432</v>
      </c>
      <c r="C5852" s="17" t="s">
        <v>2833</v>
      </c>
      <c r="D5852" s="17" t="s">
        <v>6905</v>
      </c>
      <c r="E5852" s="18" t="s">
        <v>7735</v>
      </c>
      <c r="F5852" s="16" t="s">
        <v>7736</v>
      </c>
      <c r="G5852" s="16" t="s">
        <v>88</v>
      </c>
      <c r="H5852" s="19" t="s">
        <v>7752</v>
      </c>
      <c r="I5852" s="23" t="e">
        <f>VLOOKUP(H5852,'合同综合查询数据（3月返）'!$A:$A,1,FALSE)</f>
        <v>#N/A</v>
      </c>
      <c r="J5852" s="24" t="s">
        <v>90</v>
      </c>
      <c r="K5852" s="16" t="s">
        <v>7753</v>
      </c>
      <c r="L5852" s="25"/>
      <c r="M5852" s="26" t="s">
        <v>7608</v>
      </c>
      <c r="N5852" s="28">
        <v>44322</v>
      </c>
      <c r="O5852" s="28" t="s">
        <v>461</v>
      </c>
      <c r="P5852" s="29">
        <v>9580</v>
      </c>
      <c r="Q5852" s="35">
        <v>11</v>
      </c>
      <c r="R5852" s="36">
        <f t="shared" si="131"/>
        <v>105380</v>
      </c>
      <c r="S5852" s="37">
        <v>202303</v>
      </c>
      <c r="T5852" s="38" t="s">
        <v>7818</v>
      </c>
      <c r="U5852" s="39"/>
      <c r="V5852" s="40"/>
      <c r="W5852" s="41"/>
      <c r="X5852" s="28">
        <v>43815</v>
      </c>
      <c r="Y5852" s="28">
        <v>46006</v>
      </c>
    </row>
    <row r="5853" s="9" customFormat="1" customHeight="1" spans="1:25">
      <c r="A5853" s="16" t="s">
        <v>399</v>
      </c>
      <c r="B5853" s="17" t="s">
        <v>7432</v>
      </c>
      <c r="C5853" s="17" t="s">
        <v>2833</v>
      </c>
      <c r="D5853" s="17" t="s">
        <v>6905</v>
      </c>
      <c r="E5853" s="18" t="s">
        <v>7735</v>
      </c>
      <c r="F5853" s="16" t="s">
        <v>7736</v>
      </c>
      <c r="G5853" s="16" t="s">
        <v>88</v>
      </c>
      <c r="H5853" s="19" t="s">
        <v>7752</v>
      </c>
      <c r="I5853" s="23" t="e">
        <f>VLOOKUP(H5853,'合同综合查询数据（3月返）'!$A:$A,1,FALSE)</f>
        <v>#N/A</v>
      </c>
      <c r="J5853" s="24" t="s">
        <v>90</v>
      </c>
      <c r="K5853" s="16" t="s">
        <v>7753</v>
      </c>
      <c r="L5853" s="25"/>
      <c r="M5853" s="26" t="s">
        <v>7608</v>
      </c>
      <c r="N5853" s="28">
        <v>44322</v>
      </c>
      <c r="O5853" s="28" t="s">
        <v>457</v>
      </c>
      <c r="P5853" s="29">
        <v>4790</v>
      </c>
      <c r="Q5853" s="35">
        <v>4</v>
      </c>
      <c r="R5853" s="36">
        <f t="shared" si="131"/>
        <v>19160</v>
      </c>
      <c r="S5853" s="37">
        <v>202303</v>
      </c>
      <c r="T5853" s="38" t="s">
        <v>7819</v>
      </c>
      <c r="U5853" s="39"/>
      <c r="V5853" s="40"/>
      <c r="W5853" s="41"/>
      <c r="X5853" s="28">
        <v>43815</v>
      </c>
      <c r="Y5853" s="28">
        <v>46006</v>
      </c>
    </row>
    <row r="5854" s="9" customFormat="1" customHeight="1" spans="1:25">
      <c r="A5854" s="16" t="s">
        <v>399</v>
      </c>
      <c r="B5854" s="17" t="s">
        <v>7432</v>
      </c>
      <c r="C5854" s="17" t="s">
        <v>2833</v>
      </c>
      <c r="D5854" s="17" t="s">
        <v>6905</v>
      </c>
      <c r="E5854" s="18" t="s">
        <v>7735</v>
      </c>
      <c r="F5854" s="16" t="s">
        <v>7736</v>
      </c>
      <c r="G5854" s="16" t="s">
        <v>88</v>
      </c>
      <c r="H5854" s="19" t="s">
        <v>7752</v>
      </c>
      <c r="I5854" s="23" t="e">
        <f>VLOOKUP(H5854,'合同综合查询数据（3月返）'!$A:$A,1,FALSE)</f>
        <v>#N/A</v>
      </c>
      <c r="J5854" s="24" t="s">
        <v>90</v>
      </c>
      <c r="K5854" s="16" t="s">
        <v>7753</v>
      </c>
      <c r="L5854" s="25"/>
      <c r="M5854" s="26" t="s">
        <v>7608</v>
      </c>
      <c r="N5854" s="28">
        <v>44323</v>
      </c>
      <c r="O5854" s="28" t="s">
        <v>461</v>
      </c>
      <c r="P5854" s="29">
        <v>9580</v>
      </c>
      <c r="Q5854" s="35">
        <v>1</v>
      </c>
      <c r="R5854" s="36">
        <f t="shared" si="131"/>
        <v>9580</v>
      </c>
      <c r="S5854" s="37">
        <v>202303</v>
      </c>
      <c r="T5854" s="38" t="s">
        <v>7820</v>
      </c>
      <c r="U5854" s="39"/>
      <c r="V5854" s="40"/>
      <c r="W5854" s="41"/>
      <c r="X5854" s="28">
        <v>43815</v>
      </c>
      <c r="Y5854" s="28">
        <v>46006</v>
      </c>
    </row>
    <row r="5855" s="9" customFormat="1" customHeight="1" spans="1:25">
      <c r="A5855" s="16" t="s">
        <v>399</v>
      </c>
      <c r="B5855" s="17" t="s">
        <v>7432</v>
      </c>
      <c r="C5855" s="17" t="s">
        <v>2833</v>
      </c>
      <c r="D5855" s="17" t="s">
        <v>6905</v>
      </c>
      <c r="E5855" s="18" t="s">
        <v>7735</v>
      </c>
      <c r="F5855" s="16" t="s">
        <v>7736</v>
      </c>
      <c r="G5855" s="16" t="s">
        <v>88</v>
      </c>
      <c r="H5855" s="19" t="s">
        <v>7752</v>
      </c>
      <c r="I5855" s="23" t="e">
        <f>VLOOKUP(H5855,'合同综合查询数据（3月返）'!$A:$A,1,FALSE)</f>
        <v>#N/A</v>
      </c>
      <c r="J5855" s="24" t="s">
        <v>90</v>
      </c>
      <c r="K5855" s="16" t="s">
        <v>7753</v>
      </c>
      <c r="L5855" s="25"/>
      <c r="M5855" s="26" t="s">
        <v>7608</v>
      </c>
      <c r="N5855" s="28">
        <v>44326</v>
      </c>
      <c r="O5855" s="28" t="s">
        <v>461</v>
      </c>
      <c r="P5855" s="29">
        <v>9580</v>
      </c>
      <c r="Q5855" s="35">
        <v>4</v>
      </c>
      <c r="R5855" s="36">
        <f t="shared" si="131"/>
        <v>38320</v>
      </c>
      <c r="S5855" s="37">
        <v>202303</v>
      </c>
      <c r="T5855" s="38" t="s">
        <v>7821</v>
      </c>
      <c r="U5855" s="39"/>
      <c r="V5855" s="40"/>
      <c r="W5855" s="41"/>
      <c r="X5855" s="28">
        <v>43815</v>
      </c>
      <c r="Y5855" s="28">
        <v>46006</v>
      </c>
    </row>
    <row r="5856" s="9" customFormat="1" customHeight="1" spans="1:25">
      <c r="A5856" s="16" t="s">
        <v>399</v>
      </c>
      <c r="B5856" s="17" t="s">
        <v>7432</v>
      </c>
      <c r="C5856" s="17" t="s">
        <v>2833</v>
      </c>
      <c r="D5856" s="17" t="s">
        <v>6905</v>
      </c>
      <c r="E5856" s="18" t="s">
        <v>7735</v>
      </c>
      <c r="F5856" s="16" t="s">
        <v>7736</v>
      </c>
      <c r="G5856" s="16" t="s">
        <v>88</v>
      </c>
      <c r="H5856" s="19" t="s">
        <v>7752</v>
      </c>
      <c r="I5856" s="23" t="e">
        <f>VLOOKUP(H5856,'合同综合查询数据（3月返）'!$A:$A,1,FALSE)</f>
        <v>#N/A</v>
      </c>
      <c r="J5856" s="24" t="s">
        <v>90</v>
      </c>
      <c r="K5856" s="16" t="s">
        <v>7753</v>
      </c>
      <c r="L5856" s="25"/>
      <c r="M5856" s="26" t="s">
        <v>7608</v>
      </c>
      <c r="N5856" s="28">
        <v>44327</v>
      </c>
      <c r="O5856" s="28" t="s">
        <v>461</v>
      </c>
      <c r="P5856" s="29">
        <v>9580</v>
      </c>
      <c r="Q5856" s="35">
        <v>6</v>
      </c>
      <c r="R5856" s="36">
        <f t="shared" si="131"/>
        <v>57480</v>
      </c>
      <c r="S5856" s="37">
        <v>202303</v>
      </c>
      <c r="T5856" s="38" t="s">
        <v>7822</v>
      </c>
      <c r="U5856" s="39"/>
      <c r="V5856" s="40"/>
      <c r="W5856" s="41"/>
      <c r="X5856" s="28">
        <v>43815</v>
      </c>
      <c r="Y5856" s="28">
        <v>46006</v>
      </c>
    </row>
    <row r="5857" s="9" customFormat="1" customHeight="1" spans="1:25">
      <c r="A5857" s="16" t="s">
        <v>399</v>
      </c>
      <c r="B5857" s="17" t="s">
        <v>7432</v>
      </c>
      <c r="C5857" s="17" t="s">
        <v>2833</v>
      </c>
      <c r="D5857" s="17" t="s">
        <v>6905</v>
      </c>
      <c r="E5857" s="18" t="s">
        <v>7735</v>
      </c>
      <c r="F5857" s="16" t="s">
        <v>7736</v>
      </c>
      <c r="G5857" s="16" t="s">
        <v>88</v>
      </c>
      <c r="H5857" s="19" t="s">
        <v>7752</v>
      </c>
      <c r="I5857" s="23" t="e">
        <f>VLOOKUP(H5857,'合同综合查询数据（3月返）'!$A:$A,1,FALSE)</f>
        <v>#N/A</v>
      </c>
      <c r="J5857" s="24" t="s">
        <v>90</v>
      </c>
      <c r="K5857" s="16" t="s">
        <v>7753</v>
      </c>
      <c r="L5857" s="25"/>
      <c r="M5857" s="26" t="s">
        <v>7608</v>
      </c>
      <c r="N5857" s="28">
        <v>44332</v>
      </c>
      <c r="O5857" s="28" t="s">
        <v>461</v>
      </c>
      <c r="P5857" s="29">
        <v>9580</v>
      </c>
      <c r="Q5857" s="35">
        <v>9</v>
      </c>
      <c r="R5857" s="36">
        <f t="shared" si="131"/>
        <v>86220</v>
      </c>
      <c r="S5857" s="37">
        <v>202303</v>
      </c>
      <c r="T5857" s="38" t="s">
        <v>7823</v>
      </c>
      <c r="U5857" s="39"/>
      <c r="V5857" s="40"/>
      <c r="W5857" s="41"/>
      <c r="X5857" s="28">
        <v>43815</v>
      </c>
      <c r="Y5857" s="28">
        <v>46006</v>
      </c>
    </row>
    <row r="5858" s="9" customFormat="1" customHeight="1" spans="1:25">
      <c r="A5858" s="16" t="s">
        <v>399</v>
      </c>
      <c r="B5858" s="17" t="s">
        <v>7432</v>
      </c>
      <c r="C5858" s="17" t="s">
        <v>2833</v>
      </c>
      <c r="D5858" s="17" t="s">
        <v>6905</v>
      </c>
      <c r="E5858" s="18" t="s">
        <v>7735</v>
      </c>
      <c r="F5858" s="16" t="s">
        <v>7736</v>
      </c>
      <c r="G5858" s="16" t="s">
        <v>88</v>
      </c>
      <c r="H5858" s="19" t="s">
        <v>7752</v>
      </c>
      <c r="I5858" s="23" t="e">
        <f>VLOOKUP(H5858,'合同综合查询数据（3月返）'!$A:$A,1,FALSE)</f>
        <v>#N/A</v>
      </c>
      <c r="J5858" s="24" t="s">
        <v>90</v>
      </c>
      <c r="K5858" s="16" t="s">
        <v>7753</v>
      </c>
      <c r="L5858" s="25"/>
      <c r="M5858" s="26" t="s">
        <v>7608</v>
      </c>
      <c r="N5858" s="28">
        <v>44333</v>
      </c>
      <c r="O5858" s="28" t="s">
        <v>461</v>
      </c>
      <c r="P5858" s="29">
        <v>9580</v>
      </c>
      <c r="Q5858" s="35">
        <v>1</v>
      </c>
      <c r="R5858" s="36">
        <f t="shared" si="131"/>
        <v>9580</v>
      </c>
      <c r="S5858" s="37">
        <v>202303</v>
      </c>
      <c r="T5858" s="38" t="s">
        <v>7824</v>
      </c>
      <c r="U5858" s="39"/>
      <c r="V5858" s="40"/>
      <c r="W5858" s="41"/>
      <c r="X5858" s="28">
        <v>43815</v>
      </c>
      <c r="Y5858" s="28">
        <v>46006</v>
      </c>
    </row>
    <row r="5859" s="9" customFormat="1" customHeight="1" spans="1:25">
      <c r="A5859" s="16" t="s">
        <v>399</v>
      </c>
      <c r="B5859" s="17" t="s">
        <v>7432</v>
      </c>
      <c r="C5859" s="17" t="s">
        <v>2833</v>
      </c>
      <c r="D5859" s="17" t="s">
        <v>6905</v>
      </c>
      <c r="E5859" s="18" t="s">
        <v>7735</v>
      </c>
      <c r="F5859" s="16" t="s">
        <v>7736</v>
      </c>
      <c r="G5859" s="16" t="s">
        <v>88</v>
      </c>
      <c r="H5859" s="19" t="s">
        <v>7752</v>
      </c>
      <c r="I5859" s="23" t="e">
        <f>VLOOKUP(H5859,'合同综合查询数据（3月返）'!$A:$A,1,FALSE)</f>
        <v>#N/A</v>
      </c>
      <c r="J5859" s="24" t="s">
        <v>90</v>
      </c>
      <c r="K5859" s="16" t="s">
        <v>7753</v>
      </c>
      <c r="L5859" s="25"/>
      <c r="M5859" s="26" t="s">
        <v>7608</v>
      </c>
      <c r="N5859" s="28">
        <v>44334</v>
      </c>
      <c r="O5859" s="28" t="s">
        <v>461</v>
      </c>
      <c r="P5859" s="29">
        <v>9580</v>
      </c>
      <c r="Q5859" s="35">
        <v>5</v>
      </c>
      <c r="R5859" s="36">
        <f t="shared" si="131"/>
        <v>47900</v>
      </c>
      <c r="S5859" s="37">
        <v>202303</v>
      </c>
      <c r="T5859" s="38" t="s">
        <v>7825</v>
      </c>
      <c r="U5859" s="39"/>
      <c r="V5859" s="40"/>
      <c r="W5859" s="41"/>
      <c r="X5859" s="28">
        <v>43815</v>
      </c>
      <c r="Y5859" s="28">
        <v>46006</v>
      </c>
    </row>
    <row r="5860" s="9" customFormat="1" customHeight="1" spans="1:25">
      <c r="A5860" s="16" t="s">
        <v>399</v>
      </c>
      <c r="B5860" s="17" t="s">
        <v>7432</v>
      </c>
      <c r="C5860" s="17" t="s">
        <v>2833</v>
      </c>
      <c r="D5860" s="17" t="s">
        <v>6905</v>
      </c>
      <c r="E5860" s="18" t="s">
        <v>7735</v>
      </c>
      <c r="F5860" s="16" t="s">
        <v>7736</v>
      </c>
      <c r="G5860" s="16" t="s">
        <v>88</v>
      </c>
      <c r="H5860" s="19" t="s">
        <v>7752</v>
      </c>
      <c r="I5860" s="23" t="e">
        <f>VLOOKUP(H5860,'合同综合查询数据（3月返）'!$A:$A,1,FALSE)</f>
        <v>#N/A</v>
      </c>
      <c r="J5860" s="24" t="s">
        <v>90</v>
      </c>
      <c r="K5860" s="16" t="s">
        <v>7753</v>
      </c>
      <c r="L5860" s="25"/>
      <c r="M5860" s="26" t="s">
        <v>7608</v>
      </c>
      <c r="N5860" s="28">
        <v>44351</v>
      </c>
      <c r="O5860" s="28" t="s">
        <v>461</v>
      </c>
      <c r="P5860" s="29">
        <v>9580</v>
      </c>
      <c r="Q5860" s="35">
        <v>5</v>
      </c>
      <c r="R5860" s="36">
        <f t="shared" si="131"/>
        <v>47900</v>
      </c>
      <c r="S5860" s="37">
        <v>202303</v>
      </c>
      <c r="T5860" s="38" t="s">
        <v>7826</v>
      </c>
      <c r="U5860" s="39"/>
      <c r="V5860" s="40"/>
      <c r="W5860" s="41"/>
      <c r="X5860" s="28">
        <v>43815</v>
      </c>
      <c r="Y5860" s="28">
        <v>46006</v>
      </c>
    </row>
    <row r="5861" s="9" customFormat="1" customHeight="1" spans="1:25">
      <c r="A5861" s="16" t="s">
        <v>399</v>
      </c>
      <c r="B5861" s="17" t="s">
        <v>7432</v>
      </c>
      <c r="C5861" s="17" t="s">
        <v>2833</v>
      </c>
      <c r="D5861" s="17" t="s">
        <v>6905</v>
      </c>
      <c r="E5861" s="18" t="s">
        <v>7735</v>
      </c>
      <c r="F5861" s="16" t="s">
        <v>7736</v>
      </c>
      <c r="G5861" s="16" t="s">
        <v>88</v>
      </c>
      <c r="H5861" s="19" t="s">
        <v>7752</v>
      </c>
      <c r="I5861" s="23" t="e">
        <f>VLOOKUP(H5861,'合同综合查询数据（3月返）'!$A:$A,1,FALSE)</f>
        <v>#N/A</v>
      </c>
      <c r="J5861" s="24" t="s">
        <v>90</v>
      </c>
      <c r="K5861" s="16" t="s">
        <v>7753</v>
      </c>
      <c r="L5861" s="25"/>
      <c r="M5861" s="26" t="s">
        <v>7608</v>
      </c>
      <c r="N5861" s="28">
        <v>44357</v>
      </c>
      <c r="O5861" s="28" t="s">
        <v>461</v>
      </c>
      <c r="P5861" s="29">
        <v>9580</v>
      </c>
      <c r="Q5861" s="35">
        <v>15</v>
      </c>
      <c r="R5861" s="36">
        <f t="shared" si="131"/>
        <v>143700</v>
      </c>
      <c r="S5861" s="37">
        <v>202303</v>
      </c>
      <c r="T5861" s="38" t="s">
        <v>7827</v>
      </c>
      <c r="U5861" s="39"/>
      <c r="V5861" s="40"/>
      <c r="W5861" s="41"/>
      <c r="X5861" s="28">
        <v>43815</v>
      </c>
      <c r="Y5861" s="28">
        <v>46006</v>
      </c>
    </row>
    <row r="5862" s="9" customFormat="1" customHeight="1" spans="1:25">
      <c r="A5862" s="16" t="s">
        <v>399</v>
      </c>
      <c r="B5862" s="17" t="s">
        <v>7432</v>
      </c>
      <c r="C5862" s="17" t="s">
        <v>2833</v>
      </c>
      <c r="D5862" s="17" t="s">
        <v>6905</v>
      </c>
      <c r="E5862" s="18" t="s">
        <v>7735</v>
      </c>
      <c r="F5862" s="16" t="s">
        <v>7736</v>
      </c>
      <c r="G5862" s="16" t="s">
        <v>88</v>
      </c>
      <c r="H5862" s="19" t="s">
        <v>7752</v>
      </c>
      <c r="I5862" s="23" t="e">
        <f>VLOOKUP(H5862,'合同综合查询数据（3月返）'!$A:$A,1,FALSE)</f>
        <v>#N/A</v>
      </c>
      <c r="J5862" s="24" t="s">
        <v>90</v>
      </c>
      <c r="K5862" s="16" t="s">
        <v>7753</v>
      </c>
      <c r="L5862" s="25"/>
      <c r="M5862" s="26" t="s">
        <v>7608</v>
      </c>
      <c r="N5862" s="28">
        <v>44357</v>
      </c>
      <c r="O5862" s="28" t="s">
        <v>540</v>
      </c>
      <c r="P5862" s="29">
        <v>38430</v>
      </c>
      <c r="Q5862" s="35">
        <v>2</v>
      </c>
      <c r="R5862" s="36">
        <f t="shared" si="131"/>
        <v>76860</v>
      </c>
      <c r="S5862" s="37">
        <v>202303</v>
      </c>
      <c r="T5862" s="38" t="s">
        <v>7828</v>
      </c>
      <c r="U5862" s="39"/>
      <c r="V5862" s="40"/>
      <c r="W5862" s="41"/>
      <c r="X5862" s="28">
        <v>43815</v>
      </c>
      <c r="Y5862" s="28">
        <v>46006</v>
      </c>
    </row>
    <row r="5863" s="9" customFormat="1" customHeight="1" spans="1:25">
      <c r="A5863" s="16" t="s">
        <v>399</v>
      </c>
      <c r="B5863" s="17" t="s">
        <v>7432</v>
      </c>
      <c r="C5863" s="17" t="s">
        <v>2833</v>
      </c>
      <c r="D5863" s="17" t="s">
        <v>6905</v>
      </c>
      <c r="E5863" s="18" t="s">
        <v>7735</v>
      </c>
      <c r="F5863" s="16" t="s">
        <v>7736</v>
      </c>
      <c r="G5863" s="16" t="s">
        <v>88</v>
      </c>
      <c r="H5863" s="19" t="s">
        <v>7829</v>
      </c>
      <c r="I5863" s="23" t="e">
        <f>VLOOKUP(H5863,'合同综合查询数据（3月返）'!$A:$A,1,FALSE)</f>
        <v>#N/A</v>
      </c>
      <c r="J5863" s="24" t="s">
        <v>90</v>
      </c>
      <c r="K5863" s="16" t="s">
        <v>7753</v>
      </c>
      <c r="L5863" s="25"/>
      <c r="M5863" s="26" t="s">
        <v>7830</v>
      </c>
      <c r="N5863" s="28">
        <v>44368</v>
      </c>
      <c r="O5863" s="28" t="s">
        <v>92</v>
      </c>
      <c r="P5863" s="29">
        <v>3950</v>
      </c>
      <c r="Q5863" s="35">
        <v>1</v>
      </c>
      <c r="R5863" s="36">
        <f t="shared" si="131"/>
        <v>3950</v>
      </c>
      <c r="S5863" s="37">
        <v>202303</v>
      </c>
      <c r="T5863" s="38" t="s">
        <v>7831</v>
      </c>
      <c r="U5863" s="39"/>
      <c r="V5863" s="40"/>
      <c r="W5863" s="41"/>
      <c r="X5863" s="28">
        <v>44368</v>
      </c>
      <c r="Y5863" s="28">
        <v>46006</v>
      </c>
    </row>
    <row r="5864" s="9" customFormat="1" customHeight="1" spans="1:25">
      <c r="A5864" s="16" t="s">
        <v>399</v>
      </c>
      <c r="B5864" s="17" t="s">
        <v>7432</v>
      </c>
      <c r="C5864" s="17" t="s">
        <v>2833</v>
      </c>
      <c r="D5864" s="17" t="s">
        <v>6905</v>
      </c>
      <c r="E5864" s="18" t="s">
        <v>7735</v>
      </c>
      <c r="F5864" s="16" t="s">
        <v>7736</v>
      </c>
      <c r="G5864" s="16" t="s">
        <v>88</v>
      </c>
      <c r="H5864" s="19" t="s">
        <v>7752</v>
      </c>
      <c r="I5864" s="23" t="e">
        <f>VLOOKUP(H5864,'合同综合查询数据（3月返）'!$A:$A,1,FALSE)</f>
        <v>#N/A</v>
      </c>
      <c r="J5864" s="24" t="s">
        <v>90</v>
      </c>
      <c r="K5864" s="16" t="s">
        <v>7753</v>
      </c>
      <c r="L5864" s="25"/>
      <c r="M5864" s="26" t="s">
        <v>7608</v>
      </c>
      <c r="N5864" s="28">
        <v>44370</v>
      </c>
      <c r="O5864" s="28" t="s">
        <v>461</v>
      </c>
      <c r="P5864" s="29">
        <v>9580</v>
      </c>
      <c r="Q5864" s="35">
        <v>2</v>
      </c>
      <c r="R5864" s="36">
        <f t="shared" si="131"/>
        <v>19160</v>
      </c>
      <c r="S5864" s="37">
        <v>202303</v>
      </c>
      <c r="T5864" s="38" t="s">
        <v>7832</v>
      </c>
      <c r="U5864" s="39"/>
      <c r="V5864" s="40"/>
      <c r="W5864" s="41"/>
      <c r="X5864" s="28">
        <v>43815</v>
      </c>
      <c r="Y5864" s="28">
        <v>46006</v>
      </c>
    </row>
    <row r="5865" s="9" customFormat="1" customHeight="1" spans="1:25">
      <c r="A5865" s="16" t="s">
        <v>399</v>
      </c>
      <c r="B5865" s="17" t="s">
        <v>7432</v>
      </c>
      <c r="C5865" s="17" t="s">
        <v>2833</v>
      </c>
      <c r="D5865" s="17" t="s">
        <v>6905</v>
      </c>
      <c r="E5865" s="18" t="s">
        <v>7735</v>
      </c>
      <c r="F5865" s="16" t="s">
        <v>7736</v>
      </c>
      <c r="G5865" s="16" t="s">
        <v>88</v>
      </c>
      <c r="H5865" s="19" t="s">
        <v>7752</v>
      </c>
      <c r="I5865" s="23" t="e">
        <f>VLOOKUP(H5865,'合同综合查询数据（3月返）'!$A:$A,1,FALSE)</f>
        <v>#N/A</v>
      </c>
      <c r="J5865" s="24" t="s">
        <v>90</v>
      </c>
      <c r="K5865" s="16" t="s">
        <v>7753</v>
      </c>
      <c r="L5865" s="25"/>
      <c r="M5865" s="26" t="s">
        <v>7608</v>
      </c>
      <c r="N5865" s="28">
        <v>44370</v>
      </c>
      <c r="O5865" s="28" t="s">
        <v>457</v>
      </c>
      <c r="P5865" s="29">
        <v>4790</v>
      </c>
      <c r="Q5865" s="35">
        <v>1</v>
      </c>
      <c r="R5865" s="36">
        <f t="shared" si="131"/>
        <v>4790</v>
      </c>
      <c r="S5865" s="37">
        <v>202303</v>
      </c>
      <c r="T5865" s="38" t="s">
        <v>7833</v>
      </c>
      <c r="U5865" s="39"/>
      <c r="V5865" s="40"/>
      <c r="W5865" s="41"/>
      <c r="X5865" s="28">
        <v>43815</v>
      </c>
      <c r="Y5865" s="28">
        <v>46006</v>
      </c>
    </row>
    <row r="5866" s="9" customFormat="1" customHeight="1" spans="1:25">
      <c r="A5866" s="16" t="s">
        <v>399</v>
      </c>
      <c r="B5866" s="17" t="s">
        <v>7432</v>
      </c>
      <c r="C5866" s="17" t="s">
        <v>2833</v>
      </c>
      <c r="D5866" s="17" t="s">
        <v>6905</v>
      </c>
      <c r="E5866" s="18" t="s">
        <v>7735</v>
      </c>
      <c r="F5866" s="16" t="s">
        <v>7736</v>
      </c>
      <c r="G5866" s="16" t="s">
        <v>88</v>
      </c>
      <c r="H5866" s="19" t="s">
        <v>7752</v>
      </c>
      <c r="I5866" s="23" t="e">
        <f>VLOOKUP(H5866,'合同综合查询数据（3月返）'!$A:$A,1,FALSE)</f>
        <v>#N/A</v>
      </c>
      <c r="J5866" s="24" t="s">
        <v>90</v>
      </c>
      <c r="K5866" s="16" t="s">
        <v>7753</v>
      </c>
      <c r="L5866" s="25"/>
      <c r="M5866" s="26" t="s">
        <v>7608</v>
      </c>
      <c r="N5866" s="28">
        <v>44371</v>
      </c>
      <c r="O5866" s="28" t="s">
        <v>461</v>
      </c>
      <c r="P5866" s="29">
        <v>9580</v>
      </c>
      <c r="Q5866" s="35">
        <v>2</v>
      </c>
      <c r="R5866" s="36">
        <f t="shared" si="131"/>
        <v>19160</v>
      </c>
      <c r="S5866" s="37">
        <v>202303</v>
      </c>
      <c r="T5866" s="38" t="s">
        <v>7834</v>
      </c>
      <c r="U5866" s="39"/>
      <c r="V5866" s="40"/>
      <c r="W5866" s="41"/>
      <c r="X5866" s="28">
        <v>43815</v>
      </c>
      <c r="Y5866" s="28">
        <v>46006</v>
      </c>
    </row>
    <row r="5867" s="9" customFormat="1" customHeight="1" spans="1:25">
      <c r="A5867" s="16" t="s">
        <v>399</v>
      </c>
      <c r="B5867" s="17" t="s">
        <v>7432</v>
      </c>
      <c r="C5867" s="17" t="s">
        <v>2833</v>
      </c>
      <c r="D5867" s="17" t="s">
        <v>6905</v>
      </c>
      <c r="E5867" s="18" t="s">
        <v>7735</v>
      </c>
      <c r="F5867" s="16" t="s">
        <v>7736</v>
      </c>
      <c r="G5867" s="16" t="s">
        <v>88</v>
      </c>
      <c r="H5867" s="19" t="s">
        <v>7752</v>
      </c>
      <c r="I5867" s="23" t="e">
        <f>VLOOKUP(H5867,'合同综合查询数据（3月返）'!$A:$A,1,FALSE)</f>
        <v>#N/A</v>
      </c>
      <c r="J5867" s="24" t="s">
        <v>90</v>
      </c>
      <c r="K5867" s="16" t="s">
        <v>7753</v>
      </c>
      <c r="L5867" s="25"/>
      <c r="M5867" s="26" t="s">
        <v>7608</v>
      </c>
      <c r="N5867" s="28">
        <v>44380</v>
      </c>
      <c r="O5867" s="28" t="s">
        <v>461</v>
      </c>
      <c r="P5867" s="29">
        <v>9580</v>
      </c>
      <c r="Q5867" s="35">
        <v>12</v>
      </c>
      <c r="R5867" s="36">
        <f t="shared" si="131"/>
        <v>114960</v>
      </c>
      <c r="S5867" s="37">
        <v>202303</v>
      </c>
      <c r="T5867" s="38" t="s">
        <v>7835</v>
      </c>
      <c r="U5867" s="39"/>
      <c r="V5867" s="40"/>
      <c r="W5867" s="41"/>
      <c r="X5867" s="28">
        <v>43815</v>
      </c>
      <c r="Y5867" s="28">
        <v>46006</v>
      </c>
    </row>
    <row r="5868" s="9" customFormat="1" customHeight="1" spans="1:25">
      <c r="A5868" s="16" t="s">
        <v>399</v>
      </c>
      <c r="B5868" s="17" t="s">
        <v>7432</v>
      </c>
      <c r="C5868" s="17" t="s">
        <v>2833</v>
      </c>
      <c r="D5868" s="17" t="s">
        <v>6905</v>
      </c>
      <c r="E5868" s="18" t="s">
        <v>7735</v>
      </c>
      <c r="F5868" s="16" t="s">
        <v>7736</v>
      </c>
      <c r="G5868" s="16" t="s">
        <v>88</v>
      </c>
      <c r="H5868" s="19" t="s">
        <v>7752</v>
      </c>
      <c r="I5868" s="23" t="e">
        <f>VLOOKUP(H5868,'合同综合查询数据（3月返）'!$A:$A,1,FALSE)</f>
        <v>#N/A</v>
      </c>
      <c r="J5868" s="24" t="s">
        <v>90</v>
      </c>
      <c r="K5868" s="16" t="s">
        <v>7753</v>
      </c>
      <c r="L5868" s="25"/>
      <c r="M5868" s="26" t="s">
        <v>7608</v>
      </c>
      <c r="N5868" s="28">
        <v>44399</v>
      </c>
      <c r="O5868" s="28" t="s">
        <v>461</v>
      </c>
      <c r="P5868" s="29">
        <v>9580</v>
      </c>
      <c r="Q5868" s="35">
        <v>1</v>
      </c>
      <c r="R5868" s="36">
        <f t="shared" si="131"/>
        <v>9580</v>
      </c>
      <c r="S5868" s="37">
        <v>202303</v>
      </c>
      <c r="T5868" s="38" t="s">
        <v>7836</v>
      </c>
      <c r="U5868" s="39"/>
      <c r="V5868" s="40"/>
      <c r="W5868" s="41"/>
      <c r="X5868" s="28">
        <v>43815</v>
      </c>
      <c r="Y5868" s="28">
        <v>46006</v>
      </c>
    </row>
    <row r="5869" s="9" customFormat="1" customHeight="1" spans="1:25">
      <c r="A5869" s="16" t="s">
        <v>399</v>
      </c>
      <c r="B5869" s="17" t="s">
        <v>7432</v>
      </c>
      <c r="C5869" s="17" t="s">
        <v>2833</v>
      </c>
      <c r="D5869" s="17" t="s">
        <v>6905</v>
      </c>
      <c r="E5869" s="18" t="s">
        <v>7735</v>
      </c>
      <c r="F5869" s="16" t="s">
        <v>7736</v>
      </c>
      <c r="G5869" s="16" t="s">
        <v>88</v>
      </c>
      <c r="H5869" s="19" t="s">
        <v>7829</v>
      </c>
      <c r="I5869" s="23" t="e">
        <f>VLOOKUP(H5869,'合同综合查询数据（3月返）'!$A:$A,1,FALSE)</f>
        <v>#N/A</v>
      </c>
      <c r="J5869" s="24" t="s">
        <v>90</v>
      </c>
      <c r="K5869" s="16" t="s">
        <v>7753</v>
      </c>
      <c r="L5869" s="25"/>
      <c r="M5869" s="26" t="s">
        <v>7830</v>
      </c>
      <c r="N5869" s="28">
        <v>44403</v>
      </c>
      <c r="O5869" s="28" t="s">
        <v>92</v>
      </c>
      <c r="P5869" s="29">
        <v>3950</v>
      </c>
      <c r="Q5869" s="35">
        <v>1</v>
      </c>
      <c r="R5869" s="36">
        <f t="shared" si="131"/>
        <v>3950</v>
      </c>
      <c r="S5869" s="37">
        <v>202303</v>
      </c>
      <c r="T5869" s="38" t="s">
        <v>7837</v>
      </c>
      <c r="U5869" s="39"/>
      <c r="V5869" s="40"/>
      <c r="W5869" s="41"/>
      <c r="X5869" s="28">
        <v>44368</v>
      </c>
      <c r="Y5869" s="28">
        <v>46006</v>
      </c>
    </row>
    <row r="5870" s="9" customFormat="1" customHeight="1" spans="1:25">
      <c r="A5870" s="16" t="s">
        <v>399</v>
      </c>
      <c r="B5870" s="17" t="s">
        <v>7432</v>
      </c>
      <c r="C5870" s="17" t="s">
        <v>2833</v>
      </c>
      <c r="D5870" s="17" t="s">
        <v>6905</v>
      </c>
      <c r="E5870" s="18" t="s">
        <v>7735</v>
      </c>
      <c r="F5870" s="16" t="s">
        <v>7736</v>
      </c>
      <c r="G5870" s="16" t="s">
        <v>88</v>
      </c>
      <c r="H5870" s="19" t="s">
        <v>7752</v>
      </c>
      <c r="I5870" s="23" t="e">
        <f>VLOOKUP(H5870,'合同综合查询数据（3月返）'!$A:$A,1,FALSE)</f>
        <v>#N/A</v>
      </c>
      <c r="J5870" s="24" t="s">
        <v>90</v>
      </c>
      <c r="K5870" s="16" t="s">
        <v>7753</v>
      </c>
      <c r="L5870" s="25"/>
      <c r="M5870" s="26" t="s">
        <v>7608</v>
      </c>
      <c r="N5870" s="28">
        <v>44410</v>
      </c>
      <c r="O5870" s="28" t="s">
        <v>461</v>
      </c>
      <c r="P5870" s="29">
        <v>9580</v>
      </c>
      <c r="Q5870" s="35">
        <v>9</v>
      </c>
      <c r="R5870" s="36">
        <f t="shared" si="131"/>
        <v>86220</v>
      </c>
      <c r="S5870" s="37">
        <v>202303</v>
      </c>
      <c r="T5870" s="38" t="s">
        <v>7838</v>
      </c>
      <c r="U5870" s="39"/>
      <c r="V5870" s="40"/>
      <c r="W5870" s="41"/>
      <c r="X5870" s="28">
        <v>43815</v>
      </c>
      <c r="Y5870" s="28">
        <v>46006</v>
      </c>
    </row>
    <row r="5871" s="9" customFormat="1" customHeight="1" spans="1:25">
      <c r="A5871" s="16" t="s">
        <v>399</v>
      </c>
      <c r="B5871" s="17" t="s">
        <v>7432</v>
      </c>
      <c r="C5871" s="17" t="s">
        <v>2833</v>
      </c>
      <c r="D5871" s="17" t="s">
        <v>6905</v>
      </c>
      <c r="E5871" s="18" t="s">
        <v>7735</v>
      </c>
      <c r="F5871" s="16" t="s">
        <v>7736</v>
      </c>
      <c r="G5871" s="16" t="s">
        <v>88</v>
      </c>
      <c r="H5871" s="19" t="s">
        <v>7752</v>
      </c>
      <c r="I5871" s="23" t="e">
        <f>VLOOKUP(H5871,'合同综合查询数据（3月返）'!$A:$A,1,FALSE)</f>
        <v>#N/A</v>
      </c>
      <c r="J5871" s="24" t="s">
        <v>90</v>
      </c>
      <c r="K5871" s="16" t="s">
        <v>7753</v>
      </c>
      <c r="L5871" s="25"/>
      <c r="M5871" s="26" t="s">
        <v>7608</v>
      </c>
      <c r="N5871" s="28">
        <v>44428</v>
      </c>
      <c r="O5871" s="28" t="s">
        <v>461</v>
      </c>
      <c r="P5871" s="29">
        <v>9580</v>
      </c>
      <c r="Q5871" s="35">
        <v>25</v>
      </c>
      <c r="R5871" s="36">
        <f t="shared" si="131"/>
        <v>239500</v>
      </c>
      <c r="S5871" s="37">
        <v>202303</v>
      </c>
      <c r="T5871" s="38" t="s">
        <v>7839</v>
      </c>
      <c r="U5871" s="39"/>
      <c r="V5871" s="40"/>
      <c r="W5871" s="41"/>
      <c r="X5871" s="28">
        <v>43815</v>
      </c>
      <c r="Y5871" s="28">
        <v>46006</v>
      </c>
    </row>
    <row r="5872" s="9" customFormat="1" customHeight="1" spans="1:25">
      <c r="A5872" s="16" t="s">
        <v>399</v>
      </c>
      <c r="B5872" s="17" t="s">
        <v>7432</v>
      </c>
      <c r="C5872" s="17" t="s">
        <v>2833</v>
      </c>
      <c r="D5872" s="17" t="s">
        <v>6905</v>
      </c>
      <c r="E5872" s="18" t="s">
        <v>7735</v>
      </c>
      <c r="F5872" s="16" t="s">
        <v>7736</v>
      </c>
      <c r="G5872" s="16" t="s">
        <v>88</v>
      </c>
      <c r="H5872" s="19" t="s">
        <v>7752</v>
      </c>
      <c r="I5872" s="23" t="e">
        <f>VLOOKUP(H5872,'合同综合查询数据（3月返）'!$A:$A,1,FALSE)</f>
        <v>#N/A</v>
      </c>
      <c r="J5872" s="24" t="s">
        <v>90</v>
      </c>
      <c r="K5872" s="16" t="s">
        <v>7753</v>
      </c>
      <c r="L5872" s="25"/>
      <c r="M5872" s="26" t="s">
        <v>7608</v>
      </c>
      <c r="N5872" s="28">
        <v>44438</v>
      </c>
      <c r="O5872" s="28" t="s">
        <v>461</v>
      </c>
      <c r="P5872" s="29">
        <v>9580</v>
      </c>
      <c r="Q5872" s="35">
        <v>6</v>
      </c>
      <c r="R5872" s="36">
        <f t="shared" si="131"/>
        <v>57480</v>
      </c>
      <c r="S5872" s="37">
        <v>202303</v>
      </c>
      <c r="T5872" s="38" t="s">
        <v>7840</v>
      </c>
      <c r="U5872" s="39"/>
      <c r="V5872" s="40"/>
      <c r="W5872" s="41"/>
      <c r="X5872" s="28">
        <v>43815</v>
      </c>
      <c r="Y5872" s="28">
        <v>46006</v>
      </c>
    </row>
    <row r="5873" s="9" customFormat="1" customHeight="1" spans="1:25">
      <c r="A5873" s="16" t="s">
        <v>399</v>
      </c>
      <c r="B5873" s="17" t="s">
        <v>7432</v>
      </c>
      <c r="C5873" s="17" t="s">
        <v>2833</v>
      </c>
      <c r="D5873" s="17" t="s">
        <v>6905</v>
      </c>
      <c r="E5873" s="18" t="s">
        <v>7735</v>
      </c>
      <c r="F5873" s="16" t="s">
        <v>7736</v>
      </c>
      <c r="G5873" s="16" t="s">
        <v>88</v>
      </c>
      <c r="H5873" s="19" t="s">
        <v>7752</v>
      </c>
      <c r="I5873" s="23" t="e">
        <f>VLOOKUP(H5873,'合同综合查询数据（3月返）'!$A:$A,1,FALSE)</f>
        <v>#N/A</v>
      </c>
      <c r="J5873" s="24" t="s">
        <v>90</v>
      </c>
      <c r="K5873" s="16" t="s">
        <v>7753</v>
      </c>
      <c r="L5873" s="25"/>
      <c r="M5873" s="26" t="s">
        <v>7608</v>
      </c>
      <c r="N5873" s="28">
        <v>44448</v>
      </c>
      <c r="O5873" s="28" t="s">
        <v>511</v>
      </c>
      <c r="P5873" s="29">
        <v>10860</v>
      </c>
      <c r="Q5873" s="35">
        <v>1</v>
      </c>
      <c r="R5873" s="36">
        <f t="shared" si="131"/>
        <v>10860</v>
      </c>
      <c r="S5873" s="37">
        <v>202303</v>
      </c>
      <c r="T5873" s="38" t="s">
        <v>7841</v>
      </c>
      <c r="U5873" s="39"/>
      <c r="V5873" s="40"/>
      <c r="W5873" s="41"/>
      <c r="X5873" s="28">
        <v>43815</v>
      </c>
      <c r="Y5873" s="28">
        <v>46006</v>
      </c>
    </row>
    <row r="5874" s="9" customFormat="1" customHeight="1" spans="1:25">
      <c r="A5874" s="16" t="s">
        <v>399</v>
      </c>
      <c r="B5874" s="17" t="s">
        <v>7432</v>
      </c>
      <c r="C5874" s="17" t="s">
        <v>2833</v>
      </c>
      <c r="D5874" s="17" t="s">
        <v>6905</v>
      </c>
      <c r="E5874" s="18" t="s">
        <v>7735</v>
      </c>
      <c r="F5874" s="16" t="s">
        <v>7736</v>
      </c>
      <c r="G5874" s="16" t="s">
        <v>88</v>
      </c>
      <c r="H5874" s="19" t="s">
        <v>7752</v>
      </c>
      <c r="I5874" s="23" t="e">
        <f>VLOOKUP(H5874,'合同综合查询数据（3月返）'!$A:$A,1,FALSE)</f>
        <v>#N/A</v>
      </c>
      <c r="J5874" s="24" t="s">
        <v>90</v>
      </c>
      <c r="K5874" s="16" t="s">
        <v>7753</v>
      </c>
      <c r="L5874" s="25"/>
      <c r="M5874" s="26" t="s">
        <v>7608</v>
      </c>
      <c r="N5874" s="28">
        <v>44463</v>
      </c>
      <c r="O5874" s="28" t="s">
        <v>461</v>
      </c>
      <c r="P5874" s="29">
        <v>9580</v>
      </c>
      <c r="Q5874" s="35">
        <v>2</v>
      </c>
      <c r="R5874" s="36">
        <f t="shared" si="131"/>
        <v>19160</v>
      </c>
      <c r="S5874" s="37">
        <v>202303</v>
      </c>
      <c r="T5874" s="38" t="s">
        <v>7842</v>
      </c>
      <c r="U5874" s="39"/>
      <c r="V5874" s="40"/>
      <c r="W5874" s="41"/>
      <c r="X5874" s="28">
        <v>43815</v>
      </c>
      <c r="Y5874" s="28">
        <v>46006</v>
      </c>
    </row>
    <row r="5875" s="9" customFormat="1" customHeight="1" spans="1:25">
      <c r="A5875" s="16" t="s">
        <v>399</v>
      </c>
      <c r="B5875" s="17" t="s">
        <v>7432</v>
      </c>
      <c r="C5875" s="17" t="s">
        <v>2833</v>
      </c>
      <c r="D5875" s="17" t="s">
        <v>6905</v>
      </c>
      <c r="E5875" s="18" t="s">
        <v>7735</v>
      </c>
      <c r="F5875" s="16" t="s">
        <v>7736</v>
      </c>
      <c r="G5875" s="16" t="s">
        <v>88</v>
      </c>
      <c r="H5875" s="19" t="s">
        <v>7829</v>
      </c>
      <c r="I5875" s="23" t="e">
        <f>VLOOKUP(H5875,'合同综合查询数据（3月返）'!$A:$A,1,FALSE)</f>
        <v>#N/A</v>
      </c>
      <c r="J5875" s="24" t="s">
        <v>90</v>
      </c>
      <c r="K5875" s="16" t="s">
        <v>7753</v>
      </c>
      <c r="L5875" s="25"/>
      <c r="M5875" s="26" t="s">
        <v>7830</v>
      </c>
      <c r="N5875" s="28">
        <v>44445</v>
      </c>
      <c r="O5875" s="28" t="s">
        <v>92</v>
      </c>
      <c r="P5875" s="29">
        <v>3950</v>
      </c>
      <c r="Q5875" s="35">
        <v>-1</v>
      </c>
      <c r="R5875" s="36">
        <f t="shared" si="131"/>
        <v>-3950</v>
      </c>
      <c r="S5875" s="37">
        <v>202303</v>
      </c>
      <c r="T5875" s="38" t="s">
        <v>7843</v>
      </c>
      <c r="U5875" s="39"/>
      <c r="V5875" s="40"/>
      <c r="W5875" s="41"/>
      <c r="X5875" s="28">
        <v>44368</v>
      </c>
      <c r="Y5875" s="28">
        <v>46006</v>
      </c>
    </row>
    <row r="5876" s="9" customFormat="1" customHeight="1" spans="1:25">
      <c r="A5876" s="16" t="s">
        <v>399</v>
      </c>
      <c r="B5876" s="17" t="s">
        <v>7432</v>
      </c>
      <c r="C5876" s="17" t="s">
        <v>2833</v>
      </c>
      <c r="D5876" s="17" t="s">
        <v>6905</v>
      </c>
      <c r="E5876" s="18" t="s">
        <v>7735</v>
      </c>
      <c r="F5876" s="16" t="s">
        <v>7736</v>
      </c>
      <c r="G5876" s="16" t="s">
        <v>88</v>
      </c>
      <c r="H5876" s="19" t="s">
        <v>7829</v>
      </c>
      <c r="I5876" s="23" t="e">
        <f>VLOOKUP(H5876,'合同综合查询数据（3月返）'!$A:$A,1,FALSE)</f>
        <v>#N/A</v>
      </c>
      <c r="J5876" s="24" t="s">
        <v>90</v>
      </c>
      <c r="K5876" s="16" t="s">
        <v>7753</v>
      </c>
      <c r="L5876" s="25"/>
      <c r="M5876" s="26" t="s">
        <v>7830</v>
      </c>
      <c r="N5876" s="28">
        <v>44465</v>
      </c>
      <c r="O5876" s="28" t="s">
        <v>92</v>
      </c>
      <c r="P5876" s="29">
        <v>3950</v>
      </c>
      <c r="Q5876" s="35">
        <v>2</v>
      </c>
      <c r="R5876" s="36">
        <f t="shared" si="131"/>
        <v>7900</v>
      </c>
      <c r="S5876" s="37">
        <v>202303</v>
      </c>
      <c r="T5876" s="38" t="s">
        <v>7844</v>
      </c>
      <c r="U5876" s="39"/>
      <c r="V5876" s="40"/>
      <c r="W5876" s="41"/>
      <c r="X5876" s="28">
        <v>44368</v>
      </c>
      <c r="Y5876" s="28">
        <v>46006</v>
      </c>
    </row>
    <row r="5877" s="9" customFormat="1" customHeight="1" spans="1:25">
      <c r="A5877" s="16" t="s">
        <v>399</v>
      </c>
      <c r="B5877" s="17" t="s">
        <v>7432</v>
      </c>
      <c r="C5877" s="17" t="s">
        <v>2833</v>
      </c>
      <c r="D5877" s="17" t="s">
        <v>6905</v>
      </c>
      <c r="E5877" s="18" t="s">
        <v>7735</v>
      </c>
      <c r="F5877" s="16" t="s">
        <v>7736</v>
      </c>
      <c r="G5877" s="16" t="s">
        <v>88</v>
      </c>
      <c r="H5877" s="19" t="s">
        <v>7752</v>
      </c>
      <c r="I5877" s="23" t="e">
        <f>VLOOKUP(H5877,'合同综合查询数据（3月返）'!$A:$A,1,FALSE)</f>
        <v>#N/A</v>
      </c>
      <c r="J5877" s="24" t="s">
        <v>90</v>
      </c>
      <c r="K5877" s="16" t="s">
        <v>7753</v>
      </c>
      <c r="L5877" s="25"/>
      <c r="M5877" s="26" t="s">
        <v>7608</v>
      </c>
      <c r="N5877" s="28">
        <v>44483</v>
      </c>
      <c r="O5877" s="28" t="s">
        <v>461</v>
      </c>
      <c r="P5877" s="29">
        <v>9580</v>
      </c>
      <c r="Q5877" s="35">
        <v>15</v>
      </c>
      <c r="R5877" s="36">
        <f t="shared" si="131"/>
        <v>143700</v>
      </c>
      <c r="S5877" s="37">
        <v>202303</v>
      </c>
      <c r="T5877" s="38" t="s">
        <v>7845</v>
      </c>
      <c r="U5877" s="39"/>
      <c r="V5877" s="40"/>
      <c r="W5877" s="41"/>
      <c r="X5877" s="28">
        <v>43815</v>
      </c>
      <c r="Y5877" s="28">
        <v>46006</v>
      </c>
    </row>
    <row r="5878" s="9" customFormat="1" customHeight="1" spans="1:25">
      <c r="A5878" s="16" t="s">
        <v>399</v>
      </c>
      <c r="B5878" s="17" t="s">
        <v>7432</v>
      </c>
      <c r="C5878" s="17" t="s">
        <v>2833</v>
      </c>
      <c r="D5878" s="17" t="s">
        <v>6905</v>
      </c>
      <c r="E5878" s="18" t="s">
        <v>7735</v>
      </c>
      <c r="F5878" s="16" t="s">
        <v>7736</v>
      </c>
      <c r="G5878" s="16" t="s">
        <v>88</v>
      </c>
      <c r="H5878" s="19" t="s">
        <v>7752</v>
      </c>
      <c r="I5878" s="23" t="e">
        <f>VLOOKUP(H5878,'合同综合查询数据（3月返）'!$A:$A,1,FALSE)</f>
        <v>#N/A</v>
      </c>
      <c r="J5878" s="24" t="s">
        <v>90</v>
      </c>
      <c r="K5878" s="16" t="s">
        <v>7753</v>
      </c>
      <c r="L5878" s="25"/>
      <c r="M5878" s="26" t="s">
        <v>7608</v>
      </c>
      <c r="N5878" s="28">
        <v>44497</v>
      </c>
      <c r="O5878" s="28" t="s">
        <v>461</v>
      </c>
      <c r="P5878" s="29">
        <v>9580</v>
      </c>
      <c r="Q5878" s="35">
        <v>9</v>
      </c>
      <c r="R5878" s="36">
        <f t="shared" si="131"/>
        <v>86220</v>
      </c>
      <c r="S5878" s="37">
        <v>202303</v>
      </c>
      <c r="T5878" s="38" t="s">
        <v>7846</v>
      </c>
      <c r="U5878" s="39"/>
      <c r="V5878" s="40"/>
      <c r="W5878" s="41"/>
      <c r="X5878" s="28">
        <v>43815</v>
      </c>
      <c r="Y5878" s="28">
        <v>46006</v>
      </c>
    </row>
    <row r="5879" s="9" customFormat="1" customHeight="1" spans="1:25">
      <c r="A5879" s="16" t="s">
        <v>399</v>
      </c>
      <c r="B5879" s="17" t="s">
        <v>7432</v>
      </c>
      <c r="C5879" s="17" t="s">
        <v>2833</v>
      </c>
      <c r="D5879" s="17" t="s">
        <v>6905</v>
      </c>
      <c r="E5879" s="18" t="s">
        <v>7735</v>
      </c>
      <c r="F5879" s="16" t="s">
        <v>7736</v>
      </c>
      <c r="G5879" s="16" t="s">
        <v>88</v>
      </c>
      <c r="H5879" s="19" t="s">
        <v>7752</v>
      </c>
      <c r="I5879" s="23" t="e">
        <f>VLOOKUP(H5879,'合同综合查询数据（3月返）'!$A:$A,1,FALSE)</f>
        <v>#N/A</v>
      </c>
      <c r="J5879" s="24" t="s">
        <v>90</v>
      </c>
      <c r="K5879" s="16" t="s">
        <v>7753</v>
      </c>
      <c r="L5879" s="25"/>
      <c r="M5879" s="26" t="s">
        <v>7608</v>
      </c>
      <c r="N5879" s="28">
        <v>44498</v>
      </c>
      <c r="O5879" s="28" t="s">
        <v>461</v>
      </c>
      <c r="P5879" s="29">
        <v>9580</v>
      </c>
      <c r="Q5879" s="35">
        <v>-1</v>
      </c>
      <c r="R5879" s="36">
        <f t="shared" si="131"/>
        <v>-9580</v>
      </c>
      <c r="S5879" s="37">
        <v>202303</v>
      </c>
      <c r="T5879" s="38" t="s">
        <v>7847</v>
      </c>
      <c r="U5879" s="39"/>
      <c r="V5879" s="40"/>
      <c r="W5879" s="41"/>
      <c r="X5879" s="28">
        <v>43815</v>
      </c>
      <c r="Y5879" s="28">
        <v>46006</v>
      </c>
    </row>
    <row r="5880" s="9" customFormat="1" customHeight="1" spans="1:25">
      <c r="A5880" s="16" t="s">
        <v>399</v>
      </c>
      <c r="B5880" s="17" t="s">
        <v>7432</v>
      </c>
      <c r="C5880" s="17" t="s">
        <v>2833</v>
      </c>
      <c r="D5880" s="17" t="s">
        <v>6905</v>
      </c>
      <c r="E5880" s="18" t="s">
        <v>7735</v>
      </c>
      <c r="F5880" s="16" t="s">
        <v>7736</v>
      </c>
      <c r="G5880" s="16" t="s">
        <v>88</v>
      </c>
      <c r="H5880" s="19" t="s">
        <v>7752</v>
      </c>
      <c r="I5880" s="23" t="e">
        <f>VLOOKUP(H5880,'合同综合查询数据（3月返）'!$A:$A,1,FALSE)</f>
        <v>#N/A</v>
      </c>
      <c r="J5880" s="24" t="s">
        <v>90</v>
      </c>
      <c r="K5880" s="16" t="s">
        <v>7753</v>
      </c>
      <c r="L5880" s="25"/>
      <c r="M5880" s="26" t="s">
        <v>7608</v>
      </c>
      <c r="N5880" s="28">
        <v>44499</v>
      </c>
      <c r="O5880" s="28" t="s">
        <v>461</v>
      </c>
      <c r="P5880" s="29">
        <v>9580</v>
      </c>
      <c r="Q5880" s="35">
        <v>-11</v>
      </c>
      <c r="R5880" s="36">
        <f t="shared" si="131"/>
        <v>-105380</v>
      </c>
      <c r="S5880" s="37">
        <v>202303</v>
      </c>
      <c r="T5880" s="38" t="s">
        <v>7848</v>
      </c>
      <c r="U5880" s="39"/>
      <c r="V5880" s="40"/>
      <c r="W5880" s="41"/>
      <c r="X5880" s="28">
        <v>43815</v>
      </c>
      <c r="Y5880" s="28">
        <v>46006</v>
      </c>
    </row>
    <row r="5881" s="9" customFormat="1" customHeight="1" spans="1:25">
      <c r="A5881" s="16" t="s">
        <v>399</v>
      </c>
      <c r="B5881" s="17" t="s">
        <v>7432</v>
      </c>
      <c r="C5881" s="17" t="s">
        <v>2833</v>
      </c>
      <c r="D5881" s="17" t="s">
        <v>6905</v>
      </c>
      <c r="E5881" s="18" t="s">
        <v>7735</v>
      </c>
      <c r="F5881" s="16" t="s">
        <v>7736</v>
      </c>
      <c r="G5881" s="16" t="s">
        <v>88</v>
      </c>
      <c r="H5881" s="19" t="s">
        <v>7752</v>
      </c>
      <c r="I5881" s="23" t="e">
        <f>VLOOKUP(H5881,'合同综合查询数据（3月返）'!$A:$A,1,FALSE)</f>
        <v>#N/A</v>
      </c>
      <c r="J5881" s="24" t="s">
        <v>90</v>
      </c>
      <c r="K5881" s="16" t="s">
        <v>7753</v>
      </c>
      <c r="L5881" s="25"/>
      <c r="M5881" s="26" t="s">
        <v>7608</v>
      </c>
      <c r="N5881" s="28">
        <v>44516</v>
      </c>
      <c r="O5881" s="28" t="s">
        <v>461</v>
      </c>
      <c r="P5881" s="29">
        <v>9580</v>
      </c>
      <c r="Q5881" s="35">
        <v>6</v>
      </c>
      <c r="R5881" s="36">
        <f t="shared" si="131"/>
        <v>57480</v>
      </c>
      <c r="S5881" s="37">
        <v>202303</v>
      </c>
      <c r="T5881" s="38" t="s">
        <v>7849</v>
      </c>
      <c r="U5881" s="39"/>
      <c r="V5881" s="40"/>
      <c r="W5881" s="41"/>
      <c r="X5881" s="28">
        <v>43815</v>
      </c>
      <c r="Y5881" s="28">
        <v>46006</v>
      </c>
    </row>
    <row r="5882" s="9" customFormat="1" customHeight="1" spans="1:25">
      <c r="A5882" s="16" t="s">
        <v>399</v>
      </c>
      <c r="B5882" s="17" t="s">
        <v>7432</v>
      </c>
      <c r="C5882" s="17" t="s">
        <v>2833</v>
      </c>
      <c r="D5882" s="17" t="s">
        <v>6905</v>
      </c>
      <c r="E5882" s="18" t="s">
        <v>7735</v>
      </c>
      <c r="F5882" s="16" t="s">
        <v>7736</v>
      </c>
      <c r="G5882" s="16" t="s">
        <v>88</v>
      </c>
      <c r="H5882" s="19" t="s">
        <v>7752</v>
      </c>
      <c r="I5882" s="23" t="e">
        <f>VLOOKUP(H5882,'合同综合查询数据（3月返）'!$A:$A,1,FALSE)</f>
        <v>#N/A</v>
      </c>
      <c r="J5882" s="24" t="s">
        <v>90</v>
      </c>
      <c r="K5882" s="16" t="s">
        <v>7753</v>
      </c>
      <c r="L5882" s="25"/>
      <c r="M5882" s="26" t="s">
        <v>7608</v>
      </c>
      <c r="N5882" s="28">
        <v>44522</v>
      </c>
      <c r="O5882" s="28" t="s">
        <v>461</v>
      </c>
      <c r="P5882" s="29">
        <v>9580</v>
      </c>
      <c r="Q5882" s="35">
        <v>6</v>
      </c>
      <c r="R5882" s="36">
        <f t="shared" si="131"/>
        <v>57480</v>
      </c>
      <c r="S5882" s="37">
        <v>202303</v>
      </c>
      <c r="T5882" s="38" t="s">
        <v>7850</v>
      </c>
      <c r="U5882" s="39"/>
      <c r="V5882" s="40"/>
      <c r="W5882" s="41"/>
      <c r="X5882" s="28">
        <v>43815</v>
      </c>
      <c r="Y5882" s="28">
        <v>46006</v>
      </c>
    </row>
    <row r="5883" s="9" customFormat="1" customHeight="1" spans="1:25">
      <c r="A5883" s="16" t="s">
        <v>399</v>
      </c>
      <c r="B5883" s="17" t="s">
        <v>7432</v>
      </c>
      <c r="C5883" s="17" t="s">
        <v>2833</v>
      </c>
      <c r="D5883" s="17" t="s">
        <v>6905</v>
      </c>
      <c r="E5883" s="18" t="s">
        <v>7735</v>
      </c>
      <c r="F5883" s="16" t="s">
        <v>7736</v>
      </c>
      <c r="G5883" s="16" t="s">
        <v>88</v>
      </c>
      <c r="H5883" s="19" t="s">
        <v>7752</v>
      </c>
      <c r="I5883" s="23" t="e">
        <f>VLOOKUP(H5883,'合同综合查询数据（3月返）'!$A:$A,1,FALSE)</f>
        <v>#N/A</v>
      </c>
      <c r="J5883" s="24" t="s">
        <v>90</v>
      </c>
      <c r="K5883" s="16" t="s">
        <v>7753</v>
      </c>
      <c r="L5883" s="25"/>
      <c r="M5883" s="26" t="s">
        <v>7608</v>
      </c>
      <c r="N5883" s="28">
        <v>44525</v>
      </c>
      <c r="O5883" s="28" t="s">
        <v>461</v>
      </c>
      <c r="P5883" s="29">
        <v>9580</v>
      </c>
      <c r="Q5883" s="35">
        <v>-11</v>
      </c>
      <c r="R5883" s="36">
        <f t="shared" si="131"/>
        <v>-105380</v>
      </c>
      <c r="S5883" s="37">
        <v>202303</v>
      </c>
      <c r="T5883" s="38" t="s">
        <v>7851</v>
      </c>
      <c r="U5883" s="39"/>
      <c r="V5883" s="40"/>
      <c r="W5883" s="41"/>
      <c r="X5883" s="28">
        <v>43815</v>
      </c>
      <c r="Y5883" s="28">
        <v>46006</v>
      </c>
    </row>
    <row r="5884" s="9" customFormat="1" customHeight="1" spans="1:25">
      <c r="A5884" s="16" t="s">
        <v>399</v>
      </c>
      <c r="B5884" s="17" t="s">
        <v>7432</v>
      </c>
      <c r="C5884" s="17" t="s">
        <v>2833</v>
      </c>
      <c r="D5884" s="17" t="s">
        <v>6905</v>
      </c>
      <c r="E5884" s="18" t="s">
        <v>7735</v>
      </c>
      <c r="F5884" s="16" t="s">
        <v>7736</v>
      </c>
      <c r="G5884" s="16" t="s">
        <v>88</v>
      </c>
      <c r="H5884" s="19" t="s">
        <v>7752</v>
      </c>
      <c r="I5884" s="23" t="e">
        <f>VLOOKUP(H5884,'合同综合查询数据（3月返）'!$A:$A,1,FALSE)</f>
        <v>#N/A</v>
      </c>
      <c r="J5884" s="24" t="s">
        <v>90</v>
      </c>
      <c r="K5884" s="16" t="s">
        <v>7753</v>
      </c>
      <c r="L5884" s="25"/>
      <c r="M5884" s="26" t="s">
        <v>7608</v>
      </c>
      <c r="N5884" s="28">
        <v>44536</v>
      </c>
      <c r="O5884" s="28" t="s">
        <v>461</v>
      </c>
      <c r="P5884" s="29">
        <v>9580</v>
      </c>
      <c r="Q5884" s="35">
        <v>2</v>
      </c>
      <c r="R5884" s="36">
        <f t="shared" si="131"/>
        <v>19160</v>
      </c>
      <c r="S5884" s="37">
        <v>202303</v>
      </c>
      <c r="T5884" s="38" t="s">
        <v>7852</v>
      </c>
      <c r="U5884" s="39"/>
      <c r="V5884" s="40"/>
      <c r="W5884" s="41"/>
      <c r="X5884" s="28">
        <v>43815</v>
      </c>
      <c r="Y5884" s="28">
        <v>46006</v>
      </c>
    </row>
    <row r="5885" s="9" customFormat="1" customHeight="1" spans="1:25">
      <c r="A5885" s="16" t="s">
        <v>399</v>
      </c>
      <c r="B5885" s="17" t="s">
        <v>7432</v>
      </c>
      <c r="C5885" s="17" t="s">
        <v>2833</v>
      </c>
      <c r="D5885" s="17" t="s">
        <v>6905</v>
      </c>
      <c r="E5885" s="18" t="s">
        <v>7735</v>
      </c>
      <c r="F5885" s="16" t="s">
        <v>7736</v>
      </c>
      <c r="G5885" s="16" t="s">
        <v>88</v>
      </c>
      <c r="H5885" s="19" t="s">
        <v>7752</v>
      </c>
      <c r="I5885" s="23" t="e">
        <f>VLOOKUP(H5885,'合同综合查询数据（3月返）'!$A:$A,1,FALSE)</f>
        <v>#N/A</v>
      </c>
      <c r="J5885" s="24" t="s">
        <v>90</v>
      </c>
      <c r="K5885" s="16" t="s">
        <v>7753</v>
      </c>
      <c r="L5885" s="25"/>
      <c r="M5885" s="26" t="s">
        <v>7608</v>
      </c>
      <c r="N5885" s="28">
        <v>44554</v>
      </c>
      <c r="O5885" s="28" t="s">
        <v>461</v>
      </c>
      <c r="P5885" s="29">
        <v>9580</v>
      </c>
      <c r="Q5885" s="35">
        <v>11</v>
      </c>
      <c r="R5885" s="36">
        <f t="shared" si="131"/>
        <v>105380</v>
      </c>
      <c r="S5885" s="37">
        <v>202303</v>
      </c>
      <c r="T5885" s="38" t="s">
        <v>7853</v>
      </c>
      <c r="U5885" s="39"/>
      <c r="V5885" s="40"/>
      <c r="W5885" s="41"/>
      <c r="X5885" s="28">
        <v>43815</v>
      </c>
      <c r="Y5885" s="28">
        <v>46006</v>
      </c>
    </row>
    <row r="5886" s="9" customFormat="1" customHeight="1" spans="1:25">
      <c r="A5886" s="16" t="s">
        <v>399</v>
      </c>
      <c r="B5886" s="17" t="s">
        <v>7432</v>
      </c>
      <c r="C5886" s="17" t="s">
        <v>2833</v>
      </c>
      <c r="D5886" s="17" t="s">
        <v>6905</v>
      </c>
      <c r="E5886" s="18" t="s">
        <v>7735</v>
      </c>
      <c r="F5886" s="16" t="s">
        <v>7736</v>
      </c>
      <c r="G5886" s="16" t="s">
        <v>88</v>
      </c>
      <c r="H5886" s="19" t="s">
        <v>7752</v>
      </c>
      <c r="I5886" s="23" t="e">
        <f>VLOOKUP(H5886,'合同综合查询数据（3月返）'!$A:$A,1,FALSE)</f>
        <v>#N/A</v>
      </c>
      <c r="J5886" s="24" t="s">
        <v>90</v>
      </c>
      <c r="K5886" s="16" t="s">
        <v>7753</v>
      </c>
      <c r="L5886" s="25"/>
      <c r="M5886" s="26" t="s">
        <v>7608</v>
      </c>
      <c r="N5886" s="28">
        <v>44608</v>
      </c>
      <c r="O5886" s="28" t="s">
        <v>461</v>
      </c>
      <c r="P5886" s="29">
        <v>9580</v>
      </c>
      <c r="Q5886" s="35">
        <v>17</v>
      </c>
      <c r="R5886" s="36">
        <f t="shared" ref="R5886:R5895" si="132">ROUND(P5886*Q5886,2)</f>
        <v>162860</v>
      </c>
      <c r="S5886" s="37">
        <v>202303</v>
      </c>
      <c r="T5886" s="38" t="s">
        <v>7854</v>
      </c>
      <c r="U5886" s="39"/>
      <c r="V5886" s="40"/>
      <c r="W5886" s="41"/>
      <c r="X5886" s="28">
        <v>43815</v>
      </c>
      <c r="Y5886" s="28">
        <v>46006</v>
      </c>
    </row>
    <row r="5887" s="9" customFormat="1" customHeight="1" spans="1:25">
      <c r="A5887" s="16" t="s">
        <v>399</v>
      </c>
      <c r="B5887" s="17" t="s">
        <v>7432</v>
      </c>
      <c r="C5887" s="17" t="s">
        <v>2833</v>
      </c>
      <c r="D5887" s="17" t="s">
        <v>6905</v>
      </c>
      <c r="E5887" s="18" t="s">
        <v>7735</v>
      </c>
      <c r="F5887" s="16" t="s">
        <v>7736</v>
      </c>
      <c r="G5887" s="16" t="s">
        <v>88</v>
      </c>
      <c r="H5887" s="19" t="s">
        <v>7752</v>
      </c>
      <c r="I5887" s="23" t="e">
        <f>VLOOKUP(H5887,'合同综合查询数据（3月返）'!$A:$A,1,FALSE)</f>
        <v>#N/A</v>
      </c>
      <c r="J5887" s="24" t="s">
        <v>90</v>
      </c>
      <c r="K5887" s="16" t="s">
        <v>7753</v>
      </c>
      <c r="L5887" s="25"/>
      <c r="M5887" s="26" t="s">
        <v>7608</v>
      </c>
      <c r="N5887" s="28">
        <v>44697</v>
      </c>
      <c r="O5887" s="28" t="s">
        <v>461</v>
      </c>
      <c r="P5887" s="29">
        <v>9580</v>
      </c>
      <c r="Q5887" s="35">
        <v>2</v>
      </c>
      <c r="R5887" s="36">
        <f t="shared" si="132"/>
        <v>19160</v>
      </c>
      <c r="S5887" s="37">
        <v>202303</v>
      </c>
      <c r="T5887" s="38" t="s">
        <v>7855</v>
      </c>
      <c r="U5887" s="39"/>
      <c r="V5887" s="40"/>
      <c r="W5887" s="41"/>
      <c r="X5887" s="28">
        <v>43815</v>
      </c>
      <c r="Y5887" s="28">
        <v>46006</v>
      </c>
    </row>
    <row r="5888" s="9" customFormat="1" customHeight="1" spans="1:25">
      <c r="A5888" s="16" t="s">
        <v>399</v>
      </c>
      <c r="B5888" s="17" t="s">
        <v>7432</v>
      </c>
      <c r="C5888" s="17" t="s">
        <v>2833</v>
      </c>
      <c r="D5888" s="17" t="s">
        <v>6905</v>
      </c>
      <c r="E5888" s="18" t="s">
        <v>7735</v>
      </c>
      <c r="F5888" s="16" t="s">
        <v>7736</v>
      </c>
      <c r="G5888" s="16" t="s">
        <v>88</v>
      </c>
      <c r="H5888" s="19" t="s">
        <v>7752</v>
      </c>
      <c r="I5888" s="23" t="e">
        <f>VLOOKUP(H5888,'合同综合查询数据（3月返）'!$A:$A,1,FALSE)</f>
        <v>#N/A</v>
      </c>
      <c r="J5888" s="24" t="s">
        <v>90</v>
      </c>
      <c r="K5888" s="16" t="s">
        <v>7753</v>
      </c>
      <c r="L5888" s="25"/>
      <c r="M5888" s="26" t="s">
        <v>7608</v>
      </c>
      <c r="N5888" s="28">
        <v>44783</v>
      </c>
      <c r="O5888" s="28" t="s">
        <v>457</v>
      </c>
      <c r="P5888" s="29">
        <v>4790</v>
      </c>
      <c r="Q5888" s="35">
        <v>1</v>
      </c>
      <c r="R5888" s="36">
        <f t="shared" si="132"/>
        <v>4790</v>
      </c>
      <c r="S5888" s="37">
        <v>202303</v>
      </c>
      <c r="T5888" s="38" t="s">
        <v>7856</v>
      </c>
      <c r="U5888" s="39"/>
      <c r="V5888" s="40"/>
      <c r="W5888" s="41"/>
      <c r="X5888" s="28">
        <v>43815</v>
      </c>
      <c r="Y5888" s="28">
        <v>46006</v>
      </c>
    </row>
    <row r="5889" s="9" customFormat="1" customHeight="1" spans="1:25">
      <c r="A5889" s="16" t="s">
        <v>399</v>
      </c>
      <c r="B5889" s="17" t="s">
        <v>7432</v>
      </c>
      <c r="C5889" s="17" t="s">
        <v>2833</v>
      </c>
      <c r="D5889" s="17" t="s">
        <v>6905</v>
      </c>
      <c r="E5889" s="18" t="s">
        <v>7735</v>
      </c>
      <c r="F5889" s="16" t="s">
        <v>7736</v>
      </c>
      <c r="G5889" s="16" t="s">
        <v>88</v>
      </c>
      <c r="H5889" s="19" t="s">
        <v>7752</v>
      </c>
      <c r="I5889" s="23" t="e">
        <f>VLOOKUP(H5889,'合同综合查询数据（3月返）'!$A:$A,1,FALSE)</f>
        <v>#N/A</v>
      </c>
      <c r="J5889" s="24" t="s">
        <v>90</v>
      </c>
      <c r="K5889" s="16" t="s">
        <v>7753</v>
      </c>
      <c r="L5889" s="25"/>
      <c r="M5889" s="26" t="s">
        <v>7608</v>
      </c>
      <c r="N5889" s="28">
        <v>44825</v>
      </c>
      <c r="O5889" s="28" t="s">
        <v>461</v>
      </c>
      <c r="P5889" s="29">
        <v>9580</v>
      </c>
      <c r="Q5889" s="35">
        <v>2</v>
      </c>
      <c r="R5889" s="36">
        <f t="shared" si="132"/>
        <v>19160</v>
      </c>
      <c r="S5889" s="37">
        <v>202303</v>
      </c>
      <c r="T5889" s="38" t="s">
        <v>7857</v>
      </c>
      <c r="U5889" s="39"/>
      <c r="V5889" s="40"/>
      <c r="W5889" s="41"/>
      <c r="X5889" s="28">
        <v>43815</v>
      </c>
      <c r="Y5889" s="28">
        <v>46006</v>
      </c>
    </row>
    <row r="5890" s="9" customFormat="1" customHeight="1" spans="1:25">
      <c r="A5890" s="16" t="s">
        <v>399</v>
      </c>
      <c r="B5890" s="17" t="s">
        <v>7432</v>
      </c>
      <c r="C5890" s="17" t="s">
        <v>2833</v>
      </c>
      <c r="D5890" s="17" t="s">
        <v>6905</v>
      </c>
      <c r="E5890" s="18" t="s">
        <v>7735</v>
      </c>
      <c r="F5890" s="16" t="s">
        <v>7736</v>
      </c>
      <c r="G5890" s="16" t="s">
        <v>88</v>
      </c>
      <c r="H5890" s="19" t="s">
        <v>7752</v>
      </c>
      <c r="I5890" s="23" t="e">
        <f>VLOOKUP(H5890,'合同综合查询数据（3月返）'!$A:$A,1,FALSE)</f>
        <v>#N/A</v>
      </c>
      <c r="J5890" s="24" t="s">
        <v>90</v>
      </c>
      <c r="K5890" s="16" t="s">
        <v>7753</v>
      </c>
      <c r="L5890" s="25"/>
      <c r="M5890" s="26" t="s">
        <v>7608</v>
      </c>
      <c r="N5890" s="28">
        <v>44827</v>
      </c>
      <c r="O5890" s="28" t="s">
        <v>461</v>
      </c>
      <c r="P5890" s="29">
        <v>9580</v>
      </c>
      <c r="Q5890" s="35">
        <v>4</v>
      </c>
      <c r="R5890" s="36">
        <f t="shared" si="132"/>
        <v>38320</v>
      </c>
      <c r="S5890" s="37">
        <v>202303</v>
      </c>
      <c r="T5890" s="38" t="s">
        <v>7858</v>
      </c>
      <c r="U5890" s="39"/>
      <c r="V5890" s="40"/>
      <c r="W5890" s="41"/>
      <c r="X5890" s="28">
        <v>43815</v>
      </c>
      <c r="Y5890" s="28">
        <v>46006</v>
      </c>
    </row>
    <row r="5891" s="9" customFormat="1" customHeight="1" spans="1:25">
      <c r="A5891" s="16" t="s">
        <v>399</v>
      </c>
      <c r="B5891" s="17" t="s">
        <v>7432</v>
      </c>
      <c r="C5891" s="17" t="s">
        <v>2833</v>
      </c>
      <c r="D5891" s="17" t="s">
        <v>6905</v>
      </c>
      <c r="E5891" s="18" t="s">
        <v>7735</v>
      </c>
      <c r="F5891" s="16" t="s">
        <v>7736</v>
      </c>
      <c r="G5891" s="16" t="s">
        <v>88</v>
      </c>
      <c r="H5891" s="19" t="s">
        <v>7752</v>
      </c>
      <c r="I5891" s="23" t="e">
        <f>VLOOKUP(H5891,'合同综合查询数据（3月返）'!$A:$A,1,FALSE)</f>
        <v>#N/A</v>
      </c>
      <c r="J5891" s="24" t="s">
        <v>90</v>
      </c>
      <c r="K5891" s="16" t="s">
        <v>7753</v>
      </c>
      <c r="L5891" s="25"/>
      <c r="M5891" s="26" t="s">
        <v>7608</v>
      </c>
      <c r="N5891" s="28">
        <v>44859</v>
      </c>
      <c r="O5891" s="28" t="s">
        <v>461</v>
      </c>
      <c r="P5891" s="29">
        <v>9580</v>
      </c>
      <c r="Q5891" s="35">
        <v>-35</v>
      </c>
      <c r="R5891" s="36">
        <f t="shared" si="132"/>
        <v>-335300</v>
      </c>
      <c r="S5891" s="37">
        <v>202303</v>
      </c>
      <c r="T5891" s="38" t="s">
        <v>7859</v>
      </c>
      <c r="U5891" s="39"/>
      <c r="V5891" s="40"/>
      <c r="W5891" s="41"/>
      <c r="X5891" s="28">
        <v>43815</v>
      </c>
      <c r="Y5891" s="28">
        <v>46006</v>
      </c>
    </row>
    <row r="5892" s="9" customFormat="1" customHeight="1" spans="1:25">
      <c r="A5892" s="16" t="s">
        <v>399</v>
      </c>
      <c r="B5892" s="17" t="s">
        <v>7432</v>
      </c>
      <c r="C5892" s="17" t="s">
        <v>2833</v>
      </c>
      <c r="D5892" s="17" t="s">
        <v>6905</v>
      </c>
      <c r="E5892" s="18" t="s">
        <v>7735</v>
      </c>
      <c r="F5892" s="16" t="s">
        <v>7736</v>
      </c>
      <c r="G5892" s="16" t="s">
        <v>88</v>
      </c>
      <c r="H5892" s="19" t="s">
        <v>7752</v>
      </c>
      <c r="I5892" s="23" t="e">
        <f>VLOOKUP(H5892,'合同综合查询数据（3月返）'!$A:$A,1,FALSE)</f>
        <v>#N/A</v>
      </c>
      <c r="J5892" s="24" t="s">
        <v>90</v>
      </c>
      <c r="K5892" s="16" t="s">
        <v>7753</v>
      </c>
      <c r="L5892" s="25"/>
      <c r="M5892" s="26" t="s">
        <v>7608</v>
      </c>
      <c r="N5892" s="28">
        <v>44881</v>
      </c>
      <c r="O5892" s="28" t="s">
        <v>457</v>
      </c>
      <c r="P5892" s="29">
        <v>4790</v>
      </c>
      <c r="Q5892" s="35">
        <v>-4</v>
      </c>
      <c r="R5892" s="36">
        <f t="shared" si="132"/>
        <v>-19160</v>
      </c>
      <c r="S5892" s="37">
        <v>202303</v>
      </c>
      <c r="T5892" s="38" t="s">
        <v>7860</v>
      </c>
      <c r="U5892" s="39"/>
      <c r="V5892" s="40"/>
      <c r="W5892" s="41"/>
      <c r="X5892" s="28">
        <v>43815</v>
      </c>
      <c r="Y5892" s="28">
        <v>46006</v>
      </c>
    </row>
    <row r="5893" s="9" customFormat="1" customHeight="1" spans="1:25">
      <c r="A5893" s="16" t="s">
        <v>399</v>
      </c>
      <c r="B5893" s="17" t="s">
        <v>7432</v>
      </c>
      <c r="C5893" s="17" t="s">
        <v>2833</v>
      </c>
      <c r="D5893" s="17" t="s">
        <v>6905</v>
      </c>
      <c r="E5893" s="18" t="s">
        <v>7735</v>
      </c>
      <c r="F5893" s="16" t="s">
        <v>7736</v>
      </c>
      <c r="G5893" s="16" t="s">
        <v>88</v>
      </c>
      <c r="H5893" s="19" t="s">
        <v>7752</v>
      </c>
      <c r="I5893" s="23" t="e">
        <f>VLOOKUP(H5893,'合同综合查询数据（3月返）'!$A:$A,1,FALSE)</f>
        <v>#N/A</v>
      </c>
      <c r="J5893" s="24" t="s">
        <v>90</v>
      </c>
      <c r="K5893" s="16" t="s">
        <v>7753</v>
      </c>
      <c r="L5893" s="25"/>
      <c r="M5893" s="26" t="s">
        <v>7608</v>
      </c>
      <c r="N5893" s="28">
        <v>44881</v>
      </c>
      <c r="O5893" s="28" t="s">
        <v>461</v>
      </c>
      <c r="P5893" s="29">
        <v>9580</v>
      </c>
      <c r="Q5893" s="35">
        <v>-1</v>
      </c>
      <c r="R5893" s="36">
        <f t="shared" si="132"/>
        <v>-9580</v>
      </c>
      <c r="S5893" s="37">
        <v>202303</v>
      </c>
      <c r="T5893" s="38" t="s">
        <v>7861</v>
      </c>
      <c r="U5893" s="39"/>
      <c r="V5893" s="40"/>
      <c r="W5893" s="41"/>
      <c r="X5893" s="28">
        <v>43815</v>
      </c>
      <c r="Y5893" s="28">
        <v>46006</v>
      </c>
    </row>
    <row r="5894" s="9" customFormat="1" customHeight="1" spans="1:25">
      <c r="A5894" s="16" t="s">
        <v>399</v>
      </c>
      <c r="B5894" s="17" t="s">
        <v>7432</v>
      </c>
      <c r="C5894" s="17" t="s">
        <v>2833</v>
      </c>
      <c r="D5894" s="17" t="s">
        <v>6905</v>
      </c>
      <c r="E5894" s="18" t="s">
        <v>7735</v>
      </c>
      <c r="F5894" s="16" t="s">
        <v>7736</v>
      </c>
      <c r="G5894" s="16" t="s">
        <v>88</v>
      </c>
      <c r="H5894" s="19" t="s">
        <v>7752</v>
      </c>
      <c r="I5894" s="23" t="e">
        <f>VLOOKUP(H5894,'合同综合查询数据（3月返）'!$A:$A,1,FALSE)</f>
        <v>#N/A</v>
      </c>
      <c r="J5894" s="24" t="s">
        <v>90</v>
      </c>
      <c r="K5894" s="16" t="s">
        <v>7753</v>
      </c>
      <c r="L5894" s="25"/>
      <c r="M5894" s="26" t="s">
        <v>7608</v>
      </c>
      <c r="N5894" s="28">
        <v>44909</v>
      </c>
      <c r="O5894" s="28" t="s">
        <v>461</v>
      </c>
      <c r="P5894" s="29">
        <v>9580</v>
      </c>
      <c r="Q5894" s="35">
        <v>-2</v>
      </c>
      <c r="R5894" s="116">
        <f t="shared" si="132"/>
        <v>-19160</v>
      </c>
      <c r="S5894" s="37">
        <v>202303</v>
      </c>
      <c r="T5894" s="38" t="s">
        <v>7862</v>
      </c>
      <c r="U5894" s="39"/>
      <c r="V5894" s="40"/>
      <c r="W5894" s="41"/>
      <c r="X5894" s="28">
        <v>43815</v>
      </c>
      <c r="Y5894" s="28">
        <v>46006</v>
      </c>
    </row>
    <row r="5895" s="9" customFormat="1" customHeight="1" spans="1:25">
      <c r="A5895" s="16" t="s">
        <v>399</v>
      </c>
      <c r="B5895" s="17" t="s">
        <v>7432</v>
      </c>
      <c r="C5895" s="17" t="s">
        <v>2833</v>
      </c>
      <c r="D5895" s="17" t="s">
        <v>6905</v>
      </c>
      <c r="E5895" s="18" t="s">
        <v>7735</v>
      </c>
      <c r="F5895" s="16" t="s">
        <v>7736</v>
      </c>
      <c r="G5895" s="16" t="s">
        <v>88</v>
      </c>
      <c r="H5895" s="19" t="s">
        <v>7752</v>
      </c>
      <c r="I5895" s="23" t="e">
        <f>VLOOKUP(H5895,'合同综合查询数据（3月返）'!$A:$A,1,FALSE)</f>
        <v>#N/A</v>
      </c>
      <c r="J5895" s="24" t="s">
        <v>90</v>
      </c>
      <c r="K5895" s="16" t="s">
        <v>7753</v>
      </c>
      <c r="L5895" s="25"/>
      <c r="M5895" s="26" t="s">
        <v>7608</v>
      </c>
      <c r="N5895" s="28">
        <v>44967</v>
      </c>
      <c r="O5895" s="28" t="s">
        <v>461</v>
      </c>
      <c r="P5895" s="29">
        <v>9580</v>
      </c>
      <c r="Q5895" s="35">
        <v>3</v>
      </c>
      <c r="R5895" s="119">
        <f t="shared" si="132"/>
        <v>28740</v>
      </c>
      <c r="S5895" s="37">
        <v>202303</v>
      </c>
      <c r="T5895" s="38" t="s">
        <v>7863</v>
      </c>
      <c r="U5895" s="39"/>
      <c r="V5895" s="40"/>
      <c r="W5895" s="41"/>
      <c r="X5895" s="28">
        <v>43815</v>
      </c>
      <c r="Y5895" s="28">
        <v>46006</v>
      </c>
    </row>
    <row r="5896" s="9" customFormat="1" customHeight="1" spans="1:25">
      <c r="A5896" s="16" t="s">
        <v>399</v>
      </c>
      <c r="B5896" s="17" t="s">
        <v>7432</v>
      </c>
      <c r="C5896" s="17" t="s">
        <v>2833</v>
      </c>
      <c r="D5896" s="17" t="s">
        <v>6905</v>
      </c>
      <c r="E5896" s="18" t="s">
        <v>7735</v>
      </c>
      <c r="F5896" s="16" t="s">
        <v>7736</v>
      </c>
      <c r="G5896" s="16" t="s">
        <v>88</v>
      </c>
      <c r="H5896" s="19" t="s">
        <v>7752</v>
      </c>
      <c r="I5896" s="23" t="e">
        <f>VLOOKUP(H5896,'合同综合查询数据（3月返）'!$A:$A,1,FALSE)</f>
        <v>#N/A</v>
      </c>
      <c r="J5896" s="24" t="s">
        <v>90</v>
      </c>
      <c r="K5896" s="16" t="s">
        <v>7753</v>
      </c>
      <c r="L5896" s="25"/>
      <c r="M5896" s="26" t="s">
        <v>7608</v>
      </c>
      <c r="N5896" s="425">
        <v>45000</v>
      </c>
      <c r="O5896" s="28" t="s">
        <v>461</v>
      </c>
      <c r="P5896" s="29">
        <v>9580</v>
      </c>
      <c r="Q5896" s="35">
        <v>3</v>
      </c>
      <c r="R5896" s="119">
        <f>ROUND(P5896*Q5896*17/30,2)</f>
        <v>16286</v>
      </c>
      <c r="S5896" s="37">
        <v>202303</v>
      </c>
      <c r="T5896" s="380" t="s">
        <v>7864</v>
      </c>
      <c r="U5896" s="39"/>
      <c r="V5896" s="40"/>
      <c r="W5896" s="41"/>
      <c r="X5896" s="28">
        <v>43815</v>
      </c>
      <c r="Y5896" s="28">
        <v>46006</v>
      </c>
    </row>
    <row r="5897" s="9" customFormat="1" customHeight="1" spans="1:25">
      <c r="A5897" s="16" t="s">
        <v>399</v>
      </c>
      <c r="B5897" s="17" t="s">
        <v>7432</v>
      </c>
      <c r="C5897" s="17" t="s">
        <v>2833</v>
      </c>
      <c r="D5897" s="17" t="s">
        <v>6905</v>
      </c>
      <c r="E5897" s="18" t="s">
        <v>7735</v>
      </c>
      <c r="F5897" s="16" t="s">
        <v>7736</v>
      </c>
      <c r="G5897" s="16" t="s">
        <v>88</v>
      </c>
      <c r="H5897" s="19" t="s">
        <v>7752</v>
      </c>
      <c r="I5897" s="23" t="e">
        <f>VLOOKUP(H5897,'合同综合查询数据（3月返）'!$A:$A,1,FALSE)</f>
        <v>#N/A</v>
      </c>
      <c r="J5897" s="24" t="s">
        <v>90</v>
      </c>
      <c r="K5897" s="16" t="s">
        <v>7753</v>
      </c>
      <c r="L5897" s="25"/>
      <c r="M5897" s="26" t="s">
        <v>7608</v>
      </c>
      <c r="N5897" s="425">
        <v>45002</v>
      </c>
      <c r="O5897" s="28" t="s">
        <v>461</v>
      </c>
      <c r="P5897" s="29">
        <v>9580</v>
      </c>
      <c r="Q5897" s="35">
        <v>-4</v>
      </c>
      <c r="R5897" s="119">
        <f>ROUND(P5897*4*17/30-9580*4,2)</f>
        <v>-16605.33</v>
      </c>
      <c r="S5897" s="37">
        <v>202303</v>
      </c>
      <c r="T5897" s="381" t="s">
        <v>7865</v>
      </c>
      <c r="U5897" s="39"/>
      <c r="V5897" s="40"/>
      <c r="W5897" s="41"/>
      <c r="X5897" s="28">
        <v>43815</v>
      </c>
      <c r="Y5897" s="28">
        <v>46006</v>
      </c>
    </row>
    <row r="5898" s="10" customFormat="1" customHeight="1" spans="1:25">
      <c r="A5898" s="42" t="s">
        <v>399</v>
      </c>
      <c r="B5898" s="43" t="s">
        <v>7432</v>
      </c>
      <c r="C5898" s="43" t="s">
        <v>2833</v>
      </c>
      <c r="D5898" s="43" t="s">
        <v>6905</v>
      </c>
      <c r="E5898" s="44" t="s">
        <v>7735</v>
      </c>
      <c r="F5898" s="42" t="s">
        <v>7736</v>
      </c>
      <c r="G5898" s="42" t="s">
        <v>88</v>
      </c>
      <c r="H5898" s="45" t="s">
        <v>7866</v>
      </c>
      <c r="I5898" s="47" t="e">
        <f>VLOOKUP(H5898,'合同综合查询数据（3月返）'!$A:$A,1,FALSE)</f>
        <v>#N/A</v>
      </c>
      <c r="J5898" s="48" t="s">
        <v>90</v>
      </c>
      <c r="K5898" s="42" t="s">
        <v>7867</v>
      </c>
      <c r="L5898" s="49"/>
      <c r="M5898" s="50" t="s">
        <v>7608</v>
      </c>
      <c r="N5898" s="51">
        <v>44942</v>
      </c>
      <c r="O5898" s="51" t="s">
        <v>461</v>
      </c>
      <c r="P5898" s="52">
        <v>9300</v>
      </c>
      <c r="Q5898" s="53">
        <v>8</v>
      </c>
      <c r="R5898" s="69">
        <f t="shared" ref="R5898:R5904" si="133">ROUND(P5898*Q5898,2)</f>
        <v>74400</v>
      </c>
      <c r="S5898" s="55">
        <v>202303</v>
      </c>
      <c r="T5898" s="56" t="s">
        <v>7868</v>
      </c>
      <c r="U5898" s="57"/>
      <c r="V5898" s="58"/>
      <c r="W5898" s="59"/>
      <c r="X5898" s="51"/>
      <c r="Y5898" s="51"/>
    </row>
    <row r="5899" s="10" customFormat="1" customHeight="1" spans="1:25">
      <c r="A5899" s="42" t="s">
        <v>399</v>
      </c>
      <c r="B5899" s="43" t="s">
        <v>7432</v>
      </c>
      <c r="C5899" s="43" t="s">
        <v>2833</v>
      </c>
      <c r="D5899" s="43" t="s">
        <v>6905</v>
      </c>
      <c r="E5899" s="44" t="s">
        <v>7735</v>
      </c>
      <c r="F5899" s="42" t="s">
        <v>7736</v>
      </c>
      <c r="G5899" s="42" t="s">
        <v>88</v>
      </c>
      <c r="H5899" s="45" t="s">
        <v>7866</v>
      </c>
      <c r="I5899" s="47" t="e">
        <f>VLOOKUP(H5899,'合同综合查询数据（3月返）'!$A:$A,1,FALSE)</f>
        <v>#N/A</v>
      </c>
      <c r="J5899" s="48" t="s">
        <v>90</v>
      </c>
      <c r="K5899" s="42" t="s">
        <v>7867</v>
      </c>
      <c r="L5899" s="49"/>
      <c r="M5899" s="50" t="s">
        <v>7608</v>
      </c>
      <c r="N5899" s="51">
        <v>44944</v>
      </c>
      <c r="O5899" s="51" t="s">
        <v>461</v>
      </c>
      <c r="P5899" s="52">
        <v>9300</v>
      </c>
      <c r="Q5899" s="53">
        <v>2</v>
      </c>
      <c r="R5899" s="69">
        <f t="shared" si="133"/>
        <v>18600</v>
      </c>
      <c r="S5899" s="55">
        <v>202303</v>
      </c>
      <c r="T5899" s="56" t="s">
        <v>7869</v>
      </c>
      <c r="U5899" s="57"/>
      <c r="V5899" s="58"/>
      <c r="W5899" s="59"/>
      <c r="X5899" s="51"/>
      <c r="Y5899" s="51"/>
    </row>
    <row r="5900" s="10" customFormat="1" customHeight="1" spans="1:25">
      <c r="A5900" s="42" t="s">
        <v>399</v>
      </c>
      <c r="B5900" s="43" t="s">
        <v>7432</v>
      </c>
      <c r="C5900" s="43" t="s">
        <v>2833</v>
      </c>
      <c r="D5900" s="43" t="s">
        <v>6905</v>
      </c>
      <c r="E5900" s="44" t="s">
        <v>7735</v>
      </c>
      <c r="F5900" s="42" t="s">
        <v>7736</v>
      </c>
      <c r="G5900" s="42" t="s">
        <v>88</v>
      </c>
      <c r="H5900" s="45" t="s">
        <v>7866</v>
      </c>
      <c r="I5900" s="47" t="e">
        <f>VLOOKUP(H5900,'合同综合查询数据（3月返）'!$A:$A,1,FALSE)</f>
        <v>#N/A</v>
      </c>
      <c r="J5900" s="48" t="s">
        <v>90</v>
      </c>
      <c r="K5900" s="42" t="s">
        <v>7867</v>
      </c>
      <c r="L5900" s="49"/>
      <c r="M5900" s="50" t="s">
        <v>7608</v>
      </c>
      <c r="N5900" s="51">
        <v>44957</v>
      </c>
      <c r="O5900" s="51" t="s">
        <v>461</v>
      </c>
      <c r="P5900" s="52">
        <v>9300</v>
      </c>
      <c r="Q5900" s="53">
        <v>16</v>
      </c>
      <c r="R5900" s="69">
        <f t="shared" si="133"/>
        <v>148800</v>
      </c>
      <c r="S5900" s="55">
        <v>202303</v>
      </c>
      <c r="T5900" s="56" t="s">
        <v>7870</v>
      </c>
      <c r="U5900" s="57"/>
      <c r="V5900" s="58"/>
      <c r="W5900" s="59"/>
      <c r="X5900" s="51"/>
      <c r="Y5900" s="51"/>
    </row>
    <row r="5901" s="10" customFormat="1" customHeight="1" spans="1:25">
      <c r="A5901" s="42" t="s">
        <v>399</v>
      </c>
      <c r="B5901" s="43" t="s">
        <v>7432</v>
      </c>
      <c r="C5901" s="43" t="s">
        <v>2833</v>
      </c>
      <c r="D5901" s="43" t="s">
        <v>6905</v>
      </c>
      <c r="E5901" s="44" t="s">
        <v>7735</v>
      </c>
      <c r="F5901" s="42" t="s">
        <v>7736</v>
      </c>
      <c r="G5901" s="42" t="s">
        <v>88</v>
      </c>
      <c r="H5901" s="45" t="s">
        <v>7866</v>
      </c>
      <c r="I5901" s="47" t="e">
        <f>VLOOKUP(H5901,'合同综合查询数据（3月返）'!$A:$A,1,FALSE)</f>
        <v>#N/A</v>
      </c>
      <c r="J5901" s="48" t="s">
        <v>90</v>
      </c>
      <c r="K5901" s="42" t="s">
        <v>7867</v>
      </c>
      <c r="L5901" s="49"/>
      <c r="M5901" s="50" t="s">
        <v>7608</v>
      </c>
      <c r="N5901" s="51">
        <v>44972</v>
      </c>
      <c r="O5901" s="51" t="s">
        <v>461</v>
      </c>
      <c r="P5901" s="52">
        <v>9300</v>
      </c>
      <c r="Q5901" s="53">
        <v>4</v>
      </c>
      <c r="R5901" s="69">
        <f t="shared" si="133"/>
        <v>37200</v>
      </c>
      <c r="S5901" s="55">
        <v>202303</v>
      </c>
      <c r="T5901" s="56" t="s">
        <v>7871</v>
      </c>
      <c r="U5901" s="57"/>
      <c r="V5901" s="58"/>
      <c r="W5901" s="59"/>
      <c r="X5901" s="51"/>
      <c r="Y5901" s="51"/>
    </row>
    <row r="5902" s="10" customFormat="1" customHeight="1" spans="1:25">
      <c r="A5902" s="42" t="s">
        <v>399</v>
      </c>
      <c r="B5902" s="43" t="s">
        <v>7432</v>
      </c>
      <c r="C5902" s="43" t="s">
        <v>2833</v>
      </c>
      <c r="D5902" s="43" t="s">
        <v>6905</v>
      </c>
      <c r="E5902" s="44" t="s">
        <v>7735</v>
      </c>
      <c r="F5902" s="42" t="s">
        <v>7736</v>
      </c>
      <c r="G5902" s="42" t="s">
        <v>88</v>
      </c>
      <c r="H5902" s="45" t="s">
        <v>7866</v>
      </c>
      <c r="I5902" s="47" t="e">
        <f>VLOOKUP(H5902,'合同综合查询数据（3月返）'!$A:$A,1,FALSE)</f>
        <v>#N/A</v>
      </c>
      <c r="J5902" s="48" t="s">
        <v>90</v>
      </c>
      <c r="K5902" s="42" t="s">
        <v>7867</v>
      </c>
      <c r="L5902" s="49"/>
      <c r="M5902" s="50" t="s">
        <v>7608</v>
      </c>
      <c r="N5902" s="51">
        <v>44974</v>
      </c>
      <c r="O5902" s="51" t="s">
        <v>461</v>
      </c>
      <c r="P5902" s="52">
        <v>9300</v>
      </c>
      <c r="Q5902" s="53">
        <v>2</v>
      </c>
      <c r="R5902" s="69">
        <f t="shared" si="133"/>
        <v>18600</v>
      </c>
      <c r="S5902" s="55">
        <v>202303</v>
      </c>
      <c r="T5902" s="56" t="s">
        <v>7872</v>
      </c>
      <c r="U5902" s="57"/>
      <c r="V5902" s="58"/>
      <c r="W5902" s="59"/>
      <c r="X5902" s="51"/>
      <c r="Y5902" s="51"/>
    </row>
    <row r="5903" s="10" customFormat="1" customHeight="1" spans="1:25">
      <c r="A5903" s="42" t="s">
        <v>399</v>
      </c>
      <c r="B5903" s="43" t="s">
        <v>7432</v>
      </c>
      <c r="C5903" s="43" t="s">
        <v>2833</v>
      </c>
      <c r="D5903" s="43" t="s">
        <v>6905</v>
      </c>
      <c r="E5903" s="44" t="s">
        <v>7735</v>
      </c>
      <c r="F5903" s="42" t="s">
        <v>7736</v>
      </c>
      <c r="G5903" s="42" t="s">
        <v>88</v>
      </c>
      <c r="H5903" s="45" t="s">
        <v>7866</v>
      </c>
      <c r="I5903" s="47" t="e">
        <f>VLOOKUP(H5903,'合同综合查询数据（3月返）'!$A:$A,1,FALSE)</f>
        <v>#N/A</v>
      </c>
      <c r="J5903" s="48" t="s">
        <v>90</v>
      </c>
      <c r="K5903" s="42" t="s">
        <v>7867</v>
      </c>
      <c r="L5903" s="49"/>
      <c r="M5903" s="50" t="s">
        <v>7608</v>
      </c>
      <c r="N5903" s="51">
        <v>44974</v>
      </c>
      <c r="O5903" s="51" t="s">
        <v>457</v>
      </c>
      <c r="P5903" s="52">
        <v>4650</v>
      </c>
      <c r="Q5903" s="53">
        <v>1</v>
      </c>
      <c r="R5903" s="69">
        <f t="shared" si="133"/>
        <v>4650</v>
      </c>
      <c r="S5903" s="55">
        <v>202303</v>
      </c>
      <c r="T5903" s="56" t="s">
        <v>7873</v>
      </c>
      <c r="U5903" s="57"/>
      <c r="V5903" s="58"/>
      <c r="W5903" s="59"/>
      <c r="X5903" s="51"/>
      <c r="Y5903" s="51"/>
    </row>
    <row r="5904" s="10" customFormat="1" customHeight="1" spans="1:25">
      <c r="A5904" s="42" t="s">
        <v>399</v>
      </c>
      <c r="B5904" s="43" t="s">
        <v>7432</v>
      </c>
      <c r="C5904" s="43" t="s">
        <v>2833</v>
      </c>
      <c r="D5904" s="43" t="s">
        <v>6905</v>
      </c>
      <c r="E5904" s="44" t="s">
        <v>7735</v>
      </c>
      <c r="F5904" s="42" t="s">
        <v>7736</v>
      </c>
      <c r="G5904" s="42" t="s">
        <v>88</v>
      </c>
      <c r="H5904" s="45" t="s">
        <v>7866</v>
      </c>
      <c r="I5904" s="47" t="e">
        <f>VLOOKUP(H5904,'合同综合查询数据（3月返）'!$A:$A,1,FALSE)</f>
        <v>#N/A</v>
      </c>
      <c r="J5904" s="48" t="s">
        <v>90</v>
      </c>
      <c r="K5904" s="42" t="s">
        <v>7867</v>
      </c>
      <c r="L5904" s="49"/>
      <c r="M5904" s="50" t="s">
        <v>7608</v>
      </c>
      <c r="N5904" s="51">
        <v>44986</v>
      </c>
      <c r="O5904" s="51" t="s">
        <v>461</v>
      </c>
      <c r="P5904" s="52">
        <v>9300</v>
      </c>
      <c r="Q5904" s="53">
        <v>19</v>
      </c>
      <c r="R5904" s="69">
        <f t="shared" si="133"/>
        <v>176700</v>
      </c>
      <c r="S5904" s="55">
        <v>202303</v>
      </c>
      <c r="T5904" s="432" t="s">
        <v>7874</v>
      </c>
      <c r="U5904" s="57"/>
      <c r="V5904" s="58"/>
      <c r="W5904" s="59"/>
      <c r="X5904" s="51"/>
      <c r="Y5904" s="51"/>
    </row>
    <row r="5905" s="10" customFormat="1" customHeight="1" spans="1:25">
      <c r="A5905" s="42" t="s">
        <v>399</v>
      </c>
      <c r="B5905" s="43" t="s">
        <v>7432</v>
      </c>
      <c r="C5905" s="43" t="s">
        <v>2833</v>
      </c>
      <c r="D5905" s="43" t="s">
        <v>6905</v>
      </c>
      <c r="E5905" s="44" t="s">
        <v>7735</v>
      </c>
      <c r="F5905" s="42" t="s">
        <v>7736</v>
      </c>
      <c r="G5905" s="42" t="s">
        <v>88</v>
      </c>
      <c r="H5905" s="45" t="s">
        <v>7866</v>
      </c>
      <c r="I5905" s="47" t="e">
        <f>VLOOKUP(H5905,'合同综合查询数据（3月返）'!$A:$A,1,FALSE)</f>
        <v>#N/A</v>
      </c>
      <c r="J5905" s="48" t="s">
        <v>90</v>
      </c>
      <c r="K5905" s="42" t="s">
        <v>7867</v>
      </c>
      <c r="L5905" s="49"/>
      <c r="M5905" s="50" t="s">
        <v>7608</v>
      </c>
      <c r="N5905" s="426">
        <v>44987</v>
      </c>
      <c r="O5905" s="51" t="s">
        <v>461</v>
      </c>
      <c r="P5905" s="52">
        <v>9300</v>
      </c>
      <c r="Q5905" s="53">
        <v>2</v>
      </c>
      <c r="R5905" s="69">
        <f>ROUND(P5905*Q5905*30/31,2)</f>
        <v>18000</v>
      </c>
      <c r="S5905" s="55">
        <v>202303</v>
      </c>
      <c r="T5905" s="432" t="s">
        <v>7875</v>
      </c>
      <c r="U5905" s="57"/>
      <c r="V5905" s="58"/>
      <c r="W5905" s="59"/>
      <c r="X5905" s="51"/>
      <c r="Y5905" s="51"/>
    </row>
    <row r="5906" s="10" customFormat="1" customHeight="1" spans="1:25">
      <c r="A5906" s="42" t="s">
        <v>399</v>
      </c>
      <c r="B5906" s="43" t="s">
        <v>7432</v>
      </c>
      <c r="C5906" s="43" t="s">
        <v>2833</v>
      </c>
      <c r="D5906" s="43" t="s">
        <v>6905</v>
      </c>
      <c r="E5906" s="44" t="s">
        <v>7735</v>
      </c>
      <c r="F5906" s="42" t="s">
        <v>7736</v>
      </c>
      <c r="G5906" s="42" t="s">
        <v>88</v>
      </c>
      <c r="H5906" s="45" t="s">
        <v>7866</v>
      </c>
      <c r="I5906" s="47" t="e">
        <f>VLOOKUP(H5906,'合同综合查询数据（3月返）'!$A:$A,1,FALSE)</f>
        <v>#N/A</v>
      </c>
      <c r="J5906" s="48" t="s">
        <v>90</v>
      </c>
      <c r="K5906" s="42" t="s">
        <v>7867</v>
      </c>
      <c r="L5906" s="49"/>
      <c r="M5906" s="50" t="s">
        <v>7608</v>
      </c>
      <c r="N5906" s="426">
        <v>44990</v>
      </c>
      <c r="O5906" s="51" t="s">
        <v>461</v>
      </c>
      <c r="P5906" s="52">
        <v>9300</v>
      </c>
      <c r="Q5906" s="53">
        <v>3</v>
      </c>
      <c r="R5906" s="69">
        <f>ROUND(P5906*Q5906*27/31,2)</f>
        <v>24300</v>
      </c>
      <c r="S5906" s="55">
        <v>202303</v>
      </c>
      <c r="T5906" s="433" t="s">
        <v>7876</v>
      </c>
      <c r="U5906" s="57"/>
      <c r="V5906" s="58"/>
      <c r="W5906" s="59"/>
      <c r="X5906" s="51"/>
      <c r="Y5906" s="51"/>
    </row>
    <row r="5907" s="10" customFormat="1" customHeight="1" spans="1:25">
      <c r="A5907" s="42" t="s">
        <v>399</v>
      </c>
      <c r="B5907" s="43" t="s">
        <v>7432</v>
      </c>
      <c r="C5907" s="43" t="s">
        <v>2833</v>
      </c>
      <c r="D5907" s="43" t="s">
        <v>6905</v>
      </c>
      <c r="E5907" s="44" t="s">
        <v>7735</v>
      </c>
      <c r="F5907" s="42" t="s">
        <v>7736</v>
      </c>
      <c r="G5907" s="42" t="s">
        <v>88</v>
      </c>
      <c r="H5907" s="45" t="s">
        <v>7866</v>
      </c>
      <c r="I5907" s="47" t="e">
        <f>VLOOKUP(H5907,'合同综合查询数据（3月返）'!$A:$A,1,FALSE)</f>
        <v>#N/A</v>
      </c>
      <c r="J5907" s="48" t="s">
        <v>90</v>
      </c>
      <c r="K5907" s="42" t="s">
        <v>7867</v>
      </c>
      <c r="L5907" s="49"/>
      <c r="M5907" s="50" t="s">
        <v>7608</v>
      </c>
      <c r="N5907" s="426">
        <v>44993</v>
      </c>
      <c r="O5907" s="51" t="s">
        <v>461</v>
      </c>
      <c r="P5907" s="52">
        <v>9300</v>
      </c>
      <c r="Q5907" s="53">
        <v>3</v>
      </c>
      <c r="R5907" s="69">
        <f>ROUND(P5907*Q5907*24/31,2)</f>
        <v>21600</v>
      </c>
      <c r="S5907" s="55">
        <v>202303</v>
      </c>
      <c r="T5907" s="432" t="s">
        <v>7877</v>
      </c>
      <c r="U5907" s="57"/>
      <c r="V5907" s="58"/>
      <c r="W5907" s="59"/>
      <c r="X5907" s="51"/>
      <c r="Y5907" s="51"/>
    </row>
    <row r="5908" s="9" customFormat="1" customHeight="1" spans="1:25">
      <c r="A5908" s="16" t="s">
        <v>399</v>
      </c>
      <c r="B5908" s="17" t="s">
        <v>7432</v>
      </c>
      <c r="C5908" s="17" t="s">
        <v>2833</v>
      </c>
      <c r="D5908" s="17" t="s">
        <v>6905</v>
      </c>
      <c r="E5908" s="18" t="s">
        <v>7735</v>
      </c>
      <c r="F5908" s="16" t="s">
        <v>7736</v>
      </c>
      <c r="G5908" s="16" t="s">
        <v>31</v>
      </c>
      <c r="H5908" s="19" t="s">
        <v>7752</v>
      </c>
      <c r="I5908" s="23" t="e">
        <f>VLOOKUP(H5908,'合同综合查询数据（3月返）'!$A:$A,1,FALSE)</f>
        <v>#N/A</v>
      </c>
      <c r="J5908" s="24" t="s">
        <v>7517</v>
      </c>
      <c r="K5908" s="16" t="s">
        <v>7753</v>
      </c>
      <c r="L5908" s="25"/>
      <c r="M5908" s="26" t="s">
        <v>7608</v>
      </c>
      <c r="N5908" s="28">
        <v>43840</v>
      </c>
      <c r="O5908" s="28" t="s">
        <v>37</v>
      </c>
      <c r="P5908" s="29">
        <v>5</v>
      </c>
      <c r="Q5908" s="35">
        <v>256</v>
      </c>
      <c r="R5908" s="36">
        <f t="shared" ref="R5908:R5938" si="134">ROUND(P5908*Q5908,2)</f>
        <v>1280</v>
      </c>
      <c r="S5908" s="37">
        <v>202303</v>
      </c>
      <c r="T5908" s="38" t="s">
        <v>7878</v>
      </c>
      <c r="U5908" s="39"/>
      <c r="V5908" s="40"/>
      <c r="W5908" s="41"/>
      <c r="X5908" s="28">
        <v>43815</v>
      </c>
      <c r="Y5908" s="28">
        <v>46006</v>
      </c>
    </row>
    <row r="5909" s="9" customFormat="1" customHeight="1" spans="1:25">
      <c r="A5909" s="16" t="s">
        <v>399</v>
      </c>
      <c r="B5909" s="17" t="s">
        <v>7432</v>
      </c>
      <c r="C5909" s="17" t="s">
        <v>2833</v>
      </c>
      <c r="D5909" s="17" t="s">
        <v>6905</v>
      </c>
      <c r="E5909" s="18" t="s">
        <v>7735</v>
      </c>
      <c r="F5909" s="16" t="s">
        <v>7736</v>
      </c>
      <c r="G5909" s="16" t="s">
        <v>31</v>
      </c>
      <c r="H5909" s="19" t="s">
        <v>7752</v>
      </c>
      <c r="I5909" s="23" t="e">
        <f>VLOOKUP(H5909,'合同综合查询数据（3月返）'!$A:$A,1,FALSE)</f>
        <v>#N/A</v>
      </c>
      <c r="J5909" s="24" t="s">
        <v>7517</v>
      </c>
      <c r="K5909" s="16" t="s">
        <v>7753</v>
      </c>
      <c r="L5909" s="25"/>
      <c r="M5909" s="26" t="s">
        <v>7608</v>
      </c>
      <c r="N5909" s="28">
        <v>44005</v>
      </c>
      <c r="O5909" s="28" t="s">
        <v>37</v>
      </c>
      <c r="P5909" s="29">
        <v>5</v>
      </c>
      <c r="Q5909" s="35">
        <v>512</v>
      </c>
      <c r="R5909" s="36">
        <f t="shared" si="134"/>
        <v>2560</v>
      </c>
      <c r="S5909" s="37">
        <v>202303</v>
      </c>
      <c r="T5909" s="38" t="s">
        <v>7879</v>
      </c>
      <c r="U5909" s="39"/>
      <c r="V5909" s="40"/>
      <c r="W5909" s="41"/>
      <c r="X5909" s="28">
        <v>43815</v>
      </c>
      <c r="Y5909" s="28">
        <v>46006</v>
      </c>
    </row>
    <row r="5910" s="9" customFormat="1" customHeight="1" spans="1:25">
      <c r="A5910" s="16" t="s">
        <v>399</v>
      </c>
      <c r="B5910" s="17" t="s">
        <v>7432</v>
      </c>
      <c r="C5910" s="17" t="s">
        <v>2833</v>
      </c>
      <c r="D5910" s="17" t="s">
        <v>6905</v>
      </c>
      <c r="E5910" s="18" t="s">
        <v>7735</v>
      </c>
      <c r="F5910" s="16" t="s">
        <v>7736</v>
      </c>
      <c r="G5910" s="16" t="s">
        <v>31</v>
      </c>
      <c r="H5910" s="19" t="s">
        <v>7752</v>
      </c>
      <c r="I5910" s="23" t="e">
        <f>VLOOKUP(H5910,'合同综合查询数据（3月返）'!$A:$A,1,FALSE)</f>
        <v>#N/A</v>
      </c>
      <c r="J5910" s="24" t="s">
        <v>7517</v>
      </c>
      <c r="K5910" s="16" t="s">
        <v>7753</v>
      </c>
      <c r="L5910" s="25"/>
      <c r="M5910" s="26" t="s">
        <v>7608</v>
      </c>
      <c r="N5910" s="28">
        <v>44197</v>
      </c>
      <c r="O5910" s="28" t="s">
        <v>37</v>
      </c>
      <c r="P5910" s="29">
        <v>5</v>
      </c>
      <c r="Q5910" s="35">
        <v>512</v>
      </c>
      <c r="R5910" s="36">
        <f t="shared" si="134"/>
        <v>2560</v>
      </c>
      <c r="S5910" s="37">
        <v>202303</v>
      </c>
      <c r="T5910" s="38" t="s">
        <v>7880</v>
      </c>
      <c r="U5910" s="39"/>
      <c r="V5910" s="40"/>
      <c r="W5910" s="41"/>
      <c r="X5910" s="28">
        <v>43815</v>
      </c>
      <c r="Y5910" s="28">
        <v>46006</v>
      </c>
    </row>
    <row r="5911" s="9" customFormat="1" customHeight="1" spans="1:25">
      <c r="A5911" s="16" t="s">
        <v>399</v>
      </c>
      <c r="B5911" s="17" t="s">
        <v>7432</v>
      </c>
      <c r="C5911" s="17" t="s">
        <v>2833</v>
      </c>
      <c r="D5911" s="17" t="s">
        <v>6905</v>
      </c>
      <c r="E5911" s="18" t="s">
        <v>7735</v>
      </c>
      <c r="F5911" s="16" t="s">
        <v>7736</v>
      </c>
      <c r="G5911" s="16" t="s">
        <v>67</v>
      </c>
      <c r="H5911" s="19" t="s">
        <v>7752</v>
      </c>
      <c r="I5911" s="23" t="e">
        <f>VLOOKUP(H5911,'合同综合查询数据（3月返）'!$A:$A,1,FALSE)</f>
        <v>#N/A</v>
      </c>
      <c r="J5911" s="24" t="s">
        <v>69</v>
      </c>
      <c r="K5911" s="16" t="s">
        <v>7881</v>
      </c>
      <c r="L5911" s="25"/>
      <c r="M5911" s="26"/>
      <c r="N5911" s="28">
        <v>43831</v>
      </c>
      <c r="O5911" s="28" t="s">
        <v>71</v>
      </c>
      <c r="P5911" s="29">
        <v>780</v>
      </c>
      <c r="Q5911" s="35">
        <v>1.12</v>
      </c>
      <c r="R5911" s="36">
        <f t="shared" si="134"/>
        <v>873.6</v>
      </c>
      <c r="S5911" s="37">
        <v>202303</v>
      </c>
      <c r="T5911" s="38" t="s">
        <v>7882</v>
      </c>
      <c r="U5911" s="39"/>
      <c r="V5911" s="40"/>
      <c r="W5911" s="41"/>
      <c r="X5911" s="28">
        <v>43815</v>
      </c>
      <c r="Y5911" s="28">
        <v>46006</v>
      </c>
    </row>
    <row r="5912" s="9" customFormat="1" customHeight="1" spans="1:25">
      <c r="A5912" s="16" t="s">
        <v>399</v>
      </c>
      <c r="B5912" s="17" t="s">
        <v>7432</v>
      </c>
      <c r="C5912" s="17" t="s">
        <v>2833</v>
      </c>
      <c r="D5912" s="17" t="s">
        <v>6905</v>
      </c>
      <c r="E5912" s="18" t="s">
        <v>7735</v>
      </c>
      <c r="F5912" s="16" t="s">
        <v>7736</v>
      </c>
      <c r="G5912" s="16" t="s">
        <v>67</v>
      </c>
      <c r="H5912" s="19" t="s">
        <v>7752</v>
      </c>
      <c r="I5912" s="23" t="e">
        <f>VLOOKUP(H5912,'合同综合查询数据（3月返）'!$A:$A,1,FALSE)</f>
        <v>#N/A</v>
      </c>
      <c r="J5912" s="24" t="s">
        <v>69</v>
      </c>
      <c r="K5912" s="16" t="s">
        <v>7881</v>
      </c>
      <c r="L5912" s="25"/>
      <c r="M5912" s="26"/>
      <c r="N5912" s="28">
        <v>43831</v>
      </c>
      <c r="O5912" s="28" t="s">
        <v>71</v>
      </c>
      <c r="P5912" s="29">
        <v>780</v>
      </c>
      <c r="Q5912" s="35">
        <v>2.1</v>
      </c>
      <c r="R5912" s="36">
        <f t="shared" si="134"/>
        <v>1638</v>
      </c>
      <c r="S5912" s="37">
        <v>202303</v>
      </c>
      <c r="T5912" s="38" t="s">
        <v>7883</v>
      </c>
      <c r="U5912" s="39"/>
      <c r="V5912" s="40"/>
      <c r="W5912" s="41"/>
      <c r="X5912" s="28">
        <v>43815</v>
      </c>
      <c r="Y5912" s="28">
        <v>46006</v>
      </c>
    </row>
    <row r="5913" s="9" customFormat="1" customHeight="1" spans="1:25">
      <c r="A5913" s="16" t="s">
        <v>399</v>
      </c>
      <c r="B5913" s="17" t="s">
        <v>7432</v>
      </c>
      <c r="C5913" s="17" t="s">
        <v>2833</v>
      </c>
      <c r="D5913" s="17" t="s">
        <v>6905</v>
      </c>
      <c r="E5913" s="18" t="s">
        <v>7735</v>
      </c>
      <c r="F5913" s="16" t="s">
        <v>7736</v>
      </c>
      <c r="G5913" s="16" t="s">
        <v>67</v>
      </c>
      <c r="H5913" s="19" t="s">
        <v>7752</v>
      </c>
      <c r="I5913" s="23" t="e">
        <f>VLOOKUP(H5913,'合同综合查询数据（3月返）'!$A:$A,1,FALSE)</f>
        <v>#N/A</v>
      </c>
      <c r="J5913" s="24" t="s">
        <v>69</v>
      </c>
      <c r="K5913" s="16" t="s">
        <v>7881</v>
      </c>
      <c r="L5913" s="25"/>
      <c r="M5913" s="26"/>
      <c r="N5913" s="28">
        <v>43891</v>
      </c>
      <c r="O5913" s="28" t="s">
        <v>7884</v>
      </c>
      <c r="P5913" s="29">
        <v>1170</v>
      </c>
      <c r="Q5913" s="35">
        <v>1.12</v>
      </c>
      <c r="R5913" s="36">
        <f t="shared" si="134"/>
        <v>1310.4</v>
      </c>
      <c r="S5913" s="37">
        <v>202303</v>
      </c>
      <c r="T5913" s="38" t="s">
        <v>7885</v>
      </c>
      <c r="U5913" s="39"/>
      <c r="V5913" s="40"/>
      <c r="W5913" s="41"/>
      <c r="X5913" s="28">
        <v>43815</v>
      </c>
      <c r="Y5913" s="28">
        <v>46006</v>
      </c>
    </row>
    <row r="5914" s="9" customFormat="1" customHeight="1" spans="1:25">
      <c r="A5914" s="16" t="s">
        <v>399</v>
      </c>
      <c r="B5914" s="17" t="s">
        <v>7432</v>
      </c>
      <c r="C5914" s="17" t="s">
        <v>2833</v>
      </c>
      <c r="D5914" s="17" t="s">
        <v>6905</v>
      </c>
      <c r="E5914" s="18" t="s">
        <v>7735</v>
      </c>
      <c r="F5914" s="16" t="s">
        <v>7736</v>
      </c>
      <c r="G5914" s="16" t="s">
        <v>67</v>
      </c>
      <c r="H5914" s="19" t="s">
        <v>7752</v>
      </c>
      <c r="I5914" s="23" t="e">
        <f>VLOOKUP(H5914,'合同综合查询数据（3月返）'!$A:$A,1,FALSE)</f>
        <v>#N/A</v>
      </c>
      <c r="J5914" s="24" t="s">
        <v>69</v>
      </c>
      <c r="K5914" s="16" t="s">
        <v>7881</v>
      </c>
      <c r="L5914" s="25"/>
      <c r="M5914" s="26"/>
      <c r="N5914" s="28">
        <v>43891</v>
      </c>
      <c r="O5914" s="28" t="s">
        <v>7884</v>
      </c>
      <c r="P5914" s="29">
        <v>1170</v>
      </c>
      <c r="Q5914" s="35">
        <v>2.1</v>
      </c>
      <c r="R5914" s="36">
        <f t="shared" si="134"/>
        <v>2457</v>
      </c>
      <c r="S5914" s="37">
        <v>202303</v>
      </c>
      <c r="T5914" s="38" t="s">
        <v>7886</v>
      </c>
      <c r="U5914" s="39"/>
      <c r="V5914" s="40"/>
      <c r="W5914" s="41"/>
      <c r="X5914" s="28">
        <v>43815</v>
      </c>
      <c r="Y5914" s="28">
        <v>46006</v>
      </c>
    </row>
    <row r="5915" s="9" customFormat="1" customHeight="1" spans="1:25">
      <c r="A5915" s="16" t="s">
        <v>399</v>
      </c>
      <c r="B5915" s="17" t="s">
        <v>7432</v>
      </c>
      <c r="C5915" s="17" t="s">
        <v>2833</v>
      </c>
      <c r="D5915" s="17" t="s">
        <v>6905</v>
      </c>
      <c r="E5915" s="18" t="s">
        <v>7735</v>
      </c>
      <c r="F5915" s="16" t="s">
        <v>7736</v>
      </c>
      <c r="G5915" s="16" t="s">
        <v>67</v>
      </c>
      <c r="H5915" s="19" t="s">
        <v>7752</v>
      </c>
      <c r="I5915" s="23" t="e">
        <f>VLOOKUP(H5915,'合同综合查询数据（3月返）'!$A:$A,1,FALSE)</f>
        <v>#N/A</v>
      </c>
      <c r="J5915" s="24" t="s">
        <v>69</v>
      </c>
      <c r="K5915" s="16" t="s">
        <v>7881</v>
      </c>
      <c r="L5915" s="25"/>
      <c r="M5915" s="26"/>
      <c r="N5915" s="28">
        <v>43922</v>
      </c>
      <c r="O5915" s="28" t="s">
        <v>71</v>
      </c>
      <c r="P5915" s="29">
        <v>780</v>
      </c>
      <c r="Q5915" s="35">
        <v>1.12</v>
      </c>
      <c r="R5915" s="36">
        <f t="shared" si="134"/>
        <v>873.6</v>
      </c>
      <c r="S5915" s="37">
        <v>202303</v>
      </c>
      <c r="T5915" s="38" t="s">
        <v>7887</v>
      </c>
      <c r="U5915" s="39"/>
      <c r="V5915" s="40"/>
      <c r="W5915" s="41"/>
      <c r="X5915" s="28">
        <v>43815</v>
      </c>
      <c r="Y5915" s="28">
        <v>46006</v>
      </c>
    </row>
    <row r="5916" s="9" customFormat="1" customHeight="1" spans="1:25">
      <c r="A5916" s="16" t="s">
        <v>399</v>
      </c>
      <c r="B5916" s="17" t="s">
        <v>7432</v>
      </c>
      <c r="C5916" s="17" t="s">
        <v>2833</v>
      </c>
      <c r="D5916" s="17" t="s">
        <v>6905</v>
      </c>
      <c r="E5916" s="18" t="s">
        <v>7735</v>
      </c>
      <c r="F5916" s="16" t="s">
        <v>7736</v>
      </c>
      <c r="G5916" s="16" t="s">
        <v>67</v>
      </c>
      <c r="H5916" s="19" t="s">
        <v>7752</v>
      </c>
      <c r="I5916" s="23" t="e">
        <f>VLOOKUP(H5916,'合同综合查询数据（3月返）'!$A:$A,1,FALSE)</f>
        <v>#N/A</v>
      </c>
      <c r="J5916" s="24" t="s">
        <v>69</v>
      </c>
      <c r="K5916" s="16" t="s">
        <v>7881</v>
      </c>
      <c r="L5916" s="25"/>
      <c r="M5916" s="26"/>
      <c r="N5916" s="28">
        <v>43922</v>
      </c>
      <c r="O5916" s="28" t="s">
        <v>71</v>
      </c>
      <c r="P5916" s="29">
        <v>780</v>
      </c>
      <c r="Q5916" s="35">
        <v>2.1</v>
      </c>
      <c r="R5916" s="36">
        <f t="shared" si="134"/>
        <v>1638</v>
      </c>
      <c r="S5916" s="37">
        <v>202303</v>
      </c>
      <c r="T5916" s="38" t="s">
        <v>7888</v>
      </c>
      <c r="U5916" s="39"/>
      <c r="V5916" s="40"/>
      <c r="W5916" s="41"/>
      <c r="X5916" s="28">
        <v>43815</v>
      </c>
      <c r="Y5916" s="28">
        <v>46006</v>
      </c>
    </row>
    <row r="5917" s="9" customFormat="1" customHeight="1" spans="1:25">
      <c r="A5917" s="16" t="s">
        <v>399</v>
      </c>
      <c r="B5917" s="17" t="s">
        <v>7432</v>
      </c>
      <c r="C5917" s="17" t="s">
        <v>2833</v>
      </c>
      <c r="D5917" s="17" t="s">
        <v>6905</v>
      </c>
      <c r="E5917" s="18" t="s">
        <v>7735</v>
      </c>
      <c r="F5917" s="16" t="s">
        <v>7736</v>
      </c>
      <c r="G5917" s="16" t="s">
        <v>67</v>
      </c>
      <c r="H5917" s="19" t="s">
        <v>7752</v>
      </c>
      <c r="I5917" s="23" t="e">
        <f>VLOOKUP(H5917,'合同综合查询数据（3月返）'!$A:$A,1,FALSE)</f>
        <v>#N/A</v>
      </c>
      <c r="J5917" s="24" t="s">
        <v>69</v>
      </c>
      <c r="K5917" s="16" t="s">
        <v>7881</v>
      </c>
      <c r="L5917" s="25"/>
      <c r="M5917" s="26"/>
      <c r="N5917" s="28">
        <v>44105</v>
      </c>
      <c r="O5917" s="28" t="s">
        <v>71</v>
      </c>
      <c r="P5917" s="29">
        <v>1560</v>
      </c>
      <c r="Q5917" s="35">
        <v>1.61</v>
      </c>
      <c r="R5917" s="36">
        <f t="shared" si="134"/>
        <v>2511.6</v>
      </c>
      <c r="S5917" s="37">
        <v>202303</v>
      </c>
      <c r="T5917" s="38" t="s">
        <v>7889</v>
      </c>
      <c r="U5917" s="39"/>
      <c r="V5917" s="40"/>
      <c r="W5917" s="41"/>
      <c r="X5917" s="28">
        <v>43815</v>
      </c>
      <c r="Y5917" s="28">
        <v>46006</v>
      </c>
    </row>
    <row r="5918" s="10" customFormat="1" customHeight="1" spans="1:25">
      <c r="A5918" s="42" t="s">
        <v>399</v>
      </c>
      <c r="B5918" s="43" t="s">
        <v>7432</v>
      </c>
      <c r="C5918" s="43" t="s">
        <v>2833</v>
      </c>
      <c r="D5918" s="43" t="s">
        <v>6905</v>
      </c>
      <c r="E5918" s="160" t="s">
        <v>7890</v>
      </c>
      <c r="F5918" s="61" t="s">
        <v>7891</v>
      </c>
      <c r="G5918" s="424" t="s">
        <v>31</v>
      </c>
      <c r="H5918" s="45" t="s">
        <v>7892</v>
      </c>
      <c r="I5918" s="47" t="e">
        <f>VLOOKUP(H5918,'合同综合查询数据（3月返）'!$A:$A,1,FALSE)</f>
        <v>#N/A</v>
      </c>
      <c r="J5918" s="424" t="s">
        <v>7893</v>
      </c>
      <c r="K5918" s="427" t="s">
        <v>7894</v>
      </c>
      <c r="L5918" s="428" t="s">
        <v>7895</v>
      </c>
      <c r="M5918" s="429" t="s">
        <v>7896</v>
      </c>
      <c r="N5918" s="430">
        <v>44841</v>
      </c>
      <c r="O5918" s="430" t="s">
        <v>37</v>
      </c>
      <c r="P5918" s="52">
        <v>0</v>
      </c>
      <c r="Q5918" s="53">
        <v>544</v>
      </c>
      <c r="R5918" s="69">
        <f t="shared" si="134"/>
        <v>0</v>
      </c>
      <c r="S5918" s="434">
        <v>202303</v>
      </c>
      <c r="T5918" s="435" t="s">
        <v>7897</v>
      </c>
      <c r="U5918" s="436"/>
      <c r="V5918" s="373"/>
      <c r="W5918" s="437"/>
      <c r="X5918" s="163"/>
      <c r="Y5918" s="163"/>
    </row>
    <row r="5919" s="10" customFormat="1" customHeight="1" spans="1:25">
      <c r="A5919" s="42" t="s">
        <v>399</v>
      </c>
      <c r="B5919" s="43" t="s">
        <v>7432</v>
      </c>
      <c r="C5919" s="43" t="s">
        <v>2833</v>
      </c>
      <c r="D5919" s="43" t="s">
        <v>6905</v>
      </c>
      <c r="E5919" s="160" t="s">
        <v>7735</v>
      </c>
      <c r="F5919" s="61" t="s">
        <v>7736</v>
      </c>
      <c r="G5919" s="424" t="s">
        <v>31</v>
      </c>
      <c r="H5919" s="45" t="s">
        <v>7898</v>
      </c>
      <c r="I5919" s="47" t="e">
        <f>VLOOKUP(H5919,'合同综合查询数据（3月返）'!$A:$A,1,FALSE)</f>
        <v>#N/A</v>
      </c>
      <c r="J5919" s="424" t="s">
        <v>451</v>
      </c>
      <c r="K5919" s="427" t="s">
        <v>7753</v>
      </c>
      <c r="L5919" s="428"/>
      <c r="M5919" s="429"/>
      <c r="N5919" s="430">
        <v>44873</v>
      </c>
      <c r="O5919" s="430" t="s">
        <v>37</v>
      </c>
      <c r="P5919" s="431">
        <v>50</v>
      </c>
      <c r="Q5919" s="53">
        <v>32</v>
      </c>
      <c r="R5919" s="69">
        <f t="shared" si="134"/>
        <v>1600</v>
      </c>
      <c r="S5919" s="434">
        <v>202303</v>
      </c>
      <c r="T5919" s="56" t="s">
        <v>7899</v>
      </c>
      <c r="U5919" s="436"/>
      <c r="V5919" s="421"/>
      <c r="W5919" s="437"/>
      <c r="X5919" s="163"/>
      <c r="Y5919" s="163"/>
    </row>
    <row r="5920" s="10" customFormat="1" customHeight="1" spans="1:25">
      <c r="A5920" s="42" t="s">
        <v>399</v>
      </c>
      <c r="B5920" s="43" t="s">
        <v>7432</v>
      </c>
      <c r="C5920" s="43" t="s">
        <v>2833</v>
      </c>
      <c r="D5920" s="43" t="s">
        <v>6905</v>
      </c>
      <c r="E5920" s="160" t="s">
        <v>7735</v>
      </c>
      <c r="F5920" s="61" t="s">
        <v>7736</v>
      </c>
      <c r="G5920" s="424" t="s">
        <v>31</v>
      </c>
      <c r="H5920" s="45" t="s">
        <v>7898</v>
      </c>
      <c r="I5920" s="47" t="e">
        <f>VLOOKUP(H5920,'合同综合查询数据（3月返）'!$A:$A,1,FALSE)</f>
        <v>#N/A</v>
      </c>
      <c r="J5920" s="424" t="s">
        <v>451</v>
      </c>
      <c r="K5920" s="427" t="s">
        <v>7753</v>
      </c>
      <c r="L5920" s="428"/>
      <c r="M5920" s="429"/>
      <c r="N5920" s="430">
        <v>44873</v>
      </c>
      <c r="O5920" s="430" t="s">
        <v>152</v>
      </c>
      <c r="P5920" s="431">
        <v>0</v>
      </c>
      <c r="Q5920" s="53">
        <v>1</v>
      </c>
      <c r="R5920" s="69">
        <f t="shared" si="134"/>
        <v>0</v>
      </c>
      <c r="S5920" s="434">
        <v>202303</v>
      </c>
      <c r="T5920" s="56" t="s">
        <v>7900</v>
      </c>
      <c r="U5920" s="436"/>
      <c r="V5920" s="421"/>
      <c r="W5920" s="437"/>
      <c r="X5920" s="163"/>
      <c r="Y5920" s="163"/>
    </row>
    <row r="5921" s="10" customFormat="1" customHeight="1" spans="1:25">
      <c r="A5921" s="42" t="s">
        <v>399</v>
      </c>
      <c r="B5921" s="43" t="s">
        <v>7432</v>
      </c>
      <c r="C5921" s="43" t="s">
        <v>2833</v>
      </c>
      <c r="D5921" s="43" t="s">
        <v>6905</v>
      </c>
      <c r="E5921" s="44" t="s">
        <v>7890</v>
      </c>
      <c r="F5921" s="42" t="s">
        <v>7891</v>
      </c>
      <c r="G5921" s="42" t="s">
        <v>31</v>
      </c>
      <c r="H5921" s="45" t="s">
        <v>7901</v>
      </c>
      <c r="I5921" s="47" t="e">
        <f>VLOOKUP(H5921,'合同综合查询数据（3月返）'!$A:$A,1,FALSE)</f>
        <v>#N/A</v>
      </c>
      <c r="J5921" s="48" t="s">
        <v>451</v>
      </c>
      <c r="K5921" s="42" t="s">
        <v>7753</v>
      </c>
      <c r="L5921" s="49"/>
      <c r="M5921" s="50" t="s">
        <v>7608</v>
      </c>
      <c r="N5921" s="51">
        <v>44765</v>
      </c>
      <c r="O5921" s="51" t="s">
        <v>37</v>
      </c>
      <c r="P5921" s="52">
        <v>0</v>
      </c>
      <c r="Q5921" s="53">
        <v>256</v>
      </c>
      <c r="R5921" s="54">
        <f t="shared" si="134"/>
        <v>0</v>
      </c>
      <c r="S5921" s="55">
        <v>202303</v>
      </c>
      <c r="T5921" s="56" t="s">
        <v>7902</v>
      </c>
      <c r="U5921" s="57"/>
      <c r="V5921" s="58"/>
      <c r="W5921" s="59"/>
      <c r="X5921" s="51">
        <v>44765</v>
      </c>
      <c r="Y5921" s="51"/>
    </row>
    <row r="5922" s="9" customFormat="1" customHeight="1" spans="1:25">
      <c r="A5922" s="16" t="s">
        <v>403</v>
      </c>
      <c r="B5922" s="17" t="s">
        <v>6971</v>
      </c>
      <c r="C5922" s="17" t="s">
        <v>27</v>
      </c>
      <c r="D5922" s="17" t="s">
        <v>881</v>
      </c>
      <c r="E5922" s="18" t="s">
        <v>7903</v>
      </c>
      <c r="F5922" s="16" t="s">
        <v>7904</v>
      </c>
      <c r="G5922" s="16" t="s">
        <v>88</v>
      </c>
      <c r="H5922" s="19" t="s">
        <v>7905</v>
      </c>
      <c r="I5922" s="23" t="e">
        <f>VLOOKUP(H5922,'合同综合查询数据（3月返）'!$A:$A,1,FALSE)</f>
        <v>#N/A</v>
      </c>
      <c r="J5922" s="24" t="s">
        <v>1033</v>
      </c>
      <c r="K5922" s="16" t="s">
        <v>7906</v>
      </c>
      <c r="L5922" s="25"/>
      <c r="M5922" s="26" t="s">
        <v>7907</v>
      </c>
      <c r="N5922" s="28" t="s">
        <v>503</v>
      </c>
      <c r="O5922" s="28" t="s">
        <v>624</v>
      </c>
      <c r="P5922" s="29">
        <v>4000</v>
      </c>
      <c r="Q5922" s="35">
        <v>4</v>
      </c>
      <c r="R5922" s="36">
        <f t="shared" si="134"/>
        <v>16000</v>
      </c>
      <c r="S5922" s="37">
        <v>202303</v>
      </c>
      <c r="T5922" s="38" t="s">
        <v>7908</v>
      </c>
      <c r="U5922" s="39"/>
      <c r="V5922" s="40"/>
      <c r="W5922" s="41"/>
      <c r="X5922" s="28">
        <v>44682</v>
      </c>
      <c r="Y5922" s="28">
        <v>45046</v>
      </c>
    </row>
    <row r="5923" s="9" customFormat="1" customHeight="1" spans="1:25">
      <c r="A5923" s="16" t="s">
        <v>403</v>
      </c>
      <c r="B5923" s="17" t="s">
        <v>6971</v>
      </c>
      <c r="C5923" s="17" t="s">
        <v>27</v>
      </c>
      <c r="D5923" s="17" t="s">
        <v>881</v>
      </c>
      <c r="E5923" s="18" t="s">
        <v>7903</v>
      </c>
      <c r="F5923" s="16" t="s">
        <v>7904</v>
      </c>
      <c r="G5923" s="16" t="s">
        <v>88</v>
      </c>
      <c r="H5923" s="19" t="s">
        <v>7905</v>
      </c>
      <c r="I5923" s="23" t="e">
        <f>VLOOKUP(H5923,'合同综合查询数据（3月返）'!$A:$A,1,FALSE)</f>
        <v>#N/A</v>
      </c>
      <c r="J5923" s="24" t="s">
        <v>126</v>
      </c>
      <c r="K5923" s="16" t="s">
        <v>7909</v>
      </c>
      <c r="L5923" s="25"/>
      <c r="M5923" s="26" t="s">
        <v>7910</v>
      </c>
      <c r="N5923" s="28">
        <v>43003</v>
      </c>
      <c r="O5923" s="28" t="s">
        <v>624</v>
      </c>
      <c r="P5923" s="29">
        <v>4000</v>
      </c>
      <c r="Q5923" s="35">
        <v>5</v>
      </c>
      <c r="R5923" s="36">
        <f t="shared" si="134"/>
        <v>20000</v>
      </c>
      <c r="S5923" s="37">
        <v>202303</v>
      </c>
      <c r="T5923" s="38" t="s">
        <v>7911</v>
      </c>
      <c r="U5923" s="39"/>
      <c r="V5923" s="40"/>
      <c r="W5923" s="41"/>
      <c r="X5923" s="28">
        <v>44682</v>
      </c>
      <c r="Y5923" s="28">
        <v>45046</v>
      </c>
    </row>
    <row r="5924" s="9" customFormat="1" customHeight="1" spans="1:25">
      <c r="A5924" s="16" t="s">
        <v>403</v>
      </c>
      <c r="B5924" s="17" t="s">
        <v>6971</v>
      </c>
      <c r="C5924" s="17" t="s">
        <v>27</v>
      </c>
      <c r="D5924" s="17" t="s">
        <v>881</v>
      </c>
      <c r="E5924" s="18" t="s">
        <v>7903</v>
      </c>
      <c r="F5924" s="16" t="s">
        <v>7904</v>
      </c>
      <c r="G5924" s="16" t="s">
        <v>88</v>
      </c>
      <c r="H5924" s="19" t="s">
        <v>7905</v>
      </c>
      <c r="I5924" s="23" t="e">
        <f>VLOOKUP(H5924,'合同综合查询数据（3月返）'!$A:$A,1,FALSE)</f>
        <v>#N/A</v>
      </c>
      <c r="J5924" s="24" t="s">
        <v>126</v>
      </c>
      <c r="K5924" s="16" t="s">
        <v>7909</v>
      </c>
      <c r="L5924" s="25"/>
      <c r="M5924" s="26" t="s">
        <v>7910</v>
      </c>
      <c r="N5924" s="28">
        <v>44135</v>
      </c>
      <c r="O5924" s="28" t="s">
        <v>624</v>
      </c>
      <c r="P5924" s="29">
        <v>4000</v>
      </c>
      <c r="Q5924" s="35">
        <v>-5</v>
      </c>
      <c r="R5924" s="36">
        <f t="shared" si="134"/>
        <v>-20000</v>
      </c>
      <c r="S5924" s="37">
        <v>202303</v>
      </c>
      <c r="T5924" s="38" t="s">
        <v>7912</v>
      </c>
      <c r="U5924" s="39"/>
      <c r="V5924" s="40"/>
      <c r="W5924" s="41"/>
      <c r="X5924" s="28">
        <v>44682</v>
      </c>
      <c r="Y5924" s="28">
        <v>45046</v>
      </c>
    </row>
    <row r="5925" s="9" customFormat="1" customHeight="1" spans="1:25">
      <c r="A5925" s="16" t="s">
        <v>403</v>
      </c>
      <c r="B5925" s="17" t="s">
        <v>6971</v>
      </c>
      <c r="C5925" s="17" t="s">
        <v>27</v>
      </c>
      <c r="D5925" s="17" t="s">
        <v>881</v>
      </c>
      <c r="E5925" s="18" t="s">
        <v>7903</v>
      </c>
      <c r="F5925" s="16" t="s">
        <v>7904</v>
      </c>
      <c r="G5925" s="16" t="s">
        <v>88</v>
      </c>
      <c r="H5925" s="19" t="s">
        <v>7905</v>
      </c>
      <c r="I5925" s="23" t="e">
        <f>VLOOKUP(H5925,'合同综合查询数据（3月返）'!$A:$A,1,FALSE)</f>
        <v>#N/A</v>
      </c>
      <c r="J5925" s="24" t="s">
        <v>126</v>
      </c>
      <c r="K5925" s="16" t="s">
        <v>7913</v>
      </c>
      <c r="L5925" s="25"/>
      <c r="M5925" s="26" t="s">
        <v>7907</v>
      </c>
      <c r="N5925" s="28">
        <v>43490</v>
      </c>
      <c r="O5925" s="28" t="s">
        <v>624</v>
      </c>
      <c r="P5925" s="29">
        <v>4000</v>
      </c>
      <c r="Q5925" s="35">
        <v>6</v>
      </c>
      <c r="R5925" s="36">
        <f t="shared" si="134"/>
        <v>24000</v>
      </c>
      <c r="S5925" s="37">
        <v>202303</v>
      </c>
      <c r="T5925" s="38" t="s">
        <v>7914</v>
      </c>
      <c r="U5925" s="39"/>
      <c r="V5925" s="40"/>
      <c r="W5925" s="41"/>
      <c r="X5925" s="28">
        <v>44682</v>
      </c>
      <c r="Y5925" s="28">
        <v>45046</v>
      </c>
    </row>
    <row r="5926" s="9" customFormat="1" customHeight="1" spans="1:25">
      <c r="A5926" s="16" t="s">
        <v>403</v>
      </c>
      <c r="B5926" s="17" t="s">
        <v>6971</v>
      </c>
      <c r="C5926" s="17" t="s">
        <v>27</v>
      </c>
      <c r="D5926" s="17" t="s">
        <v>881</v>
      </c>
      <c r="E5926" s="18" t="s">
        <v>7903</v>
      </c>
      <c r="F5926" s="16" t="s">
        <v>7904</v>
      </c>
      <c r="G5926" s="16" t="s">
        <v>88</v>
      </c>
      <c r="H5926" s="19" t="s">
        <v>7905</v>
      </c>
      <c r="I5926" s="23" t="e">
        <f>VLOOKUP(H5926,'合同综合查询数据（3月返）'!$A:$A,1,FALSE)</f>
        <v>#N/A</v>
      </c>
      <c r="J5926" s="24" t="s">
        <v>126</v>
      </c>
      <c r="K5926" s="16" t="s">
        <v>7915</v>
      </c>
      <c r="L5926" s="25"/>
      <c r="M5926" s="26" t="s">
        <v>7907</v>
      </c>
      <c r="N5926" s="28">
        <v>43558</v>
      </c>
      <c r="O5926" s="28" t="s">
        <v>624</v>
      </c>
      <c r="P5926" s="29">
        <v>4000</v>
      </c>
      <c r="Q5926" s="35">
        <v>7</v>
      </c>
      <c r="R5926" s="36">
        <f t="shared" si="134"/>
        <v>28000</v>
      </c>
      <c r="S5926" s="37">
        <v>202303</v>
      </c>
      <c r="T5926" s="38" t="s">
        <v>7916</v>
      </c>
      <c r="U5926" s="39"/>
      <c r="V5926" s="40"/>
      <c r="W5926" s="41"/>
      <c r="X5926" s="28">
        <v>44682</v>
      </c>
      <c r="Y5926" s="28">
        <v>45046</v>
      </c>
    </row>
    <row r="5927" s="9" customFormat="1" customHeight="1" spans="1:25">
      <c r="A5927" s="16" t="s">
        <v>403</v>
      </c>
      <c r="B5927" s="17" t="s">
        <v>6971</v>
      </c>
      <c r="C5927" s="17" t="s">
        <v>27</v>
      </c>
      <c r="D5927" s="17" t="s">
        <v>881</v>
      </c>
      <c r="E5927" s="18" t="s">
        <v>7903</v>
      </c>
      <c r="F5927" s="16" t="s">
        <v>7904</v>
      </c>
      <c r="G5927" s="16" t="s">
        <v>88</v>
      </c>
      <c r="H5927" s="19" t="s">
        <v>7905</v>
      </c>
      <c r="I5927" s="23" t="e">
        <f>VLOOKUP(H5927,'合同综合查询数据（3月返）'!$A:$A,1,FALSE)</f>
        <v>#N/A</v>
      </c>
      <c r="J5927" s="24" t="s">
        <v>126</v>
      </c>
      <c r="K5927" s="16" t="s">
        <v>7917</v>
      </c>
      <c r="L5927" s="25"/>
      <c r="M5927" s="26" t="s">
        <v>7918</v>
      </c>
      <c r="N5927" s="28">
        <v>44144</v>
      </c>
      <c r="O5927" s="28" t="s">
        <v>624</v>
      </c>
      <c r="P5927" s="29">
        <v>4000</v>
      </c>
      <c r="Q5927" s="35">
        <v>3</v>
      </c>
      <c r="R5927" s="36">
        <f t="shared" si="134"/>
        <v>12000</v>
      </c>
      <c r="S5927" s="37">
        <v>202303</v>
      </c>
      <c r="T5927" s="38" t="s">
        <v>7919</v>
      </c>
      <c r="U5927" s="39"/>
      <c r="V5927" s="40"/>
      <c r="W5927" s="41"/>
      <c r="X5927" s="28">
        <v>44682</v>
      </c>
      <c r="Y5927" s="28">
        <v>45046</v>
      </c>
    </row>
    <row r="5928" s="9" customFormat="1" customHeight="1" spans="1:25">
      <c r="A5928" s="16" t="s">
        <v>403</v>
      </c>
      <c r="B5928" s="17" t="s">
        <v>6971</v>
      </c>
      <c r="C5928" s="17" t="s">
        <v>27</v>
      </c>
      <c r="D5928" s="17" t="s">
        <v>881</v>
      </c>
      <c r="E5928" s="18" t="s">
        <v>7903</v>
      </c>
      <c r="F5928" s="16" t="s">
        <v>7904</v>
      </c>
      <c r="G5928" s="16" t="s">
        <v>88</v>
      </c>
      <c r="H5928" s="19" t="s">
        <v>7905</v>
      </c>
      <c r="I5928" s="23" t="e">
        <f>VLOOKUP(H5928,'合同综合查询数据（3月返）'!$A:$A,1,FALSE)</f>
        <v>#N/A</v>
      </c>
      <c r="J5928" s="24" t="s">
        <v>126</v>
      </c>
      <c r="K5928" s="16" t="s">
        <v>7913</v>
      </c>
      <c r="L5928" s="25"/>
      <c r="M5928" s="26" t="s">
        <v>7907</v>
      </c>
      <c r="N5928" s="28">
        <v>44712</v>
      </c>
      <c r="O5928" s="28" t="s">
        <v>624</v>
      </c>
      <c r="P5928" s="29">
        <v>4000</v>
      </c>
      <c r="Q5928" s="35">
        <v>-6</v>
      </c>
      <c r="R5928" s="36">
        <f t="shared" si="134"/>
        <v>-24000</v>
      </c>
      <c r="S5928" s="37">
        <v>202303</v>
      </c>
      <c r="T5928" s="38" t="s">
        <v>7920</v>
      </c>
      <c r="U5928" s="39"/>
      <c r="V5928" s="40"/>
      <c r="W5928" s="41"/>
      <c r="X5928" s="28">
        <v>44682</v>
      </c>
      <c r="Y5928" s="28">
        <v>45046</v>
      </c>
    </row>
    <row r="5929" s="9" customFormat="1" customHeight="1" spans="1:25">
      <c r="A5929" s="16" t="s">
        <v>403</v>
      </c>
      <c r="B5929" s="17" t="s">
        <v>6971</v>
      </c>
      <c r="C5929" s="17" t="s">
        <v>27</v>
      </c>
      <c r="D5929" s="17" t="s">
        <v>881</v>
      </c>
      <c r="E5929" s="18" t="s">
        <v>7903</v>
      </c>
      <c r="F5929" s="16" t="s">
        <v>7904</v>
      </c>
      <c r="G5929" s="16" t="s">
        <v>88</v>
      </c>
      <c r="H5929" s="19" t="s">
        <v>7905</v>
      </c>
      <c r="I5929" s="23" t="e">
        <f>VLOOKUP(H5929,'合同综合查询数据（3月返）'!$A:$A,1,FALSE)</f>
        <v>#N/A</v>
      </c>
      <c r="J5929" s="24" t="s">
        <v>126</v>
      </c>
      <c r="K5929" s="16" t="s">
        <v>7917</v>
      </c>
      <c r="L5929" s="25"/>
      <c r="M5929" s="26" t="s">
        <v>7918</v>
      </c>
      <c r="N5929" s="28">
        <v>44712</v>
      </c>
      <c r="O5929" s="28" t="s">
        <v>624</v>
      </c>
      <c r="P5929" s="29">
        <v>4000</v>
      </c>
      <c r="Q5929" s="35">
        <v>-3</v>
      </c>
      <c r="R5929" s="36">
        <f t="shared" si="134"/>
        <v>-12000</v>
      </c>
      <c r="S5929" s="37">
        <v>202303</v>
      </c>
      <c r="T5929" s="38" t="s">
        <v>7921</v>
      </c>
      <c r="U5929" s="39"/>
      <c r="V5929" s="40"/>
      <c r="W5929" s="41"/>
      <c r="X5929" s="28">
        <v>44682</v>
      </c>
      <c r="Y5929" s="28">
        <v>45046</v>
      </c>
    </row>
    <row r="5930" s="9" customFormat="1" customHeight="1" spans="1:25">
      <c r="A5930" s="16" t="s">
        <v>403</v>
      </c>
      <c r="B5930" s="17" t="s">
        <v>6971</v>
      </c>
      <c r="C5930" s="17" t="s">
        <v>27</v>
      </c>
      <c r="D5930" s="17" t="s">
        <v>881</v>
      </c>
      <c r="E5930" s="18" t="s">
        <v>7903</v>
      </c>
      <c r="F5930" s="16" t="s">
        <v>7904</v>
      </c>
      <c r="G5930" s="16" t="s">
        <v>31</v>
      </c>
      <c r="H5930" s="19" t="s">
        <v>7905</v>
      </c>
      <c r="I5930" s="23" t="e">
        <f>VLOOKUP(H5930,'合同综合查询数据（3月返）'!$A:$A,1,FALSE)</f>
        <v>#N/A</v>
      </c>
      <c r="J5930" s="24" t="s">
        <v>33</v>
      </c>
      <c r="K5930" s="16" t="s">
        <v>7909</v>
      </c>
      <c r="L5930" s="25"/>
      <c r="M5930" s="26" t="s">
        <v>7910</v>
      </c>
      <c r="N5930" s="28"/>
      <c r="O5930" s="28" t="s">
        <v>37</v>
      </c>
      <c r="P5930" s="29">
        <v>0</v>
      </c>
      <c r="Q5930" s="35">
        <v>256</v>
      </c>
      <c r="R5930" s="36">
        <f t="shared" si="134"/>
        <v>0</v>
      </c>
      <c r="S5930" s="37">
        <v>202303</v>
      </c>
      <c r="T5930" s="38" t="s">
        <v>7922</v>
      </c>
      <c r="U5930" s="39"/>
      <c r="V5930" s="40"/>
      <c r="W5930" s="41"/>
      <c r="X5930" s="28">
        <v>44682</v>
      </c>
      <c r="Y5930" s="28">
        <v>45046</v>
      </c>
    </row>
    <row r="5931" s="9" customFormat="1" customHeight="1" spans="1:25">
      <c r="A5931" s="16" t="s">
        <v>403</v>
      </c>
      <c r="B5931" s="17" t="s">
        <v>6971</v>
      </c>
      <c r="C5931" s="17" t="s">
        <v>27</v>
      </c>
      <c r="D5931" s="17" t="s">
        <v>881</v>
      </c>
      <c r="E5931" s="18" t="s">
        <v>7903</v>
      </c>
      <c r="F5931" s="16" t="s">
        <v>7904</v>
      </c>
      <c r="G5931" s="16" t="s">
        <v>31</v>
      </c>
      <c r="H5931" s="19" t="s">
        <v>7905</v>
      </c>
      <c r="I5931" s="23" t="e">
        <f>VLOOKUP(H5931,'合同综合查询数据（3月返）'!$A:$A,1,FALSE)</f>
        <v>#N/A</v>
      </c>
      <c r="J5931" s="24" t="s">
        <v>33</v>
      </c>
      <c r="K5931" s="16" t="s">
        <v>7909</v>
      </c>
      <c r="L5931" s="25"/>
      <c r="M5931" s="26" t="s">
        <v>7910</v>
      </c>
      <c r="N5931" s="28">
        <v>44022</v>
      </c>
      <c r="O5931" s="28" t="s">
        <v>37</v>
      </c>
      <c r="P5931" s="29">
        <v>0</v>
      </c>
      <c r="Q5931" s="35">
        <v>32</v>
      </c>
      <c r="R5931" s="36">
        <f t="shared" si="134"/>
        <v>0</v>
      </c>
      <c r="S5931" s="37">
        <v>202303</v>
      </c>
      <c r="T5931" s="38" t="s">
        <v>7923</v>
      </c>
      <c r="U5931" s="39"/>
      <c r="V5931" s="40"/>
      <c r="W5931" s="41"/>
      <c r="X5931" s="28">
        <v>44682</v>
      </c>
      <c r="Y5931" s="28">
        <v>45046</v>
      </c>
    </row>
    <row r="5932" s="9" customFormat="1" customHeight="1" spans="1:25">
      <c r="A5932" s="16" t="s">
        <v>403</v>
      </c>
      <c r="B5932" s="17" t="s">
        <v>6971</v>
      </c>
      <c r="C5932" s="17" t="s">
        <v>27</v>
      </c>
      <c r="D5932" s="17" t="s">
        <v>881</v>
      </c>
      <c r="E5932" s="18" t="s">
        <v>7903</v>
      </c>
      <c r="F5932" s="16" t="s">
        <v>7904</v>
      </c>
      <c r="G5932" s="16" t="s">
        <v>31</v>
      </c>
      <c r="H5932" s="19" t="s">
        <v>7905</v>
      </c>
      <c r="I5932" s="23" t="e">
        <f>VLOOKUP(H5932,'合同综合查询数据（3月返）'!$A:$A,1,FALSE)</f>
        <v>#N/A</v>
      </c>
      <c r="J5932" s="24" t="s">
        <v>33</v>
      </c>
      <c r="K5932" s="16" t="s">
        <v>7909</v>
      </c>
      <c r="L5932" s="25"/>
      <c r="M5932" s="26" t="s">
        <v>7910</v>
      </c>
      <c r="N5932" s="28">
        <v>44135</v>
      </c>
      <c r="O5932" s="28" t="s">
        <v>37</v>
      </c>
      <c r="P5932" s="29">
        <v>0</v>
      </c>
      <c r="Q5932" s="35">
        <v>-32</v>
      </c>
      <c r="R5932" s="36">
        <f t="shared" si="134"/>
        <v>0</v>
      </c>
      <c r="S5932" s="37">
        <v>202303</v>
      </c>
      <c r="T5932" s="38" t="s">
        <v>7924</v>
      </c>
      <c r="U5932" s="39"/>
      <c r="V5932" s="40"/>
      <c r="W5932" s="41"/>
      <c r="X5932" s="28">
        <v>44682</v>
      </c>
      <c r="Y5932" s="28">
        <v>45046</v>
      </c>
    </row>
    <row r="5933" s="9" customFormat="1" customHeight="1" spans="1:25">
      <c r="A5933" s="16" t="s">
        <v>403</v>
      </c>
      <c r="B5933" s="17" t="s">
        <v>6971</v>
      </c>
      <c r="C5933" s="17" t="s">
        <v>27</v>
      </c>
      <c r="D5933" s="17" t="s">
        <v>881</v>
      </c>
      <c r="E5933" s="18" t="s">
        <v>7903</v>
      </c>
      <c r="F5933" s="16" t="s">
        <v>7904</v>
      </c>
      <c r="G5933" s="16" t="s">
        <v>31</v>
      </c>
      <c r="H5933" s="19" t="s">
        <v>7905</v>
      </c>
      <c r="I5933" s="23" t="e">
        <f>VLOOKUP(H5933,'合同综合查询数据（3月返）'!$A:$A,1,FALSE)</f>
        <v>#N/A</v>
      </c>
      <c r="J5933" s="24" t="s">
        <v>33</v>
      </c>
      <c r="K5933" s="16" t="s">
        <v>7909</v>
      </c>
      <c r="L5933" s="25"/>
      <c r="M5933" s="26" t="s">
        <v>7910</v>
      </c>
      <c r="N5933" s="28">
        <v>44135</v>
      </c>
      <c r="O5933" s="28" t="s">
        <v>37</v>
      </c>
      <c r="P5933" s="29">
        <v>0</v>
      </c>
      <c r="Q5933" s="35">
        <v>-256</v>
      </c>
      <c r="R5933" s="36">
        <f t="shared" si="134"/>
        <v>0</v>
      </c>
      <c r="S5933" s="37">
        <v>202303</v>
      </c>
      <c r="T5933" s="38" t="s">
        <v>7924</v>
      </c>
      <c r="U5933" s="39"/>
      <c r="V5933" s="40"/>
      <c r="W5933" s="41"/>
      <c r="X5933" s="28">
        <v>44682</v>
      </c>
      <c r="Y5933" s="28">
        <v>45046</v>
      </c>
    </row>
    <row r="5934" s="9" customFormat="1" customHeight="1" spans="1:25">
      <c r="A5934" s="16" t="s">
        <v>403</v>
      </c>
      <c r="B5934" s="17" t="s">
        <v>6971</v>
      </c>
      <c r="C5934" s="17" t="s">
        <v>27</v>
      </c>
      <c r="D5934" s="17" t="s">
        <v>881</v>
      </c>
      <c r="E5934" s="18" t="s">
        <v>7903</v>
      </c>
      <c r="F5934" s="16" t="s">
        <v>7904</v>
      </c>
      <c r="G5934" s="16" t="s">
        <v>31</v>
      </c>
      <c r="H5934" s="19" t="s">
        <v>7905</v>
      </c>
      <c r="I5934" s="23" t="e">
        <f>VLOOKUP(H5934,'合同综合查询数据（3月返）'!$A:$A,1,FALSE)</f>
        <v>#N/A</v>
      </c>
      <c r="J5934" s="24" t="s">
        <v>33</v>
      </c>
      <c r="K5934" s="16" t="s">
        <v>34</v>
      </c>
      <c r="L5934" s="25"/>
      <c r="M5934" s="26" t="s">
        <v>7907</v>
      </c>
      <c r="N5934" s="28"/>
      <c r="O5934" s="28" t="s">
        <v>37</v>
      </c>
      <c r="P5934" s="29">
        <v>0</v>
      </c>
      <c r="Q5934" s="35">
        <v>1088</v>
      </c>
      <c r="R5934" s="36">
        <f t="shared" si="134"/>
        <v>0</v>
      </c>
      <c r="S5934" s="37">
        <v>202303</v>
      </c>
      <c r="T5934" s="38" t="s">
        <v>7925</v>
      </c>
      <c r="U5934" s="39"/>
      <c r="V5934" s="40"/>
      <c r="W5934" s="41"/>
      <c r="X5934" s="28">
        <v>44682</v>
      </c>
      <c r="Y5934" s="28">
        <v>45046</v>
      </c>
    </row>
    <row r="5935" s="9" customFormat="1" customHeight="1" spans="1:25">
      <c r="A5935" s="16" t="s">
        <v>403</v>
      </c>
      <c r="B5935" s="17" t="s">
        <v>6971</v>
      </c>
      <c r="C5935" s="17" t="s">
        <v>27</v>
      </c>
      <c r="D5935" s="17" t="s">
        <v>881</v>
      </c>
      <c r="E5935" s="18" t="s">
        <v>7903</v>
      </c>
      <c r="F5935" s="16" t="s">
        <v>7904</v>
      </c>
      <c r="G5935" s="16" t="s">
        <v>31</v>
      </c>
      <c r="H5935" s="19" t="s">
        <v>7905</v>
      </c>
      <c r="I5935" s="23" t="e">
        <f>VLOOKUP(H5935,'合同综合查询数据（3月返）'!$A:$A,1,FALSE)</f>
        <v>#N/A</v>
      </c>
      <c r="J5935" s="24" t="s">
        <v>33</v>
      </c>
      <c r="K5935" s="16" t="s">
        <v>34</v>
      </c>
      <c r="L5935" s="25"/>
      <c r="M5935" s="26" t="s">
        <v>7907</v>
      </c>
      <c r="N5935" s="28">
        <v>43799</v>
      </c>
      <c r="O5935" s="28" t="s">
        <v>37</v>
      </c>
      <c r="P5935" s="29">
        <v>0</v>
      </c>
      <c r="Q5935" s="35">
        <v>-512</v>
      </c>
      <c r="R5935" s="36">
        <f t="shared" si="134"/>
        <v>0</v>
      </c>
      <c r="S5935" s="37">
        <v>202303</v>
      </c>
      <c r="T5935" s="38" t="s">
        <v>7925</v>
      </c>
      <c r="U5935" s="39"/>
      <c r="V5935" s="40"/>
      <c r="W5935" s="41"/>
      <c r="X5935" s="28">
        <v>44682</v>
      </c>
      <c r="Y5935" s="28">
        <v>45046</v>
      </c>
    </row>
    <row r="5936" s="9" customFormat="1" customHeight="1" spans="1:25">
      <c r="A5936" s="16" t="s">
        <v>403</v>
      </c>
      <c r="B5936" s="17" t="s">
        <v>6971</v>
      </c>
      <c r="C5936" s="17" t="s">
        <v>27</v>
      </c>
      <c r="D5936" s="17" t="s">
        <v>881</v>
      </c>
      <c r="E5936" s="18" t="s">
        <v>7903</v>
      </c>
      <c r="F5936" s="16" t="s">
        <v>7904</v>
      </c>
      <c r="G5936" s="16" t="s">
        <v>31</v>
      </c>
      <c r="H5936" s="19" t="s">
        <v>7905</v>
      </c>
      <c r="I5936" s="23" t="e">
        <f>VLOOKUP(H5936,'合同综合查询数据（3月返）'!$A:$A,1,FALSE)</f>
        <v>#N/A</v>
      </c>
      <c r="J5936" s="24" t="s">
        <v>33</v>
      </c>
      <c r="K5936" s="16" t="s">
        <v>34</v>
      </c>
      <c r="L5936" s="25" t="s">
        <v>7917</v>
      </c>
      <c r="M5936" s="26" t="s">
        <v>7918</v>
      </c>
      <c r="N5936" s="28">
        <v>44158</v>
      </c>
      <c r="O5936" s="28" t="s">
        <v>37</v>
      </c>
      <c r="P5936" s="29">
        <v>0</v>
      </c>
      <c r="Q5936" s="35">
        <v>192</v>
      </c>
      <c r="R5936" s="36">
        <f t="shared" si="134"/>
        <v>0</v>
      </c>
      <c r="S5936" s="37">
        <v>202303</v>
      </c>
      <c r="T5936" s="38" t="s">
        <v>2974</v>
      </c>
      <c r="U5936" s="39"/>
      <c r="V5936" s="40"/>
      <c r="W5936" s="41"/>
      <c r="X5936" s="28">
        <v>44682</v>
      </c>
      <c r="Y5936" s="28">
        <v>45046</v>
      </c>
    </row>
    <row r="5937" s="9" customFormat="1" customHeight="1" spans="1:25">
      <c r="A5937" s="16" t="s">
        <v>403</v>
      </c>
      <c r="B5937" s="17" t="s">
        <v>6971</v>
      </c>
      <c r="C5937" s="17" t="s">
        <v>27</v>
      </c>
      <c r="D5937" s="17" t="s">
        <v>881</v>
      </c>
      <c r="E5937" s="18" t="s">
        <v>7903</v>
      </c>
      <c r="F5937" s="16" t="s">
        <v>7904</v>
      </c>
      <c r="G5937" s="16" t="s">
        <v>31</v>
      </c>
      <c r="H5937" s="19" t="s">
        <v>7905</v>
      </c>
      <c r="I5937" s="23" t="e">
        <f>VLOOKUP(H5937,'合同综合查询数据（3月返）'!$A:$A,1,FALSE)</f>
        <v>#N/A</v>
      </c>
      <c r="J5937" s="24" t="s">
        <v>33</v>
      </c>
      <c r="K5937" s="16" t="s">
        <v>34</v>
      </c>
      <c r="L5937" s="25" t="s">
        <v>7913</v>
      </c>
      <c r="M5937" s="26" t="s">
        <v>7907</v>
      </c>
      <c r="N5937" s="28">
        <v>44712</v>
      </c>
      <c r="O5937" s="28" t="s">
        <v>37</v>
      </c>
      <c r="P5937" s="29">
        <v>0</v>
      </c>
      <c r="Q5937" s="35">
        <v>-288</v>
      </c>
      <c r="R5937" s="36">
        <f t="shared" si="134"/>
        <v>0</v>
      </c>
      <c r="S5937" s="37">
        <v>202303</v>
      </c>
      <c r="T5937" s="38" t="s">
        <v>7926</v>
      </c>
      <c r="U5937" s="39"/>
      <c r="V5937" s="40"/>
      <c r="W5937" s="41"/>
      <c r="X5937" s="28">
        <v>44682</v>
      </c>
      <c r="Y5937" s="28">
        <v>45046</v>
      </c>
    </row>
    <row r="5938" s="9" customFormat="1" customHeight="1" spans="1:25">
      <c r="A5938" s="16" t="s">
        <v>403</v>
      </c>
      <c r="B5938" s="17" t="s">
        <v>6971</v>
      </c>
      <c r="C5938" s="17" t="s">
        <v>27</v>
      </c>
      <c r="D5938" s="17" t="s">
        <v>881</v>
      </c>
      <c r="E5938" s="18" t="s">
        <v>7903</v>
      </c>
      <c r="F5938" s="16" t="s">
        <v>7904</v>
      </c>
      <c r="G5938" s="16" t="s">
        <v>31</v>
      </c>
      <c r="H5938" s="19" t="s">
        <v>7905</v>
      </c>
      <c r="I5938" s="23" t="e">
        <f>VLOOKUP(H5938,'合同综合查询数据（3月返）'!$A:$A,1,FALSE)</f>
        <v>#N/A</v>
      </c>
      <c r="J5938" s="24" t="s">
        <v>33</v>
      </c>
      <c r="K5938" s="16" t="s">
        <v>34</v>
      </c>
      <c r="L5938" s="25" t="s">
        <v>7917</v>
      </c>
      <c r="M5938" s="26" t="s">
        <v>7918</v>
      </c>
      <c r="N5938" s="28">
        <v>44712</v>
      </c>
      <c r="O5938" s="28" t="s">
        <v>37</v>
      </c>
      <c r="P5938" s="29">
        <v>0</v>
      </c>
      <c r="Q5938" s="35">
        <v>-288</v>
      </c>
      <c r="R5938" s="36">
        <f t="shared" si="134"/>
        <v>0</v>
      </c>
      <c r="S5938" s="37">
        <v>202303</v>
      </c>
      <c r="T5938" s="38" t="s">
        <v>7927</v>
      </c>
      <c r="U5938" s="39"/>
      <c r="V5938" s="40"/>
      <c r="W5938" s="41"/>
      <c r="X5938" s="28">
        <v>44682</v>
      </c>
      <c r="Y5938" s="28">
        <v>45046</v>
      </c>
    </row>
    <row r="5939" s="9" customFormat="1" customHeight="1" spans="1:25">
      <c r="A5939" s="16" t="s">
        <v>403</v>
      </c>
      <c r="B5939" s="17" t="s">
        <v>6971</v>
      </c>
      <c r="C5939" s="17" t="s">
        <v>27</v>
      </c>
      <c r="D5939" s="17" t="s">
        <v>881</v>
      </c>
      <c r="E5939" s="18" t="s">
        <v>7903</v>
      </c>
      <c r="F5939" s="16" t="s">
        <v>7904</v>
      </c>
      <c r="G5939" s="16" t="s">
        <v>31</v>
      </c>
      <c r="H5939" s="19" t="s">
        <v>7905</v>
      </c>
      <c r="I5939" s="23" t="e">
        <f>VLOOKUP(H5939,'合同综合查询数据（3月返）'!$A:$A,1,FALSE)</f>
        <v>#N/A</v>
      </c>
      <c r="J5939" s="24" t="s">
        <v>1019</v>
      </c>
      <c r="K5939" s="16" t="s">
        <v>34</v>
      </c>
      <c r="L5939" s="25"/>
      <c r="M5939" s="26" t="s">
        <v>7907</v>
      </c>
      <c r="N5939" s="28"/>
      <c r="O5939" s="28" t="s">
        <v>37</v>
      </c>
      <c r="P5939" s="29">
        <v>50</v>
      </c>
      <c r="Q5939" s="35">
        <v>432</v>
      </c>
      <c r="R5939" s="36">
        <f>ROUND(Q5939*P5939,2)</f>
        <v>21600</v>
      </c>
      <c r="S5939" s="37">
        <v>202303</v>
      </c>
      <c r="T5939" s="38" t="s">
        <v>7928</v>
      </c>
      <c r="U5939" s="39"/>
      <c r="V5939" s="40"/>
      <c r="W5939" s="41"/>
      <c r="X5939" s="28">
        <v>44682</v>
      </c>
      <c r="Y5939" s="28">
        <v>45046</v>
      </c>
    </row>
    <row r="5940" s="9" customFormat="1" customHeight="1" spans="1:25">
      <c r="A5940" s="16" t="s">
        <v>403</v>
      </c>
      <c r="B5940" s="17" t="s">
        <v>6971</v>
      </c>
      <c r="C5940" s="17" t="s">
        <v>27</v>
      </c>
      <c r="D5940" s="17" t="s">
        <v>881</v>
      </c>
      <c r="E5940" s="18" t="s">
        <v>7903</v>
      </c>
      <c r="F5940" s="16" t="s">
        <v>7904</v>
      </c>
      <c r="G5940" s="16" t="s">
        <v>31</v>
      </c>
      <c r="H5940" s="19" t="s">
        <v>7905</v>
      </c>
      <c r="I5940" s="23" t="e">
        <f>VLOOKUP(H5940,'合同综合查询数据（3月返）'!$A:$A,1,FALSE)</f>
        <v>#N/A</v>
      </c>
      <c r="J5940" s="24" t="s">
        <v>1019</v>
      </c>
      <c r="K5940" s="16" t="s">
        <v>34</v>
      </c>
      <c r="L5940" s="25"/>
      <c r="M5940" s="26" t="s">
        <v>7907</v>
      </c>
      <c r="N5940" s="28"/>
      <c r="O5940" s="28" t="s">
        <v>37</v>
      </c>
      <c r="P5940" s="29">
        <v>0</v>
      </c>
      <c r="Q5940" s="35">
        <v>80</v>
      </c>
      <c r="R5940" s="36">
        <f t="shared" ref="R5940:R5946" si="135">ROUND(P5940*Q5940,2)</f>
        <v>0</v>
      </c>
      <c r="S5940" s="37">
        <v>202303</v>
      </c>
      <c r="T5940" s="38" t="s">
        <v>7928</v>
      </c>
      <c r="U5940" s="39"/>
      <c r="V5940" s="40"/>
      <c r="W5940" s="41"/>
      <c r="X5940" s="28">
        <v>44682</v>
      </c>
      <c r="Y5940" s="28">
        <v>45046</v>
      </c>
    </row>
    <row r="5941" s="9" customFormat="1" customHeight="1" spans="1:25">
      <c r="A5941" s="16" t="s">
        <v>403</v>
      </c>
      <c r="B5941" s="17" t="s">
        <v>6971</v>
      </c>
      <c r="C5941" s="17" t="s">
        <v>27</v>
      </c>
      <c r="D5941" s="17" t="s">
        <v>881</v>
      </c>
      <c r="E5941" s="18" t="s">
        <v>7903</v>
      </c>
      <c r="F5941" s="16" t="s">
        <v>7904</v>
      </c>
      <c r="G5941" s="16" t="s">
        <v>31</v>
      </c>
      <c r="H5941" s="19" t="s">
        <v>7905</v>
      </c>
      <c r="I5941" s="23" t="e">
        <f>VLOOKUP(H5941,'合同综合查询数据（3月返）'!$A:$A,1,FALSE)</f>
        <v>#N/A</v>
      </c>
      <c r="J5941" s="24" t="s">
        <v>33</v>
      </c>
      <c r="K5941" s="16"/>
      <c r="L5941" s="25"/>
      <c r="M5941" s="26" t="s">
        <v>7929</v>
      </c>
      <c r="N5941" s="28" t="s">
        <v>1225</v>
      </c>
      <c r="O5941" s="28" t="s">
        <v>152</v>
      </c>
      <c r="P5941" s="29">
        <v>0</v>
      </c>
      <c r="Q5941" s="35">
        <v>1</v>
      </c>
      <c r="R5941" s="36">
        <f t="shared" si="135"/>
        <v>0</v>
      </c>
      <c r="S5941" s="37">
        <v>202303</v>
      </c>
      <c r="T5941" s="38" t="s">
        <v>7930</v>
      </c>
      <c r="U5941" s="39"/>
      <c r="V5941" s="40"/>
      <c r="W5941" s="41"/>
      <c r="X5941" s="28">
        <v>44682</v>
      </c>
      <c r="Y5941" s="28">
        <v>45046</v>
      </c>
    </row>
    <row r="5942" s="9" customFormat="1" customHeight="1" spans="1:25">
      <c r="A5942" s="16" t="s">
        <v>403</v>
      </c>
      <c r="B5942" s="17" t="s">
        <v>6971</v>
      </c>
      <c r="C5942" s="17" t="s">
        <v>27</v>
      </c>
      <c r="D5942" s="17" t="s">
        <v>881</v>
      </c>
      <c r="E5942" s="18" t="s">
        <v>7903</v>
      </c>
      <c r="F5942" s="16" t="s">
        <v>7904</v>
      </c>
      <c r="G5942" s="16" t="s">
        <v>31</v>
      </c>
      <c r="H5942" s="19" t="s">
        <v>7905</v>
      </c>
      <c r="I5942" s="23" t="e">
        <f>VLOOKUP(H5942,'合同综合查询数据（3月返）'!$A:$A,1,FALSE)</f>
        <v>#N/A</v>
      </c>
      <c r="J5942" s="24" t="s">
        <v>33</v>
      </c>
      <c r="K5942" s="16"/>
      <c r="L5942" s="25"/>
      <c r="M5942" s="26" t="s">
        <v>7929</v>
      </c>
      <c r="N5942" s="28" t="s">
        <v>1225</v>
      </c>
      <c r="O5942" s="28" t="s">
        <v>152</v>
      </c>
      <c r="P5942" s="29">
        <v>0</v>
      </c>
      <c r="Q5942" s="35">
        <v>1</v>
      </c>
      <c r="R5942" s="36">
        <f t="shared" si="135"/>
        <v>0</v>
      </c>
      <c r="S5942" s="37">
        <v>202303</v>
      </c>
      <c r="T5942" s="38" t="s">
        <v>7931</v>
      </c>
      <c r="U5942" s="39"/>
      <c r="V5942" s="40"/>
      <c r="W5942" s="41"/>
      <c r="X5942" s="28">
        <v>44682</v>
      </c>
      <c r="Y5942" s="28">
        <v>45046</v>
      </c>
    </row>
    <row r="5943" s="9" customFormat="1" customHeight="1" spans="1:25">
      <c r="A5943" s="16" t="s">
        <v>403</v>
      </c>
      <c r="B5943" s="17" t="s">
        <v>6971</v>
      </c>
      <c r="C5943" s="17" t="s">
        <v>27</v>
      </c>
      <c r="D5943" s="17" t="s">
        <v>881</v>
      </c>
      <c r="E5943" s="18" t="s">
        <v>7903</v>
      </c>
      <c r="F5943" s="16" t="s">
        <v>7904</v>
      </c>
      <c r="G5943" s="16" t="s">
        <v>31</v>
      </c>
      <c r="H5943" s="19" t="s">
        <v>7905</v>
      </c>
      <c r="I5943" s="23" t="e">
        <f>VLOOKUP(H5943,'合同综合查询数据（3月返）'!$A:$A,1,FALSE)</f>
        <v>#N/A</v>
      </c>
      <c r="J5943" s="24" t="s">
        <v>33</v>
      </c>
      <c r="K5943" s="16" t="s">
        <v>7932</v>
      </c>
      <c r="L5943" s="25" t="s">
        <v>7932</v>
      </c>
      <c r="M5943" s="26" t="s">
        <v>7929</v>
      </c>
      <c r="N5943" s="28">
        <v>44060</v>
      </c>
      <c r="O5943" s="28" t="s">
        <v>152</v>
      </c>
      <c r="P5943" s="29">
        <v>0</v>
      </c>
      <c r="Q5943" s="35">
        <v>1</v>
      </c>
      <c r="R5943" s="36">
        <f t="shared" si="135"/>
        <v>0</v>
      </c>
      <c r="S5943" s="37">
        <v>202303</v>
      </c>
      <c r="T5943" s="38" t="s">
        <v>7933</v>
      </c>
      <c r="U5943" s="39"/>
      <c r="V5943" s="40"/>
      <c r="W5943" s="41"/>
      <c r="X5943" s="28">
        <v>44682</v>
      </c>
      <c r="Y5943" s="28">
        <v>45046</v>
      </c>
    </row>
    <row r="5944" s="9" customFormat="1" customHeight="1" spans="1:25">
      <c r="A5944" s="16" t="s">
        <v>403</v>
      </c>
      <c r="B5944" s="17" t="s">
        <v>6971</v>
      </c>
      <c r="C5944" s="17" t="s">
        <v>27</v>
      </c>
      <c r="D5944" s="17" t="s">
        <v>881</v>
      </c>
      <c r="E5944" s="18" t="s">
        <v>7903</v>
      </c>
      <c r="F5944" s="16" t="s">
        <v>7904</v>
      </c>
      <c r="G5944" s="16" t="s">
        <v>31</v>
      </c>
      <c r="H5944" s="19" t="s">
        <v>7905</v>
      </c>
      <c r="I5944" s="23" t="e">
        <f>VLOOKUP(H5944,'合同综合查询数据（3月返）'!$A:$A,1,FALSE)</f>
        <v>#N/A</v>
      </c>
      <c r="J5944" s="24" t="s">
        <v>33</v>
      </c>
      <c r="K5944" s="16" t="s">
        <v>7932</v>
      </c>
      <c r="L5944" s="25" t="s">
        <v>7932</v>
      </c>
      <c r="M5944" s="26" t="s">
        <v>7929</v>
      </c>
      <c r="N5944" s="28">
        <v>44135</v>
      </c>
      <c r="O5944" s="28" t="s">
        <v>152</v>
      </c>
      <c r="P5944" s="29">
        <v>0</v>
      </c>
      <c r="Q5944" s="35">
        <v>-1</v>
      </c>
      <c r="R5944" s="36">
        <f t="shared" si="135"/>
        <v>0</v>
      </c>
      <c r="S5944" s="37">
        <v>202303</v>
      </c>
      <c r="T5944" s="38" t="s">
        <v>7934</v>
      </c>
      <c r="U5944" s="39"/>
      <c r="V5944" s="40"/>
      <c r="W5944" s="41"/>
      <c r="X5944" s="28">
        <v>44682</v>
      </c>
      <c r="Y5944" s="28">
        <v>45046</v>
      </c>
    </row>
    <row r="5945" s="9" customFormat="1" customHeight="1" spans="1:25">
      <c r="A5945" s="16" t="s">
        <v>403</v>
      </c>
      <c r="B5945" s="17" t="s">
        <v>6971</v>
      </c>
      <c r="C5945" s="17" t="s">
        <v>27</v>
      </c>
      <c r="D5945" s="17" t="s">
        <v>881</v>
      </c>
      <c r="E5945" s="18" t="s">
        <v>7903</v>
      </c>
      <c r="F5945" s="16" t="s">
        <v>7904</v>
      </c>
      <c r="G5945" s="16" t="s">
        <v>31</v>
      </c>
      <c r="H5945" s="19" t="s">
        <v>7905</v>
      </c>
      <c r="I5945" s="23" t="e">
        <f>VLOOKUP(H5945,'合同综合查询数据（3月返）'!$A:$A,1,FALSE)</f>
        <v>#N/A</v>
      </c>
      <c r="J5945" s="24" t="s">
        <v>1019</v>
      </c>
      <c r="K5945" s="16" t="s">
        <v>34</v>
      </c>
      <c r="L5945" s="25" t="s">
        <v>34</v>
      </c>
      <c r="M5945" s="26" t="s">
        <v>7929</v>
      </c>
      <c r="N5945" s="28">
        <v>44062</v>
      </c>
      <c r="O5945" s="28" t="s">
        <v>152</v>
      </c>
      <c r="P5945" s="29">
        <v>0</v>
      </c>
      <c r="Q5945" s="35">
        <v>1</v>
      </c>
      <c r="R5945" s="36">
        <f t="shared" si="135"/>
        <v>0</v>
      </c>
      <c r="S5945" s="37">
        <v>202303</v>
      </c>
      <c r="T5945" s="38" t="s">
        <v>7935</v>
      </c>
      <c r="U5945" s="39"/>
      <c r="V5945" s="40"/>
      <c r="W5945" s="41"/>
      <c r="X5945" s="28">
        <v>44682</v>
      </c>
      <c r="Y5945" s="28">
        <v>45046</v>
      </c>
    </row>
    <row r="5946" s="9" customFormat="1" customHeight="1" spans="1:25">
      <c r="A5946" s="16" t="s">
        <v>403</v>
      </c>
      <c r="B5946" s="17" t="s">
        <v>6971</v>
      </c>
      <c r="C5946" s="17" t="s">
        <v>27</v>
      </c>
      <c r="D5946" s="17" t="s">
        <v>881</v>
      </c>
      <c r="E5946" s="18" t="s">
        <v>7903</v>
      </c>
      <c r="F5946" s="16" t="s">
        <v>7904</v>
      </c>
      <c r="G5946" s="16" t="s">
        <v>31</v>
      </c>
      <c r="H5946" s="19" t="s">
        <v>7905</v>
      </c>
      <c r="I5946" s="23" t="e">
        <f>VLOOKUP(H5946,'合同综合查询数据（3月返）'!$A:$A,1,FALSE)</f>
        <v>#N/A</v>
      </c>
      <c r="J5946" s="24" t="s">
        <v>33</v>
      </c>
      <c r="K5946" s="16" t="s">
        <v>34</v>
      </c>
      <c r="L5946" s="25" t="s">
        <v>7917</v>
      </c>
      <c r="M5946" s="26" t="s">
        <v>7918</v>
      </c>
      <c r="N5946" s="28">
        <v>44158</v>
      </c>
      <c r="O5946" s="28" t="s">
        <v>152</v>
      </c>
      <c r="P5946" s="29">
        <v>0</v>
      </c>
      <c r="Q5946" s="35">
        <v>1</v>
      </c>
      <c r="R5946" s="36">
        <f t="shared" si="135"/>
        <v>0</v>
      </c>
      <c r="S5946" s="37">
        <v>202303</v>
      </c>
      <c r="T5946" s="38" t="s">
        <v>7936</v>
      </c>
      <c r="U5946" s="39"/>
      <c r="V5946" s="40"/>
      <c r="W5946" s="41"/>
      <c r="X5946" s="28">
        <v>44682</v>
      </c>
      <c r="Y5946" s="28">
        <v>45046</v>
      </c>
    </row>
    <row r="5947" s="9" customFormat="1" customHeight="1" spans="1:25">
      <c r="A5947" s="16" t="s">
        <v>403</v>
      </c>
      <c r="B5947" s="17" t="s">
        <v>6971</v>
      </c>
      <c r="C5947" s="17" t="s">
        <v>27</v>
      </c>
      <c r="D5947" s="17" t="s">
        <v>881</v>
      </c>
      <c r="E5947" s="18" t="s">
        <v>7903</v>
      </c>
      <c r="F5947" s="16" t="s">
        <v>7904</v>
      </c>
      <c r="G5947" s="16" t="s">
        <v>88</v>
      </c>
      <c r="H5947" s="19" t="s">
        <v>7905</v>
      </c>
      <c r="I5947" s="23" t="e">
        <f>VLOOKUP(H5947,'合同综合查询数据（3月返）'!$A:$A,1,FALSE)</f>
        <v>#N/A</v>
      </c>
      <c r="J5947" s="24" t="s">
        <v>126</v>
      </c>
      <c r="K5947" s="16" t="s">
        <v>34</v>
      </c>
      <c r="L5947" s="25" t="s">
        <v>7915</v>
      </c>
      <c r="M5947" s="26" t="s">
        <v>7907</v>
      </c>
      <c r="N5947" s="28">
        <v>44334</v>
      </c>
      <c r="O5947" s="28" t="s">
        <v>92</v>
      </c>
      <c r="P5947" s="29">
        <v>4000</v>
      </c>
      <c r="Q5947" s="35">
        <v>3</v>
      </c>
      <c r="R5947" s="36">
        <f t="shared" ref="R5947:R5953" si="136">ROUND(Q5947*P5947,2)</f>
        <v>12000</v>
      </c>
      <c r="S5947" s="37">
        <v>202303</v>
      </c>
      <c r="T5947" s="38" t="s">
        <v>7937</v>
      </c>
      <c r="U5947" s="39"/>
      <c r="V5947" s="40"/>
      <c r="W5947" s="41"/>
      <c r="X5947" s="28">
        <v>44682</v>
      </c>
      <c r="Y5947" s="28">
        <v>45046</v>
      </c>
    </row>
    <row r="5948" s="9" customFormat="1" customHeight="1" spans="1:25">
      <c r="A5948" s="16" t="s">
        <v>403</v>
      </c>
      <c r="B5948" s="17" t="s">
        <v>6971</v>
      </c>
      <c r="C5948" s="17" t="s">
        <v>27</v>
      </c>
      <c r="D5948" s="17" t="s">
        <v>881</v>
      </c>
      <c r="E5948" s="18" t="s">
        <v>7903</v>
      </c>
      <c r="F5948" s="16" t="s">
        <v>7904</v>
      </c>
      <c r="G5948" s="16" t="s">
        <v>31</v>
      </c>
      <c r="H5948" s="19" t="s">
        <v>7905</v>
      </c>
      <c r="I5948" s="23" t="e">
        <f>VLOOKUP(H5948,'合同综合查询数据（3月返）'!$A:$A,1,FALSE)</f>
        <v>#N/A</v>
      </c>
      <c r="J5948" s="24" t="s">
        <v>33</v>
      </c>
      <c r="K5948" s="16" t="s">
        <v>34</v>
      </c>
      <c r="L5948" s="25" t="s">
        <v>7915</v>
      </c>
      <c r="M5948" s="26" t="s">
        <v>7907</v>
      </c>
      <c r="N5948" s="28"/>
      <c r="O5948" s="28" t="s">
        <v>37</v>
      </c>
      <c r="P5948" s="29">
        <v>50</v>
      </c>
      <c r="Q5948" s="35">
        <v>96</v>
      </c>
      <c r="R5948" s="36">
        <f t="shared" si="136"/>
        <v>4800</v>
      </c>
      <c r="S5948" s="37">
        <v>202303</v>
      </c>
      <c r="T5948" s="38" t="s">
        <v>7938</v>
      </c>
      <c r="U5948" s="39"/>
      <c r="V5948" s="40"/>
      <c r="W5948" s="41"/>
      <c r="X5948" s="28">
        <v>44682</v>
      </c>
      <c r="Y5948" s="28">
        <v>45046</v>
      </c>
    </row>
    <row r="5949" s="9" customFormat="1" customHeight="1" spans="1:25">
      <c r="A5949" s="16" t="s">
        <v>403</v>
      </c>
      <c r="B5949" s="17" t="s">
        <v>6971</v>
      </c>
      <c r="C5949" s="17" t="s">
        <v>27</v>
      </c>
      <c r="D5949" s="17" t="s">
        <v>881</v>
      </c>
      <c r="E5949" s="18" t="s">
        <v>7903</v>
      </c>
      <c r="F5949" s="16" t="s">
        <v>7904</v>
      </c>
      <c r="G5949" s="16" t="s">
        <v>31</v>
      </c>
      <c r="H5949" s="19" t="s">
        <v>7905</v>
      </c>
      <c r="I5949" s="23" t="e">
        <f>VLOOKUP(H5949,'合同综合查询数据（3月返）'!$A:$A,1,FALSE)</f>
        <v>#N/A</v>
      </c>
      <c r="J5949" s="24" t="s">
        <v>33</v>
      </c>
      <c r="K5949" s="16" t="s">
        <v>34</v>
      </c>
      <c r="L5949" s="25" t="s">
        <v>7915</v>
      </c>
      <c r="M5949" s="26" t="s">
        <v>7907</v>
      </c>
      <c r="N5949" s="28">
        <v>44334</v>
      </c>
      <c r="O5949" s="28" t="s">
        <v>37</v>
      </c>
      <c r="P5949" s="29">
        <v>0</v>
      </c>
      <c r="Q5949" s="35">
        <v>128</v>
      </c>
      <c r="R5949" s="36">
        <f t="shared" si="136"/>
        <v>0</v>
      </c>
      <c r="S5949" s="37">
        <v>202303</v>
      </c>
      <c r="T5949" s="38" t="s">
        <v>7939</v>
      </c>
      <c r="U5949" s="39"/>
      <c r="V5949" s="40"/>
      <c r="W5949" s="41"/>
      <c r="X5949" s="28">
        <v>44682</v>
      </c>
      <c r="Y5949" s="28">
        <v>45046</v>
      </c>
    </row>
    <row r="5950" s="9" customFormat="1" customHeight="1" spans="1:25">
      <c r="A5950" s="16" t="s">
        <v>403</v>
      </c>
      <c r="B5950" s="17" t="s">
        <v>6971</v>
      </c>
      <c r="C5950" s="17" t="s">
        <v>27</v>
      </c>
      <c r="D5950" s="17" t="s">
        <v>881</v>
      </c>
      <c r="E5950" s="18" t="s">
        <v>7903</v>
      </c>
      <c r="F5950" s="16" t="s">
        <v>7904</v>
      </c>
      <c r="G5950" s="16" t="s">
        <v>31</v>
      </c>
      <c r="H5950" s="19" t="s">
        <v>7905</v>
      </c>
      <c r="I5950" s="23" t="e">
        <f>VLOOKUP(H5950,'合同综合查询数据（3月返）'!$A:$A,1,FALSE)</f>
        <v>#N/A</v>
      </c>
      <c r="J5950" s="24" t="s">
        <v>33</v>
      </c>
      <c r="K5950" s="16" t="s">
        <v>34</v>
      </c>
      <c r="L5950" s="25" t="s">
        <v>7915</v>
      </c>
      <c r="M5950" s="26" t="s">
        <v>7907</v>
      </c>
      <c r="N5950" s="28">
        <v>44409</v>
      </c>
      <c r="O5950" s="28" t="s">
        <v>37</v>
      </c>
      <c r="P5950" s="29">
        <v>0</v>
      </c>
      <c r="Q5950" s="35">
        <v>128</v>
      </c>
      <c r="R5950" s="36">
        <f t="shared" si="136"/>
        <v>0</v>
      </c>
      <c r="S5950" s="37">
        <v>202303</v>
      </c>
      <c r="T5950" s="38" t="s">
        <v>7940</v>
      </c>
      <c r="U5950" s="39"/>
      <c r="V5950" s="40"/>
      <c r="W5950" s="41"/>
      <c r="X5950" s="28">
        <v>44682</v>
      </c>
      <c r="Y5950" s="28">
        <v>45046</v>
      </c>
    </row>
    <row r="5951" s="9" customFormat="1" customHeight="1" spans="1:25">
      <c r="A5951" s="16" t="s">
        <v>403</v>
      </c>
      <c r="B5951" s="17" t="s">
        <v>6971</v>
      </c>
      <c r="C5951" s="17" t="s">
        <v>27</v>
      </c>
      <c r="D5951" s="17" t="s">
        <v>881</v>
      </c>
      <c r="E5951" s="18" t="s">
        <v>7903</v>
      </c>
      <c r="F5951" s="16" t="s">
        <v>7904</v>
      </c>
      <c r="G5951" s="16" t="s">
        <v>88</v>
      </c>
      <c r="H5951" s="19" t="s">
        <v>7905</v>
      </c>
      <c r="I5951" s="23" t="e">
        <f>VLOOKUP(H5951,'合同综合查询数据（3月返）'!$A:$A,1,FALSE)</f>
        <v>#N/A</v>
      </c>
      <c r="J5951" s="24" t="s">
        <v>126</v>
      </c>
      <c r="K5951" s="16" t="s">
        <v>34</v>
      </c>
      <c r="L5951" s="25" t="s">
        <v>7915</v>
      </c>
      <c r="M5951" s="26" t="s">
        <v>7907</v>
      </c>
      <c r="N5951" s="28">
        <v>44742</v>
      </c>
      <c r="O5951" s="28" t="s">
        <v>92</v>
      </c>
      <c r="P5951" s="29">
        <v>4000</v>
      </c>
      <c r="Q5951" s="35">
        <v>-4</v>
      </c>
      <c r="R5951" s="36">
        <f t="shared" si="136"/>
        <v>-16000</v>
      </c>
      <c r="S5951" s="37">
        <v>202303</v>
      </c>
      <c r="T5951" s="38" t="s">
        <v>7941</v>
      </c>
      <c r="U5951" s="39"/>
      <c r="V5951" s="40"/>
      <c r="W5951" s="41"/>
      <c r="X5951" s="28">
        <v>44682</v>
      </c>
      <c r="Y5951" s="28">
        <v>45046</v>
      </c>
    </row>
    <row r="5952" s="9" customFormat="1" customHeight="1" spans="1:25">
      <c r="A5952" s="16" t="s">
        <v>403</v>
      </c>
      <c r="B5952" s="17" t="s">
        <v>6971</v>
      </c>
      <c r="C5952" s="17" t="s">
        <v>27</v>
      </c>
      <c r="D5952" s="17" t="s">
        <v>881</v>
      </c>
      <c r="E5952" s="18" t="s">
        <v>7903</v>
      </c>
      <c r="F5952" s="16" t="s">
        <v>7904</v>
      </c>
      <c r="G5952" s="16" t="s">
        <v>31</v>
      </c>
      <c r="H5952" s="19" t="s">
        <v>7905</v>
      </c>
      <c r="I5952" s="23" t="e">
        <f>VLOOKUP(H5952,'合同综合查询数据（3月返）'!$A:$A,1,FALSE)</f>
        <v>#N/A</v>
      </c>
      <c r="J5952" s="24" t="s">
        <v>33</v>
      </c>
      <c r="K5952" s="16" t="s">
        <v>34</v>
      </c>
      <c r="L5952" s="25" t="s">
        <v>7915</v>
      </c>
      <c r="M5952" s="26" t="s">
        <v>7907</v>
      </c>
      <c r="N5952" s="28">
        <v>44812</v>
      </c>
      <c r="O5952" s="28" t="s">
        <v>37</v>
      </c>
      <c r="P5952" s="29">
        <v>0</v>
      </c>
      <c r="Q5952" s="35">
        <v>-128</v>
      </c>
      <c r="R5952" s="36">
        <f t="shared" si="136"/>
        <v>0</v>
      </c>
      <c r="S5952" s="37">
        <v>202303</v>
      </c>
      <c r="T5952" s="38" t="s">
        <v>7942</v>
      </c>
      <c r="U5952" s="39"/>
      <c r="V5952" s="40"/>
      <c r="W5952" s="41"/>
      <c r="X5952" s="28">
        <v>44682</v>
      </c>
      <c r="Y5952" s="28">
        <v>45046</v>
      </c>
    </row>
    <row r="5953" s="9" customFormat="1" customHeight="1" spans="1:25">
      <c r="A5953" s="16" t="s">
        <v>403</v>
      </c>
      <c r="B5953" s="17" t="s">
        <v>6971</v>
      </c>
      <c r="C5953" s="17" t="s">
        <v>27</v>
      </c>
      <c r="D5953" s="17" t="s">
        <v>881</v>
      </c>
      <c r="E5953" s="18" t="s">
        <v>7903</v>
      </c>
      <c r="F5953" s="16" t="s">
        <v>7904</v>
      </c>
      <c r="G5953" s="16" t="s">
        <v>88</v>
      </c>
      <c r="H5953" s="19" t="s">
        <v>7905</v>
      </c>
      <c r="I5953" s="23" t="e">
        <f>VLOOKUP(H5953,'合同综合查询数据（3月返）'!$A:$A,1,FALSE)</f>
        <v>#N/A</v>
      </c>
      <c r="J5953" s="24" t="s">
        <v>126</v>
      </c>
      <c r="K5953" s="16" t="s">
        <v>34</v>
      </c>
      <c r="L5953" s="25" t="s">
        <v>7915</v>
      </c>
      <c r="M5953" s="26" t="s">
        <v>7907</v>
      </c>
      <c r="N5953" s="28">
        <v>44812</v>
      </c>
      <c r="O5953" s="28" t="s">
        <v>92</v>
      </c>
      <c r="P5953" s="29">
        <v>4000</v>
      </c>
      <c r="Q5953" s="35">
        <v>-1</v>
      </c>
      <c r="R5953" s="36">
        <f t="shared" si="136"/>
        <v>-4000</v>
      </c>
      <c r="S5953" s="37">
        <v>202303</v>
      </c>
      <c r="T5953" s="38" t="s">
        <v>7943</v>
      </c>
      <c r="U5953" s="39"/>
      <c r="V5953" s="40"/>
      <c r="W5953" s="41"/>
      <c r="X5953" s="28">
        <v>44682</v>
      </c>
      <c r="Y5953" s="28">
        <v>45046</v>
      </c>
    </row>
    <row r="5954" s="9" customFormat="1" customHeight="1" spans="1:25">
      <c r="A5954" s="16" t="s">
        <v>403</v>
      </c>
      <c r="B5954" s="17" t="s">
        <v>6971</v>
      </c>
      <c r="C5954" s="17" t="s">
        <v>50</v>
      </c>
      <c r="D5954" s="17" t="s">
        <v>881</v>
      </c>
      <c r="E5954" s="18" t="s">
        <v>7944</v>
      </c>
      <c r="F5954" s="16" t="s">
        <v>7945</v>
      </c>
      <c r="G5954" s="16" t="s">
        <v>88</v>
      </c>
      <c r="H5954" s="19" t="s">
        <v>7946</v>
      </c>
      <c r="I5954" s="23" t="e">
        <f>VLOOKUP(H5954,'合同综合查询数据（3月返）'!$A:$A,1,FALSE)</f>
        <v>#N/A</v>
      </c>
      <c r="J5954" s="24" t="s">
        <v>126</v>
      </c>
      <c r="K5954" s="16" t="s">
        <v>7947</v>
      </c>
      <c r="L5954" s="25"/>
      <c r="M5954" s="26" t="s">
        <v>7948</v>
      </c>
      <c r="N5954" s="28"/>
      <c r="O5954" s="28" t="s">
        <v>624</v>
      </c>
      <c r="P5954" s="29">
        <v>2083.33</v>
      </c>
      <c r="Q5954" s="35">
        <v>4</v>
      </c>
      <c r="R5954" s="36">
        <f t="shared" ref="R5954:R5968" si="137">ROUND(P5954*Q5954,2)</f>
        <v>8333.32</v>
      </c>
      <c r="S5954" s="37">
        <v>202303</v>
      </c>
      <c r="T5954" s="38" t="s">
        <v>7949</v>
      </c>
      <c r="U5954" s="39"/>
      <c r="V5954" s="40"/>
      <c r="W5954" s="41"/>
      <c r="X5954" s="28">
        <v>44682</v>
      </c>
      <c r="Y5954" s="28">
        <v>45046</v>
      </c>
    </row>
    <row r="5955" s="9" customFormat="1" customHeight="1" spans="1:25">
      <c r="A5955" s="16" t="s">
        <v>403</v>
      </c>
      <c r="B5955" s="17" t="s">
        <v>6971</v>
      </c>
      <c r="C5955" s="17" t="s">
        <v>50</v>
      </c>
      <c r="D5955" s="17" t="s">
        <v>881</v>
      </c>
      <c r="E5955" s="18" t="s">
        <v>7944</v>
      </c>
      <c r="F5955" s="16" t="s">
        <v>7945</v>
      </c>
      <c r="G5955" s="16" t="s">
        <v>88</v>
      </c>
      <c r="H5955" s="19" t="s">
        <v>7946</v>
      </c>
      <c r="I5955" s="23" t="e">
        <f>VLOOKUP(H5955,'合同综合查询数据（3月返）'!$A:$A,1,FALSE)</f>
        <v>#N/A</v>
      </c>
      <c r="J5955" s="24" t="s">
        <v>126</v>
      </c>
      <c r="K5955" s="16" t="s">
        <v>7950</v>
      </c>
      <c r="L5955" s="25"/>
      <c r="M5955" s="26" t="s">
        <v>7951</v>
      </c>
      <c r="N5955" s="28"/>
      <c r="O5955" s="28" t="s">
        <v>624</v>
      </c>
      <c r="P5955" s="29">
        <v>2083.33</v>
      </c>
      <c r="Q5955" s="35">
        <v>4</v>
      </c>
      <c r="R5955" s="36">
        <f t="shared" si="137"/>
        <v>8333.32</v>
      </c>
      <c r="S5955" s="37">
        <v>202303</v>
      </c>
      <c r="T5955" s="38" t="s">
        <v>7952</v>
      </c>
      <c r="U5955" s="39"/>
      <c r="V5955" s="40"/>
      <c r="W5955" s="41"/>
      <c r="X5955" s="28">
        <v>44682</v>
      </c>
      <c r="Y5955" s="28">
        <v>45046</v>
      </c>
    </row>
    <row r="5956" s="9" customFormat="1" customHeight="1" spans="1:25">
      <c r="A5956" s="16" t="s">
        <v>403</v>
      </c>
      <c r="B5956" s="17" t="s">
        <v>6971</v>
      </c>
      <c r="C5956" s="17" t="s">
        <v>50</v>
      </c>
      <c r="D5956" s="17" t="s">
        <v>881</v>
      </c>
      <c r="E5956" s="18" t="s">
        <v>7944</v>
      </c>
      <c r="F5956" s="16" t="s">
        <v>7945</v>
      </c>
      <c r="G5956" s="16" t="s">
        <v>88</v>
      </c>
      <c r="H5956" s="19" t="s">
        <v>7946</v>
      </c>
      <c r="I5956" s="23" t="e">
        <f>VLOOKUP(H5956,'合同综合查询数据（3月返）'!$A:$A,1,FALSE)</f>
        <v>#N/A</v>
      </c>
      <c r="J5956" s="24" t="s">
        <v>126</v>
      </c>
      <c r="K5956" s="16" t="s">
        <v>7950</v>
      </c>
      <c r="L5956" s="25"/>
      <c r="M5956" s="26" t="s">
        <v>7951</v>
      </c>
      <c r="N5956" s="28">
        <v>44978</v>
      </c>
      <c r="O5956" s="28" t="s">
        <v>624</v>
      </c>
      <c r="P5956" s="29">
        <v>2083.33</v>
      </c>
      <c r="Q5956" s="35">
        <v>-1</v>
      </c>
      <c r="R5956" s="36">
        <f t="shared" si="137"/>
        <v>-2083.33</v>
      </c>
      <c r="S5956" s="37">
        <v>202303</v>
      </c>
      <c r="T5956" s="38" t="s">
        <v>7953</v>
      </c>
      <c r="U5956" s="39"/>
      <c r="V5956" s="40"/>
      <c r="W5956" s="41"/>
      <c r="X5956" s="28">
        <v>44682</v>
      </c>
      <c r="Y5956" s="28">
        <v>45046</v>
      </c>
    </row>
    <row r="5957" s="9" customFormat="1" customHeight="1" spans="1:25">
      <c r="A5957" s="16" t="s">
        <v>403</v>
      </c>
      <c r="B5957" s="17" t="s">
        <v>6971</v>
      </c>
      <c r="C5957" s="17" t="s">
        <v>50</v>
      </c>
      <c r="D5957" s="17" t="s">
        <v>881</v>
      </c>
      <c r="E5957" s="18" t="s">
        <v>7944</v>
      </c>
      <c r="F5957" s="16" t="s">
        <v>7945</v>
      </c>
      <c r="G5957" s="16" t="s">
        <v>88</v>
      </c>
      <c r="H5957" s="19" t="s">
        <v>7946</v>
      </c>
      <c r="I5957" s="23" t="e">
        <f>VLOOKUP(H5957,'合同综合查询数据（3月返）'!$A:$A,1,FALSE)</f>
        <v>#N/A</v>
      </c>
      <c r="J5957" s="24" t="s">
        <v>126</v>
      </c>
      <c r="K5957" s="16" t="s">
        <v>7954</v>
      </c>
      <c r="L5957" s="25"/>
      <c r="M5957" s="26" t="s">
        <v>7951</v>
      </c>
      <c r="N5957" s="28"/>
      <c r="O5957" s="28" t="s">
        <v>624</v>
      </c>
      <c r="P5957" s="438">
        <v>2083.33</v>
      </c>
      <c r="Q5957" s="439">
        <v>8</v>
      </c>
      <c r="R5957" s="440">
        <f t="shared" si="137"/>
        <v>16666.64</v>
      </c>
      <c r="S5957" s="37">
        <v>202303</v>
      </c>
      <c r="T5957" s="38" t="s">
        <v>7955</v>
      </c>
      <c r="U5957" s="39"/>
      <c r="V5957" s="40"/>
      <c r="W5957" s="41"/>
      <c r="X5957" s="28">
        <v>44682</v>
      </c>
      <c r="Y5957" s="28">
        <v>45046</v>
      </c>
    </row>
    <row r="5958" s="9" customFormat="1" customHeight="1" spans="1:25">
      <c r="A5958" s="16" t="s">
        <v>403</v>
      </c>
      <c r="B5958" s="17" t="s">
        <v>6971</v>
      </c>
      <c r="C5958" s="17" t="s">
        <v>50</v>
      </c>
      <c r="D5958" s="17" t="s">
        <v>881</v>
      </c>
      <c r="E5958" s="18" t="s">
        <v>7944</v>
      </c>
      <c r="F5958" s="16" t="s">
        <v>7945</v>
      </c>
      <c r="G5958" s="16" t="s">
        <v>88</v>
      </c>
      <c r="H5958" s="19" t="s">
        <v>7946</v>
      </c>
      <c r="I5958" s="23" t="e">
        <f>VLOOKUP(H5958,'合同综合查询数据（3月返）'!$A:$A,1,FALSE)</f>
        <v>#N/A</v>
      </c>
      <c r="J5958" s="24" t="s">
        <v>126</v>
      </c>
      <c r="K5958" s="16" t="s">
        <v>7954</v>
      </c>
      <c r="L5958" s="25"/>
      <c r="M5958" s="26" t="s">
        <v>7951</v>
      </c>
      <c r="N5958" s="28">
        <v>44681</v>
      </c>
      <c r="O5958" s="28" t="s">
        <v>624</v>
      </c>
      <c r="P5958" s="438">
        <v>2083.33</v>
      </c>
      <c r="Q5958" s="439">
        <v>-5</v>
      </c>
      <c r="R5958" s="440">
        <f t="shared" si="137"/>
        <v>-10416.65</v>
      </c>
      <c r="S5958" s="37">
        <v>202303</v>
      </c>
      <c r="T5958" s="38" t="s">
        <v>7956</v>
      </c>
      <c r="U5958" s="39"/>
      <c r="V5958" s="40"/>
      <c r="W5958" s="41"/>
      <c r="X5958" s="28">
        <v>44682</v>
      </c>
      <c r="Y5958" s="28">
        <v>45046</v>
      </c>
    </row>
    <row r="5959" s="9" customFormat="1" customHeight="1" spans="1:25">
      <c r="A5959" s="16" t="s">
        <v>403</v>
      </c>
      <c r="B5959" s="17" t="s">
        <v>6971</v>
      </c>
      <c r="C5959" s="17" t="s">
        <v>50</v>
      </c>
      <c r="D5959" s="17" t="s">
        <v>881</v>
      </c>
      <c r="E5959" s="18" t="s">
        <v>7944</v>
      </c>
      <c r="F5959" s="16" t="s">
        <v>7945</v>
      </c>
      <c r="G5959" s="16" t="s">
        <v>88</v>
      </c>
      <c r="H5959" s="19" t="s">
        <v>7946</v>
      </c>
      <c r="I5959" s="23" t="e">
        <f>VLOOKUP(H5959,'合同综合查询数据（3月返）'!$A:$A,1,FALSE)</f>
        <v>#N/A</v>
      </c>
      <c r="J5959" s="24" t="s">
        <v>126</v>
      </c>
      <c r="K5959" s="16" t="s">
        <v>7947</v>
      </c>
      <c r="L5959" s="25"/>
      <c r="M5959" s="26" t="s">
        <v>7951</v>
      </c>
      <c r="N5959" s="28">
        <v>44712</v>
      </c>
      <c r="O5959" s="28" t="s">
        <v>624</v>
      </c>
      <c r="P5959" s="29">
        <v>2083.33</v>
      </c>
      <c r="Q5959" s="35">
        <v>-4</v>
      </c>
      <c r="R5959" s="36">
        <f t="shared" si="137"/>
        <v>-8333.32</v>
      </c>
      <c r="S5959" s="37">
        <v>202303</v>
      </c>
      <c r="T5959" s="38" t="s">
        <v>7957</v>
      </c>
      <c r="U5959" s="39"/>
      <c r="V5959" s="40"/>
      <c r="W5959" s="41"/>
      <c r="X5959" s="28">
        <v>44682</v>
      </c>
      <c r="Y5959" s="28">
        <v>45046</v>
      </c>
    </row>
    <row r="5960" s="9" customFormat="1" customHeight="1" spans="1:25">
      <c r="A5960" s="16" t="s">
        <v>403</v>
      </c>
      <c r="B5960" s="17" t="s">
        <v>6971</v>
      </c>
      <c r="C5960" s="17" t="s">
        <v>50</v>
      </c>
      <c r="D5960" s="17" t="s">
        <v>881</v>
      </c>
      <c r="E5960" s="18" t="s">
        <v>7944</v>
      </c>
      <c r="F5960" s="16" t="s">
        <v>7945</v>
      </c>
      <c r="G5960" s="16" t="s">
        <v>88</v>
      </c>
      <c r="H5960" s="19" t="s">
        <v>7946</v>
      </c>
      <c r="I5960" s="23" t="e">
        <f>VLOOKUP(H5960,'合同综合查询数据（3月返）'!$A:$A,1,FALSE)</f>
        <v>#N/A</v>
      </c>
      <c r="J5960" s="24" t="s">
        <v>126</v>
      </c>
      <c r="K5960" s="16" t="s">
        <v>7950</v>
      </c>
      <c r="L5960" s="25"/>
      <c r="M5960" s="26" t="s">
        <v>7951</v>
      </c>
      <c r="N5960" s="28">
        <v>44742</v>
      </c>
      <c r="O5960" s="28" t="s">
        <v>624</v>
      </c>
      <c r="P5960" s="29">
        <v>2083.33</v>
      </c>
      <c r="Q5960" s="35">
        <v>-3</v>
      </c>
      <c r="R5960" s="36">
        <f t="shared" si="137"/>
        <v>-6249.99</v>
      </c>
      <c r="S5960" s="37">
        <v>202303</v>
      </c>
      <c r="T5960" s="38" t="s">
        <v>7958</v>
      </c>
      <c r="U5960" s="39"/>
      <c r="V5960" s="40"/>
      <c r="W5960" s="41"/>
      <c r="X5960" s="28">
        <v>44682</v>
      </c>
      <c r="Y5960" s="28">
        <v>45046</v>
      </c>
    </row>
    <row r="5961" s="9" customFormat="1" customHeight="1" spans="1:25">
      <c r="A5961" s="16" t="s">
        <v>403</v>
      </c>
      <c r="B5961" s="17" t="s">
        <v>6971</v>
      </c>
      <c r="C5961" s="17" t="s">
        <v>50</v>
      </c>
      <c r="D5961" s="17" t="s">
        <v>881</v>
      </c>
      <c r="E5961" s="18" t="s">
        <v>7944</v>
      </c>
      <c r="F5961" s="16" t="s">
        <v>7945</v>
      </c>
      <c r="G5961" s="16" t="s">
        <v>88</v>
      </c>
      <c r="H5961" s="19" t="s">
        <v>7946</v>
      </c>
      <c r="I5961" s="23" t="e">
        <f>VLOOKUP(H5961,'合同综合查询数据（3月返）'!$A:$A,1,FALSE)</f>
        <v>#N/A</v>
      </c>
      <c r="J5961" s="24" t="s">
        <v>126</v>
      </c>
      <c r="K5961" s="16" t="s">
        <v>7950</v>
      </c>
      <c r="L5961" s="25"/>
      <c r="M5961" s="26" t="s">
        <v>7951</v>
      </c>
      <c r="N5961" s="425">
        <v>44824</v>
      </c>
      <c r="O5961" s="425" t="s">
        <v>624</v>
      </c>
      <c r="P5961" s="438">
        <v>2083.33</v>
      </c>
      <c r="Q5961" s="439">
        <v>4</v>
      </c>
      <c r="R5961" s="440">
        <f t="shared" si="137"/>
        <v>8333.32</v>
      </c>
      <c r="S5961" s="37">
        <v>202303</v>
      </c>
      <c r="T5961" s="38" t="s">
        <v>7959</v>
      </c>
      <c r="U5961" s="39"/>
      <c r="V5961" s="40"/>
      <c r="W5961" s="41"/>
      <c r="X5961" s="28">
        <v>44682</v>
      </c>
      <c r="Y5961" s="28">
        <v>45046</v>
      </c>
    </row>
    <row r="5962" s="9" customFormat="1" customHeight="1" spans="1:25">
      <c r="A5962" s="16" t="s">
        <v>403</v>
      </c>
      <c r="B5962" s="17" t="s">
        <v>6971</v>
      </c>
      <c r="C5962" s="17" t="s">
        <v>50</v>
      </c>
      <c r="D5962" s="17" t="s">
        <v>881</v>
      </c>
      <c r="E5962" s="18" t="s">
        <v>7944</v>
      </c>
      <c r="F5962" s="16" t="s">
        <v>7945</v>
      </c>
      <c r="G5962" s="16" t="s">
        <v>31</v>
      </c>
      <c r="H5962" s="19" t="s">
        <v>7946</v>
      </c>
      <c r="I5962" s="23" t="e">
        <f>VLOOKUP(H5962,'合同综合查询数据（3月返）'!$A:$A,1,FALSE)</f>
        <v>#N/A</v>
      </c>
      <c r="J5962" s="24" t="s">
        <v>33</v>
      </c>
      <c r="K5962" s="16"/>
      <c r="L5962" s="25"/>
      <c r="M5962" s="26" t="s">
        <v>7929</v>
      </c>
      <c r="N5962" s="28"/>
      <c r="O5962" s="28" t="s">
        <v>37</v>
      </c>
      <c r="P5962" s="29">
        <v>0</v>
      </c>
      <c r="Q5962" s="35">
        <v>128</v>
      </c>
      <c r="R5962" s="36">
        <f t="shared" si="137"/>
        <v>0</v>
      </c>
      <c r="S5962" s="37">
        <v>202303</v>
      </c>
      <c r="T5962" s="38" t="s">
        <v>7960</v>
      </c>
      <c r="U5962" s="39"/>
      <c r="V5962" s="40"/>
      <c r="W5962" s="41"/>
      <c r="X5962" s="28">
        <v>44682</v>
      </c>
      <c r="Y5962" s="28">
        <v>45046</v>
      </c>
    </row>
    <row r="5963" s="9" customFormat="1" customHeight="1" spans="1:25">
      <c r="A5963" s="16" t="s">
        <v>403</v>
      </c>
      <c r="B5963" s="17" t="s">
        <v>6971</v>
      </c>
      <c r="C5963" s="17" t="s">
        <v>50</v>
      </c>
      <c r="D5963" s="17" t="s">
        <v>881</v>
      </c>
      <c r="E5963" s="18" t="s">
        <v>7944</v>
      </c>
      <c r="F5963" s="16" t="s">
        <v>7945</v>
      </c>
      <c r="G5963" s="16" t="s">
        <v>31</v>
      </c>
      <c r="H5963" s="19" t="s">
        <v>7946</v>
      </c>
      <c r="I5963" s="23" t="e">
        <f>VLOOKUP(H5963,'合同综合查询数据（3月返）'!$A:$A,1,FALSE)</f>
        <v>#N/A</v>
      </c>
      <c r="J5963" s="24" t="s">
        <v>33</v>
      </c>
      <c r="K5963" s="16"/>
      <c r="L5963" s="25"/>
      <c r="M5963" s="26" t="s">
        <v>7929</v>
      </c>
      <c r="N5963" s="28"/>
      <c r="O5963" s="28" t="s">
        <v>37</v>
      </c>
      <c r="P5963" s="29">
        <v>50</v>
      </c>
      <c r="Q5963" s="35">
        <v>1024</v>
      </c>
      <c r="R5963" s="36">
        <f t="shared" si="137"/>
        <v>51200</v>
      </c>
      <c r="S5963" s="37">
        <v>202303</v>
      </c>
      <c r="T5963" s="38" t="s">
        <v>7960</v>
      </c>
      <c r="U5963" s="39"/>
      <c r="V5963" s="40"/>
      <c r="W5963" s="41"/>
      <c r="X5963" s="28">
        <v>44682</v>
      </c>
      <c r="Y5963" s="28">
        <v>45046</v>
      </c>
    </row>
    <row r="5964" s="9" customFormat="1" customHeight="1" spans="1:25">
      <c r="A5964" s="16" t="s">
        <v>403</v>
      </c>
      <c r="B5964" s="17" t="s">
        <v>6971</v>
      </c>
      <c r="C5964" s="17" t="s">
        <v>50</v>
      </c>
      <c r="D5964" s="17" t="s">
        <v>881</v>
      </c>
      <c r="E5964" s="18" t="s">
        <v>7944</v>
      </c>
      <c r="F5964" s="16" t="s">
        <v>7945</v>
      </c>
      <c r="G5964" s="16" t="s">
        <v>31</v>
      </c>
      <c r="H5964" s="19" t="s">
        <v>7946</v>
      </c>
      <c r="I5964" s="23" t="e">
        <f>VLOOKUP(H5964,'合同综合查询数据（3月返）'!$A:$A,1,FALSE)</f>
        <v>#N/A</v>
      </c>
      <c r="J5964" s="24" t="s">
        <v>33</v>
      </c>
      <c r="K5964" s="16"/>
      <c r="L5964" s="25"/>
      <c r="M5964" s="26" t="s">
        <v>7929</v>
      </c>
      <c r="N5964" s="28"/>
      <c r="O5964" s="28" t="s">
        <v>37</v>
      </c>
      <c r="P5964" s="29">
        <v>50</v>
      </c>
      <c r="Q5964" s="35">
        <v>192</v>
      </c>
      <c r="R5964" s="36">
        <f t="shared" si="137"/>
        <v>9600</v>
      </c>
      <c r="S5964" s="37">
        <v>202303</v>
      </c>
      <c r="T5964" s="38" t="s">
        <v>7960</v>
      </c>
      <c r="U5964" s="39"/>
      <c r="V5964" s="40"/>
      <c r="W5964" s="41"/>
      <c r="X5964" s="28">
        <v>44682</v>
      </c>
      <c r="Y5964" s="28">
        <v>45046</v>
      </c>
    </row>
    <row r="5965" s="9" customFormat="1" customHeight="1" spans="1:25">
      <c r="A5965" s="16" t="s">
        <v>403</v>
      </c>
      <c r="B5965" s="17" t="s">
        <v>6971</v>
      </c>
      <c r="C5965" s="17" t="s">
        <v>50</v>
      </c>
      <c r="D5965" s="17" t="s">
        <v>881</v>
      </c>
      <c r="E5965" s="18" t="s">
        <v>7944</v>
      </c>
      <c r="F5965" s="16" t="s">
        <v>7945</v>
      </c>
      <c r="G5965" s="16" t="s">
        <v>31</v>
      </c>
      <c r="H5965" s="19" t="s">
        <v>7946</v>
      </c>
      <c r="I5965" s="23" t="e">
        <f>VLOOKUP(H5965,'合同综合查询数据（3月返）'!$A:$A,1,FALSE)</f>
        <v>#N/A</v>
      </c>
      <c r="J5965" s="24" t="s">
        <v>33</v>
      </c>
      <c r="K5965" s="16"/>
      <c r="L5965" s="25"/>
      <c r="M5965" s="26" t="s">
        <v>7929</v>
      </c>
      <c r="N5965" s="28">
        <v>43830</v>
      </c>
      <c r="O5965" s="28" t="s">
        <v>37</v>
      </c>
      <c r="P5965" s="29">
        <v>50</v>
      </c>
      <c r="Q5965" s="35">
        <v>-192</v>
      </c>
      <c r="R5965" s="36">
        <f t="shared" si="137"/>
        <v>-9600</v>
      </c>
      <c r="S5965" s="37">
        <v>202303</v>
      </c>
      <c r="T5965" s="38" t="s">
        <v>7960</v>
      </c>
      <c r="U5965" s="39"/>
      <c r="V5965" s="40"/>
      <c r="W5965" s="41"/>
      <c r="X5965" s="28">
        <v>44682</v>
      </c>
      <c r="Y5965" s="28">
        <v>45046</v>
      </c>
    </row>
    <row r="5966" s="9" customFormat="1" customHeight="1" spans="1:25">
      <c r="A5966" s="16" t="s">
        <v>403</v>
      </c>
      <c r="B5966" s="17" t="s">
        <v>6971</v>
      </c>
      <c r="C5966" s="17" t="s">
        <v>50</v>
      </c>
      <c r="D5966" s="17" t="s">
        <v>881</v>
      </c>
      <c r="E5966" s="18" t="s">
        <v>7944</v>
      </c>
      <c r="F5966" s="16" t="s">
        <v>7945</v>
      </c>
      <c r="G5966" s="16" t="s">
        <v>31</v>
      </c>
      <c r="H5966" s="19" t="s">
        <v>7946</v>
      </c>
      <c r="I5966" s="23" t="e">
        <f>VLOOKUP(H5966,'合同综合查询数据（3月返）'!$A:$A,1,FALSE)</f>
        <v>#N/A</v>
      </c>
      <c r="J5966" s="24" t="s">
        <v>33</v>
      </c>
      <c r="K5966" s="16"/>
      <c r="L5966" s="25"/>
      <c r="M5966" s="26" t="s">
        <v>7929</v>
      </c>
      <c r="N5966" s="28">
        <v>43830</v>
      </c>
      <c r="O5966" s="28" t="s">
        <v>37</v>
      </c>
      <c r="P5966" s="29">
        <v>50</v>
      </c>
      <c r="Q5966" s="35">
        <v>-352</v>
      </c>
      <c r="R5966" s="36">
        <f t="shared" si="137"/>
        <v>-17600</v>
      </c>
      <c r="S5966" s="37">
        <v>202303</v>
      </c>
      <c r="T5966" s="38" t="s">
        <v>7960</v>
      </c>
      <c r="U5966" s="39"/>
      <c r="V5966" s="40"/>
      <c r="W5966" s="41"/>
      <c r="X5966" s="28">
        <v>44682</v>
      </c>
      <c r="Y5966" s="28">
        <v>45046</v>
      </c>
    </row>
    <row r="5967" s="9" customFormat="1" customHeight="1" spans="1:25">
      <c r="A5967" s="16" t="s">
        <v>403</v>
      </c>
      <c r="B5967" s="17" t="s">
        <v>6971</v>
      </c>
      <c r="C5967" s="17" t="s">
        <v>50</v>
      </c>
      <c r="D5967" s="17" t="s">
        <v>881</v>
      </c>
      <c r="E5967" s="18" t="s">
        <v>7944</v>
      </c>
      <c r="F5967" s="16" t="s">
        <v>7945</v>
      </c>
      <c r="G5967" s="16" t="s">
        <v>31</v>
      </c>
      <c r="H5967" s="19" t="s">
        <v>7946</v>
      </c>
      <c r="I5967" s="23" t="e">
        <f>VLOOKUP(H5967,'合同综合查询数据（3月返）'!$A:$A,1,FALSE)</f>
        <v>#N/A</v>
      </c>
      <c r="J5967" s="24" t="s">
        <v>33</v>
      </c>
      <c r="K5967" s="16"/>
      <c r="L5967" s="25"/>
      <c r="M5967" s="26" t="s">
        <v>7929</v>
      </c>
      <c r="N5967" s="28"/>
      <c r="O5967" s="28" t="s">
        <v>152</v>
      </c>
      <c r="P5967" s="29">
        <v>0</v>
      </c>
      <c r="Q5967" s="35">
        <v>3</v>
      </c>
      <c r="R5967" s="36">
        <f t="shared" si="137"/>
        <v>0</v>
      </c>
      <c r="S5967" s="37">
        <v>202303</v>
      </c>
      <c r="T5967" s="38" t="s">
        <v>7961</v>
      </c>
      <c r="U5967" s="39"/>
      <c r="V5967" s="40"/>
      <c r="W5967" s="41"/>
      <c r="X5967" s="28">
        <v>44682</v>
      </c>
      <c r="Y5967" s="28">
        <v>45046</v>
      </c>
    </row>
    <row r="5968" s="9" customFormat="1" customHeight="1" spans="1:25">
      <c r="A5968" s="16" t="s">
        <v>403</v>
      </c>
      <c r="B5968" s="17" t="s">
        <v>6971</v>
      </c>
      <c r="C5968" s="17" t="s">
        <v>50</v>
      </c>
      <c r="D5968" s="17" t="s">
        <v>881</v>
      </c>
      <c r="E5968" s="18" t="s">
        <v>7944</v>
      </c>
      <c r="F5968" s="16" t="s">
        <v>7945</v>
      </c>
      <c r="G5968" s="16" t="s">
        <v>31</v>
      </c>
      <c r="H5968" s="19" t="s">
        <v>7946</v>
      </c>
      <c r="I5968" s="23" t="e">
        <f>VLOOKUP(H5968,'合同综合查询数据（3月返）'!$A:$A,1,FALSE)</f>
        <v>#N/A</v>
      </c>
      <c r="J5968" s="24" t="s">
        <v>33</v>
      </c>
      <c r="K5968" s="16" t="s">
        <v>51</v>
      </c>
      <c r="L5968" s="25" t="s">
        <v>7962</v>
      </c>
      <c r="M5968" s="26"/>
      <c r="N5968" s="28">
        <v>44742</v>
      </c>
      <c r="O5968" s="28" t="s">
        <v>152</v>
      </c>
      <c r="P5968" s="29">
        <v>0</v>
      </c>
      <c r="Q5968" s="35">
        <v>-1</v>
      </c>
      <c r="R5968" s="36">
        <f t="shared" si="137"/>
        <v>0</v>
      </c>
      <c r="S5968" s="37">
        <v>202303</v>
      </c>
      <c r="T5968" s="38" t="s">
        <v>7963</v>
      </c>
      <c r="U5968" s="39"/>
      <c r="V5968" s="40"/>
      <c r="W5968" s="41"/>
      <c r="X5968" s="28">
        <v>44682</v>
      </c>
      <c r="Y5968" s="28">
        <v>45046</v>
      </c>
    </row>
    <row r="5969" s="9" customFormat="1" customHeight="1" spans="1:25">
      <c r="A5969" s="16" t="s">
        <v>403</v>
      </c>
      <c r="B5969" s="17" t="s">
        <v>6971</v>
      </c>
      <c r="C5969" s="17" t="s">
        <v>50</v>
      </c>
      <c r="D5969" s="17" t="s">
        <v>881</v>
      </c>
      <c r="E5969" s="18" t="s">
        <v>7944</v>
      </c>
      <c r="F5969" s="16" t="s">
        <v>7945</v>
      </c>
      <c r="G5969" s="16" t="s">
        <v>31</v>
      </c>
      <c r="H5969" s="19" t="s">
        <v>7946</v>
      </c>
      <c r="I5969" s="23" t="e">
        <f>VLOOKUP(H5969,'合同综合查询数据（3月返）'!$A:$A,1,FALSE)</f>
        <v>#N/A</v>
      </c>
      <c r="J5969" s="24" t="s">
        <v>33</v>
      </c>
      <c r="K5969" s="16" t="s">
        <v>51</v>
      </c>
      <c r="L5969" s="25" t="s">
        <v>7962</v>
      </c>
      <c r="M5969" s="26"/>
      <c r="N5969" s="28">
        <v>44824</v>
      </c>
      <c r="O5969" s="28" t="s">
        <v>152</v>
      </c>
      <c r="P5969" s="29">
        <v>0</v>
      </c>
      <c r="Q5969" s="35">
        <v>1</v>
      </c>
      <c r="R5969" s="36">
        <v>0</v>
      </c>
      <c r="S5969" s="37">
        <v>202303</v>
      </c>
      <c r="T5969" s="38" t="s">
        <v>7964</v>
      </c>
      <c r="U5969" s="39"/>
      <c r="V5969" s="40"/>
      <c r="W5969" s="41"/>
      <c r="X5969" s="28">
        <v>44682</v>
      </c>
      <c r="Y5969" s="28">
        <v>45046</v>
      </c>
    </row>
    <row r="5970" s="9" customFormat="1" customHeight="1" spans="1:25">
      <c r="A5970" s="16" t="s">
        <v>403</v>
      </c>
      <c r="B5970" s="17" t="s">
        <v>6971</v>
      </c>
      <c r="C5970" s="17" t="s">
        <v>50</v>
      </c>
      <c r="D5970" s="17" t="s">
        <v>881</v>
      </c>
      <c r="E5970" s="18" t="s">
        <v>7944</v>
      </c>
      <c r="F5970" s="16" t="s">
        <v>7945</v>
      </c>
      <c r="G5970" s="16" t="s">
        <v>88</v>
      </c>
      <c r="H5970" s="19" t="s">
        <v>7946</v>
      </c>
      <c r="I5970" s="23" t="e">
        <f>VLOOKUP(H5970,'合同综合查询数据（3月返）'!$A:$A,1,FALSE)</f>
        <v>#N/A</v>
      </c>
      <c r="J5970" s="24" t="s">
        <v>126</v>
      </c>
      <c r="K5970" s="16" t="s">
        <v>51</v>
      </c>
      <c r="L5970" s="25" t="s">
        <v>7962</v>
      </c>
      <c r="M5970" s="26" t="s">
        <v>7951</v>
      </c>
      <c r="N5970" s="28">
        <v>44228</v>
      </c>
      <c r="O5970" s="28" t="s">
        <v>624</v>
      </c>
      <c r="P5970" s="29">
        <v>2083.33</v>
      </c>
      <c r="Q5970" s="35">
        <v>2</v>
      </c>
      <c r="R5970" s="36">
        <f t="shared" ref="R5970:R6000" si="138">ROUND(P5970*Q5970,2)</f>
        <v>4166.66</v>
      </c>
      <c r="S5970" s="37">
        <v>202303</v>
      </c>
      <c r="T5970" s="38" t="s">
        <v>7965</v>
      </c>
      <c r="U5970" s="39"/>
      <c r="V5970" s="40"/>
      <c r="W5970" s="41"/>
      <c r="X5970" s="28">
        <v>44682</v>
      </c>
      <c r="Y5970" s="28">
        <v>45046</v>
      </c>
    </row>
    <row r="5971" s="9" customFormat="1" customHeight="1" spans="1:25">
      <c r="A5971" s="16" t="s">
        <v>403</v>
      </c>
      <c r="B5971" s="17" t="s">
        <v>6971</v>
      </c>
      <c r="C5971" s="17" t="s">
        <v>50</v>
      </c>
      <c r="D5971" s="17" t="s">
        <v>881</v>
      </c>
      <c r="E5971" s="18" t="s">
        <v>7944</v>
      </c>
      <c r="F5971" s="16" t="s">
        <v>7945</v>
      </c>
      <c r="G5971" s="16" t="s">
        <v>88</v>
      </c>
      <c r="H5971" s="19" t="s">
        <v>7946</v>
      </c>
      <c r="I5971" s="23" t="e">
        <f>VLOOKUP(H5971,'合同综合查询数据（3月返）'!$A:$A,1,FALSE)</f>
        <v>#N/A</v>
      </c>
      <c r="J5971" s="24" t="s">
        <v>126</v>
      </c>
      <c r="K5971" s="16" t="s">
        <v>51</v>
      </c>
      <c r="L5971" s="25" t="s">
        <v>7962</v>
      </c>
      <c r="M5971" s="26" t="s">
        <v>7951</v>
      </c>
      <c r="N5971" s="28">
        <v>44228</v>
      </c>
      <c r="O5971" s="28" t="s">
        <v>624</v>
      </c>
      <c r="P5971" s="29">
        <v>2083.33</v>
      </c>
      <c r="Q5971" s="35">
        <v>1</v>
      </c>
      <c r="R5971" s="36">
        <f t="shared" si="138"/>
        <v>2083.33</v>
      </c>
      <c r="S5971" s="37">
        <v>202303</v>
      </c>
      <c r="T5971" s="38" t="s">
        <v>7966</v>
      </c>
      <c r="U5971" s="39"/>
      <c r="V5971" s="40"/>
      <c r="W5971" s="41"/>
      <c r="X5971" s="28">
        <v>44682</v>
      </c>
      <c r="Y5971" s="28">
        <v>45046</v>
      </c>
    </row>
    <row r="5972" s="9" customFormat="1" customHeight="1" spans="1:25">
      <c r="A5972" s="16" t="s">
        <v>403</v>
      </c>
      <c r="B5972" s="17" t="s">
        <v>6971</v>
      </c>
      <c r="C5972" s="17" t="s">
        <v>50</v>
      </c>
      <c r="D5972" s="17" t="s">
        <v>881</v>
      </c>
      <c r="E5972" s="18" t="s">
        <v>7944</v>
      </c>
      <c r="F5972" s="16" t="s">
        <v>7945</v>
      </c>
      <c r="G5972" s="16" t="s">
        <v>31</v>
      </c>
      <c r="H5972" s="19" t="s">
        <v>7946</v>
      </c>
      <c r="I5972" s="23" t="e">
        <f>VLOOKUP(H5972,'合同综合查询数据（3月返）'!$A:$A,1,FALSE)</f>
        <v>#N/A</v>
      </c>
      <c r="J5972" s="24" t="s">
        <v>33</v>
      </c>
      <c r="K5972" s="16" t="s">
        <v>51</v>
      </c>
      <c r="L5972" s="25" t="s">
        <v>7962</v>
      </c>
      <c r="M5972" s="26" t="s">
        <v>7951</v>
      </c>
      <c r="N5972" s="28">
        <v>44228</v>
      </c>
      <c r="O5972" s="28" t="s">
        <v>37</v>
      </c>
      <c r="P5972" s="29">
        <v>50</v>
      </c>
      <c r="Q5972" s="35">
        <v>128</v>
      </c>
      <c r="R5972" s="36">
        <f t="shared" si="138"/>
        <v>6400</v>
      </c>
      <c r="S5972" s="37">
        <v>202303</v>
      </c>
      <c r="T5972" s="38" t="s">
        <v>7967</v>
      </c>
      <c r="U5972" s="39"/>
      <c r="V5972" s="40"/>
      <c r="W5972" s="41"/>
      <c r="X5972" s="28">
        <v>44682</v>
      </c>
      <c r="Y5972" s="28">
        <v>45046</v>
      </c>
    </row>
    <row r="5973" s="9" customFormat="1" customHeight="1" spans="1:25">
      <c r="A5973" s="16" t="s">
        <v>403</v>
      </c>
      <c r="B5973" s="17" t="s">
        <v>6971</v>
      </c>
      <c r="C5973" s="17" t="s">
        <v>50</v>
      </c>
      <c r="D5973" s="17" t="s">
        <v>881</v>
      </c>
      <c r="E5973" s="18" t="s">
        <v>7944</v>
      </c>
      <c r="F5973" s="16" t="s">
        <v>7945</v>
      </c>
      <c r="G5973" s="16" t="s">
        <v>31</v>
      </c>
      <c r="H5973" s="19" t="s">
        <v>7946</v>
      </c>
      <c r="I5973" s="23" t="e">
        <f>VLOOKUP(H5973,'合同综合查询数据（3月返）'!$A:$A,1,FALSE)</f>
        <v>#N/A</v>
      </c>
      <c r="J5973" s="24" t="s">
        <v>33</v>
      </c>
      <c r="K5973" s="16" t="s">
        <v>51</v>
      </c>
      <c r="L5973" s="25" t="s">
        <v>7962</v>
      </c>
      <c r="M5973" s="26" t="s">
        <v>7951</v>
      </c>
      <c r="N5973" s="28">
        <v>44428</v>
      </c>
      <c r="O5973" s="28" t="s">
        <v>37</v>
      </c>
      <c r="P5973" s="29">
        <v>50</v>
      </c>
      <c r="Q5973" s="35">
        <v>128</v>
      </c>
      <c r="R5973" s="36">
        <f t="shared" si="138"/>
        <v>6400</v>
      </c>
      <c r="S5973" s="37">
        <v>202303</v>
      </c>
      <c r="T5973" s="38" t="s">
        <v>7967</v>
      </c>
      <c r="U5973" s="39"/>
      <c r="V5973" s="40"/>
      <c r="W5973" s="41"/>
      <c r="X5973" s="28">
        <v>44682</v>
      </c>
      <c r="Y5973" s="28">
        <v>45046</v>
      </c>
    </row>
    <row r="5974" s="9" customFormat="1" customHeight="1" spans="1:25">
      <c r="A5974" s="16" t="s">
        <v>403</v>
      </c>
      <c r="B5974" s="17" t="s">
        <v>6971</v>
      </c>
      <c r="C5974" s="17" t="s">
        <v>50</v>
      </c>
      <c r="D5974" s="17" t="s">
        <v>881</v>
      </c>
      <c r="E5974" s="18" t="s">
        <v>7944</v>
      </c>
      <c r="F5974" s="16" t="s">
        <v>7945</v>
      </c>
      <c r="G5974" s="16" t="s">
        <v>31</v>
      </c>
      <c r="H5974" s="19" t="s">
        <v>7946</v>
      </c>
      <c r="I5974" s="23" t="e">
        <f>VLOOKUP(H5974,'合同综合查询数据（3月返）'!$A:$A,1,FALSE)</f>
        <v>#N/A</v>
      </c>
      <c r="J5974" s="24" t="s">
        <v>33</v>
      </c>
      <c r="K5974" s="16" t="s">
        <v>51</v>
      </c>
      <c r="L5974" s="25" t="s">
        <v>7962</v>
      </c>
      <c r="M5974" s="26" t="s">
        <v>7951</v>
      </c>
      <c r="N5974" s="28">
        <v>44712</v>
      </c>
      <c r="O5974" s="28" t="s">
        <v>37</v>
      </c>
      <c r="P5974" s="29">
        <v>50</v>
      </c>
      <c r="Q5974" s="35">
        <v>-256</v>
      </c>
      <c r="R5974" s="36">
        <f t="shared" si="138"/>
        <v>-12800</v>
      </c>
      <c r="S5974" s="37">
        <v>202303</v>
      </c>
      <c r="T5974" s="38" t="s">
        <v>7968</v>
      </c>
      <c r="U5974" s="39"/>
      <c r="V5974" s="40"/>
      <c r="W5974" s="41"/>
      <c r="X5974" s="28">
        <v>44682</v>
      </c>
      <c r="Y5974" s="28">
        <v>45046</v>
      </c>
    </row>
    <row r="5975" s="9" customFormat="1" customHeight="1" spans="1:25">
      <c r="A5975" s="16" t="s">
        <v>403</v>
      </c>
      <c r="B5975" s="17" t="s">
        <v>6971</v>
      </c>
      <c r="C5975" s="17" t="s">
        <v>50</v>
      </c>
      <c r="D5975" s="17" t="s">
        <v>881</v>
      </c>
      <c r="E5975" s="18" t="s">
        <v>7944</v>
      </c>
      <c r="F5975" s="16" t="s">
        <v>7945</v>
      </c>
      <c r="G5975" s="16" t="s">
        <v>31</v>
      </c>
      <c r="H5975" s="19" t="s">
        <v>7946</v>
      </c>
      <c r="I5975" s="23" t="e">
        <f>VLOOKUP(H5975,'合同综合查询数据（3月返）'!$A:$A,1,FALSE)</f>
        <v>#N/A</v>
      </c>
      <c r="J5975" s="24" t="s">
        <v>33</v>
      </c>
      <c r="K5975" s="16" t="s">
        <v>51</v>
      </c>
      <c r="L5975" s="25" t="s">
        <v>7962</v>
      </c>
      <c r="M5975" s="26" t="s">
        <v>7951</v>
      </c>
      <c r="N5975" s="28">
        <v>44742</v>
      </c>
      <c r="O5975" s="28" t="s">
        <v>37</v>
      </c>
      <c r="P5975" s="29">
        <v>50</v>
      </c>
      <c r="Q5975" s="35">
        <v>-256</v>
      </c>
      <c r="R5975" s="36">
        <f t="shared" si="138"/>
        <v>-12800</v>
      </c>
      <c r="S5975" s="37">
        <v>202303</v>
      </c>
      <c r="T5975" s="38" t="s">
        <v>7969</v>
      </c>
      <c r="U5975" s="39"/>
      <c r="V5975" s="40"/>
      <c r="W5975" s="41"/>
      <c r="X5975" s="28">
        <v>44682</v>
      </c>
      <c r="Y5975" s="28">
        <v>45046</v>
      </c>
    </row>
    <row r="5976" s="9" customFormat="1" customHeight="1" spans="1:25">
      <c r="A5976" s="16" t="s">
        <v>403</v>
      </c>
      <c r="B5976" s="17" t="s">
        <v>6971</v>
      </c>
      <c r="C5976" s="17" t="s">
        <v>50</v>
      </c>
      <c r="D5976" s="17" t="s">
        <v>881</v>
      </c>
      <c r="E5976" s="18" t="s">
        <v>7944</v>
      </c>
      <c r="F5976" s="16" t="s">
        <v>7945</v>
      </c>
      <c r="G5976" s="16" t="s">
        <v>31</v>
      </c>
      <c r="H5976" s="19" t="s">
        <v>7946</v>
      </c>
      <c r="I5976" s="23" t="e">
        <f>VLOOKUP(H5976,'合同综合查询数据（3月返）'!$A:$A,1,FALSE)</f>
        <v>#N/A</v>
      </c>
      <c r="J5976" s="24" t="s">
        <v>33</v>
      </c>
      <c r="K5976" s="16" t="s">
        <v>51</v>
      </c>
      <c r="L5976" s="25" t="s">
        <v>7962</v>
      </c>
      <c r="M5976" s="26" t="s">
        <v>7951</v>
      </c>
      <c r="N5976" s="28">
        <v>44824</v>
      </c>
      <c r="O5976" s="28" t="s">
        <v>37</v>
      </c>
      <c r="P5976" s="29">
        <v>50</v>
      </c>
      <c r="Q5976" s="35">
        <v>256</v>
      </c>
      <c r="R5976" s="36">
        <f t="shared" si="138"/>
        <v>12800</v>
      </c>
      <c r="S5976" s="37">
        <v>202303</v>
      </c>
      <c r="T5976" s="38" t="s">
        <v>7970</v>
      </c>
      <c r="U5976" s="39"/>
      <c r="V5976" s="40"/>
      <c r="W5976" s="41"/>
      <c r="X5976" s="28">
        <v>44682</v>
      </c>
      <c r="Y5976" s="28">
        <v>45046</v>
      </c>
    </row>
    <row r="5977" s="9" customFormat="1" customHeight="1" spans="1:25">
      <c r="A5977" s="16" t="s">
        <v>403</v>
      </c>
      <c r="B5977" s="17" t="s">
        <v>6971</v>
      </c>
      <c r="C5977" s="17" t="s">
        <v>7971</v>
      </c>
      <c r="D5977" s="17" t="s">
        <v>881</v>
      </c>
      <c r="E5977" s="18" t="s">
        <v>7972</v>
      </c>
      <c r="F5977" s="16" t="s">
        <v>7973</v>
      </c>
      <c r="G5977" s="16" t="s">
        <v>31</v>
      </c>
      <c r="H5977" s="19" t="s">
        <v>7974</v>
      </c>
      <c r="I5977" s="23" t="e">
        <f>VLOOKUP(H5977,'合同综合查询数据（3月返）'!$A:$A,1,FALSE)</f>
        <v>#N/A</v>
      </c>
      <c r="J5977" s="24" t="s">
        <v>33</v>
      </c>
      <c r="K5977" s="16" t="s">
        <v>7975</v>
      </c>
      <c r="L5977" s="25"/>
      <c r="M5977" s="26" t="s">
        <v>7929</v>
      </c>
      <c r="N5977" s="28">
        <v>43313</v>
      </c>
      <c r="O5977" s="28" t="s">
        <v>37</v>
      </c>
      <c r="P5977" s="29">
        <v>0</v>
      </c>
      <c r="Q5977" s="35">
        <v>288</v>
      </c>
      <c r="R5977" s="36">
        <f t="shared" si="138"/>
        <v>0</v>
      </c>
      <c r="S5977" s="37">
        <v>202303</v>
      </c>
      <c r="T5977" s="38" t="s">
        <v>7976</v>
      </c>
      <c r="U5977" s="39"/>
      <c r="V5977" s="40"/>
      <c r="W5977" s="41"/>
      <c r="X5977" s="28">
        <v>44682</v>
      </c>
      <c r="Y5977" s="28">
        <v>45046</v>
      </c>
    </row>
    <row r="5978" s="9" customFormat="1" customHeight="1" spans="1:25">
      <c r="A5978" s="16" t="s">
        <v>403</v>
      </c>
      <c r="B5978" s="17" t="s">
        <v>6971</v>
      </c>
      <c r="C5978" s="17" t="s">
        <v>7971</v>
      </c>
      <c r="D5978" s="17" t="s">
        <v>881</v>
      </c>
      <c r="E5978" s="18" t="s">
        <v>7972</v>
      </c>
      <c r="F5978" s="16" t="s">
        <v>7973</v>
      </c>
      <c r="G5978" s="16" t="s">
        <v>31</v>
      </c>
      <c r="H5978" s="19" t="s">
        <v>7974</v>
      </c>
      <c r="I5978" s="23" t="e">
        <f>VLOOKUP(H5978,'合同综合查询数据（3月返）'!$A:$A,1,FALSE)</f>
        <v>#N/A</v>
      </c>
      <c r="J5978" s="24" t="s">
        <v>33</v>
      </c>
      <c r="K5978" s="16" t="s">
        <v>7975</v>
      </c>
      <c r="L5978" s="25"/>
      <c r="M5978" s="26" t="s">
        <v>7929</v>
      </c>
      <c r="N5978" s="28">
        <v>44025</v>
      </c>
      <c r="O5978" s="28" t="s">
        <v>37</v>
      </c>
      <c r="P5978" s="29">
        <v>0</v>
      </c>
      <c r="Q5978" s="35">
        <v>-288</v>
      </c>
      <c r="R5978" s="36">
        <f t="shared" si="138"/>
        <v>0</v>
      </c>
      <c r="S5978" s="37">
        <v>202303</v>
      </c>
      <c r="T5978" s="38" t="s">
        <v>7977</v>
      </c>
      <c r="U5978" s="39"/>
      <c r="V5978" s="40"/>
      <c r="W5978" s="41"/>
      <c r="X5978" s="28">
        <v>44682</v>
      </c>
      <c r="Y5978" s="28">
        <v>45046</v>
      </c>
    </row>
    <row r="5979" s="9" customFormat="1" customHeight="1" spans="1:25">
      <c r="A5979" s="16" t="s">
        <v>403</v>
      </c>
      <c r="B5979" s="17" t="s">
        <v>6971</v>
      </c>
      <c r="C5979" s="17" t="s">
        <v>7971</v>
      </c>
      <c r="D5979" s="17" t="s">
        <v>881</v>
      </c>
      <c r="E5979" s="18" t="s">
        <v>7972</v>
      </c>
      <c r="F5979" s="16" t="s">
        <v>7973</v>
      </c>
      <c r="G5979" s="16" t="s">
        <v>31</v>
      </c>
      <c r="H5979" s="19" t="s">
        <v>7974</v>
      </c>
      <c r="I5979" s="23" t="e">
        <f>VLOOKUP(H5979,'合同综合查询数据（3月返）'!$A:$A,1,FALSE)</f>
        <v>#N/A</v>
      </c>
      <c r="J5979" s="24" t="s">
        <v>33</v>
      </c>
      <c r="K5979" s="16" t="s">
        <v>7978</v>
      </c>
      <c r="L5979" s="25"/>
      <c r="M5979" s="26" t="s">
        <v>7929</v>
      </c>
      <c r="N5979" s="28">
        <v>43453</v>
      </c>
      <c r="O5979" s="28" t="s">
        <v>37</v>
      </c>
      <c r="P5979" s="29">
        <v>0</v>
      </c>
      <c r="Q5979" s="35">
        <v>288</v>
      </c>
      <c r="R5979" s="36">
        <f t="shared" si="138"/>
        <v>0</v>
      </c>
      <c r="S5979" s="37">
        <v>202303</v>
      </c>
      <c r="T5979" s="38" t="s">
        <v>7979</v>
      </c>
      <c r="U5979" s="39"/>
      <c r="V5979" s="40"/>
      <c r="W5979" s="41"/>
      <c r="X5979" s="28">
        <v>44682</v>
      </c>
      <c r="Y5979" s="28">
        <v>45046</v>
      </c>
    </row>
    <row r="5980" s="9" customFormat="1" customHeight="1" spans="1:25">
      <c r="A5980" s="16" t="s">
        <v>403</v>
      </c>
      <c r="B5980" s="17" t="s">
        <v>6971</v>
      </c>
      <c r="C5980" s="17" t="s">
        <v>7971</v>
      </c>
      <c r="D5980" s="17" t="s">
        <v>881</v>
      </c>
      <c r="E5980" s="18" t="s">
        <v>7972</v>
      </c>
      <c r="F5980" s="16" t="s">
        <v>7973</v>
      </c>
      <c r="G5980" s="16" t="s">
        <v>31</v>
      </c>
      <c r="H5980" s="19" t="s">
        <v>7974</v>
      </c>
      <c r="I5980" s="23" t="e">
        <f>VLOOKUP(H5980,'合同综合查询数据（3月返）'!$A:$A,1,FALSE)</f>
        <v>#N/A</v>
      </c>
      <c r="J5980" s="24" t="s">
        <v>33</v>
      </c>
      <c r="K5980" s="16" t="s">
        <v>7978</v>
      </c>
      <c r="L5980" s="25"/>
      <c r="M5980" s="26" t="s">
        <v>7929</v>
      </c>
      <c r="N5980" s="28" t="s">
        <v>1225</v>
      </c>
      <c r="O5980" s="28" t="s">
        <v>37</v>
      </c>
      <c r="P5980" s="29">
        <v>0</v>
      </c>
      <c r="Q5980" s="35">
        <v>128</v>
      </c>
      <c r="R5980" s="36">
        <f t="shared" si="138"/>
        <v>0</v>
      </c>
      <c r="S5980" s="37">
        <v>202303</v>
      </c>
      <c r="T5980" s="38" t="s">
        <v>7980</v>
      </c>
      <c r="U5980" s="39"/>
      <c r="V5980" s="40"/>
      <c r="W5980" s="41"/>
      <c r="X5980" s="28">
        <v>44682</v>
      </c>
      <c r="Y5980" s="28">
        <v>45046</v>
      </c>
    </row>
    <row r="5981" s="9" customFormat="1" customHeight="1" spans="1:25">
      <c r="A5981" s="16" t="s">
        <v>403</v>
      </c>
      <c r="B5981" s="17" t="s">
        <v>6971</v>
      </c>
      <c r="C5981" s="17" t="s">
        <v>7971</v>
      </c>
      <c r="D5981" s="17" t="s">
        <v>881</v>
      </c>
      <c r="E5981" s="18" t="s">
        <v>7972</v>
      </c>
      <c r="F5981" s="16" t="s">
        <v>7973</v>
      </c>
      <c r="G5981" s="16" t="s">
        <v>88</v>
      </c>
      <c r="H5981" s="19" t="s">
        <v>7974</v>
      </c>
      <c r="I5981" s="23" t="e">
        <f>VLOOKUP(H5981,'合同综合查询数据（3月返）'!$A:$A,1,FALSE)</f>
        <v>#N/A</v>
      </c>
      <c r="J5981" s="24" t="s">
        <v>126</v>
      </c>
      <c r="K5981" s="16" t="s">
        <v>7978</v>
      </c>
      <c r="L5981" s="25"/>
      <c r="M5981" s="26" t="s">
        <v>7981</v>
      </c>
      <c r="N5981" s="28">
        <v>43453</v>
      </c>
      <c r="O5981" s="28" t="s">
        <v>92</v>
      </c>
      <c r="P5981" s="29">
        <v>4167</v>
      </c>
      <c r="Q5981" s="35">
        <v>5</v>
      </c>
      <c r="R5981" s="36">
        <f t="shared" si="138"/>
        <v>20835</v>
      </c>
      <c r="S5981" s="37">
        <v>202303</v>
      </c>
      <c r="T5981" s="38"/>
      <c r="U5981" s="39"/>
      <c r="V5981" s="40"/>
      <c r="W5981" s="41"/>
      <c r="X5981" s="28">
        <v>44682</v>
      </c>
      <c r="Y5981" s="28">
        <v>45046</v>
      </c>
    </row>
    <row r="5982" s="9" customFormat="1" customHeight="1" spans="1:25">
      <c r="A5982" s="16" t="s">
        <v>403</v>
      </c>
      <c r="B5982" s="17" t="s">
        <v>6971</v>
      </c>
      <c r="C5982" s="17" t="s">
        <v>7971</v>
      </c>
      <c r="D5982" s="17" t="s">
        <v>881</v>
      </c>
      <c r="E5982" s="18" t="s">
        <v>7972</v>
      </c>
      <c r="F5982" s="16" t="s">
        <v>7973</v>
      </c>
      <c r="G5982" s="16" t="s">
        <v>88</v>
      </c>
      <c r="H5982" s="19" t="s">
        <v>7974</v>
      </c>
      <c r="I5982" s="23" t="e">
        <f>VLOOKUP(H5982,'合同综合查询数据（3月返）'!$A:$A,1,FALSE)</f>
        <v>#N/A</v>
      </c>
      <c r="J5982" s="24" t="s">
        <v>126</v>
      </c>
      <c r="K5982" s="16" t="s">
        <v>7978</v>
      </c>
      <c r="L5982" s="25"/>
      <c r="M5982" s="26" t="s">
        <v>7981</v>
      </c>
      <c r="N5982" s="28">
        <v>43671</v>
      </c>
      <c r="O5982" s="28" t="s">
        <v>92</v>
      </c>
      <c r="P5982" s="29">
        <v>4167</v>
      </c>
      <c r="Q5982" s="35">
        <v>4</v>
      </c>
      <c r="R5982" s="36">
        <f t="shared" si="138"/>
        <v>16668</v>
      </c>
      <c r="S5982" s="37">
        <v>202303</v>
      </c>
      <c r="T5982" s="38" t="s">
        <v>7982</v>
      </c>
      <c r="U5982" s="39"/>
      <c r="V5982" s="40"/>
      <c r="W5982" s="41"/>
      <c r="X5982" s="28">
        <v>44682</v>
      </c>
      <c r="Y5982" s="28">
        <v>45046</v>
      </c>
    </row>
    <row r="5983" s="9" customFormat="1" customHeight="1" spans="1:25">
      <c r="A5983" s="16" t="s">
        <v>403</v>
      </c>
      <c r="B5983" s="17" t="s">
        <v>6971</v>
      </c>
      <c r="C5983" s="17" t="s">
        <v>7971</v>
      </c>
      <c r="D5983" s="17" t="s">
        <v>881</v>
      </c>
      <c r="E5983" s="18" t="s">
        <v>7972</v>
      </c>
      <c r="F5983" s="16" t="s">
        <v>7973</v>
      </c>
      <c r="G5983" s="16" t="s">
        <v>88</v>
      </c>
      <c r="H5983" s="19" t="s">
        <v>7974</v>
      </c>
      <c r="I5983" s="23" t="e">
        <f>VLOOKUP(H5983,'合同综合查询数据（3月返）'!$A:$A,1,FALSE)</f>
        <v>#N/A</v>
      </c>
      <c r="J5983" s="24" t="s">
        <v>126</v>
      </c>
      <c r="K5983" s="16" t="s">
        <v>7975</v>
      </c>
      <c r="L5983" s="25"/>
      <c r="M5983" s="26" t="s">
        <v>7981</v>
      </c>
      <c r="N5983" s="28">
        <v>44025</v>
      </c>
      <c r="O5983" s="28" t="s">
        <v>92</v>
      </c>
      <c r="P5983" s="29">
        <v>4167</v>
      </c>
      <c r="Q5983" s="35">
        <v>-1</v>
      </c>
      <c r="R5983" s="36">
        <f t="shared" si="138"/>
        <v>-4167</v>
      </c>
      <c r="S5983" s="37">
        <v>202303</v>
      </c>
      <c r="T5983" s="38" t="s">
        <v>7983</v>
      </c>
      <c r="U5983" s="39"/>
      <c r="V5983" s="40"/>
      <c r="W5983" s="41"/>
      <c r="X5983" s="28">
        <v>44682</v>
      </c>
      <c r="Y5983" s="28">
        <v>45046</v>
      </c>
    </row>
    <row r="5984" s="9" customFormat="1" customHeight="1" spans="1:25">
      <c r="A5984" s="16" t="s">
        <v>403</v>
      </c>
      <c r="B5984" s="17" t="s">
        <v>6971</v>
      </c>
      <c r="C5984" s="17" t="s">
        <v>7971</v>
      </c>
      <c r="D5984" s="17" t="s">
        <v>881</v>
      </c>
      <c r="E5984" s="18" t="s">
        <v>7972</v>
      </c>
      <c r="F5984" s="16" t="s">
        <v>7973</v>
      </c>
      <c r="G5984" s="16" t="s">
        <v>88</v>
      </c>
      <c r="H5984" s="19" t="s">
        <v>7974</v>
      </c>
      <c r="I5984" s="23" t="e">
        <f>VLOOKUP(H5984,'合同综合查询数据（3月返）'!$A:$A,1,FALSE)</f>
        <v>#N/A</v>
      </c>
      <c r="J5984" s="24" t="s">
        <v>126</v>
      </c>
      <c r="K5984" s="16" t="s">
        <v>7978</v>
      </c>
      <c r="L5984" s="25" t="s">
        <v>7984</v>
      </c>
      <c r="M5984" s="26" t="s">
        <v>7981</v>
      </c>
      <c r="N5984" s="28">
        <v>44894</v>
      </c>
      <c r="O5984" s="28" t="s">
        <v>92</v>
      </c>
      <c r="P5984" s="29">
        <v>4167</v>
      </c>
      <c r="Q5984" s="35">
        <v>-3</v>
      </c>
      <c r="R5984" s="36">
        <f t="shared" si="138"/>
        <v>-12501</v>
      </c>
      <c r="S5984" s="37">
        <v>202303</v>
      </c>
      <c r="T5984" s="38" t="s">
        <v>7985</v>
      </c>
      <c r="U5984" s="39"/>
      <c r="V5984" s="40"/>
      <c r="W5984" s="41"/>
      <c r="X5984" s="28">
        <v>44682</v>
      </c>
      <c r="Y5984" s="28">
        <v>45046</v>
      </c>
    </row>
    <row r="5985" s="10" customFormat="1" customHeight="1" spans="1:25">
      <c r="A5985" s="42" t="s">
        <v>403</v>
      </c>
      <c r="B5985" s="43" t="s">
        <v>6971</v>
      </c>
      <c r="C5985" s="43" t="s">
        <v>4500</v>
      </c>
      <c r="D5985" s="43" t="s">
        <v>566</v>
      </c>
      <c r="E5985" s="44" t="s">
        <v>7986</v>
      </c>
      <c r="F5985" s="42" t="s">
        <v>7987</v>
      </c>
      <c r="G5985" s="42" t="s">
        <v>88</v>
      </c>
      <c r="H5985" s="45" t="s">
        <v>7988</v>
      </c>
      <c r="I5985" s="47" t="e">
        <f>VLOOKUP(H5985,'合同综合查询数据（3月返）'!$A:$A,1,FALSE)</f>
        <v>#N/A</v>
      </c>
      <c r="J5985" s="48" t="s">
        <v>126</v>
      </c>
      <c r="K5985" s="42" t="s">
        <v>7989</v>
      </c>
      <c r="L5985" s="49"/>
      <c r="M5985" s="50" t="s">
        <v>7990</v>
      </c>
      <c r="N5985" s="51">
        <v>43491</v>
      </c>
      <c r="O5985" s="51" t="s">
        <v>624</v>
      </c>
      <c r="P5985" s="52">
        <v>4000</v>
      </c>
      <c r="Q5985" s="53">
        <v>9</v>
      </c>
      <c r="R5985" s="54">
        <f t="shared" si="138"/>
        <v>36000</v>
      </c>
      <c r="S5985" s="55">
        <v>202303</v>
      </c>
      <c r="T5985" s="56" t="s">
        <v>7991</v>
      </c>
      <c r="U5985" s="57"/>
      <c r="V5985" s="58"/>
      <c r="W5985" s="59"/>
      <c r="X5985" s="51">
        <v>44743</v>
      </c>
      <c r="Y5985" s="51"/>
    </row>
    <row r="5986" s="10" customFormat="1" customHeight="1" spans="1:25">
      <c r="A5986" s="42" t="s">
        <v>403</v>
      </c>
      <c r="B5986" s="43" t="s">
        <v>6971</v>
      </c>
      <c r="C5986" s="43" t="s">
        <v>4500</v>
      </c>
      <c r="D5986" s="43" t="s">
        <v>566</v>
      </c>
      <c r="E5986" s="44" t="s">
        <v>7986</v>
      </c>
      <c r="F5986" s="42" t="s">
        <v>7987</v>
      </c>
      <c r="G5986" s="42" t="s">
        <v>88</v>
      </c>
      <c r="H5986" s="45" t="s">
        <v>7988</v>
      </c>
      <c r="I5986" s="47" t="e">
        <f>VLOOKUP(H5986,'合同综合查询数据（3月返）'!$A:$A,1,FALSE)</f>
        <v>#N/A</v>
      </c>
      <c r="J5986" s="48" t="s">
        <v>126</v>
      </c>
      <c r="K5986" s="42" t="s">
        <v>7989</v>
      </c>
      <c r="L5986" s="49"/>
      <c r="M5986" s="50" t="s">
        <v>7990</v>
      </c>
      <c r="N5986" s="51">
        <v>44804</v>
      </c>
      <c r="O5986" s="51" t="s">
        <v>624</v>
      </c>
      <c r="P5986" s="52">
        <v>4000</v>
      </c>
      <c r="Q5986" s="53">
        <v>-6</v>
      </c>
      <c r="R5986" s="54">
        <f t="shared" si="138"/>
        <v>-24000</v>
      </c>
      <c r="S5986" s="55">
        <v>202303</v>
      </c>
      <c r="T5986" s="56" t="s">
        <v>7992</v>
      </c>
      <c r="U5986" s="57"/>
      <c r="V5986" s="58"/>
      <c r="W5986" s="59"/>
      <c r="X5986" s="51">
        <v>44743</v>
      </c>
      <c r="Y5986" s="51"/>
    </row>
    <row r="5987" s="10" customFormat="1" customHeight="1" spans="1:25">
      <c r="A5987" s="42" t="s">
        <v>403</v>
      </c>
      <c r="B5987" s="43" t="s">
        <v>6971</v>
      </c>
      <c r="C5987" s="43" t="s">
        <v>4500</v>
      </c>
      <c r="D5987" s="43" t="s">
        <v>566</v>
      </c>
      <c r="E5987" s="44" t="s">
        <v>7986</v>
      </c>
      <c r="F5987" s="42" t="s">
        <v>7987</v>
      </c>
      <c r="G5987" s="42" t="s">
        <v>88</v>
      </c>
      <c r="H5987" s="45" t="s">
        <v>7988</v>
      </c>
      <c r="I5987" s="47" t="e">
        <f>VLOOKUP(H5987,'合同综合查询数据（3月返）'!$A:$A,1,FALSE)</f>
        <v>#N/A</v>
      </c>
      <c r="J5987" s="48" t="s">
        <v>1033</v>
      </c>
      <c r="K5987" s="42" t="s">
        <v>7989</v>
      </c>
      <c r="L5987" s="49"/>
      <c r="M5987" s="50" t="s">
        <v>7990</v>
      </c>
      <c r="N5987" s="51" t="s">
        <v>1225</v>
      </c>
      <c r="O5987" s="51" t="s">
        <v>624</v>
      </c>
      <c r="P5987" s="52">
        <v>4000</v>
      </c>
      <c r="Q5987" s="53">
        <v>3</v>
      </c>
      <c r="R5987" s="54">
        <f t="shared" si="138"/>
        <v>12000</v>
      </c>
      <c r="S5987" s="55">
        <v>202303</v>
      </c>
      <c r="T5987" s="56" t="s">
        <v>7993</v>
      </c>
      <c r="U5987" s="57"/>
      <c r="V5987" s="58"/>
      <c r="W5987" s="59"/>
      <c r="X5987" s="51">
        <v>44743</v>
      </c>
      <c r="Y5987" s="51"/>
    </row>
    <row r="5988" s="10" customFormat="1" customHeight="1" spans="1:25">
      <c r="A5988" s="42" t="s">
        <v>403</v>
      </c>
      <c r="B5988" s="43" t="s">
        <v>6971</v>
      </c>
      <c r="C5988" s="43" t="s">
        <v>4500</v>
      </c>
      <c r="D5988" s="43" t="s">
        <v>566</v>
      </c>
      <c r="E5988" s="44" t="s">
        <v>7986</v>
      </c>
      <c r="F5988" s="42" t="s">
        <v>7987</v>
      </c>
      <c r="G5988" s="42" t="s">
        <v>88</v>
      </c>
      <c r="H5988" s="45" t="s">
        <v>7988</v>
      </c>
      <c r="I5988" s="47" t="e">
        <f>VLOOKUP(H5988,'合同综合查询数据（3月返）'!$A:$A,1,FALSE)</f>
        <v>#N/A</v>
      </c>
      <c r="J5988" s="48" t="s">
        <v>1033</v>
      </c>
      <c r="K5988" s="42" t="s">
        <v>7989</v>
      </c>
      <c r="L5988" s="49"/>
      <c r="M5988" s="50" t="s">
        <v>7990</v>
      </c>
      <c r="N5988" s="51">
        <v>44773</v>
      </c>
      <c r="O5988" s="51" t="s">
        <v>624</v>
      </c>
      <c r="P5988" s="52">
        <v>4000</v>
      </c>
      <c r="Q5988" s="53">
        <v>-3</v>
      </c>
      <c r="R5988" s="54">
        <f t="shared" si="138"/>
        <v>-12000</v>
      </c>
      <c r="S5988" s="55">
        <v>202303</v>
      </c>
      <c r="T5988" s="56" t="s">
        <v>7994</v>
      </c>
      <c r="U5988" s="57"/>
      <c r="V5988" s="58"/>
      <c r="W5988" s="59"/>
      <c r="X5988" s="51">
        <v>44743</v>
      </c>
      <c r="Y5988" s="51"/>
    </row>
    <row r="5989" s="10" customFormat="1" customHeight="1" spans="1:25">
      <c r="A5989" s="42" t="s">
        <v>403</v>
      </c>
      <c r="B5989" s="43" t="s">
        <v>6971</v>
      </c>
      <c r="C5989" s="43" t="s">
        <v>4500</v>
      </c>
      <c r="D5989" s="43" t="s">
        <v>566</v>
      </c>
      <c r="E5989" s="44" t="s">
        <v>7986</v>
      </c>
      <c r="F5989" s="42" t="s">
        <v>7987</v>
      </c>
      <c r="G5989" s="42" t="s">
        <v>88</v>
      </c>
      <c r="H5989" s="45" t="s">
        <v>7988</v>
      </c>
      <c r="I5989" s="47" t="e">
        <f>VLOOKUP(H5989,'合同综合查询数据（3月返）'!$A:$A,1,FALSE)</f>
        <v>#N/A</v>
      </c>
      <c r="J5989" s="48" t="s">
        <v>126</v>
      </c>
      <c r="K5989" s="42" t="s">
        <v>4885</v>
      </c>
      <c r="L5989" s="49" t="s">
        <v>7995</v>
      </c>
      <c r="M5989" s="50" t="s">
        <v>7996</v>
      </c>
      <c r="N5989" s="51">
        <v>43630</v>
      </c>
      <c r="O5989" s="51" t="s">
        <v>624</v>
      </c>
      <c r="P5989" s="52">
        <v>4000</v>
      </c>
      <c r="Q5989" s="53">
        <v>5</v>
      </c>
      <c r="R5989" s="54">
        <f t="shared" si="138"/>
        <v>20000</v>
      </c>
      <c r="S5989" s="55">
        <v>202303</v>
      </c>
      <c r="T5989" s="56" t="s">
        <v>7997</v>
      </c>
      <c r="U5989" s="57"/>
      <c r="V5989" s="58"/>
      <c r="W5989" s="59"/>
      <c r="X5989" s="51">
        <v>44743</v>
      </c>
      <c r="Y5989" s="51"/>
    </row>
    <row r="5990" s="10" customFormat="1" customHeight="1" spans="1:25">
      <c r="A5990" s="42" t="s">
        <v>403</v>
      </c>
      <c r="B5990" s="43" t="s">
        <v>6971</v>
      </c>
      <c r="C5990" s="43" t="s">
        <v>4500</v>
      </c>
      <c r="D5990" s="43" t="s">
        <v>566</v>
      </c>
      <c r="E5990" s="44" t="s">
        <v>7986</v>
      </c>
      <c r="F5990" s="42" t="s">
        <v>7987</v>
      </c>
      <c r="G5990" s="42" t="s">
        <v>31</v>
      </c>
      <c r="H5990" s="45" t="s">
        <v>7988</v>
      </c>
      <c r="I5990" s="47" t="e">
        <f>VLOOKUP(H5990,'合同综合查询数据（3月返）'!$A:$A,1,FALSE)</f>
        <v>#N/A</v>
      </c>
      <c r="J5990" s="48" t="s">
        <v>1019</v>
      </c>
      <c r="K5990" s="42" t="s">
        <v>7998</v>
      </c>
      <c r="L5990" s="49" t="s">
        <v>7999</v>
      </c>
      <c r="M5990" s="50" t="s">
        <v>7990</v>
      </c>
      <c r="N5990" s="51" t="s">
        <v>1225</v>
      </c>
      <c r="O5990" s="51" t="s">
        <v>37</v>
      </c>
      <c r="P5990" s="52">
        <v>0</v>
      </c>
      <c r="Q5990" s="53">
        <v>256</v>
      </c>
      <c r="R5990" s="54">
        <f t="shared" si="138"/>
        <v>0</v>
      </c>
      <c r="S5990" s="55">
        <v>202303</v>
      </c>
      <c r="T5990" s="56" t="s">
        <v>8000</v>
      </c>
      <c r="U5990" s="57"/>
      <c r="V5990" s="58"/>
      <c r="W5990" s="59"/>
      <c r="X5990" s="51">
        <v>44743</v>
      </c>
      <c r="Y5990" s="51"/>
    </row>
    <row r="5991" s="10" customFormat="1" customHeight="1" spans="1:25">
      <c r="A5991" s="42" t="s">
        <v>403</v>
      </c>
      <c r="B5991" s="43" t="s">
        <v>6971</v>
      </c>
      <c r="C5991" s="43" t="s">
        <v>4500</v>
      </c>
      <c r="D5991" s="43" t="s">
        <v>566</v>
      </c>
      <c r="E5991" s="44" t="s">
        <v>7986</v>
      </c>
      <c r="F5991" s="42" t="s">
        <v>7987</v>
      </c>
      <c r="G5991" s="42" t="s">
        <v>31</v>
      </c>
      <c r="H5991" s="45" t="s">
        <v>7988</v>
      </c>
      <c r="I5991" s="47" t="e">
        <f>VLOOKUP(H5991,'合同综合查询数据（3月返）'!$A:$A,1,FALSE)</f>
        <v>#N/A</v>
      </c>
      <c r="J5991" s="48" t="s">
        <v>1019</v>
      </c>
      <c r="K5991" s="42" t="s">
        <v>7998</v>
      </c>
      <c r="L5991" s="49" t="s">
        <v>7999</v>
      </c>
      <c r="M5991" s="50" t="s">
        <v>7990</v>
      </c>
      <c r="N5991" s="51">
        <v>44773</v>
      </c>
      <c r="O5991" s="51" t="s">
        <v>37</v>
      </c>
      <c r="P5991" s="52">
        <v>0</v>
      </c>
      <c r="Q5991" s="53">
        <v>-256</v>
      </c>
      <c r="R5991" s="54">
        <f t="shared" si="138"/>
        <v>0</v>
      </c>
      <c r="S5991" s="55">
        <v>202303</v>
      </c>
      <c r="T5991" s="56" t="s">
        <v>8001</v>
      </c>
      <c r="U5991" s="57"/>
      <c r="V5991" s="58"/>
      <c r="W5991" s="59"/>
      <c r="X5991" s="51">
        <v>44743</v>
      </c>
      <c r="Y5991" s="51"/>
    </row>
    <row r="5992" s="10" customFormat="1" customHeight="1" spans="1:25">
      <c r="A5992" s="42" t="s">
        <v>403</v>
      </c>
      <c r="B5992" s="43" t="s">
        <v>6971</v>
      </c>
      <c r="C5992" s="43" t="s">
        <v>4500</v>
      </c>
      <c r="D5992" s="43" t="s">
        <v>566</v>
      </c>
      <c r="E5992" s="44" t="s">
        <v>7986</v>
      </c>
      <c r="F5992" s="42" t="s">
        <v>7987</v>
      </c>
      <c r="G5992" s="42" t="s">
        <v>88</v>
      </c>
      <c r="H5992" s="45" t="s">
        <v>7988</v>
      </c>
      <c r="I5992" s="47" t="e">
        <f>VLOOKUP(H5992,'合同综合查询数据（3月返）'!$A:$A,1,FALSE)</f>
        <v>#N/A</v>
      </c>
      <c r="J5992" s="48" t="s">
        <v>126</v>
      </c>
      <c r="K5992" s="42" t="s">
        <v>4885</v>
      </c>
      <c r="L5992" s="49" t="s">
        <v>7995</v>
      </c>
      <c r="M5992" s="50" t="s">
        <v>7996</v>
      </c>
      <c r="N5992" s="51">
        <v>44189</v>
      </c>
      <c r="O5992" s="51" t="s">
        <v>624</v>
      </c>
      <c r="P5992" s="52">
        <v>4000</v>
      </c>
      <c r="Q5992" s="53">
        <v>-1</v>
      </c>
      <c r="R5992" s="54">
        <f t="shared" si="138"/>
        <v>-4000</v>
      </c>
      <c r="S5992" s="55">
        <v>202303</v>
      </c>
      <c r="T5992" s="56" t="s">
        <v>8002</v>
      </c>
      <c r="U5992" s="57"/>
      <c r="V5992" s="58"/>
      <c r="W5992" s="59"/>
      <c r="X5992" s="51">
        <v>44743</v>
      </c>
      <c r="Y5992" s="51"/>
    </row>
    <row r="5993" s="10" customFormat="1" customHeight="1" spans="1:25">
      <c r="A5993" s="42" t="s">
        <v>403</v>
      </c>
      <c r="B5993" s="43" t="s">
        <v>6971</v>
      </c>
      <c r="C5993" s="43" t="s">
        <v>4500</v>
      </c>
      <c r="D5993" s="43" t="s">
        <v>566</v>
      </c>
      <c r="E5993" s="44" t="s">
        <v>7986</v>
      </c>
      <c r="F5993" s="42" t="s">
        <v>7987</v>
      </c>
      <c r="G5993" s="42" t="s">
        <v>88</v>
      </c>
      <c r="H5993" s="45" t="s">
        <v>7988</v>
      </c>
      <c r="I5993" s="47" t="e">
        <f>VLOOKUP(H5993,'合同综合查询数据（3月返）'!$A:$A,1,FALSE)</f>
        <v>#N/A</v>
      </c>
      <c r="J5993" s="48" t="s">
        <v>126</v>
      </c>
      <c r="K5993" s="42" t="s">
        <v>4885</v>
      </c>
      <c r="L5993" s="49" t="s">
        <v>7995</v>
      </c>
      <c r="M5993" s="50" t="s">
        <v>7996</v>
      </c>
      <c r="N5993" s="51">
        <v>43990</v>
      </c>
      <c r="O5993" s="51" t="s">
        <v>624</v>
      </c>
      <c r="P5993" s="52">
        <v>4000</v>
      </c>
      <c r="Q5993" s="53">
        <v>1</v>
      </c>
      <c r="R5993" s="54">
        <f t="shared" si="138"/>
        <v>4000</v>
      </c>
      <c r="S5993" s="55">
        <v>202303</v>
      </c>
      <c r="T5993" s="56" t="s">
        <v>8003</v>
      </c>
      <c r="U5993" s="57"/>
      <c r="V5993" s="58"/>
      <c r="W5993" s="59"/>
      <c r="X5993" s="51">
        <v>44743</v>
      </c>
      <c r="Y5993" s="51"/>
    </row>
    <row r="5994" s="10" customFormat="1" customHeight="1" spans="1:25">
      <c r="A5994" s="42" t="s">
        <v>403</v>
      </c>
      <c r="B5994" s="43" t="s">
        <v>6971</v>
      </c>
      <c r="C5994" s="43" t="s">
        <v>4500</v>
      </c>
      <c r="D5994" s="43" t="s">
        <v>566</v>
      </c>
      <c r="E5994" s="44" t="s">
        <v>7986</v>
      </c>
      <c r="F5994" s="42" t="s">
        <v>7987</v>
      </c>
      <c r="G5994" s="42" t="s">
        <v>31</v>
      </c>
      <c r="H5994" s="45" t="s">
        <v>7988</v>
      </c>
      <c r="I5994" s="47" t="e">
        <f>VLOOKUP(H5994,'合同综合查询数据（3月返）'!$A:$A,1,FALSE)</f>
        <v>#N/A</v>
      </c>
      <c r="J5994" s="48" t="s">
        <v>33</v>
      </c>
      <c r="K5994" s="42" t="s">
        <v>5340</v>
      </c>
      <c r="L5994" s="49" t="s">
        <v>8004</v>
      </c>
      <c r="M5994" s="50" t="s">
        <v>7990</v>
      </c>
      <c r="N5994" s="51" t="s">
        <v>6928</v>
      </c>
      <c r="O5994" s="51" t="s">
        <v>37</v>
      </c>
      <c r="P5994" s="52">
        <v>0</v>
      </c>
      <c r="Q5994" s="53">
        <v>288</v>
      </c>
      <c r="R5994" s="54">
        <f t="shared" si="138"/>
        <v>0</v>
      </c>
      <c r="S5994" s="55">
        <v>202303</v>
      </c>
      <c r="T5994" s="56" t="s">
        <v>8005</v>
      </c>
      <c r="U5994" s="57"/>
      <c r="V5994" s="58"/>
      <c r="W5994" s="59"/>
      <c r="X5994" s="51">
        <v>44743</v>
      </c>
      <c r="Y5994" s="51"/>
    </row>
    <row r="5995" s="10" customFormat="1" customHeight="1" spans="1:25">
      <c r="A5995" s="42" t="s">
        <v>403</v>
      </c>
      <c r="B5995" s="43" t="s">
        <v>6971</v>
      </c>
      <c r="C5995" s="43" t="s">
        <v>4500</v>
      </c>
      <c r="D5995" s="43" t="s">
        <v>566</v>
      </c>
      <c r="E5995" s="44" t="s">
        <v>7986</v>
      </c>
      <c r="F5995" s="42" t="s">
        <v>7987</v>
      </c>
      <c r="G5995" s="42" t="s">
        <v>31</v>
      </c>
      <c r="H5995" s="45" t="s">
        <v>7988</v>
      </c>
      <c r="I5995" s="47" t="e">
        <f>VLOOKUP(H5995,'合同综合查询数据（3月返）'!$A:$A,1,FALSE)</f>
        <v>#N/A</v>
      </c>
      <c r="J5995" s="48" t="s">
        <v>33</v>
      </c>
      <c r="K5995" s="42" t="s">
        <v>5340</v>
      </c>
      <c r="L5995" s="49" t="s">
        <v>8004</v>
      </c>
      <c r="M5995" s="50" t="s">
        <v>7990</v>
      </c>
      <c r="N5995" s="51">
        <v>44804</v>
      </c>
      <c r="O5995" s="51" t="s">
        <v>37</v>
      </c>
      <c r="P5995" s="52">
        <v>0</v>
      </c>
      <c r="Q5995" s="53">
        <v>-128</v>
      </c>
      <c r="R5995" s="54">
        <f t="shared" si="138"/>
        <v>0</v>
      </c>
      <c r="S5995" s="55">
        <v>202303</v>
      </c>
      <c r="T5995" s="56" t="s">
        <v>8006</v>
      </c>
      <c r="U5995" s="57"/>
      <c r="V5995" s="58"/>
      <c r="W5995" s="59"/>
      <c r="X5995" s="51">
        <v>44743</v>
      </c>
      <c r="Y5995" s="51"/>
    </row>
    <row r="5996" s="10" customFormat="1" customHeight="1" spans="1:25">
      <c r="A5996" s="42" t="s">
        <v>403</v>
      </c>
      <c r="B5996" s="43" t="s">
        <v>6971</v>
      </c>
      <c r="C5996" s="43" t="s">
        <v>4500</v>
      </c>
      <c r="D5996" s="43" t="s">
        <v>566</v>
      </c>
      <c r="E5996" s="44" t="s">
        <v>7986</v>
      </c>
      <c r="F5996" s="42" t="s">
        <v>7987</v>
      </c>
      <c r="G5996" s="42" t="s">
        <v>31</v>
      </c>
      <c r="H5996" s="45" t="s">
        <v>7988</v>
      </c>
      <c r="I5996" s="47" t="e">
        <f>VLOOKUP(H5996,'合同综合查询数据（3月返）'!$A:$A,1,FALSE)</f>
        <v>#N/A</v>
      </c>
      <c r="J5996" s="48" t="s">
        <v>33</v>
      </c>
      <c r="K5996" s="42" t="s">
        <v>4885</v>
      </c>
      <c r="L5996" s="49" t="s">
        <v>7995</v>
      </c>
      <c r="M5996" s="50" t="s">
        <v>7996</v>
      </c>
      <c r="N5996" s="51">
        <v>43630</v>
      </c>
      <c r="O5996" s="51" t="s">
        <v>37</v>
      </c>
      <c r="P5996" s="52">
        <v>0</v>
      </c>
      <c r="Q5996" s="53">
        <v>288</v>
      </c>
      <c r="R5996" s="54">
        <f t="shared" si="138"/>
        <v>0</v>
      </c>
      <c r="S5996" s="55">
        <v>202303</v>
      </c>
      <c r="T5996" s="56" t="s">
        <v>8007</v>
      </c>
      <c r="U5996" s="57"/>
      <c r="V5996" s="58"/>
      <c r="W5996" s="59"/>
      <c r="X5996" s="51">
        <v>44743</v>
      </c>
      <c r="Y5996" s="51"/>
    </row>
    <row r="5997" s="10" customFormat="1" customHeight="1" spans="1:25">
      <c r="A5997" s="42" t="s">
        <v>403</v>
      </c>
      <c r="B5997" s="43" t="s">
        <v>6971</v>
      </c>
      <c r="C5997" s="43" t="s">
        <v>4500</v>
      </c>
      <c r="D5997" s="43" t="s">
        <v>566</v>
      </c>
      <c r="E5997" s="44" t="s">
        <v>7986</v>
      </c>
      <c r="F5997" s="42" t="s">
        <v>7987</v>
      </c>
      <c r="G5997" s="42" t="s">
        <v>31</v>
      </c>
      <c r="H5997" s="45" t="s">
        <v>7988</v>
      </c>
      <c r="I5997" s="47" t="e">
        <f>VLOOKUP(H5997,'合同综合查询数据（3月返）'!$A:$A,1,FALSE)</f>
        <v>#N/A</v>
      </c>
      <c r="J5997" s="48" t="s">
        <v>33</v>
      </c>
      <c r="K5997" s="42" t="s">
        <v>4885</v>
      </c>
      <c r="L5997" s="49" t="s">
        <v>7995</v>
      </c>
      <c r="M5997" s="50" t="s">
        <v>7996</v>
      </c>
      <c r="N5997" s="51">
        <v>43990</v>
      </c>
      <c r="O5997" s="51" t="s">
        <v>37</v>
      </c>
      <c r="P5997" s="52">
        <v>0</v>
      </c>
      <c r="Q5997" s="53">
        <v>128</v>
      </c>
      <c r="R5997" s="54">
        <f t="shared" si="138"/>
        <v>0</v>
      </c>
      <c r="S5997" s="55">
        <v>202303</v>
      </c>
      <c r="T5997" s="56" t="s">
        <v>8008</v>
      </c>
      <c r="U5997" s="57"/>
      <c r="V5997" s="58"/>
      <c r="W5997" s="59"/>
      <c r="X5997" s="51">
        <v>44743</v>
      </c>
      <c r="Y5997" s="51"/>
    </row>
    <row r="5998" s="10" customFormat="1" customHeight="1" spans="1:25">
      <c r="A5998" s="42" t="s">
        <v>403</v>
      </c>
      <c r="B5998" s="43" t="s">
        <v>6971</v>
      </c>
      <c r="C5998" s="43" t="s">
        <v>4500</v>
      </c>
      <c r="D5998" s="43" t="s">
        <v>566</v>
      </c>
      <c r="E5998" s="44" t="s">
        <v>7986</v>
      </c>
      <c r="F5998" s="42" t="s">
        <v>7987</v>
      </c>
      <c r="G5998" s="42" t="s">
        <v>88</v>
      </c>
      <c r="H5998" s="45" t="s">
        <v>7988</v>
      </c>
      <c r="I5998" s="47" t="e">
        <f>VLOOKUP(H5998,'合同综合查询数据（3月返）'!$A:$A,1,FALSE)</f>
        <v>#N/A</v>
      </c>
      <c r="J5998" s="48" t="s">
        <v>126</v>
      </c>
      <c r="K5998" s="42" t="s">
        <v>4885</v>
      </c>
      <c r="L5998" s="49" t="s">
        <v>7995</v>
      </c>
      <c r="M5998" s="50" t="s">
        <v>7996</v>
      </c>
      <c r="N5998" s="51">
        <v>44190</v>
      </c>
      <c r="O5998" s="51" t="s">
        <v>624</v>
      </c>
      <c r="P5998" s="52">
        <v>4000</v>
      </c>
      <c r="Q5998" s="53">
        <v>1</v>
      </c>
      <c r="R5998" s="54">
        <f t="shared" si="138"/>
        <v>4000</v>
      </c>
      <c r="S5998" s="55">
        <v>202303</v>
      </c>
      <c r="T5998" s="56" t="s">
        <v>8009</v>
      </c>
      <c r="U5998" s="57"/>
      <c r="V5998" s="58"/>
      <c r="W5998" s="59"/>
      <c r="X5998" s="51">
        <v>44743</v>
      </c>
      <c r="Y5998" s="51"/>
    </row>
    <row r="5999" s="10" customFormat="1" customHeight="1" spans="1:25">
      <c r="A5999" s="42" t="s">
        <v>403</v>
      </c>
      <c r="B5999" s="43" t="s">
        <v>6971</v>
      </c>
      <c r="C5999" s="43" t="s">
        <v>4500</v>
      </c>
      <c r="D5999" s="43" t="s">
        <v>566</v>
      </c>
      <c r="E5999" s="44" t="s">
        <v>7986</v>
      </c>
      <c r="F5999" s="42" t="s">
        <v>7987</v>
      </c>
      <c r="G5999" s="42" t="s">
        <v>31</v>
      </c>
      <c r="H5999" s="45" t="s">
        <v>7988</v>
      </c>
      <c r="I5999" s="47" t="e">
        <f>VLOOKUP(H5999,'合同综合查询数据（3月返）'!$A:$A,1,FALSE)</f>
        <v>#N/A</v>
      </c>
      <c r="J5999" s="48" t="s">
        <v>33</v>
      </c>
      <c r="K5999" s="42" t="s">
        <v>4885</v>
      </c>
      <c r="L5999" s="49" t="s">
        <v>7995</v>
      </c>
      <c r="M5999" s="50" t="s">
        <v>7996</v>
      </c>
      <c r="N5999" s="51">
        <v>44175</v>
      </c>
      <c r="O5999" s="51" t="s">
        <v>37</v>
      </c>
      <c r="P5999" s="52">
        <v>0</v>
      </c>
      <c r="Q5999" s="53">
        <v>128</v>
      </c>
      <c r="R5999" s="54">
        <f t="shared" si="138"/>
        <v>0</v>
      </c>
      <c r="S5999" s="55">
        <v>202303</v>
      </c>
      <c r="T5999" s="56" t="s">
        <v>8010</v>
      </c>
      <c r="U5999" s="57"/>
      <c r="V5999" s="58"/>
      <c r="W5999" s="59"/>
      <c r="X5999" s="51">
        <v>44743</v>
      </c>
      <c r="Y5999" s="51"/>
    </row>
    <row r="6000" s="10" customFormat="1" customHeight="1" spans="1:25">
      <c r="A6000" s="42" t="s">
        <v>403</v>
      </c>
      <c r="B6000" s="43" t="s">
        <v>6971</v>
      </c>
      <c r="C6000" s="43" t="s">
        <v>4500</v>
      </c>
      <c r="D6000" s="43" t="s">
        <v>566</v>
      </c>
      <c r="E6000" s="44" t="s">
        <v>7986</v>
      </c>
      <c r="F6000" s="42" t="s">
        <v>7987</v>
      </c>
      <c r="G6000" s="42" t="s">
        <v>88</v>
      </c>
      <c r="H6000" s="45" t="s">
        <v>7988</v>
      </c>
      <c r="I6000" s="47" t="e">
        <f>VLOOKUP(H6000,'合同综合查询数据（3月返）'!$A:$A,1,FALSE)</f>
        <v>#N/A</v>
      </c>
      <c r="J6000" s="48" t="s">
        <v>126</v>
      </c>
      <c r="K6000" s="42" t="s">
        <v>4885</v>
      </c>
      <c r="L6000" s="49" t="s">
        <v>7995</v>
      </c>
      <c r="M6000" s="50" t="s">
        <v>7996</v>
      </c>
      <c r="N6000" s="51">
        <v>44311</v>
      </c>
      <c r="O6000" s="51" t="s">
        <v>624</v>
      </c>
      <c r="P6000" s="52">
        <v>4000</v>
      </c>
      <c r="Q6000" s="53">
        <v>1</v>
      </c>
      <c r="R6000" s="54">
        <f t="shared" si="138"/>
        <v>4000</v>
      </c>
      <c r="S6000" s="55">
        <v>202303</v>
      </c>
      <c r="T6000" s="56" t="s">
        <v>8011</v>
      </c>
      <c r="U6000" s="57"/>
      <c r="V6000" s="58"/>
      <c r="W6000" s="59"/>
      <c r="X6000" s="51">
        <v>44743</v>
      </c>
      <c r="Y6000" s="51"/>
    </row>
    <row r="6001" s="10" customFormat="1" customHeight="1" spans="1:25">
      <c r="A6001" s="42" t="s">
        <v>403</v>
      </c>
      <c r="B6001" s="43" t="s">
        <v>6971</v>
      </c>
      <c r="C6001" s="43" t="s">
        <v>4500</v>
      </c>
      <c r="D6001" s="43" t="s">
        <v>566</v>
      </c>
      <c r="E6001" s="44" t="s">
        <v>7986</v>
      </c>
      <c r="F6001" s="42" t="s">
        <v>7987</v>
      </c>
      <c r="G6001" s="42" t="s">
        <v>88</v>
      </c>
      <c r="H6001" s="45" t="s">
        <v>7988</v>
      </c>
      <c r="I6001" s="47" t="e">
        <f>VLOOKUP(H6001,'合同综合查询数据（3月返）'!$A:$A,1,FALSE)</f>
        <v>#N/A</v>
      </c>
      <c r="J6001" s="48" t="s">
        <v>126</v>
      </c>
      <c r="K6001" s="42" t="s">
        <v>4885</v>
      </c>
      <c r="L6001" s="49" t="s">
        <v>7995</v>
      </c>
      <c r="M6001" s="50" t="s">
        <v>7996</v>
      </c>
      <c r="N6001" s="51">
        <v>44343</v>
      </c>
      <c r="O6001" s="51" t="s">
        <v>624</v>
      </c>
      <c r="P6001" s="52">
        <v>4000</v>
      </c>
      <c r="Q6001" s="53">
        <v>2</v>
      </c>
      <c r="R6001" s="54">
        <f>ROUND(Q6001*P6001,2)</f>
        <v>8000</v>
      </c>
      <c r="S6001" s="55">
        <v>202303</v>
      </c>
      <c r="T6001" s="56" t="s">
        <v>8012</v>
      </c>
      <c r="U6001" s="57"/>
      <c r="V6001" s="58"/>
      <c r="W6001" s="59"/>
      <c r="X6001" s="51">
        <v>44743</v>
      </c>
      <c r="Y6001" s="51"/>
    </row>
    <row r="6002" s="10" customFormat="1" customHeight="1" spans="1:25">
      <c r="A6002" s="42" t="s">
        <v>403</v>
      </c>
      <c r="B6002" s="43" t="s">
        <v>6971</v>
      </c>
      <c r="C6002" s="43" t="s">
        <v>4500</v>
      </c>
      <c r="D6002" s="43" t="s">
        <v>566</v>
      </c>
      <c r="E6002" s="44" t="s">
        <v>7986</v>
      </c>
      <c r="F6002" s="42" t="s">
        <v>7987</v>
      </c>
      <c r="G6002" s="42" t="s">
        <v>88</v>
      </c>
      <c r="H6002" s="45" t="s">
        <v>7988</v>
      </c>
      <c r="I6002" s="47" t="e">
        <f>VLOOKUP(H6002,'合同综合查询数据（3月返）'!$A:$A,1,FALSE)</f>
        <v>#N/A</v>
      </c>
      <c r="J6002" s="48" t="s">
        <v>126</v>
      </c>
      <c r="K6002" s="42" t="s">
        <v>4885</v>
      </c>
      <c r="L6002" s="49" t="s">
        <v>7995</v>
      </c>
      <c r="M6002" s="50" t="s">
        <v>7996</v>
      </c>
      <c r="N6002" s="51">
        <v>44681</v>
      </c>
      <c r="O6002" s="51" t="s">
        <v>624</v>
      </c>
      <c r="P6002" s="52">
        <v>4000</v>
      </c>
      <c r="Q6002" s="53">
        <v>-3</v>
      </c>
      <c r="R6002" s="54">
        <f>ROUND(Q6002*P6002,2)</f>
        <v>-12000</v>
      </c>
      <c r="S6002" s="55">
        <v>202303</v>
      </c>
      <c r="T6002" s="56" t="s">
        <v>8013</v>
      </c>
      <c r="U6002" s="57"/>
      <c r="V6002" s="58"/>
      <c r="W6002" s="59"/>
      <c r="X6002" s="51">
        <v>44743</v>
      </c>
      <c r="Y6002" s="51"/>
    </row>
    <row r="6003" s="10" customFormat="1" customHeight="1" spans="1:25">
      <c r="A6003" s="42" t="s">
        <v>403</v>
      </c>
      <c r="B6003" s="43" t="s">
        <v>6971</v>
      </c>
      <c r="C6003" s="43" t="s">
        <v>4500</v>
      </c>
      <c r="D6003" s="43" t="s">
        <v>566</v>
      </c>
      <c r="E6003" s="44" t="s">
        <v>7986</v>
      </c>
      <c r="F6003" s="42" t="s">
        <v>7987</v>
      </c>
      <c r="G6003" s="42" t="s">
        <v>31</v>
      </c>
      <c r="H6003" s="45" t="s">
        <v>7988</v>
      </c>
      <c r="I6003" s="47" t="e">
        <f>VLOOKUP(H6003,'合同综合查询数据（3月返）'!$A:$A,1,FALSE)</f>
        <v>#N/A</v>
      </c>
      <c r="J6003" s="48" t="s">
        <v>33</v>
      </c>
      <c r="K6003" s="42" t="s">
        <v>4885</v>
      </c>
      <c r="L6003" s="49" t="s">
        <v>7995</v>
      </c>
      <c r="M6003" s="50" t="s">
        <v>7996</v>
      </c>
      <c r="N6003" s="51">
        <v>44343</v>
      </c>
      <c r="O6003" s="51" t="s">
        <v>37</v>
      </c>
      <c r="P6003" s="52">
        <v>0</v>
      </c>
      <c r="Q6003" s="53">
        <v>128</v>
      </c>
      <c r="R6003" s="54">
        <f>ROUND(Q6003*P6003,2)</f>
        <v>0</v>
      </c>
      <c r="S6003" s="55">
        <v>202303</v>
      </c>
      <c r="T6003" s="56" t="s">
        <v>8014</v>
      </c>
      <c r="U6003" s="57"/>
      <c r="V6003" s="58"/>
      <c r="W6003" s="59"/>
      <c r="X6003" s="51">
        <v>44743</v>
      </c>
      <c r="Y6003" s="51"/>
    </row>
    <row r="6004" s="10" customFormat="1" customHeight="1" spans="1:25">
      <c r="A6004" s="42" t="s">
        <v>401</v>
      </c>
      <c r="B6004" s="43" t="s">
        <v>6971</v>
      </c>
      <c r="C6004" s="43" t="s">
        <v>27</v>
      </c>
      <c r="D6004" s="43" t="s">
        <v>881</v>
      </c>
      <c r="E6004" s="44" t="s">
        <v>8015</v>
      </c>
      <c r="F6004" s="42" t="s">
        <v>8016</v>
      </c>
      <c r="G6004" s="42" t="s">
        <v>88</v>
      </c>
      <c r="H6004" s="45" t="s">
        <v>8017</v>
      </c>
      <c r="I6004" s="47" t="e">
        <f>VLOOKUP(H6004,'合同综合查询数据（3月返）'!$A:$A,1,FALSE)</f>
        <v>#N/A</v>
      </c>
      <c r="J6004" s="48" t="s">
        <v>126</v>
      </c>
      <c r="K6004" s="42" t="s">
        <v>34</v>
      </c>
      <c r="L6004" s="49"/>
      <c r="M6004" s="50" t="s">
        <v>8018</v>
      </c>
      <c r="N6004" s="51">
        <v>43739</v>
      </c>
      <c r="O6004" s="51" t="s">
        <v>1424</v>
      </c>
      <c r="P6004" s="52">
        <v>4000</v>
      </c>
      <c r="Q6004" s="53">
        <v>1</v>
      </c>
      <c r="R6004" s="54">
        <f>ROUND(P6004*Q6004,2)</f>
        <v>4000</v>
      </c>
      <c r="S6004" s="55">
        <v>202303</v>
      </c>
      <c r="T6004" s="56" t="s">
        <v>8019</v>
      </c>
      <c r="U6004" s="57"/>
      <c r="V6004" s="58"/>
      <c r="W6004" s="59"/>
      <c r="X6004" s="51"/>
      <c r="Y6004" s="51"/>
    </row>
    <row r="6005" s="10" customFormat="1" customHeight="1" spans="1:25">
      <c r="A6005" s="42" t="s">
        <v>401</v>
      </c>
      <c r="B6005" s="43" t="s">
        <v>6971</v>
      </c>
      <c r="C6005" s="43" t="s">
        <v>27</v>
      </c>
      <c r="D6005" s="43" t="s">
        <v>881</v>
      </c>
      <c r="E6005" s="44" t="s">
        <v>8015</v>
      </c>
      <c r="F6005" s="42" t="s">
        <v>8016</v>
      </c>
      <c r="G6005" s="42" t="s">
        <v>88</v>
      </c>
      <c r="H6005" s="45" t="s">
        <v>8017</v>
      </c>
      <c r="I6005" s="47" t="e">
        <f>VLOOKUP(H6005,'合同综合查询数据（3月返）'!$A:$A,1,FALSE)</f>
        <v>#N/A</v>
      </c>
      <c r="J6005" s="48" t="s">
        <v>126</v>
      </c>
      <c r="K6005" s="42" t="s">
        <v>8020</v>
      </c>
      <c r="L6005" s="49"/>
      <c r="M6005" s="50" t="s">
        <v>8018</v>
      </c>
      <c r="N6005" s="51"/>
      <c r="O6005" s="51" t="s">
        <v>1424</v>
      </c>
      <c r="P6005" s="52">
        <v>0</v>
      </c>
      <c r="Q6005" s="53">
        <v>4</v>
      </c>
      <c r="R6005" s="54">
        <f>ROUND(P6005*Q6005,2)</f>
        <v>0</v>
      </c>
      <c r="S6005" s="55">
        <v>202303</v>
      </c>
      <c r="T6005" s="56" t="s">
        <v>8021</v>
      </c>
      <c r="U6005" s="57"/>
      <c r="V6005" s="58"/>
      <c r="W6005" s="59"/>
      <c r="X6005" s="51"/>
      <c r="Y6005" s="51"/>
    </row>
    <row r="6006" s="10" customFormat="1" customHeight="1" spans="1:25">
      <c r="A6006" s="42" t="s">
        <v>401</v>
      </c>
      <c r="B6006" s="43" t="s">
        <v>6971</v>
      </c>
      <c r="C6006" s="43" t="s">
        <v>27</v>
      </c>
      <c r="D6006" s="43" t="s">
        <v>881</v>
      </c>
      <c r="E6006" s="44" t="s">
        <v>8015</v>
      </c>
      <c r="F6006" s="42" t="s">
        <v>8016</v>
      </c>
      <c r="G6006" s="42" t="s">
        <v>31</v>
      </c>
      <c r="H6006" s="45" t="s">
        <v>8017</v>
      </c>
      <c r="I6006" s="47" t="e">
        <f>VLOOKUP(H6006,'合同综合查询数据（3月返）'!$A:$A,1,FALSE)</f>
        <v>#N/A</v>
      </c>
      <c r="J6006" s="48" t="s">
        <v>33</v>
      </c>
      <c r="K6006" s="42" t="s">
        <v>34</v>
      </c>
      <c r="L6006" s="49"/>
      <c r="M6006" s="50" t="s">
        <v>8018</v>
      </c>
      <c r="N6006" s="51"/>
      <c r="O6006" s="51" t="s">
        <v>37</v>
      </c>
      <c r="P6006" s="52">
        <v>0</v>
      </c>
      <c r="Q6006" s="53">
        <v>320</v>
      </c>
      <c r="R6006" s="54">
        <f>ROUND(P6006*Q6006,2)</f>
        <v>0</v>
      </c>
      <c r="S6006" s="55">
        <v>202303</v>
      </c>
      <c r="T6006" s="56" t="s">
        <v>8022</v>
      </c>
      <c r="U6006" s="57"/>
      <c r="V6006" s="58"/>
      <c r="W6006" s="59"/>
      <c r="X6006" s="51"/>
      <c r="Y6006" s="51"/>
    </row>
    <row r="6007" s="10" customFormat="1" customHeight="1" spans="1:25">
      <c r="A6007" s="42" t="s">
        <v>401</v>
      </c>
      <c r="B6007" s="43" t="s">
        <v>6971</v>
      </c>
      <c r="C6007" s="43" t="s">
        <v>27</v>
      </c>
      <c r="D6007" s="43" t="s">
        <v>881</v>
      </c>
      <c r="E6007" s="44" t="s">
        <v>8015</v>
      </c>
      <c r="F6007" s="42" t="s">
        <v>8016</v>
      </c>
      <c r="G6007" s="42" t="s">
        <v>31</v>
      </c>
      <c r="H6007" s="45" t="s">
        <v>8017</v>
      </c>
      <c r="I6007" s="47" t="e">
        <f>VLOOKUP(H6007,'合同综合查询数据（3月返）'!$A:$A,1,FALSE)</f>
        <v>#N/A</v>
      </c>
      <c r="J6007" s="48" t="s">
        <v>33</v>
      </c>
      <c r="K6007" s="42" t="s">
        <v>34</v>
      </c>
      <c r="L6007" s="49"/>
      <c r="M6007" s="50" t="s">
        <v>7929</v>
      </c>
      <c r="N6007" s="51"/>
      <c r="O6007" s="51" t="s">
        <v>152</v>
      </c>
      <c r="P6007" s="52">
        <v>0</v>
      </c>
      <c r="Q6007" s="53">
        <v>2</v>
      </c>
      <c r="R6007" s="54">
        <f>ROUND(P6007*Q6007,2)</f>
        <v>0</v>
      </c>
      <c r="S6007" s="55">
        <v>202303</v>
      </c>
      <c r="T6007" s="56" t="s">
        <v>8023</v>
      </c>
      <c r="U6007" s="57"/>
      <c r="V6007" s="58"/>
      <c r="W6007" s="59"/>
      <c r="X6007" s="51"/>
      <c r="Y6007" s="51"/>
    </row>
    <row r="6008" s="10" customFormat="1" customHeight="1" spans="1:25">
      <c r="A6008" s="42" t="s">
        <v>401</v>
      </c>
      <c r="B6008" s="43" t="s">
        <v>6971</v>
      </c>
      <c r="C6008" s="43" t="s">
        <v>27</v>
      </c>
      <c r="D6008" s="43" t="s">
        <v>881</v>
      </c>
      <c r="E6008" s="44" t="s">
        <v>8015</v>
      </c>
      <c r="F6008" s="42" t="s">
        <v>8016</v>
      </c>
      <c r="G6008" s="42" t="s">
        <v>88</v>
      </c>
      <c r="H6008" s="45" t="s">
        <v>8017</v>
      </c>
      <c r="I6008" s="47" t="e">
        <f>VLOOKUP(H6008,'合同综合查询数据（3月返）'!$A:$A,1,FALSE)</f>
        <v>#N/A</v>
      </c>
      <c r="J6008" s="48" t="s">
        <v>126</v>
      </c>
      <c r="K6008" s="42" t="s">
        <v>8024</v>
      </c>
      <c r="L6008" s="49" t="s">
        <v>8025</v>
      </c>
      <c r="M6008" s="50" t="s">
        <v>8018</v>
      </c>
      <c r="N6008" s="51">
        <v>44335</v>
      </c>
      <c r="O6008" s="51" t="s">
        <v>457</v>
      </c>
      <c r="P6008" s="52">
        <v>0</v>
      </c>
      <c r="Q6008" s="53">
        <v>1</v>
      </c>
      <c r="R6008" s="54">
        <f t="shared" ref="R6008:R6013" si="139">ROUND(Q6008*P6008,2)</f>
        <v>0</v>
      </c>
      <c r="S6008" s="55">
        <v>202303</v>
      </c>
      <c r="T6008" s="56" t="s">
        <v>8026</v>
      </c>
      <c r="U6008" s="57"/>
      <c r="V6008" s="58"/>
      <c r="W6008" s="59"/>
      <c r="X6008" s="51"/>
      <c r="Y6008" s="51"/>
    </row>
    <row r="6009" s="10" customFormat="1" customHeight="1" spans="1:25">
      <c r="A6009" s="42" t="s">
        <v>401</v>
      </c>
      <c r="B6009" s="43" t="s">
        <v>6971</v>
      </c>
      <c r="C6009" s="43" t="s">
        <v>27</v>
      </c>
      <c r="D6009" s="43" t="s">
        <v>881</v>
      </c>
      <c r="E6009" s="44" t="s">
        <v>8015</v>
      </c>
      <c r="F6009" s="42" t="s">
        <v>8016</v>
      </c>
      <c r="G6009" s="42" t="s">
        <v>88</v>
      </c>
      <c r="H6009" s="45" t="s">
        <v>8017</v>
      </c>
      <c r="I6009" s="47" t="e">
        <f>VLOOKUP(H6009,'合同综合查询数据（3月返）'!$A:$A,1,FALSE)</f>
        <v>#N/A</v>
      </c>
      <c r="J6009" s="48" t="s">
        <v>126</v>
      </c>
      <c r="K6009" s="42" t="s">
        <v>8024</v>
      </c>
      <c r="L6009" s="49" t="s">
        <v>8025</v>
      </c>
      <c r="M6009" s="50" t="s">
        <v>8018</v>
      </c>
      <c r="N6009" s="51">
        <v>44335</v>
      </c>
      <c r="O6009" s="51" t="s">
        <v>457</v>
      </c>
      <c r="P6009" s="52">
        <v>4000</v>
      </c>
      <c r="Q6009" s="53">
        <v>1</v>
      </c>
      <c r="R6009" s="54">
        <f t="shared" si="139"/>
        <v>4000</v>
      </c>
      <c r="S6009" s="55">
        <v>202303</v>
      </c>
      <c r="T6009" s="56" t="s">
        <v>8026</v>
      </c>
      <c r="U6009" s="57"/>
      <c r="V6009" s="58"/>
      <c r="W6009" s="59"/>
      <c r="X6009" s="51"/>
      <c r="Y6009" s="51"/>
    </row>
    <row r="6010" s="10" customFormat="1" customHeight="1" spans="1:25">
      <c r="A6010" s="42" t="s">
        <v>401</v>
      </c>
      <c r="B6010" s="43" t="s">
        <v>6971</v>
      </c>
      <c r="C6010" s="43" t="s">
        <v>27</v>
      </c>
      <c r="D6010" s="43" t="s">
        <v>881</v>
      </c>
      <c r="E6010" s="44" t="s">
        <v>8015</v>
      </c>
      <c r="F6010" s="42" t="s">
        <v>8016</v>
      </c>
      <c r="G6010" s="42" t="s">
        <v>88</v>
      </c>
      <c r="H6010" s="45" t="s">
        <v>8027</v>
      </c>
      <c r="I6010" s="47" t="e">
        <f>VLOOKUP(H6010,'合同综合查询数据（3月返）'!$A:$A,1,FALSE)</f>
        <v>#N/A</v>
      </c>
      <c r="J6010" s="48" t="s">
        <v>126</v>
      </c>
      <c r="K6010" s="42" t="s">
        <v>8024</v>
      </c>
      <c r="L6010" s="49" t="s">
        <v>8025</v>
      </c>
      <c r="M6010" s="50" t="s">
        <v>8018</v>
      </c>
      <c r="N6010" s="51">
        <v>44713</v>
      </c>
      <c r="O6010" s="51" t="s">
        <v>457</v>
      </c>
      <c r="P6010" s="52">
        <v>4000</v>
      </c>
      <c r="Q6010" s="53">
        <v>1</v>
      </c>
      <c r="R6010" s="54">
        <f t="shared" si="139"/>
        <v>4000</v>
      </c>
      <c r="S6010" s="55">
        <v>202303</v>
      </c>
      <c r="T6010" s="56" t="s">
        <v>8028</v>
      </c>
      <c r="U6010" s="57"/>
      <c r="V6010" s="58"/>
      <c r="W6010" s="59"/>
      <c r="X6010" s="51"/>
      <c r="Y6010" s="51"/>
    </row>
    <row r="6011" s="10" customFormat="1" customHeight="1" spans="1:25">
      <c r="A6011" s="42" t="s">
        <v>401</v>
      </c>
      <c r="B6011" s="43" t="s">
        <v>6971</v>
      </c>
      <c r="C6011" s="43" t="s">
        <v>27</v>
      </c>
      <c r="D6011" s="43" t="s">
        <v>881</v>
      </c>
      <c r="E6011" s="44" t="s">
        <v>8015</v>
      </c>
      <c r="F6011" s="42" t="s">
        <v>8016</v>
      </c>
      <c r="G6011" s="42" t="s">
        <v>31</v>
      </c>
      <c r="H6011" s="45" t="s">
        <v>8027</v>
      </c>
      <c r="I6011" s="47" t="e">
        <f>VLOOKUP(H6011,'合同综合查询数据（3月返）'!$A:$A,1,FALSE)</f>
        <v>#N/A</v>
      </c>
      <c r="J6011" s="48" t="s">
        <v>33</v>
      </c>
      <c r="K6011" s="42" t="s">
        <v>8024</v>
      </c>
      <c r="L6011" s="49" t="s">
        <v>8025</v>
      </c>
      <c r="M6011" s="50" t="s">
        <v>8018</v>
      </c>
      <c r="N6011" s="51">
        <v>44335</v>
      </c>
      <c r="O6011" s="51" t="s">
        <v>37</v>
      </c>
      <c r="P6011" s="52">
        <v>0</v>
      </c>
      <c r="Q6011" s="53">
        <v>128</v>
      </c>
      <c r="R6011" s="54">
        <f t="shared" si="139"/>
        <v>0</v>
      </c>
      <c r="S6011" s="55">
        <v>202303</v>
      </c>
      <c r="T6011" s="56" t="s">
        <v>8029</v>
      </c>
      <c r="U6011" s="57"/>
      <c r="V6011" s="58"/>
      <c r="W6011" s="59"/>
      <c r="X6011" s="51"/>
      <c r="Y6011" s="51"/>
    </row>
    <row r="6012" s="10" customFormat="1" customHeight="1" spans="1:25">
      <c r="A6012" s="42" t="s">
        <v>401</v>
      </c>
      <c r="B6012" s="43" t="s">
        <v>6971</v>
      </c>
      <c r="C6012" s="43" t="s">
        <v>27</v>
      </c>
      <c r="D6012" s="43" t="s">
        <v>881</v>
      </c>
      <c r="E6012" s="44" t="s">
        <v>8015</v>
      </c>
      <c r="F6012" s="42" t="s">
        <v>8016</v>
      </c>
      <c r="G6012" s="42" t="s">
        <v>31</v>
      </c>
      <c r="H6012" s="45" t="s">
        <v>8017</v>
      </c>
      <c r="I6012" s="47" t="e">
        <f>VLOOKUP(H6012,'合同综合查询数据（3月返）'!$A:$A,1,FALSE)</f>
        <v>#N/A</v>
      </c>
      <c r="J6012" s="48" t="s">
        <v>33</v>
      </c>
      <c r="K6012" s="42" t="s">
        <v>8024</v>
      </c>
      <c r="L6012" s="49" t="s">
        <v>8025</v>
      </c>
      <c r="M6012" s="50" t="s">
        <v>8018</v>
      </c>
      <c r="N6012" s="51">
        <v>44409</v>
      </c>
      <c r="O6012" s="51" t="s">
        <v>37</v>
      </c>
      <c r="P6012" s="52">
        <v>17.5</v>
      </c>
      <c r="Q6012" s="53">
        <v>128</v>
      </c>
      <c r="R6012" s="54">
        <f t="shared" si="139"/>
        <v>2240</v>
      </c>
      <c r="S6012" s="55">
        <v>202303</v>
      </c>
      <c r="T6012" s="56" t="s">
        <v>8030</v>
      </c>
      <c r="U6012" s="57"/>
      <c r="V6012" s="58"/>
      <c r="W6012" s="59"/>
      <c r="X6012" s="51"/>
      <c r="Y6012" s="51"/>
    </row>
    <row r="6013" s="10" customFormat="1" customHeight="1" spans="1:25">
      <c r="A6013" s="42" t="s">
        <v>401</v>
      </c>
      <c r="B6013" s="43" t="s">
        <v>6971</v>
      </c>
      <c r="C6013" s="43" t="s">
        <v>27</v>
      </c>
      <c r="D6013" s="43" t="s">
        <v>881</v>
      </c>
      <c r="E6013" s="44" t="s">
        <v>8015</v>
      </c>
      <c r="F6013" s="42" t="s">
        <v>8016</v>
      </c>
      <c r="G6013" s="42" t="s">
        <v>31</v>
      </c>
      <c r="H6013" s="45" t="s">
        <v>8017</v>
      </c>
      <c r="I6013" s="47" t="e">
        <f>VLOOKUP(H6013,'合同综合查询数据（3月返）'!$A:$A,1,FALSE)</f>
        <v>#N/A</v>
      </c>
      <c r="J6013" s="48" t="s">
        <v>33</v>
      </c>
      <c r="K6013" s="42" t="s">
        <v>8024</v>
      </c>
      <c r="L6013" s="49" t="s">
        <v>8025</v>
      </c>
      <c r="M6013" s="50" t="s">
        <v>8018</v>
      </c>
      <c r="N6013" s="51">
        <v>44713</v>
      </c>
      <c r="O6013" s="51" t="s">
        <v>37</v>
      </c>
      <c r="P6013" s="52">
        <v>17.5</v>
      </c>
      <c r="Q6013" s="53">
        <v>128</v>
      </c>
      <c r="R6013" s="54">
        <f t="shared" si="139"/>
        <v>2240</v>
      </c>
      <c r="S6013" s="55">
        <v>202303</v>
      </c>
      <c r="T6013" s="56" t="s">
        <v>8031</v>
      </c>
      <c r="U6013" s="57"/>
      <c r="V6013" s="58"/>
      <c r="W6013" s="59"/>
      <c r="X6013" s="51"/>
      <c r="Y6013" s="51"/>
    </row>
    <row r="6014" s="9" customFormat="1" customHeight="1" spans="1:25">
      <c r="A6014" s="16" t="s">
        <v>401</v>
      </c>
      <c r="B6014" s="17" t="s">
        <v>6971</v>
      </c>
      <c r="C6014" s="17" t="s">
        <v>4500</v>
      </c>
      <c r="D6014" s="17" t="s">
        <v>566</v>
      </c>
      <c r="E6014" s="18" t="s">
        <v>8032</v>
      </c>
      <c r="F6014" s="16" t="s">
        <v>8033</v>
      </c>
      <c r="G6014" s="16" t="s">
        <v>88</v>
      </c>
      <c r="H6014" s="19" t="s">
        <v>8034</v>
      </c>
      <c r="I6014" s="23" t="e">
        <f>VLOOKUP(H6014,'合同综合查询数据（3月返）'!$A:$A,1,FALSE)</f>
        <v>#N/A</v>
      </c>
      <c r="J6014" s="24" t="s">
        <v>126</v>
      </c>
      <c r="K6014" s="16" t="s">
        <v>5340</v>
      </c>
      <c r="L6014" s="25"/>
      <c r="M6014" s="26" t="s">
        <v>8035</v>
      </c>
      <c r="N6014" s="28">
        <v>41982</v>
      </c>
      <c r="O6014" s="28" t="s">
        <v>92</v>
      </c>
      <c r="P6014" s="29">
        <v>3500</v>
      </c>
      <c r="Q6014" s="35">
        <v>1</v>
      </c>
      <c r="R6014" s="36">
        <f t="shared" ref="R6014:R6036" si="140">ROUND(P6014*Q6014,2)</f>
        <v>3500</v>
      </c>
      <c r="S6014" s="37">
        <v>202303</v>
      </c>
      <c r="T6014" s="38" t="s">
        <v>8036</v>
      </c>
      <c r="U6014" s="39"/>
      <c r="V6014" s="40"/>
      <c r="W6014" s="41"/>
      <c r="X6014" s="28">
        <v>43915</v>
      </c>
      <c r="Y6014" s="28">
        <v>45016</v>
      </c>
    </row>
    <row r="6015" s="9" customFormat="1" customHeight="1" spans="1:25">
      <c r="A6015" s="16" t="s">
        <v>401</v>
      </c>
      <c r="B6015" s="17" t="s">
        <v>6971</v>
      </c>
      <c r="C6015" s="17" t="s">
        <v>4500</v>
      </c>
      <c r="D6015" s="17" t="s">
        <v>566</v>
      </c>
      <c r="E6015" s="18" t="s">
        <v>8032</v>
      </c>
      <c r="F6015" s="16" t="s">
        <v>8033</v>
      </c>
      <c r="G6015" s="16" t="s">
        <v>88</v>
      </c>
      <c r="H6015" s="19" t="s">
        <v>8034</v>
      </c>
      <c r="I6015" s="23" t="e">
        <f>VLOOKUP(H6015,'合同综合查询数据（3月返）'!$A:$A,1,FALSE)</f>
        <v>#N/A</v>
      </c>
      <c r="J6015" s="24" t="s">
        <v>126</v>
      </c>
      <c r="K6015" s="16" t="s">
        <v>5340</v>
      </c>
      <c r="L6015" s="25"/>
      <c r="M6015" s="26" t="s">
        <v>8035</v>
      </c>
      <c r="N6015" s="28"/>
      <c r="O6015" s="28" t="s">
        <v>92</v>
      </c>
      <c r="P6015" s="29">
        <v>0</v>
      </c>
      <c r="Q6015" s="35">
        <v>8</v>
      </c>
      <c r="R6015" s="36">
        <f t="shared" si="140"/>
        <v>0</v>
      </c>
      <c r="S6015" s="37">
        <v>202303</v>
      </c>
      <c r="T6015" s="38" t="s">
        <v>8037</v>
      </c>
      <c r="U6015" s="39"/>
      <c r="V6015" s="40"/>
      <c r="W6015" s="41"/>
      <c r="X6015" s="28">
        <v>43915</v>
      </c>
      <c r="Y6015" s="28">
        <v>45016</v>
      </c>
    </row>
    <row r="6016" s="9" customFormat="1" customHeight="1" spans="1:25">
      <c r="A6016" s="16" t="s">
        <v>401</v>
      </c>
      <c r="B6016" s="17" t="s">
        <v>6971</v>
      </c>
      <c r="C6016" s="17" t="s">
        <v>4500</v>
      </c>
      <c r="D6016" s="17" t="s">
        <v>566</v>
      </c>
      <c r="E6016" s="18" t="s">
        <v>8032</v>
      </c>
      <c r="F6016" s="16" t="s">
        <v>8033</v>
      </c>
      <c r="G6016" s="16" t="s">
        <v>88</v>
      </c>
      <c r="H6016" s="19" t="s">
        <v>8034</v>
      </c>
      <c r="I6016" s="23" t="e">
        <f>VLOOKUP(H6016,'合同综合查询数据（3月返）'!$A:$A,1,FALSE)</f>
        <v>#N/A</v>
      </c>
      <c r="J6016" s="24" t="s">
        <v>126</v>
      </c>
      <c r="K6016" s="16" t="s">
        <v>8038</v>
      </c>
      <c r="L6016" s="25"/>
      <c r="M6016" s="26" t="s">
        <v>8039</v>
      </c>
      <c r="N6016" s="28">
        <v>42993</v>
      </c>
      <c r="O6016" s="28" t="s">
        <v>92</v>
      </c>
      <c r="P6016" s="29">
        <v>0</v>
      </c>
      <c r="Q6016" s="35">
        <v>2</v>
      </c>
      <c r="R6016" s="36">
        <f t="shared" si="140"/>
        <v>0</v>
      </c>
      <c r="S6016" s="37">
        <v>202303</v>
      </c>
      <c r="T6016" s="38" t="s">
        <v>8040</v>
      </c>
      <c r="U6016" s="39"/>
      <c r="V6016" s="40"/>
      <c r="W6016" s="41"/>
      <c r="X6016" s="28">
        <v>43915</v>
      </c>
      <c r="Y6016" s="28">
        <v>45016</v>
      </c>
    </row>
    <row r="6017" s="9" customFormat="1" customHeight="1" spans="1:25">
      <c r="A6017" s="16" t="s">
        <v>401</v>
      </c>
      <c r="B6017" s="17" t="s">
        <v>6971</v>
      </c>
      <c r="C6017" s="17" t="s">
        <v>4500</v>
      </c>
      <c r="D6017" s="17" t="s">
        <v>566</v>
      </c>
      <c r="E6017" s="18" t="s">
        <v>8032</v>
      </c>
      <c r="F6017" s="16" t="s">
        <v>8033</v>
      </c>
      <c r="G6017" s="16" t="s">
        <v>88</v>
      </c>
      <c r="H6017" s="19" t="s">
        <v>8034</v>
      </c>
      <c r="I6017" s="23" t="e">
        <f>VLOOKUP(H6017,'合同综合查询数据（3月返）'!$A:$A,1,FALSE)</f>
        <v>#N/A</v>
      </c>
      <c r="J6017" s="24" t="s">
        <v>126</v>
      </c>
      <c r="K6017" s="16" t="s">
        <v>5340</v>
      </c>
      <c r="L6017" s="25" t="s">
        <v>8041</v>
      </c>
      <c r="M6017" s="26" t="s">
        <v>8039</v>
      </c>
      <c r="N6017" s="28"/>
      <c r="O6017" s="28" t="s">
        <v>92</v>
      </c>
      <c r="P6017" s="29">
        <v>0</v>
      </c>
      <c r="Q6017" s="35">
        <v>3</v>
      </c>
      <c r="R6017" s="36">
        <f t="shared" si="140"/>
        <v>0</v>
      </c>
      <c r="S6017" s="37">
        <v>202303</v>
      </c>
      <c r="T6017" s="38" t="s">
        <v>8042</v>
      </c>
      <c r="U6017" s="39"/>
      <c r="V6017" s="40"/>
      <c r="W6017" s="41"/>
      <c r="X6017" s="28">
        <v>43915</v>
      </c>
      <c r="Y6017" s="28">
        <v>45016</v>
      </c>
    </row>
    <row r="6018" s="9" customFormat="1" customHeight="1" spans="1:25">
      <c r="A6018" s="16" t="s">
        <v>401</v>
      </c>
      <c r="B6018" s="17" t="s">
        <v>6971</v>
      </c>
      <c r="C6018" s="17" t="s">
        <v>4500</v>
      </c>
      <c r="D6018" s="17" t="s">
        <v>566</v>
      </c>
      <c r="E6018" s="18" t="s">
        <v>8032</v>
      </c>
      <c r="F6018" s="16" t="s">
        <v>8033</v>
      </c>
      <c r="G6018" s="16" t="s">
        <v>88</v>
      </c>
      <c r="H6018" s="19" t="s">
        <v>8034</v>
      </c>
      <c r="I6018" s="23" t="e">
        <f>VLOOKUP(H6018,'合同综合查询数据（3月返）'!$A:$A,1,FALSE)</f>
        <v>#N/A</v>
      </c>
      <c r="J6018" s="24" t="s">
        <v>126</v>
      </c>
      <c r="K6018" s="16" t="s">
        <v>5340</v>
      </c>
      <c r="L6018" s="25"/>
      <c r="M6018" s="26" t="s">
        <v>8035</v>
      </c>
      <c r="N6018" s="28">
        <v>43770</v>
      </c>
      <c r="O6018" s="28" t="s">
        <v>92</v>
      </c>
      <c r="P6018" s="29">
        <v>0</v>
      </c>
      <c r="Q6018" s="35">
        <v>-4</v>
      </c>
      <c r="R6018" s="36">
        <f t="shared" si="140"/>
        <v>0</v>
      </c>
      <c r="S6018" s="37">
        <v>202303</v>
      </c>
      <c r="T6018" s="38" t="s">
        <v>8043</v>
      </c>
      <c r="U6018" s="39"/>
      <c r="V6018" s="40"/>
      <c r="W6018" s="41"/>
      <c r="X6018" s="28">
        <v>43915</v>
      </c>
      <c r="Y6018" s="28">
        <v>45016</v>
      </c>
    </row>
    <row r="6019" s="9" customFormat="1" customHeight="1" spans="1:25">
      <c r="A6019" s="16" t="s">
        <v>401</v>
      </c>
      <c r="B6019" s="17" t="s">
        <v>6971</v>
      </c>
      <c r="C6019" s="17" t="s">
        <v>4500</v>
      </c>
      <c r="D6019" s="17" t="s">
        <v>566</v>
      </c>
      <c r="E6019" s="18" t="s">
        <v>8032</v>
      </c>
      <c r="F6019" s="16" t="s">
        <v>8033</v>
      </c>
      <c r="G6019" s="16" t="s">
        <v>88</v>
      </c>
      <c r="H6019" s="19" t="s">
        <v>8034</v>
      </c>
      <c r="I6019" s="23" t="e">
        <f>VLOOKUP(H6019,'合同综合查询数据（3月返）'!$A:$A,1,FALSE)</f>
        <v>#N/A</v>
      </c>
      <c r="J6019" s="24" t="s">
        <v>126</v>
      </c>
      <c r="K6019" s="16" t="s">
        <v>5340</v>
      </c>
      <c r="L6019" s="25" t="s">
        <v>8041</v>
      </c>
      <c r="M6019" s="26" t="s">
        <v>8035</v>
      </c>
      <c r="N6019" s="28">
        <v>43770</v>
      </c>
      <c r="O6019" s="28" t="s">
        <v>92</v>
      </c>
      <c r="P6019" s="29">
        <v>0</v>
      </c>
      <c r="Q6019" s="35">
        <v>-2</v>
      </c>
      <c r="R6019" s="36">
        <f t="shared" si="140"/>
        <v>0</v>
      </c>
      <c r="S6019" s="37">
        <v>202303</v>
      </c>
      <c r="T6019" s="38" t="s">
        <v>8044</v>
      </c>
      <c r="U6019" s="39"/>
      <c r="V6019" s="40"/>
      <c r="W6019" s="41"/>
      <c r="X6019" s="28">
        <v>43915</v>
      </c>
      <c r="Y6019" s="28">
        <v>45016</v>
      </c>
    </row>
    <row r="6020" s="9" customFormat="1" customHeight="1" spans="1:25">
      <c r="A6020" s="16" t="s">
        <v>401</v>
      </c>
      <c r="B6020" s="17" t="s">
        <v>6971</v>
      </c>
      <c r="C6020" s="17" t="s">
        <v>4500</v>
      </c>
      <c r="D6020" s="17" t="s">
        <v>566</v>
      </c>
      <c r="E6020" s="18" t="s">
        <v>8032</v>
      </c>
      <c r="F6020" s="16" t="s">
        <v>8033</v>
      </c>
      <c r="G6020" s="16" t="s">
        <v>88</v>
      </c>
      <c r="H6020" s="19" t="s">
        <v>8034</v>
      </c>
      <c r="I6020" s="23" t="e">
        <f>VLOOKUP(H6020,'合同综合查询数据（3月返）'!$A:$A,1,FALSE)</f>
        <v>#N/A</v>
      </c>
      <c r="J6020" s="24" t="s">
        <v>126</v>
      </c>
      <c r="K6020" s="16" t="s">
        <v>5340</v>
      </c>
      <c r="L6020" s="25" t="s">
        <v>8041</v>
      </c>
      <c r="M6020" s="26" t="s">
        <v>8035</v>
      </c>
      <c r="N6020" s="28">
        <v>43861</v>
      </c>
      <c r="O6020" s="28" t="s">
        <v>92</v>
      </c>
      <c r="P6020" s="29">
        <v>0</v>
      </c>
      <c r="Q6020" s="35">
        <v>-5</v>
      </c>
      <c r="R6020" s="36">
        <f t="shared" si="140"/>
        <v>0</v>
      </c>
      <c r="S6020" s="37">
        <v>202303</v>
      </c>
      <c r="T6020" s="38" t="s">
        <v>8045</v>
      </c>
      <c r="U6020" s="39"/>
      <c r="V6020" s="40"/>
      <c r="W6020" s="41"/>
      <c r="X6020" s="28">
        <v>43915</v>
      </c>
      <c r="Y6020" s="28">
        <v>45016</v>
      </c>
    </row>
    <row r="6021" s="9" customFormat="1" customHeight="1" spans="1:25">
      <c r="A6021" s="16" t="s">
        <v>401</v>
      </c>
      <c r="B6021" s="17" t="s">
        <v>6971</v>
      </c>
      <c r="C6021" s="17" t="s">
        <v>4500</v>
      </c>
      <c r="D6021" s="17" t="s">
        <v>566</v>
      </c>
      <c r="E6021" s="18" t="s">
        <v>8032</v>
      </c>
      <c r="F6021" s="16" t="s">
        <v>8033</v>
      </c>
      <c r="G6021" s="16" t="s">
        <v>88</v>
      </c>
      <c r="H6021" s="19" t="s">
        <v>8034</v>
      </c>
      <c r="I6021" s="23" t="e">
        <f>VLOOKUP(H6021,'合同综合查询数据（3月返）'!$A:$A,1,FALSE)</f>
        <v>#N/A</v>
      </c>
      <c r="J6021" s="24" t="s">
        <v>126</v>
      </c>
      <c r="K6021" s="16" t="s">
        <v>5340</v>
      </c>
      <c r="L6021" s="25" t="s">
        <v>8041</v>
      </c>
      <c r="M6021" s="26" t="s">
        <v>8046</v>
      </c>
      <c r="N6021" s="28">
        <v>43930</v>
      </c>
      <c r="O6021" s="28" t="s">
        <v>92</v>
      </c>
      <c r="P6021" s="29">
        <v>0</v>
      </c>
      <c r="Q6021" s="35">
        <v>-2</v>
      </c>
      <c r="R6021" s="36">
        <f t="shared" si="140"/>
        <v>0</v>
      </c>
      <c r="S6021" s="37">
        <v>202303</v>
      </c>
      <c r="T6021" s="38" t="s">
        <v>8047</v>
      </c>
      <c r="U6021" s="39"/>
      <c r="V6021" s="40"/>
      <c r="W6021" s="41"/>
      <c r="X6021" s="28">
        <v>43915</v>
      </c>
      <c r="Y6021" s="28">
        <v>45016</v>
      </c>
    </row>
    <row r="6022" s="9" customFormat="1" customHeight="1" spans="1:25">
      <c r="A6022" s="16" t="s">
        <v>401</v>
      </c>
      <c r="B6022" s="17" t="s">
        <v>6971</v>
      </c>
      <c r="C6022" s="17" t="s">
        <v>4500</v>
      </c>
      <c r="D6022" s="17" t="s">
        <v>566</v>
      </c>
      <c r="E6022" s="18" t="s">
        <v>8032</v>
      </c>
      <c r="F6022" s="16" t="s">
        <v>8033</v>
      </c>
      <c r="G6022" s="16" t="s">
        <v>88</v>
      </c>
      <c r="H6022" s="19" t="s">
        <v>8034</v>
      </c>
      <c r="I6022" s="23" t="e">
        <f>VLOOKUP(H6022,'合同综合查询数据（3月返）'!$A:$A,1,FALSE)</f>
        <v>#N/A</v>
      </c>
      <c r="J6022" s="24" t="s">
        <v>126</v>
      </c>
      <c r="K6022" s="16" t="s">
        <v>5340</v>
      </c>
      <c r="L6022" s="25" t="s">
        <v>8041</v>
      </c>
      <c r="M6022" s="26" t="s">
        <v>8046</v>
      </c>
      <c r="N6022" s="28">
        <v>43931</v>
      </c>
      <c r="O6022" s="28" t="s">
        <v>92</v>
      </c>
      <c r="P6022" s="29">
        <v>0</v>
      </c>
      <c r="Q6022" s="35">
        <v>2</v>
      </c>
      <c r="R6022" s="36">
        <f t="shared" si="140"/>
        <v>0</v>
      </c>
      <c r="S6022" s="37">
        <v>202303</v>
      </c>
      <c r="T6022" s="38" t="s">
        <v>8047</v>
      </c>
      <c r="U6022" s="39"/>
      <c r="V6022" s="40"/>
      <c r="W6022" s="41"/>
      <c r="X6022" s="28">
        <v>43915</v>
      </c>
      <c r="Y6022" s="28">
        <v>45016</v>
      </c>
    </row>
    <row r="6023" s="9" customFormat="1" customHeight="1" spans="1:25">
      <c r="A6023" s="16" t="s">
        <v>401</v>
      </c>
      <c r="B6023" s="17" t="s">
        <v>6971</v>
      </c>
      <c r="C6023" s="17" t="s">
        <v>4500</v>
      </c>
      <c r="D6023" s="17" t="s">
        <v>566</v>
      </c>
      <c r="E6023" s="18" t="s">
        <v>8032</v>
      </c>
      <c r="F6023" s="16" t="s">
        <v>8033</v>
      </c>
      <c r="G6023" s="16" t="s">
        <v>31</v>
      </c>
      <c r="H6023" s="19" t="s">
        <v>8034</v>
      </c>
      <c r="I6023" s="23" t="e">
        <f>VLOOKUP(H6023,'合同综合查询数据（3月返）'!$A:$A,1,FALSE)</f>
        <v>#N/A</v>
      </c>
      <c r="J6023" s="24" t="s">
        <v>33</v>
      </c>
      <c r="K6023" s="16" t="s">
        <v>5340</v>
      </c>
      <c r="L6023" s="25"/>
      <c r="M6023" s="26" t="s">
        <v>7929</v>
      </c>
      <c r="N6023" s="28">
        <v>41982</v>
      </c>
      <c r="O6023" s="28" t="s">
        <v>37</v>
      </c>
      <c r="P6023" s="29">
        <v>0</v>
      </c>
      <c r="Q6023" s="35">
        <v>768</v>
      </c>
      <c r="R6023" s="36">
        <f t="shared" si="140"/>
        <v>0</v>
      </c>
      <c r="S6023" s="37">
        <v>202303</v>
      </c>
      <c r="T6023" s="38" t="s">
        <v>8048</v>
      </c>
      <c r="U6023" s="39"/>
      <c r="V6023" s="40"/>
      <c r="W6023" s="41"/>
      <c r="X6023" s="28">
        <v>43915</v>
      </c>
      <c r="Y6023" s="28">
        <v>45016</v>
      </c>
    </row>
    <row r="6024" s="9" customFormat="1" customHeight="1" spans="1:25">
      <c r="A6024" s="16" t="s">
        <v>401</v>
      </c>
      <c r="B6024" s="17" t="s">
        <v>6971</v>
      </c>
      <c r="C6024" s="17" t="s">
        <v>4500</v>
      </c>
      <c r="D6024" s="17" t="s">
        <v>566</v>
      </c>
      <c r="E6024" s="18" t="s">
        <v>8032</v>
      </c>
      <c r="F6024" s="16" t="s">
        <v>8033</v>
      </c>
      <c r="G6024" s="16" t="s">
        <v>31</v>
      </c>
      <c r="H6024" s="19" t="s">
        <v>8034</v>
      </c>
      <c r="I6024" s="23" t="e">
        <f>VLOOKUP(H6024,'合同综合查询数据（3月返）'!$A:$A,1,FALSE)</f>
        <v>#N/A</v>
      </c>
      <c r="J6024" s="24" t="s">
        <v>33</v>
      </c>
      <c r="K6024" s="16" t="s">
        <v>5340</v>
      </c>
      <c r="L6024" s="25"/>
      <c r="M6024" s="26" t="s">
        <v>7929</v>
      </c>
      <c r="N6024" s="28">
        <v>43769</v>
      </c>
      <c r="O6024" s="28" t="s">
        <v>37</v>
      </c>
      <c r="P6024" s="29">
        <v>0</v>
      </c>
      <c r="Q6024" s="35">
        <v>-768</v>
      </c>
      <c r="R6024" s="36">
        <f t="shared" si="140"/>
        <v>0</v>
      </c>
      <c r="S6024" s="37">
        <v>202303</v>
      </c>
      <c r="T6024" s="38" t="s">
        <v>8048</v>
      </c>
      <c r="U6024" s="39"/>
      <c r="V6024" s="40"/>
      <c r="W6024" s="41"/>
      <c r="X6024" s="28">
        <v>43915</v>
      </c>
      <c r="Y6024" s="28">
        <v>45016</v>
      </c>
    </row>
    <row r="6025" s="9" customFormat="1" customHeight="1" spans="1:25">
      <c r="A6025" s="16" t="s">
        <v>401</v>
      </c>
      <c r="B6025" s="17" t="s">
        <v>6971</v>
      </c>
      <c r="C6025" s="17" t="s">
        <v>4500</v>
      </c>
      <c r="D6025" s="17" t="s">
        <v>566</v>
      </c>
      <c r="E6025" s="18" t="s">
        <v>8032</v>
      </c>
      <c r="F6025" s="16" t="s">
        <v>8033</v>
      </c>
      <c r="G6025" s="16" t="s">
        <v>31</v>
      </c>
      <c r="H6025" s="19" t="s">
        <v>8034</v>
      </c>
      <c r="I6025" s="23" t="e">
        <f>VLOOKUP(H6025,'合同综合查询数据（3月返）'!$A:$A,1,FALSE)</f>
        <v>#N/A</v>
      </c>
      <c r="J6025" s="24" t="s">
        <v>33</v>
      </c>
      <c r="K6025" s="16" t="s">
        <v>5340</v>
      </c>
      <c r="L6025" s="25" t="s">
        <v>8041</v>
      </c>
      <c r="M6025" s="26" t="s">
        <v>8039</v>
      </c>
      <c r="N6025" s="28"/>
      <c r="O6025" s="28" t="s">
        <v>37</v>
      </c>
      <c r="P6025" s="29">
        <v>0</v>
      </c>
      <c r="Q6025" s="35">
        <v>256</v>
      </c>
      <c r="R6025" s="36">
        <f t="shared" si="140"/>
        <v>0</v>
      </c>
      <c r="S6025" s="37">
        <v>202303</v>
      </c>
      <c r="T6025" s="38" t="s">
        <v>8049</v>
      </c>
      <c r="U6025" s="39"/>
      <c r="V6025" s="40"/>
      <c r="W6025" s="41"/>
      <c r="X6025" s="28">
        <v>43915</v>
      </c>
      <c r="Y6025" s="28">
        <v>45016</v>
      </c>
    </row>
    <row r="6026" s="9" customFormat="1" customHeight="1" spans="1:25">
      <c r="A6026" s="16" t="s">
        <v>401</v>
      </c>
      <c r="B6026" s="17" t="s">
        <v>6971</v>
      </c>
      <c r="C6026" s="17" t="s">
        <v>4500</v>
      </c>
      <c r="D6026" s="17" t="s">
        <v>566</v>
      </c>
      <c r="E6026" s="18" t="s">
        <v>8032</v>
      </c>
      <c r="F6026" s="16" t="s">
        <v>8033</v>
      </c>
      <c r="G6026" s="16" t="s">
        <v>31</v>
      </c>
      <c r="H6026" s="19" t="s">
        <v>8034</v>
      </c>
      <c r="I6026" s="23" t="e">
        <f>VLOOKUP(H6026,'合同综合查询数据（3月返）'!$A:$A,1,FALSE)</f>
        <v>#N/A</v>
      </c>
      <c r="J6026" s="24" t="s">
        <v>33</v>
      </c>
      <c r="K6026" s="16" t="s">
        <v>5340</v>
      </c>
      <c r="L6026" s="25"/>
      <c r="M6026" s="26" t="s">
        <v>8039</v>
      </c>
      <c r="N6026" s="28"/>
      <c r="O6026" s="28" t="s">
        <v>37</v>
      </c>
      <c r="P6026" s="29">
        <v>35</v>
      </c>
      <c r="Q6026" s="35">
        <v>32</v>
      </c>
      <c r="R6026" s="36">
        <f t="shared" si="140"/>
        <v>1120</v>
      </c>
      <c r="S6026" s="37">
        <v>202303</v>
      </c>
      <c r="T6026" s="38" t="s">
        <v>8049</v>
      </c>
      <c r="U6026" s="39"/>
      <c r="V6026" s="40"/>
      <c r="W6026" s="41"/>
      <c r="X6026" s="28">
        <v>43915</v>
      </c>
      <c r="Y6026" s="28">
        <v>45016</v>
      </c>
    </row>
    <row r="6027" s="9" customFormat="1" customHeight="1" spans="1:25">
      <c r="A6027" s="16" t="s">
        <v>401</v>
      </c>
      <c r="B6027" s="17" t="s">
        <v>6971</v>
      </c>
      <c r="C6027" s="17" t="s">
        <v>4500</v>
      </c>
      <c r="D6027" s="17" t="s">
        <v>566</v>
      </c>
      <c r="E6027" s="18" t="s">
        <v>8032</v>
      </c>
      <c r="F6027" s="16" t="s">
        <v>8033</v>
      </c>
      <c r="G6027" s="16" t="s">
        <v>31</v>
      </c>
      <c r="H6027" s="19" t="s">
        <v>8034</v>
      </c>
      <c r="I6027" s="23" t="e">
        <f>VLOOKUP(H6027,'合同综合查询数据（3月返）'!$A:$A,1,FALSE)</f>
        <v>#N/A</v>
      </c>
      <c r="J6027" s="24" t="s">
        <v>33</v>
      </c>
      <c r="K6027" s="16" t="s">
        <v>5340</v>
      </c>
      <c r="L6027" s="25" t="s">
        <v>8041</v>
      </c>
      <c r="M6027" s="26" t="s">
        <v>8039</v>
      </c>
      <c r="N6027" s="28">
        <v>43941</v>
      </c>
      <c r="O6027" s="28" t="s">
        <v>37</v>
      </c>
      <c r="P6027" s="29">
        <v>0</v>
      </c>
      <c r="Q6027" s="35">
        <v>-128</v>
      </c>
      <c r="R6027" s="36">
        <f t="shared" si="140"/>
        <v>0</v>
      </c>
      <c r="S6027" s="37">
        <v>202303</v>
      </c>
      <c r="T6027" s="38" t="s">
        <v>8050</v>
      </c>
      <c r="U6027" s="39"/>
      <c r="V6027" s="40"/>
      <c r="W6027" s="41"/>
      <c r="X6027" s="28">
        <v>43915</v>
      </c>
      <c r="Y6027" s="28">
        <v>45016</v>
      </c>
    </row>
    <row r="6028" s="9" customFormat="1" customHeight="1" spans="1:25">
      <c r="A6028" s="16" t="s">
        <v>401</v>
      </c>
      <c r="B6028" s="17" t="s">
        <v>6971</v>
      </c>
      <c r="C6028" s="17" t="s">
        <v>4500</v>
      </c>
      <c r="D6028" s="17" t="s">
        <v>566</v>
      </c>
      <c r="E6028" s="18" t="s">
        <v>8032</v>
      </c>
      <c r="F6028" s="16" t="s">
        <v>8033</v>
      </c>
      <c r="G6028" s="16" t="s">
        <v>31</v>
      </c>
      <c r="H6028" s="19" t="s">
        <v>8034</v>
      </c>
      <c r="I6028" s="23" t="e">
        <f>VLOOKUP(H6028,'合同综合查询数据（3月返）'!$A:$A,1,FALSE)</f>
        <v>#N/A</v>
      </c>
      <c r="J6028" s="24" t="s">
        <v>33</v>
      </c>
      <c r="K6028" s="16" t="s">
        <v>5340</v>
      </c>
      <c r="L6028" s="25" t="s">
        <v>8041</v>
      </c>
      <c r="M6028" s="26" t="s">
        <v>8039</v>
      </c>
      <c r="N6028" s="28">
        <v>43942</v>
      </c>
      <c r="O6028" s="28" t="s">
        <v>37</v>
      </c>
      <c r="P6028" s="29">
        <v>0</v>
      </c>
      <c r="Q6028" s="35">
        <v>128</v>
      </c>
      <c r="R6028" s="36">
        <f t="shared" si="140"/>
        <v>0</v>
      </c>
      <c r="S6028" s="37">
        <v>202303</v>
      </c>
      <c r="T6028" s="38" t="s">
        <v>8050</v>
      </c>
      <c r="U6028" s="39"/>
      <c r="V6028" s="40"/>
      <c r="W6028" s="41"/>
      <c r="X6028" s="28">
        <v>43915</v>
      </c>
      <c r="Y6028" s="28">
        <v>45016</v>
      </c>
    </row>
    <row r="6029" s="9" customFormat="1" customHeight="1" spans="1:25">
      <c r="A6029" s="16" t="s">
        <v>401</v>
      </c>
      <c r="B6029" s="17" t="s">
        <v>6971</v>
      </c>
      <c r="C6029" s="17" t="s">
        <v>4500</v>
      </c>
      <c r="D6029" s="17" t="s">
        <v>566</v>
      </c>
      <c r="E6029" s="18" t="s">
        <v>8032</v>
      </c>
      <c r="F6029" s="16" t="s">
        <v>8033</v>
      </c>
      <c r="G6029" s="16" t="s">
        <v>31</v>
      </c>
      <c r="H6029" s="19" t="s">
        <v>8034</v>
      </c>
      <c r="I6029" s="23" t="e">
        <f>VLOOKUP(H6029,'合同综合查询数据（3月返）'!$A:$A,1,FALSE)</f>
        <v>#N/A</v>
      </c>
      <c r="J6029" s="24" t="s">
        <v>33</v>
      </c>
      <c r="K6029" s="16" t="s">
        <v>5340</v>
      </c>
      <c r="L6029" s="25"/>
      <c r="M6029" s="26" t="s">
        <v>7929</v>
      </c>
      <c r="N6029" s="28"/>
      <c r="O6029" s="28" t="s">
        <v>152</v>
      </c>
      <c r="P6029" s="29">
        <v>0</v>
      </c>
      <c r="Q6029" s="35">
        <v>1</v>
      </c>
      <c r="R6029" s="36">
        <f t="shared" si="140"/>
        <v>0</v>
      </c>
      <c r="S6029" s="37">
        <v>202303</v>
      </c>
      <c r="T6029" s="38" t="s">
        <v>8051</v>
      </c>
      <c r="U6029" s="39"/>
      <c r="V6029" s="40"/>
      <c r="W6029" s="41"/>
      <c r="X6029" s="28">
        <v>43915</v>
      </c>
      <c r="Y6029" s="28">
        <v>45016</v>
      </c>
    </row>
    <row r="6030" s="9" customFormat="1" customHeight="1" spans="1:25">
      <c r="A6030" s="16" t="s">
        <v>401</v>
      </c>
      <c r="B6030" s="17" t="s">
        <v>6971</v>
      </c>
      <c r="C6030" s="17" t="s">
        <v>4500</v>
      </c>
      <c r="D6030" s="17" t="s">
        <v>566</v>
      </c>
      <c r="E6030" s="18" t="s">
        <v>8032</v>
      </c>
      <c r="F6030" s="16" t="s">
        <v>8033</v>
      </c>
      <c r="G6030" s="16" t="s">
        <v>88</v>
      </c>
      <c r="H6030" s="19" t="s">
        <v>8034</v>
      </c>
      <c r="I6030" s="23" t="e">
        <f>VLOOKUP(H6030,'合同综合查询数据（3月返）'!$A:$A,1,FALSE)</f>
        <v>#N/A</v>
      </c>
      <c r="J6030" s="24" t="s">
        <v>126</v>
      </c>
      <c r="K6030" s="16" t="s">
        <v>5340</v>
      </c>
      <c r="L6030" s="25" t="s">
        <v>8041</v>
      </c>
      <c r="M6030" s="26" t="s">
        <v>8039</v>
      </c>
      <c r="N6030" s="28">
        <v>44296</v>
      </c>
      <c r="O6030" s="28" t="s">
        <v>92</v>
      </c>
      <c r="P6030" s="29">
        <v>3500</v>
      </c>
      <c r="Q6030" s="35">
        <v>1</v>
      </c>
      <c r="R6030" s="36">
        <f t="shared" si="140"/>
        <v>3500</v>
      </c>
      <c r="S6030" s="37">
        <v>202303</v>
      </c>
      <c r="T6030" s="38" t="s">
        <v>8052</v>
      </c>
      <c r="U6030" s="39"/>
      <c r="V6030" s="40"/>
      <c r="W6030" s="41"/>
      <c r="X6030" s="28">
        <v>43915</v>
      </c>
      <c r="Y6030" s="28">
        <v>45016</v>
      </c>
    </row>
    <row r="6031" s="9" customFormat="1" customHeight="1" spans="1:25">
      <c r="A6031" s="16" t="s">
        <v>401</v>
      </c>
      <c r="B6031" s="17" t="s">
        <v>6971</v>
      </c>
      <c r="C6031" s="17" t="s">
        <v>4500</v>
      </c>
      <c r="D6031" s="17" t="s">
        <v>566</v>
      </c>
      <c r="E6031" s="18" t="s">
        <v>8032</v>
      </c>
      <c r="F6031" s="16" t="s">
        <v>8033</v>
      </c>
      <c r="G6031" s="16" t="s">
        <v>31</v>
      </c>
      <c r="H6031" s="19" t="s">
        <v>8034</v>
      </c>
      <c r="I6031" s="23" t="e">
        <f>VLOOKUP(H6031,'合同综合查询数据（3月返）'!$A:$A,1,FALSE)</f>
        <v>#N/A</v>
      </c>
      <c r="J6031" s="24" t="s">
        <v>33</v>
      </c>
      <c r="K6031" s="16" t="s">
        <v>5340</v>
      </c>
      <c r="L6031" s="25" t="s">
        <v>8041</v>
      </c>
      <c r="M6031" s="26" t="s">
        <v>8039</v>
      </c>
      <c r="N6031" s="28">
        <v>44296</v>
      </c>
      <c r="O6031" s="28" t="s">
        <v>37</v>
      </c>
      <c r="P6031" s="29">
        <v>35</v>
      </c>
      <c r="Q6031" s="35">
        <v>128</v>
      </c>
      <c r="R6031" s="36">
        <f t="shared" si="140"/>
        <v>4480</v>
      </c>
      <c r="S6031" s="37">
        <v>202303</v>
      </c>
      <c r="T6031" s="38" t="s">
        <v>8053</v>
      </c>
      <c r="U6031" s="39"/>
      <c r="V6031" s="40"/>
      <c r="W6031" s="41"/>
      <c r="X6031" s="28">
        <v>43915</v>
      </c>
      <c r="Y6031" s="28">
        <v>45016</v>
      </c>
    </row>
    <row r="6032" s="9" customFormat="1" customHeight="1" spans="1:25">
      <c r="A6032" s="16" t="s">
        <v>401</v>
      </c>
      <c r="B6032" s="17" t="s">
        <v>6971</v>
      </c>
      <c r="C6032" s="17" t="s">
        <v>7971</v>
      </c>
      <c r="D6032" s="17" t="s">
        <v>881</v>
      </c>
      <c r="E6032" s="18" t="s">
        <v>8054</v>
      </c>
      <c r="F6032" s="16" t="s">
        <v>8055</v>
      </c>
      <c r="G6032" s="16" t="s">
        <v>88</v>
      </c>
      <c r="H6032" s="19" t="s">
        <v>8056</v>
      </c>
      <c r="I6032" s="23" t="e">
        <f>VLOOKUP(H6032,'合同综合查询数据（3月返）'!$A:$A,1,FALSE)</f>
        <v>#N/A</v>
      </c>
      <c r="J6032" s="24" t="s">
        <v>126</v>
      </c>
      <c r="K6032" s="16" t="s">
        <v>8057</v>
      </c>
      <c r="L6032" s="25"/>
      <c r="M6032" s="26" t="s">
        <v>8058</v>
      </c>
      <c r="N6032" s="28">
        <v>43306</v>
      </c>
      <c r="O6032" s="28" t="s">
        <v>92</v>
      </c>
      <c r="P6032" s="29">
        <v>4700</v>
      </c>
      <c r="Q6032" s="35">
        <v>3</v>
      </c>
      <c r="R6032" s="36">
        <f t="shared" si="140"/>
        <v>14100</v>
      </c>
      <c r="S6032" s="37">
        <v>202303</v>
      </c>
      <c r="T6032" s="38" t="s">
        <v>8059</v>
      </c>
      <c r="U6032" s="39"/>
      <c r="V6032" s="40"/>
      <c r="W6032" s="41"/>
      <c r="X6032" s="28">
        <v>44409</v>
      </c>
      <c r="Y6032" s="28">
        <v>45138</v>
      </c>
    </row>
    <row r="6033" s="9" customFormat="1" customHeight="1" spans="1:25">
      <c r="A6033" s="16" t="s">
        <v>401</v>
      </c>
      <c r="B6033" s="17" t="s">
        <v>6971</v>
      </c>
      <c r="C6033" s="17" t="s">
        <v>7971</v>
      </c>
      <c r="D6033" s="17" t="s">
        <v>881</v>
      </c>
      <c r="E6033" s="18" t="s">
        <v>8054</v>
      </c>
      <c r="F6033" s="16" t="s">
        <v>8055</v>
      </c>
      <c r="G6033" s="16" t="s">
        <v>31</v>
      </c>
      <c r="H6033" s="19" t="s">
        <v>8056</v>
      </c>
      <c r="I6033" s="23" t="e">
        <f>VLOOKUP(H6033,'合同综合查询数据（3月返）'!$A:$A,1,FALSE)</f>
        <v>#N/A</v>
      </c>
      <c r="J6033" s="24" t="s">
        <v>33</v>
      </c>
      <c r="K6033" s="16" t="s">
        <v>8057</v>
      </c>
      <c r="L6033" s="25"/>
      <c r="M6033" s="26" t="s">
        <v>8058</v>
      </c>
      <c r="N6033" s="28">
        <v>43306</v>
      </c>
      <c r="O6033" s="28" t="s">
        <v>37</v>
      </c>
      <c r="P6033" s="29">
        <v>0</v>
      </c>
      <c r="Q6033" s="35">
        <v>160</v>
      </c>
      <c r="R6033" s="36">
        <f t="shared" si="140"/>
        <v>0</v>
      </c>
      <c r="S6033" s="37">
        <v>202303</v>
      </c>
      <c r="T6033" s="38" t="s">
        <v>8060</v>
      </c>
      <c r="U6033" s="39"/>
      <c r="V6033" s="40"/>
      <c r="W6033" s="41"/>
      <c r="X6033" s="28">
        <v>44409</v>
      </c>
      <c r="Y6033" s="28">
        <v>45138</v>
      </c>
    </row>
    <row r="6034" s="9" customFormat="1" customHeight="1" spans="1:25">
      <c r="A6034" s="16" t="s">
        <v>401</v>
      </c>
      <c r="B6034" s="17" t="s">
        <v>6971</v>
      </c>
      <c r="C6034" s="17" t="s">
        <v>50</v>
      </c>
      <c r="D6034" s="17" t="s">
        <v>881</v>
      </c>
      <c r="E6034" s="18" t="s">
        <v>8061</v>
      </c>
      <c r="F6034" s="16" t="s">
        <v>8062</v>
      </c>
      <c r="G6034" s="16" t="s">
        <v>88</v>
      </c>
      <c r="H6034" s="19" t="s">
        <v>8063</v>
      </c>
      <c r="I6034" s="23" t="e">
        <f>VLOOKUP(H6034,'合同综合查询数据（3月返）'!$A:$A,1,FALSE)</f>
        <v>#N/A</v>
      </c>
      <c r="J6034" s="24" t="s">
        <v>126</v>
      </c>
      <c r="K6034" s="16" t="s">
        <v>51</v>
      </c>
      <c r="L6034" s="25"/>
      <c r="M6034" s="26" t="s">
        <v>8058</v>
      </c>
      <c r="N6034" s="28">
        <v>42919</v>
      </c>
      <c r="O6034" s="28" t="s">
        <v>127</v>
      </c>
      <c r="P6034" s="29">
        <v>0</v>
      </c>
      <c r="Q6034" s="35">
        <v>1</v>
      </c>
      <c r="R6034" s="36">
        <f t="shared" si="140"/>
        <v>0</v>
      </c>
      <c r="S6034" s="37">
        <v>202303</v>
      </c>
      <c r="T6034" s="38" t="s">
        <v>8064</v>
      </c>
      <c r="U6034" s="39"/>
      <c r="V6034" s="40"/>
      <c r="W6034" s="41"/>
      <c r="X6034" s="28">
        <v>44378</v>
      </c>
      <c r="Y6034" s="28">
        <v>45107</v>
      </c>
    </row>
    <row r="6035" s="9" customFormat="1" customHeight="1" spans="1:25">
      <c r="A6035" s="16" t="s">
        <v>401</v>
      </c>
      <c r="B6035" s="17" t="s">
        <v>6971</v>
      </c>
      <c r="C6035" s="17" t="s">
        <v>50</v>
      </c>
      <c r="D6035" s="17" t="s">
        <v>881</v>
      </c>
      <c r="E6035" s="18" t="s">
        <v>8061</v>
      </c>
      <c r="F6035" s="16" t="s">
        <v>8062</v>
      </c>
      <c r="G6035" s="16" t="s">
        <v>88</v>
      </c>
      <c r="H6035" s="19" t="s">
        <v>8063</v>
      </c>
      <c r="I6035" s="23" t="e">
        <f>VLOOKUP(H6035,'合同综合查询数据（3月返）'!$A:$A,1,FALSE)</f>
        <v>#N/A</v>
      </c>
      <c r="J6035" s="24" t="s">
        <v>126</v>
      </c>
      <c r="K6035" s="16" t="s">
        <v>51</v>
      </c>
      <c r="L6035" s="25"/>
      <c r="M6035" s="26" t="s">
        <v>8058</v>
      </c>
      <c r="N6035" s="28">
        <v>42919</v>
      </c>
      <c r="O6035" s="28" t="s">
        <v>127</v>
      </c>
      <c r="P6035" s="29">
        <v>3000</v>
      </c>
      <c r="Q6035" s="35">
        <v>2</v>
      </c>
      <c r="R6035" s="36">
        <f t="shared" si="140"/>
        <v>6000</v>
      </c>
      <c r="S6035" s="37">
        <v>202303</v>
      </c>
      <c r="T6035" s="38" t="s">
        <v>8065</v>
      </c>
      <c r="U6035" s="39"/>
      <c r="V6035" s="40"/>
      <c r="W6035" s="41"/>
      <c r="X6035" s="28">
        <v>44378</v>
      </c>
      <c r="Y6035" s="28">
        <v>45107</v>
      </c>
    </row>
    <row r="6036" s="9" customFormat="1" customHeight="1" spans="1:25">
      <c r="A6036" s="16" t="s">
        <v>401</v>
      </c>
      <c r="B6036" s="17" t="s">
        <v>6971</v>
      </c>
      <c r="C6036" s="17" t="s">
        <v>50</v>
      </c>
      <c r="D6036" s="17" t="s">
        <v>881</v>
      </c>
      <c r="E6036" s="18" t="s">
        <v>8061</v>
      </c>
      <c r="F6036" s="16" t="s">
        <v>8062</v>
      </c>
      <c r="G6036" s="16" t="s">
        <v>31</v>
      </c>
      <c r="H6036" s="19" t="s">
        <v>8063</v>
      </c>
      <c r="I6036" s="23" t="e">
        <f>VLOOKUP(H6036,'合同综合查询数据（3月返）'!$A:$A,1,FALSE)</f>
        <v>#N/A</v>
      </c>
      <c r="J6036" s="24" t="s">
        <v>33</v>
      </c>
      <c r="K6036" s="16" t="s">
        <v>51</v>
      </c>
      <c r="L6036" s="25"/>
      <c r="M6036" s="26" t="s">
        <v>8066</v>
      </c>
      <c r="N6036" s="28">
        <v>42919</v>
      </c>
      <c r="O6036" s="28" t="s">
        <v>37</v>
      </c>
      <c r="P6036" s="29">
        <v>0</v>
      </c>
      <c r="Q6036" s="35">
        <v>256</v>
      </c>
      <c r="R6036" s="36">
        <f t="shared" si="140"/>
        <v>0</v>
      </c>
      <c r="S6036" s="37">
        <v>202303</v>
      </c>
      <c r="T6036" s="38" t="s">
        <v>8067</v>
      </c>
      <c r="U6036" s="39"/>
      <c r="V6036" s="40"/>
      <c r="W6036" s="41"/>
      <c r="X6036" s="28">
        <v>44378</v>
      </c>
      <c r="Y6036" s="28">
        <v>45107</v>
      </c>
    </row>
    <row r="6037" s="9" customFormat="1" customHeight="1" spans="1:25">
      <c r="A6037" s="16" t="s">
        <v>401</v>
      </c>
      <c r="B6037" s="17" t="s">
        <v>6971</v>
      </c>
      <c r="C6037" s="17" t="s">
        <v>50</v>
      </c>
      <c r="D6037" s="17" t="s">
        <v>881</v>
      </c>
      <c r="E6037" s="18" t="s">
        <v>8061</v>
      </c>
      <c r="F6037" s="16" t="s">
        <v>8062</v>
      </c>
      <c r="G6037" s="16" t="s">
        <v>88</v>
      </c>
      <c r="H6037" s="19" t="s">
        <v>8068</v>
      </c>
      <c r="I6037" s="23" t="e">
        <f>VLOOKUP(H6037,'合同综合查询数据（3月返）'!$A:$A,1,FALSE)</f>
        <v>#N/A</v>
      </c>
      <c r="J6037" s="24" t="s">
        <v>126</v>
      </c>
      <c r="K6037" s="16" t="s">
        <v>51</v>
      </c>
      <c r="L6037" s="25" t="s">
        <v>8069</v>
      </c>
      <c r="M6037" s="26" t="s">
        <v>8070</v>
      </c>
      <c r="N6037" s="28">
        <v>44317</v>
      </c>
      <c r="O6037" s="28" t="s">
        <v>1461</v>
      </c>
      <c r="P6037" s="29">
        <v>3000</v>
      </c>
      <c r="Q6037" s="35">
        <v>3</v>
      </c>
      <c r="R6037" s="36">
        <f>ROUND(Q6037*P6037,2)</f>
        <v>9000</v>
      </c>
      <c r="S6037" s="37">
        <v>202303</v>
      </c>
      <c r="T6037" s="38" t="s">
        <v>8071</v>
      </c>
      <c r="U6037" s="39"/>
      <c r="V6037" s="40"/>
      <c r="W6037" s="41"/>
      <c r="X6037" s="28">
        <v>44317</v>
      </c>
      <c r="Y6037" s="28">
        <v>45046</v>
      </c>
    </row>
    <row r="6038" s="9" customFormat="1" customHeight="1" spans="1:25">
      <c r="A6038" s="16" t="s">
        <v>401</v>
      </c>
      <c r="B6038" s="17" t="s">
        <v>6971</v>
      </c>
      <c r="C6038" s="17" t="s">
        <v>50</v>
      </c>
      <c r="D6038" s="17" t="s">
        <v>881</v>
      </c>
      <c r="E6038" s="18" t="s">
        <v>8061</v>
      </c>
      <c r="F6038" s="16" t="s">
        <v>8062</v>
      </c>
      <c r="G6038" s="16" t="s">
        <v>31</v>
      </c>
      <c r="H6038" s="19" t="s">
        <v>8068</v>
      </c>
      <c r="I6038" s="23" t="e">
        <f>VLOOKUP(H6038,'合同综合查询数据（3月返）'!$A:$A,1,FALSE)</f>
        <v>#N/A</v>
      </c>
      <c r="J6038" s="24" t="s">
        <v>33</v>
      </c>
      <c r="K6038" s="16" t="s">
        <v>51</v>
      </c>
      <c r="L6038" s="25" t="s">
        <v>8069</v>
      </c>
      <c r="M6038" s="26" t="s">
        <v>8070</v>
      </c>
      <c r="N6038" s="28">
        <v>44317</v>
      </c>
      <c r="O6038" s="28" t="s">
        <v>37</v>
      </c>
      <c r="P6038" s="29">
        <v>0</v>
      </c>
      <c r="Q6038" s="35">
        <v>288</v>
      </c>
      <c r="R6038" s="36">
        <f>ROUND(Q6038*P6038,2)</f>
        <v>0</v>
      </c>
      <c r="S6038" s="37">
        <v>202303</v>
      </c>
      <c r="T6038" s="38" t="s">
        <v>8072</v>
      </c>
      <c r="U6038" s="39"/>
      <c r="V6038" s="40"/>
      <c r="W6038" s="41"/>
      <c r="X6038" s="28">
        <v>44317</v>
      </c>
      <c r="Y6038" s="28">
        <v>45046</v>
      </c>
    </row>
    <row r="6039" s="9" customFormat="1" customHeight="1" spans="1:25">
      <c r="A6039" s="16" t="s">
        <v>401</v>
      </c>
      <c r="B6039" s="17" t="s">
        <v>6971</v>
      </c>
      <c r="C6039" s="17" t="s">
        <v>50</v>
      </c>
      <c r="D6039" s="17" t="s">
        <v>881</v>
      </c>
      <c r="E6039" s="18" t="s">
        <v>8061</v>
      </c>
      <c r="F6039" s="16" t="s">
        <v>8062</v>
      </c>
      <c r="G6039" s="16" t="s">
        <v>88</v>
      </c>
      <c r="H6039" s="19" t="s">
        <v>8068</v>
      </c>
      <c r="I6039" s="23" t="e">
        <f>VLOOKUP(H6039,'合同综合查询数据（3月返）'!$A:$A,1,FALSE)</f>
        <v>#N/A</v>
      </c>
      <c r="J6039" s="24" t="s">
        <v>126</v>
      </c>
      <c r="K6039" s="16" t="s">
        <v>51</v>
      </c>
      <c r="L6039" s="25" t="s">
        <v>8069</v>
      </c>
      <c r="M6039" s="26" t="s">
        <v>8070</v>
      </c>
      <c r="N6039" s="28">
        <v>44317</v>
      </c>
      <c r="O6039" s="28" t="s">
        <v>1461</v>
      </c>
      <c r="P6039" s="29">
        <v>3000</v>
      </c>
      <c r="Q6039" s="35">
        <v>2</v>
      </c>
      <c r="R6039" s="36">
        <f>ROUND(Q6039*P6039,2)</f>
        <v>6000</v>
      </c>
      <c r="S6039" s="37">
        <v>202303</v>
      </c>
      <c r="T6039" s="38" t="s">
        <v>8073</v>
      </c>
      <c r="U6039" s="39"/>
      <c r="V6039" s="40"/>
      <c r="W6039" s="41"/>
      <c r="X6039" s="28">
        <v>44317</v>
      </c>
      <c r="Y6039" s="28">
        <v>45046</v>
      </c>
    </row>
    <row r="6040" s="9" customFormat="1" customHeight="1" spans="1:25">
      <c r="A6040" s="16" t="s">
        <v>401</v>
      </c>
      <c r="B6040" s="17" t="s">
        <v>6971</v>
      </c>
      <c r="C6040" s="17" t="s">
        <v>50</v>
      </c>
      <c r="D6040" s="17" t="s">
        <v>881</v>
      </c>
      <c r="E6040" s="18" t="s">
        <v>8061</v>
      </c>
      <c r="F6040" s="16" t="s">
        <v>8062</v>
      </c>
      <c r="G6040" s="16" t="s">
        <v>31</v>
      </c>
      <c r="H6040" s="19" t="s">
        <v>8068</v>
      </c>
      <c r="I6040" s="23" t="e">
        <f>VLOOKUP(H6040,'合同综合查询数据（3月返）'!$A:$A,1,FALSE)</f>
        <v>#N/A</v>
      </c>
      <c r="J6040" s="24" t="s">
        <v>33</v>
      </c>
      <c r="K6040" s="16" t="s">
        <v>51</v>
      </c>
      <c r="L6040" s="25" t="s">
        <v>8069</v>
      </c>
      <c r="M6040" s="26" t="s">
        <v>8070</v>
      </c>
      <c r="N6040" s="28">
        <v>44317</v>
      </c>
      <c r="O6040" s="28" t="s">
        <v>37</v>
      </c>
      <c r="P6040" s="29">
        <v>0</v>
      </c>
      <c r="Q6040" s="35">
        <v>128</v>
      </c>
      <c r="R6040" s="36">
        <f>ROUND(Q6040*P6040,2)</f>
        <v>0</v>
      </c>
      <c r="S6040" s="37">
        <v>202303</v>
      </c>
      <c r="T6040" s="38" t="s">
        <v>8074</v>
      </c>
      <c r="U6040" s="39"/>
      <c r="V6040" s="40"/>
      <c r="W6040" s="41"/>
      <c r="X6040" s="28">
        <v>44317</v>
      </c>
      <c r="Y6040" s="28">
        <v>45046</v>
      </c>
    </row>
    <row r="6041" s="9" customFormat="1" customHeight="1" spans="1:25">
      <c r="A6041" s="16" t="s">
        <v>401</v>
      </c>
      <c r="B6041" s="17" t="s">
        <v>6971</v>
      </c>
      <c r="C6041" s="17" t="s">
        <v>50</v>
      </c>
      <c r="D6041" s="17" t="s">
        <v>881</v>
      </c>
      <c r="E6041" s="18" t="s">
        <v>8061</v>
      </c>
      <c r="F6041" s="16" t="s">
        <v>8062</v>
      </c>
      <c r="G6041" s="16" t="s">
        <v>88</v>
      </c>
      <c r="H6041" s="19" t="s">
        <v>8068</v>
      </c>
      <c r="I6041" s="23" t="e">
        <f>VLOOKUP(H6041,'合同综合查询数据（3月返）'!$A:$A,1,FALSE)</f>
        <v>#N/A</v>
      </c>
      <c r="J6041" s="24" t="s">
        <v>126</v>
      </c>
      <c r="K6041" s="16" t="s">
        <v>51</v>
      </c>
      <c r="L6041" s="25" t="s">
        <v>8069</v>
      </c>
      <c r="M6041" s="26" t="s">
        <v>8070</v>
      </c>
      <c r="N6041" s="28">
        <v>44420</v>
      </c>
      <c r="O6041" s="28" t="s">
        <v>2283</v>
      </c>
      <c r="P6041" s="29">
        <v>3000</v>
      </c>
      <c r="Q6041" s="35">
        <v>1</v>
      </c>
      <c r="R6041" s="36">
        <f t="shared" ref="R6041:R6104" si="141">ROUND(P6041*Q6041,2)</f>
        <v>3000</v>
      </c>
      <c r="S6041" s="37">
        <v>202303</v>
      </c>
      <c r="T6041" s="38" t="s">
        <v>8075</v>
      </c>
      <c r="U6041" s="39"/>
      <c r="V6041" s="40"/>
      <c r="W6041" s="41"/>
      <c r="X6041" s="28">
        <v>44317</v>
      </c>
      <c r="Y6041" s="28">
        <v>45046</v>
      </c>
    </row>
    <row r="6042" s="9" customFormat="1" customHeight="1" spans="1:25">
      <c r="A6042" s="16" t="s">
        <v>401</v>
      </c>
      <c r="B6042" s="17" t="s">
        <v>6971</v>
      </c>
      <c r="C6042" s="17" t="s">
        <v>50</v>
      </c>
      <c r="D6042" s="17" t="s">
        <v>881</v>
      </c>
      <c r="E6042" s="18" t="s">
        <v>8061</v>
      </c>
      <c r="F6042" s="16" t="s">
        <v>8062</v>
      </c>
      <c r="G6042" s="16" t="s">
        <v>31</v>
      </c>
      <c r="H6042" s="19" t="s">
        <v>8068</v>
      </c>
      <c r="I6042" s="23" t="e">
        <f>VLOOKUP(H6042,'合同综合查询数据（3月返）'!$A:$A,1,FALSE)</f>
        <v>#N/A</v>
      </c>
      <c r="J6042" s="24" t="s">
        <v>33</v>
      </c>
      <c r="K6042" s="16" t="s">
        <v>51</v>
      </c>
      <c r="L6042" s="25" t="s">
        <v>8069</v>
      </c>
      <c r="M6042" s="26" t="s">
        <v>8070</v>
      </c>
      <c r="N6042" s="28">
        <v>44420</v>
      </c>
      <c r="O6042" s="28" t="s">
        <v>37</v>
      </c>
      <c r="P6042" s="29">
        <v>50</v>
      </c>
      <c r="Q6042" s="35">
        <v>128</v>
      </c>
      <c r="R6042" s="36">
        <f t="shared" si="141"/>
        <v>6400</v>
      </c>
      <c r="S6042" s="37">
        <v>202303</v>
      </c>
      <c r="T6042" s="38" t="s">
        <v>8076</v>
      </c>
      <c r="U6042" s="39"/>
      <c r="V6042" s="40"/>
      <c r="W6042" s="41"/>
      <c r="X6042" s="28">
        <v>44317</v>
      </c>
      <c r="Y6042" s="28">
        <v>45046</v>
      </c>
    </row>
    <row r="6043" s="9" customFormat="1" customHeight="1" spans="1:25">
      <c r="A6043" s="16" t="s">
        <v>401</v>
      </c>
      <c r="B6043" s="17" t="s">
        <v>6971</v>
      </c>
      <c r="C6043" s="17" t="s">
        <v>50</v>
      </c>
      <c r="D6043" s="17" t="s">
        <v>881</v>
      </c>
      <c r="E6043" s="18" t="s">
        <v>8061</v>
      </c>
      <c r="F6043" s="16" t="s">
        <v>8062</v>
      </c>
      <c r="G6043" s="16" t="s">
        <v>31</v>
      </c>
      <c r="H6043" s="19" t="s">
        <v>8068</v>
      </c>
      <c r="I6043" s="23" t="e">
        <f>VLOOKUP(H6043,'合同综合查询数据（3月返）'!$A:$A,1,FALSE)</f>
        <v>#N/A</v>
      </c>
      <c r="J6043" s="24" t="s">
        <v>33</v>
      </c>
      <c r="K6043" s="16" t="s">
        <v>51</v>
      </c>
      <c r="L6043" s="25" t="s">
        <v>8069</v>
      </c>
      <c r="M6043" s="26" t="s">
        <v>8070</v>
      </c>
      <c r="N6043" s="28">
        <v>44874</v>
      </c>
      <c r="O6043" s="28" t="s">
        <v>37</v>
      </c>
      <c r="P6043" s="29">
        <v>50</v>
      </c>
      <c r="Q6043" s="35">
        <v>-128</v>
      </c>
      <c r="R6043" s="36">
        <f t="shared" si="141"/>
        <v>-6400</v>
      </c>
      <c r="S6043" s="37">
        <v>202303</v>
      </c>
      <c r="T6043" s="38" t="s">
        <v>8077</v>
      </c>
      <c r="U6043" s="39"/>
      <c r="V6043" s="40"/>
      <c r="W6043" s="41"/>
      <c r="X6043" s="28">
        <v>44317</v>
      </c>
      <c r="Y6043" s="28">
        <v>45046</v>
      </c>
    </row>
    <row r="6044" s="9" customFormat="1" customHeight="1" spans="1:25">
      <c r="A6044" s="16" t="s">
        <v>401</v>
      </c>
      <c r="B6044" s="17" t="s">
        <v>6971</v>
      </c>
      <c r="C6044" s="17" t="s">
        <v>50</v>
      </c>
      <c r="D6044" s="17" t="s">
        <v>881</v>
      </c>
      <c r="E6044" s="18" t="s">
        <v>8061</v>
      </c>
      <c r="F6044" s="16" t="s">
        <v>8062</v>
      </c>
      <c r="G6044" s="16" t="s">
        <v>88</v>
      </c>
      <c r="H6044" s="19" t="s">
        <v>8063</v>
      </c>
      <c r="I6044" s="23" t="e">
        <f>VLOOKUP(H6044,'合同综合查询数据（3月返）'!$A:$A,1,FALSE)</f>
        <v>#N/A</v>
      </c>
      <c r="J6044" s="24" t="s">
        <v>126</v>
      </c>
      <c r="K6044" s="16" t="s">
        <v>51</v>
      </c>
      <c r="L6044" s="25" t="s">
        <v>8078</v>
      </c>
      <c r="M6044" s="26" t="s">
        <v>8079</v>
      </c>
      <c r="N6044" s="28">
        <v>44805</v>
      </c>
      <c r="O6044" s="28" t="s">
        <v>127</v>
      </c>
      <c r="P6044" s="29">
        <v>3000</v>
      </c>
      <c r="Q6044" s="35">
        <v>1</v>
      </c>
      <c r="R6044" s="36">
        <f t="shared" si="141"/>
        <v>3000</v>
      </c>
      <c r="S6044" s="37">
        <v>202303</v>
      </c>
      <c r="T6044" s="38" t="s">
        <v>8080</v>
      </c>
      <c r="U6044" s="39"/>
      <c r="V6044" s="40"/>
      <c r="W6044" s="41"/>
      <c r="X6044" s="28">
        <v>44378</v>
      </c>
      <c r="Y6044" s="28">
        <v>45107</v>
      </c>
    </row>
    <row r="6045" s="9" customFormat="1" customHeight="1" spans="1:25">
      <c r="A6045" s="16" t="s">
        <v>401</v>
      </c>
      <c r="B6045" s="17" t="s">
        <v>6971</v>
      </c>
      <c r="C6045" s="17" t="s">
        <v>50</v>
      </c>
      <c r="D6045" s="17" t="s">
        <v>881</v>
      </c>
      <c r="E6045" s="18" t="s">
        <v>8061</v>
      </c>
      <c r="F6045" s="16" t="s">
        <v>8062</v>
      </c>
      <c r="G6045" s="16" t="s">
        <v>88</v>
      </c>
      <c r="H6045" s="19" t="s">
        <v>8063</v>
      </c>
      <c r="I6045" s="23" t="e">
        <f>VLOOKUP(H6045,'合同综合查询数据（3月返）'!$A:$A,1,FALSE)</f>
        <v>#N/A</v>
      </c>
      <c r="J6045" s="24" t="s">
        <v>126</v>
      </c>
      <c r="K6045" s="16" t="s">
        <v>51</v>
      </c>
      <c r="L6045" s="25" t="s">
        <v>8078</v>
      </c>
      <c r="M6045" s="26" t="s">
        <v>8079</v>
      </c>
      <c r="N6045" s="28">
        <v>44957</v>
      </c>
      <c r="O6045" s="28" t="s">
        <v>127</v>
      </c>
      <c r="P6045" s="29">
        <v>3000</v>
      </c>
      <c r="Q6045" s="35">
        <v>-1</v>
      </c>
      <c r="R6045" s="36">
        <f t="shared" si="141"/>
        <v>-3000</v>
      </c>
      <c r="S6045" s="37">
        <v>202303</v>
      </c>
      <c r="T6045" s="38" t="s">
        <v>8081</v>
      </c>
      <c r="U6045" s="39"/>
      <c r="V6045" s="40"/>
      <c r="W6045" s="41"/>
      <c r="X6045" s="28">
        <v>44378</v>
      </c>
      <c r="Y6045" s="28">
        <v>45107</v>
      </c>
    </row>
    <row r="6046" s="9" customFormat="1" customHeight="1" spans="1:25">
      <c r="A6046" s="16" t="s">
        <v>401</v>
      </c>
      <c r="B6046" s="17" t="s">
        <v>6971</v>
      </c>
      <c r="C6046" s="17" t="s">
        <v>50</v>
      </c>
      <c r="D6046" s="17" t="s">
        <v>881</v>
      </c>
      <c r="E6046" s="18" t="s">
        <v>8061</v>
      </c>
      <c r="F6046" s="16" t="s">
        <v>8062</v>
      </c>
      <c r="G6046" s="16" t="s">
        <v>31</v>
      </c>
      <c r="H6046" s="19" t="s">
        <v>8063</v>
      </c>
      <c r="I6046" s="23" t="e">
        <f>VLOOKUP(H6046,'合同综合查询数据（3月返）'!$A:$A,1,FALSE)</f>
        <v>#N/A</v>
      </c>
      <c r="J6046" s="24" t="s">
        <v>33</v>
      </c>
      <c r="K6046" s="16" t="s">
        <v>51</v>
      </c>
      <c r="L6046" s="25" t="s">
        <v>8078</v>
      </c>
      <c r="M6046" s="26" t="s">
        <v>8079</v>
      </c>
      <c r="N6046" s="28">
        <v>44805</v>
      </c>
      <c r="O6046" s="28" t="s">
        <v>37</v>
      </c>
      <c r="P6046" s="29">
        <v>0</v>
      </c>
      <c r="Q6046" s="35">
        <v>128</v>
      </c>
      <c r="R6046" s="36">
        <f t="shared" si="141"/>
        <v>0</v>
      </c>
      <c r="S6046" s="37">
        <v>202303</v>
      </c>
      <c r="T6046" s="38" t="s">
        <v>8082</v>
      </c>
      <c r="U6046" s="39"/>
      <c r="V6046" s="40"/>
      <c r="W6046" s="41"/>
      <c r="X6046" s="28">
        <v>44378</v>
      </c>
      <c r="Y6046" s="28">
        <v>45107</v>
      </c>
    </row>
    <row r="6047" s="9" customFormat="1" customHeight="1" spans="1:25">
      <c r="A6047" s="16" t="s">
        <v>401</v>
      </c>
      <c r="B6047" s="17" t="s">
        <v>6971</v>
      </c>
      <c r="C6047" s="17" t="s">
        <v>50</v>
      </c>
      <c r="D6047" s="17" t="s">
        <v>881</v>
      </c>
      <c r="E6047" s="18" t="s">
        <v>8061</v>
      </c>
      <c r="F6047" s="16" t="s">
        <v>8062</v>
      </c>
      <c r="G6047" s="16" t="s">
        <v>31</v>
      </c>
      <c r="H6047" s="19" t="s">
        <v>8063</v>
      </c>
      <c r="I6047" s="23" t="e">
        <f>VLOOKUP(H6047,'合同综合查询数据（3月返）'!$A:$A,1,FALSE)</f>
        <v>#N/A</v>
      </c>
      <c r="J6047" s="24" t="s">
        <v>33</v>
      </c>
      <c r="K6047" s="16" t="s">
        <v>51</v>
      </c>
      <c r="L6047" s="25" t="s">
        <v>8078</v>
      </c>
      <c r="M6047" s="26" t="s">
        <v>8079</v>
      </c>
      <c r="N6047" s="28">
        <v>44957</v>
      </c>
      <c r="O6047" s="28" t="s">
        <v>37</v>
      </c>
      <c r="P6047" s="29">
        <v>0</v>
      </c>
      <c r="Q6047" s="35">
        <v>-128</v>
      </c>
      <c r="R6047" s="36">
        <f t="shared" si="141"/>
        <v>0</v>
      </c>
      <c r="S6047" s="37">
        <v>202303</v>
      </c>
      <c r="T6047" s="38" t="s">
        <v>8081</v>
      </c>
      <c r="U6047" s="39"/>
      <c r="V6047" s="40"/>
      <c r="W6047" s="41"/>
      <c r="X6047" s="28">
        <v>44378</v>
      </c>
      <c r="Y6047" s="28">
        <v>45107</v>
      </c>
    </row>
    <row r="6048" s="9" customFormat="1" customHeight="1" spans="1:25">
      <c r="A6048" s="16" t="s">
        <v>401</v>
      </c>
      <c r="B6048" s="17" t="s">
        <v>6971</v>
      </c>
      <c r="C6048" s="17" t="s">
        <v>50</v>
      </c>
      <c r="D6048" s="17" t="s">
        <v>881</v>
      </c>
      <c r="E6048" s="18" t="s">
        <v>8061</v>
      </c>
      <c r="F6048" s="16" t="s">
        <v>8062</v>
      </c>
      <c r="G6048" s="16" t="s">
        <v>31</v>
      </c>
      <c r="H6048" s="19" t="s">
        <v>8063</v>
      </c>
      <c r="I6048" s="23" t="e">
        <f>VLOOKUP(H6048,'合同综合查询数据（3月返）'!$A:$A,1,FALSE)</f>
        <v>#N/A</v>
      </c>
      <c r="J6048" s="24" t="s">
        <v>33</v>
      </c>
      <c r="K6048" s="16" t="s">
        <v>51</v>
      </c>
      <c r="L6048" s="25" t="s">
        <v>8078</v>
      </c>
      <c r="M6048" s="26" t="s">
        <v>8079</v>
      </c>
      <c r="N6048" s="28">
        <v>44805</v>
      </c>
      <c r="O6048" s="28" t="s">
        <v>152</v>
      </c>
      <c r="P6048" s="29">
        <v>0</v>
      </c>
      <c r="Q6048" s="35">
        <v>1</v>
      </c>
      <c r="R6048" s="36">
        <f t="shared" si="141"/>
        <v>0</v>
      </c>
      <c r="S6048" s="37">
        <v>202303</v>
      </c>
      <c r="T6048" s="38" t="s">
        <v>8083</v>
      </c>
      <c r="U6048" s="39"/>
      <c r="V6048" s="40"/>
      <c r="W6048" s="41"/>
      <c r="X6048" s="28">
        <v>44378</v>
      </c>
      <c r="Y6048" s="28">
        <v>45107</v>
      </c>
    </row>
    <row r="6049" s="9" customFormat="1" customHeight="1" spans="1:25">
      <c r="A6049" s="16" t="s">
        <v>401</v>
      </c>
      <c r="B6049" s="17" t="s">
        <v>6971</v>
      </c>
      <c r="C6049" s="17" t="s">
        <v>50</v>
      </c>
      <c r="D6049" s="17" t="s">
        <v>881</v>
      </c>
      <c r="E6049" s="18" t="s">
        <v>8061</v>
      </c>
      <c r="F6049" s="16" t="s">
        <v>8062</v>
      </c>
      <c r="G6049" s="16" t="s">
        <v>31</v>
      </c>
      <c r="H6049" s="19" t="s">
        <v>8063</v>
      </c>
      <c r="I6049" s="23" t="e">
        <f>VLOOKUP(H6049,'合同综合查询数据（3月返）'!$A:$A,1,FALSE)</f>
        <v>#N/A</v>
      </c>
      <c r="J6049" s="24" t="s">
        <v>33</v>
      </c>
      <c r="K6049" s="16" t="s">
        <v>51</v>
      </c>
      <c r="L6049" s="25" t="s">
        <v>8078</v>
      </c>
      <c r="M6049" s="26" t="s">
        <v>8079</v>
      </c>
      <c r="N6049" s="28">
        <v>44957</v>
      </c>
      <c r="O6049" s="28" t="s">
        <v>152</v>
      </c>
      <c r="P6049" s="29">
        <v>0</v>
      </c>
      <c r="Q6049" s="35">
        <v>-1</v>
      </c>
      <c r="R6049" s="36">
        <f t="shared" si="141"/>
        <v>0</v>
      </c>
      <c r="S6049" s="37">
        <v>202303</v>
      </c>
      <c r="T6049" s="38" t="s">
        <v>8081</v>
      </c>
      <c r="U6049" s="39"/>
      <c r="V6049" s="40"/>
      <c r="W6049" s="41"/>
      <c r="X6049" s="28">
        <v>44378</v>
      </c>
      <c r="Y6049" s="28">
        <v>45107</v>
      </c>
    </row>
    <row r="6050" s="10" customFormat="1" customHeight="1" spans="1:25">
      <c r="A6050" s="42" t="s">
        <v>399</v>
      </c>
      <c r="B6050" s="43" t="s">
        <v>6971</v>
      </c>
      <c r="C6050" s="43" t="s">
        <v>7971</v>
      </c>
      <c r="D6050" s="43" t="s">
        <v>881</v>
      </c>
      <c r="E6050" s="44" t="s">
        <v>8084</v>
      </c>
      <c r="F6050" s="42" t="s">
        <v>8085</v>
      </c>
      <c r="G6050" s="42" t="s">
        <v>88</v>
      </c>
      <c r="H6050" s="45" t="s">
        <v>8086</v>
      </c>
      <c r="I6050" s="47" t="e">
        <f>VLOOKUP(H6050,'合同综合查询数据（3月返）'!$A:$A,1,FALSE)</f>
        <v>#N/A</v>
      </c>
      <c r="J6050" s="48" t="s">
        <v>126</v>
      </c>
      <c r="K6050" s="42" t="s">
        <v>8087</v>
      </c>
      <c r="L6050" s="49"/>
      <c r="M6050" s="50" t="s">
        <v>8088</v>
      </c>
      <c r="N6050" s="51">
        <v>43475</v>
      </c>
      <c r="O6050" s="51" t="s">
        <v>127</v>
      </c>
      <c r="P6050" s="52">
        <v>5000</v>
      </c>
      <c r="Q6050" s="53">
        <v>2</v>
      </c>
      <c r="R6050" s="54">
        <f t="shared" si="141"/>
        <v>10000</v>
      </c>
      <c r="S6050" s="55">
        <v>202303</v>
      </c>
      <c r="T6050" s="56" t="s">
        <v>8089</v>
      </c>
      <c r="U6050" s="57"/>
      <c r="V6050" s="58"/>
      <c r="W6050" s="59"/>
      <c r="X6050" s="51"/>
      <c r="Y6050" s="51"/>
    </row>
    <row r="6051" s="10" customFormat="1" customHeight="1" spans="1:25">
      <c r="A6051" s="42" t="s">
        <v>399</v>
      </c>
      <c r="B6051" s="43" t="s">
        <v>6971</v>
      </c>
      <c r="C6051" s="43" t="s">
        <v>7971</v>
      </c>
      <c r="D6051" s="43" t="s">
        <v>881</v>
      </c>
      <c r="E6051" s="44" t="s">
        <v>8084</v>
      </c>
      <c r="F6051" s="42" t="s">
        <v>8085</v>
      </c>
      <c r="G6051" s="42" t="s">
        <v>31</v>
      </c>
      <c r="H6051" s="45" t="s">
        <v>8086</v>
      </c>
      <c r="I6051" s="47" t="e">
        <f>VLOOKUP(H6051,'合同综合查询数据（3月返）'!$A:$A,1,FALSE)</f>
        <v>#N/A</v>
      </c>
      <c r="J6051" s="48" t="s">
        <v>33</v>
      </c>
      <c r="K6051" s="42" t="s">
        <v>8087</v>
      </c>
      <c r="L6051" s="49" t="s">
        <v>8090</v>
      </c>
      <c r="M6051" s="50" t="s">
        <v>8088</v>
      </c>
      <c r="N6051" s="51">
        <v>44011</v>
      </c>
      <c r="O6051" s="51" t="s">
        <v>37</v>
      </c>
      <c r="P6051" s="52">
        <v>0</v>
      </c>
      <c r="Q6051" s="53">
        <v>288</v>
      </c>
      <c r="R6051" s="54">
        <f t="shared" si="141"/>
        <v>0</v>
      </c>
      <c r="S6051" s="55">
        <v>202303</v>
      </c>
      <c r="T6051" s="56" t="s">
        <v>8091</v>
      </c>
      <c r="U6051" s="57"/>
      <c r="V6051" s="58"/>
      <c r="W6051" s="59"/>
      <c r="X6051" s="51"/>
      <c r="Y6051" s="51"/>
    </row>
    <row r="6052" s="10" customFormat="1" customHeight="1" spans="1:25">
      <c r="A6052" s="42" t="s">
        <v>399</v>
      </c>
      <c r="B6052" s="43" t="s">
        <v>6971</v>
      </c>
      <c r="C6052" s="43" t="s">
        <v>7971</v>
      </c>
      <c r="D6052" s="43" t="s">
        <v>881</v>
      </c>
      <c r="E6052" s="44" t="s">
        <v>8084</v>
      </c>
      <c r="F6052" s="42" t="s">
        <v>8085</v>
      </c>
      <c r="G6052" s="42" t="s">
        <v>88</v>
      </c>
      <c r="H6052" s="45" t="s">
        <v>8086</v>
      </c>
      <c r="I6052" s="47" t="e">
        <f>VLOOKUP(H6052,'合同综合查询数据（3月返）'!$A:$A,1,FALSE)</f>
        <v>#N/A</v>
      </c>
      <c r="J6052" s="48" t="s">
        <v>126</v>
      </c>
      <c r="K6052" s="42" t="s">
        <v>8087</v>
      </c>
      <c r="L6052" s="49" t="s">
        <v>8090</v>
      </c>
      <c r="M6052" s="50" t="s">
        <v>8088</v>
      </c>
      <c r="N6052" s="51">
        <v>44011</v>
      </c>
      <c r="O6052" s="51" t="s">
        <v>457</v>
      </c>
      <c r="P6052" s="52">
        <v>5500</v>
      </c>
      <c r="Q6052" s="53">
        <v>2</v>
      </c>
      <c r="R6052" s="54">
        <f t="shared" si="141"/>
        <v>11000</v>
      </c>
      <c r="S6052" s="55">
        <v>202303</v>
      </c>
      <c r="T6052" s="56" t="s">
        <v>8092</v>
      </c>
      <c r="U6052" s="57"/>
      <c r="V6052" s="58"/>
      <c r="W6052" s="59"/>
      <c r="X6052" s="51"/>
      <c r="Y6052" s="51"/>
    </row>
    <row r="6053" s="10" customFormat="1" customHeight="1" spans="1:25">
      <c r="A6053" s="42" t="s">
        <v>399</v>
      </c>
      <c r="B6053" s="43" t="s">
        <v>6971</v>
      </c>
      <c r="C6053" s="43" t="s">
        <v>7971</v>
      </c>
      <c r="D6053" s="43" t="s">
        <v>881</v>
      </c>
      <c r="E6053" s="44" t="s">
        <v>8084</v>
      </c>
      <c r="F6053" s="42" t="s">
        <v>8085</v>
      </c>
      <c r="G6053" s="42" t="s">
        <v>88</v>
      </c>
      <c r="H6053" s="45" t="s">
        <v>8086</v>
      </c>
      <c r="I6053" s="47" t="e">
        <f>VLOOKUP(H6053,'合同综合查询数据（3月返）'!$A:$A,1,FALSE)</f>
        <v>#N/A</v>
      </c>
      <c r="J6053" s="48" t="s">
        <v>126</v>
      </c>
      <c r="K6053" s="42" t="s">
        <v>8087</v>
      </c>
      <c r="L6053" s="49" t="s">
        <v>8090</v>
      </c>
      <c r="M6053" s="50" t="s">
        <v>8088</v>
      </c>
      <c r="N6053" s="51">
        <v>44011</v>
      </c>
      <c r="O6053" s="51" t="s">
        <v>457</v>
      </c>
      <c r="P6053" s="52">
        <v>5500</v>
      </c>
      <c r="Q6053" s="53">
        <v>1</v>
      </c>
      <c r="R6053" s="54">
        <f t="shared" si="141"/>
        <v>5500</v>
      </c>
      <c r="S6053" s="55">
        <v>202303</v>
      </c>
      <c r="T6053" s="56" t="s">
        <v>8093</v>
      </c>
      <c r="U6053" s="57"/>
      <c r="V6053" s="58"/>
      <c r="W6053" s="59"/>
      <c r="X6053" s="51"/>
      <c r="Y6053" s="51"/>
    </row>
    <row r="6054" s="10" customFormat="1" customHeight="1" spans="1:25">
      <c r="A6054" s="42" t="s">
        <v>399</v>
      </c>
      <c r="B6054" s="43" t="s">
        <v>6971</v>
      </c>
      <c r="C6054" s="43" t="s">
        <v>7971</v>
      </c>
      <c r="D6054" s="43" t="s">
        <v>881</v>
      </c>
      <c r="E6054" s="44" t="s">
        <v>8084</v>
      </c>
      <c r="F6054" s="42" t="s">
        <v>8085</v>
      </c>
      <c r="G6054" s="42" t="s">
        <v>88</v>
      </c>
      <c r="H6054" s="45" t="s">
        <v>8086</v>
      </c>
      <c r="I6054" s="47" t="e">
        <f>VLOOKUP(H6054,'合同综合查询数据（3月返）'!$A:$A,1,FALSE)</f>
        <v>#N/A</v>
      </c>
      <c r="J6054" s="48" t="s">
        <v>126</v>
      </c>
      <c r="K6054" s="42" t="s">
        <v>8087</v>
      </c>
      <c r="L6054" s="49" t="s">
        <v>8090</v>
      </c>
      <c r="M6054" s="50" t="s">
        <v>8088</v>
      </c>
      <c r="N6054" s="51">
        <v>44712</v>
      </c>
      <c r="O6054" s="51" t="s">
        <v>457</v>
      </c>
      <c r="P6054" s="52">
        <v>5000</v>
      </c>
      <c r="Q6054" s="53">
        <v>-2</v>
      </c>
      <c r="R6054" s="54">
        <f t="shared" si="141"/>
        <v>-10000</v>
      </c>
      <c r="S6054" s="55">
        <v>202303</v>
      </c>
      <c r="T6054" s="56" t="s">
        <v>8094</v>
      </c>
      <c r="U6054" s="57"/>
      <c r="V6054" s="58"/>
      <c r="W6054" s="59"/>
      <c r="X6054" s="51"/>
      <c r="Y6054" s="51"/>
    </row>
    <row r="6055" s="10" customFormat="1" customHeight="1" spans="1:25">
      <c r="A6055" s="42" t="s">
        <v>399</v>
      </c>
      <c r="B6055" s="43" t="s">
        <v>6971</v>
      </c>
      <c r="C6055" s="43" t="s">
        <v>7971</v>
      </c>
      <c r="D6055" s="43" t="s">
        <v>881</v>
      </c>
      <c r="E6055" s="44" t="s">
        <v>8084</v>
      </c>
      <c r="F6055" s="42" t="s">
        <v>8085</v>
      </c>
      <c r="G6055" s="42" t="s">
        <v>31</v>
      </c>
      <c r="H6055" s="45" t="s">
        <v>8086</v>
      </c>
      <c r="I6055" s="47" t="e">
        <f>VLOOKUP(H6055,'合同综合查询数据（3月返）'!$A:$A,1,FALSE)</f>
        <v>#N/A</v>
      </c>
      <c r="J6055" s="48" t="s">
        <v>33</v>
      </c>
      <c r="K6055" s="42" t="s">
        <v>8087</v>
      </c>
      <c r="L6055" s="49" t="s">
        <v>8090</v>
      </c>
      <c r="M6055" s="50" t="s">
        <v>8088</v>
      </c>
      <c r="N6055" s="51">
        <v>44011</v>
      </c>
      <c r="O6055" s="51" t="s">
        <v>37</v>
      </c>
      <c r="P6055" s="52">
        <v>0</v>
      </c>
      <c r="Q6055" s="53">
        <v>128</v>
      </c>
      <c r="R6055" s="54">
        <f t="shared" si="141"/>
        <v>0</v>
      </c>
      <c r="S6055" s="55">
        <v>202303</v>
      </c>
      <c r="T6055" s="56" t="s">
        <v>8095</v>
      </c>
      <c r="U6055" s="57"/>
      <c r="V6055" s="58"/>
      <c r="W6055" s="59"/>
      <c r="X6055" s="51"/>
      <c r="Y6055" s="51"/>
    </row>
    <row r="6056" s="10" customFormat="1" customHeight="1" spans="1:25">
      <c r="A6056" s="42" t="s">
        <v>399</v>
      </c>
      <c r="B6056" s="43" t="s">
        <v>6971</v>
      </c>
      <c r="C6056" s="43" t="s">
        <v>7971</v>
      </c>
      <c r="D6056" s="43" t="s">
        <v>881</v>
      </c>
      <c r="E6056" s="44" t="s">
        <v>8084</v>
      </c>
      <c r="F6056" s="42" t="s">
        <v>8085</v>
      </c>
      <c r="G6056" s="42" t="s">
        <v>31</v>
      </c>
      <c r="H6056" s="45" t="s">
        <v>8086</v>
      </c>
      <c r="I6056" s="47" t="e">
        <f>VLOOKUP(H6056,'合同综合查询数据（3月返）'!$A:$A,1,FALSE)</f>
        <v>#N/A</v>
      </c>
      <c r="J6056" s="48" t="s">
        <v>33</v>
      </c>
      <c r="K6056" s="42" t="s">
        <v>8087</v>
      </c>
      <c r="L6056" s="49" t="s">
        <v>8096</v>
      </c>
      <c r="M6056" s="50" t="s">
        <v>8088</v>
      </c>
      <c r="N6056" s="51">
        <v>43475</v>
      </c>
      <c r="O6056" s="51" t="s">
        <v>37</v>
      </c>
      <c r="P6056" s="52">
        <v>0</v>
      </c>
      <c r="Q6056" s="53">
        <v>160</v>
      </c>
      <c r="R6056" s="54">
        <f t="shared" si="141"/>
        <v>0</v>
      </c>
      <c r="S6056" s="55">
        <v>202303</v>
      </c>
      <c r="T6056" s="56" t="s">
        <v>8097</v>
      </c>
      <c r="U6056" s="57"/>
      <c r="V6056" s="58"/>
      <c r="W6056" s="59"/>
      <c r="X6056" s="51"/>
      <c r="Y6056" s="51"/>
    </row>
    <row r="6057" s="10" customFormat="1" customHeight="1" spans="1:25">
      <c r="A6057" s="42" t="s">
        <v>399</v>
      </c>
      <c r="B6057" s="43" t="s">
        <v>6971</v>
      </c>
      <c r="C6057" s="43" t="s">
        <v>7971</v>
      </c>
      <c r="D6057" s="43" t="s">
        <v>881</v>
      </c>
      <c r="E6057" s="44" t="s">
        <v>8084</v>
      </c>
      <c r="F6057" s="42" t="s">
        <v>8085</v>
      </c>
      <c r="G6057" s="42" t="s">
        <v>31</v>
      </c>
      <c r="H6057" s="45" t="s">
        <v>8086</v>
      </c>
      <c r="I6057" s="47" t="e">
        <f>VLOOKUP(H6057,'合同综合查询数据（3月返）'!$A:$A,1,FALSE)</f>
        <v>#N/A</v>
      </c>
      <c r="J6057" s="48" t="s">
        <v>33</v>
      </c>
      <c r="K6057" s="42" t="s">
        <v>8087</v>
      </c>
      <c r="L6057" s="49" t="s">
        <v>8096</v>
      </c>
      <c r="M6057" s="50" t="s">
        <v>8088</v>
      </c>
      <c r="N6057" s="51">
        <v>44712</v>
      </c>
      <c r="O6057" s="51" t="s">
        <v>37</v>
      </c>
      <c r="P6057" s="52">
        <v>0</v>
      </c>
      <c r="Q6057" s="53">
        <v>-160</v>
      </c>
      <c r="R6057" s="54">
        <f t="shared" si="141"/>
        <v>0</v>
      </c>
      <c r="S6057" s="55">
        <v>202303</v>
      </c>
      <c r="T6057" s="56" t="s">
        <v>8098</v>
      </c>
      <c r="U6057" s="57"/>
      <c r="V6057" s="58"/>
      <c r="W6057" s="59"/>
      <c r="X6057" s="51"/>
      <c r="Y6057" s="51"/>
    </row>
    <row r="6058" s="10" customFormat="1" customHeight="1" spans="1:25">
      <c r="A6058" s="42" t="s">
        <v>399</v>
      </c>
      <c r="B6058" s="43" t="s">
        <v>6971</v>
      </c>
      <c r="C6058" s="43" t="s">
        <v>7971</v>
      </c>
      <c r="D6058" s="43" t="s">
        <v>881</v>
      </c>
      <c r="E6058" s="44" t="s">
        <v>8084</v>
      </c>
      <c r="F6058" s="42" t="s">
        <v>8085</v>
      </c>
      <c r="G6058" s="42" t="s">
        <v>88</v>
      </c>
      <c r="H6058" s="45" t="s">
        <v>8086</v>
      </c>
      <c r="I6058" s="47" t="e">
        <f>VLOOKUP(H6058,'合同综合查询数据（3月返）'!$A:$A,1,FALSE)</f>
        <v>#N/A</v>
      </c>
      <c r="J6058" s="48" t="s">
        <v>126</v>
      </c>
      <c r="K6058" s="42" t="s">
        <v>8087</v>
      </c>
      <c r="L6058" s="49" t="s">
        <v>8090</v>
      </c>
      <c r="M6058" s="50" t="s">
        <v>8088</v>
      </c>
      <c r="N6058" s="51">
        <v>44783</v>
      </c>
      <c r="O6058" s="51" t="s">
        <v>127</v>
      </c>
      <c r="P6058" s="52">
        <v>5500</v>
      </c>
      <c r="Q6058" s="53">
        <v>-1</v>
      </c>
      <c r="R6058" s="54">
        <f t="shared" si="141"/>
        <v>-5500</v>
      </c>
      <c r="S6058" s="55">
        <v>202303</v>
      </c>
      <c r="T6058" s="56" t="s">
        <v>8099</v>
      </c>
      <c r="U6058" s="57"/>
      <c r="V6058" s="58"/>
      <c r="W6058" s="59"/>
      <c r="X6058" s="51"/>
      <c r="Y6058" s="51"/>
    </row>
    <row r="6059" s="10" customFormat="1" customHeight="1" spans="1:25">
      <c r="A6059" s="42" t="s">
        <v>399</v>
      </c>
      <c r="B6059" s="43" t="s">
        <v>6971</v>
      </c>
      <c r="C6059" s="43" t="s">
        <v>7971</v>
      </c>
      <c r="D6059" s="43" t="s">
        <v>881</v>
      </c>
      <c r="E6059" s="44" t="s">
        <v>8084</v>
      </c>
      <c r="F6059" s="42" t="s">
        <v>8085</v>
      </c>
      <c r="G6059" s="42" t="s">
        <v>31</v>
      </c>
      <c r="H6059" s="45" t="s">
        <v>8086</v>
      </c>
      <c r="I6059" s="47" t="e">
        <f>VLOOKUP(H6059,'合同综合查询数据（3月返）'!$A:$A,1,FALSE)</f>
        <v>#N/A</v>
      </c>
      <c r="J6059" s="48" t="s">
        <v>33</v>
      </c>
      <c r="K6059" s="42" t="s">
        <v>8087</v>
      </c>
      <c r="L6059" s="49" t="s">
        <v>8090</v>
      </c>
      <c r="M6059" s="50" t="s">
        <v>8088</v>
      </c>
      <c r="N6059" s="51">
        <v>44783</v>
      </c>
      <c r="O6059" s="51" t="s">
        <v>37</v>
      </c>
      <c r="P6059" s="52">
        <v>0</v>
      </c>
      <c r="Q6059" s="53">
        <v>-128</v>
      </c>
      <c r="R6059" s="54">
        <f t="shared" si="141"/>
        <v>0</v>
      </c>
      <c r="S6059" s="55">
        <v>202303</v>
      </c>
      <c r="T6059" s="56" t="s">
        <v>8100</v>
      </c>
      <c r="U6059" s="57"/>
      <c r="V6059" s="58"/>
      <c r="W6059" s="59"/>
      <c r="X6059" s="51"/>
      <c r="Y6059" s="51"/>
    </row>
    <row r="6060" s="10" customFormat="1" customHeight="1" spans="1:25">
      <c r="A6060" s="42" t="s">
        <v>399</v>
      </c>
      <c r="B6060" s="43" t="s">
        <v>6971</v>
      </c>
      <c r="C6060" s="43" t="s">
        <v>4500</v>
      </c>
      <c r="D6060" s="43" t="s">
        <v>566</v>
      </c>
      <c r="E6060" s="44" t="s">
        <v>8101</v>
      </c>
      <c r="F6060" s="42" t="s">
        <v>8102</v>
      </c>
      <c r="G6060" s="42" t="s">
        <v>88</v>
      </c>
      <c r="H6060" s="45" t="s">
        <v>8103</v>
      </c>
      <c r="I6060" s="47" t="e">
        <f>VLOOKUP(H6060,'合同综合查询数据（3月返）'!$A:$A,1,FALSE)</f>
        <v>#N/A</v>
      </c>
      <c r="J6060" s="48" t="s">
        <v>126</v>
      </c>
      <c r="K6060" s="42" t="s">
        <v>5340</v>
      </c>
      <c r="L6060" s="49"/>
      <c r="M6060" s="50" t="s">
        <v>8104</v>
      </c>
      <c r="N6060" s="51">
        <v>43008</v>
      </c>
      <c r="O6060" s="51" t="s">
        <v>127</v>
      </c>
      <c r="P6060" s="52">
        <v>5000</v>
      </c>
      <c r="Q6060" s="53">
        <v>2</v>
      </c>
      <c r="R6060" s="54">
        <f t="shared" si="141"/>
        <v>10000</v>
      </c>
      <c r="S6060" s="55">
        <v>202303</v>
      </c>
      <c r="T6060" s="56" t="s">
        <v>8105</v>
      </c>
      <c r="U6060" s="57"/>
      <c r="V6060" s="58"/>
      <c r="W6060" s="59"/>
      <c r="X6060" s="51"/>
      <c r="Y6060" s="51"/>
    </row>
    <row r="6061" s="10" customFormat="1" customHeight="1" spans="1:25">
      <c r="A6061" s="42" t="s">
        <v>399</v>
      </c>
      <c r="B6061" s="43" t="s">
        <v>6971</v>
      </c>
      <c r="C6061" s="43" t="s">
        <v>4500</v>
      </c>
      <c r="D6061" s="43" t="s">
        <v>566</v>
      </c>
      <c r="E6061" s="44" t="s">
        <v>8101</v>
      </c>
      <c r="F6061" s="42" t="s">
        <v>8102</v>
      </c>
      <c r="G6061" s="42" t="s">
        <v>31</v>
      </c>
      <c r="H6061" s="45" t="s">
        <v>8103</v>
      </c>
      <c r="I6061" s="47" t="e">
        <f>VLOOKUP(H6061,'合同综合查询数据（3月返）'!$A:$A,1,FALSE)</f>
        <v>#N/A</v>
      </c>
      <c r="J6061" s="48" t="s">
        <v>33</v>
      </c>
      <c r="K6061" s="42" t="s">
        <v>5340</v>
      </c>
      <c r="L6061" s="49" t="s">
        <v>8102</v>
      </c>
      <c r="M6061" s="50" t="s">
        <v>7929</v>
      </c>
      <c r="N6061" s="51">
        <v>43008</v>
      </c>
      <c r="O6061" s="51" t="s">
        <v>37</v>
      </c>
      <c r="P6061" s="52">
        <v>0</v>
      </c>
      <c r="Q6061" s="53">
        <v>288</v>
      </c>
      <c r="R6061" s="54">
        <f t="shared" si="141"/>
        <v>0</v>
      </c>
      <c r="S6061" s="55">
        <v>202303</v>
      </c>
      <c r="T6061" s="56" t="s">
        <v>8106</v>
      </c>
      <c r="U6061" s="57"/>
      <c r="V6061" s="58"/>
      <c r="W6061" s="59"/>
      <c r="X6061" s="51"/>
      <c r="Y6061" s="51"/>
    </row>
    <row r="6062" s="10" customFormat="1" customHeight="1" spans="1:25">
      <c r="A6062" s="42" t="s">
        <v>399</v>
      </c>
      <c r="B6062" s="43" t="s">
        <v>6971</v>
      </c>
      <c r="C6062" s="43" t="s">
        <v>4500</v>
      </c>
      <c r="D6062" s="43" t="s">
        <v>566</v>
      </c>
      <c r="E6062" s="44" t="s">
        <v>8101</v>
      </c>
      <c r="F6062" s="42" t="s">
        <v>8102</v>
      </c>
      <c r="G6062" s="42" t="s">
        <v>88</v>
      </c>
      <c r="H6062" s="45" t="s">
        <v>8103</v>
      </c>
      <c r="I6062" s="47" t="e">
        <f>VLOOKUP(H6062,'合同综合查询数据（3月返）'!$A:$A,1,FALSE)</f>
        <v>#N/A</v>
      </c>
      <c r="J6062" s="48" t="s">
        <v>126</v>
      </c>
      <c r="K6062" s="42" t="s">
        <v>5340</v>
      </c>
      <c r="L6062" s="49" t="s">
        <v>8107</v>
      </c>
      <c r="M6062" s="50" t="s">
        <v>8108</v>
      </c>
      <c r="N6062" s="51" t="s">
        <v>1225</v>
      </c>
      <c r="O6062" s="51" t="s">
        <v>457</v>
      </c>
      <c r="P6062" s="52">
        <v>5500</v>
      </c>
      <c r="Q6062" s="53">
        <v>1</v>
      </c>
      <c r="R6062" s="54">
        <f t="shared" si="141"/>
        <v>5500</v>
      </c>
      <c r="S6062" s="55">
        <v>202303</v>
      </c>
      <c r="T6062" s="56" t="s">
        <v>8109</v>
      </c>
      <c r="U6062" s="57"/>
      <c r="V6062" s="58"/>
      <c r="W6062" s="59"/>
      <c r="X6062" s="51"/>
      <c r="Y6062" s="51"/>
    </row>
    <row r="6063" s="10" customFormat="1" customHeight="1" spans="1:25">
      <c r="A6063" s="42" t="s">
        <v>399</v>
      </c>
      <c r="B6063" s="43" t="s">
        <v>6971</v>
      </c>
      <c r="C6063" s="43" t="s">
        <v>4500</v>
      </c>
      <c r="D6063" s="43" t="s">
        <v>566</v>
      </c>
      <c r="E6063" s="44" t="s">
        <v>8101</v>
      </c>
      <c r="F6063" s="42" t="s">
        <v>8102</v>
      </c>
      <c r="G6063" s="42" t="s">
        <v>88</v>
      </c>
      <c r="H6063" s="45" t="s">
        <v>8103</v>
      </c>
      <c r="I6063" s="47" t="e">
        <f>VLOOKUP(H6063,'合同综合查询数据（3月返）'!$A:$A,1,FALSE)</f>
        <v>#N/A</v>
      </c>
      <c r="J6063" s="48" t="s">
        <v>126</v>
      </c>
      <c r="K6063" s="42" t="s">
        <v>5340</v>
      </c>
      <c r="L6063" s="49"/>
      <c r="M6063" s="50" t="s">
        <v>8108</v>
      </c>
      <c r="N6063" s="51" t="s">
        <v>1225</v>
      </c>
      <c r="O6063" s="51" t="s">
        <v>457</v>
      </c>
      <c r="P6063" s="52">
        <v>5500</v>
      </c>
      <c r="Q6063" s="53">
        <v>2</v>
      </c>
      <c r="R6063" s="54">
        <f t="shared" si="141"/>
        <v>11000</v>
      </c>
      <c r="S6063" s="55">
        <v>202303</v>
      </c>
      <c r="T6063" s="56" t="s">
        <v>8110</v>
      </c>
      <c r="U6063" s="57"/>
      <c r="V6063" s="58"/>
      <c r="W6063" s="59"/>
      <c r="X6063" s="51"/>
      <c r="Y6063" s="51"/>
    </row>
    <row r="6064" s="10" customFormat="1" customHeight="1" spans="1:25">
      <c r="A6064" s="42" t="s">
        <v>399</v>
      </c>
      <c r="B6064" s="43" t="s">
        <v>6971</v>
      </c>
      <c r="C6064" s="43" t="s">
        <v>4500</v>
      </c>
      <c r="D6064" s="43" t="s">
        <v>566</v>
      </c>
      <c r="E6064" s="44" t="s">
        <v>8101</v>
      </c>
      <c r="F6064" s="42" t="s">
        <v>8102</v>
      </c>
      <c r="G6064" s="42" t="s">
        <v>31</v>
      </c>
      <c r="H6064" s="45" t="s">
        <v>8103</v>
      </c>
      <c r="I6064" s="47" t="e">
        <f>VLOOKUP(H6064,'合同综合查询数据（3月返）'!$A:$A,1,FALSE)</f>
        <v>#N/A</v>
      </c>
      <c r="J6064" s="48" t="s">
        <v>33</v>
      </c>
      <c r="K6064" s="42" t="s">
        <v>8111</v>
      </c>
      <c r="L6064" s="49" t="s">
        <v>8107</v>
      </c>
      <c r="M6064" s="50" t="s">
        <v>7929</v>
      </c>
      <c r="N6064" s="51">
        <v>43008</v>
      </c>
      <c r="O6064" s="51" t="s">
        <v>37</v>
      </c>
      <c r="P6064" s="52">
        <v>0</v>
      </c>
      <c r="Q6064" s="53">
        <v>288</v>
      </c>
      <c r="R6064" s="54">
        <f t="shared" si="141"/>
        <v>0</v>
      </c>
      <c r="S6064" s="55">
        <v>202303</v>
      </c>
      <c r="T6064" s="56" t="s">
        <v>8106</v>
      </c>
      <c r="U6064" s="57"/>
      <c r="V6064" s="58"/>
      <c r="W6064" s="59"/>
      <c r="X6064" s="51"/>
      <c r="Y6064" s="51"/>
    </row>
    <row r="6065" s="10" customFormat="1" customHeight="1" spans="1:25">
      <c r="A6065" s="42" t="s">
        <v>399</v>
      </c>
      <c r="B6065" s="43" t="s">
        <v>6971</v>
      </c>
      <c r="C6065" s="43" t="s">
        <v>4500</v>
      </c>
      <c r="D6065" s="43" t="s">
        <v>566</v>
      </c>
      <c r="E6065" s="44" t="s">
        <v>8101</v>
      </c>
      <c r="F6065" s="42" t="s">
        <v>8102</v>
      </c>
      <c r="G6065" s="42" t="s">
        <v>88</v>
      </c>
      <c r="H6065" s="45" t="s">
        <v>8103</v>
      </c>
      <c r="I6065" s="47" t="e">
        <f>VLOOKUP(H6065,'合同综合查询数据（3月返）'!$A:$A,1,FALSE)</f>
        <v>#N/A</v>
      </c>
      <c r="J6065" s="48" t="s">
        <v>126</v>
      </c>
      <c r="K6065" s="42" t="s">
        <v>8112</v>
      </c>
      <c r="L6065" s="49" t="s">
        <v>8113</v>
      </c>
      <c r="M6065" s="50" t="s">
        <v>8108</v>
      </c>
      <c r="N6065" s="51">
        <v>43354</v>
      </c>
      <c r="O6065" s="51" t="s">
        <v>457</v>
      </c>
      <c r="P6065" s="52">
        <v>5500</v>
      </c>
      <c r="Q6065" s="53">
        <v>3</v>
      </c>
      <c r="R6065" s="54">
        <f t="shared" si="141"/>
        <v>16500</v>
      </c>
      <c r="S6065" s="55">
        <v>202303</v>
      </c>
      <c r="T6065" s="56"/>
      <c r="U6065" s="57"/>
      <c r="V6065" s="58"/>
      <c r="W6065" s="59"/>
      <c r="X6065" s="51"/>
      <c r="Y6065" s="51"/>
    </row>
    <row r="6066" s="10" customFormat="1" customHeight="1" spans="1:25">
      <c r="A6066" s="42" t="s">
        <v>399</v>
      </c>
      <c r="B6066" s="43" t="s">
        <v>6971</v>
      </c>
      <c r="C6066" s="43" t="s">
        <v>4500</v>
      </c>
      <c r="D6066" s="43" t="s">
        <v>566</v>
      </c>
      <c r="E6066" s="44" t="s">
        <v>8101</v>
      </c>
      <c r="F6066" s="42" t="s">
        <v>8102</v>
      </c>
      <c r="G6066" s="42" t="s">
        <v>31</v>
      </c>
      <c r="H6066" s="45" t="s">
        <v>8103</v>
      </c>
      <c r="I6066" s="47" t="e">
        <f>VLOOKUP(H6066,'合同综合查询数据（3月返）'!$A:$A,1,FALSE)</f>
        <v>#N/A</v>
      </c>
      <c r="J6066" s="48" t="s">
        <v>33</v>
      </c>
      <c r="K6066" s="42" t="s">
        <v>8114</v>
      </c>
      <c r="L6066" s="49" t="s">
        <v>8115</v>
      </c>
      <c r="M6066" s="50" t="s">
        <v>7929</v>
      </c>
      <c r="N6066" s="51">
        <v>43354</v>
      </c>
      <c r="O6066" s="51" t="s">
        <v>37</v>
      </c>
      <c r="P6066" s="52">
        <v>0</v>
      </c>
      <c r="Q6066" s="53">
        <v>416</v>
      </c>
      <c r="R6066" s="54">
        <f t="shared" si="141"/>
        <v>0</v>
      </c>
      <c r="S6066" s="55">
        <v>202303</v>
      </c>
      <c r="T6066" s="56" t="s">
        <v>8116</v>
      </c>
      <c r="U6066" s="57"/>
      <c r="V6066" s="58"/>
      <c r="W6066" s="59"/>
      <c r="X6066" s="51"/>
      <c r="Y6066" s="51"/>
    </row>
    <row r="6067" s="10" customFormat="1" customHeight="1" spans="1:25">
      <c r="A6067" s="42" t="s">
        <v>399</v>
      </c>
      <c r="B6067" s="43" t="s">
        <v>6971</v>
      </c>
      <c r="C6067" s="43" t="s">
        <v>4500</v>
      </c>
      <c r="D6067" s="43" t="s">
        <v>566</v>
      </c>
      <c r="E6067" s="44" t="s">
        <v>8101</v>
      </c>
      <c r="F6067" s="42" t="s">
        <v>8102</v>
      </c>
      <c r="G6067" s="42" t="s">
        <v>88</v>
      </c>
      <c r="H6067" s="45" t="s">
        <v>8103</v>
      </c>
      <c r="I6067" s="47" t="e">
        <f>VLOOKUP(H6067,'合同综合查询数据（3月返）'!$A:$A,1,FALSE)</f>
        <v>#N/A</v>
      </c>
      <c r="J6067" s="48" t="s">
        <v>126</v>
      </c>
      <c r="K6067" s="42" t="s">
        <v>5340</v>
      </c>
      <c r="L6067" s="49" t="s">
        <v>8113</v>
      </c>
      <c r="M6067" s="50" t="s">
        <v>8108</v>
      </c>
      <c r="N6067" s="51">
        <v>44011</v>
      </c>
      <c r="O6067" s="51" t="s">
        <v>457</v>
      </c>
      <c r="P6067" s="52">
        <v>5500</v>
      </c>
      <c r="Q6067" s="53">
        <v>1</v>
      </c>
      <c r="R6067" s="54">
        <f t="shared" si="141"/>
        <v>5500</v>
      </c>
      <c r="S6067" s="55">
        <v>202303</v>
      </c>
      <c r="T6067" s="56" t="s">
        <v>8117</v>
      </c>
      <c r="U6067" s="57"/>
      <c r="V6067" s="58"/>
      <c r="W6067" s="59"/>
      <c r="X6067" s="51"/>
      <c r="Y6067" s="51"/>
    </row>
    <row r="6068" s="10" customFormat="1" customHeight="1" spans="1:25">
      <c r="A6068" s="42" t="s">
        <v>399</v>
      </c>
      <c r="B6068" s="43" t="s">
        <v>6971</v>
      </c>
      <c r="C6068" s="43" t="s">
        <v>4500</v>
      </c>
      <c r="D6068" s="43" t="s">
        <v>566</v>
      </c>
      <c r="E6068" s="44" t="s">
        <v>8101</v>
      </c>
      <c r="F6068" s="42" t="s">
        <v>8102</v>
      </c>
      <c r="G6068" s="42" t="s">
        <v>88</v>
      </c>
      <c r="H6068" s="45" t="s">
        <v>8103</v>
      </c>
      <c r="I6068" s="47" t="e">
        <f>VLOOKUP(H6068,'合同综合查询数据（3月返）'!$A:$A,1,FALSE)</f>
        <v>#N/A</v>
      </c>
      <c r="J6068" s="48" t="s">
        <v>126</v>
      </c>
      <c r="K6068" s="42" t="s">
        <v>5340</v>
      </c>
      <c r="L6068" s="49" t="s">
        <v>8113</v>
      </c>
      <c r="M6068" s="50" t="s">
        <v>8108</v>
      </c>
      <c r="N6068" s="51">
        <v>44681</v>
      </c>
      <c r="O6068" s="51" t="s">
        <v>457</v>
      </c>
      <c r="P6068" s="52">
        <v>5500</v>
      </c>
      <c r="Q6068" s="53">
        <v>-2</v>
      </c>
      <c r="R6068" s="54">
        <f t="shared" si="141"/>
        <v>-11000</v>
      </c>
      <c r="S6068" s="55">
        <v>202303</v>
      </c>
      <c r="T6068" s="56" t="s">
        <v>8118</v>
      </c>
      <c r="U6068" s="57"/>
      <c r="V6068" s="58"/>
      <c r="W6068" s="59"/>
      <c r="X6068" s="51"/>
      <c r="Y6068" s="51"/>
    </row>
    <row r="6069" s="10" customFormat="1" customHeight="1" spans="1:25">
      <c r="A6069" s="42" t="s">
        <v>399</v>
      </c>
      <c r="B6069" s="43" t="s">
        <v>6971</v>
      </c>
      <c r="C6069" s="43" t="s">
        <v>4500</v>
      </c>
      <c r="D6069" s="43" t="s">
        <v>566</v>
      </c>
      <c r="E6069" s="44" t="s">
        <v>8101</v>
      </c>
      <c r="F6069" s="42" t="s">
        <v>8102</v>
      </c>
      <c r="G6069" s="42" t="s">
        <v>88</v>
      </c>
      <c r="H6069" s="45" t="s">
        <v>8103</v>
      </c>
      <c r="I6069" s="47" t="e">
        <f>VLOOKUP(H6069,'合同综合查询数据（3月返）'!$A:$A,1,FALSE)</f>
        <v>#N/A</v>
      </c>
      <c r="J6069" s="48" t="s">
        <v>126</v>
      </c>
      <c r="K6069" s="42" t="s">
        <v>5340</v>
      </c>
      <c r="L6069" s="49"/>
      <c r="M6069" s="50" t="s">
        <v>8108</v>
      </c>
      <c r="N6069" s="51">
        <v>44011</v>
      </c>
      <c r="O6069" s="51" t="s">
        <v>457</v>
      </c>
      <c r="P6069" s="52">
        <v>5500</v>
      </c>
      <c r="Q6069" s="53">
        <v>1</v>
      </c>
      <c r="R6069" s="54">
        <f t="shared" si="141"/>
        <v>5500</v>
      </c>
      <c r="S6069" s="55">
        <v>202303</v>
      </c>
      <c r="T6069" s="56" t="s">
        <v>8119</v>
      </c>
      <c r="U6069" s="57"/>
      <c r="V6069" s="58"/>
      <c r="W6069" s="59"/>
      <c r="X6069" s="51"/>
      <c r="Y6069" s="51"/>
    </row>
    <row r="6070" s="10" customFormat="1" customHeight="1" spans="1:25">
      <c r="A6070" s="42" t="s">
        <v>399</v>
      </c>
      <c r="B6070" s="43" t="s">
        <v>6971</v>
      </c>
      <c r="C6070" s="43" t="s">
        <v>4500</v>
      </c>
      <c r="D6070" s="43" t="s">
        <v>566</v>
      </c>
      <c r="E6070" s="44" t="s">
        <v>8101</v>
      </c>
      <c r="F6070" s="42" t="s">
        <v>8102</v>
      </c>
      <c r="G6070" s="42" t="s">
        <v>31</v>
      </c>
      <c r="H6070" s="45" t="s">
        <v>8103</v>
      </c>
      <c r="I6070" s="47" t="e">
        <f>VLOOKUP(H6070,'合同综合查询数据（3月返）'!$A:$A,1,FALSE)</f>
        <v>#N/A</v>
      </c>
      <c r="J6070" s="48" t="s">
        <v>33</v>
      </c>
      <c r="K6070" s="42" t="s">
        <v>5340</v>
      </c>
      <c r="L6070" s="49"/>
      <c r="M6070" s="50" t="s">
        <v>7929</v>
      </c>
      <c r="N6070" s="51"/>
      <c r="O6070" s="51" t="s">
        <v>152</v>
      </c>
      <c r="P6070" s="52">
        <v>0</v>
      </c>
      <c r="Q6070" s="53">
        <v>3</v>
      </c>
      <c r="R6070" s="54">
        <f t="shared" si="141"/>
        <v>0</v>
      </c>
      <c r="S6070" s="55">
        <v>202303</v>
      </c>
      <c r="T6070" s="56" t="s">
        <v>8120</v>
      </c>
      <c r="U6070" s="57"/>
      <c r="V6070" s="58"/>
      <c r="W6070" s="59"/>
      <c r="X6070" s="51"/>
      <c r="Y6070" s="51"/>
    </row>
    <row r="6071" s="10" customFormat="1" customHeight="1" spans="1:25">
      <c r="A6071" s="42" t="s">
        <v>399</v>
      </c>
      <c r="B6071" s="43" t="s">
        <v>6971</v>
      </c>
      <c r="C6071" s="43" t="s">
        <v>4500</v>
      </c>
      <c r="D6071" s="43" t="s">
        <v>566</v>
      </c>
      <c r="E6071" s="44" t="s">
        <v>8101</v>
      </c>
      <c r="F6071" s="42" t="s">
        <v>8102</v>
      </c>
      <c r="G6071" s="42" t="s">
        <v>88</v>
      </c>
      <c r="H6071" s="45" t="s">
        <v>8103</v>
      </c>
      <c r="I6071" s="47" t="e">
        <f>VLOOKUP(H6071,'合同综合查询数据（3月返）'!$A:$A,1,FALSE)</f>
        <v>#N/A</v>
      </c>
      <c r="J6071" s="48" t="s">
        <v>126</v>
      </c>
      <c r="K6071" s="42" t="s">
        <v>5340</v>
      </c>
      <c r="L6071" s="49" t="s">
        <v>8107</v>
      </c>
      <c r="M6071" s="50" t="s">
        <v>8108</v>
      </c>
      <c r="N6071" s="51">
        <v>44306</v>
      </c>
      <c r="O6071" s="51" t="s">
        <v>457</v>
      </c>
      <c r="P6071" s="52">
        <v>5500</v>
      </c>
      <c r="Q6071" s="53">
        <v>1</v>
      </c>
      <c r="R6071" s="54">
        <f t="shared" si="141"/>
        <v>5500</v>
      </c>
      <c r="S6071" s="55">
        <v>202303</v>
      </c>
      <c r="T6071" s="56" t="s">
        <v>8121</v>
      </c>
      <c r="U6071" s="57"/>
      <c r="V6071" s="58"/>
      <c r="W6071" s="59"/>
      <c r="X6071" s="51"/>
      <c r="Y6071" s="51"/>
    </row>
    <row r="6072" s="10" customFormat="1" customHeight="1" spans="1:25">
      <c r="A6072" s="42" t="s">
        <v>399</v>
      </c>
      <c r="B6072" s="43" t="s">
        <v>6971</v>
      </c>
      <c r="C6072" s="43" t="s">
        <v>4500</v>
      </c>
      <c r="D6072" s="43" t="s">
        <v>566</v>
      </c>
      <c r="E6072" s="44" t="s">
        <v>8101</v>
      </c>
      <c r="F6072" s="42" t="s">
        <v>8102</v>
      </c>
      <c r="G6072" s="42" t="s">
        <v>31</v>
      </c>
      <c r="H6072" s="45" t="s">
        <v>8103</v>
      </c>
      <c r="I6072" s="47" t="e">
        <f>VLOOKUP(H6072,'合同综合查询数据（3月返）'!$A:$A,1,FALSE)</f>
        <v>#N/A</v>
      </c>
      <c r="J6072" s="48" t="s">
        <v>33</v>
      </c>
      <c r="K6072" s="42" t="s">
        <v>5340</v>
      </c>
      <c r="L6072" s="49" t="s">
        <v>8107</v>
      </c>
      <c r="M6072" s="50" t="s">
        <v>8108</v>
      </c>
      <c r="N6072" s="51">
        <v>44306</v>
      </c>
      <c r="O6072" s="51" t="s">
        <v>37</v>
      </c>
      <c r="P6072" s="52">
        <v>0</v>
      </c>
      <c r="Q6072" s="53">
        <v>128</v>
      </c>
      <c r="R6072" s="54">
        <f t="shared" si="141"/>
        <v>0</v>
      </c>
      <c r="S6072" s="55">
        <v>202303</v>
      </c>
      <c r="T6072" s="56" t="s">
        <v>8122</v>
      </c>
      <c r="U6072" s="57"/>
      <c r="V6072" s="58"/>
      <c r="W6072" s="59"/>
      <c r="X6072" s="51"/>
      <c r="Y6072" s="51"/>
    </row>
    <row r="6073" s="10" customFormat="1" customHeight="1" spans="1:25">
      <c r="A6073" s="42" t="s">
        <v>399</v>
      </c>
      <c r="B6073" s="43" t="s">
        <v>6971</v>
      </c>
      <c r="C6073" s="43" t="s">
        <v>4500</v>
      </c>
      <c r="D6073" s="43" t="s">
        <v>566</v>
      </c>
      <c r="E6073" s="44" t="s">
        <v>8101</v>
      </c>
      <c r="F6073" s="42" t="s">
        <v>8102</v>
      </c>
      <c r="G6073" s="42" t="s">
        <v>31</v>
      </c>
      <c r="H6073" s="45" t="s">
        <v>8103</v>
      </c>
      <c r="I6073" s="47" t="e">
        <f>VLOOKUP(H6073,'合同综合查询数据（3月返）'!$A:$A,1,FALSE)</f>
        <v>#N/A</v>
      </c>
      <c r="J6073" s="48" t="s">
        <v>33</v>
      </c>
      <c r="K6073" s="42" t="s">
        <v>5340</v>
      </c>
      <c r="L6073" s="49" t="s">
        <v>8107</v>
      </c>
      <c r="M6073" s="50" t="s">
        <v>8108</v>
      </c>
      <c r="N6073" s="51">
        <v>44694</v>
      </c>
      <c r="O6073" s="51" t="s">
        <v>37</v>
      </c>
      <c r="P6073" s="52">
        <v>0</v>
      </c>
      <c r="Q6073" s="53">
        <v>-288</v>
      </c>
      <c r="R6073" s="54">
        <f t="shared" si="141"/>
        <v>0</v>
      </c>
      <c r="S6073" s="55">
        <v>202303</v>
      </c>
      <c r="T6073" s="56" t="s">
        <v>8123</v>
      </c>
      <c r="U6073" s="57"/>
      <c r="V6073" s="58"/>
      <c r="W6073" s="59"/>
      <c r="X6073" s="51"/>
      <c r="Y6073" s="51"/>
    </row>
    <row r="6074" s="10" customFormat="1" customHeight="1" spans="1:25">
      <c r="A6074" s="42" t="s">
        <v>399</v>
      </c>
      <c r="B6074" s="43" t="s">
        <v>6971</v>
      </c>
      <c r="C6074" s="43" t="s">
        <v>4500</v>
      </c>
      <c r="D6074" s="43" t="s">
        <v>566</v>
      </c>
      <c r="E6074" s="44" t="s">
        <v>8101</v>
      </c>
      <c r="F6074" s="42" t="s">
        <v>8102</v>
      </c>
      <c r="G6074" s="42" t="s">
        <v>88</v>
      </c>
      <c r="H6074" s="45" t="s">
        <v>8103</v>
      </c>
      <c r="I6074" s="47" t="e">
        <f>VLOOKUP(H6074,'合同综合查询数据（3月返）'!$A:$A,1,FALSE)</f>
        <v>#N/A</v>
      </c>
      <c r="J6074" s="48" t="s">
        <v>126</v>
      </c>
      <c r="K6074" s="42" t="s">
        <v>5340</v>
      </c>
      <c r="L6074" s="49" t="s">
        <v>8107</v>
      </c>
      <c r="M6074" s="50" t="s">
        <v>8108</v>
      </c>
      <c r="N6074" s="51">
        <v>44489</v>
      </c>
      <c r="O6074" s="51" t="s">
        <v>457</v>
      </c>
      <c r="P6074" s="52">
        <v>5500</v>
      </c>
      <c r="Q6074" s="53">
        <v>1</v>
      </c>
      <c r="R6074" s="54">
        <f t="shared" si="141"/>
        <v>5500</v>
      </c>
      <c r="S6074" s="55">
        <v>202303</v>
      </c>
      <c r="T6074" s="56" t="s">
        <v>8124</v>
      </c>
      <c r="U6074" s="57"/>
      <c r="V6074" s="58"/>
      <c r="W6074" s="59"/>
      <c r="X6074" s="51"/>
      <c r="Y6074" s="51"/>
    </row>
    <row r="6075" s="10" customFormat="1" customHeight="1" spans="1:25">
      <c r="A6075" s="42" t="s">
        <v>399</v>
      </c>
      <c r="B6075" s="43" t="s">
        <v>6971</v>
      </c>
      <c r="C6075" s="43" t="s">
        <v>4500</v>
      </c>
      <c r="D6075" s="43" t="s">
        <v>566</v>
      </c>
      <c r="E6075" s="44" t="s">
        <v>8101</v>
      </c>
      <c r="F6075" s="42" t="s">
        <v>8102</v>
      </c>
      <c r="G6075" s="42" t="s">
        <v>88</v>
      </c>
      <c r="H6075" s="45" t="s">
        <v>8103</v>
      </c>
      <c r="I6075" s="47" t="e">
        <f>VLOOKUP(H6075,'合同综合查询数据（3月返）'!$A:$A,1,FALSE)</f>
        <v>#N/A</v>
      </c>
      <c r="J6075" s="48" t="s">
        <v>126</v>
      </c>
      <c r="K6075" s="42" t="s">
        <v>5340</v>
      </c>
      <c r="L6075" s="49" t="s">
        <v>8107</v>
      </c>
      <c r="M6075" s="50" t="s">
        <v>8108</v>
      </c>
      <c r="N6075" s="51">
        <v>44694</v>
      </c>
      <c r="O6075" s="51" t="s">
        <v>457</v>
      </c>
      <c r="P6075" s="52">
        <v>5500</v>
      </c>
      <c r="Q6075" s="53">
        <v>-2</v>
      </c>
      <c r="R6075" s="54">
        <f t="shared" si="141"/>
        <v>-11000</v>
      </c>
      <c r="S6075" s="55">
        <v>202303</v>
      </c>
      <c r="T6075" s="56" t="s">
        <v>8125</v>
      </c>
      <c r="U6075" s="57"/>
      <c r="V6075" s="58"/>
      <c r="W6075" s="59"/>
      <c r="X6075" s="51"/>
      <c r="Y6075" s="51"/>
    </row>
    <row r="6076" s="10" customFormat="1" customHeight="1" spans="1:25">
      <c r="A6076" s="42" t="s">
        <v>399</v>
      </c>
      <c r="B6076" s="43" t="s">
        <v>6971</v>
      </c>
      <c r="C6076" s="43" t="s">
        <v>4500</v>
      </c>
      <c r="D6076" s="43" t="s">
        <v>566</v>
      </c>
      <c r="E6076" s="44" t="s">
        <v>8101</v>
      </c>
      <c r="F6076" s="42" t="s">
        <v>8102</v>
      </c>
      <c r="G6076" s="42" t="s">
        <v>88</v>
      </c>
      <c r="H6076" s="45" t="s">
        <v>8103</v>
      </c>
      <c r="I6076" s="47" t="e">
        <f>VLOOKUP(H6076,'合同综合查询数据（3月返）'!$A:$A,1,FALSE)</f>
        <v>#N/A</v>
      </c>
      <c r="J6076" s="48" t="s">
        <v>126</v>
      </c>
      <c r="K6076" s="42" t="s">
        <v>5340</v>
      </c>
      <c r="L6076" s="49" t="s">
        <v>8102</v>
      </c>
      <c r="M6076" s="50" t="s">
        <v>8104</v>
      </c>
      <c r="N6076" s="51">
        <v>44773</v>
      </c>
      <c r="O6076" s="51" t="s">
        <v>457</v>
      </c>
      <c r="P6076" s="52">
        <v>5000</v>
      </c>
      <c r="Q6076" s="53">
        <v>-2</v>
      </c>
      <c r="R6076" s="54">
        <f t="shared" si="141"/>
        <v>-10000</v>
      </c>
      <c r="S6076" s="55">
        <v>202303</v>
      </c>
      <c r="T6076" s="56" t="s">
        <v>8126</v>
      </c>
      <c r="U6076" s="57"/>
      <c r="V6076" s="58"/>
      <c r="W6076" s="59"/>
      <c r="X6076" s="51"/>
      <c r="Y6076" s="51"/>
    </row>
    <row r="6077" s="10" customFormat="1" customHeight="1" spans="1:25">
      <c r="A6077" s="42" t="s">
        <v>399</v>
      </c>
      <c r="B6077" s="43" t="s">
        <v>6971</v>
      </c>
      <c r="C6077" s="43" t="s">
        <v>4500</v>
      </c>
      <c r="D6077" s="43" t="s">
        <v>566</v>
      </c>
      <c r="E6077" s="44" t="s">
        <v>8101</v>
      </c>
      <c r="F6077" s="42" t="s">
        <v>8102</v>
      </c>
      <c r="G6077" s="42" t="s">
        <v>31</v>
      </c>
      <c r="H6077" s="45" t="s">
        <v>8103</v>
      </c>
      <c r="I6077" s="47" t="e">
        <f>VLOOKUP(H6077,'合同综合查询数据（3月返）'!$A:$A,1,FALSE)</f>
        <v>#N/A</v>
      </c>
      <c r="J6077" s="48" t="s">
        <v>33</v>
      </c>
      <c r="K6077" s="42" t="s">
        <v>5340</v>
      </c>
      <c r="L6077" s="49" t="s">
        <v>8102</v>
      </c>
      <c r="M6077" s="50" t="s">
        <v>8104</v>
      </c>
      <c r="N6077" s="51">
        <v>44773</v>
      </c>
      <c r="O6077" s="51" t="s">
        <v>37</v>
      </c>
      <c r="P6077" s="52">
        <v>0</v>
      </c>
      <c r="Q6077" s="53">
        <v>-288</v>
      </c>
      <c r="R6077" s="54">
        <f t="shared" si="141"/>
        <v>0</v>
      </c>
      <c r="S6077" s="55">
        <v>202303</v>
      </c>
      <c r="T6077" s="56" t="s">
        <v>8127</v>
      </c>
      <c r="U6077" s="57"/>
      <c r="V6077" s="58"/>
      <c r="W6077" s="59"/>
      <c r="X6077" s="51"/>
      <c r="Y6077" s="51"/>
    </row>
    <row r="6078" s="10" customFormat="1" customHeight="1" spans="1:25">
      <c r="A6078" s="42" t="s">
        <v>399</v>
      </c>
      <c r="B6078" s="43" t="s">
        <v>6971</v>
      </c>
      <c r="C6078" s="43" t="s">
        <v>4500</v>
      </c>
      <c r="D6078" s="43" t="s">
        <v>566</v>
      </c>
      <c r="E6078" s="44" t="s">
        <v>8101</v>
      </c>
      <c r="F6078" s="42" t="s">
        <v>8102</v>
      </c>
      <c r="G6078" s="42" t="s">
        <v>88</v>
      </c>
      <c r="H6078" s="45" t="s">
        <v>8103</v>
      </c>
      <c r="I6078" s="47" t="e">
        <f>VLOOKUP(H6078,'合同综合查询数据（3月返）'!$A:$A,1,FALSE)</f>
        <v>#N/A</v>
      </c>
      <c r="J6078" s="48" t="s">
        <v>126</v>
      </c>
      <c r="K6078" s="42" t="s">
        <v>5340</v>
      </c>
      <c r="L6078" s="49" t="s">
        <v>8107</v>
      </c>
      <c r="M6078" s="50" t="s">
        <v>8108</v>
      </c>
      <c r="N6078" s="51">
        <v>44773</v>
      </c>
      <c r="O6078" s="51" t="s">
        <v>457</v>
      </c>
      <c r="P6078" s="52">
        <v>5500</v>
      </c>
      <c r="Q6078" s="53">
        <v>-3</v>
      </c>
      <c r="R6078" s="54">
        <f t="shared" si="141"/>
        <v>-16500</v>
      </c>
      <c r="S6078" s="55">
        <v>202303</v>
      </c>
      <c r="T6078" s="56" t="s">
        <v>8128</v>
      </c>
      <c r="U6078" s="57"/>
      <c r="V6078" s="58"/>
      <c r="W6078" s="59"/>
      <c r="X6078" s="51"/>
      <c r="Y6078" s="51"/>
    </row>
    <row r="6079" s="10" customFormat="1" customHeight="1" spans="1:25">
      <c r="A6079" s="42" t="s">
        <v>399</v>
      </c>
      <c r="B6079" s="43" t="s">
        <v>6971</v>
      </c>
      <c r="C6079" s="43" t="s">
        <v>4500</v>
      </c>
      <c r="D6079" s="43" t="s">
        <v>566</v>
      </c>
      <c r="E6079" s="44" t="s">
        <v>8101</v>
      </c>
      <c r="F6079" s="42" t="s">
        <v>8102</v>
      </c>
      <c r="G6079" s="42" t="s">
        <v>31</v>
      </c>
      <c r="H6079" s="45" t="s">
        <v>8103</v>
      </c>
      <c r="I6079" s="47" t="e">
        <f>VLOOKUP(H6079,'合同综合查询数据（3月返）'!$A:$A,1,FALSE)</f>
        <v>#N/A</v>
      </c>
      <c r="J6079" s="48" t="s">
        <v>33</v>
      </c>
      <c r="K6079" s="42" t="s">
        <v>5340</v>
      </c>
      <c r="L6079" s="49" t="s">
        <v>8107</v>
      </c>
      <c r="M6079" s="50" t="s">
        <v>8108</v>
      </c>
      <c r="N6079" s="51">
        <v>44773</v>
      </c>
      <c r="O6079" s="51" t="s">
        <v>37</v>
      </c>
      <c r="P6079" s="52">
        <v>0</v>
      </c>
      <c r="Q6079" s="53">
        <v>-288</v>
      </c>
      <c r="R6079" s="54">
        <f t="shared" si="141"/>
        <v>0</v>
      </c>
      <c r="S6079" s="55">
        <v>202303</v>
      </c>
      <c r="T6079" s="56" t="s">
        <v>8129</v>
      </c>
      <c r="U6079" s="57"/>
      <c r="V6079" s="58"/>
      <c r="W6079" s="59"/>
      <c r="X6079" s="51"/>
      <c r="Y6079" s="51"/>
    </row>
    <row r="6080" s="10" customFormat="1" customHeight="1" spans="1:25">
      <c r="A6080" s="42" t="s">
        <v>399</v>
      </c>
      <c r="B6080" s="43" t="s">
        <v>6971</v>
      </c>
      <c r="C6080" s="43" t="s">
        <v>4500</v>
      </c>
      <c r="D6080" s="43" t="s">
        <v>566</v>
      </c>
      <c r="E6080" s="47" t="s">
        <v>8101</v>
      </c>
      <c r="F6080" s="441" t="s">
        <v>8102</v>
      </c>
      <c r="G6080" s="424" t="s">
        <v>88</v>
      </c>
      <c r="H6080" s="102" t="s">
        <v>8130</v>
      </c>
      <c r="I6080" s="47" t="e">
        <f>VLOOKUP(H6080,'合同综合查询数据（3月返）'!$A:$A,1,FALSE)</f>
        <v>#N/A</v>
      </c>
      <c r="J6080" s="441" t="s">
        <v>126</v>
      </c>
      <c r="K6080" s="441" t="s">
        <v>8131</v>
      </c>
      <c r="L6080" s="429" t="s">
        <v>8132</v>
      </c>
      <c r="M6080" s="442" t="s">
        <v>8133</v>
      </c>
      <c r="N6080" s="430">
        <v>44927</v>
      </c>
      <c r="O6080" s="443" t="s">
        <v>2283</v>
      </c>
      <c r="P6080" s="52">
        <v>5000</v>
      </c>
      <c r="Q6080" s="112">
        <v>3</v>
      </c>
      <c r="R6080" s="124">
        <f t="shared" si="141"/>
        <v>15000</v>
      </c>
      <c r="S6080" s="434">
        <v>202303</v>
      </c>
      <c r="T6080" s="444" t="s">
        <v>8134</v>
      </c>
      <c r="U6080" s="437"/>
      <c r="V6080" s="373"/>
      <c r="W6080" s="445"/>
      <c r="X6080" s="163"/>
      <c r="Y6080" s="56"/>
    </row>
    <row r="6081" s="10" customFormat="1" customHeight="1" spans="1:25">
      <c r="A6081" s="42" t="s">
        <v>399</v>
      </c>
      <c r="B6081" s="43" t="s">
        <v>6971</v>
      </c>
      <c r="C6081" s="43" t="s">
        <v>4500</v>
      </c>
      <c r="D6081" s="43" t="s">
        <v>566</v>
      </c>
      <c r="E6081" s="47" t="s">
        <v>8101</v>
      </c>
      <c r="F6081" s="441" t="s">
        <v>8102</v>
      </c>
      <c r="G6081" s="424" t="s">
        <v>31</v>
      </c>
      <c r="H6081" s="102" t="s">
        <v>8130</v>
      </c>
      <c r="I6081" s="47" t="e">
        <f>VLOOKUP(H6081,'合同综合查询数据（3月返）'!$A:$A,1,FALSE)</f>
        <v>#N/A</v>
      </c>
      <c r="J6081" s="441" t="s">
        <v>33</v>
      </c>
      <c r="K6081" s="441" t="s">
        <v>8131</v>
      </c>
      <c r="L6081" s="429" t="s">
        <v>8132</v>
      </c>
      <c r="M6081" s="442" t="s">
        <v>8133</v>
      </c>
      <c r="N6081" s="430">
        <v>44927</v>
      </c>
      <c r="O6081" s="443" t="s">
        <v>37</v>
      </c>
      <c r="P6081" s="390">
        <v>0</v>
      </c>
      <c r="Q6081" s="112">
        <v>2176</v>
      </c>
      <c r="R6081" s="144">
        <f t="shared" si="141"/>
        <v>0</v>
      </c>
      <c r="S6081" s="434">
        <v>202303</v>
      </c>
      <c r="T6081" s="444" t="s">
        <v>8135</v>
      </c>
      <c r="U6081" s="437"/>
      <c r="V6081" s="373"/>
      <c r="W6081" s="445"/>
      <c r="X6081" s="163"/>
      <c r="Y6081" s="56"/>
    </row>
    <row r="6082" s="10" customFormat="1" customHeight="1" spans="1:25">
      <c r="A6082" s="42" t="s">
        <v>399</v>
      </c>
      <c r="B6082" s="43" t="s">
        <v>6971</v>
      </c>
      <c r="C6082" s="43" t="s">
        <v>4500</v>
      </c>
      <c r="D6082" s="43" t="s">
        <v>566</v>
      </c>
      <c r="E6082" s="47" t="s">
        <v>8101</v>
      </c>
      <c r="F6082" s="441" t="s">
        <v>8102</v>
      </c>
      <c r="G6082" s="424" t="s">
        <v>31</v>
      </c>
      <c r="H6082" s="102" t="s">
        <v>8130</v>
      </c>
      <c r="I6082" s="47" t="e">
        <f>VLOOKUP(H6082,'合同综合查询数据（3月返）'!$A:$A,1,FALSE)</f>
        <v>#N/A</v>
      </c>
      <c r="J6082" s="441" t="s">
        <v>33</v>
      </c>
      <c r="K6082" s="441" t="s">
        <v>8131</v>
      </c>
      <c r="L6082" s="429" t="s">
        <v>8132</v>
      </c>
      <c r="M6082" s="442" t="s">
        <v>8133</v>
      </c>
      <c r="N6082" s="430">
        <v>44927</v>
      </c>
      <c r="O6082" s="443" t="s">
        <v>152</v>
      </c>
      <c r="P6082" s="390">
        <v>0</v>
      </c>
      <c r="Q6082" s="112">
        <v>1</v>
      </c>
      <c r="R6082" s="144">
        <f t="shared" si="141"/>
        <v>0</v>
      </c>
      <c r="S6082" s="434">
        <v>202303</v>
      </c>
      <c r="T6082" s="444" t="s">
        <v>8136</v>
      </c>
      <c r="U6082" s="437"/>
      <c r="V6082" s="373"/>
      <c r="W6082" s="445"/>
      <c r="X6082" s="163"/>
      <c r="Y6082" s="56"/>
    </row>
    <row r="6083" s="10" customFormat="1" customHeight="1" spans="1:25">
      <c r="A6083" s="42" t="s">
        <v>399</v>
      </c>
      <c r="B6083" s="43" t="s">
        <v>6971</v>
      </c>
      <c r="C6083" s="43" t="s">
        <v>50</v>
      </c>
      <c r="D6083" s="43" t="s">
        <v>881</v>
      </c>
      <c r="E6083" s="44" t="s">
        <v>8137</v>
      </c>
      <c r="F6083" s="42" t="s">
        <v>8138</v>
      </c>
      <c r="G6083" s="42" t="s">
        <v>88</v>
      </c>
      <c r="H6083" s="45" t="s">
        <v>8139</v>
      </c>
      <c r="I6083" s="47" t="e">
        <f>VLOOKUP(H6083,'合同综合查询数据（3月返）'!$A:$A,1,FALSE)</f>
        <v>#N/A</v>
      </c>
      <c r="J6083" s="48" t="s">
        <v>126</v>
      </c>
      <c r="K6083" s="42" t="s">
        <v>51</v>
      </c>
      <c r="L6083" s="49"/>
      <c r="M6083" s="50" t="s">
        <v>8140</v>
      </c>
      <c r="N6083" s="51">
        <v>42614</v>
      </c>
      <c r="O6083" s="51" t="s">
        <v>127</v>
      </c>
      <c r="P6083" s="52">
        <v>5000</v>
      </c>
      <c r="Q6083" s="53">
        <v>1</v>
      </c>
      <c r="R6083" s="54">
        <f t="shared" si="141"/>
        <v>5000</v>
      </c>
      <c r="S6083" s="55">
        <v>202303</v>
      </c>
      <c r="T6083" s="56" t="s">
        <v>8141</v>
      </c>
      <c r="U6083" s="57"/>
      <c r="V6083" s="58"/>
      <c r="W6083" s="59"/>
      <c r="X6083" s="51"/>
      <c r="Y6083" s="51"/>
    </row>
    <row r="6084" s="10" customFormat="1" customHeight="1" spans="1:25">
      <c r="A6084" s="42" t="s">
        <v>399</v>
      </c>
      <c r="B6084" s="43" t="s">
        <v>6971</v>
      </c>
      <c r="C6084" s="43" t="s">
        <v>50</v>
      </c>
      <c r="D6084" s="43" t="s">
        <v>881</v>
      </c>
      <c r="E6084" s="44" t="s">
        <v>8137</v>
      </c>
      <c r="F6084" s="42" t="s">
        <v>8138</v>
      </c>
      <c r="G6084" s="42" t="s">
        <v>31</v>
      </c>
      <c r="H6084" s="45" t="s">
        <v>8139</v>
      </c>
      <c r="I6084" s="47" t="e">
        <f>VLOOKUP(H6084,'合同综合查询数据（3月返）'!$A:$A,1,FALSE)</f>
        <v>#N/A</v>
      </c>
      <c r="J6084" s="48" t="s">
        <v>33</v>
      </c>
      <c r="K6084" s="42" t="s">
        <v>51</v>
      </c>
      <c r="L6084" s="49" t="s">
        <v>8142</v>
      </c>
      <c r="M6084" s="50" t="s">
        <v>8140</v>
      </c>
      <c r="N6084" s="51"/>
      <c r="O6084" s="51" t="s">
        <v>37</v>
      </c>
      <c r="P6084" s="52">
        <v>0</v>
      </c>
      <c r="Q6084" s="53">
        <v>288</v>
      </c>
      <c r="R6084" s="54">
        <f t="shared" si="141"/>
        <v>0</v>
      </c>
      <c r="S6084" s="55">
        <v>202303</v>
      </c>
      <c r="T6084" s="56" t="s">
        <v>8143</v>
      </c>
      <c r="U6084" s="57"/>
      <c r="V6084" s="58"/>
      <c r="W6084" s="59"/>
      <c r="X6084" s="51"/>
      <c r="Y6084" s="51"/>
    </row>
    <row r="6085" s="10" customFormat="1" customHeight="1" spans="1:25">
      <c r="A6085" s="42" t="s">
        <v>399</v>
      </c>
      <c r="B6085" s="43" t="s">
        <v>6971</v>
      </c>
      <c r="C6085" s="43" t="s">
        <v>50</v>
      </c>
      <c r="D6085" s="43" t="s">
        <v>881</v>
      </c>
      <c r="E6085" s="44" t="s">
        <v>8137</v>
      </c>
      <c r="F6085" s="42" t="s">
        <v>8138</v>
      </c>
      <c r="G6085" s="42" t="s">
        <v>31</v>
      </c>
      <c r="H6085" s="45" t="s">
        <v>8139</v>
      </c>
      <c r="I6085" s="47" t="e">
        <f>VLOOKUP(H6085,'合同综合查询数据（3月返）'!$A:$A,1,FALSE)</f>
        <v>#N/A</v>
      </c>
      <c r="J6085" s="48" t="s">
        <v>33</v>
      </c>
      <c r="K6085" s="42" t="s">
        <v>51</v>
      </c>
      <c r="L6085" s="49" t="s">
        <v>8142</v>
      </c>
      <c r="M6085" s="50" t="s">
        <v>8140</v>
      </c>
      <c r="N6085" s="51">
        <v>44712</v>
      </c>
      <c r="O6085" s="51" t="s">
        <v>37</v>
      </c>
      <c r="P6085" s="52">
        <v>0</v>
      </c>
      <c r="Q6085" s="53">
        <v>-288</v>
      </c>
      <c r="R6085" s="54">
        <f t="shared" si="141"/>
        <v>0</v>
      </c>
      <c r="S6085" s="55">
        <v>202303</v>
      </c>
      <c r="T6085" s="56" t="s">
        <v>8144</v>
      </c>
      <c r="U6085" s="57"/>
      <c r="V6085" s="58"/>
      <c r="W6085" s="59"/>
      <c r="X6085" s="51"/>
      <c r="Y6085" s="51"/>
    </row>
    <row r="6086" s="10" customFormat="1" customHeight="1" spans="1:25">
      <c r="A6086" s="42" t="s">
        <v>399</v>
      </c>
      <c r="B6086" s="43" t="s">
        <v>6971</v>
      </c>
      <c r="C6086" s="43" t="s">
        <v>50</v>
      </c>
      <c r="D6086" s="43" t="s">
        <v>881</v>
      </c>
      <c r="E6086" s="44" t="s">
        <v>8137</v>
      </c>
      <c r="F6086" s="42" t="s">
        <v>8138</v>
      </c>
      <c r="G6086" s="42" t="s">
        <v>88</v>
      </c>
      <c r="H6086" s="45" t="s">
        <v>8139</v>
      </c>
      <c r="I6086" s="47" t="e">
        <f>VLOOKUP(H6086,'合同综合查询数据（3月返）'!$A:$A,1,FALSE)</f>
        <v>#N/A</v>
      </c>
      <c r="J6086" s="48" t="s">
        <v>126</v>
      </c>
      <c r="K6086" s="42" t="s">
        <v>51</v>
      </c>
      <c r="L6086" s="49"/>
      <c r="M6086" s="50" t="s">
        <v>8140</v>
      </c>
      <c r="N6086" s="51">
        <v>43490</v>
      </c>
      <c r="O6086" s="51" t="s">
        <v>127</v>
      </c>
      <c r="P6086" s="52">
        <v>5000</v>
      </c>
      <c r="Q6086" s="53">
        <v>6</v>
      </c>
      <c r="R6086" s="54">
        <f t="shared" si="141"/>
        <v>30000</v>
      </c>
      <c r="S6086" s="55">
        <v>202303</v>
      </c>
      <c r="T6086" s="56" t="s">
        <v>8145</v>
      </c>
      <c r="U6086" s="57"/>
      <c r="V6086" s="58"/>
      <c r="W6086" s="59"/>
      <c r="X6086" s="51"/>
      <c r="Y6086" s="51"/>
    </row>
    <row r="6087" s="10" customFormat="1" customHeight="1" spans="1:25">
      <c r="A6087" s="42" t="s">
        <v>399</v>
      </c>
      <c r="B6087" s="43" t="s">
        <v>6971</v>
      </c>
      <c r="C6087" s="43" t="s">
        <v>50</v>
      </c>
      <c r="D6087" s="43" t="s">
        <v>881</v>
      </c>
      <c r="E6087" s="44" t="s">
        <v>8137</v>
      </c>
      <c r="F6087" s="42" t="s">
        <v>8138</v>
      </c>
      <c r="G6087" s="42" t="s">
        <v>88</v>
      </c>
      <c r="H6087" s="45" t="s">
        <v>8139</v>
      </c>
      <c r="I6087" s="47" t="e">
        <f>VLOOKUP(H6087,'合同综合查询数据（3月返）'!$A:$A,1,FALSE)</f>
        <v>#N/A</v>
      </c>
      <c r="J6087" s="48" t="s">
        <v>126</v>
      </c>
      <c r="K6087" s="42" t="s">
        <v>51</v>
      </c>
      <c r="L6087" s="49"/>
      <c r="M6087" s="50" t="s">
        <v>8140</v>
      </c>
      <c r="N6087" s="51">
        <v>44712</v>
      </c>
      <c r="O6087" s="51" t="s">
        <v>127</v>
      </c>
      <c r="P6087" s="52">
        <v>5000</v>
      </c>
      <c r="Q6087" s="53">
        <v>-7</v>
      </c>
      <c r="R6087" s="54">
        <f t="shared" si="141"/>
        <v>-35000</v>
      </c>
      <c r="S6087" s="55">
        <v>202303</v>
      </c>
      <c r="T6087" s="56" t="s">
        <v>8146</v>
      </c>
      <c r="U6087" s="57"/>
      <c r="V6087" s="58"/>
      <c r="W6087" s="59"/>
      <c r="X6087" s="51"/>
      <c r="Y6087" s="51"/>
    </row>
    <row r="6088" s="10" customFormat="1" customHeight="1" spans="1:25">
      <c r="A6088" s="42" t="s">
        <v>399</v>
      </c>
      <c r="B6088" s="43" t="s">
        <v>6971</v>
      </c>
      <c r="C6088" s="43" t="s">
        <v>50</v>
      </c>
      <c r="D6088" s="43" t="s">
        <v>881</v>
      </c>
      <c r="E6088" s="44" t="s">
        <v>8137</v>
      </c>
      <c r="F6088" s="42" t="s">
        <v>8138</v>
      </c>
      <c r="G6088" s="42" t="s">
        <v>31</v>
      </c>
      <c r="H6088" s="45" t="s">
        <v>8139</v>
      </c>
      <c r="I6088" s="47" t="e">
        <f>VLOOKUP(H6088,'合同综合查询数据（3月返）'!$A:$A,1,FALSE)</f>
        <v>#N/A</v>
      </c>
      <c r="J6088" s="48" t="s">
        <v>33</v>
      </c>
      <c r="K6088" s="42" t="s">
        <v>51</v>
      </c>
      <c r="L6088" s="49" t="s">
        <v>8147</v>
      </c>
      <c r="M6088" s="50" t="s">
        <v>8148</v>
      </c>
      <c r="N6088" s="51"/>
      <c r="O6088" s="51" t="s">
        <v>37</v>
      </c>
      <c r="P6088" s="52">
        <v>0</v>
      </c>
      <c r="Q6088" s="53">
        <v>544</v>
      </c>
      <c r="R6088" s="54">
        <f t="shared" si="141"/>
        <v>0</v>
      </c>
      <c r="S6088" s="55">
        <v>202303</v>
      </c>
      <c r="T6088" s="56" t="s">
        <v>8149</v>
      </c>
      <c r="U6088" s="57"/>
      <c r="V6088" s="58"/>
      <c r="W6088" s="59"/>
      <c r="X6088" s="51"/>
      <c r="Y6088" s="51"/>
    </row>
    <row r="6089" s="10" customFormat="1" customHeight="1" spans="1:25">
      <c r="A6089" s="42" t="s">
        <v>399</v>
      </c>
      <c r="B6089" s="43" t="s">
        <v>6971</v>
      </c>
      <c r="C6089" s="43" t="s">
        <v>50</v>
      </c>
      <c r="D6089" s="43" t="s">
        <v>881</v>
      </c>
      <c r="E6089" s="44" t="s">
        <v>8137</v>
      </c>
      <c r="F6089" s="42" t="s">
        <v>8138</v>
      </c>
      <c r="G6089" s="42" t="s">
        <v>88</v>
      </c>
      <c r="H6089" s="45" t="s">
        <v>8139</v>
      </c>
      <c r="I6089" s="47" t="e">
        <f>VLOOKUP(H6089,'合同综合查询数据（3月返）'!$A:$A,1,FALSE)</f>
        <v>#N/A</v>
      </c>
      <c r="J6089" s="48" t="s">
        <v>126</v>
      </c>
      <c r="K6089" s="42" t="s">
        <v>51</v>
      </c>
      <c r="L6089" s="49"/>
      <c r="M6089" s="50" t="s">
        <v>8148</v>
      </c>
      <c r="N6089" s="51">
        <v>43525</v>
      </c>
      <c r="O6089" s="51" t="s">
        <v>127</v>
      </c>
      <c r="P6089" s="52">
        <v>5000</v>
      </c>
      <c r="Q6089" s="53">
        <v>8</v>
      </c>
      <c r="R6089" s="54">
        <f t="shared" si="141"/>
        <v>40000</v>
      </c>
      <c r="S6089" s="55">
        <v>202303</v>
      </c>
      <c r="T6089" s="56" t="s">
        <v>8150</v>
      </c>
      <c r="U6089" s="57"/>
      <c r="V6089" s="58"/>
      <c r="W6089" s="59"/>
      <c r="X6089" s="51"/>
      <c r="Y6089" s="51"/>
    </row>
    <row r="6090" s="10" customFormat="1" customHeight="1" spans="1:25">
      <c r="A6090" s="42" t="s">
        <v>399</v>
      </c>
      <c r="B6090" s="43" t="s">
        <v>6971</v>
      </c>
      <c r="C6090" s="43" t="s">
        <v>50</v>
      </c>
      <c r="D6090" s="43" t="s">
        <v>881</v>
      </c>
      <c r="E6090" s="44" t="s">
        <v>8137</v>
      </c>
      <c r="F6090" s="42" t="s">
        <v>8138</v>
      </c>
      <c r="G6090" s="42" t="s">
        <v>88</v>
      </c>
      <c r="H6090" s="45" t="s">
        <v>8139</v>
      </c>
      <c r="I6090" s="47" t="e">
        <f>VLOOKUP(H6090,'合同综合查询数据（3月返）'!$A:$A,1,FALSE)</f>
        <v>#N/A</v>
      </c>
      <c r="J6090" s="48" t="s">
        <v>126</v>
      </c>
      <c r="K6090" s="42" t="s">
        <v>51</v>
      </c>
      <c r="L6090" s="49"/>
      <c r="M6090" s="50" t="s">
        <v>8148</v>
      </c>
      <c r="N6090" s="51">
        <v>44704</v>
      </c>
      <c r="O6090" s="51" t="s">
        <v>127</v>
      </c>
      <c r="P6090" s="52">
        <v>5000</v>
      </c>
      <c r="Q6090" s="53">
        <v>-1</v>
      </c>
      <c r="R6090" s="54">
        <f t="shared" si="141"/>
        <v>-5000</v>
      </c>
      <c r="S6090" s="55">
        <v>202303</v>
      </c>
      <c r="T6090" s="56" t="s">
        <v>8151</v>
      </c>
      <c r="U6090" s="57"/>
      <c r="V6090" s="58"/>
      <c r="W6090" s="59"/>
      <c r="X6090" s="51"/>
      <c r="Y6090" s="51"/>
    </row>
    <row r="6091" s="10" customFormat="1" customHeight="1" spans="1:25">
      <c r="A6091" s="42" t="s">
        <v>399</v>
      </c>
      <c r="B6091" s="43" t="s">
        <v>6971</v>
      </c>
      <c r="C6091" s="43" t="s">
        <v>50</v>
      </c>
      <c r="D6091" s="43" t="s">
        <v>881</v>
      </c>
      <c r="E6091" s="44" t="s">
        <v>8137</v>
      </c>
      <c r="F6091" s="42" t="s">
        <v>8138</v>
      </c>
      <c r="G6091" s="42" t="s">
        <v>88</v>
      </c>
      <c r="H6091" s="45" t="s">
        <v>8139</v>
      </c>
      <c r="I6091" s="47" t="e">
        <f>VLOOKUP(H6091,'合同综合查询数据（3月返）'!$A:$A,1,FALSE)</f>
        <v>#N/A</v>
      </c>
      <c r="J6091" s="48" t="s">
        <v>126</v>
      </c>
      <c r="K6091" s="42" t="s">
        <v>51</v>
      </c>
      <c r="L6091" s="49" t="s">
        <v>8147</v>
      </c>
      <c r="M6091" s="50" t="s">
        <v>8148</v>
      </c>
      <c r="N6091" s="51">
        <v>44215</v>
      </c>
      <c r="O6091" s="51" t="s">
        <v>457</v>
      </c>
      <c r="P6091" s="52">
        <v>5500</v>
      </c>
      <c r="Q6091" s="53">
        <v>2</v>
      </c>
      <c r="R6091" s="54">
        <f t="shared" si="141"/>
        <v>11000</v>
      </c>
      <c r="S6091" s="55">
        <v>202303</v>
      </c>
      <c r="T6091" s="56" t="s">
        <v>8152</v>
      </c>
      <c r="U6091" s="57"/>
      <c r="V6091" s="58"/>
      <c r="W6091" s="59"/>
      <c r="X6091" s="51"/>
      <c r="Y6091" s="51"/>
    </row>
    <row r="6092" s="10" customFormat="1" customHeight="1" spans="1:25">
      <c r="A6092" s="42" t="s">
        <v>399</v>
      </c>
      <c r="B6092" s="43" t="s">
        <v>6971</v>
      </c>
      <c r="C6092" s="43" t="s">
        <v>50</v>
      </c>
      <c r="D6092" s="43" t="s">
        <v>881</v>
      </c>
      <c r="E6092" s="44" t="s">
        <v>8137</v>
      </c>
      <c r="F6092" s="42" t="s">
        <v>8138</v>
      </c>
      <c r="G6092" s="42" t="s">
        <v>31</v>
      </c>
      <c r="H6092" s="45" t="s">
        <v>8139</v>
      </c>
      <c r="I6092" s="47" t="e">
        <f>VLOOKUP(H6092,'合同综合查询数据（3月返）'!$A:$A,1,FALSE)</f>
        <v>#N/A</v>
      </c>
      <c r="J6092" s="48" t="s">
        <v>33</v>
      </c>
      <c r="K6092" s="42" t="s">
        <v>51</v>
      </c>
      <c r="L6092" s="49" t="s">
        <v>8147</v>
      </c>
      <c r="M6092" s="50" t="s">
        <v>8148</v>
      </c>
      <c r="N6092" s="51">
        <v>44215</v>
      </c>
      <c r="O6092" s="51" t="s">
        <v>37</v>
      </c>
      <c r="P6092" s="52">
        <v>0</v>
      </c>
      <c r="Q6092" s="53">
        <v>128</v>
      </c>
      <c r="R6092" s="54">
        <f t="shared" si="141"/>
        <v>0</v>
      </c>
      <c r="S6092" s="55">
        <v>202303</v>
      </c>
      <c r="T6092" s="56" t="s">
        <v>8153</v>
      </c>
      <c r="U6092" s="57"/>
      <c r="V6092" s="58"/>
      <c r="W6092" s="59"/>
      <c r="X6092" s="51"/>
      <c r="Y6092" s="51"/>
    </row>
    <row r="6093" s="10" customFormat="1" customHeight="1" spans="1:25">
      <c r="A6093" s="42" t="s">
        <v>399</v>
      </c>
      <c r="B6093" s="43" t="s">
        <v>6971</v>
      </c>
      <c r="C6093" s="43" t="s">
        <v>50</v>
      </c>
      <c r="D6093" s="43" t="s">
        <v>881</v>
      </c>
      <c r="E6093" s="44" t="s">
        <v>8137</v>
      </c>
      <c r="F6093" s="42" t="s">
        <v>8138</v>
      </c>
      <c r="G6093" s="42" t="s">
        <v>31</v>
      </c>
      <c r="H6093" s="45" t="s">
        <v>8139</v>
      </c>
      <c r="I6093" s="47" t="e">
        <f>VLOOKUP(H6093,'合同综合查询数据（3月返）'!$A:$A,1,FALSE)</f>
        <v>#N/A</v>
      </c>
      <c r="J6093" s="48" t="s">
        <v>33</v>
      </c>
      <c r="K6093" s="42" t="s">
        <v>51</v>
      </c>
      <c r="L6093" s="49" t="s">
        <v>8147</v>
      </c>
      <c r="M6093" s="50" t="s">
        <v>8148</v>
      </c>
      <c r="N6093" s="51">
        <v>44926</v>
      </c>
      <c r="O6093" s="51" t="s">
        <v>37</v>
      </c>
      <c r="P6093" s="52">
        <v>0</v>
      </c>
      <c r="Q6093" s="53">
        <v>-128</v>
      </c>
      <c r="R6093" s="54">
        <f t="shared" si="141"/>
        <v>0</v>
      </c>
      <c r="S6093" s="55">
        <v>202303</v>
      </c>
      <c r="T6093" s="56" t="s">
        <v>8154</v>
      </c>
      <c r="U6093" s="57"/>
      <c r="V6093" s="58"/>
      <c r="W6093" s="59"/>
      <c r="X6093" s="51"/>
      <c r="Y6093" s="51"/>
    </row>
    <row r="6094" s="10" customFormat="1" customHeight="1" spans="1:25">
      <c r="A6094" s="42" t="s">
        <v>399</v>
      </c>
      <c r="B6094" s="43" t="s">
        <v>6971</v>
      </c>
      <c r="C6094" s="43" t="s">
        <v>50</v>
      </c>
      <c r="D6094" s="43" t="s">
        <v>881</v>
      </c>
      <c r="E6094" s="44" t="s">
        <v>8137</v>
      </c>
      <c r="F6094" s="42" t="s">
        <v>8138</v>
      </c>
      <c r="G6094" s="42" t="s">
        <v>31</v>
      </c>
      <c r="H6094" s="45" t="s">
        <v>8139</v>
      </c>
      <c r="I6094" s="47" t="e">
        <f>VLOOKUP(H6094,'合同综合查询数据（3月返）'!$A:$A,1,FALSE)</f>
        <v>#N/A</v>
      </c>
      <c r="J6094" s="48" t="s">
        <v>33</v>
      </c>
      <c r="K6094" s="42" t="s">
        <v>51</v>
      </c>
      <c r="L6094" s="49" t="s">
        <v>8147</v>
      </c>
      <c r="M6094" s="50" t="s">
        <v>8148</v>
      </c>
      <c r="N6094" s="51">
        <v>44293</v>
      </c>
      <c r="O6094" s="51" t="s">
        <v>37</v>
      </c>
      <c r="P6094" s="52">
        <v>0</v>
      </c>
      <c r="Q6094" s="53">
        <v>128</v>
      </c>
      <c r="R6094" s="54">
        <f t="shared" si="141"/>
        <v>0</v>
      </c>
      <c r="S6094" s="55">
        <v>202303</v>
      </c>
      <c r="T6094" s="56" t="s">
        <v>8155</v>
      </c>
      <c r="U6094" s="57"/>
      <c r="V6094" s="58"/>
      <c r="W6094" s="59"/>
      <c r="X6094" s="51"/>
      <c r="Y6094" s="51"/>
    </row>
    <row r="6095" s="10" customFormat="1" customHeight="1" spans="1:25">
      <c r="A6095" s="42" t="s">
        <v>399</v>
      </c>
      <c r="B6095" s="43" t="s">
        <v>6971</v>
      </c>
      <c r="C6095" s="43" t="s">
        <v>50</v>
      </c>
      <c r="D6095" s="43" t="s">
        <v>881</v>
      </c>
      <c r="E6095" s="44" t="s">
        <v>8137</v>
      </c>
      <c r="F6095" s="42" t="s">
        <v>8138</v>
      </c>
      <c r="G6095" s="42" t="s">
        <v>88</v>
      </c>
      <c r="H6095" s="45" t="s">
        <v>8139</v>
      </c>
      <c r="I6095" s="47" t="e">
        <f>VLOOKUP(H6095,'合同综合查询数据（3月返）'!$A:$A,1,FALSE)</f>
        <v>#N/A</v>
      </c>
      <c r="J6095" s="48" t="s">
        <v>126</v>
      </c>
      <c r="K6095" s="42" t="s">
        <v>51</v>
      </c>
      <c r="L6095" s="49" t="s">
        <v>8147</v>
      </c>
      <c r="M6095" s="50" t="s">
        <v>8148</v>
      </c>
      <c r="N6095" s="51">
        <v>44293</v>
      </c>
      <c r="O6095" s="51" t="s">
        <v>457</v>
      </c>
      <c r="P6095" s="52">
        <v>5500</v>
      </c>
      <c r="Q6095" s="53">
        <v>1</v>
      </c>
      <c r="R6095" s="54">
        <f t="shared" si="141"/>
        <v>5500</v>
      </c>
      <c r="S6095" s="55">
        <v>202303</v>
      </c>
      <c r="T6095" s="56" t="s">
        <v>8156</v>
      </c>
      <c r="U6095" s="57"/>
      <c r="V6095" s="58"/>
      <c r="W6095" s="59"/>
      <c r="X6095" s="51"/>
      <c r="Y6095" s="51"/>
    </row>
    <row r="6096" s="10" customFormat="1" customHeight="1" spans="1:25">
      <c r="A6096" s="42" t="s">
        <v>399</v>
      </c>
      <c r="B6096" s="43" t="s">
        <v>6971</v>
      </c>
      <c r="C6096" s="43" t="s">
        <v>50</v>
      </c>
      <c r="D6096" s="43" t="s">
        <v>881</v>
      </c>
      <c r="E6096" s="44" t="s">
        <v>8137</v>
      </c>
      <c r="F6096" s="42" t="s">
        <v>8138</v>
      </c>
      <c r="G6096" s="42" t="s">
        <v>88</v>
      </c>
      <c r="H6096" s="45" t="s">
        <v>8139</v>
      </c>
      <c r="I6096" s="47" t="e">
        <f>VLOOKUP(H6096,'合同综合查询数据（3月返）'!$A:$A,1,FALSE)</f>
        <v>#N/A</v>
      </c>
      <c r="J6096" s="48" t="s">
        <v>126</v>
      </c>
      <c r="K6096" s="42" t="s">
        <v>51</v>
      </c>
      <c r="L6096" s="49" t="s">
        <v>8147</v>
      </c>
      <c r="M6096" s="50" t="s">
        <v>8148</v>
      </c>
      <c r="N6096" s="51">
        <v>44417</v>
      </c>
      <c r="O6096" s="51" t="s">
        <v>457</v>
      </c>
      <c r="P6096" s="52">
        <v>5500</v>
      </c>
      <c r="Q6096" s="53">
        <v>1</v>
      </c>
      <c r="R6096" s="54">
        <f t="shared" si="141"/>
        <v>5500</v>
      </c>
      <c r="S6096" s="55">
        <v>202303</v>
      </c>
      <c r="T6096" s="56" t="s">
        <v>8157</v>
      </c>
      <c r="U6096" s="57"/>
      <c r="V6096" s="58"/>
      <c r="W6096" s="59"/>
      <c r="X6096" s="51"/>
      <c r="Y6096" s="51"/>
    </row>
    <row r="6097" s="10" customFormat="1" customHeight="1" spans="1:25">
      <c r="A6097" s="42" t="s">
        <v>399</v>
      </c>
      <c r="B6097" s="43" t="s">
        <v>6971</v>
      </c>
      <c r="C6097" s="43" t="s">
        <v>50</v>
      </c>
      <c r="D6097" s="43" t="s">
        <v>881</v>
      </c>
      <c r="E6097" s="44" t="s">
        <v>8137</v>
      </c>
      <c r="F6097" s="42" t="s">
        <v>8138</v>
      </c>
      <c r="G6097" s="42" t="s">
        <v>88</v>
      </c>
      <c r="H6097" s="45" t="s">
        <v>8139</v>
      </c>
      <c r="I6097" s="47" t="e">
        <f>VLOOKUP(H6097,'合同综合查询数据（3月返）'!$A:$A,1,FALSE)</f>
        <v>#N/A</v>
      </c>
      <c r="J6097" s="48" t="s">
        <v>126</v>
      </c>
      <c r="K6097" s="42" t="s">
        <v>51</v>
      </c>
      <c r="L6097" s="49" t="s">
        <v>8147</v>
      </c>
      <c r="M6097" s="50" t="s">
        <v>8148</v>
      </c>
      <c r="N6097" s="51">
        <v>44926</v>
      </c>
      <c r="O6097" s="51" t="s">
        <v>457</v>
      </c>
      <c r="P6097" s="52">
        <v>5500</v>
      </c>
      <c r="Q6097" s="53">
        <v>-1</v>
      </c>
      <c r="R6097" s="54">
        <f t="shared" si="141"/>
        <v>-5500</v>
      </c>
      <c r="S6097" s="55">
        <v>202303</v>
      </c>
      <c r="T6097" s="56" t="s">
        <v>8158</v>
      </c>
      <c r="U6097" s="57"/>
      <c r="V6097" s="58"/>
      <c r="W6097" s="59"/>
      <c r="X6097" s="51"/>
      <c r="Y6097" s="51"/>
    </row>
    <row r="6098" s="10" customFormat="1" customHeight="1" spans="1:25">
      <c r="A6098" s="42" t="s">
        <v>399</v>
      </c>
      <c r="B6098" s="43" t="s">
        <v>6971</v>
      </c>
      <c r="C6098" s="43" t="s">
        <v>50</v>
      </c>
      <c r="D6098" s="43" t="s">
        <v>881</v>
      </c>
      <c r="E6098" s="44" t="s">
        <v>8137</v>
      </c>
      <c r="F6098" s="42" t="s">
        <v>8138</v>
      </c>
      <c r="G6098" s="42" t="s">
        <v>31</v>
      </c>
      <c r="H6098" s="45" t="s">
        <v>8139</v>
      </c>
      <c r="I6098" s="47" t="e">
        <f>VLOOKUP(H6098,'合同综合查询数据（3月返）'!$A:$A,1,FALSE)</f>
        <v>#N/A</v>
      </c>
      <c r="J6098" s="48" t="s">
        <v>33</v>
      </c>
      <c r="K6098" s="42" t="s">
        <v>51</v>
      </c>
      <c r="L6098" s="49" t="s">
        <v>8147</v>
      </c>
      <c r="M6098" s="50" t="s">
        <v>8148</v>
      </c>
      <c r="N6098" s="51">
        <v>44531</v>
      </c>
      <c r="O6098" s="51" t="s">
        <v>152</v>
      </c>
      <c r="P6098" s="52">
        <v>0</v>
      </c>
      <c r="Q6098" s="53">
        <v>1</v>
      </c>
      <c r="R6098" s="54">
        <f t="shared" si="141"/>
        <v>0</v>
      </c>
      <c r="S6098" s="55">
        <v>202303</v>
      </c>
      <c r="T6098" s="56" t="s">
        <v>8159</v>
      </c>
      <c r="U6098" s="57"/>
      <c r="V6098" s="58"/>
      <c r="W6098" s="59"/>
      <c r="X6098" s="51"/>
      <c r="Y6098" s="51"/>
    </row>
    <row r="6099" s="10" customFormat="1" customHeight="1" spans="1:25">
      <c r="A6099" s="42" t="s">
        <v>399</v>
      </c>
      <c r="B6099" s="43" t="s">
        <v>6971</v>
      </c>
      <c r="C6099" s="43" t="s">
        <v>50</v>
      </c>
      <c r="D6099" s="43" t="s">
        <v>881</v>
      </c>
      <c r="E6099" s="44" t="s">
        <v>8137</v>
      </c>
      <c r="F6099" s="42" t="s">
        <v>8138</v>
      </c>
      <c r="G6099" s="42" t="s">
        <v>31</v>
      </c>
      <c r="H6099" s="45" t="s">
        <v>8139</v>
      </c>
      <c r="I6099" s="47" t="e">
        <f>VLOOKUP(H6099,'合同综合查询数据（3月返）'!$A:$A,1,FALSE)</f>
        <v>#N/A</v>
      </c>
      <c r="J6099" s="48" t="s">
        <v>33</v>
      </c>
      <c r="K6099" s="42" t="s">
        <v>51</v>
      </c>
      <c r="L6099" s="49" t="s">
        <v>8147</v>
      </c>
      <c r="M6099" s="50" t="s">
        <v>8148</v>
      </c>
      <c r="N6099" s="51">
        <v>44926</v>
      </c>
      <c r="O6099" s="51" t="s">
        <v>152</v>
      </c>
      <c r="P6099" s="52">
        <v>0</v>
      </c>
      <c r="Q6099" s="53">
        <v>-1</v>
      </c>
      <c r="R6099" s="54">
        <f t="shared" si="141"/>
        <v>0</v>
      </c>
      <c r="S6099" s="55">
        <v>202303</v>
      </c>
      <c r="T6099" s="56" t="s">
        <v>8160</v>
      </c>
      <c r="U6099" s="57"/>
      <c r="V6099" s="58"/>
      <c r="W6099" s="59"/>
      <c r="X6099" s="51"/>
      <c r="Y6099" s="51"/>
    </row>
    <row r="6100" s="10" customFormat="1" customHeight="1" spans="1:25">
      <c r="A6100" s="42" t="s">
        <v>399</v>
      </c>
      <c r="B6100" s="43" t="s">
        <v>6971</v>
      </c>
      <c r="C6100" s="43" t="s">
        <v>50</v>
      </c>
      <c r="D6100" s="43" t="s">
        <v>881</v>
      </c>
      <c r="E6100" s="44" t="s">
        <v>8137</v>
      </c>
      <c r="F6100" s="42" t="s">
        <v>8138</v>
      </c>
      <c r="G6100" s="42" t="s">
        <v>88</v>
      </c>
      <c r="H6100" s="45" t="s">
        <v>8139</v>
      </c>
      <c r="I6100" s="47" t="e">
        <f>VLOOKUP(H6100,'合同综合查询数据（3月返）'!$A:$A,1,FALSE)</f>
        <v>#N/A</v>
      </c>
      <c r="J6100" s="48" t="s">
        <v>126</v>
      </c>
      <c r="K6100" s="42" t="s">
        <v>51</v>
      </c>
      <c r="L6100" s="49" t="s">
        <v>8147</v>
      </c>
      <c r="M6100" s="50" t="s">
        <v>8148</v>
      </c>
      <c r="N6100" s="51">
        <v>44705</v>
      </c>
      <c r="O6100" s="51" t="s">
        <v>127</v>
      </c>
      <c r="P6100" s="52">
        <v>5000</v>
      </c>
      <c r="Q6100" s="53">
        <v>1</v>
      </c>
      <c r="R6100" s="54">
        <f t="shared" si="141"/>
        <v>5000</v>
      </c>
      <c r="S6100" s="55">
        <v>202303</v>
      </c>
      <c r="T6100" s="56" t="s">
        <v>8161</v>
      </c>
      <c r="U6100" s="57"/>
      <c r="V6100" s="58"/>
      <c r="W6100" s="59"/>
      <c r="X6100" s="51"/>
      <c r="Y6100" s="51"/>
    </row>
    <row r="6101" s="10" customFormat="1" customHeight="1" spans="1:25">
      <c r="A6101" s="42" t="s">
        <v>399</v>
      </c>
      <c r="B6101" s="43" t="s">
        <v>6971</v>
      </c>
      <c r="C6101" s="43" t="s">
        <v>50</v>
      </c>
      <c r="D6101" s="43" t="s">
        <v>881</v>
      </c>
      <c r="E6101" s="44" t="s">
        <v>8137</v>
      </c>
      <c r="F6101" s="42" t="s">
        <v>8138</v>
      </c>
      <c r="G6101" s="42" t="s">
        <v>31</v>
      </c>
      <c r="H6101" s="45" t="s">
        <v>8139</v>
      </c>
      <c r="I6101" s="47" t="e">
        <f>VLOOKUP(H6101,'合同综合查询数据（3月返）'!$A:$A,1,FALSE)</f>
        <v>#N/A</v>
      </c>
      <c r="J6101" s="48" t="s">
        <v>33</v>
      </c>
      <c r="K6101" s="42" t="s">
        <v>51</v>
      </c>
      <c r="L6101" s="49" t="s">
        <v>8147</v>
      </c>
      <c r="M6101" s="50" t="s">
        <v>8148</v>
      </c>
      <c r="N6101" s="51">
        <v>44705</v>
      </c>
      <c r="O6101" s="51" t="s">
        <v>37</v>
      </c>
      <c r="P6101" s="52">
        <v>0</v>
      </c>
      <c r="Q6101" s="53">
        <v>128</v>
      </c>
      <c r="R6101" s="54">
        <f t="shared" si="141"/>
        <v>0</v>
      </c>
      <c r="S6101" s="55">
        <v>202303</v>
      </c>
      <c r="T6101" s="56" t="s">
        <v>8162</v>
      </c>
      <c r="U6101" s="57"/>
      <c r="V6101" s="58"/>
      <c r="W6101" s="59"/>
      <c r="X6101" s="51"/>
      <c r="Y6101" s="51"/>
    </row>
    <row r="6102" s="10" customFormat="1" customHeight="1" spans="1:25">
      <c r="A6102" s="42" t="s">
        <v>399</v>
      </c>
      <c r="B6102" s="43" t="s">
        <v>6971</v>
      </c>
      <c r="C6102" s="43" t="s">
        <v>27</v>
      </c>
      <c r="D6102" s="43" t="s">
        <v>881</v>
      </c>
      <c r="E6102" s="44" t="s">
        <v>8163</v>
      </c>
      <c r="F6102" s="42" t="s">
        <v>8164</v>
      </c>
      <c r="G6102" s="42" t="s">
        <v>88</v>
      </c>
      <c r="H6102" s="45" t="s">
        <v>8165</v>
      </c>
      <c r="I6102" s="47" t="e">
        <f>VLOOKUP(H6102,'合同综合查询数据（3月返）'!$A:$A,1,FALSE)</f>
        <v>#N/A</v>
      </c>
      <c r="J6102" s="48" t="s">
        <v>126</v>
      </c>
      <c r="K6102" s="42" t="s">
        <v>34</v>
      </c>
      <c r="L6102" s="49"/>
      <c r="M6102" s="50" t="s">
        <v>8166</v>
      </c>
      <c r="N6102" s="51">
        <v>43490</v>
      </c>
      <c r="O6102" s="51" t="s">
        <v>127</v>
      </c>
      <c r="P6102" s="52">
        <v>5000</v>
      </c>
      <c r="Q6102" s="53">
        <v>6</v>
      </c>
      <c r="R6102" s="54">
        <f t="shared" si="141"/>
        <v>30000</v>
      </c>
      <c r="S6102" s="55">
        <v>202303</v>
      </c>
      <c r="T6102" s="56" t="s">
        <v>8167</v>
      </c>
      <c r="U6102" s="57"/>
      <c r="V6102" s="58"/>
      <c r="W6102" s="59"/>
      <c r="X6102" s="51"/>
      <c r="Y6102" s="51"/>
    </row>
    <row r="6103" s="10" customFormat="1" customHeight="1" spans="1:25">
      <c r="A6103" s="42" t="s">
        <v>399</v>
      </c>
      <c r="B6103" s="43" t="s">
        <v>6971</v>
      </c>
      <c r="C6103" s="43" t="s">
        <v>27</v>
      </c>
      <c r="D6103" s="43" t="s">
        <v>881</v>
      </c>
      <c r="E6103" s="44" t="s">
        <v>8163</v>
      </c>
      <c r="F6103" s="42" t="s">
        <v>8164</v>
      </c>
      <c r="G6103" s="42" t="s">
        <v>88</v>
      </c>
      <c r="H6103" s="45" t="s">
        <v>8165</v>
      </c>
      <c r="I6103" s="47" t="e">
        <f>VLOOKUP(H6103,'合同综合查询数据（3月返）'!$A:$A,1,FALSE)</f>
        <v>#N/A</v>
      </c>
      <c r="J6103" s="48" t="s">
        <v>126</v>
      </c>
      <c r="K6103" s="42" t="s">
        <v>34</v>
      </c>
      <c r="L6103" s="49"/>
      <c r="M6103" s="50" t="s">
        <v>8168</v>
      </c>
      <c r="N6103" s="51">
        <v>43521</v>
      </c>
      <c r="O6103" s="51" t="s">
        <v>127</v>
      </c>
      <c r="P6103" s="52">
        <v>5000</v>
      </c>
      <c r="Q6103" s="53">
        <v>6</v>
      </c>
      <c r="R6103" s="54">
        <f t="shared" si="141"/>
        <v>30000</v>
      </c>
      <c r="S6103" s="55">
        <v>202303</v>
      </c>
      <c r="T6103" s="56" t="s">
        <v>8169</v>
      </c>
      <c r="U6103" s="57"/>
      <c r="V6103" s="58"/>
      <c r="W6103" s="59"/>
      <c r="X6103" s="51"/>
      <c r="Y6103" s="51"/>
    </row>
    <row r="6104" s="10" customFormat="1" customHeight="1" spans="1:25">
      <c r="A6104" s="42" t="s">
        <v>399</v>
      </c>
      <c r="B6104" s="43" t="s">
        <v>6971</v>
      </c>
      <c r="C6104" s="43" t="s">
        <v>27</v>
      </c>
      <c r="D6104" s="43" t="s">
        <v>881</v>
      </c>
      <c r="E6104" s="44" t="s">
        <v>8163</v>
      </c>
      <c r="F6104" s="42" t="s">
        <v>8164</v>
      </c>
      <c r="G6104" s="42" t="s">
        <v>31</v>
      </c>
      <c r="H6104" s="45" t="s">
        <v>8165</v>
      </c>
      <c r="I6104" s="47" t="e">
        <f>VLOOKUP(H6104,'合同综合查询数据（3月返）'!$A:$A,1,FALSE)</f>
        <v>#N/A</v>
      </c>
      <c r="J6104" s="48" t="s">
        <v>33</v>
      </c>
      <c r="K6104" s="42" t="s">
        <v>34</v>
      </c>
      <c r="L6104" s="49"/>
      <c r="M6104" s="50" t="s">
        <v>8170</v>
      </c>
      <c r="N6104" s="51"/>
      <c r="O6104" s="51" t="s">
        <v>37</v>
      </c>
      <c r="P6104" s="52">
        <v>0</v>
      </c>
      <c r="Q6104" s="53">
        <v>25</v>
      </c>
      <c r="R6104" s="54">
        <f t="shared" si="141"/>
        <v>0</v>
      </c>
      <c r="S6104" s="55">
        <v>202303</v>
      </c>
      <c r="T6104" s="56" t="s">
        <v>8171</v>
      </c>
      <c r="U6104" s="57"/>
      <c r="V6104" s="58"/>
      <c r="W6104" s="59"/>
      <c r="X6104" s="51"/>
      <c r="Y6104" s="51"/>
    </row>
    <row r="6105" s="10" customFormat="1" customHeight="1" spans="1:25">
      <c r="A6105" s="42" t="s">
        <v>399</v>
      </c>
      <c r="B6105" s="43" t="s">
        <v>6971</v>
      </c>
      <c r="C6105" s="43" t="s">
        <v>27</v>
      </c>
      <c r="D6105" s="43" t="s">
        <v>881</v>
      </c>
      <c r="E6105" s="44" t="s">
        <v>8163</v>
      </c>
      <c r="F6105" s="42" t="s">
        <v>8164</v>
      </c>
      <c r="G6105" s="42" t="s">
        <v>31</v>
      </c>
      <c r="H6105" s="45" t="s">
        <v>8165</v>
      </c>
      <c r="I6105" s="47" t="e">
        <f>VLOOKUP(H6105,'合同综合查询数据（3月返）'!$A:$A,1,FALSE)</f>
        <v>#N/A</v>
      </c>
      <c r="J6105" s="48" t="s">
        <v>33</v>
      </c>
      <c r="K6105" s="42" t="s">
        <v>34</v>
      </c>
      <c r="L6105" s="49"/>
      <c r="M6105" s="50" t="s">
        <v>8170</v>
      </c>
      <c r="N6105" s="51"/>
      <c r="O6105" s="51" t="s">
        <v>37</v>
      </c>
      <c r="P6105" s="52">
        <v>50</v>
      </c>
      <c r="Q6105" s="53">
        <v>167</v>
      </c>
      <c r="R6105" s="54">
        <f>ROUND(Q6105*P6105,2)</f>
        <v>8350</v>
      </c>
      <c r="S6105" s="55">
        <v>202303</v>
      </c>
      <c r="T6105" s="56" t="s">
        <v>8171</v>
      </c>
      <c r="U6105" s="57"/>
      <c r="V6105" s="58"/>
      <c r="W6105" s="59"/>
      <c r="X6105" s="51"/>
      <c r="Y6105" s="51"/>
    </row>
    <row r="6106" s="10" customFormat="1" customHeight="1" spans="1:25">
      <c r="A6106" s="42" t="s">
        <v>399</v>
      </c>
      <c r="B6106" s="43" t="s">
        <v>6971</v>
      </c>
      <c r="C6106" s="43" t="s">
        <v>27</v>
      </c>
      <c r="D6106" s="43" t="s">
        <v>881</v>
      </c>
      <c r="E6106" s="44" t="s">
        <v>8163</v>
      </c>
      <c r="F6106" s="42" t="s">
        <v>8164</v>
      </c>
      <c r="G6106" s="42" t="s">
        <v>88</v>
      </c>
      <c r="H6106" s="45" t="s">
        <v>8165</v>
      </c>
      <c r="I6106" s="47" t="e">
        <f>VLOOKUP(H6106,'合同综合查询数据（3月返）'!$A:$A,1,FALSE)</f>
        <v>#N/A</v>
      </c>
      <c r="J6106" s="48" t="s">
        <v>126</v>
      </c>
      <c r="K6106" s="42" t="s">
        <v>34</v>
      </c>
      <c r="L6106" s="49" t="s">
        <v>8172</v>
      </c>
      <c r="M6106" s="50" t="s">
        <v>8168</v>
      </c>
      <c r="N6106" s="51">
        <v>44334</v>
      </c>
      <c r="O6106" s="51" t="s">
        <v>2283</v>
      </c>
      <c r="P6106" s="52">
        <v>5000</v>
      </c>
      <c r="Q6106" s="53">
        <v>2</v>
      </c>
      <c r="R6106" s="54">
        <f>ROUND(Q6106*P6106,2)</f>
        <v>10000</v>
      </c>
      <c r="S6106" s="55">
        <v>202303</v>
      </c>
      <c r="T6106" s="56" t="s">
        <v>8173</v>
      </c>
      <c r="U6106" s="57"/>
      <c r="V6106" s="58"/>
      <c r="W6106" s="59"/>
      <c r="X6106" s="51"/>
      <c r="Y6106" s="51"/>
    </row>
    <row r="6107" s="10" customFormat="1" customHeight="1" spans="1:25">
      <c r="A6107" s="42" t="s">
        <v>399</v>
      </c>
      <c r="B6107" s="43" t="s">
        <v>6971</v>
      </c>
      <c r="C6107" s="43" t="s">
        <v>27</v>
      </c>
      <c r="D6107" s="43" t="s">
        <v>881</v>
      </c>
      <c r="E6107" s="44" t="s">
        <v>8163</v>
      </c>
      <c r="F6107" s="42" t="s">
        <v>8164</v>
      </c>
      <c r="G6107" s="42" t="s">
        <v>88</v>
      </c>
      <c r="H6107" s="45" t="s">
        <v>8165</v>
      </c>
      <c r="I6107" s="47" t="e">
        <f>VLOOKUP(H6107,'合同综合查询数据（3月返）'!$A:$A,1,FALSE)</f>
        <v>#N/A</v>
      </c>
      <c r="J6107" s="48" t="s">
        <v>126</v>
      </c>
      <c r="K6107" s="42" t="s">
        <v>34</v>
      </c>
      <c r="L6107" s="49" t="s">
        <v>8164</v>
      </c>
      <c r="M6107" s="50" t="s">
        <v>8166</v>
      </c>
      <c r="N6107" s="51">
        <v>44687</v>
      </c>
      <c r="O6107" s="51" t="s">
        <v>127</v>
      </c>
      <c r="P6107" s="52">
        <v>5000</v>
      </c>
      <c r="Q6107" s="53">
        <v>-2</v>
      </c>
      <c r="R6107" s="54">
        <f>ROUND(Q6107*P6107,2)</f>
        <v>-10000</v>
      </c>
      <c r="S6107" s="55">
        <v>202303</v>
      </c>
      <c r="T6107" s="56" t="s">
        <v>8174</v>
      </c>
      <c r="U6107" s="57"/>
      <c r="V6107" s="58"/>
      <c r="W6107" s="59"/>
      <c r="X6107" s="51"/>
      <c r="Y6107" s="51"/>
    </row>
    <row r="6108" s="10" customFormat="1" customHeight="1" spans="1:25">
      <c r="A6108" s="42" t="s">
        <v>399</v>
      </c>
      <c r="B6108" s="43" t="s">
        <v>6971</v>
      </c>
      <c r="C6108" s="43" t="s">
        <v>27</v>
      </c>
      <c r="D6108" s="43" t="s">
        <v>881</v>
      </c>
      <c r="E6108" s="44" t="s">
        <v>8163</v>
      </c>
      <c r="F6108" s="42" t="s">
        <v>8164</v>
      </c>
      <c r="G6108" s="42" t="s">
        <v>88</v>
      </c>
      <c r="H6108" s="45" t="s">
        <v>8165</v>
      </c>
      <c r="I6108" s="47" t="e">
        <f>VLOOKUP(H6108,'合同综合查询数据（3月返）'!$A:$A,1,FALSE)</f>
        <v>#N/A</v>
      </c>
      <c r="J6108" s="48" t="s">
        <v>126</v>
      </c>
      <c r="K6108" s="42" t="s">
        <v>34</v>
      </c>
      <c r="L6108" s="49" t="s">
        <v>8164</v>
      </c>
      <c r="M6108" s="50" t="s">
        <v>8166</v>
      </c>
      <c r="N6108" s="51">
        <v>44701</v>
      </c>
      <c r="O6108" s="51" t="s">
        <v>127</v>
      </c>
      <c r="P6108" s="52">
        <v>5000</v>
      </c>
      <c r="Q6108" s="53">
        <v>-2</v>
      </c>
      <c r="R6108" s="54">
        <f>ROUND(Q6108*P6108,2)</f>
        <v>-10000</v>
      </c>
      <c r="S6108" s="55">
        <v>202303</v>
      </c>
      <c r="T6108" s="56" t="s">
        <v>8175</v>
      </c>
      <c r="U6108" s="57"/>
      <c r="V6108" s="58"/>
      <c r="W6108" s="59"/>
      <c r="X6108" s="51"/>
      <c r="Y6108" s="51"/>
    </row>
    <row r="6109" s="10" customFormat="1" customHeight="1" spans="1:25">
      <c r="A6109" s="42" t="s">
        <v>399</v>
      </c>
      <c r="B6109" s="43" t="s">
        <v>6971</v>
      </c>
      <c r="C6109" s="43" t="s">
        <v>27</v>
      </c>
      <c r="D6109" s="43" t="s">
        <v>881</v>
      </c>
      <c r="E6109" s="44" t="s">
        <v>8163</v>
      </c>
      <c r="F6109" s="42" t="s">
        <v>8164</v>
      </c>
      <c r="G6109" s="42" t="s">
        <v>31</v>
      </c>
      <c r="H6109" s="45" t="s">
        <v>8165</v>
      </c>
      <c r="I6109" s="47" t="e">
        <f>VLOOKUP(H6109,'合同综合查询数据（3月返）'!$A:$A,1,FALSE)</f>
        <v>#N/A</v>
      </c>
      <c r="J6109" s="48" t="s">
        <v>33</v>
      </c>
      <c r="K6109" s="42" t="s">
        <v>34</v>
      </c>
      <c r="L6109" s="49" t="s">
        <v>8172</v>
      </c>
      <c r="M6109" s="50" t="s">
        <v>8168</v>
      </c>
      <c r="N6109" s="51">
        <v>44334</v>
      </c>
      <c r="O6109" s="51" t="s">
        <v>37</v>
      </c>
      <c r="P6109" s="52">
        <v>50</v>
      </c>
      <c r="Q6109" s="53">
        <v>512</v>
      </c>
      <c r="R6109" s="54">
        <f>ROUND(Q6109*P6109,2)</f>
        <v>25600</v>
      </c>
      <c r="S6109" s="55">
        <v>202303</v>
      </c>
      <c r="T6109" s="56" t="s">
        <v>8171</v>
      </c>
      <c r="U6109" s="57"/>
      <c r="V6109" s="58"/>
      <c r="W6109" s="59"/>
      <c r="X6109" s="51"/>
      <c r="Y6109" s="51"/>
    </row>
    <row r="6110" s="10" customFormat="1" customHeight="1" spans="1:25">
      <c r="A6110" s="42" t="s">
        <v>399</v>
      </c>
      <c r="B6110" s="43" t="s">
        <v>6971</v>
      </c>
      <c r="C6110" s="43" t="s">
        <v>27</v>
      </c>
      <c r="D6110" s="43" t="s">
        <v>881</v>
      </c>
      <c r="E6110" s="44" t="s">
        <v>8163</v>
      </c>
      <c r="F6110" s="42" t="s">
        <v>8164</v>
      </c>
      <c r="G6110" s="42" t="s">
        <v>31</v>
      </c>
      <c r="H6110" s="45" t="s">
        <v>8165</v>
      </c>
      <c r="I6110" s="47" t="e">
        <f>VLOOKUP(H6110,'合同综合查询数据（3月返）'!$A:$A,1,FALSE)</f>
        <v>#N/A</v>
      </c>
      <c r="J6110" s="48" t="s">
        <v>33</v>
      </c>
      <c r="K6110" s="42" t="s">
        <v>34</v>
      </c>
      <c r="L6110" s="49" t="s">
        <v>8172</v>
      </c>
      <c r="M6110" s="50" t="s">
        <v>8168</v>
      </c>
      <c r="N6110" s="51">
        <v>44409</v>
      </c>
      <c r="O6110" s="51" t="s">
        <v>37</v>
      </c>
      <c r="P6110" s="52">
        <v>50</v>
      </c>
      <c r="Q6110" s="53">
        <v>128</v>
      </c>
      <c r="R6110" s="54">
        <f>ROUND(P6110*Q6110,2)</f>
        <v>6400</v>
      </c>
      <c r="S6110" s="55">
        <v>202303</v>
      </c>
      <c r="T6110" s="56" t="s">
        <v>8176</v>
      </c>
      <c r="U6110" s="57"/>
      <c r="V6110" s="58"/>
      <c r="W6110" s="59"/>
      <c r="X6110" s="51"/>
      <c r="Y6110" s="51"/>
    </row>
    <row r="6111" s="10" customFormat="1" customHeight="1" spans="1:25">
      <c r="A6111" s="42" t="s">
        <v>399</v>
      </c>
      <c r="B6111" s="43" t="s">
        <v>6971</v>
      </c>
      <c r="C6111" s="43" t="s">
        <v>27</v>
      </c>
      <c r="D6111" s="43" t="s">
        <v>881</v>
      </c>
      <c r="E6111" s="44" t="s">
        <v>8163</v>
      </c>
      <c r="F6111" s="42" t="s">
        <v>8164</v>
      </c>
      <c r="G6111" s="42" t="s">
        <v>31</v>
      </c>
      <c r="H6111" s="45" t="s">
        <v>8165</v>
      </c>
      <c r="I6111" s="47" t="e">
        <f>VLOOKUP(H6111,'合同综合查询数据（3月返）'!$A:$A,1,FALSE)</f>
        <v>#N/A</v>
      </c>
      <c r="J6111" s="48" t="s">
        <v>33</v>
      </c>
      <c r="K6111" s="42" t="s">
        <v>34</v>
      </c>
      <c r="L6111" s="49" t="s">
        <v>8172</v>
      </c>
      <c r="M6111" s="50" t="s">
        <v>8168</v>
      </c>
      <c r="N6111" s="51">
        <v>44701</v>
      </c>
      <c r="O6111" s="51" t="s">
        <v>37</v>
      </c>
      <c r="P6111" s="52">
        <v>50</v>
      </c>
      <c r="Q6111" s="53">
        <v>128</v>
      </c>
      <c r="R6111" s="54">
        <f>ROUND(Q6111*P6111,2)</f>
        <v>6400</v>
      </c>
      <c r="S6111" s="55">
        <v>202303</v>
      </c>
      <c r="T6111" s="56" t="s">
        <v>8177</v>
      </c>
      <c r="U6111" s="57"/>
      <c r="V6111" s="58"/>
      <c r="W6111" s="59"/>
      <c r="X6111" s="51"/>
      <c r="Y6111" s="51"/>
    </row>
    <row r="6112" s="10" customFormat="1" customHeight="1" spans="1:25">
      <c r="A6112" s="42" t="s">
        <v>399</v>
      </c>
      <c r="B6112" s="43" t="s">
        <v>6971</v>
      </c>
      <c r="C6112" s="43" t="s">
        <v>27</v>
      </c>
      <c r="D6112" s="43" t="s">
        <v>881</v>
      </c>
      <c r="E6112" s="44" t="s">
        <v>8163</v>
      </c>
      <c r="F6112" s="42" t="s">
        <v>8164</v>
      </c>
      <c r="G6112" s="42" t="s">
        <v>88</v>
      </c>
      <c r="H6112" s="45" t="s">
        <v>8165</v>
      </c>
      <c r="I6112" s="47" t="e">
        <f>VLOOKUP(H6112,'合同综合查询数据（3月返）'!$A:$A,1,FALSE)</f>
        <v>#N/A</v>
      </c>
      <c r="J6112" s="48" t="s">
        <v>126</v>
      </c>
      <c r="K6112" s="42" t="s">
        <v>34</v>
      </c>
      <c r="L6112" s="49" t="s">
        <v>8172</v>
      </c>
      <c r="M6112" s="50" t="s">
        <v>8168</v>
      </c>
      <c r="N6112" s="51">
        <v>44773</v>
      </c>
      <c r="O6112" s="51" t="s">
        <v>2283</v>
      </c>
      <c r="P6112" s="52">
        <v>5000</v>
      </c>
      <c r="Q6112" s="53">
        <v>-4</v>
      </c>
      <c r="R6112" s="54">
        <f>ROUND(Q6112*P6112,2)</f>
        <v>-20000</v>
      </c>
      <c r="S6112" s="55">
        <v>202303</v>
      </c>
      <c r="T6112" s="56" t="s">
        <v>8178</v>
      </c>
      <c r="U6112" s="57"/>
      <c r="V6112" s="58"/>
      <c r="W6112" s="59"/>
      <c r="X6112" s="51"/>
      <c r="Y6112" s="51"/>
    </row>
    <row r="6113" s="10" customFormat="1" customHeight="1" spans="1:25">
      <c r="A6113" s="42" t="s">
        <v>399</v>
      </c>
      <c r="B6113" s="43" t="s">
        <v>6971</v>
      </c>
      <c r="C6113" s="43" t="s">
        <v>27</v>
      </c>
      <c r="D6113" s="43" t="s">
        <v>881</v>
      </c>
      <c r="E6113" s="44" t="s">
        <v>8163</v>
      </c>
      <c r="F6113" s="42" t="s">
        <v>8164</v>
      </c>
      <c r="G6113" s="42" t="s">
        <v>31</v>
      </c>
      <c r="H6113" s="45" t="s">
        <v>8165</v>
      </c>
      <c r="I6113" s="47" t="e">
        <f>VLOOKUP(H6113,'合同综合查询数据（3月返）'!$A:$A,1,FALSE)</f>
        <v>#N/A</v>
      </c>
      <c r="J6113" s="48" t="s">
        <v>33</v>
      </c>
      <c r="K6113" s="42" t="s">
        <v>34</v>
      </c>
      <c r="L6113" s="49" t="s">
        <v>8172</v>
      </c>
      <c r="M6113" s="50" t="s">
        <v>8168</v>
      </c>
      <c r="N6113" s="51">
        <v>44773</v>
      </c>
      <c r="O6113" s="51" t="s">
        <v>37</v>
      </c>
      <c r="P6113" s="52">
        <v>50</v>
      </c>
      <c r="Q6113" s="53">
        <v>-288</v>
      </c>
      <c r="R6113" s="54">
        <f>ROUND(Q6113*P6113,2)</f>
        <v>-14400</v>
      </c>
      <c r="S6113" s="55">
        <v>202303</v>
      </c>
      <c r="T6113" s="56" t="s">
        <v>8179</v>
      </c>
      <c r="U6113" s="57"/>
      <c r="V6113" s="58"/>
      <c r="W6113" s="59"/>
      <c r="X6113" s="51"/>
      <c r="Y6113" s="51"/>
    </row>
    <row r="6114" s="10" customFormat="1" customHeight="1" spans="1:25">
      <c r="A6114" s="42" t="s">
        <v>399</v>
      </c>
      <c r="B6114" s="43" t="s">
        <v>6971</v>
      </c>
      <c r="C6114" s="43" t="s">
        <v>27</v>
      </c>
      <c r="D6114" s="43" t="s">
        <v>881</v>
      </c>
      <c r="E6114" s="44" t="s">
        <v>8163</v>
      </c>
      <c r="F6114" s="42" t="s">
        <v>8164</v>
      </c>
      <c r="G6114" s="42" t="s">
        <v>88</v>
      </c>
      <c r="H6114" s="45" t="s">
        <v>8165</v>
      </c>
      <c r="I6114" s="47" t="e">
        <f>VLOOKUP(H6114,'合同综合查询数据（3月返）'!$A:$A,1,FALSE)</f>
        <v>#N/A</v>
      </c>
      <c r="J6114" s="48" t="s">
        <v>126</v>
      </c>
      <c r="K6114" s="42" t="s">
        <v>34</v>
      </c>
      <c r="L6114" s="49" t="s">
        <v>8164</v>
      </c>
      <c r="M6114" s="50" t="s">
        <v>8168</v>
      </c>
      <c r="N6114" s="51">
        <v>44773</v>
      </c>
      <c r="O6114" s="51" t="s">
        <v>2283</v>
      </c>
      <c r="P6114" s="52">
        <v>5000</v>
      </c>
      <c r="Q6114" s="53">
        <v>-2</v>
      </c>
      <c r="R6114" s="54">
        <f>ROUND(Q6114*P6114,2)</f>
        <v>-10000</v>
      </c>
      <c r="S6114" s="55">
        <v>202303</v>
      </c>
      <c r="T6114" s="56" t="s">
        <v>8180</v>
      </c>
      <c r="U6114" s="57"/>
      <c r="V6114" s="58"/>
      <c r="W6114" s="59"/>
      <c r="X6114" s="51"/>
      <c r="Y6114" s="51"/>
    </row>
    <row r="6115" s="10" customFormat="1" customHeight="1" spans="1:25">
      <c r="A6115" s="42" t="s">
        <v>399</v>
      </c>
      <c r="B6115" s="43" t="s">
        <v>6971</v>
      </c>
      <c r="C6115" s="43" t="s">
        <v>27</v>
      </c>
      <c r="D6115" s="43" t="s">
        <v>881</v>
      </c>
      <c r="E6115" s="44" t="s">
        <v>8163</v>
      </c>
      <c r="F6115" s="42" t="s">
        <v>8164</v>
      </c>
      <c r="G6115" s="42" t="s">
        <v>31</v>
      </c>
      <c r="H6115" s="45" t="s">
        <v>8165</v>
      </c>
      <c r="I6115" s="47" t="e">
        <f>VLOOKUP(H6115,'合同综合查询数据（3月返）'!$A:$A,1,FALSE)</f>
        <v>#N/A</v>
      </c>
      <c r="J6115" s="48" t="s">
        <v>33</v>
      </c>
      <c r="K6115" s="42" t="s">
        <v>34</v>
      </c>
      <c r="L6115" s="49" t="s">
        <v>8164</v>
      </c>
      <c r="M6115" s="50" t="s">
        <v>8168</v>
      </c>
      <c r="N6115" s="51">
        <v>44773</v>
      </c>
      <c r="O6115" s="51" t="s">
        <v>37</v>
      </c>
      <c r="P6115" s="52">
        <v>50</v>
      </c>
      <c r="Q6115" s="53">
        <v>-288</v>
      </c>
      <c r="R6115" s="54">
        <f>ROUND(Q6115*P6115,2)</f>
        <v>-14400</v>
      </c>
      <c r="S6115" s="55">
        <v>202303</v>
      </c>
      <c r="T6115" s="56" t="s">
        <v>8181</v>
      </c>
      <c r="U6115" s="57"/>
      <c r="V6115" s="58"/>
      <c r="W6115" s="59"/>
      <c r="X6115" s="51"/>
      <c r="Y6115" s="51"/>
    </row>
    <row r="6116" s="9" customFormat="1" customHeight="1" spans="1:25">
      <c r="A6116" s="16" t="s">
        <v>61</v>
      </c>
      <c r="B6116" s="17" t="s">
        <v>6236</v>
      </c>
      <c r="C6116" s="17" t="s">
        <v>63</v>
      </c>
      <c r="D6116" s="17" t="s">
        <v>6237</v>
      </c>
      <c r="E6116" s="18" t="s">
        <v>8182</v>
      </c>
      <c r="F6116" s="16" t="s">
        <v>8183</v>
      </c>
      <c r="G6116" s="16" t="s">
        <v>88</v>
      </c>
      <c r="H6116" s="19" t="s">
        <v>8184</v>
      </c>
      <c r="I6116" s="23" t="e">
        <f>VLOOKUP(H6116,'合同综合查询数据（3月返）'!$A:$A,1,FALSE)</f>
        <v>#N/A</v>
      </c>
      <c r="J6116" s="24" t="s">
        <v>90</v>
      </c>
      <c r="K6116" s="16"/>
      <c r="L6116" s="25"/>
      <c r="M6116" s="26" t="s">
        <v>8185</v>
      </c>
      <c r="N6116" s="28">
        <v>43822</v>
      </c>
      <c r="O6116" s="28" t="s">
        <v>457</v>
      </c>
      <c r="P6116" s="29">
        <v>7500</v>
      </c>
      <c r="Q6116" s="35">
        <v>1</v>
      </c>
      <c r="R6116" s="36">
        <f t="shared" ref="R6116:R6129" si="142">ROUND(P6116*Q6116,2)</f>
        <v>7500</v>
      </c>
      <c r="S6116" s="37">
        <v>202303</v>
      </c>
      <c r="T6116" s="38"/>
      <c r="U6116" s="39"/>
      <c r="V6116" s="452"/>
      <c r="W6116" s="41"/>
      <c r="X6116" s="28">
        <v>44918</v>
      </c>
      <c r="Y6116" s="28">
        <v>45282</v>
      </c>
    </row>
    <row r="6117" s="9" customFormat="1" customHeight="1" spans="1:25">
      <c r="A6117" s="16" t="s">
        <v>61</v>
      </c>
      <c r="B6117" s="17" t="s">
        <v>6236</v>
      </c>
      <c r="C6117" s="17" t="s">
        <v>63</v>
      </c>
      <c r="D6117" s="17" t="s">
        <v>6237</v>
      </c>
      <c r="E6117" s="18" t="s">
        <v>8182</v>
      </c>
      <c r="F6117" s="16" t="s">
        <v>8183</v>
      </c>
      <c r="G6117" s="16" t="s">
        <v>67</v>
      </c>
      <c r="H6117" s="19" t="s">
        <v>8184</v>
      </c>
      <c r="I6117" s="23" t="e">
        <f>VLOOKUP(H6117,'合同综合查询数据（3月返）'!$A:$A,1,FALSE)</f>
        <v>#N/A</v>
      </c>
      <c r="J6117" s="24" t="s">
        <v>69</v>
      </c>
      <c r="K6117" s="16" t="s">
        <v>8186</v>
      </c>
      <c r="L6117" s="25"/>
      <c r="M6117" s="26"/>
      <c r="N6117" s="28">
        <v>43822</v>
      </c>
      <c r="O6117" s="28" t="s">
        <v>71</v>
      </c>
      <c r="P6117" s="29">
        <v>1500</v>
      </c>
      <c r="Q6117" s="35">
        <v>1</v>
      </c>
      <c r="R6117" s="36">
        <f t="shared" si="142"/>
        <v>1500</v>
      </c>
      <c r="S6117" s="37">
        <v>202303</v>
      </c>
      <c r="T6117" s="38"/>
      <c r="U6117" s="39"/>
      <c r="V6117" s="452"/>
      <c r="W6117" s="41"/>
      <c r="X6117" s="28">
        <v>44918</v>
      </c>
      <c r="Y6117" s="28">
        <v>45282</v>
      </c>
    </row>
    <row r="6118" s="9" customFormat="1" customHeight="1" spans="1:25">
      <c r="A6118" s="16" t="s">
        <v>61</v>
      </c>
      <c r="B6118" s="17" t="s">
        <v>6236</v>
      </c>
      <c r="C6118" s="17" t="s">
        <v>63</v>
      </c>
      <c r="D6118" s="17" t="s">
        <v>6237</v>
      </c>
      <c r="E6118" s="18" t="s">
        <v>8182</v>
      </c>
      <c r="F6118" s="16" t="s">
        <v>8183</v>
      </c>
      <c r="G6118" s="16" t="s">
        <v>67</v>
      </c>
      <c r="H6118" s="19" t="s">
        <v>8184</v>
      </c>
      <c r="I6118" s="23" t="e">
        <f>VLOOKUP(H6118,'合同综合查询数据（3月返）'!$A:$A,1,FALSE)</f>
        <v>#N/A</v>
      </c>
      <c r="J6118" s="24" t="s">
        <v>69</v>
      </c>
      <c r="K6118" s="16" t="s">
        <v>8187</v>
      </c>
      <c r="L6118" s="25"/>
      <c r="M6118" s="26"/>
      <c r="N6118" s="28">
        <v>43822</v>
      </c>
      <c r="O6118" s="28" t="s">
        <v>71</v>
      </c>
      <c r="P6118" s="29">
        <v>1500</v>
      </c>
      <c r="Q6118" s="35">
        <v>1</v>
      </c>
      <c r="R6118" s="36">
        <f t="shared" si="142"/>
        <v>1500</v>
      </c>
      <c r="S6118" s="37">
        <v>202303</v>
      </c>
      <c r="T6118" s="38"/>
      <c r="U6118" s="39"/>
      <c r="V6118" s="452"/>
      <c r="W6118" s="41"/>
      <c r="X6118" s="28">
        <v>44918</v>
      </c>
      <c r="Y6118" s="28">
        <v>45282</v>
      </c>
    </row>
    <row r="6119" s="9" customFormat="1" customHeight="1" spans="1:25">
      <c r="A6119" s="16" t="s">
        <v>61</v>
      </c>
      <c r="B6119" s="17" t="s">
        <v>6236</v>
      </c>
      <c r="C6119" s="17" t="s">
        <v>63</v>
      </c>
      <c r="D6119" s="17" t="s">
        <v>6237</v>
      </c>
      <c r="E6119" s="18" t="s">
        <v>8182</v>
      </c>
      <c r="F6119" s="16" t="s">
        <v>8183</v>
      </c>
      <c r="G6119" s="16" t="s">
        <v>67</v>
      </c>
      <c r="H6119" s="19" t="s">
        <v>8184</v>
      </c>
      <c r="I6119" s="23" t="e">
        <f>VLOOKUP(H6119,'合同综合查询数据（3月返）'!$A:$A,1,FALSE)</f>
        <v>#N/A</v>
      </c>
      <c r="J6119" s="24" t="s">
        <v>69</v>
      </c>
      <c r="K6119" s="16" t="s">
        <v>8188</v>
      </c>
      <c r="L6119" s="25"/>
      <c r="M6119" s="26"/>
      <c r="N6119" s="28">
        <v>43822</v>
      </c>
      <c r="O6119" s="28" t="s">
        <v>71</v>
      </c>
      <c r="P6119" s="29">
        <v>1500</v>
      </c>
      <c r="Q6119" s="35">
        <v>1</v>
      </c>
      <c r="R6119" s="36">
        <f t="shared" si="142"/>
        <v>1500</v>
      </c>
      <c r="S6119" s="37">
        <v>202303</v>
      </c>
      <c r="T6119" s="38"/>
      <c r="U6119" s="39"/>
      <c r="V6119" s="452"/>
      <c r="W6119" s="41"/>
      <c r="X6119" s="28">
        <v>44918</v>
      </c>
      <c r="Y6119" s="28">
        <v>45282</v>
      </c>
    </row>
    <row r="6120" s="9" customFormat="1" customHeight="1" spans="1:25">
      <c r="A6120" s="16" t="s">
        <v>61</v>
      </c>
      <c r="B6120" s="17" t="s">
        <v>6236</v>
      </c>
      <c r="C6120" s="17" t="s">
        <v>63</v>
      </c>
      <c r="D6120" s="17" t="s">
        <v>6237</v>
      </c>
      <c r="E6120" s="18" t="s">
        <v>8182</v>
      </c>
      <c r="F6120" s="16" t="s">
        <v>8183</v>
      </c>
      <c r="G6120" s="16" t="s">
        <v>67</v>
      </c>
      <c r="H6120" s="19" t="s">
        <v>8184</v>
      </c>
      <c r="I6120" s="23" t="e">
        <f>VLOOKUP(H6120,'合同综合查询数据（3月返）'!$A:$A,1,FALSE)</f>
        <v>#N/A</v>
      </c>
      <c r="J6120" s="24" t="s">
        <v>69</v>
      </c>
      <c r="K6120" s="16" t="s">
        <v>8189</v>
      </c>
      <c r="L6120" s="25"/>
      <c r="M6120" s="26"/>
      <c r="N6120" s="28">
        <v>43840</v>
      </c>
      <c r="O6120" s="28" t="s">
        <v>71</v>
      </c>
      <c r="P6120" s="29">
        <v>1500</v>
      </c>
      <c r="Q6120" s="35">
        <v>4</v>
      </c>
      <c r="R6120" s="36">
        <f t="shared" si="142"/>
        <v>6000</v>
      </c>
      <c r="S6120" s="37">
        <v>202303</v>
      </c>
      <c r="T6120" s="38"/>
      <c r="U6120" s="39"/>
      <c r="V6120" s="452"/>
      <c r="W6120" s="41"/>
      <c r="X6120" s="28">
        <v>44918</v>
      </c>
      <c r="Y6120" s="28">
        <v>45282</v>
      </c>
    </row>
    <row r="6121" s="9" customFormat="1" customHeight="1" spans="1:25">
      <c r="A6121" s="16" t="s">
        <v>61</v>
      </c>
      <c r="B6121" s="17" t="s">
        <v>6236</v>
      </c>
      <c r="C6121" s="17" t="s">
        <v>63</v>
      </c>
      <c r="D6121" s="17" t="s">
        <v>6237</v>
      </c>
      <c r="E6121" s="18" t="s">
        <v>8182</v>
      </c>
      <c r="F6121" s="16" t="s">
        <v>8183</v>
      </c>
      <c r="G6121" s="16" t="s">
        <v>67</v>
      </c>
      <c r="H6121" s="19" t="s">
        <v>8184</v>
      </c>
      <c r="I6121" s="23" t="e">
        <f>VLOOKUP(H6121,'合同综合查询数据（3月返）'!$A:$A,1,FALSE)</f>
        <v>#N/A</v>
      </c>
      <c r="J6121" s="24" t="s">
        <v>69</v>
      </c>
      <c r="K6121" s="16" t="s">
        <v>8189</v>
      </c>
      <c r="L6121" s="25"/>
      <c r="M6121" s="26"/>
      <c r="N6121" s="28">
        <v>44960</v>
      </c>
      <c r="O6121" s="28" t="s">
        <v>71</v>
      </c>
      <c r="P6121" s="29">
        <v>1500</v>
      </c>
      <c r="Q6121" s="35">
        <v>-2</v>
      </c>
      <c r="R6121" s="36">
        <f t="shared" si="142"/>
        <v>-3000</v>
      </c>
      <c r="S6121" s="37">
        <v>202303</v>
      </c>
      <c r="T6121" s="38"/>
      <c r="U6121" s="39"/>
      <c r="V6121" s="452"/>
      <c r="W6121" s="41"/>
      <c r="X6121" s="28"/>
      <c r="Y6121" s="28"/>
    </row>
    <row r="6122" s="9" customFormat="1" customHeight="1" spans="1:25">
      <c r="A6122" s="16" t="s">
        <v>61</v>
      </c>
      <c r="B6122" s="17" t="s">
        <v>6236</v>
      </c>
      <c r="C6122" s="17" t="s">
        <v>63</v>
      </c>
      <c r="D6122" s="17" t="s">
        <v>6237</v>
      </c>
      <c r="E6122" s="18" t="s">
        <v>8182</v>
      </c>
      <c r="F6122" s="16" t="s">
        <v>8183</v>
      </c>
      <c r="G6122" s="16" t="s">
        <v>67</v>
      </c>
      <c r="H6122" s="19" t="s">
        <v>8184</v>
      </c>
      <c r="I6122" s="23" t="e">
        <f>VLOOKUP(H6122,'合同综合查询数据（3月返）'!$A:$A,1,FALSE)</f>
        <v>#N/A</v>
      </c>
      <c r="J6122" s="24" t="s">
        <v>69</v>
      </c>
      <c r="K6122" s="16" t="s">
        <v>8190</v>
      </c>
      <c r="L6122" s="25"/>
      <c r="M6122" s="26"/>
      <c r="N6122" s="28">
        <v>43840</v>
      </c>
      <c r="O6122" s="28" t="s">
        <v>71</v>
      </c>
      <c r="P6122" s="29">
        <v>1500</v>
      </c>
      <c r="Q6122" s="35">
        <v>4</v>
      </c>
      <c r="R6122" s="36">
        <f t="shared" si="142"/>
        <v>6000</v>
      </c>
      <c r="S6122" s="37">
        <v>202303</v>
      </c>
      <c r="T6122" s="38"/>
      <c r="U6122" s="39"/>
      <c r="V6122" s="452"/>
      <c r="W6122" s="41"/>
      <c r="X6122" s="28">
        <v>44918</v>
      </c>
      <c r="Y6122" s="28">
        <v>45282</v>
      </c>
    </row>
    <row r="6123" s="9" customFormat="1" customHeight="1" spans="1:25">
      <c r="A6123" s="16" t="s">
        <v>61</v>
      </c>
      <c r="B6123" s="17" t="s">
        <v>6236</v>
      </c>
      <c r="C6123" s="17" t="s">
        <v>63</v>
      </c>
      <c r="D6123" s="17" t="s">
        <v>6237</v>
      </c>
      <c r="E6123" s="18" t="s">
        <v>8182</v>
      </c>
      <c r="F6123" s="16" t="s">
        <v>8183</v>
      </c>
      <c r="G6123" s="16" t="s">
        <v>67</v>
      </c>
      <c r="H6123" s="19" t="s">
        <v>8184</v>
      </c>
      <c r="I6123" s="23" t="e">
        <f>VLOOKUP(H6123,'合同综合查询数据（3月返）'!$A:$A,1,FALSE)</f>
        <v>#N/A</v>
      </c>
      <c r="J6123" s="24" t="s">
        <v>69</v>
      </c>
      <c r="K6123" s="16" t="s">
        <v>8190</v>
      </c>
      <c r="L6123" s="25"/>
      <c r="M6123" s="26"/>
      <c r="N6123" s="28">
        <v>44960</v>
      </c>
      <c r="O6123" s="28" t="s">
        <v>71</v>
      </c>
      <c r="P6123" s="29">
        <v>1500</v>
      </c>
      <c r="Q6123" s="35">
        <v>-2</v>
      </c>
      <c r="R6123" s="36">
        <f t="shared" si="142"/>
        <v>-3000</v>
      </c>
      <c r="S6123" s="37">
        <v>202303</v>
      </c>
      <c r="T6123" s="38"/>
      <c r="U6123" s="39"/>
      <c r="V6123" s="452"/>
      <c r="W6123" s="41"/>
      <c r="X6123" s="28"/>
      <c r="Y6123" s="28"/>
    </row>
    <row r="6124" s="9" customFormat="1" customHeight="1" spans="1:25">
      <c r="A6124" s="16" t="s">
        <v>61</v>
      </c>
      <c r="B6124" s="17" t="s">
        <v>6236</v>
      </c>
      <c r="C6124" s="17" t="s">
        <v>63</v>
      </c>
      <c r="D6124" s="17" t="s">
        <v>6237</v>
      </c>
      <c r="E6124" s="18" t="s">
        <v>8182</v>
      </c>
      <c r="F6124" s="16" t="s">
        <v>8183</v>
      </c>
      <c r="G6124" s="16" t="s">
        <v>67</v>
      </c>
      <c r="H6124" s="19" t="s">
        <v>8184</v>
      </c>
      <c r="I6124" s="23" t="e">
        <f>VLOOKUP(H6124,'合同综合查询数据（3月返）'!$A:$A,1,FALSE)</f>
        <v>#N/A</v>
      </c>
      <c r="J6124" s="24" t="s">
        <v>69</v>
      </c>
      <c r="K6124" s="16" t="s">
        <v>8189</v>
      </c>
      <c r="L6124" s="25"/>
      <c r="M6124" s="26"/>
      <c r="N6124" s="28">
        <v>44502</v>
      </c>
      <c r="O6124" s="28" t="s">
        <v>71</v>
      </c>
      <c r="P6124" s="29">
        <v>1500</v>
      </c>
      <c r="Q6124" s="35">
        <v>4</v>
      </c>
      <c r="R6124" s="36">
        <f t="shared" si="142"/>
        <v>6000</v>
      </c>
      <c r="S6124" s="37">
        <v>202303</v>
      </c>
      <c r="T6124" s="38" t="s">
        <v>8191</v>
      </c>
      <c r="U6124" s="39"/>
      <c r="V6124" s="452"/>
      <c r="W6124" s="41"/>
      <c r="X6124" s="28">
        <v>44918</v>
      </c>
      <c r="Y6124" s="28">
        <v>45282</v>
      </c>
    </row>
    <row r="6125" s="9" customFormat="1" customHeight="1" spans="1:25">
      <c r="A6125" s="16" t="s">
        <v>61</v>
      </c>
      <c r="B6125" s="17" t="s">
        <v>6236</v>
      </c>
      <c r="C6125" s="17" t="s">
        <v>63</v>
      </c>
      <c r="D6125" s="17" t="s">
        <v>6237</v>
      </c>
      <c r="E6125" s="18" t="s">
        <v>8182</v>
      </c>
      <c r="F6125" s="16" t="s">
        <v>8183</v>
      </c>
      <c r="G6125" s="16" t="s">
        <v>67</v>
      </c>
      <c r="H6125" s="19" t="s">
        <v>8184</v>
      </c>
      <c r="I6125" s="23" t="e">
        <f>VLOOKUP(H6125,'合同综合查询数据（3月返）'!$A:$A,1,FALSE)</f>
        <v>#N/A</v>
      </c>
      <c r="J6125" s="24" t="s">
        <v>69</v>
      </c>
      <c r="K6125" s="16" t="s">
        <v>8189</v>
      </c>
      <c r="L6125" s="25"/>
      <c r="M6125" s="26"/>
      <c r="N6125" s="28">
        <v>44960</v>
      </c>
      <c r="O6125" s="28" t="s">
        <v>71</v>
      </c>
      <c r="P6125" s="29">
        <v>1500</v>
      </c>
      <c r="Q6125" s="35">
        <v>-2</v>
      </c>
      <c r="R6125" s="36">
        <f t="shared" si="142"/>
        <v>-3000</v>
      </c>
      <c r="S6125" s="37">
        <v>202303</v>
      </c>
      <c r="T6125" s="38"/>
      <c r="U6125" s="39"/>
      <c r="V6125" s="452"/>
      <c r="W6125" s="41"/>
      <c r="X6125" s="28"/>
      <c r="Y6125" s="28"/>
    </row>
    <row r="6126" s="9" customFormat="1" customHeight="1" spans="1:25">
      <c r="A6126" s="16" t="s">
        <v>61</v>
      </c>
      <c r="B6126" s="17" t="s">
        <v>6236</v>
      </c>
      <c r="C6126" s="17" t="s">
        <v>63</v>
      </c>
      <c r="D6126" s="17" t="s">
        <v>6237</v>
      </c>
      <c r="E6126" s="18" t="s">
        <v>8182</v>
      </c>
      <c r="F6126" s="16" t="s">
        <v>8183</v>
      </c>
      <c r="G6126" s="16" t="s">
        <v>67</v>
      </c>
      <c r="H6126" s="19" t="s">
        <v>8184</v>
      </c>
      <c r="I6126" s="23" t="e">
        <f>VLOOKUP(H6126,'合同综合查询数据（3月返）'!$A:$A,1,FALSE)</f>
        <v>#N/A</v>
      </c>
      <c r="J6126" s="24" t="s">
        <v>69</v>
      </c>
      <c r="K6126" s="16" t="s">
        <v>8190</v>
      </c>
      <c r="L6126" s="25"/>
      <c r="M6126" s="26"/>
      <c r="N6126" s="28">
        <v>44502</v>
      </c>
      <c r="O6126" s="28" t="s">
        <v>71</v>
      </c>
      <c r="P6126" s="29">
        <v>1500</v>
      </c>
      <c r="Q6126" s="35">
        <v>4</v>
      </c>
      <c r="R6126" s="36">
        <f t="shared" si="142"/>
        <v>6000</v>
      </c>
      <c r="S6126" s="37">
        <v>202303</v>
      </c>
      <c r="T6126" s="38" t="s">
        <v>8191</v>
      </c>
      <c r="U6126" s="39"/>
      <c r="V6126" s="452"/>
      <c r="W6126" s="41"/>
      <c r="X6126" s="28">
        <v>44918</v>
      </c>
      <c r="Y6126" s="28">
        <v>45282</v>
      </c>
    </row>
    <row r="6127" s="9" customFormat="1" customHeight="1" spans="1:25">
      <c r="A6127" s="16" t="s">
        <v>61</v>
      </c>
      <c r="B6127" s="17" t="s">
        <v>6236</v>
      </c>
      <c r="C6127" s="17" t="s">
        <v>63</v>
      </c>
      <c r="D6127" s="17" t="s">
        <v>6237</v>
      </c>
      <c r="E6127" s="18" t="s">
        <v>8182</v>
      </c>
      <c r="F6127" s="16" t="s">
        <v>8183</v>
      </c>
      <c r="G6127" s="16" t="s">
        <v>67</v>
      </c>
      <c r="H6127" s="19" t="s">
        <v>8184</v>
      </c>
      <c r="I6127" s="23" t="e">
        <f>VLOOKUP(H6127,'合同综合查询数据（3月返）'!$A:$A,1,FALSE)</f>
        <v>#N/A</v>
      </c>
      <c r="J6127" s="24" t="s">
        <v>69</v>
      </c>
      <c r="K6127" s="16" t="s">
        <v>8190</v>
      </c>
      <c r="L6127" s="25"/>
      <c r="M6127" s="26"/>
      <c r="N6127" s="28">
        <v>44960</v>
      </c>
      <c r="O6127" s="28" t="s">
        <v>71</v>
      </c>
      <c r="P6127" s="29">
        <v>1500</v>
      </c>
      <c r="Q6127" s="35">
        <v>-2</v>
      </c>
      <c r="R6127" s="36">
        <f t="shared" si="142"/>
        <v>-3000</v>
      </c>
      <c r="S6127" s="37">
        <v>202303</v>
      </c>
      <c r="T6127" s="401"/>
      <c r="U6127" s="39"/>
      <c r="V6127" s="453"/>
      <c r="W6127" s="454"/>
      <c r="X6127" s="17"/>
      <c r="Y6127" s="391"/>
    </row>
    <row r="6128" s="9" customFormat="1" customHeight="1" spans="1:25">
      <c r="A6128" s="446" t="s">
        <v>403</v>
      </c>
      <c r="B6128" s="446" t="s">
        <v>8192</v>
      </c>
      <c r="C6128" s="446" t="s">
        <v>63</v>
      </c>
      <c r="D6128" s="446" t="s">
        <v>6237</v>
      </c>
      <c r="E6128" s="105" t="s">
        <v>8193</v>
      </c>
      <c r="F6128" s="446" t="s">
        <v>8194</v>
      </c>
      <c r="G6128" s="447" t="s">
        <v>88</v>
      </c>
      <c r="H6128" s="19" t="s">
        <v>8195</v>
      </c>
      <c r="I6128" s="23" t="e">
        <f>VLOOKUP(H6128,'合同综合查询数据（3月返）'!$A:$A,1,FALSE)</f>
        <v>#N/A</v>
      </c>
      <c r="J6128" s="448" t="s">
        <v>8196</v>
      </c>
      <c r="K6128" s="447" t="s">
        <v>8197</v>
      </c>
      <c r="L6128" s="189"/>
      <c r="M6128" s="449" t="s">
        <v>8198</v>
      </c>
      <c r="N6128" s="450">
        <v>42050</v>
      </c>
      <c r="O6128" s="450" t="s">
        <v>559</v>
      </c>
      <c r="P6128" s="451">
        <v>12000</v>
      </c>
      <c r="Q6128" s="451">
        <v>2</v>
      </c>
      <c r="R6128" s="455">
        <f t="shared" si="142"/>
        <v>24000</v>
      </c>
      <c r="S6128" s="456">
        <v>202303</v>
      </c>
      <c r="T6128" s="184"/>
      <c r="U6128" s="457"/>
      <c r="V6128" s="458"/>
      <c r="W6128" s="458"/>
      <c r="X6128" s="190">
        <v>42736</v>
      </c>
      <c r="Y6128" s="190">
        <v>45291</v>
      </c>
    </row>
    <row r="6129" s="9" customFormat="1" customHeight="1" spans="1:25">
      <c r="A6129" s="446" t="s">
        <v>403</v>
      </c>
      <c r="B6129" s="446" t="s">
        <v>8192</v>
      </c>
      <c r="C6129" s="446" t="s">
        <v>63</v>
      </c>
      <c r="D6129" s="446" t="s">
        <v>6237</v>
      </c>
      <c r="E6129" s="105" t="s">
        <v>8193</v>
      </c>
      <c r="F6129" s="446" t="s">
        <v>8194</v>
      </c>
      <c r="G6129" s="447" t="s">
        <v>67</v>
      </c>
      <c r="H6129" s="19" t="s">
        <v>8195</v>
      </c>
      <c r="I6129" s="23" t="e">
        <f>VLOOKUP(H6129,'合同综合查询数据（3月返）'!$A:$A,1,FALSE)</f>
        <v>#N/A</v>
      </c>
      <c r="J6129" s="448" t="s">
        <v>67</v>
      </c>
      <c r="K6129" s="447" t="s">
        <v>8197</v>
      </c>
      <c r="L6129" s="189"/>
      <c r="M6129" s="449"/>
      <c r="N6129" s="450">
        <v>42064</v>
      </c>
      <c r="O6129" s="450"/>
      <c r="P6129" s="451">
        <v>30000</v>
      </c>
      <c r="Q6129" s="451">
        <v>8</v>
      </c>
      <c r="R6129" s="455">
        <f t="shared" si="142"/>
        <v>240000</v>
      </c>
      <c r="S6129" s="456">
        <v>202303</v>
      </c>
      <c r="T6129" s="184"/>
      <c r="U6129" s="457"/>
      <c r="V6129" s="458"/>
      <c r="W6129" s="458"/>
      <c r="X6129" s="190">
        <v>42736</v>
      </c>
      <c r="Y6129" s="190">
        <v>45291</v>
      </c>
    </row>
    <row r="6130" s="9" customFormat="1" customHeight="1" spans="1:25">
      <c r="A6130" s="446" t="s">
        <v>403</v>
      </c>
      <c r="B6130" s="446" t="s">
        <v>8192</v>
      </c>
      <c r="C6130" s="446" t="s">
        <v>63</v>
      </c>
      <c r="D6130" s="446" t="s">
        <v>6237</v>
      </c>
      <c r="E6130" s="105" t="s">
        <v>8193</v>
      </c>
      <c r="F6130" s="446" t="s">
        <v>8194</v>
      </c>
      <c r="G6130" s="448" t="s">
        <v>78</v>
      </c>
      <c r="H6130" s="19" t="s">
        <v>8199</v>
      </c>
      <c r="I6130" s="23" t="e">
        <f>VLOOKUP(H6130,'合同综合查询数据（3月返）'!$A:$A,1,FALSE)</f>
        <v>#N/A</v>
      </c>
      <c r="J6130" s="448" t="s">
        <v>6666</v>
      </c>
      <c r="K6130" s="447" t="s">
        <v>8197</v>
      </c>
      <c r="L6130" s="189"/>
      <c r="M6130" s="449"/>
      <c r="N6130" s="450">
        <v>42064</v>
      </c>
      <c r="O6130" s="450"/>
      <c r="P6130" s="451">
        <v>30000</v>
      </c>
      <c r="Q6130" s="451">
        <v>6</v>
      </c>
      <c r="R6130" s="455">
        <v>180000</v>
      </c>
      <c r="S6130" s="456">
        <v>202303</v>
      </c>
      <c r="T6130" s="184" t="s">
        <v>8200</v>
      </c>
      <c r="U6130" s="457"/>
      <c r="V6130" s="458"/>
      <c r="W6130" s="458"/>
      <c r="X6130" s="190">
        <v>44743</v>
      </c>
      <c r="Y6130" s="190">
        <v>45107</v>
      </c>
    </row>
    <row r="6131" s="9" customFormat="1" customHeight="1" spans="1:25">
      <c r="A6131" s="446" t="s">
        <v>403</v>
      </c>
      <c r="B6131" s="446" t="s">
        <v>8192</v>
      </c>
      <c r="C6131" s="446" t="s">
        <v>63</v>
      </c>
      <c r="D6131" s="446" t="s">
        <v>6237</v>
      </c>
      <c r="E6131" s="105" t="s">
        <v>8193</v>
      </c>
      <c r="F6131" s="446" t="s">
        <v>8194</v>
      </c>
      <c r="G6131" s="448" t="s">
        <v>31</v>
      </c>
      <c r="H6131" s="19" t="s">
        <v>8195</v>
      </c>
      <c r="I6131" s="23" t="e">
        <f>VLOOKUP(H6131,'合同综合查询数据（3月返）'!$A:$A,1,FALSE)</f>
        <v>#N/A</v>
      </c>
      <c r="J6131" s="448" t="s">
        <v>8201</v>
      </c>
      <c r="K6131" s="447" t="s">
        <v>8197</v>
      </c>
      <c r="L6131" s="189"/>
      <c r="M6131" s="449"/>
      <c r="N6131" s="450">
        <v>42064</v>
      </c>
      <c r="O6131" s="450"/>
      <c r="P6131" s="451">
        <v>160000</v>
      </c>
      <c r="Q6131" s="451">
        <v>1</v>
      </c>
      <c r="R6131" s="455">
        <f t="shared" ref="R6131:R6194" si="143">ROUND(P6131*Q6131,2)</f>
        <v>160000</v>
      </c>
      <c r="S6131" s="456">
        <v>202303</v>
      </c>
      <c r="T6131" s="184" t="s">
        <v>8202</v>
      </c>
      <c r="U6131" s="457"/>
      <c r="V6131" s="458"/>
      <c r="W6131" s="458"/>
      <c r="X6131" s="190">
        <v>42736</v>
      </c>
      <c r="Y6131" s="190">
        <v>45291</v>
      </c>
    </row>
    <row r="6132" s="9" customFormat="1" customHeight="1" spans="1:25">
      <c r="A6132" s="446" t="s">
        <v>403</v>
      </c>
      <c r="B6132" s="446" t="s">
        <v>8192</v>
      </c>
      <c r="C6132" s="446" t="s">
        <v>63</v>
      </c>
      <c r="D6132" s="446" t="s">
        <v>6237</v>
      </c>
      <c r="E6132" s="105" t="s">
        <v>8193</v>
      </c>
      <c r="F6132" s="446" t="s">
        <v>8194</v>
      </c>
      <c r="G6132" s="447" t="s">
        <v>88</v>
      </c>
      <c r="H6132" s="19" t="s">
        <v>8203</v>
      </c>
      <c r="I6132" s="23" t="e">
        <f>VLOOKUP(H6132,'合同综合查询数据（3月返）'!$A:$A,1,FALSE)</f>
        <v>#N/A</v>
      </c>
      <c r="J6132" s="448" t="s">
        <v>8196</v>
      </c>
      <c r="K6132" s="447" t="s">
        <v>8204</v>
      </c>
      <c r="L6132" s="189"/>
      <c r="M6132" s="449" t="s">
        <v>8205</v>
      </c>
      <c r="N6132" s="450">
        <v>42125</v>
      </c>
      <c r="O6132" s="450" t="s">
        <v>457</v>
      </c>
      <c r="P6132" s="451">
        <v>5950</v>
      </c>
      <c r="Q6132" s="451">
        <v>977</v>
      </c>
      <c r="R6132" s="455">
        <f t="shared" si="143"/>
        <v>5813150</v>
      </c>
      <c r="S6132" s="456">
        <v>202303</v>
      </c>
      <c r="T6132" s="184" t="s">
        <v>8206</v>
      </c>
      <c r="U6132" s="457"/>
      <c r="V6132" s="458"/>
      <c r="W6132" s="458"/>
      <c r="X6132" s="190">
        <v>44409</v>
      </c>
      <c r="Y6132" s="190">
        <v>45138</v>
      </c>
    </row>
    <row r="6133" s="9" customFormat="1" customHeight="1" spans="1:25">
      <c r="A6133" s="446" t="s">
        <v>403</v>
      </c>
      <c r="B6133" s="446" t="s">
        <v>8192</v>
      </c>
      <c r="C6133" s="446" t="s">
        <v>63</v>
      </c>
      <c r="D6133" s="446" t="s">
        <v>6237</v>
      </c>
      <c r="E6133" s="105" t="s">
        <v>8193</v>
      </c>
      <c r="F6133" s="446" t="s">
        <v>8194</v>
      </c>
      <c r="G6133" s="447" t="s">
        <v>88</v>
      </c>
      <c r="H6133" s="19" t="s">
        <v>8203</v>
      </c>
      <c r="I6133" s="23" t="e">
        <f>VLOOKUP(H6133,'合同综合查询数据（3月返）'!$A:$A,1,FALSE)</f>
        <v>#N/A</v>
      </c>
      <c r="J6133" s="448" t="s">
        <v>8196</v>
      </c>
      <c r="K6133" s="447" t="s">
        <v>8204</v>
      </c>
      <c r="L6133" s="189"/>
      <c r="M6133" s="449" t="s">
        <v>8205</v>
      </c>
      <c r="N6133" s="450">
        <v>43586</v>
      </c>
      <c r="O6133" s="450" t="s">
        <v>545</v>
      </c>
      <c r="P6133" s="451">
        <v>5950</v>
      </c>
      <c r="Q6133" s="451">
        <v>2</v>
      </c>
      <c r="R6133" s="455">
        <f t="shared" si="143"/>
        <v>11900</v>
      </c>
      <c r="S6133" s="456">
        <v>202303</v>
      </c>
      <c r="T6133" s="184"/>
      <c r="U6133" s="457"/>
      <c r="V6133" s="458"/>
      <c r="W6133" s="458"/>
      <c r="X6133" s="190">
        <v>44409</v>
      </c>
      <c r="Y6133" s="190">
        <v>45138</v>
      </c>
    </row>
    <row r="6134" s="9" customFormat="1" customHeight="1" spans="1:25">
      <c r="A6134" s="446" t="s">
        <v>403</v>
      </c>
      <c r="B6134" s="446" t="s">
        <v>8192</v>
      </c>
      <c r="C6134" s="446" t="s">
        <v>63</v>
      </c>
      <c r="D6134" s="446" t="s">
        <v>6237</v>
      </c>
      <c r="E6134" s="105" t="s">
        <v>8193</v>
      </c>
      <c r="F6134" s="446" t="s">
        <v>8194</v>
      </c>
      <c r="G6134" s="447" t="s">
        <v>88</v>
      </c>
      <c r="H6134" s="19" t="s">
        <v>8203</v>
      </c>
      <c r="I6134" s="23" t="e">
        <f>VLOOKUP(H6134,'合同综合查询数据（3月返）'!$A:$A,1,FALSE)</f>
        <v>#N/A</v>
      </c>
      <c r="J6134" s="448" t="s">
        <v>8196</v>
      </c>
      <c r="K6134" s="447" t="s">
        <v>8204</v>
      </c>
      <c r="L6134" s="189"/>
      <c r="M6134" s="449" t="s">
        <v>8205</v>
      </c>
      <c r="N6134" s="450">
        <v>42125</v>
      </c>
      <c r="O6134" s="450" t="s">
        <v>506</v>
      </c>
      <c r="P6134" s="451">
        <v>8050</v>
      </c>
      <c r="Q6134" s="451">
        <v>1</v>
      </c>
      <c r="R6134" s="455">
        <f t="shared" si="143"/>
        <v>8050</v>
      </c>
      <c r="S6134" s="456">
        <v>202303</v>
      </c>
      <c r="T6134" s="184"/>
      <c r="U6134" s="457"/>
      <c r="V6134" s="458"/>
      <c r="W6134" s="458"/>
      <c r="X6134" s="190">
        <v>44409</v>
      </c>
      <c r="Y6134" s="190">
        <v>45138</v>
      </c>
    </row>
    <row r="6135" s="9" customFormat="1" customHeight="1" spans="1:25">
      <c r="A6135" s="446" t="s">
        <v>403</v>
      </c>
      <c r="B6135" s="446" t="s">
        <v>8192</v>
      </c>
      <c r="C6135" s="446" t="s">
        <v>63</v>
      </c>
      <c r="D6135" s="446" t="s">
        <v>6237</v>
      </c>
      <c r="E6135" s="105" t="s">
        <v>8193</v>
      </c>
      <c r="F6135" s="446" t="s">
        <v>8194</v>
      </c>
      <c r="G6135" s="447" t="s">
        <v>88</v>
      </c>
      <c r="H6135" s="19" t="s">
        <v>8203</v>
      </c>
      <c r="I6135" s="23" t="e">
        <f>VLOOKUP(H6135,'合同综合查询数据（3月返）'!$A:$A,1,FALSE)</f>
        <v>#N/A</v>
      </c>
      <c r="J6135" s="448" t="s">
        <v>8196</v>
      </c>
      <c r="K6135" s="447" t="s">
        <v>8204</v>
      </c>
      <c r="L6135" s="189"/>
      <c r="M6135" s="449" t="s">
        <v>8205</v>
      </c>
      <c r="N6135" s="450">
        <v>42125</v>
      </c>
      <c r="O6135" s="450" t="s">
        <v>506</v>
      </c>
      <c r="P6135" s="451">
        <v>8050</v>
      </c>
      <c r="Q6135" s="451">
        <v>1</v>
      </c>
      <c r="R6135" s="455">
        <f t="shared" si="143"/>
        <v>8050</v>
      </c>
      <c r="S6135" s="456">
        <v>202303</v>
      </c>
      <c r="T6135" s="184"/>
      <c r="U6135" s="457"/>
      <c r="V6135" s="458"/>
      <c r="W6135" s="458"/>
      <c r="X6135" s="190">
        <v>44409</v>
      </c>
      <c r="Y6135" s="190">
        <v>45138</v>
      </c>
    </row>
    <row r="6136" s="9" customFormat="1" customHeight="1" spans="1:25">
      <c r="A6136" s="446" t="s">
        <v>403</v>
      </c>
      <c r="B6136" s="446" t="s">
        <v>8192</v>
      </c>
      <c r="C6136" s="446" t="s">
        <v>63</v>
      </c>
      <c r="D6136" s="446" t="s">
        <v>6237</v>
      </c>
      <c r="E6136" s="105" t="s">
        <v>8193</v>
      </c>
      <c r="F6136" s="446" t="s">
        <v>8194</v>
      </c>
      <c r="G6136" s="447" t="s">
        <v>88</v>
      </c>
      <c r="H6136" s="19" t="s">
        <v>8203</v>
      </c>
      <c r="I6136" s="23" t="e">
        <f>VLOOKUP(H6136,'合同综合查询数据（3月返）'!$A:$A,1,FALSE)</f>
        <v>#N/A</v>
      </c>
      <c r="J6136" s="448" t="s">
        <v>8196</v>
      </c>
      <c r="K6136" s="447" t="s">
        <v>8204</v>
      </c>
      <c r="L6136" s="189"/>
      <c r="M6136" s="449" t="s">
        <v>8205</v>
      </c>
      <c r="N6136" s="450">
        <v>42125</v>
      </c>
      <c r="O6136" s="450" t="s">
        <v>6259</v>
      </c>
      <c r="P6136" s="451">
        <v>14950</v>
      </c>
      <c r="Q6136" s="451">
        <v>4</v>
      </c>
      <c r="R6136" s="455">
        <f t="shared" si="143"/>
        <v>59800</v>
      </c>
      <c r="S6136" s="456">
        <v>202303</v>
      </c>
      <c r="T6136" s="184"/>
      <c r="U6136" s="457"/>
      <c r="V6136" s="458"/>
      <c r="W6136" s="458"/>
      <c r="X6136" s="190">
        <v>44409</v>
      </c>
      <c r="Y6136" s="190">
        <v>45138</v>
      </c>
    </row>
    <row r="6137" s="9" customFormat="1" customHeight="1" spans="1:25">
      <c r="A6137" s="446" t="s">
        <v>403</v>
      </c>
      <c r="B6137" s="446" t="s">
        <v>8192</v>
      </c>
      <c r="C6137" s="446" t="s">
        <v>63</v>
      </c>
      <c r="D6137" s="446" t="s">
        <v>6237</v>
      </c>
      <c r="E6137" s="105" t="s">
        <v>8193</v>
      </c>
      <c r="F6137" s="446" t="s">
        <v>8194</v>
      </c>
      <c r="G6137" s="447" t="s">
        <v>88</v>
      </c>
      <c r="H6137" s="19" t="s">
        <v>8203</v>
      </c>
      <c r="I6137" s="23" t="e">
        <f>VLOOKUP(H6137,'合同综合查询数据（3月返）'!$A:$A,1,FALSE)</f>
        <v>#N/A</v>
      </c>
      <c r="J6137" s="448" t="s">
        <v>8196</v>
      </c>
      <c r="K6137" s="447" t="s">
        <v>8204</v>
      </c>
      <c r="L6137" s="189"/>
      <c r="M6137" s="449" t="s">
        <v>8205</v>
      </c>
      <c r="N6137" s="450">
        <v>43680</v>
      </c>
      <c r="O6137" s="450" t="s">
        <v>457</v>
      </c>
      <c r="P6137" s="451">
        <v>5950</v>
      </c>
      <c r="Q6137" s="451">
        <v>2</v>
      </c>
      <c r="R6137" s="455">
        <f t="shared" si="143"/>
        <v>11900</v>
      </c>
      <c r="S6137" s="456">
        <v>202303</v>
      </c>
      <c r="T6137" s="184" t="s">
        <v>8207</v>
      </c>
      <c r="U6137" s="457"/>
      <c r="V6137" s="458"/>
      <c r="W6137" s="458"/>
      <c r="X6137" s="190">
        <v>44409</v>
      </c>
      <c r="Y6137" s="190">
        <v>45138</v>
      </c>
    </row>
    <row r="6138" s="9" customFormat="1" customHeight="1" spans="1:25">
      <c r="A6138" s="446" t="s">
        <v>403</v>
      </c>
      <c r="B6138" s="446" t="s">
        <v>8192</v>
      </c>
      <c r="C6138" s="446" t="s">
        <v>63</v>
      </c>
      <c r="D6138" s="446" t="s">
        <v>6237</v>
      </c>
      <c r="E6138" s="105" t="s">
        <v>8193</v>
      </c>
      <c r="F6138" s="446" t="s">
        <v>8194</v>
      </c>
      <c r="G6138" s="447" t="s">
        <v>67</v>
      </c>
      <c r="H6138" s="19" t="s">
        <v>8203</v>
      </c>
      <c r="I6138" s="23" t="e">
        <f>VLOOKUP(H6138,'合同综合查询数据（3月返）'!$A:$A,1,FALSE)</f>
        <v>#N/A</v>
      </c>
      <c r="J6138" s="448" t="s">
        <v>67</v>
      </c>
      <c r="K6138" s="447" t="s">
        <v>8204</v>
      </c>
      <c r="L6138" s="189"/>
      <c r="M6138" s="449"/>
      <c r="N6138" s="450">
        <v>42125</v>
      </c>
      <c r="O6138" s="450"/>
      <c r="P6138" s="451">
        <v>42000</v>
      </c>
      <c r="Q6138" s="451">
        <v>2</v>
      </c>
      <c r="R6138" s="455">
        <f t="shared" si="143"/>
        <v>84000</v>
      </c>
      <c r="S6138" s="456">
        <v>202303</v>
      </c>
      <c r="T6138" s="184"/>
      <c r="U6138" s="457"/>
      <c r="V6138" s="458"/>
      <c r="W6138" s="458"/>
      <c r="X6138" s="190">
        <v>44409</v>
      </c>
      <c r="Y6138" s="190">
        <v>45138</v>
      </c>
    </row>
    <row r="6139" s="9" customFormat="1" customHeight="1" spans="1:25">
      <c r="A6139" s="446" t="s">
        <v>403</v>
      </c>
      <c r="B6139" s="446" t="s">
        <v>8192</v>
      </c>
      <c r="C6139" s="446" t="s">
        <v>63</v>
      </c>
      <c r="D6139" s="446" t="s">
        <v>6237</v>
      </c>
      <c r="E6139" s="105" t="s">
        <v>8193</v>
      </c>
      <c r="F6139" s="446" t="s">
        <v>8194</v>
      </c>
      <c r="G6139" s="447" t="s">
        <v>78</v>
      </c>
      <c r="H6139" s="19" t="s">
        <v>8203</v>
      </c>
      <c r="I6139" s="23" t="e">
        <f>VLOOKUP(H6139,'合同综合查询数据（3月返）'!$A:$A,1,FALSE)</f>
        <v>#N/A</v>
      </c>
      <c r="J6139" s="448" t="s">
        <v>8208</v>
      </c>
      <c r="K6139" s="447" t="s">
        <v>8204</v>
      </c>
      <c r="L6139" s="189"/>
      <c r="M6139" s="449"/>
      <c r="N6139" s="450">
        <v>42125</v>
      </c>
      <c r="O6139" s="450"/>
      <c r="P6139" s="451">
        <v>2000</v>
      </c>
      <c r="Q6139" s="451">
        <v>8</v>
      </c>
      <c r="R6139" s="455">
        <f t="shared" si="143"/>
        <v>16000</v>
      </c>
      <c r="S6139" s="456">
        <v>202303</v>
      </c>
      <c r="T6139" s="184"/>
      <c r="U6139" s="457"/>
      <c r="V6139" s="458"/>
      <c r="W6139" s="458"/>
      <c r="X6139" s="190">
        <v>44409</v>
      </c>
      <c r="Y6139" s="190">
        <v>45138</v>
      </c>
    </row>
    <row r="6140" s="9" customFormat="1" customHeight="1" spans="1:25">
      <c r="A6140" s="446" t="s">
        <v>403</v>
      </c>
      <c r="B6140" s="446" t="s">
        <v>8192</v>
      </c>
      <c r="C6140" s="446" t="s">
        <v>63</v>
      </c>
      <c r="D6140" s="446" t="s">
        <v>6237</v>
      </c>
      <c r="E6140" s="105" t="s">
        <v>8193</v>
      </c>
      <c r="F6140" s="446" t="s">
        <v>8194</v>
      </c>
      <c r="G6140" s="447" t="s">
        <v>78</v>
      </c>
      <c r="H6140" s="19" t="s">
        <v>8203</v>
      </c>
      <c r="I6140" s="23" t="e">
        <f>VLOOKUP(H6140,'合同综合查询数据（3月返）'!$A:$A,1,FALSE)</f>
        <v>#N/A</v>
      </c>
      <c r="J6140" s="448" t="s">
        <v>8208</v>
      </c>
      <c r="K6140" s="447" t="s">
        <v>8204</v>
      </c>
      <c r="L6140" s="189"/>
      <c r="M6140" s="449"/>
      <c r="N6140" s="450" t="s">
        <v>8209</v>
      </c>
      <c r="O6140" s="450"/>
      <c r="P6140" s="451">
        <v>2000</v>
      </c>
      <c r="Q6140" s="451">
        <v>-5</v>
      </c>
      <c r="R6140" s="455">
        <f t="shared" si="143"/>
        <v>-10000</v>
      </c>
      <c r="S6140" s="456">
        <v>202303</v>
      </c>
      <c r="T6140" s="184" t="s">
        <v>8210</v>
      </c>
      <c r="U6140" s="457"/>
      <c r="V6140" s="458"/>
      <c r="W6140" s="458"/>
      <c r="X6140" s="190">
        <v>44409</v>
      </c>
      <c r="Y6140" s="190">
        <v>45138</v>
      </c>
    </row>
    <row r="6141" s="9" customFormat="1" customHeight="1" spans="1:25">
      <c r="A6141" s="446" t="s">
        <v>403</v>
      </c>
      <c r="B6141" s="446" t="s">
        <v>8192</v>
      </c>
      <c r="C6141" s="446" t="s">
        <v>63</v>
      </c>
      <c r="D6141" s="446" t="s">
        <v>6237</v>
      </c>
      <c r="E6141" s="105" t="s">
        <v>8193</v>
      </c>
      <c r="F6141" s="446" t="s">
        <v>8194</v>
      </c>
      <c r="G6141" s="447" t="s">
        <v>78</v>
      </c>
      <c r="H6141" s="19" t="s">
        <v>8203</v>
      </c>
      <c r="I6141" s="23" t="e">
        <f>VLOOKUP(H6141,'合同综合查询数据（3月返）'!$A:$A,1,FALSE)</f>
        <v>#N/A</v>
      </c>
      <c r="J6141" s="448" t="s">
        <v>8208</v>
      </c>
      <c r="K6141" s="447" t="s">
        <v>8204</v>
      </c>
      <c r="L6141" s="189"/>
      <c r="M6141" s="449"/>
      <c r="N6141" s="450">
        <v>44804</v>
      </c>
      <c r="O6141" s="450"/>
      <c r="P6141" s="451">
        <v>2000</v>
      </c>
      <c r="Q6141" s="451">
        <v>-3</v>
      </c>
      <c r="R6141" s="455">
        <f t="shared" si="143"/>
        <v>-6000</v>
      </c>
      <c r="S6141" s="456">
        <v>202303</v>
      </c>
      <c r="T6141" s="184" t="s">
        <v>8211</v>
      </c>
      <c r="U6141" s="457"/>
      <c r="V6141" s="458"/>
      <c r="W6141" s="458"/>
      <c r="X6141" s="190">
        <v>44409</v>
      </c>
      <c r="Y6141" s="190">
        <v>45138</v>
      </c>
    </row>
    <row r="6142" s="9" customFormat="1" customHeight="1" spans="1:25">
      <c r="A6142" s="446" t="s">
        <v>403</v>
      </c>
      <c r="B6142" s="446" t="s">
        <v>8192</v>
      </c>
      <c r="C6142" s="446" t="s">
        <v>63</v>
      </c>
      <c r="D6142" s="446" t="s">
        <v>6237</v>
      </c>
      <c r="E6142" s="105" t="s">
        <v>8193</v>
      </c>
      <c r="F6142" s="446" t="s">
        <v>8194</v>
      </c>
      <c r="G6142" s="447" t="s">
        <v>78</v>
      </c>
      <c r="H6142" s="19" t="s">
        <v>8203</v>
      </c>
      <c r="I6142" s="23" t="e">
        <f>VLOOKUP(H6142,'合同综合查询数据（3月返）'!$A:$A,1,FALSE)</f>
        <v>#N/A</v>
      </c>
      <c r="J6142" s="448" t="s">
        <v>8212</v>
      </c>
      <c r="K6142" s="447" t="s">
        <v>8204</v>
      </c>
      <c r="L6142" s="189"/>
      <c r="M6142" s="449"/>
      <c r="N6142" s="450">
        <v>42125</v>
      </c>
      <c r="O6142" s="450"/>
      <c r="P6142" s="451">
        <v>5000</v>
      </c>
      <c r="Q6142" s="451">
        <v>1</v>
      </c>
      <c r="R6142" s="455">
        <f t="shared" si="143"/>
        <v>5000</v>
      </c>
      <c r="S6142" s="456">
        <v>202303</v>
      </c>
      <c r="T6142" s="184"/>
      <c r="U6142" s="457"/>
      <c r="V6142" s="458"/>
      <c r="W6142" s="458"/>
      <c r="X6142" s="190">
        <v>44409</v>
      </c>
      <c r="Y6142" s="190">
        <v>45138</v>
      </c>
    </row>
    <row r="6143" s="9" customFormat="1" customHeight="1" spans="1:25">
      <c r="A6143" s="446" t="s">
        <v>403</v>
      </c>
      <c r="B6143" s="446" t="s">
        <v>8192</v>
      </c>
      <c r="C6143" s="446" t="s">
        <v>63</v>
      </c>
      <c r="D6143" s="446" t="s">
        <v>6237</v>
      </c>
      <c r="E6143" s="105" t="s">
        <v>8193</v>
      </c>
      <c r="F6143" s="446" t="s">
        <v>8194</v>
      </c>
      <c r="G6143" s="447" t="s">
        <v>78</v>
      </c>
      <c r="H6143" s="19" t="s">
        <v>8203</v>
      </c>
      <c r="I6143" s="23" t="e">
        <f>VLOOKUP(H6143,'合同综合查询数据（3月返）'!$A:$A,1,FALSE)</f>
        <v>#N/A</v>
      </c>
      <c r="J6143" s="448" t="s">
        <v>8212</v>
      </c>
      <c r="K6143" s="447" t="s">
        <v>8204</v>
      </c>
      <c r="L6143" s="189"/>
      <c r="M6143" s="449"/>
      <c r="N6143" s="450">
        <v>44804</v>
      </c>
      <c r="O6143" s="450"/>
      <c r="P6143" s="451">
        <v>5000</v>
      </c>
      <c r="Q6143" s="451">
        <v>-1</v>
      </c>
      <c r="R6143" s="455">
        <f t="shared" si="143"/>
        <v>-5000</v>
      </c>
      <c r="S6143" s="456">
        <v>202303</v>
      </c>
      <c r="T6143" s="184" t="s">
        <v>8211</v>
      </c>
      <c r="U6143" s="457"/>
      <c r="V6143" s="458"/>
      <c r="W6143" s="458"/>
      <c r="X6143" s="190">
        <v>44409</v>
      </c>
      <c r="Y6143" s="190">
        <v>45138</v>
      </c>
    </row>
    <row r="6144" s="9" customFormat="1" customHeight="1" spans="1:25">
      <c r="A6144" s="446" t="s">
        <v>403</v>
      </c>
      <c r="B6144" s="446" t="s">
        <v>8192</v>
      </c>
      <c r="C6144" s="446" t="s">
        <v>63</v>
      </c>
      <c r="D6144" s="446" t="s">
        <v>6237</v>
      </c>
      <c r="E6144" s="105" t="s">
        <v>8193</v>
      </c>
      <c r="F6144" s="446" t="s">
        <v>8194</v>
      </c>
      <c r="G6144" s="447" t="s">
        <v>88</v>
      </c>
      <c r="H6144" s="19" t="s">
        <v>8203</v>
      </c>
      <c r="I6144" s="23" t="e">
        <f>VLOOKUP(H6144,'合同综合查询数据（3月返）'!$A:$A,1,FALSE)</f>
        <v>#N/A</v>
      </c>
      <c r="J6144" s="448" t="s">
        <v>8196</v>
      </c>
      <c r="K6144" s="447" t="s">
        <v>8204</v>
      </c>
      <c r="L6144" s="189"/>
      <c r="M6144" s="449" t="s">
        <v>8205</v>
      </c>
      <c r="N6144" s="450" t="s">
        <v>8213</v>
      </c>
      <c r="O6144" s="450" t="s">
        <v>457</v>
      </c>
      <c r="P6144" s="451">
        <v>5950</v>
      </c>
      <c r="Q6144" s="451">
        <v>-4</v>
      </c>
      <c r="R6144" s="455">
        <f t="shared" si="143"/>
        <v>-23800</v>
      </c>
      <c r="S6144" s="456">
        <v>202303</v>
      </c>
      <c r="T6144" s="184"/>
      <c r="U6144" s="457"/>
      <c r="V6144" s="458"/>
      <c r="W6144" s="458"/>
      <c r="X6144" s="190">
        <v>44409</v>
      </c>
      <c r="Y6144" s="190">
        <v>45138</v>
      </c>
    </row>
    <row r="6145" s="9" customFormat="1" customHeight="1" spans="1:25">
      <c r="A6145" s="446" t="s">
        <v>403</v>
      </c>
      <c r="B6145" s="446" t="s">
        <v>8192</v>
      </c>
      <c r="C6145" s="446" t="s">
        <v>63</v>
      </c>
      <c r="D6145" s="446" t="s">
        <v>6237</v>
      </c>
      <c r="E6145" s="105" t="s">
        <v>8193</v>
      </c>
      <c r="F6145" s="446" t="s">
        <v>8194</v>
      </c>
      <c r="G6145" s="447" t="s">
        <v>88</v>
      </c>
      <c r="H6145" s="19" t="s">
        <v>8203</v>
      </c>
      <c r="I6145" s="23" t="e">
        <f>VLOOKUP(H6145,'合同综合查询数据（3月返）'!$A:$A,1,FALSE)</f>
        <v>#N/A</v>
      </c>
      <c r="J6145" s="448" t="s">
        <v>8196</v>
      </c>
      <c r="K6145" s="447" t="s">
        <v>8204</v>
      </c>
      <c r="L6145" s="189"/>
      <c r="M6145" s="449" t="s">
        <v>8205</v>
      </c>
      <c r="N6145" s="450" t="s">
        <v>8214</v>
      </c>
      <c r="O6145" s="450" t="s">
        <v>457</v>
      </c>
      <c r="P6145" s="451">
        <v>5950</v>
      </c>
      <c r="Q6145" s="451">
        <v>-581</v>
      </c>
      <c r="R6145" s="455">
        <f t="shared" si="143"/>
        <v>-3456950</v>
      </c>
      <c r="S6145" s="456">
        <v>202303</v>
      </c>
      <c r="T6145" s="184"/>
      <c r="U6145" s="457"/>
      <c r="V6145" s="458"/>
      <c r="W6145" s="458"/>
      <c r="X6145" s="190">
        <v>44409</v>
      </c>
      <c r="Y6145" s="190">
        <v>45138</v>
      </c>
    </row>
    <row r="6146" s="9" customFormat="1" customHeight="1" spans="1:25">
      <c r="A6146" s="446" t="s">
        <v>403</v>
      </c>
      <c r="B6146" s="446" t="s">
        <v>8192</v>
      </c>
      <c r="C6146" s="446" t="s">
        <v>63</v>
      </c>
      <c r="D6146" s="446" t="s">
        <v>6237</v>
      </c>
      <c r="E6146" s="105" t="s">
        <v>8193</v>
      </c>
      <c r="F6146" s="446" t="s">
        <v>8194</v>
      </c>
      <c r="G6146" s="447" t="s">
        <v>88</v>
      </c>
      <c r="H6146" s="19" t="s">
        <v>8203</v>
      </c>
      <c r="I6146" s="23" t="e">
        <f>VLOOKUP(H6146,'合同综合查询数据（3月返）'!$A:$A,1,FALSE)</f>
        <v>#N/A</v>
      </c>
      <c r="J6146" s="448" t="s">
        <v>8196</v>
      </c>
      <c r="K6146" s="447" t="s">
        <v>8204</v>
      </c>
      <c r="L6146" s="189"/>
      <c r="M6146" s="449" t="s">
        <v>8205</v>
      </c>
      <c r="N6146" s="450">
        <v>44285</v>
      </c>
      <c r="O6146" s="450" t="s">
        <v>457</v>
      </c>
      <c r="P6146" s="451">
        <v>5950</v>
      </c>
      <c r="Q6146" s="451">
        <v>100</v>
      </c>
      <c r="R6146" s="455">
        <f t="shared" si="143"/>
        <v>595000</v>
      </c>
      <c r="S6146" s="456">
        <v>202303</v>
      </c>
      <c r="T6146" s="184" t="s">
        <v>8215</v>
      </c>
      <c r="U6146" s="457"/>
      <c r="V6146" s="458"/>
      <c r="W6146" s="458"/>
      <c r="X6146" s="190">
        <v>44409</v>
      </c>
      <c r="Y6146" s="190">
        <v>45138</v>
      </c>
    </row>
    <row r="6147" s="9" customFormat="1" customHeight="1" spans="1:25">
      <c r="A6147" s="446" t="s">
        <v>403</v>
      </c>
      <c r="B6147" s="446" t="s">
        <v>8192</v>
      </c>
      <c r="C6147" s="446" t="s">
        <v>63</v>
      </c>
      <c r="D6147" s="446" t="s">
        <v>6237</v>
      </c>
      <c r="E6147" s="105" t="s">
        <v>8193</v>
      </c>
      <c r="F6147" s="446" t="s">
        <v>8194</v>
      </c>
      <c r="G6147" s="447" t="s">
        <v>88</v>
      </c>
      <c r="H6147" s="19" t="s">
        <v>8203</v>
      </c>
      <c r="I6147" s="23" t="e">
        <f>VLOOKUP(H6147,'合同综合查询数据（3月返）'!$A:$A,1,FALSE)</f>
        <v>#N/A</v>
      </c>
      <c r="J6147" s="448" t="s">
        <v>8196</v>
      </c>
      <c r="K6147" s="447" t="s">
        <v>8204</v>
      </c>
      <c r="L6147" s="189"/>
      <c r="M6147" s="449" t="s">
        <v>8205</v>
      </c>
      <c r="N6147" s="450">
        <v>44293</v>
      </c>
      <c r="O6147" s="450" t="s">
        <v>457</v>
      </c>
      <c r="P6147" s="451">
        <v>5950</v>
      </c>
      <c r="Q6147" s="451">
        <v>307</v>
      </c>
      <c r="R6147" s="455">
        <f t="shared" si="143"/>
        <v>1826650</v>
      </c>
      <c r="S6147" s="456">
        <v>202303</v>
      </c>
      <c r="T6147" s="184" t="s">
        <v>8216</v>
      </c>
      <c r="U6147" s="457"/>
      <c r="V6147" s="458"/>
      <c r="W6147" s="458"/>
      <c r="X6147" s="190">
        <v>44409</v>
      </c>
      <c r="Y6147" s="190">
        <v>45138</v>
      </c>
    </row>
    <row r="6148" s="9" customFormat="1" customHeight="1" spans="1:25">
      <c r="A6148" s="446" t="s">
        <v>403</v>
      </c>
      <c r="B6148" s="446" t="s">
        <v>8192</v>
      </c>
      <c r="C6148" s="446" t="s">
        <v>63</v>
      </c>
      <c r="D6148" s="446" t="s">
        <v>6237</v>
      </c>
      <c r="E6148" s="105" t="s">
        <v>8193</v>
      </c>
      <c r="F6148" s="446" t="s">
        <v>8194</v>
      </c>
      <c r="G6148" s="447" t="s">
        <v>88</v>
      </c>
      <c r="H6148" s="19" t="s">
        <v>8203</v>
      </c>
      <c r="I6148" s="23" t="e">
        <f>VLOOKUP(H6148,'合同综合查询数据（3月返）'!$A:$A,1,FALSE)</f>
        <v>#N/A</v>
      </c>
      <c r="J6148" s="448" t="s">
        <v>8196</v>
      </c>
      <c r="K6148" s="447" t="s">
        <v>8204</v>
      </c>
      <c r="L6148" s="189"/>
      <c r="M6148" s="449" t="s">
        <v>8205</v>
      </c>
      <c r="N6148" s="450">
        <v>44302</v>
      </c>
      <c r="O6148" s="450" t="s">
        <v>457</v>
      </c>
      <c r="P6148" s="451">
        <v>5950</v>
      </c>
      <c r="Q6148" s="451">
        <v>174</v>
      </c>
      <c r="R6148" s="455">
        <f t="shared" si="143"/>
        <v>1035300</v>
      </c>
      <c r="S6148" s="456">
        <v>202303</v>
      </c>
      <c r="T6148" s="184" t="s">
        <v>8217</v>
      </c>
      <c r="U6148" s="457"/>
      <c r="V6148" s="458"/>
      <c r="W6148" s="458"/>
      <c r="X6148" s="190">
        <v>44409</v>
      </c>
      <c r="Y6148" s="190">
        <v>45138</v>
      </c>
    </row>
    <row r="6149" s="9" customFormat="1" customHeight="1" spans="1:25">
      <c r="A6149" s="446" t="s">
        <v>403</v>
      </c>
      <c r="B6149" s="446" t="s">
        <v>8192</v>
      </c>
      <c r="C6149" s="446" t="s">
        <v>63</v>
      </c>
      <c r="D6149" s="446" t="s">
        <v>6237</v>
      </c>
      <c r="E6149" s="105" t="s">
        <v>8193</v>
      </c>
      <c r="F6149" s="446" t="s">
        <v>8194</v>
      </c>
      <c r="G6149" s="447" t="s">
        <v>88</v>
      </c>
      <c r="H6149" s="19" t="s">
        <v>8203</v>
      </c>
      <c r="I6149" s="23" t="e">
        <f>VLOOKUP(H6149,'合同综合查询数据（3月返）'!$A:$A,1,FALSE)</f>
        <v>#N/A</v>
      </c>
      <c r="J6149" s="448" t="s">
        <v>8196</v>
      </c>
      <c r="K6149" s="447" t="s">
        <v>8204</v>
      </c>
      <c r="L6149" s="189"/>
      <c r="M6149" s="449" t="s">
        <v>8205</v>
      </c>
      <c r="N6149" s="450">
        <v>44774</v>
      </c>
      <c r="O6149" s="450" t="s">
        <v>457</v>
      </c>
      <c r="P6149" s="451">
        <v>5950</v>
      </c>
      <c r="Q6149" s="451">
        <v>-973</v>
      </c>
      <c r="R6149" s="455">
        <f t="shared" si="143"/>
        <v>-5789350</v>
      </c>
      <c r="S6149" s="456">
        <v>202303</v>
      </c>
      <c r="T6149" s="184" t="s">
        <v>8218</v>
      </c>
      <c r="U6149" s="457"/>
      <c r="V6149" s="458"/>
      <c r="W6149" s="458"/>
      <c r="X6149" s="190">
        <v>44409</v>
      </c>
      <c r="Y6149" s="190">
        <v>45138</v>
      </c>
    </row>
    <row r="6150" s="9" customFormat="1" customHeight="1" spans="1:25">
      <c r="A6150" s="446" t="s">
        <v>403</v>
      </c>
      <c r="B6150" s="446" t="s">
        <v>8192</v>
      </c>
      <c r="C6150" s="446" t="s">
        <v>63</v>
      </c>
      <c r="D6150" s="446" t="s">
        <v>6237</v>
      </c>
      <c r="E6150" s="105" t="s">
        <v>8193</v>
      </c>
      <c r="F6150" s="446" t="s">
        <v>8194</v>
      </c>
      <c r="G6150" s="447" t="s">
        <v>88</v>
      </c>
      <c r="H6150" s="19" t="s">
        <v>8203</v>
      </c>
      <c r="I6150" s="23" t="e">
        <f>VLOOKUP(H6150,'合同综合查询数据（3月返）'!$A:$A,1,FALSE)</f>
        <v>#N/A</v>
      </c>
      <c r="J6150" s="448" t="s">
        <v>8196</v>
      </c>
      <c r="K6150" s="447" t="s">
        <v>8204</v>
      </c>
      <c r="L6150" s="189"/>
      <c r="M6150" s="449" t="s">
        <v>8205</v>
      </c>
      <c r="N6150" s="450">
        <v>44774</v>
      </c>
      <c r="O6150" s="450" t="s">
        <v>506</v>
      </c>
      <c r="P6150" s="451">
        <v>8050</v>
      </c>
      <c r="Q6150" s="451">
        <v>-1</v>
      </c>
      <c r="R6150" s="455">
        <f t="shared" si="143"/>
        <v>-8050</v>
      </c>
      <c r="S6150" s="456">
        <v>202303</v>
      </c>
      <c r="T6150" s="184" t="s">
        <v>8219</v>
      </c>
      <c r="U6150" s="457"/>
      <c r="V6150" s="458"/>
      <c r="W6150" s="458"/>
      <c r="X6150" s="190">
        <v>44409</v>
      </c>
      <c r="Y6150" s="190">
        <v>45138</v>
      </c>
    </row>
    <row r="6151" s="9" customFormat="1" customHeight="1" spans="1:25">
      <c r="A6151" s="446" t="s">
        <v>403</v>
      </c>
      <c r="B6151" s="446" t="s">
        <v>8192</v>
      </c>
      <c r="C6151" s="446" t="s">
        <v>63</v>
      </c>
      <c r="D6151" s="446" t="s">
        <v>6237</v>
      </c>
      <c r="E6151" s="105" t="s">
        <v>8193</v>
      </c>
      <c r="F6151" s="446" t="s">
        <v>8194</v>
      </c>
      <c r="G6151" s="447" t="s">
        <v>88</v>
      </c>
      <c r="H6151" s="19" t="s">
        <v>8203</v>
      </c>
      <c r="I6151" s="23" t="e">
        <f>VLOOKUP(H6151,'合同综合查询数据（3月返）'!$A:$A,1,FALSE)</f>
        <v>#N/A</v>
      </c>
      <c r="J6151" s="448" t="s">
        <v>8196</v>
      </c>
      <c r="K6151" s="447" t="s">
        <v>8204</v>
      </c>
      <c r="L6151" s="189"/>
      <c r="M6151" s="449" t="s">
        <v>8205</v>
      </c>
      <c r="N6151" s="450">
        <v>44774</v>
      </c>
      <c r="O6151" s="450" t="s">
        <v>506</v>
      </c>
      <c r="P6151" s="451">
        <v>8050</v>
      </c>
      <c r="Q6151" s="451">
        <v>-1</v>
      </c>
      <c r="R6151" s="455">
        <f t="shared" si="143"/>
        <v>-8050</v>
      </c>
      <c r="S6151" s="456">
        <v>202303</v>
      </c>
      <c r="T6151" s="184" t="s">
        <v>8220</v>
      </c>
      <c r="U6151" s="457"/>
      <c r="V6151" s="458"/>
      <c r="W6151" s="458"/>
      <c r="X6151" s="190">
        <v>44409</v>
      </c>
      <c r="Y6151" s="190">
        <v>45138</v>
      </c>
    </row>
    <row r="6152" s="9" customFormat="1" customHeight="1" spans="1:25">
      <c r="A6152" s="446" t="s">
        <v>403</v>
      </c>
      <c r="B6152" s="446" t="s">
        <v>8192</v>
      </c>
      <c r="C6152" s="446" t="s">
        <v>63</v>
      </c>
      <c r="D6152" s="446" t="s">
        <v>6237</v>
      </c>
      <c r="E6152" s="105" t="s">
        <v>8193</v>
      </c>
      <c r="F6152" s="446" t="s">
        <v>8194</v>
      </c>
      <c r="G6152" s="447" t="s">
        <v>88</v>
      </c>
      <c r="H6152" s="19" t="s">
        <v>8203</v>
      </c>
      <c r="I6152" s="23" t="e">
        <f>VLOOKUP(H6152,'合同综合查询数据（3月返）'!$A:$A,1,FALSE)</f>
        <v>#N/A</v>
      </c>
      <c r="J6152" s="448" t="s">
        <v>8196</v>
      </c>
      <c r="K6152" s="447" t="s">
        <v>8204</v>
      </c>
      <c r="L6152" s="189"/>
      <c r="M6152" s="449" t="s">
        <v>8205</v>
      </c>
      <c r="N6152" s="450">
        <v>44796</v>
      </c>
      <c r="O6152" s="450" t="s">
        <v>545</v>
      </c>
      <c r="P6152" s="451">
        <v>5950</v>
      </c>
      <c r="Q6152" s="451">
        <v>-2</v>
      </c>
      <c r="R6152" s="455">
        <f t="shared" si="143"/>
        <v>-11900</v>
      </c>
      <c r="S6152" s="456">
        <v>202303</v>
      </c>
      <c r="T6152" s="184" t="s">
        <v>8221</v>
      </c>
      <c r="U6152" s="457"/>
      <c r="V6152" s="458"/>
      <c r="W6152" s="458"/>
      <c r="X6152" s="190">
        <v>44409</v>
      </c>
      <c r="Y6152" s="190">
        <v>45138</v>
      </c>
    </row>
    <row r="6153" s="9" customFormat="1" customHeight="1" spans="1:25">
      <c r="A6153" s="446" t="s">
        <v>403</v>
      </c>
      <c r="B6153" s="446" t="s">
        <v>8192</v>
      </c>
      <c r="C6153" s="446" t="s">
        <v>63</v>
      </c>
      <c r="D6153" s="446" t="s">
        <v>6237</v>
      </c>
      <c r="E6153" s="105" t="s">
        <v>8193</v>
      </c>
      <c r="F6153" s="446" t="s">
        <v>8194</v>
      </c>
      <c r="G6153" s="447" t="s">
        <v>88</v>
      </c>
      <c r="H6153" s="19" t="s">
        <v>8203</v>
      </c>
      <c r="I6153" s="23" t="e">
        <f>VLOOKUP(H6153,'合同综合查询数据（3月返）'!$A:$A,1,FALSE)</f>
        <v>#N/A</v>
      </c>
      <c r="J6153" s="448" t="s">
        <v>8196</v>
      </c>
      <c r="K6153" s="447" t="s">
        <v>8204</v>
      </c>
      <c r="L6153" s="189"/>
      <c r="M6153" s="449" t="s">
        <v>8205</v>
      </c>
      <c r="N6153" s="450">
        <v>44796</v>
      </c>
      <c r="O6153" s="450" t="s">
        <v>457</v>
      </c>
      <c r="P6153" s="451">
        <v>5950</v>
      </c>
      <c r="Q6153" s="451">
        <v>-1</v>
      </c>
      <c r="R6153" s="455">
        <f t="shared" si="143"/>
        <v>-5950</v>
      </c>
      <c r="S6153" s="456">
        <v>202303</v>
      </c>
      <c r="T6153" s="184" t="s">
        <v>8222</v>
      </c>
      <c r="U6153" s="457"/>
      <c r="V6153" s="458"/>
      <c r="W6153" s="458"/>
      <c r="X6153" s="190">
        <v>44409</v>
      </c>
      <c r="Y6153" s="190">
        <v>45138</v>
      </c>
    </row>
    <row r="6154" s="9" customFormat="1" customHeight="1" spans="1:25">
      <c r="A6154" s="446" t="s">
        <v>403</v>
      </c>
      <c r="B6154" s="446" t="s">
        <v>8192</v>
      </c>
      <c r="C6154" s="446" t="s">
        <v>63</v>
      </c>
      <c r="D6154" s="446" t="s">
        <v>6237</v>
      </c>
      <c r="E6154" s="105" t="s">
        <v>8193</v>
      </c>
      <c r="F6154" s="446" t="s">
        <v>8194</v>
      </c>
      <c r="G6154" s="447" t="s">
        <v>88</v>
      </c>
      <c r="H6154" s="19" t="s">
        <v>8203</v>
      </c>
      <c r="I6154" s="23" t="e">
        <f>VLOOKUP(H6154,'合同综合查询数据（3月返）'!$A:$A,1,FALSE)</f>
        <v>#N/A</v>
      </c>
      <c r="J6154" s="448" t="s">
        <v>8196</v>
      </c>
      <c r="K6154" s="447" t="s">
        <v>8204</v>
      </c>
      <c r="L6154" s="189"/>
      <c r="M6154" s="449" t="s">
        <v>8205</v>
      </c>
      <c r="N6154" s="450">
        <v>44796</v>
      </c>
      <c r="O6154" s="450" t="s">
        <v>6259</v>
      </c>
      <c r="P6154" s="451">
        <v>14950</v>
      </c>
      <c r="Q6154" s="451">
        <v>-4</v>
      </c>
      <c r="R6154" s="455">
        <f t="shared" si="143"/>
        <v>-59800</v>
      </c>
      <c r="S6154" s="456">
        <v>202303</v>
      </c>
      <c r="T6154" s="184" t="s">
        <v>8223</v>
      </c>
      <c r="U6154" s="457"/>
      <c r="V6154" s="458"/>
      <c r="W6154" s="458"/>
      <c r="X6154" s="190">
        <v>44409</v>
      </c>
      <c r="Y6154" s="190">
        <v>45138</v>
      </c>
    </row>
    <row r="6155" s="9" customFormat="1" customHeight="1" spans="1:25">
      <c r="A6155" s="446" t="s">
        <v>403</v>
      </c>
      <c r="B6155" s="446" t="s">
        <v>8192</v>
      </c>
      <c r="C6155" s="446" t="s">
        <v>63</v>
      </c>
      <c r="D6155" s="446" t="s">
        <v>6237</v>
      </c>
      <c r="E6155" s="105" t="s">
        <v>8193</v>
      </c>
      <c r="F6155" s="446" t="s">
        <v>8194</v>
      </c>
      <c r="G6155" s="447" t="s">
        <v>88</v>
      </c>
      <c r="H6155" s="19" t="s">
        <v>8199</v>
      </c>
      <c r="I6155" s="23" t="e">
        <f>VLOOKUP(H6155,'合同综合查询数据（3月返）'!$A:$A,1,FALSE)</f>
        <v>#N/A</v>
      </c>
      <c r="J6155" s="448" t="s">
        <v>8196</v>
      </c>
      <c r="K6155" s="447" t="s">
        <v>8224</v>
      </c>
      <c r="L6155" s="189"/>
      <c r="M6155" s="449" t="s">
        <v>8225</v>
      </c>
      <c r="N6155" s="450" t="s">
        <v>1225</v>
      </c>
      <c r="O6155" s="450" t="s">
        <v>457</v>
      </c>
      <c r="P6155" s="451">
        <v>8000</v>
      </c>
      <c r="Q6155" s="451">
        <v>953</v>
      </c>
      <c r="R6155" s="455">
        <f t="shared" si="143"/>
        <v>7624000</v>
      </c>
      <c r="S6155" s="456">
        <v>202303</v>
      </c>
      <c r="T6155" s="184"/>
      <c r="U6155" s="457"/>
      <c r="V6155" s="458"/>
      <c r="W6155" s="458"/>
      <c r="X6155" s="190">
        <v>44743</v>
      </c>
      <c r="Y6155" s="467">
        <v>45107</v>
      </c>
    </row>
    <row r="6156" s="9" customFormat="1" customHeight="1" spans="1:25">
      <c r="A6156" s="446" t="s">
        <v>403</v>
      </c>
      <c r="B6156" s="446" t="s">
        <v>8192</v>
      </c>
      <c r="C6156" s="446" t="s">
        <v>63</v>
      </c>
      <c r="D6156" s="446" t="s">
        <v>6237</v>
      </c>
      <c r="E6156" s="105" t="s">
        <v>8193</v>
      </c>
      <c r="F6156" s="446" t="s">
        <v>8194</v>
      </c>
      <c r="G6156" s="447" t="s">
        <v>88</v>
      </c>
      <c r="H6156" s="19" t="s">
        <v>8199</v>
      </c>
      <c r="I6156" s="23" t="e">
        <f>VLOOKUP(H6156,'合同综合查询数据（3月返）'!$A:$A,1,FALSE)</f>
        <v>#N/A</v>
      </c>
      <c r="J6156" s="448" t="s">
        <v>8196</v>
      </c>
      <c r="K6156" s="447" t="s">
        <v>8224</v>
      </c>
      <c r="L6156" s="189"/>
      <c r="M6156" s="449" t="s">
        <v>8226</v>
      </c>
      <c r="N6156" s="450">
        <v>42838</v>
      </c>
      <c r="O6156" s="450" t="s">
        <v>6259</v>
      </c>
      <c r="P6156" s="451">
        <v>18800</v>
      </c>
      <c r="Q6156" s="451">
        <v>2</v>
      </c>
      <c r="R6156" s="455">
        <f t="shared" si="143"/>
        <v>37600</v>
      </c>
      <c r="S6156" s="456">
        <v>202303</v>
      </c>
      <c r="T6156" s="184"/>
      <c r="U6156" s="457"/>
      <c r="V6156" s="458"/>
      <c r="W6156" s="458"/>
      <c r="X6156" s="190">
        <v>44743</v>
      </c>
      <c r="Y6156" s="467">
        <v>45107</v>
      </c>
    </row>
    <row r="6157" s="9" customFormat="1" customHeight="1" spans="1:25">
      <c r="A6157" s="446" t="s">
        <v>403</v>
      </c>
      <c r="B6157" s="446" t="s">
        <v>8192</v>
      </c>
      <c r="C6157" s="446" t="s">
        <v>63</v>
      </c>
      <c r="D6157" s="446" t="s">
        <v>6237</v>
      </c>
      <c r="E6157" s="105" t="s">
        <v>8193</v>
      </c>
      <c r="F6157" s="446" t="s">
        <v>8194</v>
      </c>
      <c r="G6157" s="447" t="s">
        <v>88</v>
      </c>
      <c r="H6157" s="19" t="s">
        <v>8199</v>
      </c>
      <c r="I6157" s="23" t="e">
        <f>VLOOKUP(H6157,'合同综合查询数据（3月返）'!$A:$A,1,FALSE)</f>
        <v>#N/A</v>
      </c>
      <c r="J6157" s="448" t="s">
        <v>8196</v>
      </c>
      <c r="K6157" s="447" t="s">
        <v>8224</v>
      </c>
      <c r="L6157" s="189"/>
      <c r="M6157" s="449" t="s">
        <v>8226</v>
      </c>
      <c r="N6157" s="450">
        <v>44217</v>
      </c>
      <c r="O6157" s="450" t="s">
        <v>6259</v>
      </c>
      <c r="P6157" s="451">
        <v>18800</v>
      </c>
      <c r="Q6157" s="451">
        <v>-2</v>
      </c>
      <c r="R6157" s="455">
        <f t="shared" si="143"/>
        <v>-37600</v>
      </c>
      <c r="S6157" s="456">
        <v>202303</v>
      </c>
      <c r="T6157" s="184" t="s">
        <v>8227</v>
      </c>
      <c r="U6157" s="457"/>
      <c r="V6157" s="458"/>
      <c r="W6157" s="458"/>
      <c r="X6157" s="190">
        <v>44743</v>
      </c>
      <c r="Y6157" s="467">
        <v>45107</v>
      </c>
    </row>
    <row r="6158" s="9" customFormat="1" customHeight="1" spans="1:25">
      <c r="A6158" s="446" t="s">
        <v>403</v>
      </c>
      <c r="B6158" s="446" t="s">
        <v>8192</v>
      </c>
      <c r="C6158" s="446" t="s">
        <v>63</v>
      </c>
      <c r="D6158" s="446" t="s">
        <v>6237</v>
      </c>
      <c r="E6158" s="105" t="s">
        <v>8193</v>
      </c>
      <c r="F6158" s="446" t="s">
        <v>8194</v>
      </c>
      <c r="G6158" s="447" t="s">
        <v>88</v>
      </c>
      <c r="H6158" s="19" t="s">
        <v>8199</v>
      </c>
      <c r="I6158" s="23" t="e">
        <f>VLOOKUP(H6158,'合同综合查询数据（3月返）'!$A:$A,1,FALSE)</f>
        <v>#N/A</v>
      </c>
      <c r="J6158" s="448" t="s">
        <v>8196</v>
      </c>
      <c r="K6158" s="447" t="s">
        <v>8224</v>
      </c>
      <c r="L6158" s="189"/>
      <c r="M6158" s="449" t="s">
        <v>8225</v>
      </c>
      <c r="N6158" s="450">
        <v>42844</v>
      </c>
      <c r="O6158" s="450" t="s">
        <v>8228</v>
      </c>
      <c r="P6158" s="451">
        <v>23120</v>
      </c>
      <c r="Q6158" s="451">
        <v>4</v>
      </c>
      <c r="R6158" s="455">
        <f t="shared" si="143"/>
        <v>92480</v>
      </c>
      <c r="S6158" s="456">
        <v>202303</v>
      </c>
      <c r="T6158" s="184"/>
      <c r="U6158" s="457"/>
      <c r="V6158" s="458"/>
      <c r="W6158" s="458"/>
      <c r="X6158" s="190">
        <v>44743</v>
      </c>
      <c r="Y6158" s="467">
        <v>45107</v>
      </c>
    </row>
    <row r="6159" s="9" customFormat="1" customHeight="1" spans="1:25">
      <c r="A6159" s="446" t="s">
        <v>403</v>
      </c>
      <c r="B6159" s="446" t="s">
        <v>8192</v>
      </c>
      <c r="C6159" s="446" t="s">
        <v>63</v>
      </c>
      <c r="D6159" s="446" t="s">
        <v>6237</v>
      </c>
      <c r="E6159" s="105" t="s">
        <v>8193</v>
      </c>
      <c r="F6159" s="446" t="s">
        <v>8194</v>
      </c>
      <c r="G6159" s="447" t="s">
        <v>88</v>
      </c>
      <c r="H6159" s="19" t="s">
        <v>8199</v>
      </c>
      <c r="I6159" s="23" t="e">
        <f>VLOOKUP(H6159,'合同综合查询数据（3月返）'!$A:$A,1,FALSE)</f>
        <v>#N/A</v>
      </c>
      <c r="J6159" s="448" t="s">
        <v>8196</v>
      </c>
      <c r="K6159" s="447" t="s">
        <v>8224</v>
      </c>
      <c r="L6159" s="189"/>
      <c r="M6159" s="449" t="s">
        <v>8225</v>
      </c>
      <c r="N6159" s="450">
        <v>42976</v>
      </c>
      <c r="O6159" s="450" t="s">
        <v>457</v>
      </c>
      <c r="P6159" s="451">
        <v>8000</v>
      </c>
      <c r="Q6159" s="451">
        <v>1</v>
      </c>
      <c r="R6159" s="455">
        <f t="shared" si="143"/>
        <v>8000</v>
      </c>
      <c r="S6159" s="456">
        <v>202303</v>
      </c>
      <c r="T6159" s="184"/>
      <c r="U6159" s="457"/>
      <c r="V6159" s="458"/>
      <c r="W6159" s="458"/>
      <c r="X6159" s="190">
        <v>44743</v>
      </c>
      <c r="Y6159" s="467">
        <v>45107</v>
      </c>
    </row>
    <row r="6160" s="9" customFormat="1" customHeight="1" spans="1:25">
      <c r="A6160" s="446" t="s">
        <v>403</v>
      </c>
      <c r="B6160" s="446" t="s">
        <v>8192</v>
      </c>
      <c r="C6160" s="446" t="s">
        <v>63</v>
      </c>
      <c r="D6160" s="446" t="s">
        <v>6237</v>
      </c>
      <c r="E6160" s="105" t="s">
        <v>8193</v>
      </c>
      <c r="F6160" s="446" t="s">
        <v>8194</v>
      </c>
      <c r="G6160" s="447" t="s">
        <v>88</v>
      </c>
      <c r="H6160" s="19" t="s">
        <v>8199</v>
      </c>
      <c r="I6160" s="23" t="e">
        <f>VLOOKUP(H6160,'合同综合查询数据（3月返）'!$A:$A,1,FALSE)</f>
        <v>#N/A</v>
      </c>
      <c r="J6160" s="448" t="s">
        <v>8196</v>
      </c>
      <c r="K6160" s="447" t="s">
        <v>8224</v>
      </c>
      <c r="L6160" s="189"/>
      <c r="M6160" s="449" t="s">
        <v>8225</v>
      </c>
      <c r="N6160" s="450">
        <v>42986</v>
      </c>
      <c r="O6160" s="450" t="s">
        <v>457</v>
      </c>
      <c r="P6160" s="451">
        <v>8000</v>
      </c>
      <c r="Q6160" s="451">
        <v>1</v>
      </c>
      <c r="R6160" s="455">
        <f t="shared" si="143"/>
        <v>8000</v>
      </c>
      <c r="S6160" s="456">
        <v>202303</v>
      </c>
      <c r="T6160" s="184"/>
      <c r="U6160" s="457"/>
      <c r="V6160" s="458"/>
      <c r="W6160" s="458"/>
      <c r="X6160" s="190">
        <v>44743</v>
      </c>
      <c r="Y6160" s="467">
        <v>45107</v>
      </c>
    </row>
    <row r="6161" s="9" customFormat="1" customHeight="1" spans="1:25">
      <c r="A6161" s="446" t="s">
        <v>403</v>
      </c>
      <c r="B6161" s="446" t="s">
        <v>8192</v>
      </c>
      <c r="C6161" s="446" t="s">
        <v>63</v>
      </c>
      <c r="D6161" s="446" t="s">
        <v>6237</v>
      </c>
      <c r="E6161" s="105" t="s">
        <v>8193</v>
      </c>
      <c r="F6161" s="446" t="s">
        <v>8194</v>
      </c>
      <c r="G6161" s="447" t="s">
        <v>88</v>
      </c>
      <c r="H6161" s="19" t="s">
        <v>8199</v>
      </c>
      <c r="I6161" s="23" t="e">
        <f>VLOOKUP(H6161,'合同综合查询数据（3月返）'!$A:$A,1,FALSE)</f>
        <v>#N/A</v>
      </c>
      <c r="J6161" s="448" t="s">
        <v>8196</v>
      </c>
      <c r="K6161" s="447" t="s">
        <v>8224</v>
      </c>
      <c r="L6161" s="189"/>
      <c r="M6161" s="449" t="s">
        <v>8225</v>
      </c>
      <c r="N6161" s="450">
        <v>43003</v>
      </c>
      <c r="O6161" s="450" t="s">
        <v>457</v>
      </c>
      <c r="P6161" s="451">
        <v>8000</v>
      </c>
      <c r="Q6161" s="451">
        <v>17</v>
      </c>
      <c r="R6161" s="455">
        <f t="shared" si="143"/>
        <v>136000</v>
      </c>
      <c r="S6161" s="456">
        <v>202303</v>
      </c>
      <c r="T6161" s="184"/>
      <c r="U6161" s="457"/>
      <c r="V6161" s="458"/>
      <c r="W6161" s="458"/>
      <c r="X6161" s="190">
        <v>44743</v>
      </c>
      <c r="Y6161" s="467">
        <v>45107</v>
      </c>
    </row>
    <row r="6162" s="9" customFormat="1" customHeight="1" spans="1:25">
      <c r="A6162" s="446" t="s">
        <v>403</v>
      </c>
      <c r="B6162" s="446" t="s">
        <v>8192</v>
      </c>
      <c r="C6162" s="446" t="s">
        <v>63</v>
      </c>
      <c r="D6162" s="446" t="s">
        <v>6237</v>
      </c>
      <c r="E6162" s="105" t="s">
        <v>8193</v>
      </c>
      <c r="F6162" s="446" t="s">
        <v>8194</v>
      </c>
      <c r="G6162" s="447" t="s">
        <v>88</v>
      </c>
      <c r="H6162" s="19" t="s">
        <v>8199</v>
      </c>
      <c r="I6162" s="23" t="e">
        <f>VLOOKUP(H6162,'合同综合查询数据（3月返）'!$A:$A,1,FALSE)</f>
        <v>#N/A</v>
      </c>
      <c r="J6162" s="448" t="s">
        <v>8196</v>
      </c>
      <c r="K6162" s="447" t="s">
        <v>8224</v>
      </c>
      <c r="L6162" s="189"/>
      <c r="M6162" s="449" t="s">
        <v>8225</v>
      </c>
      <c r="N6162" s="450">
        <v>43007</v>
      </c>
      <c r="O6162" s="450" t="s">
        <v>457</v>
      </c>
      <c r="P6162" s="451">
        <v>8000</v>
      </c>
      <c r="Q6162" s="451">
        <v>2</v>
      </c>
      <c r="R6162" s="455">
        <f t="shared" si="143"/>
        <v>16000</v>
      </c>
      <c r="S6162" s="456">
        <v>202303</v>
      </c>
      <c r="T6162" s="184"/>
      <c r="U6162" s="457"/>
      <c r="V6162" s="458"/>
      <c r="W6162" s="458"/>
      <c r="X6162" s="190">
        <v>44743</v>
      </c>
      <c r="Y6162" s="467">
        <v>45107</v>
      </c>
    </row>
    <row r="6163" s="9" customFormat="1" customHeight="1" spans="1:25">
      <c r="A6163" s="446" t="s">
        <v>403</v>
      </c>
      <c r="B6163" s="446" t="s">
        <v>8192</v>
      </c>
      <c r="C6163" s="446" t="s">
        <v>63</v>
      </c>
      <c r="D6163" s="446" t="s">
        <v>6237</v>
      </c>
      <c r="E6163" s="105" t="s">
        <v>8193</v>
      </c>
      <c r="F6163" s="446" t="s">
        <v>8194</v>
      </c>
      <c r="G6163" s="447" t="s">
        <v>88</v>
      </c>
      <c r="H6163" s="19" t="s">
        <v>8199</v>
      </c>
      <c r="I6163" s="23" t="e">
        <f>VLOOKUP(H6163,'合同综合查询数据（3月返）'!$A:$A,1,FALSE)</f>
        <v>#N/A</v>
      </c>
      <c r="J6163" s="448" t="s">
        <v>8196</v>
      </c>
      <c r="K6163" s="447" t="s">
        <v>8224</v>
      </c>
      <c r="L6163" s="189"/>
      <c r="M6163" s="449" t="s">
        <v>8225</v>
      </c>
      <c r="N6163" s="450">
        <v>43017</v>
      </c>
      <c r="O6163" s="450" t="s">
        <v>457</v>
      </c>
      <c r="P6163" s="451">
        <v>8000</v>
      </c>
      <c r="Q6163" s="451">
        <v>1</v>
      </c>
      <c r="R6163" s="455">
        <f t="shared" si="143"/>
        <v>8000</v>
      </c>
      <c r="S6163" s="456">
        <v>202303</v>
      </c>
      <c r="T6163" s="184"/>
      <c r="U6163" s="457"/>
      <c r="V6163" s="458"/>
      <c r="W6163" s="458"/>
      <c r="X6163" s="190">
        <v>44743</v>
      </c>
      <c r="Y6163" s="467">
        <v>45107</v>
      </c>
    </row>
    <row r="6164" s="9" customFormat="1" customHeight="1" spans="1:25">
      <c r="A6164" s="446" t="s">
        <v>403</v>
      </c>
      <c r="B6164" s="446" t="s">
        <v>8192</v>
      </c>
      <c r="C6164" s="446" t="s">
        <v>63</v>
      </c>
      <c r="D6164" s="446" t="s">
        <v>6237</v>
      </c>
      <c r="E6164" s="105" t="s">
        <v>8193</v>
      </c>
      <c r="F6164" s="446" t="s">
        <v>8194</v>
      </c>
      <c r="G6164" s="447" t="s">
        <v>88</v>
      </c>
      <c r="H6164" s="19" t="s">
        <v>8199</v>
      </c>
      <c r="I6164" s="23" t="e">
        <f>VLOOKUP(H6164,'合同综合查询数据（3月返）'!$A:$A,1,FALSE)</f>
        <v>#N/A</v>
      </c>
      <c r="J6164" s="448" t="s">
        <v>8196</v>
      </c>
      <c r="K6164" s="447" t="s">
        <v>8224</v>
      </c>
      <c r="L6164" s="189"/>
      <c r="M6164" s="449" t="s">
        <v>8225</v>
      </c>
      <c r="N6164" s="450">
        <v>43074</v>
      </c>
      <c r="O6164" s="450" t="s">
        <v>457</v>
      </c>
      <c r="P6164" s="451">
        <v>8000</v>
      </c>
      <c r="Q6164" s="451">
        <v>1</v>
      </c>
      <c r="R6164" s="455">
        <f t="shared" si="143"/>
        <v>8000</v>
      </c>
      <c r="S6164" s="456">
        <v>202303</v>
      </c>
      <c r="T6164" s="184"/>
      <c r="U6164" s="457"/>
      <c r="V6164" s="458"/>
      <c r="W6164" s="458"/>
      <c r="X6164" s="190">
        <v>44743</v>
      </c>
      <c r="Y6164" s="467">
        <v>45107</v>
      </c>
    </row>
    <row r="6165" s="9" customFormat="1" customHeight="1" spans="1:25">
      <c r="A6165" s="446" t="s">
        <v>403</v>
      </c>
      <c r="B6165" s="446" t="s">
        <v>8192</v>
      </c>
      <c r="C6165" s="446" t="s">
        <v>63</v>
      </c>
      <c r="D6165" s="446" t="s">
        <v>6237</v>
      </c>
      <c r="E6165" s="105" t="s">
        <v>8193</v>
      </c>
      <c r="F6165" s="446" t="s">
        <v>8194</v>
      </c>
      <c r="G6165" s="447" t="s">
        <v>88</v>
      </c>
      <c r="H6165" s="19" t="s">
        <v>8199</v>
      </c>
      <c r="I6165" s="23" t="e">
        <f>VLOOKUP(H6165,'合同综合查询数据（3月返）'!$A:$A,1,FALSE)</f>
        <v>#N/A</v>
      </c>
      <c r="J6165" s="448" t="s">
        <v>8196</v>
      </c>
      <c r="K6165" s="447" t="s">
        <v>8224</v>
      </c>
      <c r="L6165" s="189"/>
      <c r="M6165" s="449" t="s">
        <v>8225</v>
      </c>
      <c r="N6165" s="450">
        <v>43120</v>
      </c>
      <c r="O6165" s="450" t="s">
        <v>457</v>
      </c>
      <c r="P6165" s="451">
        <v>8000</v>
      </c>
      <c r="Q6165" s="451">
        <v>2</v>
      </c>
      <c r="R6165" s="455">
        <f t="shared" si="143"/>
        <v>16000</v>
      </c>
      <c r="S6165" s="456">
        <v>202303</v>
      </c>
      <c r="T6165" s="184"/>
      <c r="U6165" s="457"/>
      <c r="V6165" s="458"/>
      <c r="W6165" s="458"/>
      <c r="X6165" s="190">
        <v>44743</v>
      </c>
      <c r="Y6165" s="467">
        <v>45107</v>
      </c>
    </row>
    <row r="6166" s="9" customFormat="1" customHeight="1" spans="1:25">
      <c r="A6166" s="446" t="s">
        <v>403</v>
      </c>
      <c r="B6166" s="446" t="s">
        <v>8192</v>
      </c>
      <c r="C6166" s="446" t="s">
        <v>63</v>
      </c>
      <c r="D6166" s="446" t="s">
        <v>6237</v>
      </c>
      <c r="E6166" s="105" t="s">
        <v>8193</v>
      </c>
      <c r="F6166" s="446" t="s">
        <v>8194</v>
      </c>
      <c r="G6166" s="447" t="s">
        <v>88</v>
      </c>
      <c r="H6166" s="19" t="s">
        <v>8199</v>
      </c>
      <c r="I6166" s="23" t="e">
        <f>VLOOKUP(H6166,'合同综合查询数据（3月返）'!$A:$A,1,FALSE)</f>
        <v>#N/A</v>
      </c>
      <c r="J6166" s="448" t="s">
        <v>8196</v>
      </c>
      <c r="K6166" s="447" t="s">
        <v>8224</v>
      </c>
      <c r="L6166" s="189"/>
      <c r="M6166" s="449" t="s">
        <v>8225</v>
      </c>
      <c r="N6166" s="450">
        <v>43257</v>
      </c>
      <c r="O6166" s="450" t="s">
        <v>457</v>
      </c>
      <c r="P6166" s="451">
        <v>8000</v>
      </c>
      <c r="Q6166" s="451">
        <v>2</v>
      </c>
      <c r="R6166" s="455">
        <f t="shared" si="143"/>
        <v>16000</v>
      </c>
      <c r="S6166" s="456">
        <v>202303</v>
      </c>
      <c r="T6166" s="184"/>
      <c r="U6166" s="457"/>
      <c r="V6166" s="458"/>
      <c r="W6166" s="458"/>
      <c r="X6166" s="190">
        <v>44743</v>
      </c>
      <c r="Y6166" s="467">
        <v>45107</v>
      </c>
    </row>
    <row r="6167" s="9" customFormat="1" customHeight="1" spans="1:25">
      <c r="A6167" s="446" t="s">
        <v>403</v>
      </c>
      <c r="B6167" s="446" t="s">
        <v>8192</v>
      </c>
      <c r="C6167" s="446" t="s">
        <v>63</v>
      </c>
      <c r="D6167" s="446" t="s">
        <v>6237</v>
      </c>
      <c r="E6167" s="105" t="s">
        <v>8193</v>
      </c>
      <c r="F6167" s="446" t="s">
        <v>8194</v>
      </c>
      <c r="G6167" s="447" t="s">
        <v>88</v>
      </c>
      <c r="H6167" s="19" t="s">
        <v>8199</v>
      </c>
      <c r="I6167" s="23" t="e">
        <f>VLOOKUP(H6167,'合同综合查询数据（3月返）'!$A:$A,1,FALSE)</f>
        <v>#N/A</v>
      </c>
      <c r="J6167" s="448" t="s">
        <v>8196</v>
      </c>
      <c r="K6167" s="447" t="s">
        <v>8224</v>
      </c>
      <c r="L6167" s="189"/>
      <c r="M6167" s="449" t="s">
        <v>8225</v>
      </c>
      <c r="N6167" s="450">
        <v>43271</v>
      </c>
      <c r="O6167" s="450" t="s">
        <v>457</v>
      </c>
      <c r="P6167" s="451">
        <v>8000</v>
      </c>
      <c r="Q6167" s="451">
        <v>1</v>
      </c>
      <c r="R6167" s="455">
        <f t="shared" si="143"/>
        <v>8000</v>
      </c>
      <c r="S6167" s="456">
        <v>202303</v>
      </c>
      <c r="T6167" s="184"/>
      <c r="U6167" s="457"/>
      <c r="V6167" s="458"/>
      <c r="W6167" s="458"/>
      <c r="X6167" s="190">
        <v>44743</v>
      </c>
      <c r="Y6167" s="467">
        <v>45107</v>
      </c>
    </row>
    <row r="6168" s="9" customFormat="1" customHeight="1" spans="1:25">
      <c r="A6168" s="446" t="s">
        <v>403</v>
      </c>
      <c r="B6168" s="446" t="s">
        <v>8192</v>
      </c>
      <c r="C6168" s="446" t="s">
        <v>63</v>
      </c>
      <c r="D6168" s="446" t="s">
        <v>6237</v>
      </c>
      <c r="E6168" s="105" t="s">
        <v>8193</v>
      </c>
      <c r="F6168" s="446" t="s">
        <v>8194</v>
      </c>
      <c r="G6168" s="447" t="s">
        <v>88</v>
      </c>
      <c r="H6168" s="19" t="s">
        <v>8199</v>
      </c>
      <c r="I6168" s="23" t="e">
        <f>VLOOKUP(H6168,'合同综合查询数据（3月返）'!$A:$A,1,FALSE)</f>
        <v>#N/A</v>
      </c>
      <c r="J6168" s="448" t="s">
        <v>8196</v>
      </c>
      <c r="K6168" s="447" t="s">
        <v>8224</v>
      </c>
      <c r="L6168" s="189"/>
      <c r="M6168" s="449" t="s">
        <v>8225</v>
      </c>
      <c r="N6168" s="450">
        <v>43298</v>
      </c>
      <c r="O6168" s="450" t="s">
        <v>457</v>
      </c>
      <c r="P6168" s="451">
        <v>8000</v>
      </c>
      <c r="Q6168" s="451">
        <v>17</v>
      </c>
      <c r="R6168" s="455">
        <f t="shared" si="143"/>
        <v>136000</v>
      </c>
      <c r="S6168" s="456">
        <v>202303</v>
      </c>
      <c r="T6168" s="184"/>
      <c r="U6168" s="457"/>
      <c r="V6168" s="458"/>
      <c r="W6168" s="458"/>
      <c r="X6168" s="190">
        <v>44743</v>
      </c>
      <c r="Y6168" s="467">
        <v>45107</v>
      </c>
    </row>
    <row r="6169" s="9" customFormat="1" customHeight="1" spans="1:25">
      <c r="A6169" s="446" t="s">
        <v>403</v>
      </c>
      <c r="B6169" s="446" t="s">
        <v>8192</v>
      </c>
      <c r="C6169" s="446" t="s">
        <v>63</v>
      </c>
      <c r="D6169" s="446" t="s">
        <v>6237</v>
      </c>
      <c r="E6169" s="105" t="s">
        <v>8193</v>
      </c>
      <c r="F6169" s="446" t="s">
        <v>8194</v>
      </c>
      <c r="G6169" s="447" t="s">
        <v>88</v>
      </c>
      <c r="H6169" s="19" t="s">
        <v>8199</v>
      </c>
      <c r="I6169" s="23" t="e">
        <f>VLOOKUP(H6169,'合同综合查询数据（3月返）'!$A:$A,1,FALSE)</f>
        <v>#N/A</v>
      </c>
      <c r="J6169" s="448" t="s">
        <v>8196</v>
      </c>
      <c r="K6169" s="447" t="s">
        <v>8224</v>
      </c>
      <c r="L6169" s="189"/>
      <c r="M6169" s="449" t="s">
        <v>8225</v>
      </c>
      <c r="N6169" s="450">
        <v>43426</v>
      </c>
      <c r="O6169" s="450" t="s">
        <v>457</v>
      </c>
      <c r="P6169" s="451">
        <v>8000</v>
      </c>
      <c r="Q6169" s="451">
        <v>1</v>
      </c>
      <c r="R6169" s="455">
        <f t="shared" si="143"/>
        <v>8000</v>
      </c>
      <c r="S6169" s="456">
        <v>202303</v>
      </c>
      <c r="T6169" s="184"/>
      <c r="U6169" s="457"/>
      <c r="V6169" s="458"/>
      <c r="W6169" s="458"/>
      <c r="X6169" s="190">
        <v>44743</v>
      </c>
      <c r="Y6169" s="467">
        <v>45107</v>
      </c>
    </row>
    <row r="6170" s="9" customFormat="1" customHeight="1" spans="1:25">
      <c r="A6170" s="446" t="s">
        <v>403</v>
      </c>
      <c r="B6170" s="446" t="s">
        <v>8192</v>
      </c>
      <c r="C6170" s="446" t="s">
        <v>63</v>
      </c>
      <c r="D6170" s="446" t="s">
        <v>6237</v>
      </c>
      <c r="E6170" s="105" t="s">
        <v>8193</v>
      </c>
      <c r="F6170" s="446" t="s">
        <v>8194</v>
      </c>
      <c r="G6170" s="447" t="s">
        <v>88</v>
      </c>
      <c r="H6170" s="19" t="s">
        <v>8199</v>
      </c>
      <c r="I6170" s="23" t="e">
        <f>VLOOKUP(H6170,'合同综合查询数据（3月返）'!$A:$A,1,FALSE)</f>
        <v>#N/A</v>
      </c>
      <c r="J6170" s="448" t="s">
        <v>8196</v>
      </c>
      <c r="K6170" s="447" t="s">
        <v>8224</v>
      </c>
      <c r="L6170" s="189"/>
      <c r="M6170" s="449" t="s">
        <v>8225</v>
      </c>
      <c r="N6170" s="450">
        <v>43110</v>
      </c>
      <c r="O6170" s="450" t="s">
        <v>457</v>
      </c>
      <c r="P6170" s="451">
        <v>8000</v>
      </c>
      <c r="Q6170" s="451">
        <v>-5</v>
      </c>
      <c r="R6170" s="455">
        <f t="shared" si="143"/>
        <v>-40000</v>
      </c>
      <c r="S6170" s="456">
        <v>202303</v>
      </c>
      <c r="T6170" s="184" t="s">
        <v>8229</v>
      </c>
      <c r="U6170" s="457"/>
      <c r="V6170" s="458"/>
      <c r="W6170" s="458"/>
      <c r="X6170" s="190">
        <v>44743</v>
      </c>
      <c r="Y6170" s="467">
        <v>45107</v>
      </c>
    </row>
    <row r="6171" s="9" customFormat="1" customHeight="1" spans="1:25">
      <c r="A6171" s="446" t="s">
        <v>403</v>
      </c>
      <c r="B6171" s="446" t="s">
        <v>8192</v>
      </c>
      <c r="C6171" s="446" t="s">
        <v>63</v>
      </c>
      <c r="D6171" s="446" t="s">
        <v>6237</v>
      </c>
      <c r="E6171" s="105" t="s">
        <v>8193</v>
      </c>
      <c r="F6171" s="446" t="s">
        <v>8194</v>
      </c>
      <c r="G6171" s="447" t="s">
        <v>88</v>
      </c>
      <c r="H6171" s="19" t="s">
        <v>8199</v>
      </c>
      <c r="I6171" s="23" t="e">
        <f>VLOOKUP(H6171,'合同综合查询数据（3月返）'!$A:$A,1,FALSE)</f>
        <v>#N/A</v>
      </c>
      <c r="J6171" s="448" t="s">
        <v>8196</v>
      </c>
      <c r="K6171" s="447" t="s">
        <v>8224</v>
      </c>
      <c r="L6171" s="189"/>
      <c r="M6171" s="449" t="s">
        <v>8225</v>
      </c>
      <c r="N6171" s="450">
        <v>43628</v>
      </c>
      <c r="O6171" s="450" t="s">
        <v>457</v>
      </c>
      <c r="P6171" s="451">
        <v>8000</v>
      </c>
      <c r="Q6171" s="451">
        <v>-244</v>
      </c>
      <c r="R6171" s="455">
        <f t="shared" si="143"/>
        <v>-1952000</v>
      </c>
      <c r="S6171" s="456">
        <v>202303</v>
      </c>
      <c r="T6171" s="184" t="s">
        <v>8230</v>
      </c>
      <c r="U6171" s="457"/>
      <c r="V6171" s="458"/>
      <c r="W6171" s="458"/>
      <c r="X6171" s="190">
        <v>44743</v>
      </c>
      <c r="Y6171" s="467">
        <v>45107</v>
      </c>
    </row>
    <row r="6172" s="9" customFormat="1" customHeight="1" spans="1:25">
      <c r="A6172" s="446" t="s">
        <v>403</v>
      </c>
      <c r="B6172" s="446" t="s">
        <v>8192</v>
      </c>
      <c r="C6172" s="446" t="s">
        <v>63</v>
      </c>
      <c r="D6172" s="446" t="s">
        <v>6237</v>
      </c>
      <c r="E6172" s="105" t="s">
        <v>8193</v>
      </c>
      <c r="F6172" s="446" t="s">
        <v>8194</v>
      </c>
      <c r="G6172" s="447" t="s">
        <v>88</v>
      </c>
      <c r="H6172" s="19" t="s">
        <v>8199</v>
      </c>
      <c r="I6172" s="23" t="e">
        <f>VLOOKUP(H6172,'合同综合查询数据（3月返）'!$A:$A,1,FALSE)</f>
        <v>#N/A</v>
      </c>
      <c r="J6172" s="448" t="s">
        <v>8196</v>
      </c>
      <c r="K6172" s="447" t="s">
        <v>8224</v>
      </c>
      <c r="L6172" s="189"/>
      <c r="M6172" s="449" t="s">
        <v>8225</v>
      </c>
      <c r="N6172" s="450">
        <v>43640</v>
      </c>
      <c r="O6172" s="450" t="s">
        <v>457</v>
      </c>
      <c r="P6172" s="451">
        <v>8000</v>
      </c>
      <c r="Q6172" s="451">
        <v>45</v>
      </c>
      <c r="R6172" s="455">
        <f t="shared" si="143"/>
        <v>360000</v>
      </c>
      <c r="S6172" s="456">
        <v>202303</v>
      </c>
      <c r="T6172" s="184" t="s">
        <v>8231</v>
      </c>
      <c r="U6172" s="457"/>
      <c r="V6172" s="458"/>
      <c r="W6172" s="458"/>
      <c r="X6172" s="190">
        <v>44743</v>
      </c>
      <c r="Y6172" s="467">
        <v>45107</v>
      </c>
    </row>
    <row r="6173" s="9" customFormat="1" customHeight="1" spans="1:25">
      <c r="A6173" s="446" t="s">
        <v>403</v>
      </c>
      <c r="B6173" s="446" t="s">
        <v>8192</v>
      </c>
      <c r="C6173" s="446" t="s">
        <v>63</v>
      </c>
      <c r="D6173" s="446" t="s">
        <v>6237</v>
      </c>
      <c r="E6173" s="105" t="s">
        <v>8193</v>
      </c>
      <c r="F6173" s="446" t="s">
        <v>8194</v>
      </c>
      <c r="G6173" s="447" t="s">
        <v>88</v>
      </c>
      <c r="H6173" s="19" t="s">
        <v>8199</v>
      </c>
      <c r="I6173" s="23" t="e">
        <f>VLOOKUP(H6173,'合同综合查询数据（3月返）'!$A:$A,1,FALSE)</f>
        <v>#N/A</v>
      </c>
      <c r="J6173" s="448" t="s">
        <v>8196</v>
      </c>
      <c r="K6173" s="447" t="s">
        <v>8224</v>
      </c>
      <c r="L6173" s="189"/>
      <c r="M6173" s="449" t="s">
        <v>8225</v>
      </c>
      <c r="N6173" s="450">
        <v>43641</v>
      </c>
      <c r="O6173" s="450" t="s">
        <v>457</v>
      </c>
      <c r="P6173" s="451">
        <v>8000</v>
      </c>
      <c r="Q6173" s="451">
        <v>-324</v>
      </c>
      <c r="R6173" s="455">
        <f t="shared" si="143"/>
        <v>-2592000</v>
      </c>
      <c r="S6173" s="456">
        <v>202303</v>
      </c>
      <c r="T6173" s="184" t="s">
        <v>8232</v>
      </c>
      <c r="U6173" s="457"/>
      <c r="V6173" s="458"/>
      <c r="W6173" s="458"/>
      <c r="X6173" s="190">
        <v>44743</v>
      </c>
      <c r="Y6173" s="467">
        <v>45107</v>
      </c>
    </row>
    <row r="6174" s="9" customFormat="1" customHeight="1" spans="1:25">
      <c r="A6174" s="446" t="s">
        <v>403</v>
      </c>
      <c r="B6174" s="446" t="s">
        <v>8192</v>
      </c>
      <c r="C6174" s="446" t="s">
        <v>63</v>
      </c>
      <c r="D6174" s="446" t="s">
        <v>6237</v>
      </c>
      <c r="E6174" s="105" t="s">
        <v>8193</v>
      </c>
      <c r="F6174" s="446" t="s">
        <v>8194</v>
      </c>
      <c r="G6174" s="447" t="s">
        <v>88</v>
      </c>
      <c r="H6174" s="19" t="s">
        <v>8199</v>
      </c>
      <c r="I6174" s="23" t="e">
        <f>VLOOKUP(H6174,'合同综合查询数据（3月返）'!$A:$A,1,FALSE)</f>
        <v>#N/A</v>
      </c>
      <c r="J6174" s="448" t="s">
        <v>8196</v>
      </c>
      <c r="K6174" s="447" t="s">
        <v>8224</v>
      </c>
      <c r="L6174" s="189"/>
      <c r="M6174" s="449" t="s">
        <v>8225</v>
      </c>
      <c r="N6174" s="450">
        <v>43644</v>
      </c>
      <c r="O6174" s="450" t="s">
        <v>457</v>
      </c>
      <c r="P6174" s="451">
        <v>8000</v>
      </c>
      <c r="Q6174" s="451">
        <v>-53</v>
      </c>
      <c r="R6174" s="455">
        <f t="shared" si="143"/>
        <v>-424000</v>
      </c>
      <c r="S6174" s="456">
        <v>202303</v>
      </c>
      <c r="T6174" s="184" t="s">
        <v>8233</v>
      </c>
      <c r="U6174" s="457"/>
      <c r="V6174" s="458"/>
      <c r="W6174" s="458"/>
      <c r="X6174" s="190">
        <v>44743</v>
      </c>
      <c r="Y6174" s="467">
        <v>45107</v>
      </c>
    </row>
    <row r="6175" s="9" customFormat="1" customHeight="1" spans="1:25">
      <c r="A6175" s="446" t="s">
        <v>403</v>
      </c>
      <c r="B6175" s="446" t="s">
        <v>8192</v>
      </c>
      <c r="C6175" s="446" t="s">
        <v>63</v>
      </c>
      <c r="D6175" s="446" t="s">
        <v>6237</v>
      </c>
      <c r="E6175" s="105" t="s">
        <v>8193</v>
      </c>
      <c r="F6175" s="446" t="s">
        <v>8194</v>
      </c>
      <c r="G6175" s="447" t="s">
        <v>88</v>
      </c>
      <c r="H6175" s="19" t="s">
        <v>8199</v>
      </c>
      <c r="I6175" s="23" t="e">
        <f>VLOOKUP(H6175,'合同综合查询数据（3月返）'!$A:$A,1,FALSE)</f>
        <v>#N/A</v>
      </c>
      <c r="J6175" s="448" t="s">
        <v>8196</v>
      </c>
      <c r="K6175" s="447" t="s">
        <v>8224</v>
      </c>
      <c r="L6175" s="189"/>
      <c r="M6175" s="449" t="s">
        <v>8225</v>
      </c>
      <c r="N6175" s="450">
        <v>43648</v>
      </c>
      <c r="O6175" s="450" t="s">
        <v>457</v>
      </c>
      <c r="P6175" s="451">
        <v>8000</v>
      </c>
      <c r="Q6175" s="451">
        <v>-117</v>
      </c>
      <c r="R6175" s="455">
        <f t="shared" si="143"/>
        <v>-936000</v>
      </c>
      <c r="S6175" s="456">
        <v>202303</v>
      </c>
      <c r="T6175" s="184" t="s">
        <v>8234</v>
      </c>
      <c r="U6175" s="457"/>
      <c r="V6175" s="458"/>
      <c r="W6175" s="458"/>
      <c r="X6175" s="190">
        <v>44743</v>
      </c>
      <c r="Y6175" s="467">
        <v>45107</v>
      </c>
    </row>
    <row r="6176" s="9" customFormat="1" customHeight="1" spans="1:25">
      <c r="A6176" s="446" t="s">
        <v>403</v>
      </c>
      <c r="B6176" s="446" t="s">
        <v>8192</v>
      </c>
      <c r="C6176" s="446" t="s">
        <v>63</v>
      </c>
      <c r="D6176" s="446" t="s">
        <v>6237</v>
      </c>
      <c r="E6176" s="105" t="s">
        <v>8193</v>
      </c>
      <c r="F6176" s="446" t="s">
        <v>8194</v>
      </c>
      <c r="G6176" s="447" t="s">
        <v>88</v>
      </c>
      <c r="H6176" s="19" t="s">
        <v>8199</v>
      </c>
      <c r="I6176" s="23" t="e">
        <f>VLOOKUP(H6176,'合同综合查询数据（3月返）'!$A:$A,1,FALSE)</f>
        <v>#N/A</v>
      </c>
      <c r="J6176" s="448" t="s">
        <v>8196</v>
      </c>
      <c r="K6176" s="447" t="s">
        <v>8224</v>
      </c>
      <c r="L6176" s="189"/>
      <c r="M6176" s="449" t="s">
        <v>8225</v>
      </c>
      <c r="N6176" s="450">
        <v>43648</v>
      </c>
      <c r="O6176" s="450" t="s">
        <v>457</v>
      </c>
      <c r="P6176" s="451">
        <v>8000</v>
      </c>
      <c r="Q6176" s="451">
        <v>-4</v>
      </c>
      <c r="R6176" s="455">
        <f t="shared" si="143"/>
        <v>-32000</v>
      </c>
      <c r="S6176" s="456">
        <v>202303</v>
      </c>
      <c r="T6176" s="184" t="s">
        <v>8235</v>
      </c>
      <c r="U6176" s="457"/>
      <c r="V6176" s="458"/>
      <c r="W6176" s="458"/>
      <c r="X6176" s="190">
        <v>44743</v>
      </c>
      <c r="Y6176" s="467">
        <v>45107</v>
      </c>
    </row>
    <row r="6177" s="9" customFormat="1" customHeight="1" spans="1:25">
      <c r="A6177" s="446" t="s">
        <v>403</v>
      </c>
      <c r="B6177" s="446" t="s">
        <v>8192</v>
      </c>
      <c r="C6177" s="446" t="s">
        <v>63</v>
      </c>
      <c r="D6177" s="446" t="s">
        <v>6237</v>
      </c>
      <c r="E6177" s="105" t="s">
        <v>8193</v>
      </c>
      <c r="F6177" s="446" t="s">
        <v>8194</v>
      </c>
      <c r="G6177" s="447" t="s">
        <v>88</v>
      </c>
      <c r="H6177" s="19" t="s">
        <v>8199</v>
      </c>
      <c r="I6177" s="23" t="e">
        <f>VLOOKUP(H6177,'合同综合查询数据（3月返）'!$A:$A,1,FALSE)</f>
        <v>#N/A</v>
      </c>
      <c r="J6177" s="448" t="s">
        <v>8196</v>
      </c>
      <c r="K6177" s="447" t="s">
        <v>8224</v>
      </c>
      <c r="L6177" s="189"/>
      <c r="M6177" s="449" t="s">
        <v>8225</v>
      </c>
      <c r="N6177" s="450">
        <v>43650</v>
      </c>
      <c r="O6177" s="450" t="s">
        <v>457</v>
      </c>
      <c r="P6177" s="451">
        <v>8000</v>
      </c>
      <c r="Q6177" s="451">
        <v>43</v>
      </c>
      <c r="R6177" s="455">
        <f t="shared" si="143"/>
        <v>344000</v>
      </c>
      <c r="S6177" s="456">
        <v>202303</v>
      </c>
      <c r="T6177" s="184" t="s">
        <v>8236</v>
      </c>
      <c r="U6177" s="457"/>
      <c r="V6177" s="458"/>
      <c r="W6177" s="458"/>
      <c r="X6177" s="190">
        <v>44743</v>
      </c>
      <c r="Y6177" s="467">
        <v>45107</v>
      </c>
    </row>
    <row r="6178" s="9" customFormat="1" customHeight="1" spans="1:25">
      <c r="A6178" s="446" t="s">
        <v>403</v>
      </c>
      <c r="B6178" s="446" t="s">
        <v>8192</v>
      </c>
      <c r="C6178" s="446" t="s">
        <v>63</v>
      </c>
      <c r="D6178" s="446" t="s">
        <v>6237</v>
      </c>
      <c r="E6178" s="105" t="s">
        <v>8193</v>
      </c>
      <c r="F6178" s="446" t="s">
        <v>8194</v>
      </c>
      <c r="G6178" s="447" t="s">
        <v>88</v>
      </c>
      <c r="H6178" s="19" t="s">
        <v>8199</v>
      </c>
      <c r="I6178" s="23" t="e">
        <f>VLOOKUP(H6178,'合同综合查询数据（3月返）'!$A:$A,1,FALSE)</f>
        <v>#N/A</v>
      </c>
      <c r="J6178" s="448" t="s">
        <v>8196</v>
      </c>
      <c r="K6178" s="447" t="s">
        <v>8224</v>
      </c>
      <c r="L6178" s="189"/>
      <c r="M6178" s="449" t="s">
        <v>8225</v>
      </c>
      <c r="N6178" s="450">
        <v>43658</v>
      </c>
      <c r="O6178" s="450" t="s">
        <v>457</v>
      </c>
      <c r="P6178" s="451">
        <v>8000</v>
      </c>
      <c r="Q6178" s="451">
        <v>27</v>
      </c>
      <c r="R6178" s="455">
        <f t="shared" si="143"/>
        <v>216000</v>
      </c>
      <c r="S6178" s="456">
        <v>202303</v>
      </c>
      <c r="T6178" s="184" t="s">
        <v>8237</v>
      </c>
      <c r="U6178" s="457"/>
      <c r="V6178" s="458"/>
      <c r="W6178" s="458"/>
      <c r="X6178" s="190">
        <v>44743</v>
      </c>
      <c r="Y6178" s="467">
        <v>45107</v>
      </c>
    </row>
    <row r="6179" s="9" customFormat="1" customHeight="1" spans="1:25">
      <c r="A6179" s="446" t="s">
        <v>403</v>
      </c>
      <c r="B6179" s="446" t="s">
        <v>8192</v>
      </c>
      <c r="C6179" s="446" t="s">
        <v>63</v>
      </c>
      <c r="D6179" s="446" t="s">
        <v>6237</v>
      </c>
      <c r="E6179" s="105" t="s">
        <v>8193</v>
      </c>
      <c r="F6179" s="446" t="s">
        <v>8194</v>
      </c>
      <c r="G6179" s="447" t="s">
        <v>88</v>
      </c>
      <c r="H6179" s="19" t="s">
        <v>8199</v>
      </c>
      <c r="I6179" s="23" t="e">
        <f>VLOOKUP(H6179,'合同综合查询数据（3月返）'!$A:$A,1,FALSE)</f>
        <v>#N/A</v>
      </c>
      <c r="J6179" s="448" t="s">
        <v>8196</v>
      </c>
      <c r="K6179" s="447" t="s">
        <v>8224</v>
      </c>
      <c r="L6179" s="189"/>
      <c r="M6179" s="449" t="s">
        <v>8225</v>
      </c>
      <c r="N6179" s="450">
        <v>43661</v>
      </c>
      <c r="O6179" s="450" t="s">
        <v>457</v>
      </c>
      <c r="P6179" s="451">
        <v>8000</v>
      </c>
      <c r="Q6179" s="451">
        <v>127</v>
      </c>
      <c r="R6179" s="455">
        <f t="shared" si="143"/>
        <v>1016000</v>
      </c>
      <c r="S6179" s="456">
        <v>202303</v>
      </c>
      <c r="T6179" s="184" t="s">
        <v>8238</v>
      </c>
      <c r="U6179" s="457"/>
      <c r="V6179" s="458"/>
      <c r="W6179" s="458"/>
      <c r="X6179" s="190">
        <v>44743</v>
      </c>
      <c r="Y6179" s="467">
        <v>45107</v>
      </c>
    </row>
    <row r="6180" s="9" customFormat="1" customHeight="1" spans="1:25">
      <c r="A6180" s="446" t="s">
        <v>403</v>
      </c>
      <c r="B6180" s="446" t="s">
        <v>8192</v>
      </c>
      <c r="C6180" s="446" t="s">
        <v>63</v>
      </c>
      <c r="D6180" s="446" t="s">
        <v>6237</v>
      </c>
      <c r="E6180" s="105" t="s">
        <v>8193</v>
      </c>
      <c r="F6180" s="446" t="s">
        <v>8194</v>
      </c>
      <c r="G6180" s="447" t="s">
        <v>88</v>
      </c>
      <c r="H6180" s="19" t="s">
        <v>8199</v>
      </c>
      <c r="I6180" s="23" t="e">
        <f>VLOOKUP(H6180,'合同综合查询数据（3月返）'!$A:$A,1,FALSE)</f>
        <v>#N/A</v>
      </c>
      <c r="J6180" s="448" t="s">
        <v>8196</v>
      </c>
      <c r="K6180" s="447" t="s">
        <v>8224</v>
      </c>
      <c r="L6180" s="189"/>
      <c r="M6180" s="449" t="s">
        <v>8225</v>
      </c>
      <c r="N6180" s="450">
        <v>43826</v>
      </c>
      <c r="O6180" s="450" t="s">
        <v>457</v>
      </c>
      <c r="P6180" s="451">
        <v>8000</v>
      </c>
      <c r="Q6180" s="451">
        <v>-87</v>
      </c>
      <c r="R6180" s="455">
        <f t="shared" si="143"/>
        <v>-696000</v>
      </c>
      <c r="S6180" s="456">
        <v>202303</v>
      </c>
      <c r="T6180" s="184" t="s">
        <v>8239</v>
      </c>
      <c r="U6180" s="457"/>
      <c r="V6180" s="458"/>
      <c r="W6180" s="458"/>
      <c r="X6180" s="190">
        <v>44743</v>
      </c>
      <c r="Y6180" s="467">
        <v>45107</v>
      </c>
    </row>
    <row r="6181" s="9" customFormat="1" customHeight="1" spans="1:25">
      <c r="A6181" s="446" t="s">
        <v>403</v>
      </c>
      <c r="B6181" s="446" t="s">
        <v>8192</v>
      </c>
      <c r="C6181" s="446" t="s">
        <v>63</v>
      </c>
      <c r="D6181" s="446" t="s">
        <v>6237</v>
      </c>
      <c r="E6181" s="105" t="s">
        <v>8193</v>
      </c>
      <c r="F6181" s="446" t="s">
        <v>8194</v>
      </c>
      <c r="G6181" s="447" t="s">
        <v>88</v>
      </c>
      <c r="H6181" s="19" t="s">
        <v>8199</v>
      </c>
      <c r="I6181" s="23" t="e">
        <f>VLOOKUP(H6181,'合同综合查询数据（3月返）'!$A:$A,1,FALSE)</f>
        <v>#N/A</v>
      </c>
      <c r="J6181" s="448" t="s">
        <v>8196</v>
      </c>
      <c r="K6181" s="447" t="s">
        <v>8224</v>
      </c>
      <c r="L6181" s="189"/>
      <c r="M6181" s="449" t="s">
        <v>8225</v>
      </c>
      <c r="N6181" s="450">
        <v>43902</v>
      </c>
      <c r="O6181" s="450" t="s">
        <v>457</v>
      </c>
      <c r="P6181" s="451">
        <v>8000</v>
      </c>
      <c r="Q6181" s="451">
        <v>2</v>
      </c>
      <c r="R6181" s="455">
        <f t="shared" si="143"/>
        <v>16000</v>
      </c>
      <c r="S6181" s="456">
        <v>202303</v>
      </c>
      <c r="T6181" s="184" t="s">
        <v>8240</v>
      </c>
      <c r="U6181" s="457"/>
      <c r="V6181" s="458"/>
      <c r="W6181" s="458"/>
      <c r="X6181" s="190">
        <v>44743</v>
      </c>
      <c r="Y6181" s="467">
        <v>45107</v>
      </c>
    </row>
    <row r="6182" s="9" customFormat="1" customHeight="1" spans="1:25">
      <c r="A6182" s="446" t="s">
        <v>403</v>
      </c>
      <c r="B6182" s="446" t="s">
        <v>8192</v>
      </c>
      <c r="C6182" s="446" t="s">
        <v>63</v>
      </c>
      <c r="D6182" s="446" t="s">
        <v>6237</v>
      </c>
      <c r="E6182" s="105" t="s">
        <v>8193</v>
      </c>
      <c r="F6182" s="446" t="s">
        <v>8194</v>
      </c>
      <c r="G6182" s="447" t="s">
        <v>78</v>
      </c>
      <c r="H6182" s="19" t="s">
        <v>8199</v>
      </c>
      <c r="I6182" s="23" t="e">
        <f>VLOOKUP(H6182,'合同综合查询数据（3月返）'!$A:$A,1,FALSE)</f>
        <v>#N/A</v>
      </c>
      <c r="J6182" s="448" t="s">
        <v>8241</v>
      </c>
      <c r="K6182" s="447" t="s">
        <v>8224</v>
      </c>
      <c r="L6182" s="189"/>
      <c r="M6182" s="449" t="s">
        <v>8225</v>
      </c>
      <c r="N6182" s="450">
        <v>43922</v>
      </c>
      <c r="O6182" s="450"/>
      <c r="P6182" s="451">
        <v>3000</v>
      </c>
      <c r="Q6182" s="451">
        <f>485-413</f>
        <v>72</v>
      </c>
      <c r="R6182" s="455">
        <f t="shared" si="143"/>
        <v>216000</v>
      </c>
      <c r="S6182" s="456">
        <v>202303</v>
      </c>
      <c r="T6182" s="184" t="s">
        <v>8242</v>
      </c>
      <c r="U6182" s="457"/>
      <c r="V6182" s="458"/>
      <c r="W6182" s="458"/>
      <c r="X6182" s="190">
        <v>44743</v>
      </c>
      <c r="Y6182" s="467">
        <v>45107</v>
      </c>
    </row>
    <row r="6183" s="9" customFormat="1" customHeight="1" spans="1:25">
      <c r="A6183" s="446" t="s">
        <v>403</v>
      </c>
      <c r="B6183" s="446" t="s">
        <v>8192</v>
      </c>
      <c r="C6183" s="446" t="s">
        <v>63</v>
      </c>
      <c r="D6183" s="446" t="s">
        <v>6237</v>
      </c>
      <c r="E6183" s="105" t="s">
        <v>8193</v>
      </c>
      <c r="F6183" s="446" t="s">
        <v>8194</v>
      </c>
      <c r="G6183" s="447" t="s">
        <v>78</v>
      </c>
      <c r="H6183" s="19" t="s">
        <v>8199</v>
      </c>
      <c r="I6183" s="23" t="e">
        <f>VLOOKUP(H6183,'合同综合查询数据（3月返）'!$A:$A,1,FALSE)</f>
        <v>#N/A</v>
      </c>
      <c r="J6183" s="448" t="s">
        <v>8241</v>
      </c>
      <c r="K6183" s="447" t="s">
        <v>8224</v>
      </c>
      <c r="L6183" s="189"/>
      <c r="M6183" s="449" t="s">
        <v>8225</v>
      </c>
      <c r="N6183" s="450">
        <v>44651</v>
      </c>
      <c r="O6183" s="450"/>
      <c r="P6183" s="451">
        <v>3000</v>
      </c>
      <c r="Q6183" s="451">
        <v>-72</v>
      </c>
      <c r="R6183" s="455">
        <f t="shared" si="143"/>
        <v>-216000</v>
      </c>
      <c r="S6183" s="456">
        <v>202303</v>
      </c>
      <c r="T6183" s="184" t="s">
        <v>8243</v>
      </c>
      <c r="U6183" s="457"/>
      <c r="V6183" s="458"/>
      <c r="W6183" s="458"/>
      <c r="X6183" s="190">
        <v>44743</v>
      </c>
      <c r="Y6183" s="467">
        <v>45107</v>
      </c>
    </row>
    <row r="6184" s="9" customFormat="1" customHeight="1" spans="1:25">
      <c r="A6184" s="446" t="s">
        <v>403</v>
      </c>
      <c r="B6184" s="446" t="s">
        <v>8192</v>
      </c>
      <c r="C6184" s="446" t="s">
        <v>63</v>
      </c>
      <c r="D6184" s="446" t="s">
        <v>6237</v>
      </c>
      <c r="E6184" s="105" t="s">
        <v>8193</v>
      </c>
      <c r="F6184" s="446" t="s">
        <v>8194</v>
      </c>
      <c r="G6184" s="447" t="s">
        <v>31</v>
      </c>
      <c r="H6184" s="19" t="s">
        <v>8199</v>
      </c>
      <c r="I6184" s="23" t="e">
        <f>VLOOKUP(H6184,'合同综合查询数据（3月返）'!$A:$A,1,FALSE)</f>
        <v>#N/A</v>
      </c>
      <c r="J6184" s="448" t="s">
        <v>7580</v>
      </c>
      <c r="K6184" s="447" t="s">
        <v>8224</v>
      </c>
      <c r="L6184" s="189"/>
      <c r="M6184" s="449"/>
      <c r="N6184" s="450" t="s">
        <v>8244</v>
      </c>
      <c r="O6184" s="450"/>
      <c r="P6184" s="451">
        <v>50</v>
      </c>
      <c r="Q6184" s="451">
        <v>512</v>
      </c>
      <c r="R6184" s="455">
        <f t="shared" si="143"/>
        <v>25600</v>
      </c>
      <c r="S6184" s="456">
        <v>202303</v>
      </c>
      <c r="T6184" s="184"/>
      <c r="U6184" s="457"/>
      <c r="V6184" s="458"/>
      <c r="W6184" s="458"/>
      <c r="X6184" s="190">
        <v>44743</v>
      </c>
      <c r="Y6184" s="467">
        <v>45107</v>
      </c>
    </row>
    <row r="6185" s="9" customFormat="1" customHeight="1" spans="1:25">
      <c r="A6185" s="446" t="s">
        <v>403</v>
      </c>
      <c r="B6185" s="446" t="s">
        <v>8192</v>
      </c>
      <c r="C6185" s="446" t="s">
        <v>63</v>
      </c>
      <c r="D6185" s="446" t="s">
        <v>6237</v>
      </c>
      <c r="E6185" s="105" t="s">
        <v>8193</v>
      </c>
      <c r="F6185" s="446" t="s">
        <v>8194</v>
      </c>
      <c r="G6185" s="447" t="s">
        <v>78</v>
      </c>
      <c r="H6185" s="19" t="s">
        <v>8199</v>
      </c>
      <c r="I6185" s="23" t="e">
        <f>VLOOKUP(H6185,'合同综合查询数据（3月返）'!$A:$A,1,FALSE)</f>
        <v>#N/A</v>
      </c>
      <c r="J6185" s="448" t="s">
        <v>8208</v>
      </c>
      <c r="K6185" s="447" t="s">
        <v>8224</v>
      </c>
      <c r="L6185" s="189"/>
      <c r="M6185" s="449"/>
      <c r="N6185" s="450"/>
      <c r="O6185" s="450"/>
      <c r="P6185" s="451">
        <v>2000</v>
      </c>
      <c r="Q6185" s="451">
        <v>10</v>
      </c>
      <c r="R6185" s="455">
        <f t="shared" si="143"/>
        <v>20000</v>
      </c>
      <c r="S6185" s="456">
        <v>202303</v>
      </c>
      <c r="T6185" s="184"/>
      <c r="U6185" s="457"/>
      <c r="V6185" s="458"/>
      <c r="W6185" s="458"/>
      <c r="X6185" s="190">
        <v>44743</v>
      </c>
      <c r="Y6185" s="467">
        <v>45107</v>
      </c>
    </row>
    <row r="6186" s="9" customFormat="1" customHeight="1" spans="1:25">
      <c r="A6186" s="446" t="s">
        <v>403</v>
      </c>
      <c r="B6186" s="446" t="s">
        <v>8192</v>
      </c>
      <c r="C6186" s="446" t="s">
        <v>63</v>
      </c>
      <c r="D6186" s="446" t="s">
        <v>6237</v>
      </c>
      <c r="E6186" s="105" t="s">
        <v>8193</v>
      </c>
      <c r="F6186" s="446" t="s">
        <v>8194</v>
      </c>
      <c r="G6186" s="447" t="s">
        <v>78</v>
      </c>
      <c r="H6186" s="19" t="s">
        <v>8199</v>
      </c>
      <c r="I6186" s="23" t="e">
        <f>VLOOKUP(H6186,'合同综合查询数据（3月返）'!$A:$A,1,FALSE)</f>
        <v>#N/A</v>
      </c>
      <c r="J6186" s="448" t="s">
        <v>8208</v>
      </c>
      <c r="K6186" s="447" t="s">
        <v>8224</v>
      </c>
      <c r="L6186" s="189"/>
      <c r="M6186" s="449"/>
      <c r="N6186" s="450" t="s">
        <v>8209</v>
      </c>
      <c r="O6186" s="450"/>
      <c r="P6186" s="451">
        <v>2000</v>
      </c>
      <c r="Q6186" s="451">
        <v>-6</v>
      </c>
      <c r="R6186" s="455">
        <f t="shared" si="143"/>
        <v>-12000</v>
      </c>
      <c r="S6186" s="456">
        <v>202303</v>
      </c>
      <c r="T6186" s="184" t="s">
        <v>8210</v>
      </c>
      <c r="U6186" s="457"/>
      <c r="V6186" s="458"/>
      <c r="W6186" s="458"/>
      <c r="X6186" s="190">
        <v>44743</v>
      </c>
      <c r="Y6186" s="467">
        <v>45107</v>
      </c>
    </row>
    <row r="6187" s="9" customFormat="1" customHeight="1" spans="1:25">
      <c r="A6187" s="446" t="s">
        <v>403</v>
      </c>
      <c r="B6187" s="446" t="s">
        <v>8192</v>
      </c>
      <c r="C6187" s="446" t="s">
        <v>63</v>
      </c>
      <c r="D6187" s="446" t="s">
        <v>6237</v>
      </c>
      <c r="E6187" s="105" t="s">
        <v>8193</v>
      </c>
      <c r="F6187" s="446" t="s">
        <v>8194</v>
      </c>
      <c r="G6187" s="447" t="s">
        <v>67</v>
      </c>
      <c r="H6187" s="19" t="s">
        <v>8199</v>
      </c>
      <c r="I6187" s="23" t="e">
        <f>VLOOKUP(H6187,'合同综合查询数据（3月返）'!$A:$A,1,FALSE)</f>
        <v>#N/A</v>
      </c>
      <c r="J6187" s="448" t="s">
        <v>8245</v>
      </c>
      <c r="K6187" s="447" t="s">
        <v>8224</v>
      </c>
      <c r="L6187" s="189"/>
      <c r="M6187" s="449"/>
      <c r="N6187" s="450"/>
      <c r="O6187" s="450"/>
      <c r="P6187" s="451">
        <v>231250</v>
      </c>
      <c r="Q6187" s="451">
        <v>1</v>
      </c>
      <c r="R6187" s="455">
        <f t="shared" si="143"/>
        <v>231250</v>
      </c>
      <c r="S6187" s="456">
        <v>202303</v>
      </c>
      <c r="T6187" s="184"/>
      <c r="U6187" s="457"/>
      <c r="V6187" s="458"/>
      <c r="W6187" s="458"/>
      <c r="X6187" s="190">
        <v>44743</v>
      </c>
      <c r="Y6187" s="467">
        <v>45107</v>
      </c>
    </row>
    <row r="6188" s="10" customFormat="1" customHeight="1" spans="1:25">
      <c r="A6188" s="459" t="s">
        <v>403</v>
      </c>
      <c r="B6188" s="459" t="s">
        <v>8192</v>
      </c>
      <c r="C6188" s="459" t="s">
        <v>63</v>
      </c>
      <c r="D6188" s="459" t="s">
        <v>6237</v>
      </c>
      <c r="E6188" s="63" t="s">
        <v>8193</v>
      </c>
      <c r="F6188" s="459" t="s">
        <v>8194</v>
      </c>
      <c r="G6188" s="460" t="s">
        <v>31</v>
      </c>
      <c r="H6188" s="45" t="s">
        <v>8246</v>
      </c>
      <c r="I6188" s="47" t="e">
        <f>VLOOKUP(H6188,'合同综合查询数据（3月返）'!$A:$A,1,FALSE)</f>
        <v>#N/A</v>
      </c>
      <c r="J6188" s="424" t="s">
        <v>7580</v>
      </c>
      <c r="K6188" s="460" t="s">
        <v>6760</v>
      </c>
      <c r="L6188" s="429" t="s">
        <v>8247</v>
      </c>
      <c r="M6188" s="429"/>
      <c r="N6188" s="461">
        <v>44224</v>
      </c>
      <c r="O6188" s="461"/>
      <c r="P6188" s="462">
        <v>20</v>
      </c>
      <c r="Q6188" s="462">
        <v>256</v>
      </c>
      <c r="R6188" s="464">
        <f t="shared" si="143"/>
        <v>5120</v>
      </c>
      <c r="S6188" s="434">
        <v>202303</v>
      </c>
      <c r="T6188" s="168" t="s">
        <v>8248</v>
      </c>
      <c r="U6188" s="465"/>
      <c r="V6188" s="437"/>
      <c r="W6188" s="437"/>
      <c r="X6188" s="163">
        <v>44896</v>
      </c>
      <c r="Y6188" s="468"/>
    </row>
    <row r="6189" s="10" customFormat="1" customHeight="1" spans="1:25">
      <c r="A6189" s="459" t="s">
        <v>403</v>
      </c>
      <c r="B6189" s="459" t="s">
        <v>8192</v>
      </c>
      <c r="C6189" s="459" t="s">
        <v>63</v>
      </c>
      <c r="D6189" s="459" t="s">
        <v>6237</v>
      </c>
      <c r="E6189" s="63" t="s">
        <v>8193</v>
      </c>
      <c r="F6189" s="459" t="s">
        <v>8194</v>
      </c>
      <c r="G6189" s="460" t="s">
        <v>88</v>
      </c>
      <c r="H6189" s="45" t="s">
        <v>8249</v>
      </c>
      <c r="I6189" s="47" t="e">
        <f>VLOOKUP(H6189,'合同综合查询数据（3月返）'!$A:$A,1,FALSE)</f>
        <v>#N/A</v>
      </c>
      <c r="J6189" s="424" t="s">
        <v>126</v>
      </c>
      <c r="K6189" s="460" t="s">
        <v>8250</v>
      </c>
      <c r="L6189" s="162"/>
      <c r="M6189" s="429" t="s">
        <v>8251</v>
      </c>
      <c r="N6189" s="461">
        <v>42448</v>
      </c>
      <c r="O6189" s="460" t="s">
        <v>127</v>
      </c>
      <c r="P6189" s="462">
        <v>5950</v>
      </c>
      <c r="Q6189" s="462">
        <v>6</v>
      </c>
      <c r="R6189" s="464">
        <f t="shared" si="143"/>
        <v>35700</v>
      </c>
      <c r="S6189" s="434">
        <v>202303</v>
      </c>
      <c r="T6189" s="168"/>
      <c r="U6189" s="465"/>
      <c r="V6189" s="437"/>
      <c r="W6189" s="437"/>
      <c r="X6189" s="163">
        <v>44166</v>
      </c>
      <c r="Y6189" s="468"/>
    </row>
    <row r="6190" s="10" customFormat="1" customHeight="1" spans="1:25">
      <c r="A6190" s="459" t="s">
        <v>403</v>
      </c>
      <c r="B6190" s="459" t="s">
        <v>8192</v>
      </c>
      <c r="C6190" s="459" t="s">
        <v>63</v>
      </c>
      <c r="D6190" s="459" t="s">
        <v>6237</v>
      </c>
      <c r="E6190" s="63" t="s">
        <v>8193</v>
      </c>
      <c r="F6190" s="459" t="s">
        <v>8194</v>
      </c>
      <c r="G6190" s="460" t="s">
        <v>88</v>
      </c>
      <c r="H6190" s="45" t="s">
        <v>8249</v>
      </c>
      <c r="I6190" s="47" t="e">
        <f>VLOOKUP(H6190,'合同综合查询数据（3月返）'!$A:$A,1,FALSE)</f>
        <v>#N/A</v>
      </c>
      <c r="J6190" s="424" t="s">
        <v>126</v>
      </c>
      <c r="K6190" s="460" t="s">
        <v>8250</v>
      </c>
      <c r="L6190" s="162"/>
      <c r="M6190" s="429" t="s">
        <v>8251</v>
      </c>
      <c r="N6190" s="461" t="s">
        <v>8252</v>
      </c>
      <c r="O6190" s="460" t="s">
        <v>127</v>
      </c>
      <c r="P6190" s="462">
        <v>5950</v>
      </c>
      <c r="Q6190" s="462">
        <v>-6</v>
      </c>
      <c r="R6190" s="464">
        <f t="shared" si="143"/>
        <v>-35700</v>
      </c>
      <c r="S6190" s="434">
        <v>202303</v>
      </c>
      <c r="T6190" s="168"/>
      <c r="U6190" s="465"/>
      <c r="V6190" s="437"/>
      <c r="W6190" s="437"/>
      <c r="X6190" s="163">
        <v>44166</v>
      </c>
      <c r="Y6190" s="468"/>
    </row>
    <row r="6191" s="10" customFormat="1" customHeight="1" spans="1:25">
      <c r="A6191" s="459" t="s">
        <v>403</v>
      </c>
      <c r="B6191" s="459" t="s">
        <v>8192</v>
      </c>
      <c r="C6191" s="459" t="s">
        <v>63</v>
      </c>
      <c r="D6191" s="459" t="s">
        <v>6237</v>
      </c>
      <c r="E6191" s="63" t="s">
        <v>8193</v>
      </c>
      <c r="F6191" s="459" t="s">
        <v>8194</v>
      </c>
      <c r="G6191" s="460" t="s">
        <v>31</v>
      </c>
      <c r="H6191" s="45" t="s">
        <v>8246</v>
      </c>
      <c r="I6191" s="47" t="e">
        <f>VLOOKUP(H6191,'合同综合查询数据（3月返）'!$A:$A,1,FALSE)</f>
        <v>#N/A</v>
      </c>
      <c r="J6191" s="424" t="s">
        <v>7580</v>
      </c>
      <c r="K6191" s="460" t="s">
        <v>8253</v>
      </c>
      <c r="L6191" s="162"/>
      <c r="M6191" s="429"/>
      <c r="N6191" s="461">
        <v>42448</v>
      </c>
      <c r="O6191" s="461"/>
      <c r="P6191" s="462">
        <v>20</v>
      </c>
      <c r="Q6191" s="462">
        <v>512</v>
      </c>
      <c r="R6191" s="464">
        <f t="shared" si="143"/>
        <v>10240</v>
      </c>
      <c r="S6191" s="434">
        <v>202303</v>
      </c>
      <c r="T6191" s="168" t="s">
        <v>8254</v>
      </c>
      <c r="U6191" s="465"/>
      <c r="V6191" s="437"/>
      <c r="W6191" s="437"/>
      <c r="X6191" s="163">
        <v>44896</v>
      </c>
      <c r="Y6191" s="468"/>
    </row>
    <row r="6192" s="10" customFormat="1" customHeight="1" spans="1:25">
      <c r="A6192" s="459" t="s">
        <v>403</v>
      </c>
      <c r="B6192" s="459" t="s">
        <v>8192</v>
      </c>
      <c r="C6192" s="459" t="s">
        <v>63</v>
      </c>
      <c r="D6192" s="459" t="s">
        <v>6237</v>
      </c>
      <c r="E6192" s="63" t="s">
        <v>8193</v>
      </c>
      <c r="F6192" s="459" t="s">
        <v>8194</v>
      </c>
      <c r="G6192" s="460" t="s">
        <v>88</v>
      </c>
      <c r="H6192" s="45" t="s">
        <v>8246</v>
      </c>
      <c r="I6192" s="47" t="e">
        <f>VLOOKUP(H6192,'合同综合查询数据（3月返）'!$A:$A,1,FALSE)</f>
        <v>#N/A</v>
      </c>
      <c r="J6192" s="424" t="s">
        <v>126</v>
      </c>
      <c r="K6192" s="460" t="s">
        <v>8255</v>
      </c>
      <c r="L6192" s="162"/>
      <c r="M6192" s="429" t="s">
        <v>8256</v>
      </c>
      <c r="N6192" s="461" t="s">
        <v>8257</v>
      </c>
      <c r="O6192" s="461" t="s">
        <v>624</v>
      </c>
      <c r="P6192" s="462">
        <v>6000</v>
      </c>
      <c r="Q6192" s="462">
        <v>3</v>
      </c>
      <c r="R6192" s="464">
        <f t="shared" si="143"/>
        <v>18000</v>
      </c>
      <c r="S6192" s="434">
        <v>202303</v>
      </c>
      <c r="T6192" s="168"/>
      <c r="U6192" s="465"/>
      <c r="V6192" s="437"/>
      <c r="W6192" s="437"/>
      <c r="X6192" s="163">
        <v>44896</v>
      </c>
      <c r="Y6192" s="468"/>
    </row>
    <row r="6193" s="9" customFormat="1" customHeight="1" spans="1:25">
      <c r="A6193" s="446" t="s">
        <v>403</v>
      </c>
      <c r="B6193" s="446" t="s">
        <v>8192</v>
      </c>
      <c r="C6193" s="446" t="s">
        <v>63</v>
      </c>
      <c r="D6193" s="446" t="s">
        <v>6237</v>
      </c>
      <c r="E6193" s="105" t="s">
        <v>8193</v>
      </c>
      <c r="F6193" s="96" t="s">
        <v>8194</v>
      </c>
      <c r="G6193" s="447" t="s">
        <v>302</v>
      </c>
      <c r="H6193" s="19" t="s">
        <v>8258</v>
      </c>
      <c r="I6193" s="23" t="e">
        <f>VLOOKUP(H6193,'合同综合查询数据（3月返）'!$A:$A,1,FALSE)</f>
        <v>#N/A</v>
      </c>
      <c r="J6193" s="448" t="s">
        <v>302</v>
      </c>
      <c r="K6193" s="96" t="s">
        <v>8259</v>
      </c>
      <c r="L6193" s="94"/>
      <c r="M6193" s="449"/>
      <c r="N6193" s="450">
        <v>43623</v>
      </c>
      <c r="O6193" s="96" t="s">
        <v>440</v>
      </c>
      <c r="P6193" s="463">
        <v>5800</v>
      </c>
      <c r="Q6193" s="463">
        <v>1</v>
      </c>
      <c r="R6193" s="119">
        <f t="shared" si="143"/>
        <v>5800</v>
      </c>
      <c r="S6193" s="456">
        <v>202303</v>
      </c>
      <c r="T6193" s="184" t="s">
        <v>8260</v>
      </c>
      <c r="U6193" s="457"/>
      <c r="V6193" s="458"/>
      <c r="W6193" s="458"/>
      <c r="X6193" s="466">
        <v>44652</v>
      </c>
      <c r="Y6193" s="467">
        <v>45016</v>
      </c>
    </row>
    <row r="6194" s="9" customFormat="1" customHeight="1" spans="1:25">
      <c r="A6194" s="446" t="s">
        <v>403</v>
      </c>
      <c r="B6194" s="446" t="s">
        <v>8192</v>
      </c>
      <c r="C6194" s="446" t="s">
        <v>63</v>
      </c>
      <c r="D6194" s="446" t="s">
        <v>6237</v>
      </c>
      <c r="E6194" s="105" t="s">
        <v>8193</v>
      </c>
      <c r="F6194" s="96" t="s">
        <v>8194</v>
      </c>
      <c r="G6194" s="447" t="s">
        <v>88</v>
      </c>
      <c r="H6194" s="19" t="s">
        <v>8261</v>
      </c>
      <c r="I6194" s="23" t="e">
        <f>VLOOKUP(H6194,'合同综合查询数据（3月返）'!$A:$A,1,FALSE)</f>
        <v>#N/A</v>
      </c>
      <c r="J6194" s="448" t="s">
        <v>90</v>
      </c>
      <c r="K6194" s="96" t="s">
        <v>8183</v>
      </c>
      <c r="L6194" s="94"/>
      <c r="M6194" s="449" t="s">
        <v>8262</v>
      </c>
      <c r="N6194" s="450">
        <v>43452</v>
      </c>
      <c r="O6194" s="96" t="s">
        <v>1461</v>
      </c>
      <c r="P6194" s="463">
        <v>14000</v>
      </c>
      <c r="Q6194" s="463">
        <v>4</v>
      </c>
      <c r="R6194" s="119">
        <f t="shared" si="143"/>
        <v>56000</v>
      </c>
      <c r="S6194" s="456">
        <v>202303</v>
      </c>
      <c r="T6194" s="184" t="s">
        <v>8263</v>
      </c>
      <c r="U6194" s="457"/>
      <c r="V6194" s="458"/>
      <c r="W6194" s="458"/>
      <c r="X6194" s="190"/>
      <c r="Y6194" s="106"/>
    </row>
    <row r="6195" s="9" customFormat="1" customHeight="1" spans="1:25">
      <c r="A6195" s="446" t="s">
        <v>403</v>
      </c>
      <c r="B6195" s="446" t="s">
        <v>8192</v>
      </c>
      <c r="C6195" s="446" t="s">
        <v>63</v>
      </c>
      <c r="D6195" s="446" t="s">
        <v>6237</v>
      </c>
      <c r="E6195" s="105" t="s">
        <v>8193</v>
      </c>
      <c r="F6195" s="96" t="s">
        <v>8194</v>
      </c>
      <c r="G6195" s="447" t="s">
        <v>88</v>
      </c>
      <c r="H6195" s="19" t="s">
        <v>8261</v>
      </c>
      <c r="I6195" s="23" t="e">
        <f>VLOOKUP(H6195,'合同综合查询数据（3月返）'!$A:$A,1,FALSE)</f>
        <v>#N/A</v>
      </c>
      <c r="J6195" s="448" t="s">
        <v>90</v>
      </c>
      <c r="K6195" s="96" t="s">
        <v>8183</v>
      </c>
      <c r="L6195" s="94"/>
      <c r="M6195" s="449" t="s">
        <v>8262</v>
      </c>
      <c r="N6195" s="450">
        <v>43452</v>
      </c>
      <c r="O6195" s="96" t="s">
        <v>457</v>
      </c>
      <c r="P6195" s="463">
        <v>8900</v>
      </c>
      <c r="Q6195" s="463">
        <v>2</v>
      </c>
      <c r="R6195" s="119">
        <f t="shared" ref="R6195:R6210" si="144">ROUND(P6195*Q6195,2)</f>
        <v>17800</v>
      </c>
      <c r="S6195" s="456">
        <v>202303</v>
      </c>
      <c r="T6195" s="184" t="s">
        <v>8264</v>
      </c>
      <c r="U6195" s="457"/>
      <c r="V6195" s="458"/>
      <c r="W6195" s="458"/>
      <c r="X6195" s="190"/>
      <c r="Y6195" s="106"/>
    </row>
    <row r="6196" s="9" customFormat="1" customHeight="1" spans="1:25">
      <c r="A6196" s="446" t="s">
        <v>403</v>
      </c>
      <c r="B6196" s="446" t="s">
        <v>8192</v>
      </c>
      <c r="C6196" s="446" t="s">
        <v>63</v>
      </c>
      <c r="D6196" s="446" t="s">
        <v>6237</v>
      </c>
      <c r="E6196" s="105" t="s">
        <v>8193</v>
      </c>
      <c r="F6196" s="96" t="s">
        <v>8194</v>
      </c>
      <c r="G6196" s="447" t="s">
        <v>88</v>
      </c>
      <c r="H6196" s="19" t="s">
        <v>8261</v>
      </c>
      <c r="I6196" s="23" t="e">
        <f>VLOOKUP(H6196,'合同综合查询数据（3月返）'!$A:$A,1,FALSE)</f>
        <v>#N/A</v>
      </c>
      <c r="J6196" s="448" t="s">
        <v>90</v>
      </c>
      <c r="K6196" s="96" t="s">
        <v>8183</v>
      </c>
      <c r="L6196" s="94"/>
      <c r="M6196" s="449" t="s">
        <v>8262</v>
      </c>
      <c r="N6196" s="450">
        <v>43452</v>
      </c>
      <c r="O6196" s="96" t="s">
        <v>127</v>
      </c>
      <c r="P6196" s="463">
        <v>6200</v>
      </c>
      <c r="Q6196" s="463">
        <v>173</v>
      </c>
      <c r="R6196" s="119">
        <f t="shared" si="144"/>
        <v>1072600</v>
      </c>
      <c r="S6196" s="456">
        <v>202303</v>
      </c>
      <c r="T6196" s="184" t="s">
        <v>8265</v>
      </c>
      <c r="U6196" s="457"/>
      <c r="V6196" s="458"/>
      <c r="W6196" s="458"/>
      <c r="X6196" s="190"/>
      <c r="Y6196" s="106"/>
    </row>
    <row r="6197" s="9" customFormat="1" customHeight="1" spans="1:25">
      <c r="A6197" s="446" t="s">
        <v>403</v>
      </c>
      <c r="B6197" s="446" t="s">
        <v>8192</v>
      </c>
      <c r="C6197" s="446" t="s">
        <v>63</v>
      </c>
      <c r="D6197" s="446" t="s">
        <v>6237</v>
      </c>
      <c r="E6197" s="105" t="s">
        <v>8193</v>
      </c>
      <c r="F6197" s="96" t="s">
        <v>8194</v>
      </c>
      <c r="G6197" s="447" t="s">
        <v>88</v>
      </c>
      <c r="H6197" s="19" t="s">
        <v>8261</v>
      </c>
      <c r="I6197" s="23" t="e">
        <f>VLOOKUP(H6197,'合同综合查询数据（3月返）'!$A:$A,1,FALSE)</f>
        <v>#N/A</v>
      </c>
      <c r="J6197" s="448" t="s">
        <v>90</v>
      </c>
      <c r="K6197" s="96" t="s">
        <v>8183</v>
      </c>
      <c r="L6197" s="94"/>
      <c r="M6197" s="449" t="s">
        <v>8262</v>
      </c>
      <c r="N6197" s="450">
        <v>43459</v>
      </c>
      <c r="O6197" s="96" t="s">
        <v>127</v>
      </c>
      <c r="P6197" s="463">
        <v>6200</v>
      </c>
      <c r="Q6197" s="463">
        <v>36</v>
      </c>
      <c r="R6197" s="119">
        <f t="shared" si="144"/>
        <v>223200</v>
      </c>
      <c r="S6197" s="456">
        <v>202303</v>
      </c>
      <c r="T6197" s="184" t="s">
        <v>8266</v>
      </c>
      <c r="U6197" s="457"/>
      <c r="V6197" s="458"/>
      <c r="W6197" s="458"/>
      <c r="X6197" s="190"/>
      <c r="Y6197" s="106"/>
    </row>
    <row r="6198" s="9" customFormat="1" customHeight="1" spans="1:25">
      <c r="A6198" s="446" t="s">
        <v>403</v>
      </c>
      <c r="B6198" s="446" t="s">
        <v>8192</v>
      </c>
      <c r="C6198" s="446" t="s">
        <v>63</v>
      </c>
      <c r="D6198" s="446" t="s">
        <v>6237</v>
      </c>
      <c r="E6198" s="105" t="s">
        <v>8193</v>
      </c>
      <c r="F6198" s="96" t="s">
        <v>8194</v>
      </c>
      <c r="G6198" s="447" t="s">
        <v>88</v>
      </c>
      <c r="H6198" s="19" t="s">
        <v>8261</v>
      </c>
      <c r="I6198" s="23" t="e">
        <f>VLOOKUP(H6198,'合同综合查询数据（3月返）'!$A:$A,1,FALSE)</f>
        <v>#N/A</v>
      </c>
      <c r="J6198" s="448" t="s">
        <v>90</v>
      </c>
      <c r="K6198" s="96" t="s">
        <v>8183</v>
      </c>
      <c r="L6198" s="94"/>
      <c r="M6198" s="449" t="s">
        <v>8262</v>
      </c>
      <c r="N6198" s="450">
        <v>43460</v>
      </c>
      <c r="O6198" s="96" t="s">
        <v>127</v>
      </c>
      <c r="P6198" s="463">
        <v>6200</v>
      </c>
      <c r="Q6198" s="463">
        <v>10</v>
      </c>
      <c r="R6198" s="119">
        <f t="shared" si="144"/>
        <v>62000</v>
      </c>
      <c r="S6198" s="456">
        <v>202303</v>
      </c>
      <c r="T6198" s="184" t="s">
        <v>8267</v>
      </c>
      <c r="U6198" s="457"/>
      <c r="V6198" s="458"/>
      <c r="W6198" s="458"/>
      <c r="X6198" s="190"/>
      <c r="Y6198" s="106"/>
    </row>
    <row r="6199" s="9" customFormat="1" customHeight="1" spans="1:25">
      <c r="A6199" s="446" t="s">
        <v>403</v>
      </c>
      <c r="B6199" s="446" t="s">
        <v>8192</v>
      </c>
      <c r="C6199" s="446" t="s">
        <v>63</v>
      </c>
      <c r="D6199" s="446" t="s">
        <v>6237</v>
      </c>
      <c r="E6199" s="105" t="s">
        <v>8193</v>
      </c>
      <c r="F6199" s="96" t="s">
        <v>8194</v>
      </c>
      <c r="G6199" s="447" t="s">
        <v>88</v>
      </c>
      <c r="H6199" s="19" t="s">
        <v>8261</v>
      </c>
      <c r="I6199" s="23" t="e">
        <f>VLOOKUP(H6199,'合同综合查询数据（3月返）'!$A:$A,1,FALSE)</f>
        <v>#N/A</v>
      </c>
      <c r="J6199" s="448" t="s">
        <v>90</v>
      </c>
      <c r="K6199" s="96" t="s">
        <v>8183</v>
      </c>
      <c r="L6199" s="94"/>
      <c r="M6199" s="449" t="s">
        <v>8262</v>
      </c>
      <c r="N6199" s="450">
        <v>43461</v>
      </c>
      <c r="O6199" s="96" t="s">
        <v>127</v>
      </c>
      <c r="P6199" s="463">
        <v>6200</v>
      </c>
      <c r="Q6199" s="463">
        <v>1</v>
      </c>
      <c r="R6199" s="119">
        <f t="shared" si="144"/>
        <v>6200</v>
      </c>
      <c r="S6199" s="456">
        <v>202303</v>
      </c>
      <c r="T6199" s="184" t="s">
        <v>8268</v>
      </c>
      <c r="U6199" s="457"/>
      <c r="V6199" s="458"/>
      <c r="W6199" s="458"/>
      <c r="X6199" s="190"/>
      <c r="Y6199" s="106"/>
    </row>
    <row r="6200" s="9" customFormat="1" customHeight="1" spans="1:25">
      <c r="A6200" s="446" t="s">
        <v>403</v>
      </c>
      <c r="B6200" s="446" t="s">
        <v>8192</v>
      </c>
      <c r="C6200" s="446" t="s">
        <v>63</v>
      </c>
      <c r="D6200" s="446" t="s">
        <v>6237</v>
      </c>
      <c r="E6200" s="105" t="s">
        <v>8193</v>
      </c>
      <c r="F6200" s="96" t="s">
        <v>8194</v>
      </c>
      <c r="G6200" s="447" t="s">
        <v>88</v>
      </c>
      <c r="H6200" s="19" t="s">
        <v>8261</v>
      </c>
      <c r="I6200" s="23" t="e">
        <f>VLOOKUP(H6200,'合同综合查询数据（3月返）'!$A:$A,1,FALSE)</f>
        <v>#N/A</v>
      </c>
      <c r="J6200" s="448" t="s">
        <v>90</v>
      </c>
      <c r="K6200" s="96" t="s">
        <v>8183</v>
      </c>
      <c r="L6200" s="94"/>
      <c r="M6200" s="449" t="s">
        <v>8262</v>
      </c>
      <c r="N6200" s="450">
        <v>44882</v>
      </c>
      <c r="O6200" s="96" t="s">
        <v>127</v>
      </c>
      <c r="P6200" s="463">
        <v>6200</v>
      </c>
      <c r="Q6200" s="463">
        <v>-44</v>
      </c>
      <c r="R6200" s="119">
        <f t="shared" si="144"/>
        <v>-272800</v>
      </c>
      <c r="S6200" s="456">
        <v>202303</v>
      </c>
      <c r="T6200" s="184" t="s">
        <v>8269</v>
      </c>
      <c r="U6200" s="457"/>
      <c r="V6200" s="458"/>
      <c r="W6200" s="458"/>
      <c r="X6200" s="190"/>
      <c r="Y6200" s="106"/>
    </row>
    <row r="6201" s="9" customFormat="1" customHeight="1" spans="1:25">
      <c r="A6201" s="446" t="s">
        <v>403</v>
      </c>
      <c r="B6201" s="446" t="s">
        <v>8192</v>
      </c>
      <c r="C6201" s="446" t="s">
        <v>63</v>
      </c>
      <c r="D6201" s="446" t="s">
        <v>6237</v>
      </c>
      <c r="E6201" s="105" t="s">
        <v>8193</v>
      </c>
      <c r="F6201" s="96" t="s">
        <v>8194</v>
      </c>
      <c r="G6201" s="447" t="s">
        <v>88</v>
      </c>
      <c r="H6201" s="19" t="s">
        <v>8261</v>
      </c>
      <c r="I6201" s="23" t="e">
        <f>VLOOKUP(H6201,'合同综合查询数据（3月返）'!$A:$A,1,FALSE)</f>
        <v>#N/A</v>
      </c>
      <c r="J6201" s="448" t="s">
        <v>90</v>
      </c>
      <c r="K6201" s="96" t="s">
        <v>8183</v>
      </c>
      <c r="L6201" s="94"/>
      <c r="M6201" s="449" t="s">
        <v>8262</v>
      </c>
      <c r="N6201" s="450">
        <v>44903</v>
      </c>
      <c r="O6201" s="96" t="s">
        <v>127</v>
      </c>
      <c r="P6201" s="463">
        <v>6200</v>
      </c>
      <c r="Q6201" s="463">
        <v>-31</v>
      </c>
      <c r="R6201" s="119">
        <f t="shared" si="144"/>
        <v>-192200</v>
      </c>
      <c r="S6201" s="456">
        <v>202303</v>
      </c>
      <c r="T6201" s="184" t="s">
        <v>8270</v>
      </c>
      <c r="U6201" s="457"/>
      <c r="V6201" s="458"/>
      <c r="W6201" s="458"/>
      <c r="X6201" s="190"/>
      <c r="Y6201" s="106"/>
    </row>
    <row r="6202" s="9" customFormat="1" customHeight="1" spans="1:25">
      <c r="A6202" s="446" t="s">
        <v>403</v>
      </c>
      <c r="B6202" s="446" t="s">
        <v>8192</v>
      </c>
      <c r="C6202" s="446" t="s">
        <v>63</v>
      </c>
      <c r="D6202" s="446" t="s">
        <v>6237</v>
      </c>
      <c r="E6202" s="105" t="s">
        <v>8193</v>
      </c>
      <c r="F6202" s="96" t="s">
        <v>8194</v>
      </c>
      <c r="G6202" s="447" t="s">
        <v>88</v>
      </c>
      <c r="H6202" s="19" t="s">
        <v>8261</v>
      </c>
      <c r="I6202" s="23" t="e">
        <f>VLOOKUP(H6202,'合同综合查询数据（3月返）'!$A:$A,1,FALSE)</f>
        <v>#N/A</v>
      </c>
      <c r="J6202" s="448" t="s">
        <v>90</v>
      </c>
      <c r="K6202" s="96" t="s">
        <v>8183</v>
      </c>
      <c r="L6202" s="94"/>
      <c r="M6202" s="449" t="s">
        <v>8262</v>
      </c>
      <c r="N6202" s="450">
        <v>44929</v>
      </c>
      <c r="O6202" s="96" t="s">
        <v>127</v>
      </c>
      <c r="P6202" s="463">
        <v>6200</v>
      </c>
      <c r="Q6202" s="463">
        <v>-23</v>
      </c>
      <c r="R6202" s="119">
        <f t="shared" si="144"/>
        <v>-142600</v>
      </c>
      <c r="S6202" s="456">
        <v>202303</v>
      </c>
      <c r="T6202" s="184" t="s">
        <v>8271</v>
      </c>
      <c r="U6202" s="457"/>
      <c r="V6202" s="458"/>
      <c r="W6202" s="458"/>
      <c r="X6202" s="190"/>
      <c r="Y6202" s="106"/>
    </row>
    <row r="6203" s="9" customFormat="1" customHeight="1" spans="1:25">
      <c r="A6203" s="446" t="s">
        <v>403</v>
      </c>
      <c r="B6203" s="446" t="s">
        <v>8192</v>
      </c>
      <c r="C6203" s="446" t="s">
        <v>63</v>
      </c>
      <c r="D6203" s="446" t="s">
        <v>6237</v>
      </c>
      <c r="E6203" s="105" t="s">
        <v>8193</v>
      </c>
      <c r="F6203" s="96" t="s">
        <v>8194</v>
      </c>
      <c r="G6203" s="447" t="s">
        <v>88</v>
      </c>
      <c r="H6203" s="19" t="s">
        <v>8261</v>
      </c>
      <c r="I6203" s="23" t="e">
        <f>VLOOKUP(H6203,'合同综合查询数据（3月返）'!$A:$A,1,FALSE)</f>
        <v>#N/A</v>
      </c>
      <c r="J6203" s="448" t="s">
        <v>90</v>
      </c>
      <c r="K6203" s="96" t="s">
        <v>8183</v>
      </c>
      <c r="L6203" s="94"/>
      <c r="M6203" s="449" t="s">
        <v>8262</v>
      </c>
      <c r="N6203" s="450">
        <v>44967</v>
      </c>
      <c r="O6203" s="96" t="s">
        <v>127</v>
      </c>
      <c r="P6203" s="463">
        <v>6200</v>
      </c>
      <c r="Q6203" s="463">
        <v>-109</v>
      </c>
      <c r="R6203" s="119">
        <f t="shared" si="144"/>
        <v>-675800</v>
      </c>
      <c r="S6203" s="456">
        <v>202303</v>
      </c>
      <c r="T6203" s="184" t="s">
        <v>8272</v>
      </c>
      <c r="U6203" s="457"/>
      <c r="V6203" s="458"/>
      <c r="W6203" s="458"/>
      <c r="X6203" s="190"/>
      <c r="Y6203" s="106"/>
    </row>
    <row r="6204" s="9" customFormat="1" customHeight="1" spans="1:25">
      <c r="A6204" s="446" t="s">
        <v>403</v>
      </c>
      <c r="B6204" s="446" t="s">
        <v>8192</v>
      </c>
      <c r="C6204" s="446" t="s">
        <v>63</v>
      </c>
      <c r="D6204" s="446" t="s">
        <v>6237</v>
      </c>
      <c r="E6204" s="105" t="s">
        <v>8193</v>
      </c>
      <c r="F6204" s="96" t="s">
        <v>8194</v>
      </c>
      <c r="G6204" s="447" t="s">
        <v>88</v>
      </c>
      <c r="H6204" s="19" t="s">
        <v>8261</v>
      </c>
      <c r="I6204" s="23" t="e">
        <f>VLOOKUP(H6204,'合同综合查询数据（3月返）'!$A:$A,1,FALSE)</f>
        <v>#N/A</v>
      </c>
      <c r="J6204" s="448" t="s">
        <v>90</v>
      </c>
      <c r="K6204" s="96" t="s">
        <v>8183</v>
      </c>
      <c r="L6204" s="94"/>
      <c r="M6204" s="449" t="s">
        <v>8262</v>
      </c>
      <c r="N6204" s="450">
        <v>44974</v>
      </c>
      <c r="O6204" s="96" t="s">
        <v>127</v>
      </c>
      <c r="P6204" s="463">
        <v>6200</v>
      </c>
      <c r="Q6204" s="463">
        <v>-13</v>
      </c>
      <c r="R6204" s="119">
        <f t="shared" si="144"/>
        <v>-80600</v>
      </c>
      <c r="S6204" s="456">
        <v>202303</v>
      </c>
      <c r="T6204" s="184" t="s">
        <v>8273</v>
      </c>
      <c r="U6204" s="457"/>
      <c r="V6204" s="458"/>
      <c r="W6204" s="458"/>
      <c r="X6204" s="190"/>
      <c r="Y6204" s="106"/>
    </row>
    <row r="6205" s="9" customFormat="1" customHeight="1" spans="1:25">
      <c r="A6205" s="446" t="s">
        <v>403</v>
      </c>
      <c r="B6205" s="446" t="s">
        <v>8192</v>
      </c>
      <c r="C6205" s="446" t="s">
        <v>63</v>
      </c>
      <c r="D6205" s="446" t="s">
        <v>6237</v>
      </c>
      <c r="E6205" s="105" t="s">
        <v>8193</v>
      </c>
      <c r="F6205" s="96" t="s">
        <v>8194</v>
      </c>
      <c r="G6205" s="447" t="s">
        <v>88</v>
      </c>
      <c r="H6205" s="19" t="s">
        <v>8261</v>
      </c>
      <c r="I6205" s="23" t="e">
        <f>VLOOKUP(H6205,'合同综合查询数据（3月返）'!$A:$A,1,FALSE)</f>
        <v>#N/A</v>
      </c>
      <c r="J6205" s="448" t="s">
        <v>90</v>
      </c>
      <c r="K6205" s="96" t="s">
        <v>8183</v>
      </c>
      <c r="L6205" s="94"/>
      <c r="M6205" s="449" t="s">
        <v>8262</v>
      </c>
      <c r="N6205" s="450">
        <v>44974</v>
      </c>
      <c r="O6205" s="96" t="s">
        <v>1461</v>
      </c>
      <c r="P6205" s="463">
        <v>14000</v>
      </c>
      <c r="Q6205" s="463">
        <v>-4</v>
      </c>
      <c r="R6205" s="119">
        <f t="shared" si="144"/>
        <v>-56000</v>
      </c>
      <c r="S6205" s="456">
        <v>202303</v>
      </c>
      <c r="T6205" s="184" t="s">
        <v>8274</v>
      </c>
      <c r="U6205" s="457"/>
      <c r="V6205" s="458"/>
      <c r="W6205" s="458"/>
      <c r="X6205" s="190"/>
      <c r="Y6205" s="106"/>
    </row>
    <row r="6206" s="9" customFormat="1" customHeight="1" spans="1:25">
      <c r="A6206" s="446" t="s">
        <v>403</v>
      </c>
      <c r="B6206" s="446" t="s">
        <v>8192</v>
      </c>
      <c r="C6206" s="446" t="s">
        <v>63</v>
      </c>
      <c r="D6206" s="446" t="s">
        <v>6237</v>
      </c>
      <c r="E6206" s="105" t="s">
        <v>8193</v>
      </c>
      <c r="F6206" s="96" t="s">
        <v>8194</v>
      </c>
      <c r="G6206" s="447" t="s">
        <v>88</v>
      </c>
      <c r="H6206" s="19" t="s">
        <v>8261</v>
      </c>
      <c r="I6206" s="23" t="e">
        <f>VLOOKUP(H6206,'合同综合查询数据（3月返）'!$A:$A,1,FALSE)</f>
        <v>#N/A</v>
      </c>
      <c r="J6206" s="448" t="s">
        <v>90</v>
      </c>
      <c r="K6206" s="96" t="s">
        <v>8183</v>
      </c>
      <c r="L6206" s="94"/>
      <c r="M6206" s="449" t="s">
        <v>8262</v>
      </c>
      <c r="N6206" s="450">
        <v>44974</v>
      </c>
      <c r="O6206" s="96" t="s">
        <v>457</v>
      </c>
      <c r="P6206" s="463">
        <v>8900</v>
      </c>
      <c r="Q6206" s="463">
        <v>-2</v>
      </c>
      <c r="R6206" s="119">
        <f t="shared" si="144"/>
        <v>-17800</v>
      </c>
      <c r="S6206" s="456">
        <v>202303</v>
      </c>
      <c r="T6206" s="184" t="s">
        <v>8275</v>
      </c>
      <c r="U6206" s="457"/>
      <c r="V6206" s="458"/>
      <c r="W6206" s="458"/>
      <c r="X6206" s="190"/>
      <c r="Y6206" s="106"/>
    </row>
    <row r="6207" s="9" customFormat="1" customHeight="1" spans="1:25">
      <c r="A6207" s="446" t="s">
        <v>403</v>
      </c>
      <c r="B6207" s="446" t="s">
        <v>8192</v>
      </c>
      <c r="C6207" s="446" t="s">
        <v>63</v>
      </c>
      <c r="D6207" s="446" t="s">
        <v>6237</v>
      </c>
      <c r="E6207" s="105" t="s">
        <v>8193</v>
      </c>
      <c r="F6207" s="96" t="s">
        <v>8194</v>
      </c>
      <c r="G6207" s="447" t="s">
        <v>78</v>
      </c>
      <c r="H6207" s="19" t="s">
        <v>8261</v>
      </c>
      <c r="I6207" s="23" t="e">
        <f>VLOOKUP(H6207,'合同综合查询数据（3月返）'!$A:$A,1,FALSE)</f>
        <v>#N/A</v>
      </c>
      <c r="J6207" s="448" t="s">
        <v>8212</v>
      </c>
      <c r="K6207" s="96" t="s">
        <v>8183</v>
      </c>
      <c r="L6207" s="94"/>
      <c r="M6207" s="449" t="s">
        <v>8262</v>
      </c>
      <c r="N6207" s="450">
        <v>43435</v>
      </c>
      <c r="O6207" s="96"/>
      <c r="P6207" s="463">
        <v>7600</v>
      </c>
      <c r="Q6207" s="463">
        <v>1</v>
      </c>
      <c r="R6207" s="119">
        <f t="shared" si="144"/>
        <v>7600</v>
      </c>
      <c r="S6207" s="456">
        <v>202303</v>
      </c>
      <c r="T6207" s="184" t="s">
        <v>8276</v>
      </c>
      <c r="U6207" s="457"/>
      <c r="V6207" s="458"/>
      <c r="W6207" s="458"/>
      <c r="X6207" s="190"/>
      <c r="Y6207" s="106"/>
    </row>
    <row r="6208" s="9" customFormat="1" customHeight="1" spans="1:25">
      <c r="A6208" s="446" t="s">
        <v>403</v>
      </c>
      <c r="B6208" s="446" t="s">
        <v>8192</v>
      </c>
      <c r="C6208" s="446" t="s">
        <v>63</v>
      </c>
      <c r="D6208" s="446" t="s">
        <v>6237</v>
      </c>
      <c r="E6208" s="105" t="s">
        <v>8193</v>
      </c>
      <c r="F6208" s="96" t="s">
        <v>8194</v>
      </c>
      <c r="G6208" s="447" t="s">
        <v>78</v>
      </c>
      <c r="H6208" s="19" t="s">
        <v>8261</v>
      </c>
      <c r="I6208" s="23" t="e">
        <f>VLOOKUP(H6208,'合同综合查询数据（3月返）'!$A:$A,1,FALSE)</f>
        <v>#N/A</v>
      </c>
      <c r="J6208" s="448" t="s">
        <v>8277</v>
      </c>
      <c r="K6208" s="96" t="s">
        <v>8183</v>
      </c>
      <c r="L6208" s="94"/>
      <c r="M6208" s="449" t="s">
        <v>8262</v>
      </c>
      <c r="N6208" s="450">
        <v>43435</v>
      </c>
      <c r="O6208" s="96"/>
      <c r="P6208" s="463">
        <v>2000</v>
      </c>
      <c r="Q6208" s="463">
        <v>2</v>
      </c>
      <c r="R6208" s="119">
        <f t="shared" si="144"/>
        <v>4000</v>
      </c>
      <c r="S6208" s="456">
        <v>202303</v>
      </c>
      <c r="T6208" s="184" t="s">
        <v>8278</v>
      </c>
      <c r="U6208" s="457"/>
      <c r="V6208" s="458"/>
      <c r="W6208" s="458"/>
      <c r="X6208" s="190"/>
      <c r="Y6208" s="106"/>
    </row>
    <row r="6209" s="9" customFormat="1" customHeight="1" spans="1:25">
      <c r="A6209" s="446" t="s">
        <v>403</v>
      </c>
      <c r="B6209" s="446" t="s">
        <v>8192</v>
      </c>
      <c r="C6209" s="446" t="s">
        <v>63</v>
      </c>
      <c r="D6209" s="446" t="s">
        <v>6237</v>
      </c>
      <c r="E6209" s="105" t="s">
        <v>8193</v>
      </c>
      <c r="F6209" s="96" t="s">
        <v>8194</v>
      </c>
      <c r="G6209" s="447" t="s">
        <v>78</v>
      </c>
      <c r="H6209" s="19" t="s">
        <v>8261</v>
      </c>
      <c r="I6209" s="23" t="e">
        <f>VLOOKUP(H6209,'合同综合查询数据（3月返）'!$A:$A,1,FALSE)</f>
        <v>#N/A</v>
      </c>
      <c r="J6209" s="448" t="s">
        <v>8212</v>
      </c>
      <c r="K6209" s="96" t="s">
        <v>8183</v>
      </c>
      <c r="L6209" s="94"/>
      <c r="M6209" s="449" t="s">
        <v>8262</v>
      </c>
      <c r="N6209" s="450">
        <v>44974</v>
      </c>
      <c r="O6209" s="96"/>
      <c r="P6209" s="463">
        <v>7600</v>
      </c>
      <c r="Q6209" s="463">
        <v>-1</v>
      </c>
      <c r="R6209" s="119">
        <f t="shared" si="144"/>
        <v>-7600</v>
      </c>
      <c r="S6209" s="456">
        <v>202303</v>
      </c>
      <c r="T6209" s="184" t="s">
        <v>8276</v>
      </c>
      <c r="U6209" s="457"/>
      <c r="V6209" s="458"/>
      <c r="W6209" s="458"/>
      <c r="X6209" s="190"/>
      <c r="Y6209" s="106"/>
    </row>
    <row r="6210" s="9" customFormat="1" customHeight="1" spans="1:25">
      <c r="A6210" s="446" t="s">
        <v>403</v>
      </c>
      <c r="B6210" s="446" t="s">
        <v>8192</v>
      </c>
      <c r="C6210" s="446" t="s">
        <v>63</v>
      </c>
      <c r="D6210" s="446" t="s">
        <v>6237</v>
      </c>
      <c r="E6210" s="105" t="s">
        <v>8193</v>
      </c>
      <c r="F6210" s="96" t="s">
        <v>8194</v>
      </c>
      <c r="G6210" s="447" t="s">
        <v>78</v>
      </c>
      <c r="H6210" s="19" t="s">
        <v>8261</v>
      </c>
      <c r="I6210" s="23" t="e">
        <f>VLOOKUP(H6210,'合同综合查询数据（3月返）'!$A:$A,1,FALSE)</f>
        <v>#N/A</v>
      </c>
      <c r="J6210" s="448" t="s">
        <v>8277</v>
      </c>
      <c r="K6210" s="96" t="s">
        <v>8183</v>
      </c>
      <c r="L6210" s="94"/>
      <c r="M6210" s="449" t="s">
        <v>8262</v>
      </c>
      <c r="N6210" s="450">
        <v>44974</v>
      </c>
      <c r="O6210" s="96"/>
      <c r="P6210" s="463">
        <v>2000</v>
      </c>
      <c r="Q6210" s="463">
        <v>-2</v>
      </c>
      <c r="R6210" s="119">
        <f t="shared" si="144"/>
        <v>-4000</v>
      </c>
      <c r="S6210" s="456">
        <v>202303</v>
      </c>
      <c r="T6210" s="184" t="s">
        <v>8278</v>
      </c>
      <c r="U6210" s="457"/>
      <c r="V6210" s="458"/>
      <c r="W6210" s="458"/>
      <c r="X6210" s="190"/>
      <c r="Y6210" s="106"/>
    </row>
    <row r="6211" s="9" customFormat="1" customHeight="1" spans="1:25">
      <c r="A6211" s="446" t="s">
        <v>403</v>
      </c>
      <c r="B6211" s="446" t="s">
        <v>8192</v>
      </c>
      <c r="C6211" s="446" t="s">
        <v>63</v>
      </c>
      <c r="D6211" s="446" t="s">
        <v>6237</v>
      </c>
      <c r="E6211" s="105" t="s">
        <v>8193</v>
      </c>
      <c r="F6211" s="96" t="s">
        <v>8194</v>
      </c>
      <c r="G6211" s="96" t="s">
        <v>302</v>
      </c>
      <c r="H6211" s="19" t="s">
        <v>8258</v>
      </c>
      <c r="I6211" s="23" t="e">
        <f>VLOOKUP(H6211,'合同综合查询数据（3月返）'!$A:$A,1,FALSE)</f>
        <v>#N/A</v>
      </c>
      <c r="J6211" s="448" t="s">
        <v>302</v>
      </c>
      <c r="K6211" s="96" t="s">
        <v>8279</v>
      </c>
      <c r="L6211" s="153"/>
      <c r="M6211" s="449" t="s">
        <v>8280</v>
      </c>
      <c r="N6211" s="450">
        <v>43606</v>
      </c>
      <c r="O6211" s="96" t="s">
        <v>311</v>
      </c>
      <c r="P6211" s="463">
        <v>1353.8</v>
      </c>
      <c r="Q6211" s="463">
        <v>1</v>
      </c>
      <c r="R6211" s="119">
        <v>0</v>
      </c>
      <c r="S6211" s="456">
        <v>202303</v>
      </c>
      <c r="T6211" s="184" t="s">
        <v>8281</v>
      </c>
      <c r="U6211" s="457"/>
      <c r="V6211" s="458"/>
      <c r="W6211" s="458"/>
      <c r="X6211" s="466">
        <v>44652</v>
      </c>
      <c r="Y6211" s="467">
        <v>45016</v>
      </c>
    </row>
    <row r="6212" s="9" customFormat="1" customHeight="1" spans="1:25">
      <c r="A6212" s="446" t="s">
        <v>403</v>
      </c>
      <c r="B6212" s="446" t="s">
        <v>8192</v>
      </c>
      <c r="C6212" s="446" t="s">
        <v>63</v>
      </c>
      <c r="D6212" s="446" t="s">
        <v>6237</v>
      </c>
      <c r="E6212" s="105" t="s">
        <v>8193</v>
      </c>
      <c r="F6212" s="96" t="s">
        <v>8194</v>
      </c>
      <c r="G6212" s="96" t="s">
        <v>302</v>
      </c>
      <c r="H6212" s="19" t="s">
        <v>8258</v>
      </c>
      <c r="I6212" s="23" t="e">
        <f>VLOOKUP(H6212,'合同综合查询数据（3月返）'!$A:$A,1,FALSE)</f>
        <v>#N/A</v>
      </c>
      <c r="J6212" s="448" t="s">
        <v>302</v>
      </c>
      <c r="K6212" s="96" t="s">
        <v>8279</v>
      </c>
      <c r="L6212" s="153"/>
      <c r="M6212" s="449" t="s">
        <v>8280</v>
      </c>
      <c r="N6212" s="450">
        <v>44798</v>
      </c>
      <c r="O6212" s="96" t="s">
        <v>1442</v>
      </c>
      <c r="P6212" s="463">
        <v>2120</v>
      </c>
      <c r="Q6212" s="463">
        <v>1</v>
      </c>
      <c r="R6212" s="119">
        <f t="shared" ref="R6212:R6275" si="145">ROUND(P6212*Q6212,2)</f>
        <v>2120</v>
      </c>
      <c r="S6212" s="456">
        <v>202303</v>
      </c>
      <c r="T6212" s="184" t="s">
        <v>8282</v>
      </c>
      <c r="U6212" s="457"/>
      <c r="V6212" s="458"/>
      <c r="W6212" s="458"/>
      <c r="X6212" s="466">
        <v>44652</v>
      </c>
      <c r="Y6212" s="467">
        <v>45016</v>
      </c>
    </row>
    <row r="6213" s="9" customFormat="1" customHeight="1" spans="1:25">
      <c r="A6213" s="446" t="s">
        <v>403</v>
      </c>
      <c r="B6213" s="446" t="s">
        <v>8192</v>
      </c>
      <c r="C6213" s="446" t="s">
        <v>63</v>
      </c>
      <c r="D6213" s="446" t="s">
        <v>6237</v>
      </c>
      <c r="E6213" s="105" t="s">
        <v>8193</v>
      </c>
      <c r="F6213" s="96" t="s">
        <v>8194</v>
      </c>
      <c r="G6213" s="96" t="s">
        <v>88</v>
      </c>
      <c r="H6213" s="19" t="s">
        <v>8283</v>
      </c>
      <c r="I6213" s="23" t="e">
        <f>VLOOKUP(H6213,'合同综合查询数据（3月返）'!$A:$A,1,FALSE)</f>
        <v>#N/A</v>
      </c>
      <c r="J6213" s="448" t="s">
        <v>90</v>
      </c>
      <c r="K6213" s="96" t="s">
        <v>8284</v>
      </c>
      <c r="L6213" s="153"/>
      <c r="M6213" s="449" t="s">
        <v>8285</v>
      </c>
      <c r="N6213" s="450">
        <v>43703</v>
      </c>
      <c r="O6213" s="96" t="s">
        <v>457</v>
      </c>
      <c r="P6213" s="463">
        <v>6867</v>
      </c>
      <c r="Q6213" s="463">
        <v>7</v>
      </c>
      <c r="R6213" s="119">
        <f t="shared" si="145"/>
        <v>48069</v>
      </c>
      <c r="S6213" s="456">
        <v>202303</v>
      </c>
      <c r="T6213" s="184" t="s">
        <v>1917</v>
      </c>
      <c r="U6213" s="457"/>
      <c r="V6213" s="458"/>
      <c r="W6213" s="458"/>
      <c r="X6213" s="190">
        <v>44799</v>
      </c>
      <c r="Y6213" s="467">
        <v>45163</v>
      </c>
    </row>
    <row r="6214" s="9" customFormat="1" customHeight="1" spans="1:25">
      <c r="A6214" s="446" t="s">
        <v>403</v>
      </c>
      <c r="B6214" s="446" t="s">
        <v>8192</v>
      </c>
      <c r="C6214" s="446" t="s">
        <v>63</v>
      </c>
      <c r="D6214" s="446" t="s">
        <v>6237</v>
      </c>
      <c r="E6214" s="105" t="s">
        <v>8193</v>
      </c>
      <c r="F6214" s="96" t="s">
        <v>8194</v>
      </c>
      <c r="G6214" s="96" t="s">
        <v>88</v>
      </c>
      <c r="H6214" s="19" t="s">
        <v>8283</v>
      </c>
      <c r="I6214" s="23" t="e">
        <f>VLOOKUP(H6214,'合同综合查询数据（3月返）'!$A:$A,1,FALSE)</f>
        <v>#N/A</v>
      </c>
      <c r="J6214" s="448" t="s">
        <v>90</v>
      </c>
      <c r="K6214" s="96" t="s">
        <v>8284</v>
      </c>
      <c r="L6214" s="153"/>
      <c r="M6214" s="449" t="s">
        <v>8285</v>
      </c>
      <c r="N6214" s="450">
        <v>43705</v>
      </c>
      <c r="O6214" s="96" t="s">
        <v>457</v>
      </c>
      <c r="P6214" s="463">
        <v>6867</v>
      </c>
      <c r="Q6214" s="463">
        <v>9</v>
      </c>
      <c r="R6214" s="119">
        <f t="shared" si="145"/>
        <v>61803</v>
      </c>
      <c r="S6214" s="456">
        <v>202303</v>
      </c>
      <c r="T6214" s="184" t="s">
        <v>6325</v>
      </c>
      <c r="U6214" s="457"/>
      <c r="V6214" s="458"/>
      <c r="W6214" s="458"/>
      <c r="X6214" s="190">
        <v>44799</v>
      </c>
      <c r="Y6214" s="467">
        <v>45163</v>
      </c>
    </row>
    <row r="6215" s="9" customFormat="1" customHeight="1" spans="1:25">
      <c r="A6215" s="446" t="s">
        <v>403</v>
      </c>
      <c r="B6215" s="446" t="s">
        <v>8192</v>
      </c>
      <c r="C6215" s="446" t="s">
        <v>63</v>
      </c>
      <c r="D6215" s="446" t="s">
        <v>6237</v>
      </c>
      <c r="E6215" s="105" t="s">
        <v>8193</v>
      </c>
      <c r="F6215" s="96" t="s">
        <v>8194</v>
      </c>
      <c r="G6215" s="96" t="s">
        <v>88</v>
      </c>
      <c r="H6215" s="19" t="s">
        <v>8283</v>
      </c>
      <c r="I6215" s="23" t="e">
        <f>VLOOKUP(H6215,'合同综合查询数据（3月返）'!$A:$A,1,FALSE)</f>
        <v>#N/A</v>
      </c>
      <c r="J6215" s="448" t="s">
        <v>90</v>
      </c>
      <c r="K6215" s="96" t="s">
        <v>8284</v>
      </c>
      <c r="L6215" s="153"/>
      <c r="M6215" s="449" t="s">
        <v>8285</v>
      </c>
      <c r="N6215" s="450">
        <v>43719</v>
      </c>
      <c r="O6215" s="96" t="s">
        <v>457</v>
      </c>
      <c r="P6215" s="463">
        <v>6867</v>
      </c>
      <c r="Q6215" s="463">
        <v>15</v>
      </c>
      <c r="R6215" s="119">
        <f t="shared" si="145"/>
        <v>103005</v>
      </c>
      <c r="S6215" s="456">
        <v>202303</v>
      </c>
      <c r="T6215" s="184" t="s">
        <v>6325</v>
      </c>
      <c r="U6215" s="457"/>
      <c r="V6215" s="458"/>
      <c r="W6215" s="458"/>
      <c r="X6215" s="190">
        <v>44799</v>
      </c>
      <c r="Y6215" s="467">
        <v>45163</v>
      </c>
    </row>
    <row r="6216" s="9" customFormat="1" customHeight="1" spans="1:25">
      <c r="A6216" s="446" t="s">
        <v>403</v>
      </c>
      <c r="B6216" s="446" t="s">
        <v>8192</v>
      </c>
      <c r="C6216" s="446" t="s">
        <v>63</v>
      </c>
      <c r="D6216" s="446" t="s">
        <v>6237</v>
      </c>
      <c r="E6216" s="105" t="s">
        <v>8193</v>
      </c>
      <c r="F6216" s="96" t="s">
        <v>8194</v>
      </c>
      <c r="G6216" s="96" t="s">
        <v>88</v>
      </c>
      <c r="H6216" s="19" t="s">
        <v>8283</v>
      </c>
      <c r="I6216" s="23" t="e">
        <f>VLOOKUP(H6216,'合同综合查询数据（3月返）'!$A:$A,1,FALSE)</f>
        <v>#N/A</v>
      </c>
      <c r="J6216" s="448" t="s">
        <v>90</v>
      </c>
      <c r="K6216" s="96" t="s">
        <v>8284</v>
      </c>
      <c r="L6216" s="153"/>
      <c r="M6216" s="449" t="s">
        <v>8285</v>
      </c>
      <c r="N6216" s="450">
        <v>43703</v>
      </c>
      <c r="O6216" s="96" t="s">
        <v>457</v>
      </c>
      <c r="P6216" s="463">
        <v>6867</v>
      </c>
      <c r="Q6216" s="463">
        <v>85</v>
      </c>
      <c r="R6216" s="119">
        <f t="shared" si="145"/>
        <v>583695</v>
      </c>
      <c r="S6216" s="456">
        <v>202303</v>
      </c>
      <c r="T6216" s="184" t="s">
        <v>8286</v>
      </c>
      <c r="U6216" s="457"/>
      <c r="V6216" s="458"/>
      <c r="W6216" s="458"/>
      <c r="X6216" s="190">
        <v>44799</v>
      </c>
      <c r="Y6216" s="467">
        <v>45163</v>
      </c>
    </row>
    <row r="6217" s="9" customFormat="1" customHeight="1" spans="1:25">
      <c r="A6217" s="446" t="s">
        <v>403</v>
      </c>
      <c r="B6217" s="446" t="s">
        <v>8192</v>
      </c>
      <c r="C6217" s="446" t="s">
        <v>63</v>
      </c>
      <c r="D6217" s="446" t="s">
        <v>6237</v>
      </c>
      <c r="E6217" s="105" t="s">
        <v>8193</v>
      </c>
      <c r="F6217" s="96" t="s">
        <v>8194</v>
      </c>
      <c r="G6217" s="96" t="s">
        <v>88</v>
      </c>
      <c r="H6217" s="19" t="s">
        <v>8283</v>
      </c>
      <c r="I6217" s="23" t="e">
        <f>VLOOKUP(H6217,'合同综合查询数据（3月返）'!$A:$A,1,FALSE)</f>
        <v>#N/A</v>
      </c>
      <c r="J6217" s="448" t="s">
        <v>90</v>
      </c>
      <c r="K6217" s="96" t="s">
        <v>8284</v>
      </c>
      <c r="L6217" s="153"/>
      <c r="M6217" s="449" t="s">
        <v>8285</v>
      </c>
      <c r="N6217" s="450">
        <v>43703</v>
      </c>
      <c r="O6217" s="96" t="s">
        <v>470</v>
      </c>
      <c r="P6217" s="463">
        <v>6867</v>
      </c>
      <c r="Q6217" s="463">
        <v>12</v>
      </c>
      <c r="R6217" s="119">
        <f t="shared" si="145"/>
        <v>82404</v>
      </c>
      <c r="S6217" s="456">
        <v>202303</v>
      </c>
      <c r="T6217" s="184" t="s">
        <v>8286</v>
      </c>
      <c r="U6217" s="457"/>
      <c r="V6217" s="458"/>
      <c r="W6217" s="458"/>
      <c r="X6217" s="190">
        <v>44799</v>
      </c>
      <c r="Y6217" s="467">
        <v>45163</v>
      </c>
    </row>
    <row r="6218" s="9" customFormat="1" customHeight="1" spans="1:25">
      <c r="A6218" s="446" t="s">
        <v>403</v>
      </c>
      <c r="B6218" s="446" t="s">
        <v>8192</v>
      </c>
      <c r="C6218" s="446" t="s">
        <v>63</v>
      </c>
      <c r="D6218" s="446" t="s">
        <v>6237</v>
      </c>
      <c r="E6218" s="105" t="s">
        <v>8193</v>
      </c>
      <c r="F6218" s="96" t="s">
        <v>8194</v>
      </c>
      <c r="G6218" s="96" t="s">
        <v>88</v>
      </c>
      <c r="H6218" s="19" t="s">
        <v>8283</v>
      </c>
      <c r="I6218" s="23" t="e">
        <f>VLOOKUP(H6218,'合同综合查询数据（3月返）'!$A:$A,1,FALSE)</f>
        <v>#N/A</v>
      </c>
      <c r="J6218" s="448" t="s">
        <v>90</v>
      </c>
      <c r="K6218" s="96" t="s">
        <v>8284</v>
      </c>
      <c r="L6218" s="153"/>
      <c r="M6218" s="449" t="s">
        <v>8285</v>
      </c>
      <c r="N6218" s="450">
        <v>43703</v>
      </c>
      <c r="O6218" s="96" t="s">
        <v>461</v>
      </c>
      <c r="P6218" s="463">
        <v>6867</v>
      </c>
      <c r="Q6218" s="463">
        <v>18</v>
      </c>
      <c r="R6218" s="119">
        <f t="shared" si="145"/>
        <v>123606</v>
      </c>
      <c r="S6218" s="456">
        <v>202303</v>
      </c>
      <c r="T6218" s="184" t="s">
        <v>8286</v>
      </c>
      <c r="U6218" s="457"/>
      <c r="V6218" s="458"/>
      <c r="W6218" s="458"/>
      <c r="X6218" s="190">
        <v>44799</v>
      </c>
      <c r="Y6218" s="467">
        <v>45163</v>
      </c>
    </row>
    <row r="6219" s="9" customFormat="1" customHeight="1" spans="1:25">
      <c r="A6219" s="446" t="s">
        <v>403</v>
      </c>
      <c r="B6219" s="446" t="s">
        <v>8192</v>
      </c>
      <c r="C6219" s="446" t="s">
        <v>63</v>
      </c>
      <c r="D6219" s="446" t="s">
        <v>6237</v>
      </c>
      <c r="E6219" s="105" t="s">
        <v>8193</v>
      </c>
      <c r="F6219" s="96" t="s">
        <v>8194</v>
      </c>
      <c r="G6219" s="96" t="s">
        <v>88</v>
      </c>
      <c r="H6219" s="19" t="s">
        <v>8283</v>
      </c>
      <c r="I6219" s="23" t="e">
        <f>VLOOKUP(H6219,'合同综合查询数据（3月返）'!$A:$A,1,FALSE)</f>
        <v>#N/A</v>
      </c>
      <c r="J6219" s="448" t="s">
        <v>90</v>
      </c>
      <c r="K6219" s="96" t="s">
        <v>8284</v>
      </c>
      <c r="L6219" s="153"/>
      <c r="M6219" s="449" t="s">
        <v>8285</v>
      </c>
      <c r="N6219" s="450">
        <v>43703</v>
      </c>
      <c r="O6219" s="96" t="s">
        <v>3649</v>
      </c>
      <c r="P6219" s="463">
        <v>20288</v>
      </c>
      <c r="Q6219" s="463">
        <v>10</v>
      </c>
      <c r="R6219" s="119">
        <f t="shared" si="145"/>
        <v>202880</v>
      </c>
      <c r="S6219" s="456">
        <v>202303</v>
      </c>
      <c r="T6219" s="184" t="s">
        <v>8286</v>
      </c>
      <c r="U6219" s="457"/>
      <c r="V6219" s="458"/>
      <c r="W6219" s="458"/>
      <c r="X6219" s="190">
        <v>44799</v>
      </c>
      <c r="Y6219" s="467">
        <v>45163</v>
      </c>
    </row>
    <row r="6220" s="9" customFormat="1" customHeight="1" spans="1:25">
      <c r="A6220" s="446" t="s">
        <v>403</v>
      </c>
      <c r="B6220" s="446" t="s">
        <v>8192</v>
      </c>
      <c r="C6220" s="446" t="s">
        <v>63</v>
      </c>
      <c r="D6220" s="446" t="s">
        <v>6237</v>
      </c>
      <c r="E6220" s="105" t="s">
        <v>8193</v>
      </c>
      <c r="F6220" s="96" t="s">
        <v>8194</v>
      </c>
      <c r="G6220" s="96" t="s">
        <v>88</v>
      </c>
      <c r="H6220" s="19" t="s">
        <v>8283</v>
      </c>
      <c r="I6220" s="23" t="e">
        <f>VLOOKUP(H6220,'合同综合查询数据（3月返）'!$A:$A,1,FALSE)</f>
        <v>#N/A</v>
      </c>
      <c r="J6220" s="448" t="s">
        <v>90</v>
      </c>
      <c r="K6220" s="96" t="s">
        <v>8284</v>
      </c>
      <c r="L6220" s="153"/>
      <c r="M6220" s="449" t="s">
        <v>8285</v>
      </c>
      <c r="N6220" s="450">
        <v>43703</v>
      </c>
      <c r="O6220" s="96" t="s">
        <v>545</v>
      </c>
      <c r="P6220" s="463">
        <v>3433</v>
      </c>
      <c r="Q6220" s="463">
        <v>14</v>
      </c>
      <c r="R6220" s="119">
        <f t="shared" si="145"/>
        <v>48062</v>
      </c>
      <c r="S6220" s="456">
        <v>202303</v>
      </c>
      <c r="T6220" s="184" t="s">
        <v>8287</v>
      </c>
      <c r="U6220" s="457"/>
      <c r="V6220" s="458"/>
      <c r="W6220" s="458"/>
      <c r="X6220" s="190">
        <v>44799</v>
      </c>
      <c r="Y6220" s="467">
        <v>45163</v>
      </c>
    </row>
    <row r="6221" s="9" customFormat="1" customHeight="1" spans="1:25">
      <c r="A6221" s="446" t="s">
        <v>403</v>
      </c>
      <c r="B6221" s="446" t="s">
        <v>8192</v>
      </c>
      <c r="C6221" s="446" t="s">
        <v>63</v>
      </c>
      <c r="D6221" s="446" t="s">
        <v>6237</v>
      </c>
      <c r="E6221" s="105" t="s">
        <v>8193</v>
      </c>
      <c r="F6221" s="96" t="s">
        <v>8194</v>
      </c>
      <c r="G6221" s="96" t="s">
        <v>88</v>
      </c>
      <c r="H6221" s="19" t="s">
        <v>8283</v>
      </c>
      <c r="I6221" s="23" t="e">
        <f>VLOOKUP(H6221,'合同综合查询数据（3月返）'!$A:$A,1,FALSE)</f>
        <v>#N/A</v>
      </c>
      <c r="J6221" s="448" t="s">
        <v>90</v>
      </c>
      <c r="K6221" s="96" t="s">
        <v>8284</v>
      </c>
      <c r="L6221" s="153"/>
      <c r="M6221" s="449" t="s">
        <v>8285</v>
      </c>
      <c r="N6221" s="450">
        <v>43838</v>
      </c>
      <c r="O6221" s="96" t="s">
        <v>457</v>
      </c>
      <c r="P6221" s="463">
        <v>6867</v>
      </c>
      <c r="Q6221" s="463">
        <v>1</v>
      </c>
      <c r="R6221" s="119">
        <f t="shared" si="145"/>
        <v>6867</v>
      </c>
      <c r="S6221" s="456">
        <v>202303</v>
      </c>
      <c r="T6221" s="184" t="s">
        <v>8288</v>
      </c>
      <c r="U6221" s="457"/>
      <c r="V6221" s="458"/>
      <c r="W6221" s="458"/>
      <c r="X6221" s="190">
        <v>44799</v>
      </c>
      <c r="Y6221" s="467">
        <v>45163</v>
      </c>
    </row>
    <row r="6222" s="9" customFormat="1" customHeight="1" spans="1:25">
      <c r="A6222" s="446" t="s">
        <v>403</v>
      </c>
      <c r="B6222" s="446" t="s">
        <v>8192</v>
      </c>
      <c r="C6222" s="446" t="s">
        <v>63</v>
      </c>
      <c r="D6222" s="446" t="s">
        <v>6237</v>
      </c>
      <c r="E6222" s="105" t="s">
        <v>8193</v>
      </c>
      <c r="F6222" s="96" t="s">
        <v>8194</v>
      </c>
      <c r="G6222" s="96" t="s">
        <v>88</v>
      </c>
      <c r="H6222" s="19" t="s">
        <v>8283</v>
      </c>
      <c r="I6222" s="23" t="e">
        <f>VLOOKUP(H6222,'合同综合查询数据（3月返）'!$A:$A,1,FALSE)</f>
        <v>#N/A</v>
      </c>
      <c r="J6222" s="448" t="s">
        <v>90</v>
      </c>
      <c r="K6222" s="96" t="s">
        <v>8284</v>
      </c>
      <c r="L6222" s="153"/>
      <c r="M6222" s="449" t="s">
        <v>8285</v>
      </c>
      <c r="N6222" s="450">
        <v>43847</v>
      </c>
      <c r="O6222" s="96" t="s">
        <v>457</v>
      </c>
      <c r="P6222" s="463">
        <v>6867</v>
      </c>
      <c r="Q6222" s="463">
        <v>50</v>
      </c>
      <c r="R6222" s="119">
        <f t="shared" si="145"/>
        <v>343350</v>
      </c>
      <c r="S6222" s="456">
        <v>202303</v>
      </c>
      <c r="T6222" s="184" t="s">
        <v>8288</v>
      </c>
      <c r="U6222" s="457"/>
      <c r="V6222" s="458"/>
      <c r="W6222" s="458"/>
      <c r="X6222" s="190">
        <v>44799</v>
      </c>
      <c r="Y6222" s="467">
        <v>45163</v>
      </c>
    </row>
    <row r="6223" s="9" customFormat="1" customHeight="1" spans="1:25">
      <c r="A6223" s="446" t="s">
        <v>403</v>
      </c>
      <c r="B6223" s="446" t="s">
        <v>8192</v>
      </c>
      <c r="C6223" s="446" t="s">
        <v>63</v>
      </c>
      <c r="D6223" s="446" t="s">
        <v>6237</v>
      </c>
      <c r="E6223" s="105" t="s">
        <v>8193</v>
      </c>
      <c r="F6223" s="96" t="s">
        <v>8194</v>
      </c>
      <c r="G6223" s="96" t="s">
        <v>88</v>
      </c>
      <c r="H6223" s="19" t="s">
        <v>8283</v>
      </c>
      <c r="I6223" s="23" t="e">
        <f>VLOOKUP(H6223,'合同综合查询数据（3月返）'!$A:$A,1,FALSE)</f>
        <v>#N/A</v>
      </c>
      <c r="J6223" s="448" t="s">
        <v>90</v>
      </c>
      <c r="K6223" s="96" t="s">
        <v>8284</v>
      </c>
      <c r="L6223" s="153"/>
      <c r="M6223" s="449" t="s">
        <v>8285</v>
      </c>
      <c r="N6223" s="450">
        <v>43849</v>
      </c>
      <c r="O6223" s="96" t="s">
        <v>457</v>
      </c>
      <c r="P6223" s="463">
        <v>6867</v>
      </c>
      <c r="Q6223" s="463">
        <v>18</v>
      </c>
      <c r="R6223" s="119">
        <f t="shared" si="145"/>
        <v>123606</v>
      </c>
      <c r="S6223" s="456">
        <v>202303</v>
      </c>
      <c r="T6223" s="184" t="s">
        <v>8288</v>
      </c>
      <c r="U6223" s="457"/>
      <c r="V6223" s="458"/>
      <c r="W6223" s="458"/>
      <c r="X6223" s="190">
        <v>44799</v>
      </c>
      <c r="Y6223" s="467">
        <v>45163</v>
      </c>
    </row>
    <row r="6224" s="9" customFormat="1" customHeight="1" spans="1:25">
      <c r="A6224" s="446" t="s">
        <v>403</v>
      </c>
      <c r="B6224" s="446" t="s">
        <v>8192</v>
      </c>
      <c r="C6224" s="446" t="s">
        <v>63</v>
      </c>
      <c r="D6224" s="446" t="s">
        <v>6237</v>
      </c>
      <c r="E6224" s="105" t="s">
        <v>8193</v>
      </c>
      <c r="F6224" s="96" t="s">
        <v>8194</v>
      </c>
      <c r="G6224" s="96" t="s">
        <v>88</v>
      </c>
      <c r="H6224" s="19" t="s">
        <v>8283</v>
      </c>
      <c r="I6224" s="23" t="e">
        <f>VLOOKUP(H6224,'合同综合查询数据（3月返）'!$A:$A,1,FALSE)</f>
        <v>#N/A</v>
      </c>
      <c r="J6224" s="448" t="s">
        <v>90</v>
      </c>
      <c r="K6224" s="96" t="s">
        <v>8284</v>
      </c>
      <c r="L6224" s="153"/>
      <c r="M6224" s="449" t="s">
        <v>8285</v>
      </c>
      <c r="N6224" s="450">
        <v>43872</v>
      </c>
      <c r="O6224" s="96" t="s">
        <v>457</v>
      </c>
      <c r="P6224" s="463">
        <v>6867</v>
      </c>
      <c r="Q6224" s="463">
        <v>26</v>
      </c>
      <c r="R6224" s="119">
        <f t="shared" si="145"/>
        <v>178542</v>
      </c>
      <c r="S6224" s="456">
        <v>202303</v>
      </c>
      <c r="T6224" s="184" t="s">
        <v>8289</v>
      </c>
      <c r="U6224" s="457"/>
      <c r="V6224" s="458"/>
      <c r="W6224" s="458"/>
      <c r="X6224" s="190">
        <v>44799</v>
      </c>
      <c r="Y6224" s="467">
        <v>45163</v>
      </c>
    </row>
    <row r="6225" s="9" customFormat="1" customHeight="1" spans="1:25">
      <c r="A6225" s="446" t="s">
        <v>403</v>
      </c>
      <c r="B6225" s="446" t="s">
        <v>8192</v>
      </c>
      <c r="C6225" s="446" t="s">
        <v>63</v>
      </c>
      <c r="D6225" s="446" t="s">
        <v>6237</v>
      </c>
      <c r="E6225" s="105" t="s">
        <v>8193</v>
      </c>
      <c r="F6225" s="96" t="s">
        <v>8194</v>
      </c>
      <c r="G6225" s="96" t="s">
        <v>88</v>
      </c>
      <c r="H6225" s="19" t="s">
        <v>8283</v>
      </c>
      <c r="I6225" s="23" t="e">
        <f>VLOOKUP(H6225,'合同综合查询数据（3月返）'!$A:$A,1,FALSE)</f>
        <v>#N/A</v>
      </c>
      <c r="J6225" s="448" t="s">
        <v>90</v>
      </c>
      <c r="K6225" s="96" t="s">
        <v>8284</v>
      </c>
      <c r="L6225" s="153"/>
      <c r="M6225" s="449" t="s">
        <v>8285</v>
      </c>
      <c r="N6225" s="450">
        <v>43873</v>
      </c>
      <c r="O6225" s="96" t="s">
        <v>457</v>
      </c>
      <c r="P6225" s="463">
        <v>6867</v>
      </c>
      <c r="Q6225" s="463">
        <v>49</v>
      </c>
      <c r="R6225" s="119">
        <f t="shared" si="145"/>
        <v>336483</v>
      </c>
      <c r="S6225" s="456">
        <v>202303</v>
      </c>
      <c r="T6225" s="184" t="s">
        <v>8289</v>
      </c>
      <c r="U6225" s="457"/>
      <c r="V6225" s="458"/>
      <c r="W6225" s="458"/>
      <c r="X6225" s="190">
        <v>44799</v>
      </c>
      <c r="Y6225" s="467">
        <v>45163</v>
      </c>
    </row>
    <row r="6226" s="9" customFormat="1" customHeight="1" spans="1:25">
      <c r="A6226" s="446" t="s">
        <v>403</v>
      </c>
      <c r="B6226" s="446" t="s">
        <v>8192</v>
      </c>
      <c r="C6226" s="446" t="s">
        <v>63</v>
      </c>
      <c r="D6226" s="446" t="s">
        <v>6237</v>
      </c>
      <c r="E6226" s="105" t="s">
        <v>8193</v>
      </c>
      <c r="F6226" s="96" t="s">
        <v>8194</v>
      </c>
      <c r="G6226" s="96" t="s">
        <v>88</v>
      </c>
      <c r="H6226" s="19" t="s">
        <v>8283</v>
      </c>
      <c r="I6226" s="23" t="e">
        <f>VLOOKUP(H6226,'合同综合查询数据（3月返）'!$A:$A,1,FALSE)</f>
        <v>#N/A</v>
      </c>
      <c r="J6226" s="448" t="s">
        <v>90</v>
      </c>
      <c r="K6226" s="96" t="s">
        <v>8284</v>
      </c>
      <c r="L6226" s="153"/>
      <c r="M6226" s="449" t="s">
        <v>8285</v>
      </c>
      <c r="N6226" s="450">
        <v>43874</v>
      </c>
      <c r="O6226" s="96" t="s">
        <v>457</v>
      </c>
      <c r="P6226" s="463">
        <v>6867</v>
      </c>
      <c r="Q6226" s="463">
        <v>4</v>
      </c>
      <c r="R6226" s="119">
        <f t="shared" si="145"/>
        <v>27468</v>
      </c>
      <c r="S6226" s="456">
        <v>202303</v>
      </c>
      <c r="T6226" s="184" t="s">
        <v>8289</v>
      </c>
      <c r="U6226" s="457"/>
      <c r="V6226" s="458"/>
      <c r="W6226" s="458"/>
      <c r="X6226" s="190">
        <v>44799</v>
      </c>
      <c r="Y6226" s="467">
        <v>45163</v>
      </c>
    </row>
    <row r="6227" s="9" customFormat="1" customHeight="1" spans="1:25">
      <c r="A6227" s="446" t="s">
        <v>403</v>
      </c>
      <c r="B6227" s="446" t="s">
        <v>8192</v>
      </c>
      <c r="C6227" s="446" t="s">
        <v>63</v>
      </c>
      <c r="D6227" s="446" t="s">
        <v>6237</v>
      </c>
      <c r="E6227" s="105" t="s">
        <v>8193</v>
      </c>
      <c r="F6227" s="96" t="s">
        <v>8194</v>
      </c>
      <c r="G6227" s="96" t="s">
        <v>88</v>
      </c>
      <c r="H6227" s="19" t="s">
        <v>8283</v>
      </c>
      <c r="I6227" s="23" t="e">
        <f>VLOOKUP(H6227,'合同综合查询数据（3月返）'!$A:$A,1,FALSE)</f>
        <v>#N/A</v>
      </c>
      <c r="J6227" s="448" t="s">
        <v>90</v>
      </c>
      <c r="K6227" s="96" t="s">
        <v>8284</v>
      </c>
      <c r="L6227" s="153"/>
      <c r="M6227" s="449" t="s">
        <v>8285</v>
      </c>
      <c r="N6227" s="450" t="s">
        <v>8290</v>
      </c>
      <c r="O6227" s="96" t="s">
        <v>457</v>
      </c>
      <c r="P6227" s="463">
        <v>6867</v>
      </c>
      <c r="Q6227" s="463">
        <v>-2</v>
      </c>
      <c r="R6227" s="119">
        <f t="shared" si="145"/>
        <v>-13734</v>
      </c>
      <c r="S6227" s="456">
        <v>202303</v>
      </c>
      <c r="T6227" s="184" t="s">
        <v>8289</v>
      </c>
      <c r="U6227" s="457"/>
      <c r="V6227" s="458"/>
      <c r="W6227" s="458"/>
      <c r="X6227" s="190">
        <v>44799</v>
      </c>
      <c r="Y6227" s="467">
        <v>45163</v>
      </c>
    </row>
    <row r="6228" s="9" customFormat="1" customHeight="1" spans="1:25">
      <c r="A6228" s="446" t="s">
        <v>403</v>
      </c>
      <c r="B6228" s="446" t="s">
        <v>8192</v>
      </c>
      <c r="C6228" s="446" t="s">
        <v>63</v>
      </c>
      <c r="D6228" s="446" t="s">
        <v>6237</v>
      </c>
      <c r="E6228" s="105" t="s">
        <v>8193</v>
      </c>
      <c r="F6228" s="96" t="s">
        <v>8194</v>
      </c>
      <c r="G6228" s="96" t="s">
        <v>88</v>
      </c>
      <c r="H6228" s="19" t="s">
        <v>8283</v>
      </c>
      <c r="I6228" s="23" t="e">
        <f>VLOOKUP(H6228,'合同综合查询数据（3月返）'!$A:$A,1,FALSE)</f>
        <v>#N/A</v>
      </c>
      <c r="J6228" s="448" t="s">
        <v>90</v>
      </c>
      <c r="K6228" s="96" t="s">
        <v>8284</v>
      </c>
      <c r="L6228" s="153"/>
      <c r="M6228" s="449" t="s">
        <v>8285</v>
      </c>
      <c r="N6228" s="450" t="s">
        <v>8291</v>
      </c>
      <c r="O6228" s="96" t="s">
        <v>457</v>
      </c>
      <c r="P6228" s="463">
        <v>6867</v>
      </c>
      <c r="Q6228" s="463">
        <v>-50</v>
      </c>
      <c r="R6228" s="119">
        <f t="shared" si="145"/>
        <v>-343350</v>
      </c>
      <c r="S6228" s="456">
        <v>202303</v>
      </c>
      <c r="T6228" s="184" t="s">
        <v>8289</v>
      </c>
      <c r="U6228" s="457"/>
      <c r="V6228" s="458"/>
      <c r="W6228" s="458"/>
      <c r="X6228" s="190">
        <v>44799</v>
      </c>
      <c r="Y6228" s="467">
        <v>45163</v>
      </c>
    </row>
    <row r="6229" s="9" customFormat="1" customHeight="1" spans="1:25">
      <c r="A6229" s="446" t="s">
        <v>403</v>
      </c>
      <c r="B6229" s="446" t="s">
        <v>8192</v>
      </c>
      <c r="C6229" s="446" t="s">
        <v>63</v>
      </c>
      <c r="D6229" s="446" t="s">
        <v>6237</v>
      </c>
      <c r="E6229" s="105" t="s">
        <v>8193</v>
      </c>
      <c r="F6229" s="96" t="s">
        <v>8194</v>
      </c>
      <c r="G6229" s="96" t="s">
        <v>88</v>
      </c>
      <c r="H6229" s="19" t="s">
        <v>8283</v>
      </c>
      <c r="I6229" s="23" t="e">
        <f>VLOOKUP(H6229,'合同综合查询数据（3月返）'!$A:$A,1,FALSE)</f>
        <v>#N/A</v>
      </c>
      <c r="J6229" s="448" t="s">
        <v>90</v>
      </c>
      <c r="K6229" s="96" t="s">
        <v>8284</v>
      </c>
      <c r="L6229" s="153"/>
      <c r="M6229" s="449" t="s">
        <v>8285</v>
      </c>
      <c r="N6229" s="450">
        <v>43894</v>
      </c>
      <c r="O6229" s="96" t="s">
        <v>457</v>
      </c>
      <c r="P6229" s="463">
        <v>6867</v>
      </c>
      <c r="Q6229" s="463">
        <v>1</v>
      </c>
      <c r="R6229" s="119">
        <f t="shared" si="145"/>
        <v>6867</v>
      </c>
      <c r="S6229" s="456">
        <v>202303</v>
      </c>
      <c r="T6229" s="184"/>
      <c r="U6229" s="457"/>
      <c r="V6229" s="458"/>
      <c r="W6229" s="458"/>
      <c r="X6229" s="190">
        <v>44799</v>
      </c>
      <c r="Y6229" s="467">
        <v>45163</v>
      </c>
    </row>
    <row r="6230" s="9" customFormat="1" customHeight="1" spans="1:25">
      <c r="A6230" s="446" t="s">
        <v>403</v>
      </c>
      <c r="B6230" s="446" t="s">
        <v>8192</v>
      </c>
      <c r="C6230" s="446" t="s">
        <v>63</v>
      </c>
      <c r="D6230" s="446" t="s">
        <v>6237</v>
      </c>
      <c r="E6230" s="105" t="s">
        <v>8193</v>
      </c>
      <c r="F6230" s="96" t="s">
        <v>8194</v>
      </c>
      <c r="G6230" s="96" t="s">
        <v>88</v>
      </c>
      <c r="H6230" s="19" t="s">
        <v>8283</v>
      </c>
      <c r="I6230" s="23" t="e">
        <f>VLOOKUP(H6230,'合同综合查询数据（3月返）'!$A:$A,1,FALSE)</f>
        <v>#N/A</v>
      </c>
      <c r="J6230" s="448" t="s">
        <v>90</v>
      </c>
      <c r="K6230" s="96" t="s">
        <v>8284</v>
      </c>
      <c r="L6230" s="153"/>
      <c r="M6230" s="449" t="s">
        <v>8285</v>
      </c>
      <c r="N6230" s="450">
        <v>43915</v>
      </c>
      <c r="O6230" s="96" t="s">
        <v>457</v>
      </c>
      <c r="P6230" s="463">
        <v>6867</v>
      </c>
      <c r="Q6230" s="463">
        <v>3</v>
      </c>
      <c r="R6230" s="119">
        <f t="shared" si="145"/>
        <v>20601</v>
      </c>
      <c r="S6230" s="456">
        <v>202303</v>
      </c>
      <c r="T6230" s="469"/>
      <c r="U6230" s="470"/>
      <c r="V6230" s="471"/>
      <c r="W6230" s="471"/>
      <c r="X6230" s="190">
        <v>44799</v>
      </c>
      <c r="Y6230" s="467">
        <v>45163</v>
      </c>
    </row>
    <row r="6231" s="9" customFormat="1" customHeight="1" spans="1:25">
      <c r="A6231" s="446" t="s">
        <v>403</v>
      </c>
      <c r="B6231" s="446" t="s">
        <v>8192</v>
      </c>
      <c r="C6231" s="446" t="s">
        <v>63</v>
      </c>
      <c r="D6231" s="446" t="s">
        <v>6237</v>
      </c>
      <c r="E6231" s="105" t="s">
        <v>8193</v>
      </c>
      <c r="F6231" s="96" t="s">
        <v>8194</v>
      </c>
      <c r="G6231" s="96" t="s">
        <v>88</v>
      </c>
      <c r="H6231" s="19" t="s">
        <v>8283</v>
      </c>
      <c r="I6231" s="23" t="e">
        <f>VLOOKUP(H6231,'合同综合查询数据（3月返）'!$A:$A,1,FALSE)</f>
        <v>#N/A</v>
      </c>
      <c r="J6231" s="448" t="s">
        <v>90</v>
      </c>
      <c r="K6231" s="96" t="s">
        <v>8284</v>
      </c>
      <c r="L6231" s="153"/>
      <c r="M6231" s="449" t="s">
        <v>8285</v>
      </c>
      <c r="N6231" s="450" t="s">
        <v>8292</v>
      </c>
      <c r="O6231" s="96" t="s">
        <v>457</v>
      </c>
      <c r="P6231" s="463">
        <v>6867</v>
      </c>
      <c r="Q6231" s="463">
        <v>-1</v>
      </c>
      <c r="R6231" s="119">
        <f t="shared" si="145"/>
        <v>-6867</v>
      </c>
      <c r="S6231" s="456">
        <v>202303</v>
      </c>
      <c r="T6231" s="184"/>
      <c r="U6231" s="457"/>
      <c r="V6231" s="458"/>
      <c r="W6231" s="458"/>
      <c r="X6231" s="190">
        <v>44799</v>
      </c>
      <c r="Y6231" s="467">
        <v>45163</v>
      </c>
    </row>
    <row r="6232" s="9" customFormat="1" customHeight="1" spans="1:25">
      <c r="A6232" s="446" t="s">
        <v>403</v>
      </c>
      <c r="B6232" s="446" t="s">
        <v>8192</v>
      </c>
      <c r="C6232" s="446" t="s">
        <v>63</v>
      </c>
      <c r="D6232" s="446" t="s">
        <v>6237</v>
      </c>
      <c r="E6232" s="105" t="s">
        <v>8193</v>
      </c>
      <c r="F6232" s="96" t="s">
        <v>8194</v>
      </c>
      <c r="G6232" s="96" t="s">
        <v>88</v>
      </c>
      <c r="H6232" s="19" t="s">
        <v>8283</v>
      </c>
      <c r="I6232" s="23" t="e">
        <f>VLOOKUP(H6232,'合同综合查询数据（3月返）'!$A:$A,1,FALSE)</f>
        <v>#N/A</v>
      </c>
      <c r="J6232" s="448" t="s">
        <v>90</v>
      </c>
      <c r="K6232" s="96" t="s">
        <v>8284</v>
      </c>
      <c r="L6232" s="153"/>
      <c r="M6232" s="449" t="s">
        <v>8285</v>
      </c>
      <c r="N6232" s="450" t="s">
        <v>8293</v>
      </c>
      <c r="O6232" s="96" t="s">
        <v>457</v>
      </c>
      <c r="P6232" s="463">
        <v>6867</v>
      </c>
      <c r="Q6232" s="463">
        <v>-1</v>
      </c>
      <c r="R6232" s="119">
        <f t="shared" si="145"/>
        <v>-6867</v>
      </c>
      <c r="S6232" s="456">
        <v>202303</v>
      </c>
      <c r="T6232" s="184"/>
      <c r="U6232" s="457"/>
      <c r="V6232" s="458"/>
      <c r="W6232" s="458"/>
      <c r="X6232" s="190">
        <v>44799</v>
      </c>
      <c r="Y6232" s="467">
        <v>45163</v>
      </c>
    </row>
    <row r="6233" s="9" customFormat="1" customHeight="1" spans="1:25">
      <c r="A6233" s="446" t="s">
        <v>403</v>
      </c>
      <c r="B6233" s="446" t="s">
        <v>8192</v>
      </c>
      <c r="C6233" s="446" t="s">
        <v>63</v>
      </c>
      <c r="D6233" s="446" t="s">
        <v>6237</v>
      </c>
      <c r="E6233" s="105" t="s">
        <v>8193</v>
      </c>
      <c r="F6233" s="96" t="s">
        <v>8194</v>
      </c>
      <c r="G6233" s="96" t="s">
        <v>88</v>
      </c>
      <c r="H6233" s="19" t="s">
        <v>8283</v>
      </c>
      <c r="I6233" s="23" t="e">
        <f>VLOOKUP(H6233,'合同综合查询数据（3月返）'!$A:$A,1,FALSE)</f>
        <v>#N/A</v>
      </c>
      <c r="J6233" s="448" t="s">
        <v>90</v>
      </c>
      <c r="K6233" s="96" t="s">
        <v>8284</v>
      </c>
      <c r="L6233" s="153"/>
      <c r="M6233" s="449" t="s">
        <v>8285</v>
      </c>
      <c r="N6233" s="450">
        <v>43960</v>
      </c>
      <c r="O6233" s="96" t="s">
        <v>457</v>
      </c>
      <c r="P6233" s="463">
        <v>6867</v>
      </c>
      <c r="Q6233" s="463">
        <v>3</v>
      </c>
      <c r="R6233" s="119">
        <f t="shared" si="145"/>
        <v>20601</v>
      </c>
      <c r="S6233" s="456">
        <v>202303</v>
      </c>
      <c r="T6233" s="184"/>
      <c r="U6233" s="457"/>
      <c r="V6233" s="458"/>
      <c r="W6233" s="458"/>
      <c r="X6233" s="190">
        <v>44799</v>
      </c>
      <c r="Y6233" s="467">
        <v>45163</v>
      </c>
    </row>
    <row r="6234" s="9" customFormat="1" customHeight="1" spans="1:25">
      <c r="A6234" s="446" t="s">
        <v>403</v>
      </c>
      <c r="B6234" s="446" t="s">
        <v>8192</v>
      </c>
      <c r="C6234" s="446" t="s">
        <v>63</v>
      </c>
      <c r="D6234" s="446" t="s">
        <v>6237</v>
      </c>
      <c r="E6234" s="105" t="s">
        <v>8193</v>
      </c>
      <c r="F6234" s="96" t="s">
        <v>8194</v>
      </c>
      <c r="G6234" s="96" t="s">
        <v>88</v>
      </c>
      <c r="H6234" s="19" t="s">
        <v>8283</v>
      </c>
      <c r="I6234" s="23" t="e">
        <f>VLOOKUP(H6234,'合同综合查询数据（3月返）'!$A:$A,1,FALSE)</f>
        <v>#N/A</v>
      </c>
      <c r="J6234" s="448" t="s">
        <v>90</v>
      </c>
      <c r="K6234" s="96" t="s">
        <v>8284</v>
      </c>
      <c r="L6234" s="153"/>
      <c r="M6234" s="449" t="s">
        <v>8285</v>
      </c>
      <c r="N6234" s="450">
        <v>44001</v>
      </c>
      <c r="O6234" s="96" t="s">
        <v>457</v>
      </c>
      <c r="P6234" s="463">
        <v>6867</v>
      </c>
      <c r="Q6234" s="463">
        <v>21</v>
      </c>
      <c r="R6234" s="119">
        <f t="shared" si="145"/>
        <v>144207</v>
      </c>
      <c r="S6234" s="456">
        <v>202303</v>
      </c>
      <c r="T6234" s="184" t="s">
        <v>8294</v>
      </c>
      <c r="U6234" s="457"/>
      <c r="V6234" s="458"/>
      <c r="W6234" s="458"/>
      <c r="X6234" s="190">
        <v>44799</v>
      </c>
      <c r="Y6234" s="467">
        <v>45163</v>
      </c>
    </row>
    <row r="6235" s="9" customFormat="1" customHeight="1" spans="1:25">
      <c r="A6235" s="446" t="s">
        <v>403</v>
      </c>
      <c r="B6235" s="446" t="s">
        <v>8192</v>
      </c>
      <c r="C6235" s="446" t="s">
        <v>63</v>
      </c>
      <c r="D6235" s="446" t="s">
        <v>6237</v>
      </c>
      <c r="E6235" s="105" t="s">
        <v>8193</v>
      </c>
      <c r="F6235" s="96" t="s">
        <v>8194</v>
      </c>
      <c r="G6235" s="96" t="s">
        <v>88</v>
      </c>
      <c r="H6235" s="19" t="s">
        <v>8283</v>
      </c>
      <c r="I6235" s="23" t="e">
        <f>VLOOKUP(H6235,'合同综合查询数据（3月返）'!$A:$A,1,FALSE)</f>
        <v>#N/A</v>
      </c>
      <c r="J6235" s="448" t="s">
        <v>90</v>
      </c>
      <c r="K6235" s="96" t="s">
        <v>8284</v>
      </c>
      <c r="L6235" s="153"/>
      <c r="M6235" s="449" t="s">
        <v>8285</v>
      </c>
      <c r="N6235" s="450">
        <v>44019</v>
      </c>
      <c r="O6235" s="96" t="s">
        <v>457</v>
      </c>
      <c r="P6235" s="463">
        <v>6867</v>
      </c>
      <c r="Q6235" s="463">
        <v>11</v>
      </c>
      <c r="R6235" s="119">
        <f t="shared" si="145"/>
        <v>75537</v>
      </c>
      <c r="S6235" s="456">
        <v>202303</v>
      </c>
      <c r="T6235" s="184" t="s">
        <v>8295</v>
      </c>
      <c r="U6235" s="457"/>
      <c r="V6235" s="458"/>
      <c r="W6235" s="458"/>
      <c r="X6235" s="190">
        <v>44799</v>
      </c>
      <c r="Y6235" s="467">
        <v>45163</v>
      </c>
    </row>
    <row r="6236" s="9" customFormat="1" customHeight="1" spans="1:25">
      <c r="A6236" s="446" t="s">
        <v>403</v>
      </c>
      <c r="B6236" s="446" t="s">
        <v>8192</v>
      </c>
      <c r="C6236" s="446" t="s">
        <v>63</v>
      </c>
      <c r="D6236" s="446" t="s">
        <v>6237</v>
      </c>
      <c r="E6236" s="105" t="s">
        <v>8193</v>
      </c>
      <c r="F6236" s="96" t="s">
        <v>8194</v>
      </c>
      <c r="G6236" s="96" t="s">
        <v>88</v>
      </c>
      <c r="H6236" s="19" t="s">
        <v>8283</v>
      </c>
      <c r="I6236" s="23" t="e">
        <f>VLOOKUP(H6236,'合同综合查询数据（3月返）'!$A:$A,1,FALSE)</f>
        <v>#N/A</v>
      </c>
      <c r="J6236" s="448" t="s">
        <v>90</v>
      </c>
      <c r="K6236" s="96" t="s">
        <v>8284</v>
      </c>
      <c r="L6236" s="153"/>
      <c r="M6236" s="449" t="s">
        <v>8285</v>
      </c>
      <c r="N6236" s="450">
        <v>44022</v>
      </c>
      <c r="O6236" s="96" t="s">
        <v>457</v>
      </c>
      <c r="P6236" s="463">
        <v>6867</v>
      </c>
      <c r="Q6236" s="463">
        <v>3</v>
      </c>
      <c r="R6236" s="119">
        <f t="shared" si="145"/>
        <v>20601</v>
      </c>
      <c r="S6236" s="456">
        <v>202303</v>
      </c>
      <c r="T6236" s="184" t="s">
        <v>8295</v>
      </c>
      <c r="U6236" s="457"/>
      <c r="V6236" s="458"/>
      <c r="W6236" s="458"/>
      <c r="X6236" s="190">
        <v>44799</v>
      </c>
      <c r="Y6236" s="467">
        <v>45163</v>
      </c>
    </row>
    <row r="6237" s="9" customFormat="1" customHeight="1" spans="1:25">
      <c r="A6237" s="446" t="s">
        <v>403</v>
      </c>
      <c r="B6237" s="446" t="s">
        <v>8192</v>
      </c>
      <c r="C6237" s="446" t="s">
        <v>63</v>
      </c>
      <c r="D6237" s="446" t="s">
        <v>6237</v>
      </c>
      <c r="E6237" s="105" t="s">
        <v>8193</v>
      </c>
      <c r="F6237" s="96" t="s">
        <v>8194</v>
      </c>
      <c r="G6237" s="96" t="s">
        <v>88</v>
      </c>
      <c r="H6237" s="19" t="s">
        <v>8283</v>
      </c>
      <c r="I6237" s="23" t="e">
        <f>VLOOKUP(H6237,'合同综合查询数据（3月返）'!$A:$A,1,FALSE)</f>
        <v>#N/A</v>
      </c>
      <c r="J6237" s="448" t="s">
        <v>90</v>
      </c>
      <c r="K6237" s="96" t="s">
        <v>8284</v>
      </c>
      <c r="L6237" s="153"/>
      <c r="M6237" s="449" t="s">
        <v>8285</v>
      </c>
      <c r="N6237" s="450">
        <v>44030</v>
      </c>
      <c r="O6237" s="96" t="s">
        <v>457</v>
      </c>
      <c r="P6237" s="463">
        <v>6867</v>
      </c>
      <c r="Q6237" s="463">
        <v>2</v>
      </c>
      <c r="R6237" s="119">
        <f t="shared" si="145"/>
        <v>13734</v>
      </c>
      <c r="S6237" s="456">
        <v>202303</v>
      </c>
      <c r="T6237" s="184" t="s">
        <v>8295</v>
      </c>
      <c r="U6237" s="457"/>
      <c r="V6237" s="458"/>
      <c r="W6237" s="458"/>
      <c r="X6237" s="190">
        <v>44799</v>
      </c>
      <c r="Y6237" s="467">
        <v>45163</v>
      </c>
    </row>
    <row r="6238" s="9" customFormat="1" customHeight="1" spans="1:25">
      <c r="A6238" s="446" t="s">
        <v>403</v>
      </c>
      <c r="B6238" s="446" t="s">
        <v>8192</v>
      </c>
      <c r="C6238" s="446" t="s">
        <v>63</v>
      </c>
      <c r="D6238" s="446" t="s">
        <v>6237</v>
      </c>
      <c r="E6238" s="105" t="s">
        <v>8193</v>
      </c>
      <c r="F6238" s="96" t="s">
        <v>8194</v>
      </c>
      <c r="G6238" s="96" t="s">
        <v>88</v>
      </c>
      <c r="H6238" s="19" t="s">
        <v>8283</v>
      </c>
      <c r="I6238" s="23" t="e">
        <f>VLOOKUP(H6238,'合同综合查询数据（3月返）'!$A:$A,1,FALSE)</f>
        <v>#N/A</v>
      </c>
      <c r="J6238" s="448" t="s">
        <v>90</v>
      </c>
      <c r="K6238" s="96" t="s">
        <v>8284</v>
      </c>
      <c r="L6238" s="153"/>
      <c r="M6238" s="449" t="s">
        <v>8285</v>
      </c>
      <c r="N6238" s="450">
        <v>44032</v>
      </c>
      <c r="O6238" s="96" t="s">
        <v>457</v>
      </c>
      <c r="P6238" s="463">
        <v>6867</v>
      </c>
      <c r="Q6238" s="463">
        <v>5</v>
      </c>
      <c r="R6238" s="119">
        <f t="shared" si="145"/>
        <v>34335</v>
      </c>
      <c r="S6238" s="456">
        <v>202303</v>
      </c>
      <c r="T6238" s="184" t="s">
        <v>8295</v>
      </c>
      <c r="U6238" s="457"/>
      <c r="V6238" s="458"/>
      <c r="W6238" s="458"/>
      <c r="X6238" s="190">
        <v>44799</v>
      </c>
      <c r="Y6238" s="467">
        <v>45163</v>
      </c>
    </row>
    <row r="6239" s="9" customFormat="1" customHeight="1" spans="1:25">
      <c r="A6239" s="446" t="s">
        <v>403</v>
      </c>
      <c r="B6239" s="446" t="s">
        <v>8192</v>
      </c>
      <c r="C6239" s="446" t="s">
        <v>63</v>
      </c>
      <c r="D6239" s="446" t="s">
        <v>6237</v>
      </c>
      <c r="E6239" s="105" t="s">
        <v>8193</v>
      </c>
      <c r="F6239" s="96" t="s">
        <v>8194</v>
      </c>
      <c r="G6239" s="96" t="s">
        <v>88</v>
      </c>
      <c r="H6239" s="19" t="s">
        <v>8283</v>
      </c>
      <c r="I6239" s="23" t="e">
        <f>VLOOKUP(H6239,'合同综合查询数据（3月返）'!$A:$A,1,FALSE)</f>
        <v>#N/A</v>
      </c>
      <c r="J6239" s="448" t="s">
        <v>90</v>
      </c>
      <c r="K6239" s="96" t="s">
        <v>8284</v>
      </c>
      <c r="L6239" s="153"/>
      <c r="M6239" s="449" t="s">
        <v>8285</v>
      </c>
      <c r="N6239" s="450">
        <v>44042</v>
      </c>
      <c r="O6239" s="96" t="s">
        <v>457</v>
      </c>
      <c r="P6239" s="463">
        <v>6867</v>
      </c>
      <c r="Q6239" s="463">
        <v>3</v>
      </c>
      <c r="R6239" s="119">
        <f t="shared" si="145"/>
        <v>20601</v>
      </c>
      <c r="S6239" s="456">
        <v>202303</v>
      </c>
      <c r="T6239" s="184" t="s">
        <v>8295</v>
      </c>
      <c r="U6239" s="457"/>
      <c r="V6239" s="458"/>
      <c r="W6239" s="458"/>
      <c r="X6239" s="190">
        <v>44799</v>
      </c>
      <c r="Y6239" s="467">
        <v>45163</v>
      </c>
    </row>
    <row r="6240" s="9" customFormat="1" customHeight="1" spans="1:25">
      <c r="A6240" s="446" t="s">
        <v>403</v>
      </c>
      <c r="B6240" s="446" t="s">
        <v>8192</v>
      </c>
      <c r="C6240" s="446" t="s">
        <v>63</v>
      </c>
      <c r="D6240" s="446" t="s">
        <v>6237</v>
      </c>
      <c r="E6240" s="105" t="s">
        <v>8193</v>
      </c>
      <c r="F6240" s="96" t="s">
        <v>8194</v>
      </c>
      <c r="G6240" s="96" t="s">
        <v>88</v>
      </c>
      <c r="H6240" s="19" t="s">
        <v>8283</v>
      </c>
      <c r="I6240" s="23" t="e">
        <f>VLOOKUP(H6240,'合同综合查询数据（3月返）'!$A:$A,1,FALSE)</f>
        <v>#N/A</v>
      </c>
      <c r="J6240" s="448" t="s">
        <v>90</v>
      </c>
      <c r="K6240" s="96" t="s">
        <v>8284</v>
      </c>
      <c r="L6240" s="153"/>
      <c r="M6240" s="449" t="s">
        <v>8285</v>
      </c>
      <c r="N6240" s="450">
        <v>44053</v>
      </c>
      <c r="O6240" s="96" t="s">
        <v>457</v>
      </c>
      <c r="P6240" s="463">
        <v>6867</v>
      </c>
      <c r="Q6240" s="463">
        <v>1</v>
      </c>
      <c r="R6240" s="119">
        <f t="shared" si="145"/>
        <v>6867</v>
      </c>
      <c r="S6240" s="456">
        <v>202303</v>
      </c>
      <c r="T6240" s="184" t="s">
        <v>8296</v>
      </c>
      <c r="U6240" s="457"/>
      <c r="V6240" s="458"/>
      <c r="W6240" s="458"/>
      <c r="X6240" s="190">
        <v>44799</v>
      </c>
      <c r="Y6240" s="467">
        <v>45163</v>
      </c>
    </row>
    <row r="6241" s="9" customFormat="1" customHeight="1" spans="1:25">
      <c r="A6241" s="446" t="s">
        <v>403</v>
      </c>
      <c r="B6241" s="446" t="s">
        <v>8192</v>
      </c>
      <c r="C6241" s="446" t="s">
        <v>63</v>
      </c>
      <c r="D6241" s="446" t="s">
        <v>6237</v>
      </c>
      <c r="E6241" s="105" t="s">
        <v>8193</v>
      </c>
      <c r="F6241" s="96" t="s">
        <v>8194</v>
      </c>
      <c r="G6241" s="96" t="s">
        <v>88</v>
      </c>
      <c r="H6241" s="19" t="s">
        <v>8283</v>
      </c>
      <c r="I6241" s="23" t="e">
        <f>VLOOKUP(H6241,'合同综合查询数据（3月返）'!$A:$A,1,FALSE)</f>
        <v>#N/A</v>
      </c>
      <c r="J6241" s="448" t="s">
        <v>90</v>
      </c>
      <c r="K6241" s="96" t="s">
        <v>8284</v>
      </c>
      <c r="L6241" s="153"/>
      <c r="M6241" s="449" t="s">
        <v>8285</v>
      </c>
      <c r="N6241" s="450">
        <v>44078</v>
      </c>
      <c r="O6241" s="96" t="s">
        <v>457</v>
      </c>
      <c r="P6241" s="463">
        <v>6867</v>
      </c>
      <c r="Q6241" s="463">
        <v>20</v>
      </c>
      <c r="R6241" s="119">
        <f t="shared" si="145"/>
        <v>137340</v>
      </c>
      <c r="S6241" s="456">
        <v>202303</v>
      </c>
      <c r="T6241" s="184" t="s">
        <v>8297</v>
      </c>
      <c r="U6241" s="457"/>
      <c r="V6241" s="458"/>
      <c r="W6241" s="458"/>
      <c r="X6241" s="190">
        <v>44799</v>
      </c>
      <c r="Y6241" s="467">
        <v>45163</v>
      </c>
    </row>
    <row r="6242" s="9" customFormat="1" customHeight="1" spans="1:25">
      <c r="A6242" s="446" t="s">
        <v>403</v>
      </c>
      <c r="B6242" s="446" t="s">
        <v>8192</v>
      </c>
      <c r="C6242" s="446" t="s">
        <v>63</v>
      </c>
      <c r="D6242" s="446" t="s">
        <v>6237</v>
      </c>
      <c r="E6242" s="105" t="s">
        <v>8193</v>
      </c>
      <c r="F6242" s="96" t="s">
        <v>8194</v>
      </c>
      <c r="G6242" s="96" t="s">
        <v>88</v>
      </c>
      <c r="H6242" s="19" t="s">
        <v>8283</v>
      </c>
      <c r="I6242" s="23" t="e">
        <f>VLOOKUP(H6242,'合同综合查询数据（3月返）'!$A:$A,1,FALSE)</f>
        <v>#N/A</v>
      </c>
      <c r="J6242" s="448" t="s">
        <v>90</v>
      </c>
      <c r="K6242" s="96" t="s">
        <v>8284</v>
      </c>
      <c r="L6242" s="153"/>
      <c r="M6242" s="449" t="s">
        <v>8285</v>
      </c>
      <c r="N6242" s="450">
        <v>44113</v>
      </c>
      <c r="O6242" s="96" t="s">
        <v>457</v>
      </c>
      <c r="P6242" s="463">
        <v>6867</v>
      </c>
      <c r="Q6242" s="463">
        <v>3</v>
      </c>
      <c r="R6242" s="119">
        <f t="shared" si="145"/>
        <v>20601</v>
      </c>
      <c r="S6242" s="456">
        <v>202303</v>
      </c>
      <c r="T6242" s="184" t="s">
        <v>8298</v>
      </c>
      <c r="U6242" s="457"/>
      <c r="V6242" s="458"/>
      <c r="W6242" s="458"/>
      <c r="X6242" s="190">
        <v>44799</v>
      </c>
      <c r="Y6242" s="467">
        <v>45163</v>
      </c>
    </row>
    <row r="6243" s="9" customFormat="1" customHeight="1" spans="1:25">
      <c r="A6243" s="446" t="s">
        <v>403</v>
      </c>
      <c r="B6243" s="446" t="s">
        <v>8192</v>
      </c>
      <c r="C6243" s="446" t="s">
        <v>63</v>
      </c>
      <c r="D6243" s="446" t="s">
        <v>6237</v>
      </c>
      <c r="E6243" s="105" t="s">
        <v>8193</v>
      </c>
      <c r="F6243" s="96" t="s">
        <v>8194</v>
      </c>
      <c r="G6243" s="96" t="s">
        <v>88</v>
      </c>
      <c r="H6243" s="19" t="s">
        <v>8283</v>
      </c>
      <c r="I6243" s="23" t="e">
        <f>VLOOKUP(H6243,'合同综合查询数据（3月返）'!$A:$A,1,FALSE)</f>
        <v>#N/A</v>
      </c>
      <c r="J6243" s="448" t="s">
        <v>90</v>
      </c>
      <c r="K6243" s="96" t="s">
        <v>8284</v>
      </c>
      <c r="L6243" s="153"/>
      <c r="M6243" s="449" t="s">
        <v>8285</v>
      </c>
      <c r="N6243" s="450">
        <v>44130</v>
      </c>
      <c r="O6243" s="96" t="s">
        <v>457</v>
      </c>
      <c r="P6243" s="463">
        <v>6867</v>
      </c>
      <c r="Q6243" s="463">
        <v>4</v>
      </c>
      <c r="R6243" s="119">
        <f t="shared" si="145"/>
        <v>27468</v>
      </c>
      <c r="S6243" s="456">
        <v>202303</v>
      </c>
      <c r="T6243" s="184" t="s">
        <v>8299</v>
      </c>
      <c r="U6243" s="457"/>
      <c r="V6243" s="458"/>
      <c r="W6243" s="458"/>
      <c r="X6243" s="190">
        <v>44799</v>
      </c>
      <c r="Y6243" s="467">
        <v>45163</v>
      </c>
    </row>
    <row r="6244" s="9" customFormat="1" customHeight="1" spans="1:25">
      <c r="A6244" s="446" t="s">
        <v>403</v>
      </c>
      <c r="B6244" s="446" t="s">
        <v>8192</v>
      </c>
      <c r="C6244" s="446" t="s">
        <v>63</v>
      </c>
      <c r="D6244" s="446" t="s">
        <v>6237</v>
      </c>
      <c r="E6244" s="105" t="s">
        <v>8193</v>
      </c>
      <c r="F6244" s="96" t="s">
        <v>8194</v>
      </c>
      <c r="G6244" s="96" t="s">
        <v>88</v>
      </c>
      <c r="H6244" s="19" t="s">
        <v>8283</v>
      </c>
      <c r="I6244" s="23" t="e">
        <f>VLOOKUP(H6244,'合同综合查询数据（3月返）'!$A:$A,1,FALSE)</f>
        <v>#N/A</v>
      </c>
      <c r="J6244" s="448" t="s">
        <v>90</v>
      </c>
      <c r="K6244" s="96" t="s">
        <v>8284</v>
      </c>
      <c r="L6244" s="153"/>
      <c r="M6244" s="449" t="s">
        <v>8285</v>
      </c>
      <c r="N6244" s="450">
        <v>44132</v>
      </c>
      <c r="O6244" s="96" t="s">
        <v>457</v>
      </c>
      <c r="P6244" s="463">
        <v>6867</v>
      </c>
      <c r="Q6244" s="463">
        <v>4</v>
      </c>
      <c r="R6244" s="119">
        <f t="shared" si="145"/>
        <v>27468</v>
      </c>
      <c r="S6244" s="456">
        <v>202303</v>
      </c>
      <c r="T6244" s="184" t="s">
        <v>8300</v>
      </c>
      <c r="U6244" s="457"/>
      <c r="V6244" s="458"/>
      <c r="W6244" s="458"/>
      <c r="X6244" s="190">
        <v>44799</v>
      </c>
      <c r="Y6244" s="467">
        <v>45163</v>
      </c>
    </row>
    <row r="6245" s="9" customFormat="1" customHeight="1" spans="1:25">
      <c r="A6245" s="446" t="s">
        <v>403</v>
      </c>
      <c r="B6245" s="446" t="s">
        <v>8192</v>
      </c>
      <c r="C6245" s="446" t="s">
        <v>63</v>
      </c>
      <c r="D6245" s="446" t="s">
        <v>6237</v>
      </c>
      <c r="E6245" s="105" t="s">
        <v>8193</v>
      </c>
      <c r="F6245" s="96" t="s">
        <v>8194</v>
      </c>
      <c r="G6245" s="96" t="s">
        <v>88</v>
      </c>
      <c r="H6245" s="19" t="s">
        <v>8283</v>
      </c>
      <c r="I6245" s="23" t="e">
        <f>VLOOKUP(H6245,'合同综合查询数据（3月返）'!$A:$A,1,FALSE)</f>
        <v>#N/A</v>
      </c>
      <c r="J6245" s="448" t="s">
        <v>90</v>
      </c>
      <c r="K6245" s="96" t="s">
        <v>8284</v>
      </c>
      <c r="L6245" s="153"/>
      <c r="M6245" s="449" t="s">
        <v>8285</v>
      </c>
      <c r="N6245" s="450">
        <v>44138</v>
      </c>
      <c r="O6245" s="96" t="s">
        <v>457</v>
      </c>
      <c r="P6245" s="463">
        <v>6867</v>
      </c>
      <c r="Q6245" s="463">
        <v>6</v>
      </c>
      <c r="R6245" s="119">
        <f t="shared" si="145"/>
        <v>41202</v>
      </c>
      <c r="S6245" s="456">
        <v>202303</v>
      </c>
      <c r="T6245" s="184" t="s">
        <v>8301</v>
      </c>
      <c r="U6245" s="457"/>
      <c r="V6245" s="458"/>
      <c r="W6245" s="458"/>
      <c r="X6245" s="190">
        <v>44799</v>
      </c>
      <c r="Y6245" s="467">
        <v>45163</v>
      </c>
    </row>
    <row r="6246" s="9" customFormat="1" customHeight="1" spans="1:25">
      <c r="A6246" s="446" t="s">
        <v>403</v>
      </c>
      <c r="B6246" s="446" t="s">
        <v>8192</v>
      </c>
      <c r="C6246" s="446" t="s">
        <v>63</v>
      </c>
      <c r="D6246" s="446" t="s">
        <v>6237</v>
      </c>
      <c r="E6246" s="105" t="s">
        <v>8193</v>
      </c>
      <c r="F6246" s="96" t="s">
        <v>8194</v>
      </c>
      <c r="G6246" s="96" t="s">
        <v>88</v>
      </c>
      <c r="H6246" s="19" t="s">
        <v>8283</v>
      </c>
      <c r="I6246" s="23" t="e">
        <f>VLOOKUP(H6246,'合同综合查询数据（3月返）'!$A:$A,1,FALSE)</f>
        <v>#N/A</v>
      </c>
      <c r="J6246" s="448" t="s">
        <v>90</v>
      </c>
      <c r="K6246" s="96" t="s">
        <v>8284</v>
      </c>
      <c r="L6246" s="153"/>
      <c r="M6246" s="449" t="s">
        <v>8285</v>
      </c>
      <c r="N6246" s="450">
        <v>44142</v>
      </c>
      <c r="O6246" s="96" t="s">
        <v>457</v>
      </c>
      <c r="P6246" s="463">
        <v>6867</v>
      </c>
      <c r="Q6246" s="463">
        <v>9</v>
      </c>
      <c r="R6246" s="119">
        <f t="shared" si="145"/>
        <v>61803</v>
      </c>
      <c r="S6246" s="456">
        <v>202303</v>
      </c>
      <c r="T6246" s="184" t="s">
        <v>8302</v>
      </c>
      <c r="U6246" s="457"/>
      <c r="V6246" s="458"/>
      <c r="W6246" s="458"/>
      <c r="X6246" s="190">
        <v>44799</v>
      </c>
      <c r="Y6246" s="467">
        <v>45163</v>
      </c>
    </row>
    <row r="6247" s="9" customFormat="1" customHeight="1" spans="1:25">
      <c r="A6247" s="446" t="s">
        <v>403</v>
      </c>
      <c r="B6247" s="446" t="s">
        <v>8192</v>
      </c>
      <c r="C6247" s="446" t="s">
        <v>63</v>
      </c>
      <c r="D6247" s="446" t="s">
        <v>6237</v>
      </c>
      <c r="E6247" s="105" t="s">
        <v>8193</v>
      </c>
      <c r="F6247" s="96" t="s">
        <v>8194</v>
      </c>
      <c r="G6247" s="96" t="s">
        <v>88</v>
      </c>
      <c r="H6247" s="19" t="s">
        <v>8283</v>
      </c>
      <c r="I6247" s="23" t="e">
        <f>VLOOKUP(H6247,'合同综合查询数据（3月返）'!$A:$A,1,FALSE)</f>
        <v>#N/A</v>
      </c>
      <c r="J6247" s="448" t="s">
        <v>90</v>
      </c>
      <c r="K6247" s="96" t="s">
        <v>8284</v>
      </c>
      <c r="L6247" s="153"/>
      <c r="M6247" s="449" t="s">
        <v>8285</v>
      </c>
      <c r="N6247" s="450">
        <v>44148</v>
      </c>
      <c r="O6247" s="96" t="s">
        <v>457</v>
      </c>
      <c r="P6247" s="463">
        <v>6867</v>
      </c>
      <c r="Q6247" s="463">
        <v>2</v>
      </c>
      <c r="R6247" s="119">
        <f t="shared" si="145"/>
        <v>13734</v>
      </c>
      <c r="S6247" s="456">
        <v>202303</v>
      </c>
      <c r="T6247" s="184" t="s">
        <v>8303</v>
      </c>
      <c r="U6247" s="457"/>
      <c r="V6247" s="458"/>
      <c r="W6247" s="458"/>
      <c r="X6247" s="190">
        <v>44799</v>
      </c>
      <c r="Y6247" s="467">
        <v>45163</v>
      </c>
    </row>
    <row r="6248" s="9" customFormat="1" customHeight="1" spans="1:25">
      <c r="A6248" s="446" t="s">
        <v>403</v>
      </c>
      <c r="B6248" s="446" t="s">
        <v>8192</v>
      </c>
      <c r="C6248" s="446" t="s">
        <v>63</v>
      </c>
      <c r="D6248" s="446" t="s">
        <v>6237</v>
      </c>
      <c r="E6248" s="105" t="s">
        <v>8193</v>
      </c>
      <c r="F6248" s="96" t="s">
        <v>8194</v>
      </c>
      <c r="G6248" s="96" t="s">
        <v>88</v>
      </c>
      <c r="H6248" s="19" t="s">
        <v>8283</v>
      </c>
      <c r="I6248" s="23" t="e">
        <f>VLOOKUP(H6248,'合同综合查询数据（3月返）'!$A:$A,1,FALSE)</f>
        <v>#N/A</v>
      </c>
      <c r="J6248" s="448" t="s">
        <v>90</v>
      </c>
      <c r="K6248" s="96" t="s">
        <v>8284</v>
      </c>
      <c r="L6248" s="153"/>
      <c r="M6248" s="449" t="s">
        <v>8285</v>
      </c>
      <c r="N6248" s="450">
        <v>44153</v>
      </c>
      <c r="O6248" s="96" t="s">
        <v>457</v>
      </c>
      <c r="P6248" s="463">
        <v>6867</v>
      </c>
      <c r="Q6248" s="463">
        <v>8</v>
      </c>
      <c r="R6248" s="119">
        <f t="shared" si="145"/>
        <v>54936</v>
      </c>
      <c r="S6248" s="456">
        <v>202303</v>
      </c>
      <c r="T6248" s="184" t="s">
        <v>8304</v>
      </c>
      <c r="U6248" s="457"/>
      <c r="V6248" s="458"/>
      <c r="W6248" s="458"/>
      <c r="X6248" s="190">
        <v>44799</v>
      </c>
      <c r="Y6248" s="467">
        <v>45163</v>
      </c>
    </row>
    <row r="6249" s="9" customFormat="1" customHeight="1" spans="1:25">
      <c r="A6249" s="446" t="s">
        <v>403</v>
      </c>
      <c r="B6249" s="446" t="s">
        <v>8192</v>
      </c>
      <c r="C6249" s="446" t="s">
        <v>63</v>
      </c>
      <c r="D6249" s="446" t="s">
        <v>6237</v>
      </c>
      <c r="E6249" s="105" t="s">
        <v>8193</v>
      </c>
      <c r="F6249" s="96" t="s">
        <v>8194</v>
      </c>
      <c r="G6249" s="96" t="s">
        <v>88</v>
      </c>
      <c r="H6249" s="19" t="s">
        <v>8283</v>
      </c>
      <c r="I6249" s="23" t="e">
        <f>VLOOKUP(H6249,'合同综合查询数据（3月返）'!$A:$A,1,FALSE)</f>
        <v>#N/A</v>
      </c>
      <c r="J6249" s="448" t="s">
        <v>90</v>
      </c>
      <c r="K6249" s="96" t="s">
        <v>8284</v>
      </c>
      <c r="L6249" s="153"/>
      <c r="M6249" s="449" t="s">
        <v>8285</v>
      </c>
      <c r="N6249" s="450">
        <v>44159</v>
      </c>
      <c r="O6249" s="96" t="s">
        <v>457</v>
      </c>
      <c r="P6249" s="463">
        <v>6867</v>
      </c>
      <c r="Q6249" s="463">
        <v>3</v>
      </c>
      <c r="R6249" s="119">
        <f t="shared" si="145"/>
        <v>20601</v>
      </c>
      <c r="S6249" s="456">
        <v>202303</v>
      </c>
      <c r="T6249" s="184" t="s">
        <v>8305</v>
      </c>
      <c r="U6249" s="457"/>
      <c r="V6249" s="458"/>
      <c r="W6249" s="458"/>
      <c r="X6249" s="190">
        <v>44799</v>
      </c>
      <c r="Y6249" s="467">
        <v>45163</v>
      </c>
    </row>
    <row r="6250" s="9" customFormat="1" customHeight="1" spans="1:25">
      <c r="A6250" s="446" t="s">
        <v>403</v>
      </c>
      <c r="B6250" s="446" t="s">
        <v>8192</v>
      </c>
      <c r="C6250" s="446" t="s">
        <v>63</v>
      </c>
      <c r="D6250" s="446" t="s">
        <v>6237</v>
      </c>
      <c r="E6250" s="105" t="s">
        <v>8193</v>
      </c>
      <c r="F6250" s="96" t="s">
        <v>8194</v>
      </c>
      <c r="G6250" s="96" t="s">
        <v>88</v>
      </c>
      <c r="H6250" s="19" t="s">
        <v>8283</v>
      </c>
      <c r="I6250" s="23" t="e">
        <f>VLOOKUP(H6250,'合同综合查询数据（3月返）'!$A:$A,1,FALSE)</f>
        <v>#N/A</v>
      </c>
      <c r="J6250" s="448" t="s">
        <v>90</v>
      </c>
      <c r="K6250" s="96" t="s">
        <v>8284</v>
      </c>
      <c r="L6250" s="153"/>
      <c r="M6250" s="449" t="s">
        <v>8285</v>
      </c>
      <c r="N6250" s="450">
        <v>44160</v>
      </c>
      <c r="O6250" s="96" t="s">
        <v>457</v>
      </c>
      <c r="P6250" s="463">
        <v>6867</v>
      </c>
      <c r="Q6250" s="463">
        <v>3</v>
      </c>
      <c r="R6250" s="119">
        <f t="shared" si="145"/>
        <v>20601</v>
      </c>
      <c r="S6250" s="456">
        <v>202303</v>
      </c>
      <c r="T6250" s="184" t="s">
        <v>8306</v>
      </c>
      <c r="U6250" s="457"/>
      <c r="V6250" s="458"/>
      <c r="W6250" s="458"/>
      <c r="X6250" s="190">
        <v>44799</v>
      </c>
      <c r="Y6250" s="467">
        <v>45163</v>
      </c>
    </row>
    <row r="6251" s="9" customFormat="1" customHeight="1" spans="1:25">
      <c r="A6251" s="446" t="s">
        <v>403</v>
      </c>
      <c r="B6251" s="446" t="s">
        <v>8192</v>
      </c>
      <c r="C6251" s="446" t="s">
        <v>63</v>
      </c>
      <c r="D6251" s="446" t="s">
        <v>6237</v>
      </c>
      <c r="E6251" s="105" t="s">
        <v>8193</v>
      </c>
      <c r="F6251" s="96" t="s">
        <v>8194</v>
      </c>
      <c r="G6251" s="96" t="s">
        <v>88</v>
      </c>
      <c r="H6251" s="19" t="s">
        <v>8283</v>
      </c>
      <c r="I6251" s="23" t="e">
        <f>VLOOKUP(H6251,'合同综合查询数据（3月返）'!$A:$A,1,FALSE)</f>
        <v>#N/A</v>
      </c>
      <c r="J6251" s="448" t="s">
        <v>90</v>
      </c>
      <c r="K6251" s="96" t="s">
        <v>8284</v>
      </c>
      <c r="L6251" s="153"/>
      <c r="M6251" s="449" t="s">
        <v>8285</v>
      </c>
      <c r="N6251" s="450">
        <v>44165</v>
      </c>
      <c r="O6251" s="96" t="s">
        <v>457</v>
      </c>
      <c r="P6251" s="463">
        <v>6867</v>
      </c>
      <c r="Q6251" s="463">
        <v>2</v>
      </c>
      <c r="R6251" s="119">
        <f t="shared" si="145"/>
        <v>13734</v>
      </c>
      <c r="S6251" s="456">
        <v>202303</v>
      </c>
      <c r="T6251" s="184" t="s">
        <v>8307</v>
      </c>
      <c r="U6251" s="457"/>
      <c r="V6251" s="458"/>
      <c r="W6251" s="458"/>
      <c r="X6251" s="190">
        <v>44799</v>
      </c>
      <c r="Y6251" s="467">
        <v>45163</v>
      </c>
    </row>
    <row r="6252" s="9" customFormat="1" customHeight="1" spans="1:25">
      <c r="A6252" s="446" t="s">
        <v>403</v>
      </c>
      <c r="B6252" s="446" t="s">
        <v>8192</v>
      </c>
      <c r="C6252" s="446" t="s">
        <v>63</v>
      </c>
      <c r="D6252" s="446" t="s">
        <v>6237</v>
      </c>
      <c r="E6252" s="105" t="s">
        <v>8193</v>
      </c>
      <c r="F6252" s="96" t="s">
        <v>8194</v>
      </c>
      <c r="G6252" s="96" t="s">
        <v>88</v>
      </c>
      <c r="H6252" s="19" t="s">
        <v>8283</v>
      </c>
      <c r="I6252" s="23" t="e">
        <f>VLOOKUP(H6252,'合同综合查询数据（3月返）'!$A:$A,1,FALSE)</f>
        <v>#N/A</v>
      </c>
      <c r="J6252" s="448" t="s">
        <v>90</v>
      </c>
      <c r="K6252" s="96" t="s">
        <v>8284</v>
      </c>
      <c r="L6252" s="153"/>
      <c r="M6252" s="449" t="s">
        <v>8285</v>
      </c>
      <c r="N6252" s="450">
        <v>44168</v>
      </c>
      <c r="O6252" s="96" t="s">
        <v>457</v>
      </c>
      <c r="P6252" s="463">
        <v>6867</v>
      </c>
      <c r="Q6252" s="463">
        <v>1</v>
      </c>
      <c r="R6252" s="119">
        <f t="shared" si="145"/>
        <v>6867</v>
      </c>
      <c r="S6252" s="456">
        <v>202303</v>
      </c>
      <c r="T6252" s="184" t="s">
        <v>8308</v>
      </c>
      <c r="U6252" s="457"/>
      <c r="V6252" s="458"/>
      <c r="W6252" s="458"/>
      <c r="X6252" s="190">
        <v>44799</v>
      </c>
      <c r="Y6252" s="467">
        <v>45163</v>
      </c>
    </row>
    <row r="6253" s="9" customFormat="1" customHeight="1" spans="1:25">
      <c r="A6253" s="446" t="s">
        <v>403</v>
      </c>
      <c r="B6253" s="446" t="s">
        <v>8192</v>
      </c>
      <c r="C6253" s="446" t="s">
        <v>63</v>
      </c>
      <c r="D6253" s="446" t="s">
        <v>6237</v>
      </c>
      <c r="E6253" s="105" t="s">
        <v>8193</v>
      </c>
      <c r="F6253" s="96" t="s">
        <v>8194</v>
      </c>
      <c r="G6253" s="96" t="s">
        <v>88</v>
      </c>
      <c r="H6253" s="19" t="s">
        <v>8283</v>
      </c>
      <c r="I6253" s="23" t="e">
        <f>VLOOKUP(H6253,'合同综合查询数据（3月返）'!$A:$A,1,FALSE)</f>
        <v>#N/A</v>
      </c>
      <c r="J6253" s="448" t="s">
        <v>90</v>
      </c>
      <c r="K6253" s="96" t="s">
        <v>8284</v>
      </c>
      <c r="L6253" s="153"/>
      <c r="M6253" s="449" t="s">
        <v>8285</v>
      </c>
      <c r="N6253" s="450">
        <v>44172</v>
      </c>
      <c r="O6253" s="96" t="s">
        <v>457</v>
      </c>
      <c r="P6253" s="463">
        <v>6867</v>
      </c>
      <c r="Q6253" s="463">
        <v>1</v>
      </c>
      <c r="R6253" s="119">
        <f t="shared" si="145"/>
        <v>6867</v>
      </c>
      <c r="S6253" s="456">
        <v>202303</v>
      </c>
      <c r="T6253" s="184" t="s">
        <v>8309</v>
      </c>
      <c r="U6253" s="457"/>
      <c r="V6253" s="458"/>
      <c r="W6253" s="458"/>
      <c r="X6253" s="190">
        <v>44799</v>
      </c>
      <c r="Y6253" s="467">
        <v>45163</v>
      </c>
    </row>
    <row r="6254" s="9" customFormat="1" customHeight="1" spans="1:25">
      <c r="A6254" s="446" t="s">
        <v>403</v>
      </c>
      <c r="B6254" s="446" t="s">
        <v>8192</v>
      </c>
      <c r="C6254" s="446" t="s">
        <v>63</v>
      </c>
      <c r="D6254" s="446" t="s">
        <v>6237</v>
      </c>
      <c r="E6254" s="105" t="s">
        <v>8193</v>
      </c>
      <c r="F6254" s="96" t="s">
        <v>8194</v>
      </c>
      <c r="G6254" s="96" t="s">
        <v>88</v>
      </c>
      <c r="H6254" s="19" t="s">
        <v>8283</v>
      </c>
      <c r="I6254" s="23" t="e">
        <f>VLOOKUP(H6254,'合同综合查询数据（3月返）'!$A:$A,1,FALSE)</f>
        <v>#N/A</v>
      </c>
      <c r="J6254" s="448" t="s">
        <v>90</v>
      </c>
      <c r="K6254" s="96" t="s">
        <v>8284</v>
      </c>
      <c r="L6254" s="153"/>
      <c r="M6254" s="449" t="s">
        <v>8285</v>
      </c>
      <c r="N6254" s="450">
        <v>44173</v>
      </c>
      <c r="O6254" s="96" t="s">
        <v>457</v>
      </c>
      <c r="P6254" s="463">
        <v>6867</v>
      </c>
      <c r="Q6254" s="463">
        <v>1</v>
      </c>
      <c r="R6254" s="119">
        <f t="shared" si="145"/>
        <v>6867</v>
      </c>
      <c r="S6254" s="456">
        <v>202303</v>
      </c>
      <c r="T6254" s="184" t="s">
        <v>8310</v>
      </c>
      <c r="U6254" s="457"/>
      <c r="V6254" s="458"/>
      <c r="W6254" s="458"/>
      <c r="X6254" s="190">
        <v>44799</v>
      </c>
      <c r="Y6254" s="467">
        <v>45163</v>
      </c>
    </row>
    <row r="6255" s="9" customFormat="1" customHeight="1" spans="1:25">
      <c r="A6255" s="446" t="s">
        <v>403</v>
      </c>
      <c r="B6255" s="446" t="s">
        <v>8192</v>
      </c>
      <c r="C6255" s="446" t="s">
        <v>63</v>
      </c>
      <c r="D6255" s="446" t="s">
        <v>6237</v>
      </c>
      <c r="E6255" s="105" t="s">
        <v>8193</v>
      </c>
      <c r="F6255" s="96" t="s">
        <v>8194</v>
      </c>
      <c r="G6255" s="96" t="s">
        <v>88</v>
      </c>
      <c r="H6255" s="19" t="s">
        <v>8283</v>
      </c>
      <c r="I6255" s="23" t="e">
        <f>VLOOKUP(H6255,'合同综合查询数据（3月返）'!$A:$A,1,FALSE)</f>
        <v>#N/A</v>
      </c>
      <c r="J6255" s="448" t="s">
        <v>90</v>
      </c>
      <c r="K6255" s="96" t="s">
        <v>8284</v>
      </c>
      <c r="L6255" s="153"/>
      <c r="M6255" s="449" t="s">
        <v>8285</v>
      </c>
      <c r="N6255" s="450">
        <v>44175</v>
      </c>
      <c r="O6255" s="96" t="s">
        <v>457</v>
      </c>
      <c r="P6255" s="463">
        <v>6867</v>
      </c>
      <c r="Q6255" s="463">
        <v>3</v>
      </c>
      <c r="R6255" s="119">
        <f t="shared" si="145"/>
        <v>20601</v>
      </c>
      <c r="S6255" s="456">
        <v>202303</v>
      </c>
      <c r="T6255" s="184" t="s">
        <v>8311</v>
      </c>
      <c r="U6255" s="457"/>
      <c r="V6255" s="458"/>
      <c r="W6255" s="458"/>
      <c r="X6255" s="190">
        <v>44799</v>
      </c>
      <c r="Y6255" s="467">
        <v>45163</v>
      </c>
    </row>
    <row r="6256" s="9" customFormat="1" customHeight="1" spans="1:25">
      <c r="A6256" s="446" t="s">
        <v>403</v>
      </c>
      <c r="B6256" s="446" t="s">
        <v>8192</v>
      </c>
      <c r="C6256" s="446" t="s">
        <v>63</v>
      </c>
      <c r="D6256" s="446" t="s">
        <v>6237</v>
      </c>
      <c r="E6256" s="105" t="s">
        <v>8193</v>
      </c>
      <c r="F6256" s="96" t="s">
        <v>8194</v>
      </c>
      <c r="G6256" s="96" t="s">
        <v>88</v>
      </c>
      <c r="H6256" s="19" t="s">
        <v>8283</v>
      </c>
      <c r="I6256" s="23" t="e">
        <f>VLOOKUP(H6256,'合同综合查询数据（3月返）'!$A:$A,1,FALSE)</f>
        <v>#N/A</v>
      </c>
      <c r="J6256" s="448" t="s">
        <v>90</v>
      </c>
      <c r="K6256" s="96" t="s">
        <v>8284</v>
      </c>
      <c r="L6256" s="153"/>
      <c r="M6256" s="449" t="s">
        <v>8285</v>
      </c>
      <c r="N6256" s="450">
        <v>44176</v>
      </c>
      <c r="O6256" s="96" t="s">
        <v>457</v>
      </c>
      <c r="P6256" s="463">
        <v>6867</v>
      </c>
      <c r="Q6256" s="463">
        <v>3</v>
      </c>
      <c r="R6256" s="119">
        <f t="shared" si="145"/>
        <v>20601</v>
      </c>
      <c r="S6256" s="456">
        <v>202303</v>
      </c>
      <c r="T6256" s="184" t="s">
        <v>8312</v>
      </c>
      <c r="U6256" s="457"/>
      <c r="V6256" s="458"/>
      <c r="W6256" s="458"/>
      <c r="X6256" s="190">
        <v>44799</v>
      </c>
      <c r="Y6256" s="467">
        <v>45163</v>
      </c>
    </row>
    <row r="6257" s="9" customFormat="1" customHeight="1" spans="1:25">
      <c r="A6257" s="446" t="s">
        <v>403</v>
      </c>
      <c r="B6257" s="446" t="s">
        <v>8192</v>
      </c>
      <c r="C6257" s="446" t="s">
        <v>63</v>
      </c>
      <c r="D6257" s="446" t="s">
        <v>6237</v>
      </c>
      <c r="E6257" s="105" t="s">
        <v>8193</v>
      </c>
      <c r="F6257" s="96" t="s">
        <v>8194</v>
      </c>
      <c r="G6257" s="96" t="s">
        <v>88</v>
      </c>
      <c r="H6257" s="19" t="s">
        <v>8283</v>
      </c>
      <c r="I6257" s="23" t="e">
        <f>VLOOKUP(H6257,'合同综合查询数据（3月返）'!$A:$A,1,FALSE)</f>
        <v>#N/A</v>
      </c>
      <c r="J6257" s="448" t="s">
        <v>90</v>
      </c>
      <c r="K6257" s="96" t="s">
        <v>8284</v>
      </c>
      <c r="L6257" s="153"/>
      <c r="M6257" s="449" t="s">
        <v>8285</v>
      </c>
      <c r="N6257" s="450">
        <v>44181</v>
      </c>
      <c r="O6257" s="96" t="s">
        <v>457</v>
      </c>
      <c r="P6257" s="463">
        <v>6867</v>
      </c>
      <c r="Q6257" s="463">
        <v>11</v>
      </c>
      <c r="R6257" s="119">
        <f t="shared" si="145"/>
        <v>75537</v>
      </c>
      <c r="S6257" s="456">
        <v>202303</v>
      </c>
      <c r="T6257" s="184" t="s">
        <v>8313</v>
      </c>
      <c r="U6257" s="457"/>
      <c r="V6257" s="458"/>
      <c r="W6257" s="458"/>
      <c r="X6257" s="190">
        <v>44799</v>
      </c>
      <c r="Y6257" s="467">
        <v>45163</v>
      </c>
    </row>
    <row r="6258" s="9" customFormat="1" customHeight="1" spans="1:25">
      <c r="A6258" s="446" t="s">
        <v>403</v>
      </c>
      <c r="B6258" s="446" t="s">
        <v>8192</v>
      </c>
      <c r="C6258" s="446" t="s">
        <v>63</v>
      </c>
      <c r="D6258" s="446" t="s">
        <v>6237</v>
      </c>
      <c r="E6258" s="105" t="s">
        <v>8193</v>
      </c>
      <c r="F6258" s="96" t="s">
        <v>8194</v>
      </c>
      <c r="G6258" s="96" t="s">
        <v>88</v>
      </c>
      <c r="H6258" s="19" t="s">
        <v>8283</v>
      </c>
      <c r="I6258" s="23" t="e">
        <f>VLOOKUP(H6258,'合同综合查询数据（3月返）'!$A:$A,1,FALSE)</f>
        <v>#N/A</v>
      </c>
      <c r="J6258" s="448" t="s">
        <v>90</v>
      </c>
      <c r="K6258" s="96" t="s">
        <v>8284</v>
      </c>
      <c r="L6258" s="153"/>
      <c r="M6258" s="449" t="s">
        <v>8285</v>
      </c>
      <c r="N6258" s="450">
        <v>44187</v>
      </c>
      <c r="O6258" s="96" t="s">
        <v>457</v>
      </c>
      <c r="P6258" s="463">
        <v>6867</v>
      </c>
      <c r="Q6258" s="463">
        <v>12</v>
      </c>
      <c r="R6258" s="119">
        <f t="shared" si="145"/>
        <v>82404</v>
      </c>
      <c r="S6258" s="456">
        <v>202303</v>
      </c>
      <c r="T6258" s="184" t="s">
        <v>8314</v>
      </c>
      <c r="U6258" s="457"/>
      <c r="V6258" s="458"/>
      <c r="W6258" s="458"/>
      <c r="X6258" s="190">
        <v>44799</v>
      </c>
      <c r="Y6258" s="467">
        <v>45163</v>
      </c>
    </row>
    <row r="6259" s="9" customFormat="1" customHeight="1" spans="1:25">
      <c r="A6259" s="446" t="s">
        <v>403</v>
      </c>
      <c r="B6259" s="446" t="s">
        <v>8192</v>
      </c>
      <c r="C6259" s="446" t="s">
        <v>63</v>
      </c>
      <c r="D6259" s="446" t="s">
        <v>6237</v>
      </c>
      <c r="E6259" s="105" t="s">
        <v>8193</v>
      </c>
      <c r="F6259" s="96" t="s">
        <v>8194</v>
      </c>
      <c r="G6259" s="96" t="s">
        <v>88</v>
      </c>
      <c r="H6259" s="19" t="s">
        <v>8283</v>
      </c>
      <c r="I6259" s="23" t="e">
        <f>VLOOKUP(H6259,'合同综合查询数据（3月返）'!$A:$A,1,FALSE)</f>
        <v>#N/A</v>
      </c>
      <c r="J6259" s="448" t="s">
        <v>90</v>
      </c>
      <c r="K6259" s="96" t="s">
        <v>8284</v>
      </c>
      <c r="L6259" s="153"/>
      <c r="M6259" s="449" t="s">
        <v>8285</v>
      </c>
      <c r="N6259" s="450">
        <v>44188</v>
      </c>
      <c r="O6259" s="96" t="s">
        <v>457</v>
      </c>
      <c r="P6259" s="463">
        <v>6867</v>
      </c>
      <c r="Q6259" s="463">
        <v>8</v>
      </c>
      <c r="R6259" s="119">
        <f t="shared" si="145"/>
        <v>54936</v>
      </c>
      <c r="S6259" s="456">
        <v>202303</v>
      </c>
      <c r="T6259" s="184" t="s">
        <v>8315</v>
      </c>
      <c r="U6259" s="457"/>
      <c r="V6259" s="458"/>
      <c r="W6259" s="458"/>
      <c r="X6259" s="190">
        <v>44799</v>
      </c>
      <c r="Y6259" s="467">
        <v>45163</v>
      </c>
    </row>
    <row r="6260" s="9" customFormat="1" customHeight="1" spans="1:25">
      <c r="A6260" s="446" t="s">
        <v>403</v>
      </c>
      <c r="B6260" s="446" t="s">
        <v>8192</v>
      </c>
      <c r="C6260" s="446" t="s">
        <v>63</v>
      </c>
      <c r="D6260" s="446" t="s">
        <v>6237</v>
      </c>
      <c r="E6260" s="105" t="s">
        <v>8193</v>
      </c>
      <c r="F6260" s="96" t="s">
        <v>8194</v>
      </c>
      <c r="G6260" s="96" t="s">
        <v>88</v>
      </c>
      <c r="H6260" s="19" t="s">
        <v>8283</v>
      </c>
      <c r="I6260" s="23" t="e">
        <f>VLOOKUP(H6260,'合同综合查询数据（3月返）'!$A:$A,1,FALSE)</f>
        <v>#N/A</v>
      </c>
      <c r="J6260" s="448" t="s">
        <v>90</v>
      </c>
      <c r="K6260" s="96" t="s">
        <v>8284</v>
      </c>
      <c r="L6260" s="153"/>
      <c r="M6260" s="449" t="s">
        <v>8285</v>
      </c>
      <c r="N6260" s="450">
        <v>44196</v>
      </c>
      <c r="O6260" s="96" t="s">
        <v>457</v>
      </c>
      <c r="P6260" s="463">
        <v>6867</v>
      </c>
      <c r="Q6260" s="463">
        <v>3</v>
      </c>
      <c r="R6260" s="119">
        <f t="shared" si="145"/>
        <v>20601</v>
      </c>
      <c r="S6260" s="456">
        <v>202303</v>
      </c>
      <c r="T6260" s="184" t="s">
        <v>8316</v>
      </c>
      <c r="U6260" s="457"/>
      <c r="V6260" s="458"/>
      <c r="W6260" s="458"/>
      <c r="X6260" s="190">
        <v>44799</v>
      </c>
      <c r="Y6260" s="467">
        <v>45163</v>
      </c>
    </row>
    <row r="6261" s="9" customFormat="1" customHeight="1" spans="1:25">
      <c r="A6261" s="446" t="s">
        <v>403</v>
      </c>
      <c r="B6261" s="446" t="s">
        <v>8192</v>
      </c>
      <c r="C6261" s="446" t="s">
        <v>63</v>
      </c>
      <c r="D6261" s="446" t="s">
        <v>6237</v>
      </c>
      <c r="E6261" s="105" t="s">
        <v>8193</v>
      </c>
      <c r="F6261" s="96" t="s">
        <v>8194</v>
      </c>
      <c r="G6261" s="96" t="s">
        <v>88</v>
      </c>
      <c r="H6261" s="19" t="s">
        <v>8283</v>
      </c>
      <c r="I6261" s="23" t="e">
        <f>VLOOKUP(H6261,'合同综合查询数据（3月返）'!$A:$A,1,FALSE)</f>
        <v>#N/A</v>
      </c>
      <c r="J6261" s="448" t="s">
        <v>90</v>
      </c>
      <c r="K6261" s="96" t="s">
        <v>8284</v>
      </c>
      <c r="L6261" s="153"/>
      <c r="M6261" s="449" t="s">
        <v>8285</v>
      </c>
      <c r="N6261" s="450">
        <v>44204</v>
      </c>
      <c r="O6261" s="96" t="s">
        <v>457</v>
      </c>
      <c r="P6261" s="463">
        <v>6867</v>
      </c>
      <c r="Q6261" s="463">
        <v>22</v>
      </c>
      <c r="R6261" s="119">
        <f t="shared" si="145"/>
        <v>151074</v>
      </c>
      <c r="S6261" s="456">
        <v>202303</v>
      </c>
      <c r="T6261" s="184" t="s">
        <v>8317</v>
      </c>
      <c r="U6261" s="457"/>
      <c r="V6261" s="458"/>
      <c r="W6261" s="458"/>
      <c r="X6261" s="190">
        <v>44799</v>
      </c>
      <c r="Y6261" s="467">
        <v>45163</v>
      </c>
    </row>
    <row r="6262" s="9" customFormat="1" customHeight="1" spans="1:25">
      <c r="A6262" s="446" t="s">
        <v>403</v>
      </c>
      <c r="B6262" s="446" t="s">
        <v>8192</v>
      </c>
      <c r="C6262" s="446" t="s">
        <v>63</v>
      </c>
      <c r="D6262" s="446" t="s">
        <v>6237</v>
      </c>
      <c r="E6262" s="105" t="s">
        <v>8193</v>
      </c>
      <c r="F6262" s="96" t="s">
        <v>8194</v>
      </c>
      <c r="G6262" s="96" t="s">
        <v>88</v>
      </c>
      <c r="H6262" s="19" t="s">
        <v>8283</v>
      </c>
      <c r="I6262" s="23" t="e">
        <f>VLOOKUP(H6262,'合同综合查询数据（3月返）'!$A:$A,1,FALSE)</f>
        <v>#N/A</v>
      </c>
      <c r="J6262" s="448" t="s">
        <v>90</v>
      </c>
      <c r="K6262" s="96" t="s">
        <v>8284</v>
      </c>
      <c r="L6262" s="153"/>
      <c r="M6262" s="449" t="s">
        <v>8285</v>
      </c>
      <c r="N6262" s="450">
        <v>44208</v>
      </c>
      <c r="O6262" s="96" t="s">
        <v>457</v>
      </c>
      <c r="P6262" s="463">
        <v>6867</v>
      </c>
      <c r="Q6262" s="463">
        <v>-22</v>
      </c>
      <c r="R6262" s="119">
        <f t="shared" si="145"/>
        <v>-151074</v>
      </c>
      <c r="S6262" s="456">
        <v>202303</v>
      </c>
      <c r="T6262" s="184" t="s">
        <v>8318</v>
      </c>
      <c r="U6262" s="457"/>
      <c r="V6262" s="458"/>
      <c r="W6262" s="458"/>
      <c r="X6262" s="190">
        <v>44799</v>
      </c>
      <c r="Y6262" s="467">
        <v>45163</v>
      </c>
    </row>
    <row r="6263" s="9" customFormat="1" customHeight="1" spans="1:25">
      <c r="A6263" s="446" t="s">
        <v>403</v>
      </c>
      <c r="B6263" s="446" t="s">
        <v>8192</v>
      </c>
      <c r="C6263" s="446" t="s">
        <v>63</v>
      </c>
      <c r="D6263" s="446" t="s">
        <v>6237</v>
      </c>
      <c r="E6263" s="105" t="s">
        <v>8193</v>
      </c>
      <c r="F6263" s="96" t="s">
        <v>8194</v>
      </c>
      <c r="G6263" s="96" t="s">
        <v>88</v>
      </c>
      <c r="H6263" s="19" t="s">
        <v>8283</v>
      </c>
      <c r="I6263" s="23" t="e">
        <f>VLOOKUP(H6263,'合同综合查询数据（3月返）'!$A:$A,1,FALSE)</f>
        <v>#N/A</v>
      </c>
      <c r="J6263" s="448" t="s">
        <v>90</v>
      </c>
      <c r="K6263" s="96" t="s">
        <v>8284</v>
      </c>
      <c r="L6263" s="153"/>
      <c r="M6263" s="449" t="s">
        <v>8285</v>
      </c>
      <c r="N6263" s="450">
        <v>44208</v>
      </c>
      <c r="O6263" s="96" t="s">
        <v>457</v>
      </c>
      <c r="P6263" s="463">
        <v>6867</v>
      </c>
      <c r="Q6263" s="463">
        <v>29</v>
      </c>
      <c r="R6263" s="119">
        <f t="shared" si="145"/>
        <v>199143</v>
      </c>
      <c r="S6263" s="456">
        <v>202303</v>
      </c>
      <c r="T6263" s="184" t="s">
        <v>8319</v>
      </c>
      <c r="U6263" s="457"/>
      <c r="V6263" s="458"/>
      <c r="W6263" s="458"/>
      <c r="X6263" s="190">
        <v>44799</v>
      </c>
      <c r="Y6263" s="467">
        <v>45163</v>
      </c>
    </row>
    <row r="6264" s="9" customFormat="1" customHeight="1" spans="1:25">
      <c r="A6264" s="446" t="s">
        <v>403</v>
      </c>
      <c r="B6264" s="446" t="s">
        <v>8192</v>
      </c>
      <c r="C6264" s="446" t="s">
        <v>63</v>
      </c>
      <c r="D6264" s="446" t="s">
        <v>6237</v>
      </c>
      <c r="E6264" s="105" t="s">
        <v>8193</v>
      </c>
      <c r="F6264" s="96" t="s">
        <v>8194</v>
      </c>
      <c r="G6264" s="96" t="s">
        <v>88</v>
      </c>
      <c r="H6264" s="19" t="s">
        <v>8283</v>
      </c>
      <c r="I6264" s="23" t="e">
        <f>VLOOKUP(H6264,'合同综合查询数据（3月返）'!$A:$A,1,FALSE)</f>
        <v>#N/A</v>
      </c>
      <c r="J6264" s="448" t="s">
        <v>90</v>
      </c>
      <c r="K6264" s="96" t="s">
        <v>8284</v>
      </c>
      <c r="L6264" s="153"/>
      <c r="M6264" s="449" t="s">
        <v>8285</v>
      </c>
      <c r="N6264" s="450">
        <v>44218</v>
      </c>
      <c r="O6264" s="96" t="s">
        <v>457</v>
      </c>
      <c r="P6264" s="463">
        <v>6867</v>
      </c>
      <c r="Q6264" s="463">
        <v>26</v>
      </c>
      <c r="R6264" s="119">
        <f t="shared" si="145"/>
        <v>178542</v>
      </c>
      <c r="S6264" s="456">
        <v>202303</v>
      </c>
      <c r="T6264" s="184" t="s">
        <v>8320</v>
      </c>
      <c r="U6264" s="457"/>
      <c r="V6264" s="458"/>
      <c r="W6264" s="458"/>
      <c r="X6264" s="190">
        <v>44799</v>
      </c>
      <c r="Y6264" s="467">
        <v>45163</v>
      </c>
    </row>
    <row r="6265" s="9" customFormat="1" customHeight="1" spans="1:25">
      <c r="A6265" s="446" t="s">
        <v>403</v>
      </c>
      <c r="B6265" s="446" t="s">
        <v>8192</v>
      </c>
      <c r="C6265" s="446" t="s">
        <v>63</v>
      </c>
      <c r="D6265" s="446" t="s">
        <v>6237</v>
      </c>
      <c r="E6265" s="105" t="s">
        <v>8193</v>
      </c>
      <c r="F6265" s="96" t="s">
        <v>8194</v>
      </c>
      <c r="G6265" s="96" t="s">
        <v>88</v>
      </c>
      <c r="H6265" s="19" t="s">
        <v>8283</v>
      </c>
      <c r="I6265" s="23" t="e">
        <f>VLOOKUP(H6265,'合同综合查询数据（3月返）'!$A:$A,1,FALSE)</f>
        <v>#N/A</v>
      </c>
      <c r="J6265" s="448" t="s">
        <v>90</v>
      </c>
      <c r="K6265" s="96" t="s">
        <v>8284</v>
      </c>
      <c r="L6265" s="153"/>
      <c r="M6265" s="449" t="s">
        <v>8285</v>
      </c>
      <c r="N6265" s="450">
        <v>44232</v>
      </c>
      <c r="O6265" s="96" t="s">
        <v>457</v>
      </c>
      <c r="P6265" s="463">
        <v>6867</v>
      </c>
      <c r="Q6265" s="463">
        <v>5</v>
      </c>
      <c r="R6265" s="119">
        <f t="shared" si="145"/>
        <v>34335</v>
      </c>
      <c r="S6265" s="456">
        <v>202303</v>
      </c>
      <c r="T6265" s="184" t="s">
        <v>8321</v>
      </c>
      <c r="U6265" s="457"/>
      <c r="V6265" s="458"/>
      <c r="W6265" s="458"/>
      <c r="X6265" s="190">
        <v>44799</v>
      </c>
      <c r="Y6265" s="467">
        <v>45163</v>
      </c>
    </row>
    <row r="6266" s="9" customFormat="1" customHeight="1" spans="1:25">
      <c r="A6266" s="446" t="s">
        <v>403</v>
      </c>
      <c r="B6266" s="446" t="s">
        <v>8192</v>
      </c>
      <c r="C6266" s="446" t="s">
        <v>63</v>
      </c>
      <c r="D6266" s="446" t="s">
        <v>6237</v>
      </c>
      <c r="E6266" s="105" t="s">
        <v>8193</v>
      </c>
      <c r="F6266" s="96" t="s">
        <v>8194</v>
      </c>
      <c r="G6266" s="96" t="s">
        <v>88</v>
      </c>
      <c r="H6266" s="19" t="s">
        <v>8283</v>
      </c>
      <c r="I6266" s="23" t="e">
        <f>VLOOKUP(H6266,'合同综合查询数据（3月返）'!$A:$A,1,FALSE)</f>
        <v>#N/A</v>
      </c>
      <c r="J6266" s="448" t="s">
        <v>90</v>
      </c>
      <c r="K6266" s="96" t="s">
        <v>8284</v>
      </c>
      <c r="L6266" s="153"/>
      <c r="M6266" s="449" t="s">
        <v>8285</v>
      </c>
      <c r="N6266" s="450">
        <v>44251</v>
      </c>
      <c r="O6266" s="96" t="s">
        <v>457</v>
      </c>
      <c r="P6266" s="463">
        <v>6867</v>
      </c>
      <c r="Q6266" s="463">
        <v>6</v>
      </c>
      <c r="R6266" s="119">
        <f t="shared" si="145"/>
        <v>41202</v>
      </c>
      <c r="S6266" s="456">
        <v>202303</v>
      </c>
      <c r="T6266" s="184" t="s">
        <v>8322</v>
      </c>
      <c r="U6266" s="457"/>
      <c r="V6266" s="458"/>
      <c r="W6266" s="458"/>
      <c r="X6266" s="190">
        <v>44799</v>
      </c>
      <c r="Y6266" s="467">
        <v>45163</v>
      </c>
    </row>
    <row r="6267" s="9" customFormat="1" customHeight="1" spans="1:25">
      <c r="A6267" s="446" t="s">
        <v>403</v>
      </c>
      <c r="B6267" s="446" t="s">
        <v>8192</v>
      </c>
      <c r="C6267" s="446" t="s">
        <v>63</v>
      </c>
      <c r="D6267" s="446" t="s">
        <v>6237</v>
      </c>
      <c r="E6267" s="105" t="s">
        <v>8193</v>
      </c>
      <c r="F6267" s="96" t="s">
        <v>8194</v>
      </c>
      <c r="G6267" s="96" t="s">
        <v>88</v>
      </c>
      <c r="H6267" s="19" t="s">
        <v>8283</v>
      </c>
      <c r="I6267" s="23" t="e">
        <f>VLOOKUP(H6267,'合同综合查询数据（3月返）'!$A:$A,1,FALSE)</f>
        <v>#N/A</v>
      </c>
      <c r="J6267" s="448" t="s">
        <v>90</v>
      </c>
      <c r="K6267" s="96" t="s">
        <v>8284</v>
      </c>
      <c r="L6267" s="153"/>
      <c r="M6267" s="449" t="s">
        <v>8285</v>
      </c>
      <c r="N6267" s="450">
        <v>44253</v>
      </c>
      <c r="O6267" s="96" t="s">
        <v>457</v>
      </c>
      <c r="P6267" s="463">
        <v>6867</v>
      </c>
      <c r="Q6267" s="463">
        <v>47</v>
      </c>
      <c r="R6267" s="119">
        <f t="shared" si="145"/>
        <v>322749</v>
      </c>
      <c r="S6267" s="456">
        <v>202303</v>
      </c>
      <c r="T6267" s="184" t="s">
        <v>8323</v>
      </c>
      <c r="U6267" s="457"/>
      <c r="V6267" s="458"/>
      <c r="W6267" s="458"/>
      <c r="X6267" s="190">
        <v>44799</v>
      </c>
      <c r="Y6267" s="467">
        <v>45163</v>
      </c>
    </row>
    <row r="6268" s="9" customFormat="1" customHeight="1" spans="1:25">
      <c r="A6268" s="446" t="s">
        <v>403</v>
      </c>
      <c r="B6268" s="446" t="s">
        <v>8192</v>
      </c>
      <c r="C6268" s="446" t="s">
        <v>63</v>
      </c>
      <c r="D6268" s="446" t="s">
        <v>6237</v>
      </c>
      <c r="E6268" s="105" t="s">
        <v>8193</v>
      </c>
      <c r="F6268" s="96" t="s">
        <v>8194</v>
      </c>
      <c r="G6268" s="96" t="s">
        <v>88</v>
      </c>
      <c r="H6268" s="19" t="s">
        <v>8283</v>
      </c>
      <c r="I6268" s="23" t="e">
        <f>VLOOKUP(H6268,'合同综合查询数据（3月返）'!$A:$A,1,FALSE)</f>
        <v>#N/A</v>
      </c>
      <c r="J6268" s="448" t="s">
        <v>90</v>
      </c>
      <c r="K6268" s="96" t="s">
        <v>8284</v>
      </c>
      <c r="L6268" s="153"/>
      <c r="M6268" s="449" t="s">
        <v>8285</v>
      </c>
      <c r="N6268" s="450">
        <v>44263</v>
      </c>
      <c r="O6268" s="96" t="s">
        <v>457</v>
      </c>
      <c r="P6268" s="463">
        <v>6867</v>
      </c>
      <c r="Q6268" s="463">
        <v>11</v>
      </c>
      <c r="R6268" s="119">
        <f t="shared" si="145"/>
        <v>75537</v>
      </c>
      <c r="S6268" s="456">
        <v>202303</v>
      </c>
      <c r="T6268" s="184" t="s">
        <v>8324</v>
      </c>
      <c r="U6268" s="457"/>
      <c r="V6268" s="458"/>
      <c r="W6268" s="458"/>
      <c r="X6268" s="190">
        <v>44799</v>
      </c>
      <c r="Y6268" s="467">
        <v>45163</v>
      </c>
    </row>
    <row r="6269" s="9" customFormat="1" customHeight="1" spans="1:25">
      <c r="A6269" s="446" t="s">
        <v>403</v>
      </c>
      <c r="B6269" s="446" t="s">
        <v>8192</v>
      </c>
      <c r="C6269" s="446" t="s">
        <v>63</v>
      </c>
      <c r="D6269" s="446" t="s">
        <v>6237</v>
      </c>
      <c r="E6269" s="105" t="s">
        <v>8193</v>
      </c>
      <c r="F6269" s="96" t="s">
        <v>8194</v>
      </c>
      <c r="G6269" s="96" t="s">
        <v>88</v>
      </c>
      <c r="H6269" s="19" t="s">
        <v>8283</v>
      </c>
      <c r="I6269" s="23" t="e">
        <f>VLOOKUP(H6269,'合同综合查询数据（3月返）'!$A:$A,1,FALSE)</f>
        <v>#N/A</v>
      </c>
      <c r="J6269" s="448" t="s">
        <v>90</v>
      </c>
      <c r="K6269" s="96" t="s">
        <v>8284</v>
      </c>
      <c r="L6269" s="153"/>
      <c r="M6269" s="449" t="s">
        <v>8285</v>
      </c>
      <c r="N6269" s="450">
        <v>44270</v>
      </c>
      <c r="O6269" s="96" t="s">
        <v>457</v>
      </c>
      <c r="P6269" s="463">
        <v>6867</v>
      </c>
      <c r="Q6269" s="463">
        <v>3</v>
      </c>
      <c r="R6269" s="119">
        <f t="shared" si="145"/>
        <v>20601</v>
      </c>
      <c r="S6269" s="456">
        <v>202303</v>
      </c>
      <c r="T6269" s="184" t="s">
        <v>8325</v>
      </c>
      <c r="U6269" s="457"/>
      <c r="V6269" s="458"/>
      <c r="W6269" s="458"/>
      <c r="X6269" s="190">
        <v>44799</v>
      </c>
      <c r="Y6269" s="467">
        <v>45163</v>
      </c>
    </row>
    <row r="6270" s="9" customFormat="1" customHeight="1" spans="1:25">
      <c r="A6270" s="446" t="s">
        <v>403</v>
      </c>
      <c r="B6270" s="446" t="s">
        <v>8192</v>
      </c>
      <c r="C6270" s="446" t="s">
        <v>63</v>
      </c>
      <c r="D6270" s="446" t="s">
        <v>6237</v>
      </c>
      <c r="E6270" s="105" t="s">
        <v>8193</v>
      </c>
      <c r="F6270" s="96" t="s">
        <v>8194</v>
      </c>
      <c r="G6270" s="96" t="s">
        <v>88</v>
      </c>
      <c r="H6270" s="19" t="s">
        <v>8283</v>
      </c>
      <c r="I6270" s="23" t="e">
        <f>VLOOKUP(H6270,'合同综合查询数据（3月返）'!$A:$A,1,FALSE)</f>
        <v>#N/A</v>
      </c>
      <c r="J6270" s="448" t="s">
        <v>90</v>
      </c>
      <c r="K6270" s="96" t="s">
        <v>8284</v>
      </c>
      <c r="L6270" s="153"/>
      <c r="M6270" s="449" t="s">
        <v>8285</v>
      </c>
      <c r="N6270" s="450">
        <v>44271</v>
      </c>
      <c r="O6270" s="96" t="s">
        <v>457</v>
      </c>
      <c r="P6270" s="463">
        <v>6867</v>
      </c>
      <c r="Q6270" s="463">
        <v>8</v>
      </c>
      <c r="R6270" s="119">
        <f t="shared" si="145"/>
        <v>54936</v>
      </c>
      <c r="S6270" s="456">
        <v>202303</v>
      </c>
      <c r="T6270" s="184" t="s">
        <v>8326</v>
      </c>
      <c r="U6270" s="457"/>
      <c r="V6270" s="458"/>
      <c r="W6270" s="458"/>
      <c r="X6270" s="190">
        <v>44799</v>
      </c>
      <c r="Y6270" s="467">
        <v>45163</v>
      </c>
    </row>
    <row r="6271" s="9" customFormat="1" customHeight="1" spans="1:25">
      <c r="A6271" s="446" t="s">
        <v>403</v>
      </c>
      <c r="B6271" s="446" t="s">
        <v>8192</v>
      </c>
      <c r="C6271" s="446" t="s">
        <v>63</v>
      </c>
      <c r="D6271" s="446" t="s">
        <v>6237</v>
      </c>
      <c r="E6271" s="105" t="s">
        <v>8193</v>
      </c>
      <c r="F6271" s="96" t="s">
        <v>8194</v>
      </c>
      <c r="G6271" s="96" t="s">
        <v>88</v>
      </c>
      <c r="H6271" s="19" t="s">
        <v>8283</v>
      </c>
      <c r="I6271" s="23" t="e">
        <f>VLOOKUP(H6271,'合同综合查询数据（3月返）'!$A:$A,1,FALSE)</f>
        <v>#N/A</v>
      </c>
      <c r="J6271" s="448" t="s">
        <v>90</v>
      </c>
      <c r="K6271" s="96" t="s">
        <v>8284</v>
      </c>
      <c r="L6271" s="153"/>
      <c r="M6271" s="449" t="s">
        <v>8285</v>
      </c>
      <c r="N6271" s="450">
        <v>44278</v>
      </c>
      <c r="O6271" s="96" t="s">
        <v>457</v>
      </c>
      <c r="P6271" s="463">
        <v>6867</v>
      </c>
      <c r="Q6271" s="463">
        <v>5</v>
      </c>
      <c r="R6271" s="119">
        <f t="shared" si="145"/>
        <v>34335</v>
      </c>
      <c r="S6271" s="456">
        <v>202303</v>
      </c>
      <c r="T6271" s="184" t="s">
        <v>8327</v>
      </c>
      <c r="U6271" s="457"/>
      <c r="V6271" s="458"/>
      <c r="W6271" s="458"/>
      <c r="X6271" s="190">
        <v>44799</v>
      </c>
      <c r="Y6271" s="467">
        <v>45163</v>
      </c>
    </row>
    <row r="6272" s="9" customFormat="1" customHeight="1" spans="1:25">
      <c r="A6272" s="446" t="s">
        <v>403</v>
      </c>
      <c r="B6272" s="446" t="s">
        <v>8192</v>
      </c>
      <c r="C6272" s="446" t="s">
        <v>63</v>
      </c>
      <c r="D6272" s="446" t="s">
        <v>6237</v>
      </c>
      <c r="E6272" s="105" t="s">
        <v>8193</v>
      </c>
      <c r="F6272" s="96" t="s">
        <v>8194</v>
      </c>
      <c r="G6272" s="96" t="s">
        <v>88</v>
      </c>
      <c r="H6272" s="19" t="s">
        <v>8283</v>
      </c>
      <c r="I6272" s="23" t="e">
        <f>VLOOKUP(H6272,'合同综合查询数据（3月返）'!$A:$A,1,FALSE)</f>
        <v>#N/A</v>
      </c>
      <c r="J6272" s="448" t="s">
        <v>90</v>
      </c>
      <c r="K6272" s="96" t="s">
        <v>8284</v>
      </c>
      <c r="L6272" s="153"/>
      <c r="M6272" s="449" t="s">
        <v>8285</v>
      </c>
      <c r="N6272" s="450">
        <v>44280</v>
      </c>
      <c r="O6272" s="96" t="s">
        <v>457</v>
      </c>
      <c r="P6272" s="463">
        <v>6867</v>
      </c>
      <c r="Q6272" s="463">
        <v>6</v>
      </c>
      <c r="R6272" s="119">
        <f t="shared" si="145"/>
        <v>41202</v>
      </c>
      <c r="S6272" s="456">
        <v>202303</v>
      </c>
      <c r="T6272" s="184" t="s">
        <v>8328</v>
      </c>
      <c r="U6272" s="457"/>
      <c r="V6272" s="458"/>
      <c r="W6272" s="458"/>
      <c r="X6272" s="190">
        <v>44799</v>
      </c>
      <c r="Y6272" s="467">
        <v>45163</v>
      </c>
    </row>
    <row r="6273" s="9" customFormat="1" customHeight="1" spans="1:25">
      <c r="A6273" s="446" t="s">
        <v>403</v>
      </c>
      <c r="B6273" s="446" t="s">
        <v>8192</v>
      </c>
      <c r="C6273" s="446" t="s">
        <v>63</v>
      </c>
      <c r="D6273" s="446" t="s">
        <v>6237</v>
      </c>
      <c r="E6273" s="105" t="s">
        <v>8193</v>
      </c>
      <c r="F6273" s="96" t="s">
        <v>8194</v>
      </c>
      <c r="G6273" s="96" t="s">
        <v>88</v>
      </c>
      <c r="H6273" s="19" t="s">
        <v>8283</v>
      </c>
      <c r="I6273" s="23" t="e">
        <f>VLOOKUP(H6273,'合同综合查询数据（3月返）'!$A:$A,1,FALSE)</f>
        <v>#N/A</v>
      </c>
      <c r="J6273" s="448" t="s">
        <v>90</v>
      </c>
      <c r="K6273" s="96" t="s">
        <v>8284</v>
      </c>
      <c r="L6273" s="153"/>
      <c r="M6273" s="449" t="s">
        <v>8285</v>
      </c>
      <c r="N6273" s="450">
        <v>44288</v>
      </c>
      <c r="O6273" s="96" t="s">
        <v>457</v>
      </c>
      <c r="P6273" s="463">
        <v>6867</v>
      </c>
      <c r="Q6273" s="463">
        <v>8</v>
      </c>
      <c r="R6273" s="119">
        <f t="shared" si="145"/>
        <v>54936</v>
      </c>
      <c r="S6273" s="456">
        <v>202303</v>
      </c>
      <c r="T6273" s="184" t="s">
        <v>8329</v>
      </c>
      <c r="U6273" s="457"/>
      <c r="V6273" s="458"/>
      <c r="W6273" s="458"/>
      <c r="X6273" s="190">
        <v>44799</v>
      </c>
      <c r="Y6273" s="467">
        <v>45163</v>
      </c>
    </row>
    <row r="6274" s="9" customFormat="1" customHeight="1" spans="1:25">
      <c r="A6274" s="446" t="s">
        <v>403</v>
      </c>
      <c r="B6274" s="446" t="s">
        <v>8192</v>
      </c>
      <c r="C6274" s="446" t="s">
        <v>63</v>
      </c>
      <c r="D6274" s="446" t="s">
        <v>6237</v>
      </c>
      <c r="E6274" s="105" t="s">
        <v>8193</v>
      </c>
      <c r="F6274" s="96" t="s">
        <v>8194</v>
      </c>
      <c r="G6274" s="96" t="s">
        <v>88</v>
      </c>
      <c r="H6274" s="19" t="s">
        <v>8283</v>
      </c>
      <c r="I6274" s="23" t="e">
        <f>VLOOKUP(H6274,'合同综合查询数据（3月返）'!$A:$A,1,FALSE)</f>
        <v>#N/A</v>
      </c>
      <c r="J6274" s="448" t="s">
        <v>90</v>
      </c>
      <c r="K6274" s="96" t="s">
        <v>8284</v>
      </c>
      <c r="L6274" s="153"/>
      <c r="M6274" s="449" t="s">
        <v>8285</v>
      </c>
      <c r="N6274" s="450">
        <v>44309</v>
      </c>
      <c r="O6274" s="96" t="s">
        <v>457</v>
      </c>
      <c r="P6274" s="463">
        <v>6867</v>
      </c>
      <c r="Q6274" s="463">
        <v>10</v>
      </c>
      <c r="R6274" s="119">
        <f t="shared" si="145"/>
        <v>68670</v>
      </c>
      <c r="S6274" s="456">
        <v>202303</v>
      </c>
      <c r="T6274" s="184" t="s">
        <v>8330</v>
      </c>
      <c r="U6274" s="457"/>
      <c r="V6274" s="458"/>
      <c r="W6274" s="458"/>
      <c r="X6274" s="190">
        <v>44799</v>
      </c>
      <c r="Y6274" s="467">
        <v>45163</v>
      </c>
    </row>
    <row r="6275" s="9" customFormat="1" customHeight="1" spans="1:25">
      <c r="A6275" s="446" t="s">
        <v>403</v>
      </c>
      <c r="B6275" s="446" t="s">
        <v>8192</v>
      </c>
      <c r="C6275" s="446" t="s">
        <v>63</v>
      </c>
      <c r="D6275" s="446" t="s">
        <v>6237</v>
      </c>
      <c r="E6275" s="105" t="s">
        <v>8193</v>
      </c>
      <c r="F6275" s="96" t="s">
        <v>8194</v>
      </c>
      <c r="G6275" s="96" t="s">
        <v>88</v>
      </c>
      <c r="H6275" s="19" t="s">
        <v>8283</v>
      </c>
      <c r="I6275" s="23" t="e">
        <f>VLOOKUP(H6275,'合同综合查询数据（3月返）'!$A:$A,1,FALSE)</f>
        <v>#N/A</v>
      </c>
      <c r="J6275" s="448" t="s">
        <v>90</v>
      </c>
      <c r="K6275" s="96" t="s">
        <v>8284</v>
      </c>
      <c r="L6275" s="153"/>
      <c r="M6275" s="449" t="s">
        <v>8285</v>
      </c>
      <c r="N6275" s="450">
        <v>44314</v>
      </c>
      <c r="O6275" s="96" t="s">
        <v>457</v>
      </c>
      <c r="P6275" s="463">
        <v>6867</v>
      </c>
      <c r="Q6275" s="463">
        <v>3</v>
      </c>
      <c r="R6275" s="119">
        <f t="shared" si="145"/>
        <v>20601</v>
      </c>
      <c r="S6275" s="456">
        <v>202303</v>
      </c>
      <c r="T6275" s="184" t="s">
        <v>8331</v>
      </c>
      <c r="U6275" s="457"/>
      <c r="V6275" s="458"/>
      <c r="W6275" s="458"/>
      <c r="X6275" s="190">
        <v>44799</v>
      </c>
      <c r="Y6275" s="467">
        <v>45163</v>
      </c>
    </row>
    <row r="6276" s="9" customFormat="1" customHeight="1" spans="1:25">
      <c r="A6276" s="446" t="s">
        <v>403</v>
      </c>
      <c r="B6276" s="446" t="s">
        <v>8192</v>
      </c>
      <c r="C6276" s="446" t="s">
        <v>63</v>
      </c>
      <c r="D6276" s="446" t="s">
        <v>6237</v>
      </c>
      <c r="E6276" s="105" t="s">
        <v>8193</v>
      </c>
      <c r="F6276" s="96" t="s">
        <v>8194</v>
      </c>
      <c r="G6276" s="96" t="s">
        <v>88</v>
      </c>
      <c r="H6276" s="19" t="s">
        <v>8283</v>
      </c>
      <c r="I6276" s="23" t="e">
        <f>VLOOKUP(H6276,'合同综合查询数据（3月返）'!$A:$A,1,FALSE)</f>
        <v>#N/A</v>
      </c>
      <c r="J6276" s="448" t="s">
        <v>90</v>
      </c>
      <c r="K6276" s="96" t="s">
        <v>8284</v>
      </c>
      <c r="L6276" s="153"/>
      <c r="M6276" s="449" t="s">
        <v>8285</v>
      </c>
      <c r="N6276" s="450">
        <v>44350</v>
      </c>
      <c r="O6276" s="96" t="s">
        <v>457</v>
      </c>
      <c r="P6276" s="463">
        <v>6867</v>
      </c>
      <c r="Q6276" s="463">
        <v>4</v>
      </c>
      <c r="R6276" s="119">
        <f t="shared" ref="R6276:R6317" si="146">ROUND(P6276*Q6276,2)</f>
        <v>27468</v>
      </c>
      <c r="S6276" s="456">
        <v>202303</v>
      </c>
      <c r="T6276" s="184" t="s">
        <v>8332</v>
      </c>
      <c r="U6276" s="457"/>
      <c r="V6276" s="458"/>
      <c r="W6276" s="458"/>
      <c r="X6276" s="190">
        <v>44799</v>
      </c>
      <c r="Y6276" s="467">
        <v>45163</v>
      </c>
    </row>
    <row r="6277" s="9" customFormat="1" customHeight="1" spans="1:25">
      <c r="A6277" s="446" t="s">
        <v>403</v>
      </c>
      <c r="B6277" s="446" t="s">
        <v>8192</v>
      </c>
      <c r="C6277" s="446" t="s">
        <v>63</v>
      </c>
      <c r="D6277" s="446" t="s">
        <v>6237</v>
      </c>
      <c r="E6277" s="105" t="s">
        <v>8193</v>
      </c>
      <c r="F6277" s="96" t="s">
        <v>8194</v>
      </c>
      <c r="G6277" s="96" t="s">
        <v>88</v>
      </c>
      <c r="H6277" s="19" t="s">
        <v>8283</v>
      </c>
      <c r="I6277" s="23" t="e">
        <f>VLOOKUP(H6277,'合同综合查询数据（3月返）'!$A:$A,1,FALSE)</f>
        <v>#N/A</v>
      </c>
      <c r="J6277" s="448" t="s">
        <v>90</v>
      </c>
      <c r="K6277" s="96" t="s">
        <v>8284</v>
      </c>
      <c r="L6277" s="153"/>
      <c r="M6277" s="449" t="s">
        <v>8285</v>
      </c>
      <c r="N6277" s="450">
        <v>44358</v>
      </c>
      <c r="O6277" s="96" t="s">
        <v>457</v>
      </c>
      <c r="P6277" s="463">
        <v>6867</v>
      </c>
      <c r="Q6277" s="463">
        <v>12</v>
      </c>
      <c r="R6277" s="119">
        <f t="shared" si="146"/>
        <v>82404</v>
      </c>
      <c r="S6277" s="456">
        <v>202303</v>
      </c>
      <c r="T6277" s="184" t="s">
        <v>8333</v>
      </c>
      <c r="U6277" s="457"/>
      <c r="V6277" s="458"/>
      <c r="W6277" s="458"/>
      <c r="X6277" s="190">
        <v>44799</v>
      </c>
      <c r="Y6277" s="467">
        <v>45163</v>
      </c>
    </row>
    <row r="6278" s="9" customFormat="1" customHeight="1" spans="1:25">
      <c r="A6278" s="446" t="s">
        <v>403</v>
      </c>
      <c r="B6278" s="446" t="s">
        <v>8192</v>
      </c>
      <c r="C6278" s="446" t="s">
        <v>63</v>
      </c>
      <c r="D6278" s="446" t="s">
        <v>6237</v>
      </c>
      <c r="E6278" s="105" t="s">
        <v>8193</v>
      </c>
      <c r="F6278" s="96" t="s">
        <v>8194</v>
      </c>
      <c r="G6278" s="96" t="s">
        <v>88</v>
      </c>
      <c r="H6278" s="19" t="s">
        <v>8283</v>
      </c>
      <c r="I6278" s="23" t="e">
        <f>VLOOKUP(H6278,'合同综合查询数据（3月返）'!$A:$A,1,FALSE)</f>
        <v>#N/A</v>
      </c>
      <c r="J6278" s="448" t="s">
        <v>90</v>
      </c>
      <c r="K6278" s="96" t="s">
        <v>8284</v>
      </c>
      <c r="L6278" s="153"/>
      <c r="M6278" s="449" t="s">
        <v>8285</v>
      </c>
      <c r="N6278" s="450">
        <v>44351</v>
      </c>
      <c r="O6278" s="96" t="s">
        <v>457</v>
      </c>
      <c r="P6278" s="463">
        <v>6867</v>
      </c>
      <c r="Q6278" s="463">
        <v>1</v>
      </c>
      <c r="R6278" s="119">
        <f t="shared" si="146"/>
        <v>6867</v>
      </c>
      <c r="S6278" s="456">
        <v>202303</v>
      </c>
      <c r="T6278" s="184" t="s">
        <v>8334</v>
      </c>
      <c r="U6278" s="457"/>
      <c r="V6278" s="458"/>
      <c r="W6278" s="458"/>
      <c r="X6278" s="190">
        <v>44799</v>
      </c>
      <c r="Y6278" s="467">
        <v>45163</v>
      </c>
    </row>
    <row r="6279" s="9" customFormat="1" customHeight="1" spans="1:25">
      <c r="A6279" s="446" t="s">
        <v>403</v>
      </c>
      <c r="B6279" s="446" t="s">
        <v>8192</v>
      </c>
      <c r="C6279" s="446" t="s">
        <v>63</v>
      </c>
      <c r="D6279" s="446" t="s">
        <v>6237</v>
      </c>
      <c r="E6279" s="105" t="s">
        <v>8193</v>
      </c>
      <c r="F6279" s="96" t="s">
        <v>8194</v>
      </c>
      <c r="G6279" s="96" t="s">
        <v>88</v>
      </c>
      <c r="H6279" s="19" t="s">
        <v>8283</v>
      </c>
      <c r="I6279" s="23" t="e">
        <f>VLOOKUP(H6279,'合同综合查询数据（3月返）'!$A:$A,1,FALSE)</f>
        <v>#N/A</v>
      </c>
      <c r="J6279" s="448" t="s">
        <v>90</v>
      </c>
      <c r="K6279" s="96" t="s">
        <v>8284</v>
      </c>
      <c r="L6279" s="153"/>
      <c r="M6279" s="449" t="s">
        <v>8285</v>
      </c>
      <c r="N6279" s="450">
        <v>44440</v>
      </c>
      <c r="O6279" s="96" t="s">
        <v>457</v>
      </c>
      <c r="P6279" s="463">
        <v>6867</v>
      </c>
      <c r="Q6279" s="463">
        <v>12</v>
      </c>
      <c r="R6279" s="119">
        <f t="shared" si="146"/>
        <v>82404</v>
      </c>
      <c r="S6279" s="456">
        <v>202303</v>
      </c>
      <c r="T6279" s="184" t="s">
        <v>8335</v>
      </c>
      <c r="U6279" s="457"/>
      <c r="V6279" s="458"/>
      <c r="W6279" s="458"/>
      <c r="X6279" s="190">
        <v>44799</v>
      </c>
      <c r="Y6279" s="467">
        <v>45163</v>
      </c>
    </row>
    <row r="6280" s="9" customFormat="1" customHeight="1" spans="1:25">
      <c r="A6280" s="446" t="s">
        <v>403</v>
      </c>
      <c r="B6280" s="446" t="s">
        <v>8192</v>
      </c>
      <c r="C6280" s="446" t="s">
        <v>63</v>
      </c>
      <c r="D6280" s="446" t="s">
        <v>6237</v>
      </c>
      <c r="E6280" s="105" t="s">
        <v>8193</v>
      </c>
      <c r="F6280" s="96" t="s">
        <v>8194</v>
      </c>
      <c r="G6280" s="96" t="s">
        <v>88</v>
      </c>
      <c r="H6280" s="19" t="s">
        <v>8283</v>
      </c>
      <c r="I6280" s="23" t="e">
        <f>VLOOKUP(H6280,'合同综合查询数据（3月返）'!$A:$A,1,FALSE)</f>
        <v>#N/A</v>
      </c>
      <c r="J6280" s="448" t="s">
        <v>90</v>
      </c>
      <c r="K6280" s="96" t="s">
        <v>8284</v>
      </c>
      <c r="L6280" s="153"/>
      <c r="M6280" s="449" t="s">
        <v>8285</v>
      </c>
      <c r="N6280" s="450">
        <v>44452</v>
      </c>
      <c r="O6280" s="96" t="s">
        <v>457</v>
      </c>
      <c r="P6280" s="463">
        <v>6867</v>
      </c>
      <c r="Q6280" s="463">
        <v>3</v>
      </c>
      <c r="R6280" s="119">
        <f t="shared" si="146"/>
        <v>20601</v>
      </c>
      <c r="S6280" s="456">
        <v>202303</v>
      </c>
      <c r="T6280" s="184" t="s">
        <v>8336</v>
      </c>
      <c r="U6280" s="457"/>
      <c r="V6280" s="458"/>
      <c r="W6280" s="458"/>
      <c r="X6280" s="190">
        <v>44799</v>
      </c>
      <c r="Y6280" s="467">
        <v>45163</v>
      </c>
    </row>
    <row r="6281" s="9" customFormat="1" customHeight="1" spans="1:25">
      <c r="A6281" s="446" t="s">
        <v>403</v>
      </c>
      <c r="B6281" s="446" t="s">
        <v>8192</v>
      </c>
      <c r="C6281" s="446" t="s">
        <v>63</v>
      </c>
      <c r="D6281" s="446" t="s">
        <v>6237</v>
      </c>
      <c r="E6281" s="105" t="s">
        <v>8193</v>
      </c>
      <c r="F6281" s="96" t="s">
        <v>8194</v>
      </c>
      <c r="G6281" s="96" t="s">
        <v>88</v>
      </c>
      <c r="H6281" s="19" t="s">
        <v>8283</v>
      </c>
      <c r="I6281" s="23" t="e">
        <f>VLOOKUP(H6281,'合同综合查询数据（3月返）'!$A:$A,1,FALSE)</f>
        <v>#N/A</v>
      </c>
      <c r="J6281" s="448" t="s">
        <v>90</v>
      </c>
      <c r="K6281" s="96" t="s">
        <v>8284</v>
      </c>
      <c r="L6281" s="153"/>
      <c r="M6281" s="449" t="s">
        <v>8285</v>
      </c>
      <c r="N6281" s="450">
        <v>44529</v>
      </c>
      <c r="O6281" s="96" t="s">
        <v>457</v>
      </c>
      <c r="P6281" s="463">
        <v>6867</v>
      </c>
      <c r="Q6281" s="463">
        <v>-4</v>
      </c>
      <c r="R6281" s="119">
        <f t="shared" si="146"/>
        <v>-27468</v>
      </c>
      <c r="S6281" s="456">
        <v>202303</v>
      </c>
      <c r="T6281" s="184" t="s">
        <v>8337</v>
      </c>
      <c r="U6281" s="457"/>
      <c r="V6281" s="458"/>
      <c r="W6281" s="458"/>
      <c r="X6281" s="190">
        <v>44799</v>
      </c>
      <c r="Y6281" s="467">
        <v>45163</v>
      </c>
    </row>
    <row r="6282" s="9" customFormat="1" customHeight="1" spans="1:25">
      <c r="A6282" s="446" t="s">
        <v>403</v>
      </c>
      <c r="B6282" s="446" t="s">
        <v>8192</v>
      </c>
      <c r="C6282" s="446" t="s">
        <v>63</v>
      </c>
      <c r="D6282" s="446" t="s">
        <v>6237</v>
      </c>
      <c r="E6282" s="105" t="s">
        <v>8193</v>
      </c>
      <c r="F6282" s="96" t="s">
        <v>8194</v>
      </c>
      <c r="G6282" s="96" t="s">
        <v>88</v>
      </c>
      <c r="H6282" s="19" t="s">
        <v>8283</v>
      </c>
      <c r="I6282" s="23" t="e">
        <f>VLOOKUP(H6282,'合同综合查询数据（3月返）'!$A:$A,1,FALSE)</f>
        <v>#N/A</v>
      </c>
      <c r="J6282" s="448" t="s">
        <v>90</v>
      </c>
      <c r="K6282" s="96" t="s">
        <v>8284</v>
      </c>
      <c r="L6282" s="153"/>
      <c r="M6282" s="449" t="s">
        <v>8285</v>
      </c>
      <c r="N6282" s="450">
        <v>44529</v>
      </c>
      <c r="O6282" s="96" t="s">
        <v>461</v>
      </c>
      <c r="P6282" s="463">
        <v>6867</v>
      </c>
      <c r="Q6282" s="463">
        <v>-4</v>
      </c>
      <c r="R6282" s="119">
        <f t="shared" si="146"/>
        <v>-27468</v>
      </c>
      <c r="S6282" s="456">
        <v>202303</v>
      </c>
      <c r="T6282" s="184" t="s">
        <v>8338</v>
      </c>
      <c r="U6282" s="457"/>
      <c r="V6282" s="458"/>
      <c r="W6282" s="458"/>
      <c r="X6282" s="190">
        <v>44799</v>
      </c>
      <c r="Y6282" s="467">
        <v>45163</v>
      </c>
    </row>
    <row r="6283" s="9" customFormat="1" customHeight="1" spans="1:25">
      <c r="A6283" s="446" t="s">
        <v>403</v>
      </c>
      <c r="B6283" s="446" t="s">
        <v>8192</v>
      </c>
      <c r="C6283" s="446" t="s">
        <v>63</v>
      </c>
      <c r="D6283" s="446" t="s">
        <v>6237</v>
      </c>
      <c r="E6283" s="105" t="s">
        <v>8193</v>
      </c>
      <c r="F6283" s="96" t="s">
        <v>8194</v>
      </c>
      <c r="G6283" s="96" t="s">
        <v>88</v>
      </c>
      <c r="H6283" s="19" t="s">
        <v>8283</v>
      </c>
      <c r="I6283" s="23" t="e">
        <f>VLOOKUP(H6283,'合同综合查询数据（3月返）'!$A:$A,1,FALSE)</f>
        <v>#N/A</v>
      </c>
      <c r="J6283" s="448" t="s">
        <v>90</v>
      </c>
      <c r="K6283" s="96" t="s">
        <v>8284</v>
      </c>
      <c r="L6283" s="153"/>
      <c r="M6283" s="449" t="s">
        <v>8285</v>
      </c>
      <c r="N6283" s="450">
        <v>44607</v>
      </c>
      <c r="O6283" s="96" t="s">
        <v>457</v>
      </c>
      <c r="P6283" s="463">
        <v>6867</v>
      </c>
      <c r="Q6283" s="463">
        <v>4</v>
      </c>
      <c r="R6283" s="119">
        <f t="shared" si="146"/>
        <v>27468</v>
      </c>
      <c r="S6283" s="456">
        <v>202303</v>
      </c>
      <c r="T6283" s="184" t="s">
        <v>8339</v>
      </c>
      <c r="U6283" s="457"/>
      <c r="V6283" s="458"/>
      <c r="W6283" s="458"/>
      <c r="X6283" s="190">
        <v>44799</v>
      </c>
      <c r="Y6283" s="467">
        <v>45163</v>
      </c>
    </row>
    <row r="6284" s="9" customFormat="1" customHeight="1" spans="1:25">
      <c r="A6284" s="446" t="s">
        <v>403</v>
      </c>
      <c r="B6284" s="446" t="s">
        <v>8192</v>
      </c>
      <c r="C6284" s="446" t="s">
        <v>63</v>
      </c>
      <c r="D6284" s="446" t="s">
        <v>6237</v>
      </c>
      <c r="E6284" s="105" t="s">
        <v>8193</v>
      </c>
      <c r="F6284" s="96" t="s">
        <v>8194</v>
      </c>
      <c r="G6284" s="96" t="s">
        <v>88</v>
      </c>
      <c r="H6284" s="19" t="s">
        <v>8283</v>
      </c>
      <c r="I6284" s="23" t="e">
        <f>VLOOKUP(H6284,'合同综合查询数据（3月返）'!$A:$A,1,FALSE)</f>
        <v>#N/A</v>
      </c>
      <c r="J6284" s="448" t="s">
        <v>90</v>
      </c>
      <c r="K6284" s="96" t="s">
        <v>8284</v>
      </c>
      <c r="L6284" s="153"/>
      <c r="M6284" s="449" t="s">
        <v>8285</v>
      </c>
      <c r="N6284" s="450">
        <v>44608</v>
      </c>
      <c r="O6284" s="96" t="s">
        <v>457</v>
      </c>
      <c r="P6284" s="463">
        <v>6867</v>
      </c>
      <c r="Q6284" s="463">
        <v>2</v>
      </c>
      <c r="R6284" s="119">
        <f t="shared" si="146"/>
        <v>13734</v>
      </c>
      <c r="S6284" s="456">
        <v>202303</v>
      </c>
      <c r="T6284" s="184" t="s">
        <v>8340</v>
      </c>
      <c r="U6284" s="457"/>
      <c r="V6284" s="458"/>
      <c r="W6284" s="458"/>
      <c r="X6284" s="190">
        <v>44799</v>
      </c>
      <c r="Y6284" s="467">
        <v>45163</v>
      </c>
    </row>
    <row r="6285" s="9" customFormat="1" customHeight="1" spans="1:25">
      <c r="A6285" s="446" t="s">
        <v>403</v>
      </c>
      <c r="B6285" s="446" t="s">
        <v>8192</v>
      </c>
      <c r="C6285" s="446" t="s">
        <v>63</v>
      </c>
      <c r="D6285" s="446" t="s">
        <v>6237</v>
      </c>
      <c r="E6285" s="105" t="s">
        <v>8193</v>
      </c>
      <c r="F6285" s="96" t="s">
        <v>8194</v>
      </c>
      <c r="G6285" s="96" t="s">
        <v>88</v>
      </c>
      <c r="H6285" s="19" t="s">
        <v>8283</v>
      </c>
      <c r="I6285" s="23" t="e">
        <f>VLOOKUP(H6285,'合同综合查询数据（3月返）'!$A:$A,1,FALSE)</f>
        <v>#N/A</v>
      </c>
      <c r="J6285" s="448" t="s">
        <v>90</v>
      </c>
      <c r="K6285" s="96" t="s">
        <v>8284</v>
      </c>
      <c r="L6285" s="153"/>
      <c r="M6285" s="449" t="s">
        <v>8285</v>
      </c>
      <c r="N6285" s="450">
        <v>44609</v>
      </c>
      <c r="O6285" s="96" t="s">
        <v>457</v>
      </c>
      <c r="P6285" s="463">
        <v>6867</v>
      </c>
      <c r="Q6285" s="463">
        <v>1</v>
      </c>
      <c r="R6285" s="119">
        <f t="shared" si="146"/>
        <v>6867</v>
      </c>
      <c r="S6285" s="456">
        <v>202303</v>
      </c>
      <c r="T6285" s="184" t="s">
        <v>8341</v>
      </c>
      <c r="U6285" s="457"/>
      <c r="V6285" s="458"/>
      <c r="W6285" s="458"/>
      <c r="X6285" s="190">
        <v>44799</v>
      </c>
      <c r="Y6285" s="467">
        <v>45163</v>
      </c>
    </row>
    <row r="6286" s="9" customFormat="1" customHeight="1" spans="1:25">
      <c r="A6286" s="446" t="s">
        <v>403</v>
      </c>
      <c r="B6286" s="446" t="s">
        <v>8192</v>
      </c>
      <c r="C6286" s="446" t="s">
        <v>63</v>
      </c>
      <c r="D6286" s="446" t="s">
        <v>6237</v>
      </c>
      <c r="E6286" s="105" t="s">
        <v>8193</v>
      </c>
      <c r="F6286" s="96" t="s">
        <v>8194</v>
      </c>
      <c r="G6286" s="96" t="s">
        <v>88</v>
      </c>
      <c r="H6286" s="19" t="s">
        <v>8283</v>
      </c>
      <c r="I6286" s="23" t="e">
        <f>VLOOKUP(H6286,'合同综合查询数据（3月返）'!$A:$A,1,FALSE)</f>
        <v>#N/A</v>
      </c>
      <c r="J6286" s="448" t="s">
        <v>90</v>
      </c>
      <c r="K6286" s="96" t="s">
        <v>8284</v>
      </c>
      <c r="L6286" s="153"/>
      <c r="M6286" s="449" t="s">
        <v>8285</v>
      </c>
      <c r="N6286" s="450">
        <v>44611</v>
      </c>
      <c r="O6286" s="96" t="s">
        <v>457</v>
      </c>
      <c r="P6286" s="463">
        <v>6867</v>
      </c>
      <c r="Q6286" s="463">
        <v>2</v>
      </c>
      <c r="R6286" s="119">
        <f t="shared" si="146"/>
        <v>13734</v>
      </c>
      <c r="S6286" s="456">
        <v>202303</v>
      </c>
      <c r="T6286" s="184" t="s">
        <v>8342</v>
      </c>
      <c r="U6286" s="457"/>
      <c r="V6286" s="458"/>
      <c r="W6286" s="458"/>
      <c r="X6286" s="190">
        <v>44799</v>
      </c>
      <c r="Y6286" s="467">
        <v>45163</v>
      </c>
    </row>
    <row r="6287" s="9" customFormat="1" customHeight="1" spans="1:25">
      <c r="A6287" s="446" t="s">
        <v>403</v>
      </c>
      <c r="B6287" s="446" t="s">
        <v>8192</v>
      </c>
      <c r="C6287" s="446" t="s">
        <v>63</v>
      </c>
      <c r="D6287" s="446" t="s">
        <v>6237</v>
      </c>
      <c r="E6287" s="105" t="s">
        <v>8193</v>
      </c>
      <c r="F6287" s="96" t="s">
        <v>8194</v>
      </c>
      <c r="G6287" s="96" t="s">
        <v>88</v>
      </c>
      <c r="H6287" s="19" t="s">
        <v>8283</v>
      </c>
      <c r="I6287" s="23" t="e">
        <f>VLOOKUP(H6287,'合同综合查询数据（3月返）'!$A:$A,1,FALSE)</f>
        <v>#N/A</v>
      </c>
      <c r="J6287" s="448" t="s">
        <v>90</v>
      </c>
      <c r="K6287" s="96" t="s">
        <v>8284</v>
      </c>
      <c r="L6287" s="153"/>
      <c r="M6287" s="449" t="s">
        <v>8285</v>
      </c>
      <c r="N6287" s="450">
        <v>44613</v>
      </c>
      <c r="O6287" s="96" t="s">
        <v>457</v>
      </c>
      <c r="P6287" s="463">
        <v>6867</v>
      </c>
      <c r="Q6287" s="463">
        <v>9</v>
      </c>
      <c r="R6287" s="119">
        <f t="shared" si="146"/>
        <v>61803</v>
      </c>
      <c r="S6287" s="456">
        <v>202303</v>
      </c>
      <c r="T6287" s="184" t="s">
        <v>8343</v>
      </c>
      <c r="U6287" s="457"/>
      <c r="V6287" s="458"/>
      <c r="W6287" s="458"/>
      <c r="X6287" s="190">
        <v>44799</v>
      </c>
      <c r="Y6287" s="467">
        <v>45163</v>
      </c>
    </row>
    <row r="6288" s="9" customFormat="1" customHeight="1" spans="1:25">
      <c r="A6288" s="446" t="s">
        <v>403</v>
      </c>
      <c r="B6288" s="446" t="s">
        <v>8192</v>
      </c>
      <c r="C6288" s="446" t="s">
        <v>63</v>
      </c>
      <c r="D6288" s="446" t="s">
        <v>6237</v>
      </c>
      <c r="E6288" s="105" t="s">
        <v>8193</v>
      </c>
      <c r="F6288" s="96" t="s">
        <v>8194</v>
      </c>
      <c r="G6288" s="96" t="s">
        <v>88</v>
      </c>
      <c r="H6288" s="19" t="s">
        <v>8283</v>
      </c>
      <c r="I6288" s="23" t="e">
        <f>VLOOKUP(H6288,'合同综合查询数据（3月返）'!$A:$A,1,FALSE)</f>
        <v>#N/A</v>
      </c>
      <c r="J6288" s="448" t="s">
        <v>90</v>
      </c>
      <c r="K6288" s="96" t="s">
        <v>8284</v>
      </c>
      <c r="L6288" s="153"/>
      <c r="M6288" s="449" t="s">
        <v>8285</v>
      </c>
      <c r="N6288" s="450">
        <v>44897</v>
      </c>
      <c r="O6288" s="96" t="s">
        <v>457</v>
      </c>
      <c r="P6288" s="463">
        <v>6867</v>
      </c>
      <c r="Q6288" s="463">
        <v>-4</v>
      </c>
      <c r="R6288" s="119">
        <f t="shared" si="146"/>
        <v>-27468</v>
      </c>
      <c r="S6288" s="456">
        <v>202303</v>
      </c>
      <c r="T6288" s="184" t="s">
        <v>8344</v>
      </c>
      <c r="U6288" s="457"/>
      <c r="V6288" s="458"/>
      <c r="W6288" s="458"/>
      <c r="X6288" s="190">
        <v>44799</v>
      </c>
      <c r="Y6288" s="467">
        <v>45163</v>
      </c>
    </row>
    <row r="6289" s="9" customFormat="1" customHeight="1" spans="1:25">
      <c r="A6289" s="446" t="s">
        <v>403</v>
      </c>
      <c r="B6289" s="446" t="s">
        <v>8192</v>
      </c>
      <c r="C6289" s="446" t="s">
        <v>63</v>
      </c>
      <c r="D6289" s="446" t="s">
        <v>6237</v>
      </c>
      <c r="E6289" s="105" t="s">
        <v>8193</v>
      </c>
      <c r="F6289" s="96" t="s">
        <v>8194</v>
      </c>
      <c r="G6289" s="96" t="s">
        <v>67</v>
      </c>
      <c r="H6289" s="19" t="s">
        <v>8283</v>
      </c>
      <c r="I6289" s="23" t="e">
        <f>VLOOKUP(H6289,'合同综合查询数据（3月返）'!$A:$A,1,FALSE)</f>
        <v>#N/A</v>
      </c>
      <c r="J6289" s="96" t="s">
        <v>67</v>
      </c>
      <c r="K6289" s="96" t="s">
        <v>8284</v>
      </c>
      <c r="L6289" s="449"/>
      <c r="M6289" s="449" t="s">
        <v>8345</v>
      </c>
      <c r="N6289" s="450">
        <v>43714</v>
      </c>
      <c r="O6289" s="96"/>
      <c r="P6289" s="463">
        <v>390</v>
      </c>
      <c r="Q6289" s="463">
        <v>55</v>
      </c>
      <c r="R6289" s="119">
        <f t="shared" si="146"/>
        <v>21450</v>
      </c>
      <c r="S6289" s="456">
        <v>202303</v>
      </c>
      <c r="T6289" s="184" t="s">
        <v>8346</v>
      </c>
      <c r="U6289" s="457"/>
      <c r="V6289" s="458"/>
      <c r="W6289" s="458"/>
      <c r="X6289" s="190">
        <v>44799</v>
      </c>
      <c r="Y6289" s="467">
        <v>45163</v>
      </c>
    </row>
    <row r="6290" s="9" customFormat="1" customHeight="1" spans="1:25">
      <c r="A6290" s="446" t="s">
        <v>403</v>
      </c>
      <c r="B6290" s="446" t="s">
        <v>8192</v>
      </c>
      <c r="C6290" s="446" t="s">
        <v>63</v>
      </c>
      <c r="D6290" s="446" t="s">
        <v>6237</v>
      </c>
      <c r="E6290" s="105" t="s">
        <v>8193</v>
      </c>
      <c r="F6290" s="96" t="s">
        <v>8194</v>
      </c>
      <c r="G6290" s="96" t="s">
        <v>67</v>
      </c>
      <c r="H6290" s="19" t="s">
        <v>8283</v>
      </c>
      <c r="I6290" s="23" t="e">
        <f>VLOOKUP(H6290,'合同综合查询数据（3月返）'!$A:$A,1,FALSE)</f>
        <v>#N/A</v>
      </c>
      <c r="J6290" s="96" t="s">
        <v>67</v>
      </c>
      <c r="K6290" s="96" t="s">
        <v>8284</v>
      </c>
      <c r="L6290" s="449"/>
      <c r="M6290" s="449" t="s">
        <v>8345</v>
      </c>
      <c r="N6290" s="450">
        <v>43714</v>
      </c>
      <c r="O6290" s="96"/>
      <c r="P6290" s="463">
        <v>390</v>
      </c>
      <c r="Q6290" s="463">
        <v>107.2</v>
      </c>
      <c r="R6290" s="119">
        <f t="shared" si="146"/>
        <v>41808</v>
      </c>
      <c r="S6290" s="456">
        <v>202303</v>
      </c>
      <c r="T6290" s="184" t="s">
        <v>8347</v>
      </c>
      <c r="U6290" s="457"/>
      <c r="V6290" s="458"/>
      <c r="W6290" s="458"/>
      <c r="X6290" s="190">
        <v>44799</v>
      </c>
      <c r="Y6290" s="467">
        <v>45163</v>
      </c>
    </row>
    <row r="6291" s="9" customFormat="1" customHeight="1" spans="1:25">
      <c r="A6291" s="446" t="s">
        <v>403</v>
      </c>
      <c r="B6291" s="446" t="s">
        <v>8192</v>
      </c>
      <c r="C6291" s="446" t="s">
        <v>63</v>
      </c>
      <c r="D6291" s="446" t="s">
        <v>6237</v>
      </c>
      <c r="E6291" s="105" t="s">
        <v>8193</v>
      </c>
      <c r="F6291" s="96" t="s">
        <v>8194</v>
      </c>
      <c r="G6291" s="96" t="s">
        <v>67</v>
      </c>
      <c r="H6291" s="19" t="s">
        <v>8283</v>
      </c>
      <c r="I6291" s="23" t="e">
        <f>VLOOKUP(H6291,'合同综合查询数据（3月返）'!$A:$A,1,FALSE)</f>
        <v>#N/A</v>
      </c>
      <c r="J6291" s="96" t="s">
        <v>67</v>
      </c>
      <c r="K6291" s="96" t="s">
        <v>8284</v>
      </c>
      <c r="L6291" s="449"/>
      <c r="M6291" s="449" t="s">
        <v>8348</v>
      </c>
      <c r="N6291" s="450">
        <v>43703</v>
      </c>
      <c r="O6291" s="472"/>
      <c r="P6291" s="463">
        <v>390</v>
      </c>
      <c r="Q6291" s="463">
        <v>61</v>
      </c>
      <c r="R6291" s="119">
        <f t="shared" si="146"/>
        <v>23790</v>
      </c>
      <c r="S6291" s="456">
        <v>202303</v>
      </c>
      <c r="T6291" s="184"/>
      <c r="U6291" s="457"/>
      <c r="V6291" s="458"/>
      <c r="W6291" s="458"/>
      <c r="X6291" s="190">
        <v>44799</v>
      </c>
      <c r="Y6291" s="467">
        <v>45163</v>
      </c>
    </row>
    <row r="6292" s="9" customFormat="1" customHeight="1" spans="1:25">
      <c r="A6292" s="446" t="s">
        <v>403</v>
      </c>
      <c r="B6292" s="446" t="s">
        <v>8192</v>
      </c>
      <c r="C6292" s="446" t="s">
        <v>63</v>
      </c>
      <c r="D6292" s="446" t="s">
        <v>6237</v>
      </c>
      <c r="E6292" s="105" t="s">
        <v>8193</v>
      </c>
      <c r="F6292" s="96" t="s">
        <v>8194</v>
      </c>
      <c r="G6292" s="96" t="s">
        <v>67</v>
      </c>
      <c r="H6292" s="19" t="s">
        <v>8283</v>
      </c>
      <c r="I6292" s="23" t="e">
        <f>VLOOKUP(H6292,'合同综合查询数据（3月返）'!$A:$A,1,FALSE)</f>
        <v>#N/A</v>
      </c>
      <c r="J6292" s="96" t="s">
        <v>67</v>
      </c>
      <c r="K6292" s="96" t="s">
        <v>8284</v>
      </c>
      <c r="L6292" s="449"/>
      <c r="M6292" s="449" t="s">
        <v>8348</v>
      </c>
      <c r="N6292" s="450">
        <v>43703</v>
      </c>
      <c r="O6292" s="472"/>
      <c r="P6292" s="463">
        <v>390</v>
      </c>
      <c r="Q6292" s="463">
        <v>62</v>
      </c>
      <c r="R6292" s="119">
        <f t="shared" si="146"/>
        <v>24180</v>
      </c>
      <c r="S6292" s="456">
        <v>202303</v>
      </c>
      <c r="T6292" s="184"/>
      <c r="U6292" s="457"/>
      <c r="V6292" s="458"/>
      <c r="W6292" s="458"/>
      <c r="X6292" s="190">
        <v>44799</v>
      </c>
      <c r="Y6292" s="467">
        <v>45163</v>
      </c>
    </row>
    <row r="6293" s="9" customFormat="1" customHeight="1" spans="1:25">
      <c r="A6293" s="446" t="s">
        <v>403</v>
      </c>
      <c r="B6293" s="446" t="s">
        <v>8192</v>
      </c>
      <c r="C6293" s="446" t="s">
        <v>63</v>
      </c>
      <c r="D6293" s="446" t="s">
        <v>6237</v>
      </c>
      <c r="E6293" s="105" t="s">
        <v>8193</v>
      </c>
      <c r="F6293" s="96" t="s">
        <v>8194</v>
      </c>
      <c r="G6293" s="96" t="s">
        <v>67</v>
      </c>
      <c r="H6293" s="19" t="s">
        <v>8283</v>
      </c>
      <c r="I6293" s="23" t="e">
        <f>VLOOKUP(H6293,'合同综合查询数据（3月返）'!$A:$A,1,FALSE)</f>
        <v>#N/A</v>
      </c>
      <c r="J6293" s="96" t="s">
        <v>67</v>
      </c>
      <c r="K6293" s="96" t="s">
        <v>8284</v>
      </c>
      <c r="L6293" s="449"/>
      <c r="M6293" s="449" t="s">
        <v>8349</v>
      </c>
      <c r="N6293" s="450">
        <v>43703</v>
      </c>
      <c r="O6293" s="472"/>
      <c r="P6293" s="463">
        <v>390</v>
      </c>
      <c r="Q6293" s="463">
        <v>30</v>
      </c>
      <c r="R6293" s="119">
        <f t="shared" si="146"/>
        <v>11700</v>
      </c>
      <c r="S6293" s="456">
        <v>202303</v>
      </c>
      <c r="T6293" s="184"/>
      <c r="U6293" s="457"/>
      <c r="V6293" s="458"/>
      <c r="W6293" s="458"/>
      <c r="X6293" s="190">
        <v>44799</v>
      </c>
      <c r="Y6293" s="467">
        <v>45163</v>
      </c>
    </row>
    <row r="6294" s="9" customFormat="1" customHeight="1" spans="1:25">
      <c r="A6294" s="446" t="s">
        <v>403</v>
      </c>
      <c r="B6294" s="446" t="s">
        <v>8192</v>
      </c>
      <c r="C6294" s="446" t="s">
        <v>63</v>
      </c>
      <c r="D6294" s="446" t="s">
        <v>6237</v>
      </c>
      <c r="E6294" s="105" t="s">
        <v>8193</v>
      </c>
      <c r="F6294" s="96" t="s">
        <v>8194</v>
      </c>
      <c r="G6294" s="96" t="s">
        <v>67</v>
      </c>
      <c r="H6294" s="19" t="s">
        <v>8283</v>
      </c>
      <c r="I6294" s="23" t="e">
        <f>VLOOKUP(H6294,'合同综合查询数据（3月返）'!$A:$A,1,FALSE)</f>
        <v>#N/A</v>
      </c>
      <c r="J6294" s="96" t="s">
        <v>67</v>
      </c>
      <c r="K6294" s="96" t="s">
        <v>8284</v>
      </c>
      <c r="L6294" s="449"/>
      <c r="M6294" s="449" t="s">
        <v>8349</v>
      </c>
      <c r="N6294" s="450">
        <v>43703</v>
      </c>
      <c r="O6294" s="472"/>
      <c r="P6294" s="463">
        <v>390</v>
      </c>
      <c r="Q6294" s="463">
        <v>14</v>
      </c>
      <c r="R6294" s="119">
        <f t="shared" si="146"/>
        <v>5460</v>
      </c>
      <c r="S6294" s="456">
        <v>202303</v>
      </c>
      <c r="T6294" s="184"/>
      <c r="U6294" s="457"/>
      <c r="V6294" s="458"/>
      <c r="W6294" s="458"/>
      <c r="X6294" s="190">
        <v>44799</v>
      </c>
      <c r="Y6294" s="467">
        <v>45163</v>
      </c>
    </row>
    <row r="6295" s="9" customFormat="1" customHeight="1" spans="1:25">
      <c r="A6295" s="446" t="s">
        <v>403</v>
      </c>
      <c r="B6295" s="446" t="s">
        <v>8192</v>
      </c>
      <c r="C6295" s="446" t="s">
        <v>63</v>
      </c>
      <c r="D6295" s="446" t="s">
        <v>6237</v>
      </c>
      <c r="E6295" s="105" t="s">
        <v>8193</v>
      </c>
      <c r="F6295" s="96" t="s">
        <v>8194</v>
      </c>
      <c r="G6295" s="96" t="s">
        <v>67</v>
      </c>
      <c r="H6295" s="19" t="s">
        <v>8283</v>
      </c>
      <c r="I6295" s="23" t="e">
        <f>VLOOKUP(H6295,'合同综合查询数据（3月返）'!$A:$A,1,FALSE)</f>
        <v>#N/A</v>
      </c>
      <c r="J6295" s="96" t="s">
        <v>67</v>
      </c>
      <c r="K6295" s="96" t="s">
        <v>8284</v>
      </c>
      <c r="L6295" s="449"/>
      <c r="M6295" s="449" t="s">
        <v>8349</v>
      </c>
      <c r="N6295" s="450">
        <v>43703</v>
      </c>
      <c r="O6295" s="472"/>
      <c r="P6295" s="463">
        <v>390</v>
      </c>
      <c r="Q6295" s="463">
        <v>20</v>
      </c>
      <c r="R6295" s="119">
        <f t="shared" si="146"/>
        <v>7800</v>
      </c>
      <c r="S6295" s="456">
        <v>202303</v>
      </c>
      <c r="T6295" s="184"/>
      <c r="U6295" s="457"/>
      <c r="V6295" s="458"/>
      <c r="W6295" s="458"/>
      <c r="X6295" s="190">
        <v>44799</v>
      </c>
      <c r="Y6295" s="467">
        <v>45163</v>
      </c>
    </row>
    <row r="6296" s="9" customFormat="1" customHeight="1" spans="1:25">
      <c r="A6296" s="446" t="s">
        <v>403</v>
      </c>
      <c r="B6296" s="446" t="s">
        <v>8192</v>
      </c>
      <c r="C6296" s="446" t="s">
        <v>63</v>
      </c>
      <c r="D6296" s="446" t="s">
        <v>6237</v>
      </c>
      <c r="E6296" s="105" t="s">
        <v>8193</v>
      </c>
      <c r="F6296" s="96" t="s">
        <v>8194</v>
      </c>
      <c r="G6296" s="96" t="s">
        <v>67</v>
      </c>
      <c r="H6296" s="19" t="s">
        <v>8283</v>
      </c>
      <c r="I6296" s="23" t="e">
        <f>VLOOKUP(H6296,'合同综合查询数据（3月返）'!$A:$A,1,FALSE)</f>
        <v>#N/A</v>
      </c>
      <c r="J6296" s="96" t="s">
        <v>67</v>
      </c>
      <c r="K6296" s="96" t="s">
        <v>8284</v>
      </c>
      <c r="L6296" s="449"/>
      <c r="M6296" s="449" t="s">
        <v>8349</v>
      </c>
      <c r="N6296" s="450">
        <v>43703</v>
      </c>
      <c r="O6296" s="472"/>
      <c r="P6296" s="463">
        <v>390</v>
      </c>
      <c r="Q6296" s="463">
        <v>14</v>
      </c>
      <c r="R6296" s="119">
        <f t="shared" si="146"/>
        <v>5460</v>
      </c>
      <c r="S6296" s="456">
        <v>202303</v>
      </c>
      <c r="T6296" s="184"/>
      <c r="U6296" s="457"/>
      <c r="V6296" s="458"/>
      <c r="W6296" s="458"/>
      <c r="X6296" s="190">
        <v>44799</v>
      </c>
      <c r="Y6296" s="467">
        <v>45163</v>
      </c>
    </row>
    <row r="6297" s="9" customFormat="1" customHeight="1" spans="1:25">
      <c r="A6297" s="446" t="s">
        <v>403</v>
      </c>
      <c r="B6297" s="446" t="s">
        <v>8192</v>
      </c>
      <c r="C6297" s="446" t="s">
        <v>63</v>
      </c>
      <c r="D6297" s="446" t="s">
        <v>6237</v>
      </c>
      <c r="E6297" s="105" t="s">
        <v>8193</v>
      </c>
      <c r="F6297" s="96" t="s">
        <v>8194</v>
      </c>
      <c r="G6297" s="96" t="s">
        <v>67</v>
      </c>
      <c r="H6297" s="19" t="s">
        <v>8283</v>
      </c>
      <c r="I6297" s="23" t="e">
        <f>VLOOKUP(H6297,'合同综合查询数据（3月返）'!$A:$A,1,FALSE)</f>
        <v>#N/A</v>
      </c>
      <c r="J6297" s="96" t="s">
        <v>67</v>
      </c>
      <c r="K6297" s="96" t="s">
        <v>8284</v>
      </c>
      <c r="L6297" s="449"/>
      <c r="M6297" s="449" t="s">
        <v>8350</v>
      </c>
      <c r="N6297" s="450">
        <v>43703</v>
      </c>
      <c r="O6297" s="472"/>
      <c r="P6297" s="463">
        <v>390</v>
      </c>
      <c r="Q6297" s="463">
        <v>70</v>
      </c>
      <c r="R6297" s="119">
        <f t="shared" si="146"/>
        <v>27300</v>
      </c>
      <c r="S6297" s="456">
        <v>202303</v>
      </c>
      <c r="T6297" s="184"/>
      <c r="U6297" s="457"/>
      <c r="V6297" s="458"/>
      <c r="W6297" s="458"/>
      <c r="X6297" s="190">
        <v>44799</v>
      </c>
      <c r="Y6297" s="467">
        <v>45163</v>
      </c>
    </row>
    <row r="6298" s="9" customFormat="1" customHeight="1" spans="1:25">
      <c r="A6298" s="446" t="s">
        <v>403</v>
      </c>
      <c r="B6298" s="446" t="s">
        <v>8192</v>
      </c>
      <c r="C6298" s="446" t="s">
        <v>63</v>
      </c>
      <c r="D6298" s="446" t="s">
        <v>6237</v>
      </c>
      <c r="E6298" s="105" t="s">
        <v>8193</v>
      </c>
      <c r="F6298" s="96" t="s">
        <v>8194</v>
      </c>
      <c r="G6298" s="96" t="s">
        <v>67</v>
      </c>
      <c r="H6298" s="19" t="s">
        <v>8283</v>
      </c>
      <c r="I6298" s="23" t="e">
        <f>VLOOKUP(H6298,'合同综合查询数据（3月返）'!$A:$A,1,FALSE)</f>
        <v>#N/A</v>
      </c>
      <c r="J6298" s="96" t="s">
        <v>67</v>
      </c>
      <c r="K6298" s="96" t="s">
        <v>8284</v>
      </c>
      <c r="L6298" s="449"/>
      <c r="M6298" s="449" t="s">
        <v>8350</v>
      </c>
      <c r="N6298" s="450">
        <v>43703</v>
      </c>
      <c r="O6298" s="472"/>
      <c r="P6298" s="463">
        <v>390</v>
      </c>
      <c r="Q6298" s="463">
        <v>71</v>
      </c>
      <c r="R6298" s="119">
        <f t="shared" si="146"/>
        <v>27690</v>
      </c>
      <c r="S6298" s="456">
        <v>202303</v>
      </c>
      <c r="T6298" s="184"/>
      <c r="U6298" s="457"/>
      <c r="V6298" s="458"/>
      <c r="W6298" s="458"/>
      <c r="X6298" s="190">
        <v>44799</v>
      </c>
      <c r="Y6298" s="467">
        <v>45163</v>
      </c>
    </row>
    <row r="6299" s="9" customFormat="1" customHeight="1" spans="1:25">
      <c r="A6299" s="446" t="s">
        <v>403</v>
      </c>
      <c r="B6299" s="446" t="s">
        <v>8192</v>
      </c>
      <c r="C6299" s="446" t="s">
        <v>63</v>
      </c>
      <c r="D6299" s="446" t="s">
        <v>6237</v>
      </c>
      <c r="E6299" s="105" t="s">
        <v>8193</v>
      </c>
      <c r="F6299" s="96" t="s">
        <v>8194</v>
      </c>
      <c r="G6299" s="96" t="s">
        <v>31</v>
      </c>
      <c r="H6299" s="97" t="s">
        <v>8199</v>
      </c>
      <c r="I6299" s="23" t="e">
        <f>VLOOKUP(H6299,'合同综合查询数据（3月返）'!$A:$A,1,FALSE)</f>
        <v>#N/A</v>
      </c>
      <c r="J6299" s="473" t="s">
        <v>7517</v>
      </c>
      <c r="K6299" s="96"/>
      <c r="L6299" s="153"/>
      <c r="M6299" s="449"/>
      <c r="N6299" s="450">
        <v>43862</v>
      </c>
      <c r="O6299" s="96"/>
      <c r="P6299" s="463">
        <v>50</v>
      </c>
      <c r="Q6299" s="463">
        <v>512</v>
      </c>
      <c r="R6299" s="119">
        <f t="shared" si="146"/>
        <v>25600</v>
      </c>
      <c r="S6299" s="456">
        <v>202303</v>
      </c>
      <c r="T6299" s="184"/>
      <c r="U6299" s="470"/>
      <c r="V6299" s="458"/>
      <c r="W6299" s="458"/>
      <c r="X6299" s="190">
        <v>44743</v>
      </c>
      <c r="Y6299" s="467">
        <v>45107</v>
      </c>
    </row>
    <row r="6300" s="9" customFormat="1" customHeight="1" spans="1:25">
      <c r="A6300" s="446" t="s">
        <v>403</v>
      </c>
      <c r="B6300" s="446" t="s">
        <v>8192</v>
      </c>
      <c r="C6300" s="446" t="s">
        <v>63</v>
      </c>
      <c r="D6300" s="446" t="s">
        <v>6237</v>
      </c>
      <c r="E6300" s="105" t="s">
        <v>8193</v>
      </c>
      <c r="F6300" s="96" t="s">
        <v>8194</v>
      </c>
      <c r="G6300" s="96" t="s">
        <v>31</v>
      </c>
      <c r="H6300" s="97" t="s">
        <v>8199</v>
      </c>
      <c r="I6300" s="23" t="e">
        <f>VLOOKUP(H6300,'合同综合查询数据（3月返）'!$A:$A,1,FALSE)</f>
        <v>#N/A</v>
      </c>
      <c r="J6300" s="473" t="s">
        <v>7517</v>
      </c>
      <c r="K6300" s="96"/>
      <c r="L6300" s="153"/>
      <c r="M6300" s="449"/>
      <c r="N6300" s="450">
        <v>44015</v>
      </c>
      <c r="O6300" s="96"/>
      <c r="P6300" s="463">
        <v>50</v>
      </c>
      <c r="Q6300" s="463">
        <v>1024</v>
      </c>
      <c r="R6300" s="119">
        <f t="shared" si="146"/>
        <v>51200</v>
      </c>
      <c r="S6300" s="456">
        <v>202303</v>
      </c>
      <c r="T6300" s="184" t="s">
        <v>8351</v>
      </c>
      <c r="U6300" s="470"/>
      <c r="V6300" s="458"/>
      <c r="W6300" s="458"/>
      <c r="X6300" s="190">
        <v>44743</v>
      </c>
      <c r="Y6300" s="467">
        <v>45107</v>
      </c>
    </row>
    <row r="6301" s="9" customFormat="1" customHeight="1" spans="1:25">
      <c r="A6301" s="446" t="s">
        <v>403</v>
      </c>
      <c r="B6301" s="446" t="s">
        <v>8192</v>
      </c>
      <c r="C6301" s="446" t="s">
        <v>63</v>
      </c>
      <c r="D6301" s="446" t="s">
        <v>6237</v>
      </c>
      <c r="E6301" s="105" t="s">
        <v>8193</v>
      </c>
      <c r="F6301" s="96" t="s">
        <v>8194</v>
      </c>
      <c r="G6301" s="96" t="s">
        <v>31</v>
      </c>
      <c r="H6301" s="97" t="s">
        <v>8352</v>
      </c>
      <c r="I6301" s="23" t="e">
        <f>VLOOKUP(H6301,'合同综合查询数据（3月返）'!$A:$A,1,FALSE)</f>
        <v>#N/A</v>
      </c>
      <c r="J6301" s="448" t="s">
        <v>7564</v>
      </c>
      <c r="K6301" s="447" t="s">
        <v>8256</v>
      </c>
      <c r="L6301" s="153"/>
      <c r="M6301" s="449"/>
      <c r="N6301" s="450">
        <v>44043</v>
      </c>
      <c r="O6301" s="96"/>
      <c r="P6301" s="463">
        <v>40</v>
      </c>
      <c r="Q6301" s="463">
        <v>32</v>
      </c>
      <c r="R6301" s="119">
        <f t="shared" si="146"/>
        <v>1280</v>
      </c>
      <c r="S6301" s="456">
        <v>202303</v>
      </c>
      <c r="T6301" s="184" t="s">
        <v>8353</v>
      </c>
      <c r="U6301" s="470"/>
      <c r="V6301" s="458"/>
      <c r="W6301" s="458"/>
      <c r="X6301" s="190">
        <v>44013</v>
      </c>
      <c r="Y6301" s="467">
        <v>45107</v>
      </c>
    </row>
    <row r="6302" s="10" customFormat="1" customHeight="1" spans="1:25">
      <c r="A6302" s="459" t="s">
        <v>403</v>
      </c>
      <c r="B6302" s="459" t="s">
        <v>8192</v>
      </c>
      <c r="C6302" s="459" t="s">
        <v>63</v>
      </c>
      <c r="D6302" s="459" t="s">
        <v>6237</v>
      </c>
      <c r="E6302" s="63" t="s">
        <v>8193</v>
      </c>
      <c r="F6302" s="60" t="s">
        <v>8194</v>
      </c>
      <c r="G6302" s="60" t="s">
        <v>31</v>
      </c>
      <c r="H6302" s="45" t="s">
        <v>8246</v>
      </c>
      <c r="I6302" s="47" t="e">
        <f>VLOOKUP(H6302,'合同综合查询数据（3月返）'!$A:$A,1,FALSE)</f>
        <v>#N/A</v>
      </c>
      <c r="J6302" s="424" t="s">
        <v>7564</v>
      </c>
      <c r="K6302" s="460" t="s">
        <v>8253</v>
      </c>
      <c r="L6302" s="164"/>
      <c r="M6302" s="429"/>
      <c r="N6302" s="461">
        <v>44043</v>
      </c>
      <c r="O6302" s="60"/>
      <c r="P6302" s="462">
        <v>20</v>
      </c>
      <c r="Q6302" s="475">
        <v>256</v>
      </c>
      <c r="R6302" s="69">
        <f t="shared" si="146"/>
        <v>5120</v>
      </c>
      <c r="S6302" s="434">
        <v>202303</v>
      </c>
      <c r="T6302" s="168" t="s">
        <v>8354</v>
      </c>
      <c r="U6302" s="476"/>
      <c r="V6302" s="437"/>
      <c r="W6302" s="437"/>
      <c r="X6302" s="163">
        <v>44896</v>
      </c>
      <c r="Y6302" s="468"/>
    </row>
    <row r="6303" s="10" customFormat="1" customHeight="1" spans="1:25">
      <c r="A6303" s="459" t="s">
        <v>403</v>
      </c>
      <c r="B6303" s="459" t="s">
        <v>8192</v>
      </c>
      <c r="C6303" s="459" t="s">
        <v>63</v>
      </c>
      <c r="D6303" s="459" t="s">
        <v>6237</v>
      </c>
      <c r="E6303" s="63" t="s">
        <v>8193</v>
      </c>
      <c r="F6303" s="60" t="s">
        <v>8194</v>
      </c>
      <c r="G6303" s="60" t="s">
        <v>31</v>
      </c>
      <c r="H6303" s="45" t="s">
        <v>8246</v>
      </c>
      <c r="I6303" s="47" t="e">
        <f>VLOOKUP(H6303,'合同综合查询数据（3月返）'!$A:$A,1,FALSE)</f>
        <v>#N/A</v>
      </c>
      <c r="J6303" s="424" t="s">
        <v>7580</v>
      </c>
      <c r="K6303" s="460" t="s">
        <v>8355</v>
      </c>
      <c r="L6303" s="474" t="s">
        <v>8356</v>
      </c>
      <c r="M6303" s="429"/>
      <c r="N6303" s="461">
        <v>44682</v>
      </c>
      <c r="O6303" s="60"/>
      <c r="P6303" s="475">
        <v>0</v>
      </c>
      <c r="Q6303" s="475">
        <v>768</v>
      </c>
      <c r="R6303" s="69">
        <f t="shared" si="146"/>
        <v>0</v>
      </c>
      <c r="S6303" s="434">
        <v>202303</v>
      </c>
      <c r="T6303" s="168" t="s">
        <v>8357</v>
      </c>
      <c r="U6303" s="476"/>
      <c r="V6303" s="437"/>
      <c r="W6303" s="437"/>
      <c r="X6303" s="163">
        <v>44896</v>
      </c>
      <c r="Y6303" s="468"/>
    </row>
    <row r="6304" s="10" customFormat="1" customHeight="1" spans="1:25">
      <c r="A6304" s="459" t="s">
        <v>403</v>
      </c>
      <c r="B6304" s="459" t="s">
        <v>8192</v>
      </c>
      <c r="C6304" s="459" t="s">
        <v>63</v>
      </c>
      <c r="D6304" s="459" t="s">
        <v>6237</v>
      </c>
      <c r="E6304" s="63" t="s">
        <v>8193</v>
      </c>
      <c r="F6304" s="60" t="s">
        <v>8194</v>
      </c>
      <c r="G6304" s="60" t="s">
        <v>31</v>
      </c>
      <c r="H6304" s="45" t="s">
        <v>8246</v>
      </c>
      <c r="I6304" s="47" t="e">
        <f>VLOOKUP(H6304,'合同综合查询数据（3月返）'!$A:$A,1,FALSE)</f>
        <v>#N/A</v>
      </c>
      <c r="J6304" s="424" t="s">
        <v>7580</v>
      </c>
      <c r="K6304" s="460" t="s">
        <v>8355</v>
      </c>
      <c r="L6304" s="474" t="s">
        <v>8356</v>
      </c>
      <c r="M6304" s="429"/>
      <c r="N6304" s="461">
        <v>44682</v>
      </c>
      <c r="O6304" s="60"/>
      <c r="P6304" s="462">
        <v>20</v>
      </c>
      <c r="Q6304" s="475">
        <v>1280</v>
      </c>
      <c r="R6304" s="69">
        <f t="shared" si="146"/>
        <v>25600</v>
      </c>
      <c r="S6304" s="434">
        <v>202303</v>
      </c>
      <c r="T6304" s="168" t="s">
        <v>8357</v>
      </c>
      <c r="U6304" s="476"/>
      <c r="V6304" s="437"/>
      <c r="W6304" s="437"/>
      <c r="X6304" s="163">
        <v>44896</v>
      </c>
      <c r="Y6304" s="468"/>
    </row>
    <row r="6305" s="9" customFormat="1" customHeight="1" spans="1:25">
      <c r="A6305" s="446" t="s">
        <v>403</v>
      </c>
      <c r="B6305" s="446" t="s">
        <v>8192</v>
      </c>
      <c r="C6305" s="446" t="s">
        <v>63</v>
      </c>
      <c r="D6305" s="446" t="s">
        <v>6237</v>
      </c>
      <c r="E6305" s="105" t="s">
        <v>8193</v>
      </c>
      <c r="F6305" s="96" t="s">
        <v>8194</v>
      </c>
      <c r="G6305" s="447" t="s">
        <v>302</v>
      </c>
      <c r="H6305" s="97" t="s">
        <v>8258</v>
      </c>
      <c r="I6305" s="23" t="e">
        <f>VLOOKUP(H6305,'合同综合查询数据（3月返）'!$A:$A,1,FALSE)</f>
        <v>#N/A</v>
      </c>
      <c r="J6305" s="448" t="s">
        <v>302</v>
      </c>
      <c r="K6305" s="446" t="s">
        <v>8358</v>
      </c>
      <c r="L6305" s="94"/>
      <c r="M6305" s="449" t="s">
        <v>8359</v>
      </c>
      <c r="N6305" s="450">
        <v>43983</v>
      </c>
      <c r="O6305" s="96" t="s">
        <v>308</v>
      </c>
      <c r="P6305" s="463">
        <v>700</v>
      </c>
      <c r="Q6305" s="463">
        <v>1</v>
      </c>
      <c r="R6305" s="119">
        <f t="shared" si="146"/>
        <v>700</v>
      </c>
      <c r="S6305" s="456">
        <v>202303</v>
      </c>
      <c r="T6305" s="184" t="s">
        <v>8360</v>
      </c>
      <c r="U6305" s="457"/>
      <c r="V6305" s="458"/>
      <c r="W6305" s="458"/>
      <c r="X6305" s="466">
        <v>44652</v>
      </c>
      <c r="Y6305" s="467">
        <v>45016</v>
      </c>
    </row>
    <row r="6306" s="9" customFormat="1" customHeight="1" spans="1:25">
      <c r="A6306" s="446" t="s">
        <v>403</v>
      </c>
      <c r="B6306" s="446" t="s">
        <v>8192</v>
      </c>
      <c r="C6306" s="446" t="s">
        <v>63</v>
      </c>
      <c r="D6306" s="446" t="s">
        <v>6237</v>
      </c>
      <c r="E6306" s="105" t="s">
        <v>8193</v>
      </c>
      <c r="F6306" s="96" t="s">
        <v>8194</v>
      </c>
      <c r="G6306" s="447" t="s">
        <v>302</v>
      </c>
      <c r="H6306" s="97" t="s">
        <v>8258</v>
      </c>
      <c r="I6306" s="23" t="e">
        <f>VLOOKUP(H6306,'合同综合查询数据（3月返）'!$A:$A,1,FALSE)</f>
        <v>#N/A</v>
      </c>
      <c r="J6306" s="448" t="s">
        <v>302</v>
      </c>
      <c r="K6306" s="446" t="s">
        <v>8358</v>
      </c>
      <c r="L6306" s="94"/>
      <c r="M6306" s="449" t="s">
        <v>8359</v>
      </c>
      <c r="N6306" s="450">
        <v>44781</v>
      </c>
      <c r="O6306" s="96" t="s">
        <v>308</v>
      </c>
      <c r="P6306" s="463">
        <v>700</v>
      </c>
      <c r="Q6306" s="463">
        <v>-1</v>
      </c>
      <c r="R6306" s="119">
        <f t="shared" si="146"/>
        <v>-700</v>
      </c>
      <c r="S6306" s="456">
        <v>202303</v>
      </c>
      <c r="T6306" s="184" t="s">
        <v>8361</v>
      </c>
      <c r="U6306" s="457"/>
      <c r="V6306" s="458"/>
      <c r="W6306" s="458"/>
      <c r="X6306" s="466">
        <v>44652</v>
      </c>
      <c r="Y6306" s="467">
        <v>45016</v>
      </c>
    </row>
    <row r="6307" s="9" customFormat="1" customHeight="1" spans="1:25">
      <c r="A6307" s="446" t="s">
        <v>403</v>
      </c>
      <c r="B6307" s="446" t="s">
        <v>8192</v>
      </c>
      <c r="C6307" s="446" t="s">
        <v>63</v>
      </c>
      <c r="D6307" s="446" t="s">
        <v>6237</v>
      </c>
      <c r="E6307" s="105" t="s">
        <v>8193</v>
      </c>
      <c r="F6307" s="96" t="s">
        <v>8194</v>
      </c>
      <c r="G6307" s="447" t="s">
        <v>302</v>
      </c>
      <c r="H6307" s="97" t="s">
        <v>8258</v>
      </c>
      <c r="I6307" s="23" t="e">
        <f>VLOOKUP(H6307,'合同综合查询数据（3月返）'!$A:$A,1,FALSE)</f>
        <v>#N/A</v>
      </c>
      <c r="J6307" s="448" t="s">
        <v>302</v>
      </c>
      <c r="K6307" s="446" t="s">
        <v>8362</v>
      </c>
      <c r="L6307" s="94"/>
      <c r="M6307" s="449" t="s">
        <v>8363</v>
      </c>
      <c r="N6307" s="450">
        <v>44202</v>
      </c>
      <c r="O6307" s="96" t="s">
        <v>311</v>
      </c>
      <c r="P6307" s="463">
        <v>1353.8</v>
      </c>
      <c r="Q6307" s="463">
        <v>1</v>
      </c>
      <c r="R6307" s="119">
        <f t="shared" si="146"/>
        <v>1353.8</v>
      </c>
      <c r="S6307" s="456">
        <v>202303</v>
      </c>
      <c r="T6307" s="184" t="s">
        <v>8364</v>
      </c>
      <c r="U6307" s="457"/>
      <c r="V6307" s="458"/>
      <c r="W6307" s="458"/>
      <c r="X6307" s="466">
        <v>44652</v>
      </c>
      <c r="Y6307" s="467">
        <v>45016</v>
      </c>
    </row>
    <row r="6308" s="9" customFormat="1" customHeight="1" spans="1:25">
      <c r="A6308" s="446" t="s">
        <v>403</v>
      </c>
      <c r="B6308" s="446" t="s">
        <v>8192</v>
      </c>
      <c r="C6308" s="446" t="s">
        <v>63</v>
      </c>
      <c r="D6308" s="446" t="s">
        <v>6237</v>
      </c>
      <c r="E6308" s="105" t="s">
        <v>8193</v>
      </c>
      <c r="F6308" s="96" t="s">
        <v>8194</v>
      </c>
      <c r="G6308" s="447" t="s">
        <v>302</v>
      </c>
      <c r="H6308" s="97" t="s">
        <v>8258</v>
      </c>
      <c r="I6308" s="23" t="e">
        <f>VLOOKUP(H6308,'合同综合查询数据（3月返）'!$A:$A,1,FALSE)</f>
        <v>#N/A</v>
      </c>
      <c r="J6308" s="448" t="s">
        <v>302</v>
      </c>
      <c r="K6308" s="446" t="s">
        <v>8365</v>
      </c>
      <c r="L6308" s="94"/>
      <c r="M6308" s="449" t="s">
        <v>8366</v>
      </c>
      <c r="N6308" s="450">
        <v>43983</v>
      </c>
      <c r="O6308" s="96" t="s">
        <v>311</v>
      </c>
      <c r="P6308" s="463">
        <v>1353.8</v>
      </c>
      <c r="Q6308" s="463">
        <v>1</v>
      </c>
      <c r="R6308" s="119">
        <f t="shared" si="146"/>
        <v>1353.8</v>
      </c>
      <c r="S6308" s="456">
        <v>202303</v>
      </c>
      <c r="T6308" s="184" t="s">
        <v>8367</v>
      </c>
      <c r="U6308" s="457"/>
      <c r="V6308" s="458"/>
      <c r="W6308" s="458"/>
      <c r="X6308" s="466">
        <v>44652</v>
      </c>
      <c r="Y6308" s="467">
        <v>45016</v>
      </c>
    </row>
    <row r="6309" s="9" customFormat="1" customHeight="1" spans="1:25">
      <c r="A6309" s="446" t="s">
        <v>403</v>
      </c>
      <c r="B6309" s="446" t="s">
        <v>8192</v>
      </c>
      <c r="C6309" s="446" t="s">
        <v>63</v>
      </c>
      <c r="D6309" s="446" t="s">
        <v>6237</v>
      </c>
      <c r="E6309" s="105" t="s">
        <v>8193</v>
      </c>
      <c r="F6309" s="96" t="s">
        <v>8194</v>
      </c>
      <c r="G6309" s="447" t="s">
        <v>302</v>
      </c>
      <c r="H6309" s="97" t="s">
        <v>8258</v>
      </c>
      <c r="I6309" s="23" t="e">
        <f>VLOOKUP(H6309,'合同综合查询数据（3月返）'!$A:$A,1,FALSE)</f>
        <v>#N/A</v>
      </c>
      <c r="J6309" s="448" t="s">
        <v>302</v>
      </c>
      <c r="K6309" s="446" t="s">
        <v>8358</v>
      </c>
      <c r="L6309" s="94"/>
      <c r="M6309" s="449" t="s">
        <v>8368</v>
      </c>
      <c r="N6309" s="450">
        <v>43983</v>
      </c>
      <c r="O6309" s="96" t="s">
        <v>311</v>
      </c>
      <c r="P6309" s="463">
        <v>1353.8</v>
      </c>
      <c r="Q6309" s="463">
        <v>1</v>
      </c>
      <c r="R6309" s="119">
        <f t="shared" si="146"/>
        <v>1353.8</v>
      </c>
      <c r="S6309" s="456">
        <v>202303</v>
      </c>
      <c r="T6309" s="184" t="s">
        <v>8369</v>
      </c>
      <c r="U6309" s="457"/>
      <c r="V6309" s="458"/>
      <c r="W6309" s="458"/>
      <c r="X6309" s="466">
        <v>44652</v>
      </c>
      <c r="Y6309" s="467">
        <v>45016</v>
      </c>
    </row>
    <row r="6310" s="9" customFormat="1" customHeight="1" spans="1:25">
      <c r="A6310" s="446" t="s">
        <v>403</v>
      </c>
      <c r="B6310" s="446" t="s">
        <v>8192</v>
      </c>
      <c r="C6310" s="446" t="s">
        <v>63</v>
      </c>
      <c r="D6310" s="446" t="s">
        <v>6237</v>
      </c>
      <c r="E6310" s="105" t="s">
        <v>8193</v>
      </c>
      <c r="F6310" s="96" t="s">
        <v>8194</v>
      </c>
      <c r="G6310" s="447" t="s">
        <v>302</v>
      </c>
      <c r="H6310" s="97" t="s">
        <v>8258</v>
      </c>
      <c r="I6310" s="23" t="e">
        <f>VLOOKUP(H6310,'合同综合查询数据（3月返）'!$A:$A,1,FALSE)</f>
        <v>#N/A</v>
      </c>
      <c r="J6310" s="448" t="s">
        <v>302</v>
      </c>
      <c r="K6310" s="446" t="s">
        <v>8370</v>
      </c>
      <c r="L6310" s="94"/>
      <c r="M6310" s="449" t="s">
        <v>8371</v>
      </c>
      <c r="N6310" s="450">
        <v>43983</v>
      </c>
      <c r="O6310" s="96" t="s">
        <v>308</v>
      </c>
      <c r="P6310" s="463">
        <v>700</v>
      </c>
      <c r="Q6310" s="463">
        <v>1</v>
      </c>
      <c r="R6310" s="119">
        <f t="shared" si="146"/>
        <v>700</v>
      </c>
      <c r="S6310" s="456">
        <v>202303</v>
      </c>
      <c r="T6310" s="184" t="s">
        <v>8372</v>
      </c>
      <c r="U6310" s="457"/>
      <c r="V6310" s="458"/>
      <c r="W6310" s="458"/>
      <c r="X6310" s="466">
        <v>44652</v>
      </c>
      <c r="Y6310" s="467">
        <v>45016</v>
      </c>
    </row>
    <row r="6311" s="9" customFormat="1" customHeight="1" spans="1:25">
      <c r="A6311" s="446" t="s">
        <v>403</v>
      </c>
      <c r="B6311" s="446" t="s">
        <v>8192</v>
      </c>
      <c r="C6311" s="446" t="s">
        <v>63</v>
      </c>
      <c r="D6311" s="446" t="s">
        <v>6237</v>
      </c>
      <c r="E6311" s="105" t="s">
        <v>8193</v>
      </c>
      <c r="F6311" s="96" t="s">
        <v>8194</v>
      </c>
      <c r="G6311" s="447" t="s">
        <v>302</v>
      </c>
      <c r="H6311" s="97" t="s">
        <v>8258</v>
      </c>
      <c r="I6311" s="23" t="e">
        <f>VLOOKUP(H6311,'合同综合查询数据（3月返）'!$A:$A,1,FALSE)</f>
        <v>#N/A</v>
      </c>
      <c r="J6311" s="448" t="s">
        <v>302</v>
      </c>
      <c r="K6311" s="446" t="s">
        <v>8373</v>
      </c>
      <c r="L6311" s="94"/>
      <c r="M6311" s="449" t="s">
        <v>8374</v>
      </c>
      <c r="N6311" s="450">
        <v>43983</v>
      </c>
      <c r="O6311" s="96" t="s">
        <v>308</v>
      </c>
      <c r="P6311" s="463">
        <v>700</v>
      </c>
      <c r="Q6311" s="463">
        <v>1</v>
      </c>
      <c r="R6311" s="119">
        <f t="shared" si="146"/>
        <v>700</v>
      </c>
      <c r="S6311" s="456">
        <v>202303</v>
      </c>
      <c r="T6311" s="184" t="s">
        <v>8375</v>
      </c>
      <c r="U6311" s="457"/>
      <c r="V6311" s="458"/>
      <c r="W6311" s="458"/>
      <c r="X6311" s="466">
        <v>44652</v>
      </c>
      <c r="Y6311" s="467">
        <v>45016</v>
      </c>
    </row>
    <row r="6312" s="9" customFormat="1" customHeight="1" spans="1:25">
      <c r="A6312" s="446" t="s">
        <v>403</v>
      </c>
      <c r="B6312" s="446" t="s">
        <v>8192</v>
      </c>
      <c r="C6312" s="446" t="s">
        <v>63</v>
      </c>
      <c r="D6312" s="446" t="s">
        <v>6237</v>
      </c>
      <c r="E6312" s="105" t="s">
        <v>8193</v>
      </c>
      <c r="F6312" s="96" t="s">
        <v>8194</v>
      </c>
      <c r="G6312" s="447" t="s">
        <v>302</v>
      </c>
      <c r="H6312" s="97" t="s">
        <v>8258</v>
      </c>
      <c r="I6312" s="23" t="e">
        <f>VLOOKUP(H6312,'合同综合查询数据（3月返）'!$A:$A,1,FALSE)</f>
        <v>#N/A</v>
      </c>
      <c r="J6312" s="448" t="s">
        <v>302</v>
      </c>
      <c r="K6312" s="446" t="s">
        <v>8373</v>
      </c>
      <c r="L6312" s="94"/>
      <c r="M6312" s="449" t="s">
        <v>8374</v>
      </c>
      <c r="N6312" s="450">
        <v>44651</v>
      </c>
      <c r="O6312" s="96" t="s">
        <v>308</v>
      </c>
      <c r="P6312" s="463">
        <v>700</v>
      </c>
      <c r="Q6312" s="463">
        <v>-1</v>
      </c>
      <c r="R6312" s="119">
        <f t="shared" si="146"/>
        <v>-700</v>
      </c>
      <c r="S6312" s="456">
        <v>202303</v>
      </c>
      <c r="T6312" s="184" t="s">
        <v>8376</v>
      </c>
      <c r="U6312" s="457"/>
      <c r="V6312" s="458"/>
      <c r="W6312" s="458"/>
      <c r="X6312" s="466">
        <v>44652</v>
      </c>
      <c r="Y6312" s="467">
        <v>45016</v>
      </c>
    </row>
    <row r="6313" s="9" customFormat="1" customHeight="1" spans="1:25">
      <c r="A6313" s="446" t="s">
        <v>403</v>
      </c>
      <c r="B6313" s="446" t="s">
        <v>8192</v>
      </c>
      <c r="C6313" s="446" t="s">
        <v>63</v>
      </c>
      <c r="D6313" s="446" t="s">
        <v>6237</v>
      </c>
      <c r="E6313" s="105" t="s">
        <v>8193</v>
      </c>
      <c r="F6313" s="96" t="s">
        <v>8194</v>
      </c>
      <c r="G6313" s="447" t="s">
        <v>302</v>
      </c>
      <c r="H6313" s="97" t="s">
        <v>8258</v>
      </c>
      <c r="I6313" s="23" t="e">
        <f>VLOOKUP(H6313,'合同综合查询数据（3月返）'!$A:$A,1,FALSE)</f>
        <v>#N/A</v>
      </c>
      <c r="J6313" s="448" t="s">
        <v>302</v>
      </c>
      <c r="K6313" s="446" t="s">
        <v>8377</v>
      </c>
      <c r="L6313" s="94"/>
      <c r="M6313" s="449" t="s">
        <v>8378</v>
      </c>
      <c r="N6313" s="450">
        <v>43983</v>
      </c>
      <c r="O6313" s="96" t="s">
        <v>308</v>
      </c>
      <c r="P6313" s="463">
        <v>700</v>
      </c>
      <c r="Q6313" s="463">
        <v>1</v>
      </c>
      <c r="R6313" s="119">
        <f t="shared" si="146"/>
        <v>700</v>
      </c>
      <c r="S6313" s="456">
        <v>202303</v>
      </c>
      <c r="T6313" s="184" t="s">
        <v>8379</v>
      </c>
      <c r="U6313" s="457"/>
      <c r="V6313" s="458"/>
      <c r="W6313" s="458"/>
      <c r="X6313" s="466">
        <v>44652</v>
      </c>
      <c r="Y6313" s="467">
        <v>45016</v>
      </c>
    </row>
    <row r="6314" s="9" customFormat="1" customHeight="1" spans="1:25">
      <c r="A6314" s="446" t="s">
        <v>403</v>
      </c>
      <c r="B6314" s="446" t="s">
        <v>8192</v>
      </c>
      <c r="C6314" s="446" t="s">
        <v>63</v>
      </c>
      <c r="D6314" s="446" t="s">
        <v>6237</v>
      </c>
      <c r="E6314" s="105" t="s">
        <v>8193</v>
      </c>
      <c r="F6314" s="96" t="s">
        <v>8194</v>
      </c>
      <c r="G6314" s="447" t="s">
        <v>302</v>
      </c>
      <c r="H6314" s="97" t="s">
        <v>8258</v>
      </c>
      <c r="I6314" s="23" t="e">
        <f>VLOOKUP(H6314,'合同综合查询数据（3月返）'!$A:$A,1,FALSE)</f>
        <v>#N/A</v>
      </c>
      <c r="J6314" s="448" t="s">
        <v>302</v>
      </c>
      <c r="K6314" s="446" t="s">
        <v>8380</v>
      </c>
      <c r="L6314" s="94"/>
      <c r="M6314" s="449" t="s">
        <v>8381</v>
      </c>
      <c r="N6314" s="450">
        <v>44586</v>
      </c>
      <c r="O6314" s="96" t="s">
        <v>1442</v>
      </c>
      <c r="P6314" s="463">
        <v>2120</v>
      </c>
      <c r="Q6314" s="463">
        <v>1</v>
      </c>
      <c r="R6314" s="119">
        <f t="shared" si="146"/>
        <v>2120</v>
      </c>
      <c r="S6314" s="456">
        <v>202303</v>
      </c>
      <c r="T6314" s="184" t="s">
        <v>8382</v>
      </c>
      <c r="U6314" s="457"/>
      <c r="V6314" s="458"/>
      <c r="W6314" s="458"/>
      <c r="X6314" s="466">
        <v>44652</v>
      </c>
      <c r="Y6314" s="467">
        <v>45016</v>
      </c>
    </row>
    <row r="6315" s="9" customFormat="1" customHeight="1" spans="1:25">
      <c r="A6315" s="446" t="s">
        <v>403</v>
      </c>
      <c r="B6315" s="446" t="s">
        <v>8192</v>
      </c>
      <c r="C6315" s="446" t="s">
        <v>63</v>
      </c>
      <c r="D6315" s="446" t="s">
        <v>6237</v>
      </c>
      <c r="E6315" s="105" t="s">
        <v>8193</v>
      </c>
      <c r="F6315" s="96" t="s">
        <v>8194</v>
      </c>
      <c r="G6315" s="447" t="s">
        <v>302</v>
      </c>
      <c r="H6315" s="97" t="s">
        <v>8258</v>
      </c>
      <c r="I6315" s="23" t="e">
        <f>VLOOKUP(H6315,'合同综合查询数据（3月返）'!$A:$A,1,FALSE)</f>
        <v>#N/A</v>
      </c>
      <c r="J6315" s="448" t="s">
        <v>302</v>
      </c>
      <c r="K6315" s="446" t="s">
        <v>8383</v>
      </c>
      <c r="L6315" s="94"/>
      <c r="M6315" s="449" t="s">
        <v>8384</v>
      </c>
      <c r="N6315" s="450">
        <v>43983</v>
      </c>
      <c r="O6315" s="96" t="s">
        <v>311</v>
      </c>
      <c r="P6315" s="463">
        <v>6569.2</v>
      </c>
      <c r="Q6315" s="463">
        <v>1</v>
      </c>
      <c r="R6315" s="119">
        <f t="shared" si="146"/>
        <v>6569.2</v>
      </c>
      <c r="S6315" s="456">
        <v>202303</v>
      </c>
      <c r="T6315" s="184" t="s">
        <v>8385</v>
      </c>
      <c r="U6315" s="457"/>
      <c r="V6315" s="458"/>
      <c r="W6315" s="458"/>
      <c r="X6315" s="466">
        <v>44652</v>
      </c>
      <c r="Y6315" s="467">
        <v>45016</v>
      </c>
    </row>
    <row r="6316" s="9" customFormat="1" customHeight="1" spans="1:25">
      <c r="A6316" s="446" t="s">
        <v>403</v>
      </c>
      <c r="B6316" s="446" t="s">
        <v>8192</v>
      </c>
      <c r="C6316" s="446" t="s">
        <v>63</v>
      </c>
      <c r="D6316" s="446" t="s">
        <v>6237</v>
      </c>
      <c r="E6316" s="105" t="s">
        <v>8193</v>
      </c>
      <c r="F6316" s="96" t="s">
        <v>8194</v>
      </c>
      <c r="G6316" s="447" t="s">
        <v>302</v>
      </c>
      <c r="H6316" s="97" t="s">
        <v>8258</v>
      </c>
      <c r="I6316" s="23" t="e">
        <f>VLOOKUP(H6316,'合同综合查询数据（3月返）'!$A:$A,1,FALSE)</f>
        <v>#N/A</v>
      </c>
      <c r="J6316" s="448" t="s">
        <v>302</v>
      </c>
      <c r="K6316" s="446" t="s">
        <v>8386</v>
      </c>
      <c r="L6316" s="94"/>
      <c r="M6316" s="449" t="s">
        <v>8387</v>
      </c>
      <c r="N6316" s="450">
        <v>43983</v>
      </c>
      <c r="O6316" s="96" t="s">
        <v>308</v>
      </c>
      <c r="P6316" s="463">
        <v>3000</v>
      </c>
      <c r="Q6316" s="463">
        <v>1</v>
      </c>
      <c r="R6316" s="119">
        <f t="shared" si="146"/>
        <v>3000</v>
      </c>
      <c r="S6316" s="456">
        <v>202303</v>
      </c>
      <c r="T6316" s="184" t="s">
        <v>8388</v>
      </c>
      <c r="U6316" s="457"/>
      <c r="V6316" s="458"/>
      <c r="W6316" s="458"/>
      <c r="X6316" s="466">
        <v>44652</v>
      </c>
      <c r="Y6316" s="467">
        <v>45016</v>
      </c>
    </row>
    <row r="6317" s="9" customFormat="1" customHeight="1" spans="1:25">
      <c r="A6317" s="446" t="s">
        <v>403</v>
      </c>
      <c r="B6317" s="446" t="s">
        <v>8192</v>
      </c>
      <c r="C6317" s="446" t="s">
        <v>63</v>
      </c>
      <c r="D6317" s="446" t="s">
        <v>6237</v>
      </c>
      <c r="E6317" s="105" t="s">
        <v>8193</v>
      </c>
      <c r="F6317" s="96" t="s">
        <v>8194</v>
      </c>
      <c r="G6317" s="447" t="s">
        <v>302</v>
      </c>
      <c r="H6317" s="97" t="s">
        <v>8258</v>
      </c>
      <c r="I6317" s="23" t="e">
        <f>VLOOKUP(H6317,'合同综合查询数据（3月返）'!$A:$A,1,FALSE)</f>
        <v>#N/A</v>
      </c>
      <c r="J6317" s="448" t="s">
        <v>302</v>
      </c>
      <c r="K6317" s="446" t="s">
        <v>8386</v>
      </c>
      <c r="L6317" s="94"/>
      <c r="M6317" s="449" t="s">
        <v>8387</v>
      </c>
      <c r="N6317" s="450">
        <v>44104</v>
      </c>
      <c r="O6317" s="96" t="s">
        <v>308</v>
      </c>
      <c r="P6317" s="463">
        <v>3000</v>
      </c>
      <c r="Q6317" s="463">
        <v>-1</v>
      </c>
      <c r="R6317" s="119">
        <f t="shared" si="146"/>
        <v>-3000</v>
      </c>
      <c r="S6317" s="456">
        <v>202303</v>
      </c>
      <c r="T6317" s="184" t="s">
        <v>8389</v>
      </c>
      <c r="U6317" s="457"/>
      <c r="V6317" s="458"/>
      <c r="W6317" s="458"/>
      <c r="X6317" s="466">
        <v>44652</v>
      </c>
      <c r="Y6317" s="467">
        <v>45016</v>
      </c>
    </row>
    <row r="6318" s="9" customFormat="1" customHeight="1" spans="1:25">
      <c r="A6318" s="446" t="s">
        <v>403</v>
      </c>
      <c r="B6318" s="446" t="s">
        <v>8192</v>
      </c>
      <c r="C6318" s="446" t="s">
        <v>63</v>
      </c>
      <c r="D6318" s="446" t="s">
        <v>6237</v>
      </c>
      <c r="E6318" s="105" t="s">
        <v>8193</v>
      </c>
      <c r="F6318" s="96" t="s">
        <v>8194</v>
      </c>
      <c r="G6318" s="447" t="s">
        <v>302</v>
      </c>
      <c r="H6318" s="97" t="s">
        <v>8258</v>
      </c>
      <c r="I6318" s="23" t="e">
        <f>VLOOKUP(H6318,'合同综合查询数据（3月返）'!$A:$A,1,FALSE)</f>
        <v>#N/A</v>
      </c>
      <c r="J6318" s="448" t="s">
        <v>302</v>
      </c>
      <c r="K6318" s="446" t="s">
        <v>8390</v>
      </c>
      <c r="L6318" s="94"/>
      <c r="M6318" s="449" t="s">
        <v>8391</v>
      </c>
      <c r="N6318" s="450">
        <v>43983</v>
      </c>
      <c r="O6318" s="96" t="s">
        <v>440</v>
      </c>
      <c r="P6318" s="463">
        <v>8700</v>
      </c>
      <c r="Q6318" s="463">
        <v>1</v>
      </c>
      <c r="R6318" s="119">
        <v>0</v>
      </c>
      <c r="S6318" s="456">
        <v>202303</v>
      </c>
      <c r="T6318" s="184" t="s">
        <v>8392</v>
      </c>
      <c r="U6318" s="457"/>
      <c r="V6318" s="458"/>
      <c r="W6318" s="458"/>
      <c r="X6318" s="466">
        <v>44652</v>
      </c>
      <c r="Y6318" s="467">
        <v>45016</v>
      </c>
    </row>
    <row r="6319" s="9" customFormat="1" customHeight="1" spans="1:25">
      <c r="A6319" s="446" t="s">
        <v>403</v>
      </c>
      <c r="B6319" s="446" t="s">
        <v>8192</v>
      </c>
      <c r="C6319" s="446" t="s">
        <v>63</v>
      </c>
      <c r="D6319" s="446" t="s">
        <v>6237</v>
      </c>
      <c r="E6319" s="105" t="s">
        <v>8193</v>
      </c>
      <c r="F6319" s="96" t="s">
        <v>8194</v>
      </c>
      <c r="G6319" s="447" t="s">
        <v>302</v>
      </c>
      <c r="H6319" s="97" t="s">
        <v>8258</v>
      </c>
      <c r="I6319" s="23" t="e">
        <f>VLOOKUP(H6319,'合同综合查询数据（3月返）'!$A:$A,1,FALSE)</f>
        <v>#N/A</v>
      </c>
      <c r="J6319" s="448" t="s">
        <v>302</v>
      </c>
      <c r="K6319" s="446" t="s">
        <v>8390</v>
      </c>
      <c r="L6319" s="94"/>
      <c r="M6319" s="449" t="s">
        <v>8391</v>
      </c>
      <c r="N6319" s="450">
        <v>44326</v>
      </c>
      <c r="O6319" s="96" t="s">
        <v>446</v>
      </c>
      <c r="P6319" s="463">
        <v>3266.6</v>
      </c>
      <c r="Q6319" s="463">
        <v>1</v>
      </c>
      <c r="R6319" s="119">
        <f>ROUND(P6319*Q6319,2)</f>
        <v>3266.6</v>
      </c>
      <c r="S6319" s="456">
        <v>202303</v>
      </c>
      <c r="T6319" s="184" t="s">
        <v>8392</v>
      </c>
      <c r="U6319" s="457"/>
      <c r="V6319" s="458"/>
      <c r="W6319" s="458"/>
      <c r="X6319" s="466">
        <v>44652</v>
      </c>
      <c r="Y6319" s="467">
        <v>45016</v>
      </c>
    </row>
    <row r="6320" s="9" customFormat="1" customHeight="1" spans="1:25">
      <c r="A6320" s="446" t="s">
        <v>403</v>
      </c>
      <c r="B6320" s="446" t="s">
        <v>8192</v>
      </c>
      <c r="C6320" s="446" t="s">
        <v>63</v>
      </c>
      <c r="D6320" s="446" t="s">
        <v>6237</v>
      </c>
      <c r="E6320" s="105" t="s">
        <v>8193</v>
      </c>
      <c r="F6320" s="96" t="s">
        <v>8194</v>
      </c>
      <c r="G6320" s="447" t="s">
        <v>302</v>
      </c>
      <c r="H6320" s="97" t="s">
        <v>8258</v>
      </c>
      <c r="I6320" s="23" t="e">
        <f>VLOOKUP(H6320,'合同综合查询数据（3月返）'!$A:$A,1,FALSE)</f>
        <v>#N/A</v>
      </c>
      <c r="J6320" s="448" t="s">
        <v>302</v>
      </c>
      <c r="K6320" s="446" t="s">
        <v>8393</v>
      </c>
      <c r="L6320" s="94"/>
      <c r="M6320" s="449" t="s">
        <v>8394</v>
      </c>
      <c r="N6320" s="450">
        <v>43983</v>
      </c>
      <c r="O6320" s="96" t="s">
        <v>446</v>
      </c>
      <c r="P6320" s="463">
        <v>4899.9</v>
      </c>
      <c r="Q6320" s="463">
        <v>1</v>
      </c>
      <c r="R6320" s="119">
        <v>0</v>
      </c>
      <c r="S6320" s="456">
        <v>202303</v>
      </c>
      <c r="T6320" s="184" t="s">
        <v>8395</v>
      </c>
      <c r="U6320" s="457"/>
      <c r="V6320" s="458"/>
      <c r="W6320" s="458"/>
      <c r="X6320" s="466">
        <v>44652</v>
      </c>
      <c r="Y6320" s="467">
        <v>45016</v>
      </c>
    </row>
    <row r="6321" s="9" customFormat="1" customHeight="1" spans="1:25">
      <c r="A6321" s="446" t="s">
        <v>403</v>
      </c>
      <c r="B6321" s="446" t="s">
        <v>8192</v>
      </c>
      <c r="C6321" s="446" t="s">
        <v>63</v>
      </c>
      <c r="D6321" s="446" t="s">
        <v>6237</v>
      </c>
      <c r="E6321" s="105" t="s">
        <v>8193</v>
      </c>
      <c r="F6321" s="96" t="s">
        <v>8194</v>
      </c>
      <c r="G6321" s="447" t="s">
        <v>302</v>
      </c>
      <c r="H6321" s="97" t="s">
        <v>8258</v>
      </c>
      <c r="I6321" s="23" t="e">
        <f>VLOOKUP(H6321,'合同综合查询数据（3月返）'!$A:$A,1,FALSE)</f>
        <v>#N/A</v>
      </c>
      <c r="J6321" s="448" t="s">
        <v>302</v>
      </c>
      <c r="K6321" s="446" t="s">
        <v>8393</v>
      </c>
      <c r="L6321" s="94"/>
      <c r="M6321" s="449" t="s">
        <v>8394</v>
      </c>
      <c r="N6321" s="450">
        <v>44322</v>
      </c>
      <c r="O6321" s="96" t="s">
        <v>308</v>
      </c>
      <c r="P6321" s="463">
        <v>2000</v>
      </c>
      <c r="Q6321" s="463">
        <v>1</v>
      </c>
      <c r="R6321" s="119">
        <f t="shared" ref="R6321:R6366" si="147">ROUND(P6321*Q6321,2)</f>
        <v>2000</v>
      </c>
      <c r="S6321" s="456">
        <v>202303</v>
      </c>
      <c r="T6321" s="184" t="s">
        <v>8395</v>
      </c>
      <c r="U6321" s="457"/>
      <c r="V6321" s="458"/>
      <c r="W6321" s="458"/>
      <c r="X6321" s="466">
        <v>44652</v>
      </c>
      <c r="Y6321" s="467">
        <v>45016</v>
      </c>
    </row>
    <row r="6322" s="9" customFormat="1" customHeight="1" spans="1:25">
      <c r="A6322" s="446" t="s">
        <v>403</v>
      </c>
      <c r="B6322" s="446" t="s">
        <v>8192</v>
      </c>
      <c r="C6322" s="446" t="s">
        <v>63</v>
      </c>
      <c r="D6322" s="446" t="s">
        <v>6237</v>
      </c>
      <c r="E6322" s="105" t="s">
        <v>8193</v>
      </c>
      <c r="F6322" s="96" t="s">
        <v>8194</v>
      </c>
      <c r="G6322" s="447" t="s">
        <v>78</v>
      </c>
      <c r="H6322" s="97" t="s">
        <v>8396</v>
      </c>
      <c r="I6322" s="23" t="e">
        <f>VLOOKUP(H6322,'合同综合查询数据（3月返）'!$A:$A,1,FALSE)</f>
        <v>#N/A</v>
      </c>
      <c r="J6322" s="448" t="s">
        <v>8397</v>
      </c>
      <c r="K6322" s="446"/>
      <c r="L6322" s="94"/>
      <c r="M6322" s="449"/>
      <c r="N6322" s="450">
        <v>44562</v>
      </c>
      <c r="O6322" s="96"/>
      <c r="P6322" s="463">
        <v>625000</v>
      </c>
      <c r="Q6322" s="463">
        <v>1</v>
      </c>
      <c r="R6322" s="119">
        <f t="shared" si="147"/>
        <v>625000</v>
      </c>
      <c r="S6322" s="456">
        <v>202303</v>
      </c>
      <c r="T6322" s="184" t="s">
        <v>8398</v>
      </c>
      <c r="U6322" s="457"/>
      <c r="V6322" s="458"/>
      <c r="W6322" s="458"/>
      <c r="X6322" s="450">
        <v>44317</v>
      </c>
      <c r="Y6322" s="450">
        <v>45046</v>
      </c>
    </row>
    <row r="6323" s="9" customFormat="1" customHeight="1" spans="1:25">
      <c r="A6323" s="446" t="s">
        <v>61</v>
      </c>
      <c r="B6323" s="446" t="s">
        <v>8399</v>
      </c>
      <c r="C6323" s="446" t="s">
        <v>2998</v>
      </c>
      <c r="D6323" s="446" t="s">
        <v>85</v>
      </c>
      <c r="E6323" s="105" t="s">
        <v>4128</v>
      </c>
      <c r="F6323" s="96" t="s">
        <v>8400</v>
      </c>
      <c r="G6323" s="96" t="s">
        <v>88</v>
      </c>
      <c r="H6323" s="19" t="s">
        <v>8401</v>
      </c>
      <c r="I6323" s="23" t="e">
        <f>VLOOKUP(H6323,'合同综合查询数据（3月返）'!$A:$A,1,FALSE)</f>
        <v>#N/A</v>
      </c>
      <c r="J6323" s="448" t="s">
        <v>8402</v>
      </c>
      <c r="K6323" s="96" t="s">
        <v>8284</v>
      </c>
      <c r="L6323" s="153"/>
      <c r="M6323" s="449" t="s">
        <v>8285</v>
      </c>
      <c r="N6323" s="450"/>
      <c r="O6323" s="96" t="s">
        <v>529</v>
      </c>
      <c r="P6323" s="463">
        <v>270</v>
      </c>
      <c r="Q6323" s="463">
        <v>150</v>
      </c>
      <c r="R6323" s="119">
        <f t="shared" si="147"/>
        <v>40500</v>
      </c>
      <c r="S6323" s="456">
        <v>202303</v>
      </c>
      <c r="T6323" s="184" t="s">
        <v>8403</v>
      </c>
      <c r="U6323" s="457"/>
      <c r="V6323" s="458"/>
      <c r="W6323" s="458"/>
      <c r="X6323" s="190">
        <v>44799</v>
      </c>
      <c r="Y6323" s="467">
        <v>45163</v>
      </c>
    </row>
    <row r="6324" s="9" customFormat="1" customHeight="1" spans="1:25">
      <c r="A6324" s="446" t="s">
        <v>61</v>
      </c>
      <c r="B6324" s="446" t="s">
        <v>8399</v>
      </c>
      <c r="C6324" s="446" t="s">
        <v>2998</v>
      </c>
      <c r="D6324" s="446" t="s">
        <v>85</v>
      </c>
      <c r="E6324" s="105" t="s">
        <v>4128</v>
      </c>
      <c r="F6324" s="96" t="s">
        <v>8400</v>
      </c>
      <c r="G6324" s="96" t="s">
        <v>88</v>
      </c>
      <c r="H6324" s="19" t="s">
        <v>8401</v>
      </c>
      <c r="I6324" s="23" t="e">
        <f>VLOOKUP(H6324,'合同综合查询数据（3月返）'!$A:$A,1,FALSE)</f>
        <v>#N/A</v>
      </c>
      <c r="J6324" s="448" t="s">
        <v>90</v>
      </c>
      <c r="K6324" s="96" t="s">
        <v>8284</v>
      </c>
      <c r="L6324" s="153"/>
      <c r="M6324" s="449" t="s">
        <v>8285</v>
      </c>
      <c r="N6324" s="450">
        <v>44908</v>
      </c>
      <c r="O6324" s="96" t="s">
        <v>8404</v>
      </c>
      <c r="P6324" s="463">
        <v>12600</v>
      </c>
      <c r="Q6324" s="463">
        <v>2</v>
      </c>
      <c r="R6324" s="119">
        <f t="shared" si="147"/>
        <v>25200</v>
      </c>
      <c r="S6324" s="456">
        <v>202303</v>
      </c>
      <c r="T6324" s="184" t="s">
        <v>8405</v>
      </c>
      <c r="U6324" s="457"/>
      <c r="V6324" s="458"/>
      <c r="W6324" s="458"/>
      <c r="X6324" s="190">
        <v>44799</v>
      </c>
      <c r="Y6324" s="467">
        <v>45163</v>
      </c>
    </row>
    <row r="6325" s="10" customFormat="1" customHeight="1" spans="1:25">
      <c r="A6325" s="459" t="s">
        <v>61</v>
      </c>
      <c r="B6325" s="459" t="s">
        <v>8399</v>
      </c>
      <c r="C6325" s="459" t="s">
        <v>2998</v>
      </c>
      <c r="D6325" s="459" t="s">
        <v>85</v>
      </c>
      <c r="E6325" s="63" t="s">
        <v>4128</v>
      </c>
      <c r="F6325" s="60" t="s">
        <v>8400</v>
      </c>
      <c r="G6325" s="60" t="s">
        <v>88</v>
      </c>
      <c r="H6325" s="45" t="s">
        <v>8406</v>
      </c>
      <c r="I6325" s="47" t="e">
        <f>VLOOKUP(H6325,'合同综合查询数据（3月返）'!$A:$A,1,FALSE)</f>
        <v>#N/A</v>
      </c>
      <c r="J6325" s="424" t="s">
        <v>90</v>
      </c>
      <c r="K6325" s="60" t="s">
        <v>8407</v>
      </c>
      <c r="L6325" s="164"/>
      <c r="M6325" s="429" t="s">
        <v>8408</v>
      </c>
      <c r="N6325" s="461">
        <v>44792</v>
      </c>
      <c r="O6325" s="60" t="s">
        <v>457</v>
      </c>
      <c r="P6325" s="475">
        <v>3975</v>
      </c>
      <c r="Q6325" s="475">
        <v>6</v>
      </c>
      <c r="R6325" s="69">
        <f t="shared" si="147"/>
        <v>23850</v>
      </c>
      <c r="S6325" s="434">
        <v>202303</v>
      </c>
      <c r="T6325" s="168" t="s">
        <v>8409</v>
      </c>
      <c r="U6325" s="465"/>
      <c r="V6325" s="437"/>
      <c r="W6325" s="437"/>
      <c r="X6325" s="461">
        <v>44792</v>
      </c>
      <c r="Y6325" s="468"/>
    </row>
    <row r="6326" s="10" customFormat="1" customHeight="1" spans="1:25">
      <c r="A6326" s="459" t="s">
        <v>61</v>
      </c>
      <c r="B6326" s="459" t="s">
        <v>8399</v>
      </c>
      <c r="C6326" s="459" t="s">
        <v>2998</v>
      </c>
      <c r="D6326" s="459" t="s">
        <v>85</v>
      </c>
      <c r="E6326" s="63" t="s">
        <v>4128</v>
      </c>
      <c r="F6326" s="60" t="s">
        <v>8400</v>
      </c>
      <c r="G6326" s="60" t="s">
        <v>88</v>
      </c>
      <c r="H6326" s="45" t="s">
        <v>8406</v>
      </c>
      <c r="I6326" s="47" t="e">
        <f>VLOOKUP(H6326,'合同综合查询数据（3月返）'!$A:$A,1,FALSE)</f>
        <v>#N/A</v>
      </c>
      <c r="J6326" s="424" t="s">
        <v>90</v>
      </c>
      <c r="K6326" s="60" t="s">
        <v>8407</v>
      </c>
      <c r="L6326" s="164"/>
      <c r="M6326" s="429" t="s">
        <v>8408</v>
      </c>
      <c r="N6326" s="461">
        <v>44792</v>
      </c>
      <c r="O6326" s="60" t="s">
        <v>461</v>
      </c>
      <c r="P6326" s="475">
        <v>7950</v>
      </c>
      <c r="Q6326" s="475">
        <v>96</v>
      </c>
      <c r="R6326" s="69">
        <f t="shared" si="147"/>
        <v>763200</v>
      </c>
      <c r="S6326" s="434">
        <v>202303</v>
      </c>
      <c r="T6326" s="168" t="s">
        <v>8410</v>
      </c>
      <c r="U6326" s="465"/>
      <c r="V6326" s="437"/>
      <c r="W6326" s="437"/>
      <c r="X6326" s="461">
        <v>44792</v>
      </c>
      <c r="Y6326" s="468"/>
    </row>
    <row r="6327" s="10" customFormat="1" customHeight="1" spans="1:25">
      <c r="A6327" s="459" t="s">
        <v>61</v>
      </c>
      <c r="B6327" s="459" t="s">
        <v>8399</v>
      </c>
      <c r="C6327" s="459" t="s">
        <v>2998</v>
      </c>
      <c r="D6327" s="459" t="s">
        <v>85</v>
      </c>
      <c r="E6327" s="63" t="s">
        <v>4128</v>
      </c>
      <c r="F6327" s="60" t="s">
        <v>8400</v>
      </c>
      <c r="G6327" s="60" t="s">
        <v>88</v>
      </c>
      <c r="H6327" s="45" t="s">
        <v>8406</v>
      </c>
      <c r="I6327" s="47" t="e">
        <f>VLOOKUP(H6327,'合同综合查询数据（3月返）'!$A:$A,1,FALSE)</f>
        <v>#N/A</v>
      </c>
      <c r="J6327" s="424" t="s">
        <v>90</v>
      </c>
      <c r="K6327" s="60" t="s">
        <v>8407</v>
      </c>
      <c r="L6327" s="164"/>
      <c r="M6327" s="429" t="s">
        <v>8408</v>
      </c>
      <c r="N6327" s="461">
        <v>44792</v>
      </c>
      <c r="O6327" s="60" t="s">
        <v>540</v>
      </c>
      <c r="P6327" s="475">
        <v>18770</v>
      </c>
      <c r="Q6327" s="475">
        <v>2</v>
      </c>
      <c r="R6327" s="69">
        <f t="shared" si="147"/>
        <v>37540</v>
      </c>
      <c r="S6327" s="434">
        <v>202303</v>
      </c>
      <c r="T6327" s="168" t="s">
        <v>8411</v>
      </c>
      <c r="U6327" s="465"/>
      <c r="V6327" s="437"/>
      <c r="W6327" s="437"/>
      <c r="X6327" s="461">
        <v>44792</v>
      </c>
      <c r="Y6327" s="468"/>
    </row>
    <row r="6328" s="10" customFormat="1" customHeight="1" spans="1:25">
      <c r="A6328" s="459" t="s">
        <v>61</v>
      </c>
      <c r="B6328" s="459" t="s">
        <v>8399</v>
      </c>
      <c r="C6328" s="459" t="s">
        <v>2998</v>
      </c>
      <c r="D6328" s="459" t="s">
        <v>85</v>
      </c>
      <c r="E6328" s="63" t="s">
        <v>4128</v>
      </c>
      <c r="F6328" s="60" t="s">
        <v>8400</v>
      </c>
      <c r="G6328" s="60" t="s">
        <v>88</v>
      </c>
      <c r="H6328" s="45" t="s">
        <v>8406</v>
      </c>
      <c r="I6328" s="47" t="e">
        <f>VLOOKUP(H6328,'合同综合查询数据（3月返）'!$A:$A,1,FALSE)</f>
        <v>#N/A</v>
      </c>
      <c r="J6328" s="424" t="s">
        <v>90</v>
      </c>
      <c r="K6328" s="60" t="s">
        <v>8407</v>
      </c>
      <c r="L6328" s="164"/>
      <c r="M6328" s="429" t="s">
        <v>8408</v>
      </c>
      <c r="N6328" s="461">
        <v>44792</v>
      </c>
      <c r="O6328" s="60" t="s">
        <v>574</v>
      </c>
      <c r="P6328" s="475">
        <v>16000</v>
      </c>
      <c r="Q6328" s="475">
        <v>2</v>
      </c>
      <c r="R6328" s="69">
        <f t="shared" si="147"/>
        <v>32000</v>
      </c>
      <c r="S6328" s="434">
        <v>202303</v>
      </c>
      <c r="T6328" s="168" t="s">
        <v>8412</v>
      </c>
      <c r="U6328" s="465"/>
      <c r="V6328" s="437"/>
      <c r="W6328" s="437"/>
      <c r="X6328" s="461">
        <v>44792</v>
      </c>
      <c r="Y6328" s="468"/>
    </row>
    <row r="6329" s="10" customFormat="1" customHeight="1" spans="1:25">
      <c r="A6329" s="459" t="s">
        <v>61</v>
      </c>
      <c r="B6329" s="459" t="s">
        <v>8399</v>
      </c>
      <c r="C6329" s="459" t="s">
        <v>2998</v>
      </c>
      <c r="D6329" s="459" t="s">
        <v>85</v>
      </c>
      <c r="E6329" s="63" t="s">
        <v>4128</v>
      </c>
      <c r="F6329" s="60" t="s">
        <v>8400</v>
      </c>
      <c r="G6329" s="60" t="s">
        <v>88</v>
      </c>
      <c r="H6329" s="45" t="s">
        <v>8406</v>
      </c>
      <c r="I6329" s="47" t="e">
        <f>VLOOKUP(H6329,'合同综合查询数据（3月返）'!$A:$A,1,FALSE)</f>
        <v>#N/A</v>
      </c>
      <c r="J6329" s="424" t="s">
        <v>90</v>
      </c>
      <c r="K6329" s="60" t="s">
        <v>8407</v>
      </c>
      <c r="L6329" s="164"/>
      <c r="M6329" s="429" t="s">
        <v>8408</v>
      </c>
      <c r="N6329" s="461">
        <v>44793</v>
      </c>
      <c r="O6329" s="60" t="s">
        <v>545</v>
      </c>
      <c r="P6329" s="475">
        <v>0</v>
      </c>
      <c r="Q6329" s="475">
        <v>2</v>
      </c>
      <c r="R6329" s="69">
        <f t="shared" si="147"/>
        <v>0</v>
      </c>
      <c r="S6329" s="434">
        <v>202303</v>
      </c>
      <c r="T6329" s="168" t="s">
        <v>8413</v>
      </c>
      <c r="U6329" s="465"/>
      <c r="V6329" s="437"/>
      <c r="W6329" s="437"/>
      <c r="X6329" s="461">
        <v>44792</v>
      </c>
      <c r="Y6329" s="468"/>
    </row>
    <row r="6330" s="10" customFormat="1" customHeight="1" spans="1:25">
      <c r="A6330" s="459" t="s">
        <v>61</v>
      </c>
      <c r="B6330" s="459" t="s">
        <v>8399</v>
      </c>
      <c r="C6330" s="459" t="s">
        <v>2998</v>
      </c>
      <c r="D6330" s="459" t="s">
        <v>85</v>
      </c>
      <c r="E6330" s="63" t="s">
        <v>4128</v>
      </c>
      <c r="F6330" s="60" t="s">
        <v>8400</v>
      </c>
      <c r="G6330" s="60" t="s">
        <v>88</v>
      </c>
      <c r="H6330" s="45" t="s">
        <v>8406</v>
      </c>
      <c r="I6330" s="47" t="e">
        <f>VLOOKUP(H6330,'合同综合查询数据（3月返）'!$A:$A,1,FALSE)</f>
        <v>#N/A</v>
      </c>
      <c r="J6330" s="424" t="s">
        <v>90</v>
      </c>
      <c r="K6330" s="60" t="s">
        <v>8407</v>
      </c>
      <c r="L6330" s="164"/>
      <c r="M6330" s="429" t="s">
        <v>8408</v>
      </c>
      <c r="N6330" s="461">
        <v>44799</v>
      </c>
      <c r="O6330" s="60" t="s">
        <v>461</v>
      </c>
      <c r="P6330" s="475">
        <v>7950</v>
      </c>
      <c r="Q6330" s="475">
        <v>4</v>
      </c>
      <c r="R6330" s="69">
        <f t="shared" si="147"/>
        <v>31800</v>
      </c>
      <c r="S6330" s="434">
        <v>202303</v>
      </c>
      <c r="T6330" s="168" t="s">
        <v>8414</v>
      </c>
      <c r="U6330" s="465"/>
      <c r="V6330" s="437"/>
      <c r="W6330" s="437"/>
      <c r="X6330" s="461">
        <v>44792</v>
      </c>
      <c r="Y6330" s="468"/>
    </row>
    <row r="6331" s="10" customFormat="1" customHeight="1" spans="1:25">
      <c r="A6331" s="459" t="s">
        <v>61</v>
      </c>
      <c r="B6331" s="459" t="s">
        <v>8399</v>
      </c>
      <c r="C6331" s="459" t="s">
        <v>2998</v>
      </c>
      <c r="D6331" s="459" t="s">
        <v>85</v>
      </c>
      <c r="E6331" s="63" t="s">
        <v>4128</v>
      </c>
      <c r="F6331" s="60" t="s">
        <v>8400</v>
      </c>
      <c r="G6331" s="60" t="s">
        <v>88</v>
      </c>
      <c r="H6331" s="45" t="s">
        <v>8406</v>
      </c>
      <c r="I6331" s="47" t="e">
        <f>VLOOKUP(H6331,'合同综合查询数据（3月返）'!$A:$A,1,FALSE)</f>
        <v>#N/A</v>
      </c>
      <c r="J6331" s="424" t="s">
        <v>90</v>
      </c>
      <c r="K6331" s="60" t="s">
        <v>8407</v>
      </c>
      <c r="L6331" s="164"/>
      <c r="M6331" s="429" t="s">
        <v>8408</v>
      </c>
      <c r="N6331" s="461">
        <v>44812</v>
      </c>
      <c r="O6331" s="60" t="s">
        <v>461</v>
      </c>
      <c r="P6331" s="475">
        <v>7950</v>
      </c>
      <c r="Q6331" s="475">
        <v>2</v>
      </c>
      <c r="R6331" s="69">
        <f t="shared" si="147"/>
        <v>15900</v>
      </c>
      <c r="S6331" s="434">
        <v>202303</v>
      </c>
      <c r="T6331" s="168" t="s">
        <v>8415</v>
      </c>
      <c r="U6331" s="465"/>
      <c r="V6331" s="437"/>
      <c r="W6331" s="437"/>
      <c r="X6331" s="461">
        <v>44792</v>
      </c>
      <c r="Y6331" s="468"/>
    </row>
    <row r="6332" s="10" customFormat="1" customHeight="1" spans="1:25">
      <c r="A6332" s="459" t="s">
        <v>61</v>
      </c>
      <c r="B6332" s="459" t="s">
        <v>8399</v>
      </c>
      <c r="C6332" s="459" t="s">
        <v>2998</v>
      </c>
      <c r="D6332" s="459" t="s">
        <v>85</v>
      </c>
      <c r="E6332" s="63" t="s">
        <v>4128</v>
      </c>
      <c r="F6332" s="60" t="s">
        <v>8400</v>
      </c>
      <c r="G6332" s="60" t="s">
        <v>88</v>
      </c>
      <c r="H6332" s="45" t="s">
        <v>8406</v>
      </c>
      <c r="I6332" s="47" t="e">
        <f>VLOOKUP(H6332,'合同综合查询数据（3月返）'!$A:$A,1,FALSE)</f>
        <v>#N/A</v>
      </c>
      <c r="J6332" s="424" t="s">
        <v>90</v>
      </c>
      <c r="K6332" s="60" t="s">
        <v>8407</v>
      </c>
      <c r="L6332" s="164"/>
      <c r="M6332" s="429" t="s">
        <v>8408</v>
      </c>
      <c r="N6332" s="461">
        <v>44813</v>
      </c>
      <c r="O6332" s="60" t="s">
        <v>461</v>
      </c>
      <c r="P6332" s="475">
        <v>7950</v>
      </c>
      <c r="Q6332" s="475">
        <v>2</v>
      </c>
      <c r="R6332" s="69">
        <f t="shared" si="147"/>
        <v>15900</v>
      </c>
      <c r="S6332" s="434">
        <v>202303</v>
      </c>
      <c r="T6332" s="168" t="s">
        <v>8416</v>
      </c>
      <c r="U6332" s="465"/>
      <c r="V6332" s="437"/>
      <c r="W6332" s="437"/>
      <c r="X6332" s="461">
        <v>44792</v>
      </c>
      <c r="Y6332" s="468"/>
    </row>
    <row r="6333" s="10" customFormat="1" customHeight="1" spans="1:25">
      <c r="A6333" s="459" t="s">
        <v>61</v>
      </c>
      <c r="B6333" s="459" t="s">
        <v>8399</v>
      </c>
      <c r="C6333" s="459" t="s">
        <v>2998</v>
      </c>
      <c r="D6333" s="459" t="s">
        <v>85</v>
      </c>
      <c r="E6333" s="63" t="s">
        <v>4128</v>
      </c>
      <c r="F6333" s="60" t="s">
        <v>8400</v>
      </c>
      <c r="G6333" s="60" t="s">
        <v>88</v>
      </c>
      <c r="H6333" s="45" t="s">
        <v>8406</v>
      </c>
      <c r="I6333" s="47" t="e">
        <f>VLOOKUP(H6333,'合同综合查询数据（3月返）'!$A:$A,1,FALSE)</f>
        <v>#N/A</v>
      </c>
      <c r="J6333" s="424" t="s">
        <v>90</v>
      </c>
      <c r="K6333" s="60" t="s">
        <v>8407</v>
      </c>
      <c r="L6333" s="164"/>
      <c r="M6333" s="429" t="s">
        <v>8408</v>
      </c>
      <c r="N6333" s="461">
        <v>44814</v>
      </c>
      <c r="O6333" s="60" t="s">
        <v>545</v>
      </c>
      <c r="P6333" s="475">
        <v>0</v>
      </c>
      <c r="Q6333" s="475">
        <v>2</v>
      </c>
      <c r="R6333" s="69">
        <f t="shared" si="147"/>
        <v>0</v>
      </c>
      <c r="S6333" s="434">
        <v>202303</v>
      </c>
      <c r="T6333" s="168" t="s">
        <v>8417</v>
      </c>
      <c r="U6333" s="465"/>
      <c r="V6333" s="437"/>
      <c r="W6333" s="437"/>
      <c r="X6333" s="461">
        <v>44792</v>
      </c>
      <c r="Y6333" s="468"/>
    </row>
    <row r="6334" s="10" customFormat="1" customHeight="1" spans="1:25">
      <c r="A6334" s="459" t="s">
        <v>61</v>
      </c>
      <c r="B6334" s="459" t="s">
        <v>8399</v>
      </c>
      <c r="C6334" s="459" t="s">
        <v>2998</v>
      </c>
      <c r="D6334" s="459" t="s">
        <v>85</v>
      </c>
      <c r="E6334" s="63" t="s">
        <v>4128</v>
      </c>
      <c r="F6334" s="60" t="s">
        <v>8400</v>
      </c>
      <c r="G6334" s="60" t="s">
        <v>88</v>
      </c>
      <c r="H6334" s="45" t="s">
        <v>8406</v>
      </c>
      <c r="I6334" s="47" t="e">
        <f>VLOOKUP(H6334,'合同综合查询数据（3月返）'!$A:$A,1,FALSE)</f>
        <v>#N/A</v>
      </c>
      <c r="J6334" s="424" t="s">
        <v>90</v>
      </c>
      <c r="K6334" s="60" t="s">
        <v>8407</v>
      </c>
      <c r="L6334" s="164"/>
      <c r="M6334" s="429" t="s">
        <v>8408</v>
      </c>
      <c r="N6334" s="461">
        <v>44867</v>
      </c>
      <c r="O6334" s="60" t="s">
        <v>540</v>
      </c>
      <c r="P6334" s="475">
        <v>18770</v>
      </c>
      <c r="Q6334" s="475">
        <v>2</v>
      </c>
      <c r="R6334" s="69">
        <f t="shared" si="147"/>
        <v>37540</v>
      </c>
      <c r="S6334" s="434">
        <v>202303</v>
      </c>
      <c r="T6334" s="168" t="s">
        <v>8418</v>
      </c>
      <c r="U6334" s="465"/>
      <c r="V6334" s="437"/>
      <c r="W6334" s="437"/>
      <c r="X6334" s="461">
        <v>44792</v>
      </c>
      <c r="Y6334" s="468"/>
    </row>
    <row r="6335" s="10" customFormat="1" customHeight="1" spans="1:25">
      <c r="A6335" s="459" t="s">
        <v>61</v>
      </c>
      <c r="B6335" s="459" t="s">
        <v>8399</v>
      </c>
      <c r="C6335" s="459" t="s">
        <v>2998</v>
      </c>
      <c r="D6335" s="459" t="s">
        <v>85</v>
      </c>
      <c r="E6335" s="63" t="s">
        <v>4128</v>
      </c>
      <c r="F6335" s="60" t="s">
        <v>8400</v>
      </c>
      <c r="G6335" s="60" t="s">
        <v>88</v>
      </c>
      <c r="H6335" s="45" t="s">
        <v>8406</v>
      </c>
      <c r="I6335" s="47" t="e">
        <f>VLOOKUP(H6335,'合同综合查询数据（3月返）'!$A:$A,1,FALSE)</f>
        <v>#N/A</v>
      </c>
      <c r="J6335" s="424" t="s">
        <v>90</v>
      </c>
      <c r="K6335" s="60" t="s">
        <v>8407</v>
      </c>
      <c r="L6335" s="164"/>
      <c r="M6335" s="429" t="s">
        <v>8408</v>
      </c>
      <c r="N6335" s="461">
        <v>44867</v>
      </c>
      <c r="O6335" s="60" t="s">
        <v>461</v>
      </c>
      <c r="P6335" s="475">
        <v>7950</v>
      </c>
      <c r="Q6335" s="475">
        <v>1</v>
      </c>
      <c r="R6335" s="69">
        <f t="shared" si="147"/>
        <v>7950</v>
      </c>
      <c r="S6335" s="434">
        <v>202303</v>
      </c>
      <c r="T6335" s="168" t="s">
        <v>8419</v>
      </c>
      <c r="U6335" s="465"/>
      <c r="V6335" s="437"/>
      <c r="W6335" s="437"/>
      <c r="X6335" s="461">
        <v>44792</v>
      </c>
      <c r="Y6335" s="468"/>
    </row>
    <row r="6336" s="10" customFormat="1" customHeight="1" spans="1:25">
      <c r="A6336" s="459" t="s">
        <v>61</v>
      </c>
      <c r="B6336" s="459" t="s">
        <v>8399</v>
      </c>
      <c r="C6336" s="459" t="s">
        <v>2998</v>
      </c>
      <c r="D6336" s="459" t="s">
        <v>85</v>
      </c>
      <c r="E6336" s="63" t="s">
        <v>4128</v>
      </c>
      <c r="F6336" s="60" t="s">
        <v>8400</v>
      </c>
      <c r="G6336" s="60" t="s">
        <v>88</v>
      </c>
      <c r="H6336" s="45" t="s">
        <v>8406</v>
      </c>
      <c r="I6336" s="47" t="e">
        <f>VLOOKUP(H6336,'合同综合查询数据（3月返）'!$A:$A,1,FALSE)</f>
        <v>#N/A</v>
      </c>
      <c r="J6336" s="424" t="s">
        <v>90</v>
      </c>
      <c r="K6336" s="60" t="s">
        <v>8407</v>
      </c>
      <c r="L6336" s="164"/>
      <c r="M6336" s="429" t="s">
        <v>8408</v>
      </c>
      <c r="N6336" s="461">
        <v>44870</v>
      </c>
      <c r="O6336" s="60" t="s">
        <v>461</v>
      </c>
      <c r="P6336" s="475">
        <v>7950</v>
      </c>
      <c r="Q6336" s="475">
        <v>6</v>
      </c>
      <c r="R6336" s="69">
        <f t="shared" si="147"/>
        <v>47700</v>
      </c>
      <c r="S6336" s="434">
        <v>202303</v>
      </c>
      <c r="T6336" s="168" t="s">
        <v>8420</v>
      </c>
      <c r="U6336" s="465"/>
      <c r="V6336" s="437"/>
      <c r="W6336" s="437"/>
      <c r="X6336" s="461">
        <v>44792</v>
      </c>
      <c r="Y6336" s="468"/>
    </row>
    <row r="6337" s="10" customFormat="1" customHeight="1" spans="1:25">
      <c r="A6337" s="459" t="s">
        <v>61</v>
      </c>
      <c r="B6337" s="459" t="s">
        <v>8399</v>
      </c>
      <c r="C6337" s="459" t="s">
        <v>2998</v>
      </c>
      <c r="D6337" s="459" t="s">
        <v>85</v>
      </c>
      <c r="E6337" s="63" t="s">
        <v>4128</v>
      </c>
      <c r="F6337" s="60" t="s">
        <v>8400</v>
      </c>
      <c r="G6337" s="60" t="s">
        <v>88</v>
      </c>
      <c r="H6337" s="45" t="s">
        <v>8406</v>
      </c>
      <c r="I6337" s="47" t="e">
        <f>VLOOKUP(H6337,'合同综合查询数据（3月返）'!$A:$A,1,FALSE)</f>
        <v>#N/A</v>
      </c>
      <c r="J6337" s="424" t="s">
        <v>90</v>
      </c>
      <c r="K6337" s="60" t="s">
        <v>8407</v>
      </c>
      <c r="L6337" s="164"/>
      <c r="M6337" s="429" t="s">
        <v>8408</v>
      </c>
      <c r="N6337" s="461">
        <v>44882</v>
      </c>
      <c r="O6337" s="60" t="s">
        <v>461</v>
      </c>
      <c r="P6337" s="475">
        <v>7950</v>
      </c>
      <c r="Q6337" s="475">
        <v>5</v>
      </c>
      <c r="R6337" s="69">
        <f t="shared" si="147"/>
        <v>39750</v>
      </c>
      <c r="S6337" s="434">
        <v>202303</v>
      </c>
      <c r="T6337" s="168" t="s">
        <v>8421</v>
      </c>
      <c r="U6337" s="465"/>
      <c r="V6337" s="437"/>
      <c r="W6337" s="437"/>
      <c r="X6337" s="461">
        <v>44792</v>
      </c>
      <c r="Y6337" s="468"/>
    </row>
    <row r="6338" s="10" customFormat="1" customHeight="1" spans="1:25">
      <c r="A6338" s="459" t="s">
        <v>61</v>
      </c>
      <c r="B6338" s="459" t="s">
        <v>8399</v>
      </c>
      <c r="C6338" s="459" t="s">
        <v>2998</v>
      </c>
      <c r="D6338" s="459" t="s">
        <v>85</v>
      </c>
      <c r="E6338" s="63" t="s">
        <v>4128</v>
      </c>
      <c r="F6338" s="60" t="s">
        <v>8400</v>
      </c>
      <c r="G6338" s="60" t="s">
        <v>88</v>
      </c>
      <c r="H6338" s="45" t="s">
        <v>8406</v>
      </c>
      <c r="I6338" s="47" t="e">
        <f>VLOOKUP(H6338,'合同综合查询数据（3月返）'!$A:$A,1,FALSE)</f>
        <v>#N/A</v>
      </c>
      <c r="J6338" s="424" t="s">
        <v>90</v>
      </c>
      <c r="K6338" s="60" t="s">
        <v>8407</v>
      </c>
      <c r="L6338" s="164"/>
      <c r="M6338" s="429" t="s">
        <v>8408</v>
      </c>
      <c r="N6338" s="461">
        <v>44903</v>
      </c>
      <c r="O6338" s="60" t="s">
        <v>457</v>
      </c>
      <c r="P6338" s="475">
        <v>3975</v>
      </c>
      <c r="Q6338" s="475">
        <v>1</v>
      </c>
      <c r="R6338" s="69">
        <f t="shared" si="147"/>
        <v>3975</v>
      </c>
      <c r="S6338" s="434">
        <v>202303</v>
      </c>
      <c r="T6338" s="168" t="s">
        <v>8422</v>
      </c>
      <c r="U6338" s="465"/>
      <c r="V6338" s="437"/>
      <c r="W6338" s="437"/>
      <c r="X6338" s="461">
        <v>44792</v>
      </c>
      <c r="Y6338" s="468"/>
    </row>
    <row r="6339" s="10" customFormat="1" customHeight="1" spans="1:25">
      <c r="A6339" s="459" t="s">
        <v>61</v>
      </c>
      <c r="B6339" s="459" t="s">
        <v>8399</v>
      </c>
      <c r="C6339" s="459" t="s">
        <v>2998</v>
      </c>
      <c r="D6339" s="459" t="s">
        <v>85</v>
      </c>
      <c r="E6339" s="63" t="s">
        <v>4128</v>
      </c>
      <c r="F6339" s="60" t="s">
        <v>8400</v>
      </c>
      <c r="G6339" s="60" t="s">
        <v>88</v>
      </c>
      <c r="H6339" s="45" t="s">
        <v>8406</v>
      </c>
      <c r="I6339" s="47" t="e">
        <f>VLOOKUP(H6339,'合同综合查询数据（3月返）'!$A:$A,1,FALSE)</f>
        <v>#N/A</v>
      </c>
      <c r="J6339" s="424" t="s">
        <v>90</v>
      </c>
      <c r="K6339" s="60" t="s">
        <v>8407</v>
      </c>
      <c r="L6339" s="164"/>
      <c r="M6339" s="429" t="s">
        <v>8408</v>
      </c>
      <c r="N6339" s="461">
        <v>44903</v>
      </c>
      <c r="O6339" s="60" t="s">
        <v>461</v>
      </c>
      <c r="P6339" s="475">
        <v>7950</v>
      </c>
      <c r="Q6339" s="475">
        <v>2</v>
      </c>
      <c r="R6339" s="69">
        <f t="shared" si="147"/>
        <v>15900</v>
      </c>
      <c r="S6339" s="434">
        <v>202303</v>
      </c>
      <c r="T6339" s="168" t="s">
        <v>8423</v>
      </c>
      <c r="U6339" s="465"/>
      <c r="V6339" s="437"/>
      <c r="W6339" s="437"/>
      <c r="X6339" s="461">
        <v>44792</v>
      </c>
      <c r="Y6339" s="468"/>
    </row>
    <row r="6340" s="10" customFormat="1" customHeight="1" spans="1:25">
      <c r="A6340" s="459" t="s">
        <v>61</v>
      </c>
      <c r="B6340" s="459" t="s">
        <v>8399</v>
      </c>
      <c r="C6340" s="459" t="s">
        <v>2998</v>
      </c>
      <c r="D6340" s="459" t="s">
        <v>85</v>
      </c>
      <c r="E6340" s="63" t="s">
        <v>4128</v>
      </c>
      <c r="F6340" s="60" t="s">
        <v>8400</v>
      </c>
      <c r="G6340" s="60" t="s">
        <v>88</v>
      </c>
      <c r="H6340" s="45" t="s">
        <v>8406</v>
      </c>
      <c r="I6340" s="47" t="e">
        <f>VLOOKUP(H6340,'合同综合查询数据（3月返）'!$A:$A,1,FALSE)</f>
        <v>#N/A</v>
      </c>
      <c r="J6340" s="424" t="s">
        <v>90</v>
      </c>
      <c r="K6340" s="60" t="s">
        <v>8407</v>
      </c>
      <c r="L6340" s="164"/>
      <c r="M6340" s="429" t="s">
        <v>8408</v>
      </c>
      <c r="N6340" s="461">
        <v>44905</v>
      </c>
      <c r="O6340" s="60" t="s">
        <v>461</v>
      </c>
      <c r="P6340" s="475">
        <v>7950</v>
      </c>
      <c r="Q6340" s="475">
        <v>2</v>
      </c>
      <c r="R6340" s="69">
        <f t="shared" si="147"/>
        <v>15900</v>
      </c>
      <c r="S6340" s="434">
        <v>202303</v>
      </c>
      <c r="T6340" s="168" t="s">
        <v>8424</v>
      </c>
      <c r="U6340" s="465"/>
      <c r="V6340" s="437"/>
      <c r="W6340" s="437"/>
      <c r="X6340" s="461">
        <v>44792</v>
      </c>
      <c r="Y6340" s="468"/>
    </row>
    <row r="6341" s="10" customFormat="1" customHeight="1" spans="1:25">
      <c r="A6341" s="459" t="s">
        <v>61</v>
      </c>
      <c r="B6341" s="459" t="s">
        <v>8399</v>
      </c>
      <c r="C6341" s="459" t="s">
        <v>2998</v>
      </c>
      <c r="D6341" s="459" t="s">
        <v>85</v>
      </c>
      <c r="E6341" s="63" t="s">
        <v>4128</v>
      </c>
      <c r="F6341" s="60" t="s">
        <v>8400</v>
      </c>
      <c r="G6341" s="60" t="s">
        <v>88</v>
      </c>
      <c r="H6341" s="45" t="s">
        <v>8406</v>
      </c>
      <c r="I6341" s="47" t="e">
        <f>VLOOKUP(H6341,'合同综合查询数据（3月返）'!$A:$A,1,FALSE)</f>
        <v>#N/A</v>
      </c>
      <c r="J6341" s="424" t="s">
        <v>90</v>
      </c>
      <c r="K6341" s="60" t="s">
        <v>8407</v>
      </c>
      <c r="L6341" s="164"/>
      <c r="M6341" s="429" t="s">
        <v>8408</v>
      </c>
      <c r="N6341" s="461">
        <v>44909</v>
      </c>
      <c r="O6341" s="60" t="s">
        <v>461</v>
      </c>
      <c r="P6341" s="475">
        <v>7950</v>
      </c>
      <c r="Q6341" s="475">
        <v>3</v>
      </c>
      <c r="R6341" s="69">
        <f t="shared" si="147"/>
        <v>23850</v>
      </c>
      <c r="S6341" s="434">
        <v>202303</v>
      </c>
      <c r="T6341" s="168" t="s">
        <v>8425</v>
      </c>
      <c r="U6341" s="465"/>
      <c r="V6341" s="437"/>
      <c r="W6341" s="437"/>
      <c r="X6341" s="461">
        <v>44792</v>
      </c>
      <c r="Y6341" s="468"/>
    </row>
    <row r="6342" s="10" customFormat="1" customHeight="1" spans="1:25">
      <c r="A6342" s="459" t="s">
        <v>61</v>
      </c>
      <c r="B6342" s="459" t="s">
        <v>8399</v>
      </c>
      <c r="C6342" s="459" t="s">
        <v>2998</v>
      </c>
      <c r="D6342" s="459" t="s">
        <v>85</v>
      </c>
      <c r="E6342" s="63" t="s">
        <v>4128</v>
      </c>
      <c r="F6342" s="60" t="s">
        <v>8400</v>
      </c>
      <c r="G6342" s="60" t="s">
        <v>88</v>
      </c>
      <c r="H6342" s="45" t="s">
        <v>8406</v>
      </c>
      <c r="I6342" s="47" t="e">
        <f>VLOOKUP(H6342,'合同综合查询数据（3月返）'!$A:$A,1,FALSE)</f>
        <v>#N/A</v>
      </c>
      <c r="J6342" s="424" t="s">
        <v>90</v>
      </c>
      <c r="K6342" s="60" t="s">
        <v>8407</v>
      </c>
      <c r="L6342" s="164"/>
      <c r="M6342" s="429" t="s">
        <v>8408</v>
      </c>
      <c r="N6342" s="461">
        <v>44910</v>
      </c>
      <c r="O6342" s="60" t="s">
        <v>461</v>
      </c>
      <c r="P6342" s="475">
        <v>7950</v>
      </c>
      <c r="Q6342" s="475">
        <v>1</v>
      </c>
      <c r="R6342" s="69">
        <f t="shared" si="147"/>
        <v>7950</v>
      </c>
      <c r="S6342" s="434">
        <v>202303</v>
      </c>
      <c r="T6342" s="168" t="s">
        <v>8426</v>
      </c>
      <c r="U6342" s="465"/>
      <c r="V6342" s="437"/>
      <c r="W6342" s="437"/>
      <c r="X6342" s="461">
        <v>44792</v>
      </c>
      <c r="Y6342" s="468"/>
    </row>
    <row r="6343" s="10" customFormat="1" customHeight="1" spans="1:25">
      <c r="A6343" s="459" t="s">
        <v>61</v>
      </c>
      <c r="B6343" s="459" t="s">
        <v>8399</v>
      </c>
      <c r="C6343" s="459" t="s">
        <v>2998</v>
      </c>
      <c r="D6343" s="459" t="s">
        <v>85</v>
      </c>
      <c r="E6343" s="63" t="s">
        <v>4128</v>
      </c>
      <c r="F6343" s="60" t="s">
        <v>8400</v>
      </c>
      <c r="G6343" s="60" t="s">
        <v>88</v>
      </c>
      <c r="H6343" s="45" t="s">
        <v>8406</v>
      </c>
      <c r="I6343" s="47" t="e">
        <f>VLOOKUP(H6343,'合同综合查询数据（3月返）'!$A:$A,1,FALSE)</f>
        <v>#N/A</v>
      </c>
      <c r="J6343" s="424" t="s">
        <v>90</v>
      </c>
      <c r="K6343" s="60" t="s">
        <v>8407</v>
      </c>
      <c r="L6343" s="164"/>
      <c r="M6343" s="429" t="s">
        <v>8408</v>
      </c>
      <c r="N6343" s="461">
        <v>44929</v>
      </c>
      <c r="O6343" s="60" t="s">
        <v>457</v>
      </c>
      <c r="P6343" s="475">
        <v>3975</v>
      </c>
      <c r="Q6343" s="475">
        <v>1</v>
      </c>
      <c r="R6343" s="69">
        <f t="shared" si="147"/>
        <v>3975</v>
      </c>
      <c r="S6343" s="434">
        <v>202303</v>
      </c>
      <c r="T6343" s="168" t="s">
        <v>8427</v>
      </c>
      <c r="U6343" s="465"/>
      <c r="V6343" s="437"/>
      <c r="W6343" s="437"/>
      <c r="X6343" s="461">
        <v>44792</v>
      </c>
      <c r="Y6343" s="468"/>
    </row>
    <row r="6344" s="10" customFormat="1" customHeight="1" spans="1:25">
      <c r="A6344" s="459" t="s">
        <v>61</v>
      </c>
      <c r="B6344" s="459" t="s">
        <v>8399</v>
      </c>
      <c r="C6344" s="459" t="s">
        <v>2998</v>
      </c>
      <c r="D6344" s="459" t="s">
        <v>85</v>
      </c>
      <c r="E6344" s="63" t="s">
        <v>4128</v>
      </c>
      <c r="F6344" s="60" t="s">
        <v>8400</v>
      </c>
      <c r="G6344" s="60" t="s">
        <v>88</v>
      </c>
      <c r="H6344" s="45" t="s">
        <v>8406</v>
      </c>
      <c r="I6344" s="47" t="e">
        <f>VLOOKUP(H6344,'合同综合查询数据（3月返）'!$A:$A,1,FALSE)</f>
        <v>#N/A</v>
      </c>
      <c r="J6344" s="424" t="s">
        <v>90</v>
      </c>
      <c r="K6344" s="60" t="s">
        <v>8407</v>
      </c>
      <c r="L6344" s="164"/>
      <c r="M6344" s="429" t="s">
        <v>8408</v>
      </c>
      <c r="N6344" s="461">
        <v>44929</v>
      </c>
      <c r="O6344" s="60" t="s">
        <v>461</v>
      </c>
      <c r="P6344" s="475">
        <v>7950</v>
      </c>
      <c r="Q6344" s="475">
        <v>6</v>
      </c>
      <c r="R6344" s="69">
        <f t="shared" si="147"/>
        <v>47700</v>
      </c>
      <c r="S6344" s="434">
        <v>202303</v>
      </c>
      <c r="T6344" s="168" t="s">
        <v>8428</v>
      </c>
      <c r="U6344" s="465"/>
      <c r="V6344" s="437"/>
      <c r="W6344" s="437"/>
      <c r="X6344" s="461">
        <v>44792</v>
      </c>
      <c r="Y6344" s="468"/>
    </row>
    <row r="6345" s="10" customFormat="1" customHeight="1" spans="1:25">
      <c r="A6345" s="459" t="s">
        <v>61</v>
      </c>
      <c r="B6345" s="459" t="s">
        <v>8399</v>
      </c>
      <c r="C6345" s="459" t="s">
        <v>2998</v>
      </c>
      <c r="D6345" s="459" t="s">
        <v>85</v>
      </c>
      <c r="E6345" s="63" t="s">
        <v>4128</v>
      </c>
      <c r="F6345" s="60" t="s">
        <v>8400</v>
      </c>
      <c r="G6345" s="60" t="s">
        <v>88</v>
      </c>
      <c r="H6345" s="45" t="s">
        <v>8406</v>
      </c>
      <c r="I6345" s="47" t="e">
        <f>VLOOKUP(H6345,'合同综合查询数据（3月返）'!$A:$A,1,FALSE)</f>
        <v>#N/A</v>
      </c>
      <c r="J6345" s="424" t="s">
        <v>90</v>
      </c>
      <c r="K6345" s="60" t="s">
        <v>8407</v>
      </c>
      <c r="L6345" s="164"/>
      <c r="M6345" s="429" t="s">
        <v>8408</v>
      </c>
      <c r="N6345" s="461">
        <v>44914</v>
      </c>
      <c r="O6345" s="60" t="s">
        <v>461</v>
      </c>
      <c r="P6345" s="475">
        <v>7950</v>
      </c>
      <c r="Q6345" s="475">
        <v>3</v>
      </c>
      <c r="R6345" s="69">
        <f t="shared" si="147"/>
        <v>23850</v>
      </c>
      <c r="S6345" s="434">
        <v>202303</v>
      </c>
      <c r="T6345" s="168" t="s">
        <v>8429</v>
      </c>
      <c r="U6345" s="465"/>
      <c r="V6345" s="437"/>
      <c r="W6345" s="437"/>
      <c r="X6345" s="461">
        <v>44792</v>
      </c>
      <c r="Y6345" s="468"/>
    </row>
    <row r="6346" s="10" customFormat="1" customHeight="1" spans="1:25">
      <c r="A6346" s="459" t="s">
        <v>61</v>
      </c>
      <c r="B6346" s="459" t="s">
        <v>8399</v>
      </c>
      <c r="C6346" s="459" t="s">
        <v>2998</v>
      </c>
      <c r="D6346" s="459" t="s">
        <v>85</v>
      </c>
      <c r="E6346" s="63" t="s">
        <v>4128</v>
      </c>
      <c r="F6346" s="60" t="s">
        <v>8400</v>
      </c>
      <c r="G6346" s="60" t="s">
        <v>88</v>
      </c>
      <c r="H6346" s="45" t="s">
        <v>8406</v>
      </c>
      <c r="I6346" s="47" t="e">
        <f>VLOOKUP(H6346,'合同综合查询数据（3月返）'!$A:$A,1,FALSE)</f>
        <v>#N/A</v>
      </c>
      <c r="J6346" s="424" t="s">
        <v>90</v>
      </c>
      <c r="K6346" s="60" t="s">
        <v>8407</v>
      </c>
      <c r="L6346" s="164"/>
      <c r="M6346" s="429" t="s">
        <v>8408</v>
      </c>
      <c r="N6346" s="461">
        <v>44929</v>
      </c>
      <c r="O6346" s="60" t="s">
        <v>461</v>
      </c>
      <c r="P6346" s="475">
        <v>7950</v>
      </c>
      <c r="Q6346" s="475">
        <v>18</v>
      </c>
      <c r="R6346" s="69">
        <f t="shared" si="147"/>
        <v>143100</v>
      </c>
      <c r="S6346" s="434">
        <v>202303</v>
      </c>
      <c r="T6346" s="168" t="s">
        <v>8430</v>
      </c>
      <c r="U6346" s="465"/>
      <c r="V6346" s="437"/>
      <c r="W6346" s="437"/>
      <c r="X6346" s="461">
        <v>44792</v>
      </c>
      <c r="Y6346" s="468"/>
    </row>
    <row r="6347" s="10" customFormat="1" customHeight="1" spans="1:25">
      <c r="A6347" s="459" t="s">
        <v>61</v>
      </c>
      <c r="B6347" s="459" t="s">
        <v>8399</v>
      </c>
      <c r="C6347" s="459" t="s">
        <v>2998</v>
      </c>
      <c r="D6347" s="459" t="s">
        <v>85</v>
      </c>
      <c r="E6347" s="63" t="s">
        <v>4128</v>
      </c>
      <c r="F6347" s="60" t="s">
        <v>8400</v>
      </c>
      <c r="G6347" s="60" t="s">
        <v>88</v>
      </c>
      <c r="H6347" s="45" t="s">
        <v>8406</v>
      </c>
      <c r="I6347" s="47" t="e">
        <f>VLOOKUP(H6347,'合同综合查询数据（3月返）'!$A:$A,1,FALSE)</f>
        <v>#N/A</v>
      </c>
      <c r="J6347" s="424" t="s">
        <v>90</v>
      </c>
      <c r="K6347" s="60" t="s">
        <v>8407</v>
      </c>
      <c r="L6347" s="164"/>
      <c r="M6347" s="429" t="s">
        <v>8408</v>
      </c>
      <c r="N6347" s="461">
        <v>44928</v>
      </c>
      <c r="O6347" s="60" t="s">
        <v>461</v>
      </c>
      <c r="P6347" s="475">
        <v>7950</v>
      </c>
      <c r="Q6347" s="475">
        <v>14</v>
      </c>
      <c r="R6347" s="69">
        <f t="shared" si="147"/>
        <v>111300</v>
      </c>
      <c r="S6347" s="434">
        <v>202303</v>
      </c>
      <c r="T6347" s="168" t="s">
        <v>8431</v>
      </c>
      <c r="U6347" s="465"/>
      <c r="V6347" s="437"/>
      <c r="W6347" s="437"/>
      <c r="X6347" s="461">
        <v>44792</v>
      </c>
      <c r="Y6347" s="468"/>
    </row>
    <row r="6348" s="10" customFormat="1" customHeight="1" spans="1:25">
      <c r="A6348" s="459" t="s">
        <v>61</v>
      </c>
      <c r="B6348" s="459" t="s">
        <v>8399</v>
      </c>
      <c r="C6348" s="459" t="s">
        <v>2998</v>
      </c>
      <c r="D6348" s="459" t="s">
        <v>85</v>
      </c>
      <c r="E6348" s="63" t="s">
        <v>4128</v>
      </c>
      <c r="F6348" s="60" t="s">
        <v>8400</v>
      </c>
      <c r="G6348" s="60" t="s">
        <v>88</v>
      </c>
      <c r="H6348" s="45" t="s">
        <v>8406</v>
      </c>
      <c r="I6348" s="47" t="e">
        <f>VLOOKUP(H6348,'合同综合查询数据（3月返）'!$A:$A,1,FALSE)</f>
        <v>#N/A</v>
      </c>
      <c r="J6348" s="424" t="s">
        <v>90</v>
      </c>
      <c r="K6348" s="60" t="s">
        <v>8407</v>
      </c>
      <c r="L6348" s="164"/>
      <c r="M6348" s="429" t="s">
        <v>8408</v>
      </c>
      <c r="N6348" s="461">
        <v>44930</v>
      </c>
      <c r="O6348" s="60" t="s">
        <v>461</v>
      </c>
      <c r="P6348" s="475">
        <v>7950</v>
      </c>
      <c r="Q6348" s="475">
        <v>13</v>
      </c>
      <c r="R6348" s="69">
        <f t="shared" si="147"/>
        <v>103350</v>
      </c>
      <c r="S6348" s="434">
        <v>202303</v>
      </c>
      <c r="T6348" s="168" t="s">
        <v>8432</v>
      </c>
      <c r="U6348" s="465"/>
      <c r="V6348" s="437"/>
      <c r="W6348" s="437"/>
      <c r="X6348" s="461">
        <v>44792</v>
      </c>
      <c r="Y6348" s="468"/>
    </row>
    <row r="6349" s="10" customFormat="1" customHeight="1" spans="1:25">
      <c r="A6349" s="459" t="s">
        <v>61</v>
      </c>
      <c r="B6349" s="459" t="s">
        <v>8399</v>
      </c>
      <c r="C6349" s="459" t="s">
        <v>2998</v>
      </c>
      <c r="D6349" s="459" t="s">
        <v>85</v>
      </c>
      <c r="E6349" s="63" t="s">
        <v>4128</v>
      </c>
      <c r="F6349" s="60" t="s">
        <v>8400</v>
      </c>
      <c r="G6349" s="60" t="s">
        <v>88</v>
      </c>
      <c r="H6349" s="45" t="s">
        <v>8406</v>
      </c>
      <c r="I6349" s="47" t="e">
        <f>VLOOKUP(H6349,'合同综合查询数据（3月返）'!$A:$A,1,FALSE)</f>
        <v>#N/A</v>
      </c>
      <c r="J6349" s="424" t="s">
        <v>90</v>
      </c>
      <c r="K6349" s="60" t="s">
        <v>8407</v>
      </c>
      <c r="L6349" s="164"/>
      <c r="M6349" s="429" t="s">
        <v>8408</v>
      </c>
      <c r="N6349" s="461">
        <v>44934</v>
      </c>
      <c r="O6349" s="60" t="s">
        <v>461</v>
      </c>
      <c r="P6349" s="475">
        <v>7950</v>
      </c>
      <c r="Q6349" s="475">
        <v>12</v>
      </c>
      <c r="R6349" s="69">
        <f t="shared" si="147"/>
        <v>95400</v>
      </c>
      <c r="S6349" s="434">
        <v>202303</v>
      </c>
      <c r="T6349" s="168" t="s">
        <v>8433</v>
      </c>
      <c r="U6349" s="465"/>
      <c r="V6349" s="437"/>
      <c r="W6349" s="437"/>
      <c r="X6349" s="461">
        <v>44792</v>
      </c>
      <c r="Y6349" s="468"/>
    </row>
    <row r="6350" s="10" customFormat="1" customHeight="1" spans="1:25">
      <c r="A6350" s="459" t="s">
        <v>61</v>
      </c>
      <c r="B6350" s="459" t="s">
        <v>8399</v>
      </c>
      <c r="C6350" s="459" t="s">
        <v>2998</v>
      </c>
      <c r="D6350" s="459" t="s">
        <v>85</v>
      </c>
      <c r="E6350" s="63" t="s">
        <v>4128</v>
      </c>
      <c r="F6350" s="60" t="s">
        <v>8400</v>
      </c>
      <c r="G6350" s="60" t="s">
        <v>88</v>
      </c>
      <c r="H6350" s="45" t="s">
        <v>8406</v>
      </c>
      <c r="I6350" s="47" t="e">
        <f>VLOOKUP(H6350,'合同综合查询数据（3月返）'!$A:$A,1,FALSE)</f>
        <v>#N/A</v>
      </c>
      <c r="J6350" s="424" t="s">
        <v>90</v>
      </c>
      <c r="K6350" s="60" t="s">
        <v>8407</v>
      </c>
      <c r="L6350" s="164"/>
      <c r="M6350" s="429" t="s">
        <v>8408</v>
      </c>
      <c r="N6350" s="461">
        <v>44937</v>
      </c>
      <c r="O6350" s="60" t="s">
        <v>461</v>
      </c>
      <c r="P6350" s="475">
        <v>7950</v>
      </c>
      <c r="Q6350" s="475">
        <v>1</v>
      </c>
      <c r="R6350" s="69">
        <f t="shared" si="147"/>
        <v>7950</v>
      </c>
      <c r="S6350" s="434">
        <v>202303</v>
      </c>
      <c r="T6350" s="168" t="s">
        <v>8434</v>
      </c>
      <c r="U6350" s="465"/>
      <c r="V6350" s="437"/>
      <c r="W6350" s="437"/>
      <c r="X6350" s="461">
        <v>44792</v>
      </c>
      <c r="Y6350" s="468"/>
    </row>
    <row r="6351" s="10" customFormat="1" customHeight="1" spans="1:25">
      <c r="A6351" s="459" t="s">
        <v>61</v>
      </c>
      <c r="B6351" s="459" t="s">
        <v>8399</v>
      </c>
      <c r="C6351" s="459" t="s">
        <v>2998</v>
      </c>
      <c r="D6351" s="459" t="s">
        <v>85</v>
      </c>
      <c r="E6351" s="63" t="s">
        <v>4128</v>
      </c>
      <c r="F6351" s="60" t="s">
        <v>8400</v>
      </c>
      <c r="G6351" s="60" t="s">
        <v>88</v>
      </c>
      <c r="H6351" s="45" t="s">
        <v>8406</v>
      </c>
      <c r="I6351" s="47" t="e">
        <f>VLOOKUP(H6351,'合同综合查询数据（3月返）'!$A:$A,1,FALSE)</f>
        <v>#N/A</v>
      </c>
      <c r="J6351" s="424" t="s">
        <v>90</v>
      </c>
      <c r="K6351" s="60" t="s">
        <v>8407</v>
      </c>
      <c r="L6351" s="164"/>
      <c r="M6351" s="429" t="s">
        <v>8408</v>
      </c>
      <c r="N6351" s="461">
        <v>44938</v>
      </c>
      <c r="O6351" s="60" t="s">
        <v>461</v>
      </c>
      <c r="P6351" s="475">
        <v>7950</v>
      </c>
      <c r="Q6351" s="475">
        <v>3</v>
      </c>
      <c r="R6351" s="69">
        <f t="shared" si="147"/>
        <v>23850</v>
      </c>
      <c r="S6351" s="434">
        <v>202303</v>
      </c>
      <c r="T6351" s="168" t="s">
        <v>8435</v>
      </c>
      <c r="U6351" s="465"/>
      <c r="V6351" s="437"/>
      <c r="W6351" s="437"/>
      <c r="X6351" s="461">
        <v>44792</v>
      </c>
      <c r="Y6351" s="468"/>
    </row>
    <row r="6352" s="10" customFormat="1" customHeight="1" spans="1:25">
      <c r="A6352" s="459" t="s">
        <v>61</v>
      </c>
      <c r="B6352" s="459" t="s">
        <v>8399</v>
      </c>
      <c r="C6352" s="459" t="s">
        <v>2998</v>
      </c>
      <c r="D6352" s="459" t="s">
        <v>85</v>
      </c>
      <c r="E6352" s="63" t="s">
        <v>4128</v>
      </c>
      <c r="F6352" s="60" t="s">
        <v>8400</v>
      </c>
      <c r="G6352" s="60" t="s">
        <v>88</v>
      </c>
      <c r="H6352" s="45" t="s">
        <v>8406</v>
      </c>
      <c r="I6352" s="47" t="e">
        <f>VLOOKUP(H6352,'合同综合查询数据（3月返）'!$A:$A,1,FALSE)</f>
        <v>#N/A</v>
      </c>
      <c r="J6352" s="424" t="s">
        <v>90</v>
      </c>
      <c r="K6352" s="60" t="s">
        <v>8407</v>
      </c>
      <c r="L6352" s="164"/>
      <c r="M6352" s="429" t="s">
        <v>8408</v>
      </c>
      <c r="N6352" s="461">
        <v>44957</v>
      </c>
      <c r="O6352" s="60" t="s">
        <v>457</v>
      </c>
      <c r="P6352" s="475">
        <v>3975</v>
      </c>
      <c r="Q6352" s="475">
        <v>1</v>
      </c>
      <c r="R6352" s="69">
        <f t="shared" si="147"/>
        <v>3975</v>
      </c>
      <c r="S6352" s="434">
        <v>202303</v>
      </c>
      <c r="T6352" s="168" t="s">
        <v>8436</v>
      </c>
      <c r="U6352" s="465"/>
      <c r="V6352" s="437"/>
      <c r="W6352" s="437"/>
      <c r="X6352" s="461">
        <v>44792</v>
      </c>
      <c r="Y6352" s="468"/>
    </row>
    <row r="6353" s="10" customFormat="1" customHeight="1" spans="1:25">
      <c r="A6353" s="459" t="s">
        <v>61</v>
      </c>
      <c r="B6353" s="459" t="s">
        <v>8399</v>
      </c>
      <c r="C6353" s="459" t="s">
        <v>2998</v>
      </c>
      <c r="D6353" s="459" t="s">
        <v>85</v>
      </c>
      <c r="E6353" s="63" t="s">
        <v>4128</v>
      </c>
      <c r="F6353" s="60" t="s">
        <v>8400</v>
      </c>
      <c r="G6353" s="60" t="s">
        <v>88</v>
      </c>
      <c r="H6353" s="45" t="s">
        <v>8406</v>
      </c>
      <c r="I6353" s="47" t="e">
        <f>VLOOKUP(H6353,'合同综合查询数据（3月返）'!$A:$A,1,FALSE)</f>
        <v>#N/A</v>
      </c>
      <c r="J6353" s="424" t="s">
        <v>90</v>
      </c>
      <c r="K6353" s="60" t="s">
        <v>8407</v>
      </c>
      <c r="L6353" s="164"/>
      <c r="M6353" s="429" t="s">
        <v>8408</v>
      </c>
      <c r="N6353" s="461">
        <v>44957</v>
      </c>
      <c r="O6353" s="60" t="s">
        <v>461</v>
      </c>
      <c r="P6353" s="475">
        <v>7950</v>
      </c>
      <c r="Q6353" s="475">
        <v>2</v>
      </c>
      <c r="R6353" s="69">
        <f t="shared" si="147"/>
        <v>15900</v>
      </c>
      <c r="S6353" s="434">
        <v>202303</v>
      </c>
      <c r="T6353" s="168" t="s">
        <v>8437</v>
      </c>
      <c r="U6353" s="465"/>
      <c r="V6353" s="437"/>
      <c r="W6353" s="437"/>
      <c r="X6353" s="461">
        <v>44792</v>
      </c>
      <c r="Y6353" s="468"/>
    </row>
    <row r="6354" s="10" customFormat="1" customHeight="1" spans="1:25">
      <c r="A6354" s="459" t="s">
        <v>61</v>
      </c>
      <c r="B6354" s="459" t="s">
        <v>8399</v>
      </c>
      <c r="C6354" s="459" t="s">
        <v>2998</v>
      </c>
      <c r="D6354" s="459" t="s">
        <v>85</v>
      </c>
      <c r="E6354" s="63" t="s">
        <v>4128</v>
      </c>
      <c r="F6354" s="60" t="s">
        <v>8400</v>
      </c>
      <c r="G6354" s="60" t="s">
        <v>88</v>
      </c>
      <c r="H6354" s="45" t="s">
        <v>8406</v>
      </c>
      <c r="I6354" s="47" t="e">
        <f>VLOOKUP(H6354,'合同综合查询数据（3月返）'!$A:$A,1,FALSE)</f>
        <v>#N/A</v>
      </c>
      <c r="J6354" s="424" t="s">
        <v>90</v>
      </c>
      <c r="K6354" s="60" t="s">
        <v>8407</v>
      </c>
      <c r="L6354" s="164"/>
      <c r="M6354" s="429" t="s">
        <v>8408</v>
      </c>
      <c r="N6354" s="461">
        <v>44918</v>
      </c>
      <c r="O6354" s="60" t="s">
        <v>461</v>
      </c>
      <c r="P6354" s="475">
        <v>7950</v>
      </c>
      <c r="Q6354" s="475">
        <v>2</v>
      </c>
      <c r="R6354" s="69">
        <f t="shared" si="147"/>
        <v>15900</v>
      </c>
      <c r="S6354" s="434">
        <v>202303</v>
      </c>
      <c r="T6354" s="168" t="s">
        <v>8438</v>
      </c>
      <c r="U6354" s="465"/>
      <c r="V6354" s="437"/>
      <c r="W6354" s="437"/>
      <c r="X6354" s="461">
        <v>44792</v>
      </c>
      <c r="Y6354" s="468"/>
    </row>
    <row r="6355" s="10" customFormat="1" customHeight="1" spans="1:25">
      <c r="A6355" s="459" t="s">
        <v>61</v>
      </c>
      <c r="B6355" s="459" t="s">
        <v>8399</v>
      </c>
      <c r="C6355" s="459" t="s">
        <v>2998</v>
      </c>
      <c r="D6355" s="459" t="s">
        <v>85</v>
      </c>
      <c r="E6355" s="63" t="s">
        <v>4128</v>
      </c>
      <c r="F6355" s="60" t="s">
        <v>8400</v>
      </c>
      <c r="G6355" s="60" t="s">
        <v>88</v>
      </c>
      <c r="H6355" s="45" t="s">
        <v>8406</v>
      </c>
      <c r="I6355" s="47" t="e">
        <f>VLOOKUP(H6355,'合同综合查询数据（3月返）'!$A:$A,1,FALSE)</f>
        <v>#N/A</v>
      </c>
      <c r="J6355" s="424" t="s">
        <v>90</v>
      </c>
      <c r="K6355" s="60" t="s">
        <v>8407</v>
      </c>
      <c r="L6355" s="164"/>
      <c r="M6355" s="429" t="s">
        <v>8408</v>
      </c>
      <c r="N6355" s="461">
        <v>44958</v>
      </c>
      <c r="O6355" s="60" t="s">
        <v>461</v>
      </c>
      <c r="P6355" s="475">
        <v>7950</v>
      </c>
      <c r="Q6355" s="475">
        <v>16</v>
      </c>
      <c r="R6355" s="69">
        <f t="shared" si="147"/>
        <v>127200</v>
      </c>
      <c r="S6355" s="434">
        <v>202303</v>
      </c>
      <c r="T6355" s="168" t="s">
        <v>8439</v>
      </c>
      <c r="U6355" s="465"/>
      <c r="V6355" s="437"/>
      <c r="W6355" s="437"/>
      <c r="X6355" s="461">
        <v>44792</v>
      </c>
      <c r="Y6355" s="468"/>
    </row>
    <row r="6356" s="10" customFormat="1" customHeight="1" spans="1:25">
      <c r="A6356" s="459" t="s">
        <v>61</v>
      </c>
      <c r="B6356" s="459" t="s">
        <v>8399</v>
      </c>
      <c r="C6356" s="459" t="s">
        <v>2998</v>
      </c>
      <c r="D6356" s="459" t="s">
        <v>85</v>
      </c>
      <c r="E6356" s="63" t="s">
        <v>4128</v>
      </c>
      <c r="F6356" s="60" t="s">
        <v>8400</v>
      </c>
      <c r="G6356" s="60" t="s">
        <v>88</v>
      </c>
      <c r="H6356" s="45" t="s">
        <v>8406</v>
      </c>
      <c r="I6356" s="47" t="e">
        <f>VLOOKUP(H6356,'合同综合查询数据（3月返）'!$A:$A,1,FALSE)</f>
        <v>#N/A</v>
      </c>
      <c r="J6356" s="424" t="s">
        <v>90</v>
      </c>
      <c r="K6356" s="60" t="s">
        <v>8407</v>
      </c>
      <c r="L6356" s="164"/>
      <c r="M6356" s="429" t="s">
        <v>8408</v>
      </c>
      <c r="N6356" s="461">
        <v>44962</v>
      </c>
      <c r="O6356" s="60" t="s">
        <v>461</v>
      </c>
      <c r="P6356" s="475">
        <v>7950</v>
      </c>
      <c r="Q6356" s="475">
        <v>1</v>
      </c>
      <c r="R6356" s="69">
        <f t="shared" si="147"/>
        <v>7950</v>
      </c>
      <c r="S6356" s="434">
        <v>202303</v>
      </c>
      <c r="T6356" s="168" t="s">
        <v>8440</v>
      </c>
      <c r="U6356" s="465"/>
      <c r="V6356" s="437"/>
      <c r="W6356" s="437"/>
      <c r="X6356" s="461">
        <v>44792</v>
      </c>
      <c r="Y6356" s="468"/>
    </row>
    <row r="6357" s="10" customFormat="1" customHeight="1" spans="1:25">
      <c r="A6357" s="459" t="s">
        <v>61</v>
      </c>
      <c r="B6357" s="459" t="s">
        <v>8399</v>
      </c>
      <c r="C6357" s="459" t="s">
        <v>2998</v>
      </c>
      <c r="D6357" s="459" t="s">
        <v>85</v>
      </c>
      <c r="E6357" s="63" t="s">
        <v>4128</v>
      </c>
      <c r="F6357" s="60" t="s">
        <v>8400</v>
      </c>
      <c r="G6357" s="60" t="s">
        <v>88</v>
      </c>
      <c r="H6357" s="45" t="s">
        <v>8406</v>
      </c>
      <c r="I6357" s="47" t="e">
        <f>VLOOKUP(H6357,'合同综合查询数据（3月返）'!$A:$A,1,FALSE)</f>
        <v>#N/A</v>
      </c>
      <c r="J6357" s="424" t="s">
        <v>90</v>
      </c>
      <c r="K6357" s="60" t="s">
        <v>8407</v>
      </c>
      <c r="L6357" s="164"/>
      <c r="M6357" s="429" t="s">
        <v>8408</v>
      </c>
      <c r="N6357" s="461">
        <v>44966</v>
      </c>
      <c r="O6357" s="60" t="s">
        <v>461</v>
      </c>
      <c r="P6357" s="475">
        <v>7950</v>
      </c>
      <c r="Q6357" s="475">
        <v>16</v>
      </c>
      <c r="R6357" s="69">
        <f t="shared" si="147"/>
        <v>127200</v>
      </c>
      <c r="S6357" s="434">
        <v>202303</v>
      </c>
      <c r="T6357" s="168" t="s">
        <v>8441</v>
      </c>
      <c r="U6357" s="465"/>
      <c r="V6357" s="437"/>
      <c r="W6357" s="437"/>
      <c r="X6357" s="461">
        <v>44792</v>
      </c>
      <c r="Y6357" s="468"/>
    </row>
    <row r="6358" s="10" customFormat="1" customHeight="1" spans="1:25">
      <c r="A6358" s="459" t="s">
        <v>61</v>
      </c>
      <c r="B6358" s="459" t="s">
        <v>8399</v>
      </c>
      <c r="C6358" s="459" t="s">
        <v>2998</v>
      </c>
      <c r="D6358" s="459" t="s">
        <v>85</v>
      </c>
      <c r="E6358" s="63" t="s">
        <v>4128</v>
      </c>
      <c r="F6358" s="60" t="s">
        <v>8400</v>
      </c>
      <c r="G6358" s="60" t="s">
        <v>88</v>
      </c>
      <c r="H6358" s="45" t="s">
        <v>8406</v>
      </c>
      <c r="I6358" s="47" t="e">
        <f>VLOOKUP(H6358,'合同综合查询数据（3月返）'!$A:$A,1,FALSE)</f>
        <v>#N/A</v>
      </c>
      <c r="J6358" s="424" t="s">
        <v>90</v>
      </c>
      <c r="K6358" s="60" t="s">
        <v>8407</v>
      </c>
      <c r="L6358" s="164"/>
      <c r="M6358" s="429" t="s">
        <v>8408</v>
      </c>
      <c r="N6358" s="461">
        <v>44967</v>
      </c>
      <c r="O6358" s="60" t="s">
        <v>461</v>
      </c>
      <c r="P6358" s="475">
        <v>7950</v>
      </c>
      <c r="Q6358" s="475">
        <v>2</v>
      </c>
      <c r="R6358" s="69">
        <f t="shared" si="147"/>
        <v>15900</v>
      </c>
      <c r="S6358" s="434">
        <v>202303</v>
      </c>
      <c r="T6358" s="168" t="s">
        <v>8442</v>
      </c>
      <c r="U6358" s="465"/>
      <c r="V6358" s="437"/>
      <c r="W6358" s="437"/>
      <c r="X6358" s="461">
        <v>44792</v>
      </c>
      <c r="Y6358" s="468"/>
    </row>
    <row r="6359" s="10" customFormat="1" customHeight="1" spans="1:25">
      <c r="A6359" s="459" t="s">
        <v>61</v>
      </c>
      <c r="B6359" s="459" t="s">
        <v>8399</v>
      </c>
      <c r="C6359" s="459" t="s">
        <v>2998</v>
      </c>
      <c r="D6359" s="459" t="s">
        <v>85</v>
      </c>
      <c r="E6359" s="63" t="s">
        <v>4128</v>
      </c>
      <c r="F6359" s="60" t="s">
        <v>8400</v>
      </c>
      <c r="G6359" s="60" t="s">
        <v>88</v>
      </c>
      <c r="H6359" s="45" t="s">
        <v>8406</v>
      </c>
      <c r="I6359" s="47" t="e">
        <f>VLOOKUP(H6359,'合同综合查询数据（3月返）'!$A:$A,1,FALSE)</f>
        <v>#N/A</v>
      </c>
      <c r="J6359" s="424" t="s">
        <v>90</v>
      </c>
      <c r="K6359" s="60" t="s">
        <v>8407</v>
      </c>
      <c r="L6359" s="164"/>
      <c r="M6359" s="429" t="s">
        <v>8408</v>
      </c>
      <c r="N6359" s="461">
        <v>44972</v>
      </c>
      <c r="O6359" s="60" t="s">
        <v>461</v>
      </c>
      <c r="P6359" s="475">
        <v>7950</v>
      </c>
      <c r="Q6359" s="475">
        <v>10</v>
      </c>
      <c r="R6359" s="69">
        <f t="shared" si="147"/>
        <v>79500</v>
      </c>
      <c r="S6359" s="434">
        <v>202303</v>
      </c>
      <c r="T6359" s="168" t="s">
        <v>8443</v>
      </c>
      <c r="U6359" s="465"/>
      <c r="V6359" s="437"/>
      <c r="W6359" s="437"/>
      <c r="X6359" s="461">
        <v>44792</v>
      </c>
      <c r="Y6359" s="468"/>
    </row>
    <row r="6360" s="10" customFormat="1" customHeight="1" spans="1:25">
      <c r="A6360" s="459" t="s">
        <v>61</v>
      </c>
      <c r="B6360" s="459" t="s">
        <v>8399</v>
      </c>
      <c r="C6360" s="459" t="s">
        <v>2998</v>
      </c>
      <c r="D6360" s="459" t="s">
        <v>85</v>
      </c>
      <c r="E6360" s="63" t="s">
        <v>4128</v>
      </c>
      <c r="F6360" s="60" t="s">
        <v>8400</v>
      </c>
      <c r="G6360" s="60" t="s">
        <v>88</v>
      </c>
      <c r="H6360" s="45" t="s">
        <v>8406</v>
      </c>
      <c r="I6360" s="47" t="e">
        <f>VLOOKUP(H6360,'合同综合查询数据（3月返）'!$A:$A,1,FALSE)</f>
        <v>#N/A</v>
      </c>
      <c r="J6360" s="424" t="s">
        <v>90</v>
      </c>
      <c r="K6360" s="60" t="s">
        <v>8407</v>
      </c>
      <c r="L6360" s="164"/>
      <c r="M6360" s="429" t="s">
        <v>8408</v>
      </c>
      <c r="N6360" s="461">
        <v>44974</v>
      </c>
      <c r="O6360" s="60" t="s">
        <v>461</v>
      </c>
      <c r="P6360" s="475">
        <v>7950</v>
      </c>
      <c r="Q6360" s="475">
        <v>2</v>
      </c>
      <c r="R6360" s="69">
        <f t="shared" si="147"/>
        <v>15900</v>
      </c>
      <c r="S6360" s="434">
        <v>202303</v>
      </c>
      <c r="T6360" s="168" t="s">
        <v>8444</v>
      </c>
      <c r="U6360" s="465"/>
      <c r="V6360" s="437"/>
      <c r="W6360" s="437"/>
      <c r="X6360" s="461">
        <v>44792</v>
      </c>
      <c r="Y6360" s="468"/>
    </row>
    <row r="6361" s="10" customFormat="1" customHeight="1" spans="1:25">
      <c r="A6361" s="459" t="s">
        <v>61</v>
      </c>
      <c r="B6361" s="459" t="s">
        <v>8399</v>
      </c>
      <c r="C6361" s="459" t="s">
        <v>2998</v>
      </c>
      <c r="D6361" s="459" t="s">
        <v>85</v>
      </c>
      <c r="E6361" s="63" t="s">
        <v>4128</v>
      </c>
      <c r="F6361" s="60" t="s">
        <v>8400</v>
      </c>
      <c r="G6361" s="60" t="s">
        <v>88</v>
      </c>
      <c r="H6361" s="45" t="s">
        <v>8406</v>
      </c>
      <c r="I6361" s="47" t="e">
        <f>VLOOKUP(H6361,'合同综合查询数据（3月返）'!$A:$A,1,FALSE)</f>
        <v>#N/A</v>
      </c>
      <c r="J6361" s="424" t="s">
        <v>90</v>
      </c>
      <c r="K6361" s="60" t="s">
        <v>8407</v>
      </c>
      <c r="L6361" s="164"/>
      <c r="M6361" s="429" t="s">
        <v>8408</v>
      </c>
      <c r="N6361" s="461">
        <v>44978</v>
      </c>
      <c r="O6361" s="60" t="s">
        <v>461</v>
      </c>
      <c r="P6361" s="475">
        <v>7950</v>
      </c>
      <c r="Q6361" s="475">
        <v>10</v>
      </c>
      <c r="R6361" s="69">
        <f t="shared" si="147"/>
        <v>79500</v>
      </c>
      <c r="S6361" s="434">
        <v>202303</v>
      </c>
      <c r="T6361" s="168" t="s">
        <v>8445</v>
      </c>
      <c r="U6361" s="465"/>
      <c r="V6361" s="437"/>
      <c r="W6361" s="437"/>
      <c r="X6361" s="461">
        <v>44792</v>
      </c>
      <c r="Y6361" s="468"/>
    </row>
    <row r="6362" s="10" customFormat="1" customHeight="1" spans="1:25">
      <c r="A6362" s="459" t="s">
        <v>61</v>
      </c>
      <c r="B6362" s="459" t="s">
        <v>8399</v>
      </c>
      <c r="C6362" s="459" t="s">
        <v>2998</v>
      </c>
      <c r="D6362" s="459" t="s">
        <v>85</v>
      </c>
      <c r="E6362" s="63" t="s">
        <v>4128</v>
      </c>
      <c r="F6362" s="60" t="s">
        <v>8400</v>
      </c>
      <c r="G6362" s="60" t="s">
        <v>88</v>
      </c>
      <c r="H6362" s="45" t="s">
        <v>8406</v>
      </c>
      <c r="I6362" s="47" t="e">
        <f>VLOOKUP(H6362,'合同综合查询数据（3月返）'!$A:$A,1,FALSE)</f>
        <v>#N/A</v>
      </c>
      <c r="J6362" s="424" t="s">
        <v>90</v>
      </c>
      <c r="K6362" s="60" t="s">
        <v>8407</v>
      </c>
      <c r="L6362" s="164"/>
      <c r="M6362" s="429" t="s">
        <v>8408</v>
      </c>
      <c r="N6362" s="461">
        <v>44981</v>
      </c>
      <c r="O6362" s="60" t="s">
        <v>461</v>
      </c>
      <c r="P6362" s="475">
        <v>7950</v>
      </c>
      <c r="Q6362" s="475">
        <v>18</v>
      </c>
      <c r="R6362" s="69">
        <f t="shared" si="147"/>
        <v>143100</v>
      </c>
      <c r="S6362" s="434">
        <v>202303</v>
      </c>
      <c r="T6362" s="168" t="s">
        <v>8446</v>
      </c>
      <c r="U6362" s="465"/>
      <c r="V6362" s="437"/>
      <c r="W6362" s="437"/>
      <c r="X6362" s="461">
        <v>44792</v>
      </c>
      <c r="Y6362" s="468"/>
    </row>
    <row r="6363" s="10" customFormat="1" customHeight="1" spans="1:25">
      <c r="A6363" s="459" t="s">
        <v>61</v>
      </c>
      <c r="B6363" s="459" t="s">
        <v>8399</v>
      </c>
      <c r="C6363" s="459" t="s">
        <v>2998</v>
      </c>
      <c r="D6363" s="459" t="s">
        <v>85</v>
      </c>
      <c r="E6363" s="63" t="s">
        <v>4128</v>
      </c>
      <c r="F6363" s="60" t="s">
        <v>8400</v>
      </c>
      <c r="G6363" s="60" t="s">
        <v>88</v>
      </c>
      <c r="H6363" s="45" t="s">
        <v>8406</v>
      </c>
      <c r="I6363" s="47" t="e">
        <f>VLOOKUP(H6363,'合同综合查询数据（3月返）'!$A:$A,1,FALSE)</f>
        <v>#N/A</v>
      </c>
      <c r="J6363" s="424" t="s">
        <v>90</v>
      </c>
      <c r="K6363" s="60" t="s">
        <v>8407</v>
      </c>
      <c r="L6363" s="164"/>
      <c r="M6363" s="429" t="s">
        <v>8408</v>
      </c>
      <c r="N6363" s="461">
        <v>44982</v>
      </c>
      <c r="O6363" s="60" t="s">
        <v>461</v>
      </c>
      <c r="P6363" s="475">
        <v>7950</v>
      </c>
      <c r="Q6363" s="475">
        <v>5</v>
      </c>
      <c r="R6363" s="69">
        <f t="shared" si="147"/>
        <v>39750</v>
      </c>
      <c r="S6363" s="434">
        <v>202303</v>
      </c>
      <c r="T6363" s="168" t="s">
        <v>8447</v>
      </c>
      <c r="U6363" s="465"/>
      <c r="V6363" s="437"/>
      <c r="W6363" s="437"/>
      <c r="X6363" s="461">
        <v>44792</v>
      </c>
      <c r="Y6363" s="468"/>
    </row>
    <row r="6364" s="10" customFormat="1" customHeight="1" spans="1:25">
      <c r="A6364" s="459" t="s">
        <v>61</v>
      </c>
      <c r="B6364" s="459" t="s">
        <v>8399</v>
      </c>
      <c r="C6364" s="459" t="s">
        <v>2998</v>
      </c>
      <c r="D6364" s="459" t="s">
        <v>85</v>
      </c>
      <c r="E6364" s="63" t="s">
        <v>4128</v>
      </c>
      <c r="F6364" s="60" t="s">
        <v>8400</v>
      </c>
      <c r="G6364" s="60" t="s">
        <v>88</v>
      </c>
      <c r="H6364" s="45" t="s">
        <v>8406</v>
      </c>
      <c r="I6364" s="47" t="e">
        <f>VLOOKUP(H6364,'合同综合查询数据（3月返）'!$A:$A,1,FALSE)</f>
        <v>#N/A</v>
      </c>
      <c r="J6364" s="424" t="s">
        <v>90</v>
      </c>
      <c r="K6364" s="60" t="s">
        <v>8407</v>
      </c>
      <c r="L6364" s="164"/>
      <c r="M6364" s="429" t="s">
        <v>8408</v>
      </c>
      <c r="N6364" s="461">
        <v>44985</v>
      </c>
      <c r="O6364" s="60" t="s">
        <v>461</v>
      </c>
      <c r="P6364" s="475">
        <v>7950</v>
      </c>
      <c r="Q6364" s="475">
        <v>2</v>
      </c>
      <c r="R6364" s="69">
        <f t="shared" si="147"/>
        <v>15900</v>
      </c>
      <c r="S6364" s="434">
        <v>202303</v>
      </c>
      <c r="T6364" s="168" t="s">
        <v>8448</v>
      </c>
      <c r="U6364" s="465"/>
      <c r="V6364" s="437"/>
      <c r="W6364" s="437"/>
      <c r="X6364" s="461">
        <v>44792</v>
      </c>
      <c r="Y6364" s="468"/>
    </row>
    <row r="6365" s="10" customFormat="1" customHeight="1" spans="1:25">
      <c r="A6365" s="459" t="s">
        <v>61</v>
      </c>
      <c r="B6365" s="459" t="s">
        <v>8399</v>
      </c>
      <c r="C6365" s="459" t="s">
        <v>2998</v>
      </c>
      <c r="D6365" s="459" t="s">
        <v>85</v>
      </c>
      <c r="E6365" s="63" t="s">
        <v>4128</v>
      </c>
      <c r="F6365" s="60" t="s">
        <v>8400</v>
      </c>
      <c r="G6365" s="60" t="s">
        <v>88</v>
      </c>
      <c r="H6365" s="45" t="s">
        <v>8406</v>
      </c>
      <c r="I6365" s="47" t="e">
        <f>VLOOKUP(H6365,'合同综合查询数据（3月返）'!$A:$A,1,FALSE)</f>
        <v>#N/A</v>
      </c>
      <c r="J6365" s="424" t="s">
        <v>90</v>
      </c>
      <c r="K6365" s="60" t="s">
        <v>8407</v>
      </c>
      <c r="L6365" s="164"/>
      <c r="M6365" s="429" t="s">
        <v>8408</v>
      </c>
      <c r="N6365" s="461">
        <v>44985</v>
      </c>
      <c r="O6365" s="60" t="s">
        <v>457</v>
      </c>
      <c r="P6365" s="475">
        <v>3975</v>
      </c>
      <c r="Q6365" s="475">
        <v>1</v>
      </c>
      <c r="R6365" s="69">
        <f t="shared" si="147"/>
        <v>3975</v>
      </c>
      <c r="S6365" s="434">
        <v>202303</v>
      </c>
      <c r="T6365" s="168" t="s">
        <v>8449</v>
      </c>
      <c r="U6365" s="465"/>
      <c r="V6365" s="437"/>
      <c r="W6365" s="437"/>
      <c r="X6365" s="461">
        <v>44792</v>
      </c>
      <c r="Y6365" s="468"/>
    </row>
    <row r="6366" s="10" customFormat="1" customHeight="1" spans="1:25">
      <c r="A6366" s="459" t="s">
        <v>61</v>
      </c>
      <c r="B6366" s="459" t="s">
        <v>8399</v>
      </c>
      <c r="C6366" s="459" t="s">
        <v>2998</v>
      </c>
      <c r="D6366" s="459" t="s">
        <v>85</v>
      </c>
      <c r="E6366" s="63" t="s">
        <v>4128</v>
      </c>
      <c r="F6366" s="60" t="s">
        <v>8400</v>
      </c>
      <c r="G6366" s="60" t="s">
        <v>88</v>
      </c>
      <c r="H6366" s="45" t="s">
        <v>8406</v>
      </c>
      <c r="I6366" s="47" t="e">
        <f>VLOOKUP(H6366,'合同综合查询数据（3月返）'!$A:$A,1,FALSE)</f>
        <v>#N/A</v>
      </c>
      <c r="J6366" s="424" t="s">
        <v>90</v>
      </c>
      <c r="K6366" s="60" t="s">
        <v>8407</v>
      </c>
      <c r="L6366" s="164"/>
      <c r="M6366" s="429" t="s">
        <v>8408</v>
      </c>
      <c r="N6366" s="461">
        <v>44986</v>
      </c>
      <c r="O6366" s="60" t="s">
        <v>461</v>
      </c>
      <c r="P6366" s="475">
        <v>7950</v>
      </c>
      <c r="Q6366" s="475">
        <v>2</v>
      </c>
      <c r="R6366" s="69">
        <f t="shared" si="147"/>
        <v>15900</v>
      </c>
      <c r="S6366" s="434">
        <v>202303</v>
      </c>
      <c r="T6366" s="478" t="s">
        <v>8450</v>
      </c>
      <c r="U6366" s="465"/>
      <c r="V6366" s="437"/>
      <c r="W6366" s="437"/>
      <c r="X6366" s="461">
        <v>44792</v>
      </c>
      <c r="Y6366" s="468"/>
    </row>
    <row r="6367" s="10" customFormat="1" customHeight="1" spans="1:25">
      <c r="A6367" s="459" t="s">
        <v>61</v>
      </c>
      <c r="B6367" s="459" t="s">
        <v>8399</v>
      </c>
      <c r="C6367" s="459" t="s">
        <v>2998</v>
      </c>
      <c r="D6367" s="459" t="s">
        <v>85</v>
      </c>
      <c r="E6367" s="63" t="s">
        <v>4128</v>
      </c>
      <c r="F6367" s="60" t="s">
        <v>8400</v>
      </c>
      <c r="G6367" s="60" t="s">
        <v>88</v>
      </c>
      <c r="H6367" s="45" t="s">
        <v>8406</v>
      </c>
      <c r="I6367" s="47" t="e">
        <f>VLOOKUP(H6367,'合同综合查询数据（3月返）'!$A:$A,1,FALSE)</f>
        <v>#N/A</v>
      </c>
      <c r="J6367" s="424" t="s">
        <v>90</v>
      </c>
      <c r="K6367" s="60" t="s">
        <v>8407</v>
      </c>
      <c r="L6367" s="164"/>
      <c r="M6367" s="429" t="s">
        <v>8408</v>
      </c>
      <c r="N6367" s="461">
        <v>44987</v>
      </c>
      <c r="O6367" s="60" t="s">
        <v>461</v>
      </c>
      <c r="P6367" s="475">
        <v>7950</v>
      </c>
      <c r="Q6367" s="475">
        <v>1</v>
      </c>
      <c r="R6367" s="69">
        <f>ROUND(P6367*Q6367*30/31,2)</f>
        <v>7693.55</v>
      </c>
      <c r="S6367" s="434">
        <v>202303</v>
      </c>
      <c r="T6367" s="478" t="s">
        <v>8451</v>
      </c>
      <c r="U6367" s="465"/>
      <c r="V6367" s="437"/>
      <c r="W6367" s="437"/>
      <c r="X6367" s="461">
        <v>44792</v>
      </c>
      <c r="Y6367" s="468"/>
    </row>
    <row r="6368" s="10" customFormat="1" customHeight="1" spans="1:25">
      <c r="A6368" s="459" t="s">
        <v>61</v>
      </c>
      <c r="B6368" s="459" t="s">
        <v>8399</v>
      </c>
      <c r="C6368" s="459" t="s">
        <v>2998</v>
      </c>
      <c r="D6368" s="459" t="s">
        <v>85</v>
      </c>
      <c r="E6368" s="63" t="s">
        <v>4128</v>
      </c>
      <c r="F6368" s="60" t="s">
        <v>8400</v>
      </c>
      <c r="G6368" s="60" t="s">
        <v>88</v>
      </c>
      <c r="H6368" s="45" t="s">
        <v>8406</v>
      </c>
      <c r="I6368" s="47" t="e">
        <f>VLOOKUP(H6368,'合同综合查询数据（3月返）'!$A:$A,1,FALSE)</f>
        <v>#N/A</v>
      </c>
      <c r="J6368" s="424" t="s">
        <v>90</v>
      </c>
      <c r="K6368" s="60" t="s">
        <v>8407</v>
      </c>
      <c r="L6368" s="164"/>
      <c r="M6368" s="429" t="s">
        <v>8408</v>
      </c>
      <c r="N6368" s="461">
        <v>44988</v>
      </c>
      <c r="O6368" s="60" t="s">
        <v>461</v>
      </c>
      <c r="P6368" s="475">
        <v>7950</v>
      </c>
      <c r="Q6368" s="475">
        <v>24</v>
      </c>
      <c r="R6368" s="69">
        <f>ROUND(P6368*Q6368*29/31,2)</f>
        <v>178490.32</v>
      </c>
      <c r="S6368" s="434">
        <v>202303</v>
      </c>
      <c r="T6368" s="478" t="s">
        <v>8452</v>
      </c>
      <c r="U6368" s="465"/>
      <c r="V6368" s="437"/>
      <c r="W6368" s="437"/>
      <c r="X6368" s="461">
        <v>44792</v>
      </c>
      <c r="Y6368" s="468"/>
    </row>
    <row r="6369" s="10" customFormat="1" customHeight="1" spans="1:25">
      <c r="A6369" s="459" t="s">
        <v>61</v>
      </c>
      <c r="B6369" s="459" t="s">
        <v>8399</v>
      </c>
      <c r="C6369" s="459" t="s">
        <v>2998</v>
      </c>
      <c r="D6369" s="459" t="s">
        <v>85</v>
      </c>
      <c r="E6369" s="63" t="s">
        <v>4128</v>
      </c>
      <c r="F6369" s="60" t="s">
        <v>8400</v>
      </c>
      <c r="G6369" s="60" t="s">
        <v>88</v>
      </c>
      <c r="H6369" s="45" t="s">
        <v>8406</v>
      </c>
      <c r="I6369" s="47" t="e">
        <f>VLOOKUP(H6369,'合同综合查询数据（3月返）'!$A:$A,1,FALSE)</f>
        <v>#N/A</v>
      </c>
      <c r="J6369" s="424" t="s">
        <v>90</v>
      </c>
      <c r="K6369" s="60" t="s">
        <v>8407</v>
      </c>
      <c r="L6369" s="164"/>
      <c r="M6369" s="429" t="s">
        <v>8408</v>
      </c>
      <c r="N6369" s="461">
        <v>44991</v>
      </c>
      <c r="O6369" s="60" t="s">
        <v>461</v>
      </c>
      <c r="P6369" s="475">
        <v>7950</v>
      </c>
      <c r="Q6369" s="475">
        <v>6</v>
      </c>
      <c r="R6369" s="69">
        <f>ROUND(P6369*Q6369*26/31,2)</f>
        <v>40006.45</v>
      </c>
      <c r="S6369" s="434">
        <v>202303</v>
      </c>
      <c r="T6369" s="478" t="s">
        <v>8453</v>
      </c>
      <c r="U6369" s="465"/>
      <c r="V6369" s="437"/>
      <c r="W6369" s="437"/>
      <c r="X6369" s="461">
        <v>44792</v>
      </c>
      <c r="Y6369" s="468"/>
    </row>
    <row r="6370" s="10" customFormat="1" customHeight="1" spans="1:25">
      <c r="A6370" s="459" t="s">
        <v>61</v>
      </c>
      <c r="B6370" s="459" t="s">
        <v>8399</v>
      </c>
      <c r="C6370" s="459" t="s">
        <v>2998</v>
      </c>
      <c r="D6370" s="459" t="s">
        <v>85</v>
      </c>
      <c r="E6370" s="63" t="s">
        <v>4128</v>
      </c>
      <c r="F6370" s="60" t="s">
        <v>8400</v>
      </c>
      <c r="G6370" s="60" t="s">
        <v>88</v>
      </c>
      <c r="H6370" s="45" t="s">
        <v>8406</v>
      </c>
      <c r="I6370" s="47" t="e">
        <f>VLOOKUP(H6370,'合同综合查询数据（3月返）'!$A:$A,1,FALSE)</f>
        <v>#N/A</v>
      </c>
      <c r="J6370" s="424" t="s">
        <v>90</v>
      </c>
      <c r="K6370" s="60" t="s">
        <v>8407</v>
      </c>
      <c r="L6370" s="164"/>
      <c r="M6370" s="429" t="s">
        <v>8408</v>
      </c>
      <c r="N6370" s="461">
        <v>44992</v>
      </c>
      <c r="O6370" s="60" t="s">
        <v>461</v>
      </c>
      <c r="P6370" s="475">
        <v>7950</v>
      </c>
      <c r="Q6370" s="475">
        <v>25</v>
      </c>
      <c r="R6370" s="69">
        <f>ROUND(P6370*Q6370*25/31,2)</f>
        <v>160282.26</v>
      </c>
      <c r="S6370" s="434">
        <v>202303</v>
      </c>
      <c r="T6370" s="478" t="s">
        <v>8454</v>
      </c>
      <c r="U6370" s="465"/>
      <c r="V6370" s="437"/>
      <c r="W6370" s="437"/>
      <c r="X6370" s="461">
        <v>44792</v>
      </c>
      <c r="Y6370" s="468"/>
    </row>
    <row r="6371" s="10" customFormat="1" customHeight="1" spans="1:25">
      <c r="A6371" s="459" t="s">
        <v>61</v>
      </c>
      <c r="B6371" s="459" t="s">
        <v>8399</v>
      </c>
      <c r="C6371" s="459" t="s">
        <v>2998</v>
      </c>
      <c r="D6371" s="459" t="s">
        <v>85</v>
      </c>
      <c r="E6371" s="63" t="s">
        <v>4128</v>
      </c>
      <c r="F6371" s="60" t="s">
        <v>8400</v>
      </c>
      <c r="G6371" s="60" t="s">
        <v>88</v>
      </c>
      <c r="H6371" s="45" t="s">
        <v>8406</v>
      </c>
      <c r="I6371" s="47" t="e">
        <f>VLOOKUP(H6371,'合同综合查询数据（3月返）'!$A:$A,1,FALSE)</f>
        <v>#N/A</v>
      </c>
      <c r="J6371" s="424" t="s">
        <v>90</v>
      </c>
      <c r="K6371" s="60" t="s">
        <v>8407</v>
      </c>
      <c r="L6371" s="164"/>
      <c r="M6371" s="429" t="s">
        <v>8408</v>
      </c>
      <c r="N6371" s="461">
        <v>44994</v>
      </c>
      <c r="O6371" s="60" t="s">
        <v>461</v>
      </c>
      <c r="P6371" s="475">
        <v>7950</v>
      </c>
      <c r="Q6371" s="475">
        <v>6</v>
      </c>
      <c r="R6371" s="69">
        <f>ROUND(P6371*Q6371*23/31,2)</f>
        <v>35390.32</v>
      </c>
      <c r="S6371" s="434">
        <v>202303</v>
      </c>
      <c r="T6371" s="478" t="s">
        <v>8455</v>
      </c>
      <c r="U6371" s="465"/>
      <c r="V6371" s="437"/>
      <c r="W6371" s="437"/>
      <c r="X6371" s="461">
        <v>44792</v>
      </c>
      <c r="Y6371" s="468"/>
    </row>
    <row r="6372" s="10" customFormat="1" customHeight="1" spans="1:25">
      <c r="A6372" s="459" t="s">
        <v>61</v>
      </c>
      <c r="B6372" s="459" t="s">
        <v>8399</v>
      </c>
      <c r="C6372" s="459" t="s">
        <v>2998</v>
      </c>
      <c r="D6372" s="459" t="s">
        <v>85</v>
      </c>
      <c r="E6372" s="63" t="s">
        <v>4128</v>
      </c>
      <c r="F6372" s="60" t="s">
        <v>8400</v>
      </c>
      <c r="G6372" s="60" t="s">
        <v>88</v>
      </c>
      <c r="H6372" s="45" t="s">
        <v>8406</v>
      </c>
      <c r="I6372" s="47" t="e">
        <f>VLOOKUP(H6372,'合同综合查询数据（3月返）'!$A:$A,1,FALSE)</f>
        <v>#N/A</v>
      </c>
      <c r="J6372" s="424" t="s">
        <v>90</v>
      </c>
      <c r="K6372" s="60" t="s">
        <v>8407</v>
      </c>
      <c r="L6372" s="164"/>
      <c r="M6372" s="429" t="s">
        <v>8408</v>
      </c>
      <c r="N6372" s="461">
        <v>44999</v>
      </c>
      <c r="O6372" s="60" t="s">
        <v>461</v>
      </c>
      <c r="P6372" s="475">
        <v>7950</v>
      </c>
      <c r="Q6372" s="475">
        <v>6</v>
      </c>
      <c r="R6372" s="69">
        <f>ROUND(P6372*Q6372*18/31,2)</f>
        <v>27696.77</v>
      </c>
      <c r="S6372" s="434">
        <v>202303</v>
      </c>
      <c r="T6372" s="478" t="s">
        <v>8456</v>
      </c>
      <c r="U6372" s="465"/>
      <c r="V6372" s="437"/>
      <c r="W6372" s="437"/>
      <c r="X6372" s="461">
        <v>44792</v>
      </c>
      <c r="Y6372" s="468"/>
    </row>
    <row r="6373" s="10" customFormat="1" customHeight="1" spans="1:25">
      <c r="A6373" s="459" t="s">
        <v>61</v>
      </c>
      <c r="B6373" s="459" t="s">
        <v>8399</v>
      </c>
      <c r="C6373" s="459" t="s">
        <v>2998</v>
      </c>
      <c r="D6373" s="459" t="s">
        <v>85</v>
      </c>
      <c r="E6373" s="63" t="s">
        <v>4128</v>
      </c>
      <c r="F6373" s="60" t="s">
        <v>8400</v>
      </c>
      <c r="G6373" s="60" t="s">
        <v>88</v>
      </c>
      <c r="H6373" s="45" t="s">
        <v>8406</v>
      </c>
      <c r="I6373" s="47" t="e">
        <f>VLOOKUP(H6373,'合同综合查询数据（3月返）'!$A:$A,1,FALSE)</f>
        <v>#N/A</v>
      </c>
      <c r="J6373" s="424" t="s">
        <v>90</v>
      </c>
      <c r="K6373" s="60" t="s">
        <v>8407</v>
      </c>
      <c r="L6373" s="164"/>
      <c r="M6373" s="429" t="s">
        <v>8408</v>
      </c>
      <c r="N6373" s="461">
        <v>45000</v>
      </c>
      <c r="O6373" s="60" t="s">
        <v>461</v>
      </c>
      <c r="P6373" s="475">
        <v>7950</v>
      </c>
      <c r="Q6373" s="475">
        <v>4</v>
      </c>
      <c r="R6373" s="69">
        <f>ROUND(P6373*Q6373*17/31,2)</f>
        <v>17438.71</v>
      </c>
      <c r="S6373" s="434">
        <v>202303</v>
      </c>
      <c r="T6373" s="478" t="s">
        <v>8457</v>
      </c>
      <c r="U6373" s="465"/>
      <c r="V6373" s="437"/>
      <c r="W6373" s="437"/>
      <c r="X6373" s="461">
        <v>44792</v>
      </c>
      <c r="Y6373" s="468"/>
    </row>
    <row r="6374" s="10" customFormat="1" customHeight="1" spans="1:25">
      <c r="A6374" s="459" t="s">
        <v>61</v>
      </c>
      <c r="B6374" s="459" t="s">
        <v>8399</v>
      </c>
      <c r="C6374" s="459" t="s">
        <v>2998</v>
      </c>
      <c r="D6374" s="459" t="s">
        <v>85</v>
      </c>
      <c r="E6374" s="63" t="s">
        <v>4128</v>
      </c>
      <c r="F6374" s="60" t="s">
        <v>8400</v>
      </c>
      <c r="G6374" s="60" t="s">
        <v>88</v>
      </c>
      <c r="H6374" s="45" t="s">
        <v>8406</v>
      </c>
      <c r="I6374" s="47" t="e">
        <f>VLOOKUP(H6374,'合同综合查询数据（3月返）'!$A:$A,1,FALSE)</f>
        <v>#N/A</v>
      </c>
      <c r="J6374" s="424" t="s">
        <v>90</v>
      </c>
      <c r="K6374" s="60" t="s">
        <v>8407</v>
      </c>
      <c r="L6374" s="164"/>
      <c r="M6374" s="429" t="s">
        <v>8408</v>
      </c>
      <c r="N6374" s="461">
        <v>45000</v>
      </c>
      <c r="O6374" s="60" t="s">
        <v>461</v>
      </c>
      <c r="P6374" s="475">
        <v>7950</v>
      </c>
      <c r="Q6374" s="475">
        <v>-5</v>
      </c>
      <c r="R6374" s="69">
        <f>ROUND(P6374*Q6374*16/31,2)</f>
        <v>-20516.13</v>
      </c>
      <c r="S6374" s="434">
        <v>202303</v>
      </c>
      <c r="T6374" s="478" t="s">
        <v>8458</v>
      </c>
      <c r="U6374" s="465"/>
      <c r="V6374" s="437"/>
      <c r="W6374" s="437"/>
      <c r="X6374" s="461">
        <v>44792</v>
      </c>
      <c r="Y6374" s="468"/>
    </row>
    <row r="6375" s="10" customFormat="1" customHeight="1" spans="1:25">
      <c r="A6375" s="459" t="s">
        <v>61</v>
      </c>
      <c r="B6375" s="459" t="s">
        <v>8399</v>
      </c>
      <c r="C6375" s="459" t="s">
        <v>2998</v>
      </c>
      <c r="D6375" s="459" t="s">
        <v>85</v>
      </c>
      <c r="E6375" s="63" t="s">
        <v>4128</v>
      </c>
      <c r="F6375" s="60" t="s">
        <v>8400</v>
      </c>
      <c r="G6375" s="60" t="s">
        <v>88</v>
      </c>
      <c r="H6375" s="45" t="s">
        <v>8406</v>
      </c>
      <c r="I6375" s="47" t="e">
        <f>VLOOKUP(H6375,'合同综合查询数据（3月返）'!$A:$A,1,FALSE)</f>
        <v>#N/A</v>
      </c>
      <c r="J6375" s="424" t="s">
        <v>90</v>
      </c>
      <c r="K6375" s="60" t="s">
        <v>8407</v>
      </c>
      <c r="L6375" s="164"/>
      <c r="M6375" s="429" t="s">
        <v>8408</v>
      </c>
      <c r="N6375" s="461">
        <v>45001</v>
      </c>
      <c r="O6375" s="60" t="s">
        <v>461</v>
      </c>
      <c r="P6375" s="475">
        <v>7950</v>
      </c>
      <c r="Q6375" s="475">
        <v>10</v>
      </c>
      <c r="R6375" s="69">
        <f>ROUND(P6375*Q6375*16/31,2)</f>
        <v>41032.26</v>
      </c>
      <c r="S6375" s="434">
        <v>202303</v>
      </c>
      <c r="T6375" s="478" t="s">
        <v>8459</v>
      </c>
      <c r="U6375" s="465"/>
      <c r="V6375" s="437"/>
      <c r="W6375" s="437"/>
      <c r="X6375" s="461">
        <v>44792</v>
      </c>
      <c r="Y6375" s="468"/>
    </row>
    <row r="6376" s="10" customFormat="1" customHeight="1" spans="1:25">
      <c r="A6376" s="459" t="s">
        <v>61</v>
      </c>
      <c r="B6376" s="459" t="s">
        <v>8399</v>
      </c>
      <c r="C6376" s="459" t="s">
        <v>2998</v>
      </c>
      <c r="D6376" s="459" t="s">
        <v>85</v>
      </c>
      <c r="E6376" s="63" t="s">
        <v>4128</v>
      </c>
      <c r="F6376" s="60" t="s">
        <v>8400</v>
      </c>
      <c r="G6376" s="60" t="s">
        <v>88</v>
      </c>
      <c r="H6376" s="45" t="s">
        <v>8406</v>
      </c>
      <c r="I6376" s="47" t="e">
        <f>VLOOKUP(H6376,'合同综合查询数据（3月返）'!$A:$A,1,FALSE)</f>
        <v>#N/A</v>
      </c>
      <c r="J6376" s="424" t="s">
        <v>90</v>
      </c>
      <c r="K6376" s="60" t="s">
        <v>8407</v>
      </c>
      <c r="L6376" s="164"/>
      <c r="M6376" s="429" t="s">
        <v>8408</v>
      </c>
      <c r="N6376" s="461">
        <v>45002</v>
      </c>
      <c r="O6376" s="60" t="s">
        <v>461</v>
      </c>
      <c r="P6376" s="475">
        <v>7950</v>
      </c>
      <c r="Q6376" s="475">
        <v>17</v>
      </c>
      <c r="R6376" s="69">
        <f>ROUND(P6376*Q6376*15/31,2)</f>
        <v>65395.16</v>
      </c>
      <c r="S6376" s="434">
        <v>202303</v>
      </c>
      <c r="T6376" s="478" t="s">
        <v>8460</v>
      </c>
      <c r="U6376" s="465"/>
      <c r="V6376" s="437"/>
      <c r="W6376" s="437"/>
      <c r="X6376" s="461">
        <v>44792</v>
      </c>
      <c r="Y6376" s="468"/>
    </row>
    <row r="6377" s="10" customFormat="1" customHeight="1" spans="1:25">
      <c r="A6377" s="459" t="s">
        <v>61</v>
      </c>
      <c r="B6377" s="459" t="s">
        <v>8399</v>
      </c>
      <c r="C6377" s="459" t="s">
        <v>2998</v>
      </c>
      <c r="D6377" s="459" t="s">
        <v>85</v>
      </c>
      <c r="E6377" s="63" t="s">
        <v>4128</v>
      </c>
      <c r="F6377" s="60" t="s">
        <v>8400</v>
      </c>
      <c r="G6377" s="60" t="s">
        <v>88</v>
      </c>
      <c r="H6377" s="45" t="s">
        <v>8406</v>
      </c>
      <c r="I6377" s="47" t="e">
        <f>VLOOKUP(H6377,'合同综合查询数据（3月返）'!$A:$A,1,FALSE)</f>
        <v>#N/A</v>
      </c>
      <c r="J6377" s="424" t="s">
        <v>90</v>
      </c>
      <c r="K6377" s="60" t="s">
        <v>8407</v>
      </c>
      <c r="L6377" s="164"/>
      <c r="M6377" s="429" t="s">
        <v>8408</v>
      </c>
      <c r="N6377" s="461">
        <v>45004</v>
      </c>
      <c r="O6377" s="60" t="s">
        <v>461</v>
      </c>
      <c r="P6377" s="475">
        <v>7950</v>
      </c>
      <c r="Q6377" s="475">
        <v>15</v>
      </c>
      <c r="R6377" s="69">
        <f>ROUND(P6377*Q6377*13/31,2)</f>
        <v>50008.06</v>
      </c>
      <c r="S6377" s="434">
        <v>202303</v>
      </c>
      <c r="T6377" s="478" t="s">
        <v>8461</v>
      </c>
      <c r="U6377" s="465"/>
      <c r="V6377" s="437"/>
      <c r="W6377" s="437"/>
      <c r="X6377" s="461">
        <v>44792</v>
      </c>
      <c r="Y6377" s="468"/>
    </row>
    <row r="6378" s="10" customFormat="1" customHeight="1" spans="1:25">
      <c r="A6378" s="459" t="s">
        <v>61</v>
      </c>
      <c r="B6378" s="459" t="s">
        <v>8399</v>
      </c>
      <c r="C6378" s="459" t="s">
        <v>2998</v>
      </c>
      <c r="D6378" s="459" t="s">
        <v>85</v>
      </c>
      <c r="E6378" s="63" t="s">
        <v>4128</v>
      </c>
      <c r="F6378" s="60" t="s">
        <v>8400</v>
      </c>
      <c r="G6378" s="60" t="s">
        <v>88</v>
      </c>
      <c r="H6378" s="45" t="s">
        <v>8406</v>
      </c>
      <c r="I6378" s="47" t="e">
        <f>VLOOKUP(H6378,'合同综合查询数据（3月返）'!$A:$A,1,FALSE)</f>
        <v>#N/A</v>
      </c>
      <c r="J6378" s="424" t="s">
        <v>90</v>
      </c>
      <c r="K6378" s="60" t="s">
        <v>8407</v>
      </c>
      <c r="L6378" s="164"/>
      <c r="M6378" s="429" t="s">
        <v>8408</v>
      </c>
      <c r="N6378" s="461">
        <v>45007</v>
      </c>
      <c r="O6378" s="60" t="s">
        <v>461</v>
      </c>
      <c r="P6378" s="475">
        <v>7950</v>
      </c>
      <c r="Q6378" s="475">
        <v>6</v>
      </c>
      <c r="R6378" s="69">
        <f>ROUND(P6378*Q6378*10/31,2)</f>
        <v>15387.1</v>
      </c>
      <c r="S6378" s="434">
        <v>202303</v>
      </c>
      <c r="T6378" s="478" t="s">
        <v>8462</v>
      </c>
      <c r="U6378" s="465"/>
      <c r="V6378" s="437"/>
      <c r="W6378" s="437"/>
      <c r="X6378" s="461">
        <v>44792</v>
      </c>
      <c r="Y6378" s="468"/>
    </row>
    <row r="6379" s="10" customFormat="1" customHeight="1" spans="1:25">
      <c r="A6379" s="459" t="s">
        <v>61</v>
      </c>
      <c r="B6379" s="459" t="s">
        <v>8399</v>
      </c>
      <c r="C6379" s="459" t="s">
        <v>2998</v>
      </c>
      <c r="D6379" s="459" t="s">
        <v>85</v>
      </c>
      <c r="E6379" s="63" t="s">
        <v>4128</v>
      </c>
      <c r="F6379" s="60" t="s">
        <v>8400</v>
      </c>
      <c r="G6379" s="60" t="s">
        <v>88</v>
      </c>
      <c r="H6379" s="45" t="s">
        <v>8406</v>
      </c>
      <c r="I6379" s="47" t="e">
        <f>VLOOKUP(H6379,'合同综合查询数据（3月返）'!$A:$A,1,FALSE)</f>
        <v>#N/A</v>
      </c>
      <c r="J6379" s="424" t="s">
        <v>90</v>
      </c>
      <c r="K6379" s="60" t="s">
        <v>8407</v>
      </c>
      <c r="L6379" s="164"/>
      <c r="M6379" s="429" t="s">
        <v>8408</v>
      </c>
      <c r="N6379" s="461">
        <v>45010</v>
      </c>
      <c r="O6379" s="60" t="s">
        <v>457</v>
      </c>
      <c r="P6379" s="475">
        <v>3975</v>
      </c>
      <c r="Q6379" s="475">
        <v>1</v>
      </c>
      <c r="R6379" s="69">
        <f>ROUND(P6379*Q6379*7/31,2)</f>
        <v>897.58</v>
      </c>
      <c r="S6379" s="434">
        <v>202303</v>
      </c>
      <c r="T6379" s="479" t="s">
        <v>8463</v>
      </c>
      <c r="U6379" s="465"/>
      <c r="V6379" s="437"/>
      <c r="W6379" s="437"/>
      <c r="X6379" s="461">
        <v>44792</v>
      </c>
      <c r="Y6379" s="468"/>
    </row>
    <row r="6380" s="10" customFormat="1" customHeight="1" spans="1:25">
      <c r="A6380" s="459" t="s">
        <v>61</v>
      </c>
      <c r="B6380" s="459" t="s">
        <v>8399</v>
      </c>
      <c r="C6380" s="459" t="s">
        <v>2998</v>
      </c>
      <c r="D6380" s="459" t="s">
        <v>85</v>
      </c>
      <c r="E6380" s="63" t="s">
        <v>4128</v>
      </c>
      <c r="F6380" s="60" t="s">
        <v>8400</v>
      </c>
      <c r="G6380" s="60" t="s">
        <v>88</v>
      </c>
      <c r="H6380" s="45" t="s">
        <v>8406</v>
      </c>
      <c r="I6380" s="47" t="e">
        <f>VLOOKUP(H6380,'合同综合查询数据（3月返）'!$A:$A,1,FALSE)</f>
        <v>#N/A</v>
      </c>
      <c r="J6380" s="424" t="s">
        <v>90</v>
      </c>
      <c r="K6380" s="60" t="s">
        <v>8407</v>
      </c>
      <c r="L6380" s="164"/>
      <c r="M6380" s="429" t="s">
        <v>8408</v>
      </c>
      <c r="N6380" s="461">
        <v>45010</v>
      </c>
      <c r="O6380" s="60" t="s">
        <v>461</v>
      </c>
      <c r="P6380" s="475">
        <v>7950</v>
      </c>
      <c r="Q6380" s="475">
        <v>57</v>
      </c>
      <c r="R6380" s="69">
        <f>ROUND(P6380*Q6380*7/31,2)</f>
        <v>102324.19</v>
      </c>
      <c r="S6380" s="434">
        <v>202303</v>
      </c>
      <c r="T6380" s="479" t="s">
        <v>8464</v>
      </c>
      <c r="U6380" s="465"/>
      <c r="V6380" s="437"/>
      <c r="W6380" s="437"/>
      <c r="X6380" s="461">
        <v>44792</v>
      </c>
      <c r="Y6380" s="468"/>
    </row>
    <row r="6381" s="10" customFormat="1" customHeight="1" spans="1:25">
      <c r="A6381" s="459" t="s">
        <v>61</v>
      </c>
      <c r="B6381" s="459" t="s">
        <v>8399</v>
      </c>
      <c r="C6381" s="459" t="s">
        <v>2998</v>
      </c>
      <c r="D6381" s="459" t="s">
        <v>85</v>
      </c>
      <c r="E6381" s="63" t="s">
        <v>4128</v>
      </c>
      <c r="F6381" s="60" t="s">
        <v>8400</v>
      </c>
      <c r="G6381" s="60" t="s">
        <v>88</v>
      </c>
      <c r="H6381" s="45" t="s">
        <v>8406</v>
      </c>
      <c r="I6381" s="47" t="e">
        <f>VLOOKUP(H6381,'合同综合查询数据（3月返）'!$A:$A,1,FALSE)</f>
        <v>#N/A</v>
      </c>
      <c r="J6381" s="424" t="s">
        <v>90</v>
      </c>
      <c r="K6381" s="60" t="s">
        <v>8407</v>
      </c>
      <c r="L6381" s="164"/>
      <c r="M6381" s="429" t="s">
        <v>8408</v>
      </c>
      <c r="N6381" s="461">
        <v>45011</v>
      </c>
      <c r="O6381" s="60" t="s">
        <v>461</v>
      </c>
      <c r="P6381" s="475">
        <v>7950</v>
      </c>
      <c r="Q6381" s="475">
        <v>50</v>
      </c>
      <c r="R6381" s="69">
        <f>ROUND(P6381*Q6381*6/31,2)</f>
        <v>76935.48</v>
      </c>
      <c r="S6381" s="434">
        <v>202303</v>
      </c>
      <c r="T6381" s="478" t="s">
        <v>8465</v>
      </c>
      <c r="U6381" s="465"/>
      <c r="V6381" s="437"/>
      <c r="W6381" s="437"/>
      <c r="X6381" s="461">
        <v>44792</v>
      </c>
      <c r="Y6381" s="468"/>
    </row>
    <row r="6382" s="10" customFormat="1" customHeight="1" spans="1:25">
      <c r="A6382" s="459" t="s">
        <v>61</v>
      </c>
      <c r="B6382" s="459" t="s">
        <v>8399</v>
      </c>
      <c r="C6382" s="459" t="s">
        <v>2998</v>
      </c>
      <c r="D6382" s="459" t="s">
        <v>85</v>
      </c>
      <c r="E6382" s="63" t="s">
        <v>4128</v>
      </c>
      <c r="F6382" s="60" t="s">
        <v>8400</v>
      </c>
      <c r="G6382" s="60" t="s">
        <v>88</v>
      </c>
      <c r="H6382" s="45" t="s">
        <v>8406</v>
      </c>
      <c r="I6382" s="47" t="e">
        <f>VLOOKUP(H6382,'合同综合查询数据（3月返）'!$A:$A,1,FALSE)</f>
        <v>#N/A</v>
      </c>
      <c r="J6382" s="424" t="s">
        <v>90</v>
      </c>
      <c r="K6382" s="60" t="s">
        <v>8466</v>
      </c>
      <c r="L6382" s="164"/>
      <c r="M6382" s="429" t="s">
        <v>8467</v>
      </c>
      <c r="N6382" s="461">
        <v>44817</v>
      </c>
      <c r="O6382" s="60" t="s">
        <v>461</v>
      </c>
      <c r="P6382" s="475">
        <v>7950</v>
      </c>
      <c r="Q6382" s="475">
        <v>2</v>
      </c>
      <c r="R6382" s="69">
        <f t="shared" ref="R6382:R6414" si="148">ROUND(P6382*Q6382,2)</f>
        <v>15900</v>
      </c>
      <c r="S6382" s="434">
        <v>202303</v>
      </c>
      <c r="T6382" s="168" t="s">
        <v>8468</v>
      </c>
      <c r="U6382" s="465"/>
      <c r="V6382" s="437"/>
      <c r="W6382" s="437"/>
      <c r="X6382" s="461">
        <v>44792</v>
      </c>
      <c r="Y6382" s="468"/>
    </row>
    <row r="6383" s="10" customFormat="1" customHeight="1" spans="1:25">
      <c r="A6383" s="459" t="s">
        <v>61</v>
      </c>
      <c r="B6383" s="459" t="s">
        <v>8399</v>
      </c>
      <c r="C6383" s="459" t="s">
        <v>2998</v>
      </c>
      <c r="D6383" s="459" t="s">
        <v>85</v>
      </c>
      <c r="E6383" s="63" t="s">
        <v>4128</v>
      </c>
      <c r="F6383" s="60" t="s">
        <v>8400</v>
      </c>
      <c r="G6383" s="60" t="s">
        <v>88</v>
      </c>
      <c r="H6383" s="45" t="s">
        <v>8406</v>
      </c>
      <c r="I6383" s="47" t="e">
        <f>VLOOKUP(H6383,'合同综合查询数据（3月返）'!$A:$A,1,FALSE)</f>
        <v>#N/A</v>
      </c>
      <c r="J6383" s="424" t="s">
        <v>90</v>
      </c>
      <c r="K6383" s="60" t="s">
        <v>8466</v>
      </c>
      <c r="L6383" s="164"/>
      <c r="M6383" s="429" t="s">
        <v>8467</v>
      </c>
      <c r="N6383" s="461">
        <v>44818</v>
      </c>
      <c r="O6383" s="60" t="s">
        <v>461</v>
      </c>
      <c r="P6383" s="475">
        <v>7950</v>
      </c>
      <c r="Q6383" s="475">
        <v>36</v>
      </c>
      <c r="R6383" s="69">
        <f t="shared" si="148"/>
        <v>286200</v>
      </c>
      <c r="S6383" s="434">
        <v>202303</v>
      </c>
      <c r="T6383" s="168" t="s">
        <v>8469</v>
      </c>
      <c r="U6383" s="465"/>
      <c r="V6383" s="437"/>
      <c r="W6383" s="437"/>
      <c r="X6383" s="461">
        <v>44792</v>
      </c>
      <c r="Y6383" s="468"/>
    </row>
    <row r="6384" s="10" customFormat="1" customHeight="1" spans="1:25">
      <c r="A6384" s="459" t="s">
        <v>61</v>
      </c>
      <c r="B6384" s="459" t="s">
        <v>8399</v>
      </c>
      <c r="C6384" s="459" t="s">
        <v>2998</v>
      </c>
      <c r="D6384" s="459" t="s">
        <v>85</v>
      </c>
      <c r="E6384" s="63" t="s">
        <v>4128</v>
      </c>
      <c r="F6384" s="60" t="s">
        <v>8400</v>
      </c>
      <c r="G6384" s="60" t="s">
        <v>88</v>
      </c>
      <c r="H6384" s="45" t="s">
        <v>8406</v>
      </c>
      <c r="I6384" s="47" t="e">
        <f>VLOOKUP(H6384,'合同综合查询数据（3月返）'!$A:$A,1,FALSE)</f>
        <v>#N/A</v>
      </c>
      <c r="J6384" s="424" t="s">
        <v>90</v>
      </c>
      <c r="K6384" s="60" t="s">
        <v>8466</v>
      </c>
      <c r="L6384" s="164"/>
      <c r="M6384" s="429" t="s">
        <v>8467</v>
      </c>
      <c r="N6384" s="461">
        <v>44819</v>
      </c>
      <c r="O6384" s="60" t="s">
        <v>461</v>
      </c>
      <c r="P6384" s="475">
        <v>7950</v>
      </c>
      <c r="Q6384" s="475">
        <v>13</v>
      </c>
      <c r="R6384" s="69">
        <f t="shared" si="148"/>
        <v>103350</v>
      </c>
      <c r="S6384" s="434">
        <v>202303</v>
      </c>
      <c r="T6384" s="168" t="s">
        <v>8470</v>
      </c>
      <c r="U6384" s="465"/>
      <c r="V6384" s="437"/>
      <c r="W6384" s="437"/>
      <c r="X6384" s="461">
        <v>44792</v>
      </c>
      <c r="Y6384" s="468"/>
    </row>
    <row r="6385" s="10" customFormat="1" customHeight="1" spans="1:25">
      <c r="A6385" s="459" t="s">
        <v>61</v>
      </c>
      <c r="B6385" s="459" t="s">
        <v>8399</v>
      </c>
      <c r="C6385" s="459" t="s">
        <v>2998</v>
      </c>
      <c r="D6385" s="459" t="s">
        <v>85</v>
      </c>
      <c r="E6385" s="63" t="s">
        <v>4128</v>
      </c>
      <c r="F6385" s="60" t="s">
        <v>8400</v>
      </c>
      <c r="G6385" s="60" t="s">
        <v>88</v>
      </c>
      <c r="H6385" s="45" t="s">
        <v>8406</v>
      </c>
      <c r="I6385" s="47" t="e">
        <f>VLOOKUP(H6385,'合同综合查询数据（3月返）'!$A:$A,1,FALSE)</f>
        <v>#N/A</v>
      </c>
      <c r="J6385" s="424" t="s">
        <v>90</v>
      </c>
      <c r="K6385" s="60" t="s">
        <v>8466</v>
      </c>
      <c r="L6385" s="164"/>
      <c r="M6385" s="429" t="s">
        <v>8467</v>
      </c>
      <c r="N6385" s="461">
        <v>44825</v>
      </c>
      <c r="O6385" s="60" t="s">
        <v>461</v>
      </c>
      <c r="P6385" s="475">
        <v>7950</v>
      </c>
      <c r="Q6385" s="475">
        <v>44</v>
      </c>
      <c r="R6385" s="69">
        <f t="shared" si="148"/>
        <v>349800</v>
      </c>
      <c r="S6385" s="434">
        <v>202303</v>
      </c>
      <c r="T6385" s="168" t="s">
        <v>8471</v>
      </c>
      <c r="U6385" s="465"/>
      <c r="V6385" s="437"/>
      <c r="W6385" s="437"/>
      <c r="X6385" s="461">
        <v>44792</v>
      </c>
      <c r="Y6385" s="468"/>
    </row>
    <row r="6386" s="10" customFormat="1" customHeight="1" spans="1:25">
      <c r="A6386" s="459" t="s">
        <v>61</v>
      </c>
      <c r="B6386" s="459" t="s">
        <v>8399</v>
      </c>
      <c r="C6386" s="459" t="s">
        <v>2998</v>
      </c>
      <c r="D6386" s="459" t="s">
        <v>85</v>
      </c>
      <c r="E6386" s="63" t="s">
        <v>4128</v>
      </c>
      <c r="F6386" s="60" t="s">
        <v>8400</v>
      </c>
      <c r="G6386" s="60" t="s">
        <v>88</v>
      </c>
      <c r="H6386" s="45" t="s">
        <v>8472</v>
      </c>
      <c r="I6386" s="47" t="e">
        <f>VLOOKUP(H6386,'合同综合查询数据（3月返）'!$A:$A,1,FALSE)</f>
        <v>#N/A</v>
      </c>
      <c r="J6386" s="424" t="s">
        <v>90</v>
      </c>
      <c r="K6386" s="60" t="s">
        <v>8466</v>
      </c>
      <c r="L6386" s="164"/>
      <c r="M6386" s="429" t="s">
        <v>8467</v>
      </c>
      <c r="N6386" s="461">
        <v>44825</v>
      </c>
      <c r="O6386" s="60" t="s">
        <v>457</v>
      </c>
      <c r="P6386" s="475">
        <v>3975</v>
      </c>
      <c r="Q6386" s="475">
        <v>1</v>
      </c>
      <c r="R6386" s="69">
        <f t="shared" si="148"/>
        <v>3975</v>
      </c>
      <c r="S6386" s="434">
        <v>202303</v>
      </c>
      <c r="T6386" s="168" t="s">
        <v>8473</v>
      </c>
      <c r="U6386" s="465"/>
      <c r="V6386" s="437"/>
      <c r="W6386" s="437"/>
      <c r="X6386" s="461">
        <v>44792</v>
      </c>
      <c r="Y6386" s="468"/>
    </row>
    <row r="6387" s="10" customFormat="1" customHeight="1" spans="1:25">
      <c r="A6387" s="459" t="s">
        <v>61</v>
      </c>
      <c r="B6387" s="459" t="s">
        <v>8399</v>
      </c>
      <c r="C6387" s="459" t="s">
        <v>2998</v>
      </c>
      <c r="D6387" s="459" t="s">
        <v>85</v>
      </c>
      <c r="E6387" s="63" t="s">
        <v>4128</v>
      </c>
      <c r="F6387" s="60" t="s">
        <v>8400</v>
      </c>
      <c r="G6387" s="60" t="s">
        <v>88</v>
      </c>
      <c r="H6387" s="45" t="s">
        <v>8406</v>
      </c>
      <c r="I6387" s="47" t="e">
        <f>VLOOKUP(H6387,'合同综合查询数据（3月返）'!$A:$A,1,FALSE)</f>
        <v>#N/A</v>
      </c>
      <c r="J6387" s="424" t="s">
        <v>90</v>
      </c>
      <c r="K6387" s="60" t="s">
        <v>8466</v>
      </c>
      <c r="L6387" s="164"/>
      <c r="M6387" s="429" t="s">
        <v>8467</v>
      </c>
      <c r="N6387" s="461">
        <v>44831</v>
      </c>
      <c r="O6387" s="60" t="s">
        <v>461</v>
      </c>
      <c r="P6387" s="475">
        <v>7950</v>
      </c>
      <c r="Q6387" s="475">
        <v>2</v>
      </c>
      <c r="R6387" s="69">
        <f t="shared" si="148"/>
        <v>15900</v>
      </c>
      <c r="S6387" s="434">
        <v>202303</v>
      </c>
      <c r="T6387" s="168" t="s">
        <v>8474</v>
      </c>
      <c r="U6387" s="465"/>
      <c r="V6387" s="437"/>
      <c r="W6387" s="437"/>
      <c r="X6387" s="461">
        <v>44792</v>
      </c>
      <c r="Y6387" s="468"/>
    </row>
    <row r="6388" s="10" customFormat="1" customHeight="1" spans="1:25">
      <c r="A6388" s="459" t="s">
        <v>61</v>
      </c>
      <c r="B6388" s="459" t="s">
        <v>8399</v>
      </c>
      <c r="C6388" s="459" t="s">
        <v>2998</v>
      </c>
      <c r="D6388" s="459" t="s">
        <v>85</v>
      </c>
      <c r="E6388" s="63" t="s">
        <v>4128</v>
      </c>
      <c r="F6388" s="60" t="s">
        <v>8400</v>
      </c>
      <c r="G6388" s="60" t="s">
        <v>88</v>
      </c>
      <c r="H6388" s="45" t="s">
        <v>8406</v>
      </c>
      <c r="I6388" s="47" t="e">
        <f>VLOOKUP(H6388,'合同综合查询数据（3月返）'!$A:$A,1,FALSE)</f>
        <v>#N/A</v>
      </c>
      <c r="J6388" s="424" t="s">
        <v>90</v>
      </c>
      <c r="K6388" s="60" t="s">
        <v>8466</v>
      </c>
      <c r="L6388" s="164"/>
      <c r="M6388" s="429" t="s">
        <v>8467</v>
      </c>
      <c r="N6388" s="461">
        <v>44888</v>
      </c>
      <c r="O6388" s="60" t="s">
        <v>461</v>
      </c>
      <c r="P6388" s="475">
        <v>7950</v>
      </c>
      <c r="Q6388" s="475">
        <v>7</v>
      </c>
      <c r="R6388" s="69">
        <f t="shared" si="148"/>
        <v>55650</v>
      </c>
      <c r="S6388" s="434">
        <v>202303</v>
      </c>
      <c r="T6388" s="168" t="s">
        <v>8475</v>
      </c>
      <c r="U6388" s="465"/>
      <c r="V6388" s="437"/>
      <c r="W6388" s="437"/>
      <c r="X6388" s="461">
        <v>44792</v>
      </c>
      <c r="Y6388" s="468"/>
    </row>
    <row r="6389" s="10" customFormat="1" customHeight="1" spans="1:25">
      <c r="A6389" s="459" t="s">
        <v>61</v>
      </c>
      <c r="B6389" s="459" t="s">
        <v>8399</v>
      </c>
      <c r="C6389" s="459" t="s">
        <v>2998</v>
      </c>
      <c r="D6389" s="459" t="s">
        <v>85</v>
      </c>
      <c r="E6389" s="63" t="s">
        <v>4128</v>
      </c>
      <c r="F6389" s="60" t="s">
        <v>8400</v>
      </c>
      <c r="G6389" s="60" t="s">
        <v>88</v>
      </c>
      <c r="H6389" s="45" t="s">
        <v>8406</v>
      </c>
      <c r="I6389" s="47" t="e">
        <f>VLOOKUP(H6389,'合同综合查询数据（3月返）'!$A:$A,1,FALSE)</f>
        <v>#N/A</v>
      </c>
      <c r="J6389" s="424" t="s">
        <v>90</v>
      </c>
      <c r="K6389" s="60" t="s">
        <v>8466</v>
      </c>
      <c r="L6389" s="164"/>
      <c r="M6389" s="429" t="s">
        <v>8467</v>
      </c>
      <c r="N6389" s="461">
        <v>44923</v>
      </c>
      <c r="O6389" s="60" t="s">
        <v>461</v>
      </c>
      <c r="P6389" s="475">
        <v>7950</v>
      </c>
      <c r="Q6389" s="475">
        <v>2</v>
      </c>
      <c r="R6389" s="69">
        <f t="shared" si="148"/>
        <v>15900</v>
      </c>
      <c r="S6389" s="434">
        <v>202303</v>
      </c>
      <c r="T6389" s="168" t="s">
        <v>8476</v>
      </c>
      <c r="U6389" s="465"/>
      <c r="V6389" s="437"/>
      <c r="W6389" s="437"/>
      <c r="X6389" s="461">
        <v>44792</v>
      </c>
      <c r="Y6389" s="468"/>
    </row>
    <row r="6390" s="10" customFormat="1" customHeight="1" spans="1:25">
      <c r="A6390" s="459" t="s">
        <v>61</v>
      </c>
      <c r="B6390" s="459" t="s">
        <v>8399</v>
      </c>
      <c r="C6390" s="459" t="s">
        <v>2998</v>
      </c>
      <c r="D6390" s="459" t="s">
        <v>85</v>
      </c>
      <c r="E6390" s="63" t="s">
        <v>4128</v>
      </c>
      <c r="F6390" s="60" t="s">
        <v>8400</v>
      </c>
      <c r="G6390" s="60" t="s">
        <v>88</v>
      </c>
      <c r="H6390" s="45" t="s">
        <v>8406</v>
      </c>
      <c r="I6390" s="47" t="e">
        <f>VLOOKUP(H6390,'合同综合查询数据（3月返）'!$A:$A,1,FALSE)</f>
        <v>#N/A</v>
      </c>
      <c r="J6390" s="424" t="s">
        <v>90</v>
      </c>
      <c r="K6390" s="60" t="s">
        <v>8466</v>
      </c>
      <c r="L6390" s="164"/>
      <c r="M6390" s="429" t="s">
        <v>8467</v>
      </c>
      <c r="N6390" s="461">
        <v>44956</v>
      </c>
      <c r="O6390" s="60" t="s">
        <v>461</v>
      </c>
      <c r="P6390" s="475">
        <v>7950</v>
      </c>
      <c r="Q6390" s="475">
        <v>3</v>
      </c>
      <c r="R6390" s="69">
        <f t="shared" si="148"/>
        <v>23850</v>
      </c>
      <c r="S6390" s="434">
        <v>202303</v>
      </c>
      <c r="T6390" s="168" t="s">
        <v>8477</v>
      </c>
      <c r="U6390" s="465"/>
      <c r="V6390" s="437"/>
      <c r="W6390" s="437"/>
      <c r="X6390" s="461">
        <v>44792</v>
      </c>
      <c r="Y6390" s="468"/>
    </row>
    <row r="6391" s="9" customFormat="1" customHeight="1" spans="1:25">
      <c r="A6391" s="446" t="s">
        <v>403</v>
      </c>
      <c r="B6391" s="446" t="s">
        <v>8192</v>
      </c>
      <c r="C6391" s="446" t="s">
        <v>110</v>
      </c>
      <c r="D6391" s="446" t="s">
        <v>6237</v>
      </c>
      <c r="E6391" s="105" t="s">
        <v>875</v>
      </c>
      <c r="F6391" s="477" t="s">
        <v>8478</v>
      </c>
      <c r="G6391" s="96" t="s">
        <v>88</v>
      </c>
      <c r="H6391" s="19" t="s">
        <v>8479</v>
      </c>
      <c r="I6391" s="23" t="e">
        <f>VLOOKUP(H6391,'合同综合查询数据（3月返）'!$A:$A,1,FALSE)</f>
        <v>#N/A</v>
      </c>
      <c r="J6391" s="96" t="s">
        <v>126</v>
      </c>
      <c r="K6391" s="96" t="s">
        <v>8480</v>
      </c>
      <c r="L6391" s="114"/>
      <c r="M6391" s="449" t="s">
        <v>8481</v>
      </c>
      <c r="N6391" s="450">
        <v>43205</v>
      </c>
      <c r="O6391" s="96" t="s">
        <v>1424</v>
      </c>
      <c r="P6391" s="463">
        <v>4000</v>
      </c>
      <c r="Q6391" s="463">
        <v>8</v>
      </c>
      <c r="R6391" s="119">
        <f t="shared" si="148"/>
        <v>32000</v>
      </c>
      <c r="S6391" s="456">
        <v>202303</v>
      </c>
      <c r="T6391" s="184" t="s">
        <v>8482</v>
      </c>
      <c r="U6391" s="457"/>
      <c r="V6391" s="458"/>
      <c r="W6391" s="458"/>
      <c r="X6391" s="190">
        <v>44774</v>
      </c>
      <c r="Y6391" s="38">
        <v>45138</v>
      </c>
    </row>
    <row r="6392" s="9" customFormat="1" customHeight="1" spans="1:25">
      <c r="A6392" s="446" t="s">
        <v>403</v>
      </c>
      <c r="B6392" s="446" t="s">
        <v>8192</v>
      </c>
      <c r="C6392" s="446" t="s">
        <v>110</v>
      </c>
      <c r="D6392" s="446" t="s">
        <v>6237</v>
      </c>
      <c r="E6392" s="105" t="s">
        <v>875</v>
      </c>
      <c r="F6392" s="477" t="s">
        <v>8478</v>
      </c>
      <c r="G6392" s="96" t="s">
        <v>88</v>
      </c>
      <c r="H6392" s="19" t="s">
        <v>8479</v>
      </c>
      <c r="I6392" s="23" t="e">
        <f>VLOOKUP(H6392,'合同综合查询数据（3月返）'!$A:$A,1,FALSE)</f>
        <v>#N/A</v>
      </c>
      <c r="J6392" s="96" t="s">
        <v>126</v>
      </c>
      <c r="K6392" s="96" t="s">
        <v>8480</v>
      </c>
      <c r="L6392" s="114"/>
      <c r="M6392" s="449" t="s">
        <v>8481</v>
      </c>
      <c r="N6392" s="450">
        <v>43205</v>
      </c>
      <c r="O6392" s="96" t="s">
        <v>1424</v>
      </c>
      <c r="P6392" s="463">
        <v>4000</v>
      </c>
      <c r="Q6392" s="463">
        <v>-8</v>
      </c>
      <c r="R6392" s="119">
        <f t="shared" si="148"/>
        <v>-32000</v>
      </c>
      <c r="S6392" s="456">
        <v>202303</v>
      </c>
      <c r="T6392" s="184" t="s">
        <v>8482</v>
      </c>
      <c r="U6392" s="457"/>
      <c r="V6392" s="458"/>
      <c r="W6392" s="458"/>
      <c r="X6392" s="190">
        <v>44774</v>
      </c>
      <c r="Y6392" s="38">
        <v>45138</v>
      </c>
    </row>
    <row r="6393" s="9" customFormat="1" customHeight="1" spans="1:25">
      <c r="A6393" s="446" t="s">
        <v>403</v>
      </c>
      <c r="B6393" s="446" t="s">
        <v>8192</v>
      </c>
      <c r="C6393" s="446" t="s">
        <v>110</v>
      </c>
      <c r="D6393" s="446" t="s">
        <v>6237</v>
      </c>
      <c r="E6393" s="105" t="s">
        <v>875</v>
      </c>
      <c r="F6393" s="477" t="s">
        <v>8478</v>
      </c>
      <c r="G6393" s="96" t="s">
        <v>88</v>
      </c>
      <c r="H6393" s="19" t="s">
        <v>8479</v>
      </c>
      <c r="I6393" s="23" t="e">
        <f>VLOOKUP(H6393,'合同综合查询数据（3月返）'!$A:$A,1,FALSE)</f>
        <v>#N/A</v>
      </c>
      <c r="J6393" s="96" t="s">
        <v>126</v>
      </c>
      <c r="K6393" s="96" t="s">
        <v>8483</v>
      </c>
      <c r="L6393" s="114"/>
      <c r="M6393" s="449" t="s">
        <v>8481</v>
      </c>
      <c r="N6393" s="450">
        <v>43344</v>
      </c>
      <c r="O6393" s="96" t="s">
        <v>1424</v>
      </c>
      <c r="P6393" s="463">
        <v>4000</v>
      </c>
      <c r="Q6393" s="463">
        <v>6</v>
      </c>
      <c r="R6393" s="119">
        <f t="shared" si="148"/>
        <v>24000</v>
      </c>
      <c r="S6393" s="456">
        <v>202303</v>
      </c>
      <c r="T6393" s="184"/>
      <c r="U6393" s="457"/>
      <c r="V6393" s="458"/>
      <c r="W6393" s="458"/>
      <c r="X6393" s="190">
        <v>44774</v>
      </c>
      <c r="Y6393" s="38">
        <v>45138</v>
      </c>
    </row>
    <row r="6394" s="9" customFormat="1" customHeight="1" spans="1:25">
      <c r="A6394" s="446" t="s">
        <v>403</v>
      </c>
      <c r="B6394" s="446" t="s">
        <v>8192</v>
      </c>
      <c r="C6394" s="446" t="s">
        <v>110</v>
      </c>
      <c r="D6394" s="446" t="s">
        <v>6237</v>
      </c>
      <c r="E6394" s="105" t="s">
        <v>875</v>
      </c>
      <c r="F6394" s="477" t="s">
        <v>8478</v>
      </c>
      <c r="G6394" s="96" t="s">
        <v>88</v>
      </c>
      <c r="H6394" s="19" t="s">
        <v>8479</v>
      </c>
      <c r="I6394" s="23" t="e">
        <f>VLOOKUP(H6394,'合同综合查询数据（3月返）'!$A:$A,1,FALSE)</f>
        <v>#N/A</v>
      </c>
      <c r="J6394" s="96" t="s">
        <v>126</v>
      </c>
      <c r="K6394" s="96" t="s">
        <v>8484</v>
      </c>
      <c r="L6394" s="114"/>
      <c r="M6394" s="449" t="s">
        <v>8481</v>
      </c>
      <c r="N6394" s="450">
        <v>43405</v>
      </c>
      <c r="O6394" s="96" t="s">
        <v>1424</v>
      </c>
      <c r="P6394" s="463">
        <v>4000</v>
      </c>
      <c r="Q6394" s="463">
        <v>6</v>
      </c>
      <c r="R6394" s="119">
        <f t="shared" si="148"/>
        <v>24000</v>
      </c>
      <c r="S6394" s="456">
        <v>202303</v>
      </c>
      <c r="T6394" s="184"/>
      <c r="U6394" s="457"/>
      <c r="V6394" s="458"/>
      <c r="W6394" s="458"/>
      <c r="X6394" s="190">
        <v>44774</v>
      </c>
      <c r="Y6394" s="38">
        <v>45138</v>
      </c>
    </row>
    <row r="6395" s="9" customFormat="1" customHeight="1" spans="1:25">
      <c r="A6395" s="446" t="s">
        <v>403</v>
      </c>
      <c r="B6395" s="446" t="s">
        <v>8192</v>
      </c>
      <c r="C6395" s="446" t="s">
        <v>110</v>
      </c>
      <c r="D6395" s="446" t="s">
        <v>6237</v>
      </c>
      <c r="E6395" s="105" t="s">
        <v>875</v>
      </c>
      <c r="F6395" s="477" t="s">
        <v>8478</v>
      </c>
      <c r="G6395" s="96" t="s">
        <v>88</v>
      </c>
      <c r="H6395" s="19" t="s">
        <v>8479</v>
      </c>
      <c r="I6395" s="23" t="e">
        <f>VLOOKUP(H6395,'合同综合查询数据（3月返）'!$A:$A,1,FALSE)</f>
        <v>#N/A</v>
      </c>
      <c r="J6395" s="96" t="s">
        <v>126</v>
      </c>
      <c r="K6395" s="96" t="s">
        <v>8484</v>
      </c>
      <c r="L6395" s="114"/>
      <c r="M6395" s="449" t="s">
        <v>8481</v>
      </c>
      <c r="N6395" s="450">
        <v>44561</v>
      </c>
      <c r="O6395" s="96" t="s">
        <v>1424</v>
      </c>
      <c r="P6395" s="463">
        <v>4000</v>
      </c>
      <c r="Q6395" s="463">
        <v>-6</v>
      </c>
      <c r="R6395" s="119">
        <f t="shared" si="148"/>
        <v>-24000</v>
      </c>
      <c r="S6395" s="456">
        <v>202303</v>
      </c>
      <c r="T6395" s="184" t="s">
        <v>8485</v>
      </c>
      <c r="U6395" s="457"/>
      <c r="V6395" s="458"/>
      <c r="W6395" s="458"/>
      <c r="X6395" s="190">
        <v>44774</v>
      </c>
      <c r="Y6395" s="38">
        <v>45138</v>
      </c>
    </row>
    <row r="6396" s="9" customFormat="1" customHeight="1" spans="1:25">
      <c r="A6396" s="446" t="s">
        <v>403</v>
      </c>
      <c r="B6396" s="446" t="s">
        <v>8192</v>
      </c>
      <c r="C6396" s="446" t="s">
        <v>110</v>
      </c>
      <c r="D6396" s="446" t="s">
        <v>6237</v>
      </c>
      <c r="E6396" s="105" t="s">
        <v>875</v>
      </c>
      <c r="F6396" s="477" t="s">
        <v>8478</v>
      </c>
      <c r="G6396" s="96" t="s">
        <v>88</v>
      </c>
      <c r="H6396" s="19" t="s">
        <v>8479</v>
      </c>
      <c r="I6396" s="23" t="e">
        <f>VLOOKUP(H6396,'合同综合查询数据（3月返）'!$A:$A,1,FALSE)</f>
        <v>#N/A</v>
      </c>
      <c r="J6396" s="96" t="s">
        <v>126</v>
      </c>
      <c r="K6396" s="96" t="s">
        <v>8483</v>
      </c>
      <c r="L6396" s="114"/>
      <c r="M6396" s="449" t="s">
        <v>8481</v>
      </c>
      <c r="N6396" s="450">
        <v>44681</v>
      </c>
      <c r="O6396" s="96" t="s">
        <v>1424</v>
      </c>
      <c r="P6396" s="463">
        <v>4000</v>
      </c>
      <c r="Q6396" s="463">
        <v>-4</v>
      </c>
      <c r="R6396" s="119">
        <f t="shared" si="148"/>
        <v>-16000</v>
      </c>
      <c r="S6396" s="456">
        <v>202303</v>
      </c>
      <c r="T6396" s="184" t="s">
        <v>8486</v>
      </c>
      <c r="U6396" s="457"/>
      <c r="V6396" s="458"/>
      <c r="W6396" s="458"/>
      <c r="X6396" s="190">
        <v>44774</v>
      </c>
      <c r="Y6396" s="38">
        <v>45138</v>
      </c>
    </row>
    <row r="6397" s="9" customFormat="1" customHeight="1" spans="1:25">
      <c r="A6397" s="446" t="s">
        <v>403</v>
      </c>
      <c r="B6397" s="446" t="s">
        <v>8192</v>
      </c>
      <c r="C6397" s="446" t="s">
        <v>110</v>
      </c>
      <c r="D6397" s="446" t="s">
        <v>6237</v>
      </c>
      <c r="E6397" s="105" t="s">
        <v>875</v>
      </c>
      <c r="F6397" s="477" t="s">
        <v>8478</v>
      </c>
      <c r="G6397" s="96" t="s">
        <v>31</v>
      </c>
      <c r="H6397" s="19" t="s">
        <v>8479</v>
      </c>
      <c r="I6397" s="23" t="e">
        <f>VLOOKUP(H6397,'合同综合查询数据（3月返）'!$A:$A,1,FALSE)</f>
        <v>#N/A</v>
      </c>
      <c r="J6397" s="448" t="s">
        <v>7564</v>
      </c>
      <c r="K6397" s="96" t="s">
        <v>114</v>
      </c>
      <c r="L6397" s="114"/>
      <c r="M6397" s="449" t="s">
        <v>8481</v>
      </c>
      <c r="N6397" s="450">
        <v>43405</v>
      </c>
      <c r="O6397" s="96" t="s">
        <v>37</v>
      </c>
      <c r="P6397" s="463">
        <v>0</v>
      </c>
      <c r="Q6397" s="463">
        <v>576</v>
      </c>
      <c r="R6397" s="119">
        <f t="shared" si="148"/>
        <v>0</v>
      </c>
      <c r="S6397" s="456">
        <v>202303</v>
      </c>
      <c r="T6397" s="184" t="s">
        <v>8487</v>
      </c>
      <c r="U6397" s="457"/>
      <c r="V6397" s="458"/>
      <c r="W6397" s="458"/>
      <c r="X6397" s="190">
        <v>44774</v>
      </c>
      <c r="Y6397" s="38">
        <v>45138</v>
      </c>
    </row>
    <row r="6398" s="9" customFormat="1" customHeight="1" spans="1:25">
      <c r="A6398" s="446" t="s">
        <v>403</v>
      </c>
      <c r="B6398" s="446" t="s">
        <v>8192</v>
      </c>
      <c r="C6398" s="446" t="s">
        <v>110</v>
      </c>
      <c r="D6398" s="446" t="s">
        <v>6237</v>
      </c>
      <c r="E6398" s="105" t="s">
        <v>875</v>
      </c>
      <c r="F6398" s="477" t="s">
        <v>8478</v>
      </c>
      <c r="G6398" s="96" t="s">
        <v>31</v>
      </c>
      <c r="H6398" s="19" t="s">
        <v>8479</v>
      </c>
      <c r="I6398" s="23" t="e">
        <f>VLOOKUP(H6398,'合同综合查询数据（3月返）'!$A:$A,1,FALSE)</f>
        <v>#N/A</v>
      </c>
      <c r="J6398" s="448" t="s">
        <v>7564</v>
      </c>
      <c r="K6398" s="96" t="s">
        <v>8484</v>
      </c>
      <c r="L6398" s="114"/>
      <c r="M6398" s="449" t="s">
        <v>8481</v>
      </c>
      <c r="N6398" s="450">
        <v>44561</v>
      </c>
      <c r="O6398" s="96" t="s">
        <v>37</v>
      </c>
      <c r="P6398" s="463">
        <v>0</v>
      </c>
      <c r="Q6398" s="463">
        <v>-288</v>
      </c>
      <c r="R6398" s="119">
        <f t="shared" si="148"/>
        <v>0</v>
      </c>
      <c r="S6398" s="456">
        <v>202303</v>
      </c>
      <c r="T6398" s="184" t="s">
        <v>8488</v>
      </c>
      <c r="U6398" s="457"/>
      <c r="V6398" s="458"/>
      <c r="W6398" s="458"/>
      <c r="X6398" s="190">
        <v>44774</v>
      </c>
      <c r="Y6398" s="38">
        <v>45138</v>
      </c>
    </row>
    <row r="6399" s="9" customFormat="1" customHeight="1" spans="1:25">
      <c r="A6399" s="446" t="s">
        <v>403</v>
      </c>
      <c r="B6399" s="446" t="s">
        <v>8192</v>
      </c>
      <c r="C6399" s="446" t="s">
        <v>110</v>
      </c>
      <c r="D6399" s="446" t="s">
        <v>6237</v>
      </c>
      <c r="E6399" s="105" t="s">
        <v>875</v>
      </c>
      <c r="F6399" s="96" t="s">
        <v>8489</v>
      </c>
      <c r="G6399" s="96" t="s">
        <v>88</v>
      </c>
      <c r="H6399" s="19" t="s">
        <v>8479</v>
      </c>
      <c r="I6399" s="23" t="e">
        <f>VLOOKUP(H6399,'合同综合查询数据（3月返）'!$A:$A,1,FALSE)</f>
        <v>#N/A</v>
      </c>
      <c r="J6399" s="96" t="s">
        <v>126</v>
      </c>
      <c r="K6399" s="96" t="s">
        <v>8490</v>
      </c>
      <c r="L6399" s="96"/>
      <c r="M6399" s="449" t="s">
        <v>8491</v>
      </c>
      <c r="N6399" s="450">
        <v>43812</v>
      </c>
      <c r="O6399" s="96" t="s">
        <v>1424</v>
      </c>
      <c r="P6399" s="463">
        <v>4000</v>
      </c>
      <c r="Q6399" s="463">
        <v>2</v>
      </c>
      <c r="R6399" s="119">
        <f t="shared" si="148"/>
        <v>8000</v>
      </c>
      <c r="S6399" s="456">
        <v>202303</v>
      </c>
      <c r="T6399" s="184" t="s">
        <v>8492</v>
      </c>
      <c r="U6399" s="457"/>
      <c r="V6399" s="458"/>
      <c r="W6399" s="458"/>
      <c r="X6399" s="190">
        <v>44774</v>
      </c>
      <c r="Y6399" s="38">
        <v>45138</v>
      </c>
    </row>
    <row r="6400" s="9" customFormat="1" customHeight="1" spans="1:25">
      <c r="A6400" s="446" t="s">
        <v>403</v>
      </c>
      <c r="B6400" s="446" t="s">
        <v>8192</v>
      </c>
      <c r="C6400" s="446" t="s">
        <v>110</v>
      </c>
      <c r="D6400" s="446" t="s">
        <v>6237</v>
      </c>
      <c r="E6400" s="105" t="s">
        <v>875</v>
      </c>
      <c r="F6400" s="96" t="s">
        <v>8489</v>
      </c>
      <c r="G6400" s="96" t="s">
        <v>88</v>
      </c>
      <c r="H6400" s="19" t="s">
        <v>8479</v>
      </c>
      <c r="I6400" s="23" t="e">
        <f>VLOOKUP(H6400,'合同综合查询数据（3月返）'!$A:$A,1,FALSE)</f>
        <v>#N/A</v>
      </c>
      <c r="J6400" s="96" t="s">
        <v>126</v>
      </c>
      <c r="K6400" s="96" t="s">
        <v>8493</v>
      </c>
      <c r="L6400" s="96"/>
      <c r="M6400" s="449" t="s">
        <v>8491</v>
      </c>
      <c r="N6400" s="450">
        <v>43709</v>
      </c>
      <c r="O6400" s="96" t="s">
        <v>1424</v>
      </c>
      <c r="P6400" s="463">
        <v>4000</v>
      </c>
      <c r="Q6400" s="463">
        <v>9</v>
      </c>
      <c r="R6400" s="119">
        <f t="shared" si="148"/>
        <v>36000</v>
      </c>
      <c r="S6400" s="456">
        <v>202303</v>
      </c>
      <c r="T6400" s="184" t="s">
        <v>8494</v>
      </c>
      <c r="U6400" s="457"/>
      <c r="V6400" s="458"/>
      <c r="W6400" s="458"/>
      <c r="X6400" s="190">
        <v>44774</v>
      </c>
      <c r="Y6400" s="38">
        <v>45138</v>
      </c>
    </row>
    <row r="6401" s="9" customFormat="1" customHeight="1" spans="1:25">
      <c r="A6401" s="446" t="s">
        <v>403</v>
      </c>
      <c r="B6401" s="446" t="s">
        <v>8192</v>
      </c>
      <c r="C6401" s="446" t="s">
        <v>110</v>
      </c>
      <c r="D6401" s="446" t="s">
        <v>6237</v>
      </c>
      <c r="E6401" s="105" t="s">
        <v>875</v>
      </c>
      <c r="F6401" s="96" t="s">
        <v>8489</v>
      </c>
      <c r="G6401" s="96" t="s">
        <v>88</v>
      </c>
      <c r="H6401" s="19" t="s">
        <v>8479</v>
      </c>
      <c r="I6401" s="23" t="e">
        <f>VLOOKUP(H6401,'合同综合查询数据（3月返）'!$A:$A,1,FALSE)</f>
        <v>#N/A</v>
      </c>
      <c r="J6401" s="96" t="s">
        <v>126</v>
      </c>
      <c r="K6401" s="96" t="s">
        <v>8493</v>
      </c>
      <c r="L6401" s="96"/>
      <c r="M6401" s="449" t="s">
        <v>8491</v>
      </c>
      <c r="N6401" s="450">
        <v>44286</v>
      </c>
      <c r="O6401" s="96" t="s">
        <v>1424</v>
      </c>
      <c r="P6401" s="463">
        <v>4000</v>
      </c>
      <c r="Q6401" s="463">
        <v>-9</v>
      </c>
      <c r="R6401" s="119">
        <f t="shared" si="148"/>
        <v>-36000</v>
      </c>
      <c r="S6401" s="456">
        <v>202303</v>
      </c>
      <c r="T6401" s="184" t="s">
        <v>8495</v>
      </c>
      <c r="U6401" s="457"/>
      <c r="V6401" s="458"/>
      <c r="W6401" s="458"/>
      <c r="X6401" s="190">
        <v>44774</v>
      </c>
      <c r="Y6401" s="38">
        <v>45138</v>
      </c>
    </row>
    <row r="6402" s="9" customFormat="1" customHeight="1" spans="1:25">
      <c r="A6402" s="446" t="s">
        <v>403</v>
      </c>
      <c r="B6402" s="446" t="s">
        <v>8192</v>
      </c>
      <c r="C6402" s="446" t="s">
        <v>110</v>
      </c>
      <c r="D6402" s="446" t="s">
        <v>6237</v>
      </c>
      <c r="E6402" s="105" t="s">
        <v>875</v>
      </c>
      <c r="F6402" s="96" t="s">
        <v>8489</v>
      </c>
      <c r="G6402" s="96" t="s">
        <v>88</v>
      </c>
      <c r="H6402" s="19" t="s">
        <v>8479</v>
      </c>
      <c r="I6402" s="23" t="e">
        <f>VLOOKUP(H6402,'合同综合查询数据（3月返）'!$A:$A,1,FALSE)</f>
        <v>#N/A</v>
      </c>
      <c r="J6402" s="96" t="s">
        <v>126</v>
      </c>
      <c r="K6402" s="96" t="s">
        <v>8490</v>
      </c>
      <c r="L6402" s="96"/>
      <c r="M6402" s="449" t="s">
        <v>8491</v>
      </c>
      <c r="N6402" s="450">
        <v>43678</v>
      </c>
      <c r="O6402" s="96" t="s">
        <v>1424</v>
      </c>
      <c r="P6402" s="463">
        <v>4000</v>
      </c>
      <c r="Q6402" s="463">
        <v>6</v>
      </c>
      <c r="R6402" s="119">
        <f t="shared" si="148"/>
        <v>24000</v>
      </c>
      <c r="S6402" s="456">
        <v>202303</v>
      </c>
      <c r="T6402" s="184" t="s">
        <v>8496</v>
      </c>
      <c r="U6402" s="457"/>
      <c r="V6402" s="458"/>
      <c r="W6402" s="458"/>
      <c r="X6402" s="190">
        <v>44774</v>
      </c>
      <c r="Y6402" s="38">
        <v>45138</v>
      </c>
    </row>
    <row r="6403" s="9" customFormat="1" customHeight="1" spans="1:25">
      <c r="A6403" s="446" t="s">
        <v>403</v>
      </c>
      <c r="B6403" s="446" t="s">
        <v>8192</v>
      </c>
      <c r="C6403" s="446" t="s">
        <v>110</v>
      </c>
      <c r="D6403" s="446" t="s">
        <v>6237</v>
      </c>
      <c r="E6403" s="105" t="s">
        <v>875</v>
      </c>
      <c r="F6403" s="96" t="s">
        <v>8489</v>
      </c>
      <c r="G6403" s="96" t="s">
        <v>88</v>
      </c>
      <c r="H6403" s="19" t="s">
        <v>8479</v>
      </c>
      <c r="I6403" s="23" t="e">
        <f>VLOOKUP(H6403,'合同综合查询数据（3月返）'!$A:$A,1,FALSE)</f>
        <v>#N/A</v>
      </c>
      <c r="J6403" s="96" t="s">
        <v>126</v>
      </c>
      <c r="K6403" s="96" t="s">
        <v>8490</v>
      </c>
      <c r="L6403" s="96"/>
      <c r="M6403" s="449" t="s">
        <v>8491</v>
      </c>
      <c r="N6403" s="450">
        <v>43837</v>
      </c>
      <c r="O6403" s="96" t="s">
        <v>1424</v>
      </c>
      <c r="P6403" s="463">
        <v>4000</v>
      </c>
      <c r="Q6403" s="463">
        <v>2</v>
      </c>
      <c r="R6403" s="119">
        <f t="shared" si="148"/>
        <v>8000</v>
      </c>
      <c r="S6403" s="456">
        <v>202303</v>
      </c>
      <c r="T6403" s="184" t="s">
        <v>8497</v>
      </c>
      <c r="U6403" s="457"/>
      <c r="V6403" s="458"/>
      <c r="W6403" s="458"/>
      <c r="X6403" s="190">
        <v>44774</v>
      </c>
      <c r="Y6403" s="38">
        <v>45138</v>
      </c>
    </row>
    <row r="6404" s="9" customFormat="1" customHeight="1" spans="1:25">
      <c r="A6404" s="446" t="s">
        <v>403</v>
      </c>
      <c r="B6404" s="446" t="s">
        <v>8192</v>
      </c>
      <c r="C6404" s="446" t="s">
        <v>110</v>
      </c>
      <c r="D6404" s="446" t="s">
        <v>6237</v>
      </c>
      <c r="E6404" s="105" t="s">
        <v>875</v>
      </c>
      <c r="F6404" s="96" t="s">
        <v>8489</v>
      </c>
      <c r="G6404" s="96" t="s">
        <v>88</v>
      </c>
      <c r="H6404" s="19" t="s">
        <v>8479</v>
      </c>
      <c r="I6404" s="23" t="e">
        <f>VLOOKUP(H6404,'合同综合查询数据（3月返）'!$A:$A,1,FALSE)</f>
        <v>#N/A</v>
      </c>
      <c r="J6404" s="96" t="s">
        <v>126</v>
      </c>
      <c r="K6404" s="96" t="s">
        <v>8490</v>
      </c>
      <c r="L6404" s="96"/>
      <c r="M6404" s="449" t="s">
        <v>8491</v>
      </c>
      <c r="N6404" s="450">
        <v>44317</v>
      </c>
      <c r="O6404" s="96" t="s">
        <v>1424</v>
      </c>
      <c r="P6404" s="463">
        <v>4000</v>
      </c>
      <c r="Q6404" s="463">
        <v>1</v>
      </c>
      <c r="R6404" s="119">
        <f t="shared" si="148"/>
        <v>4000</v>
      </c>
      <c r="S6404" s="456">
        <v>202303</v>
      </c>
      <c r="T6404" s="184" t="s">
        <v>8498</v>
      </c>
      <c r="U6404" s="457"/>
      <c r="V6404" s="458"/>
      <c r="W6404" s="458"/>
      <c r="X6404" s="190">
        <v>44774</v>
      </c>
      <c r="Y6404" s="38">
        <v>45138</v>
      </c>
    </row>
    <row r="6405" s="9" customFormat="1" customHeight="1" spans="1:25">
      <c r="A6405" s="446" t="s">
        <v>403</v>
      </c>
      <c r="B6405" s="446" t="s">
        <v>8192</v>
      </c>
      <c r="C6405" s="446" t="s">
        <v>110</v>
      </c>
      <c r="D6405" s="446" t="s">
        <v>6237</v>
      </c>
      <c r="E6405" s="105" t="s">
        <v>875</v>
      </c>
      <c r="F6405" s="96" t="s">
        <v>8489</v>
      </c>
      <c r="G6405" s="96" t="s">
        <v>88</v>
      </c>
      <c r="H6405" s="19" t="s">
        <v>8479</v>
      </c>
      <c r="I6405" s="23" t="e">
        <f>VLOOKUP(H6405,'合同综合查询数据（3月返）'!$A:$A,1,FALSE)</f>
        <v>#N/A</v>
      </c>
      <c r="J6405" s="96" t="s">
        <v>126</v>
      </c>
      <c r="K6405" s="96" t="s">
        <v>8490</v>
      </c>
      <c r="L6405" s="96"/>
      <c r="M6405" s="449" t="s">
        <v>8491</v>
      </c>
      <c r="N6405" s="450">
        <v>44317</v>
      </c>
      <c r="O6405" s="96" t="s">
        <v>1424</v>
      </c>
      <c r="P6405" s="463">
        <v>4000</v>
      </c>
      <c r="Q6405" s="463">
        <v>2</v>
      </c>
      <c r="R6405" s="119">
        <f t="shared" si="148"/>
        <v>8000</v>
      </c>
      <c r="S6405" s="456">
        <v>202303</v>
      </c>
      <c r="T6405" s="184" t="s">
        <v>8499</v>
      </c>
      <c r="U6405" s="457"/>
      <c r="V6405" s="458"/>
      <c r="W6405" s="458"/>
      <c r="X6405" s="190">
        <v>44774</v>
      </c>
      <c r="Y6405" s="38">
        <v>45138</v>
      </c>
    </row>
    <row r="6406" s="9" customFormat="1" customHeight="1" spans="1:25">
      <c r="A6406" s="446" t="s">
        <v>403</v>
      </c>
      <c r="B6406" s="446" t="s">
        <v>8192</v>
      </c>
      <c r="C6406" s="446" t="s">
        <v>110</v>
      </c>
      <c r="D6406" s="446" t="s">
        <v>6237</v>
      </c>
      <c r="E6406" s="105" t="s">
        <v>875</v>
      </c>
      <c r="F6406" s="96" t="s">
        <v>8489</v>
      </c>
      <c r="G6406" s="96" t="s">
        <v>31</v>
      </c>
      <c r="H6406" s="19" t="s">
        <v>8479</v>
      </c>
      <c r="I6406" s="23" t="e">
        <f>VLOOKUP(H6406,'合同综合查询数据（3月返）'!$A:$A,1,FALSE)</f>
        <v>#N/A</v>
      </c>
      <c r="J6406" s="448" t="s">
        <v>7564</v>
      </c>
      <c r="K6406" s="96" t="s">
        <v>8490</v>
      </c>
      <c r="L6406" s="96"/>
      <c r="M6406" s="449" t="s">
        <v>8491</v>
      </c>
      <c r="N6406" s="450">
        <v>44295</v>
      </c>
      <c r="O6406" s="96"/>
      <c r="P6406" s="463">
        <v>0</v>
      </c>
      <c r="Q6406" s="463">
        <v>128</v>
      </c>
      <c r="R6406" s="119">
        <f t="shared" si="148"/>
        <v>0</v>
      </c>
      <c r="S6406" s="456">
        <v>202303</v>
      </c>
      <c r="T6406" s="184" t="s">
        <v>8500</v>
      </c>
      <c r="U6406" s="457"/>
      <c r="V6406" s="458"/>
      <c r="W6406" s="458"/>
      <c r="X6406" s="190">
        <v>44774</v>
      </c>
      <c r="Y6406" s="38">
        <v>45138</v>
      </c>
    </row>
    <row r="6407" s="9" customFormat="1" customHeight="1" spans="1:25">
      <c r="A6407" s="446" t="s">
        <v>403</v>
      </c>
      <c r="B6407" s="446" t="s">
        <v>8192</v>
      </c>
      <c r="C6407" s="446" t="s">
        <v>110</v>
      </c>
      <c r="D6407" s="446" t="s">
        <v>6237</v>
      </c>
      <c r="E6407" s="105" t="s">
        <v>875</v>
      </c>
      <c r="F6407" s="96" t="s">
        <v>8489</v>
      </c>
      <c r="G6407" s="96" t="s">
        <v>31</v>
      </c>
      <c r="H6407" s="19" t="s">
        <v>8479</v>
      </c>
      <c r="I6407" s="23" t="e">
        <f>VLOOKUP(H6407,'合同综合查询数据（3月返）'!$A:$A,1,FALSE)</f>
        <v>#N/A</v>
      </c>
      <c r="J6407" s="448" t="s">
        <v>7564</v>
      </c>
      <c r="K6407" s="96" t="s">
        <v>8490</v>
      </c>
      <c r="L6407" s="96"/>
      <c r="M6407" s="449" t="s">
        <v>8491</v>
      </c>
      <c r="N6407" s="450">
        <v>44317</v>
      </c>
      <c r="O6407" s="96"/>
      <c r="P6407" s="463">
        <v>0</v>
      </c>
      <c r="Q6407" s="463">
        <v>256</v>
      </c>
      <c r="R6407" s="119">
        <f t="shared" si="148"/>
        <v>0</v>
      </c>
      <c r="S6407" s="456">
        <v>202303</v>
      </c>
      <c r="T6407" s="184" t="s">
        <v>8501</v>
      </c>
      <c r="U6407" s="457"/>
      <c r="V6407" s="458"/>
      <c r="W6407" s="458"/>
      <c r="X6407" s="190">
        <v>44774</v>
      </c>
      <c r="Y6407" s="38">
        <v>45138</v>
      </c>
    </row>
    <row r="6408" s="9" customFormat="1" customHeight="1" spans="1:25">
      <c r="A6408" s="446" t="s">
        <v>403</v>
      </c>
      <c r="B6408" s="446" t="s">
        <v>8192</v>
      </c>
      <c r="C6408" s="446" t="s">
        <v>110</v>
      </c>
      <c r="D6408" s="446" t="s">
        <v>6237</v>
      </c>
      <c r="E6408" s="105" t="s">
        <v>875</v>
      </c>
      <c r="F6408" s="96" t="s">
        <v>8489</v>
      </c>
      <c r="G6408" s="96" t="s">
        <v>31</v>
      </c>
      <c r="H6408" s="19" t="s">
        <v>8479</v>
      </c>
      <c r="I6408" s="23" t="e">
        <f>VLOOKUP(H6408,'合同综合查询数据（3月返）'!$A:$A,1,FALSE)</f>
        <v>#N/A</v>
      </c>
      <c r="J6408" s="448" t="s">
        <v>7564</v>
      </c>
      <c r="K6408" s="96" t="s">
        <v>8502</v>
      </c>
      <c r="L6408" s="96"/>
      <c r="M6408" s="449" t="s">
        <v>8491</v>
      </c>
      <c r="N6408" s="450">
        <v>43952</v>
      </c>
      <c r="O6408" s="96"/>
      <c r="P6408" s="463">
        <v>0</v>
      </c>
      <c r="Q6408" s="463">
        <v>864</v>
      </c>
      <c r="R6408" s="119">
        <f t="shared" si="148"/>
        <v>0</v>
      </c>
      <c r="S6408" s="456">
        <v>202303</v>
      </c>
      <c r="T6408" s="184" t="s">
        <v>8503</v>
      </c>
      <c r="U6408" s="457"/>
      <c r="V6408" s="458"/>
      <c r="W6408" s="458"/>
      <c r="X6408" s="190">
        <v>44774</v>
      </c>
      <c r="Y6408" s="38">
        <v>45138</v>
      </c>
    </row>
    <row r="6409" s="9" customFormat="1" customHeight="1" spans="1:25">
      <c r="A6409" s="446" t="s">
        <v>403</v>
      </c>
      <c r="B6409" s="446" t="s">
        <v>8192</v>
      </c>
      <c r="C6409" s="446" t="s">
        <v>110</v>
      </c>
      <c r="D6409" s="446" t="s">
        <v>6237</v>
      </c>
      <c r="E6409" s="105" t="s">
        <v>875</v>
      </c>
      <c r="F6409" s="96" t="s">
        <v>8489</v>
      </c>
      <c r="G6409" s="96" t="s">
        <v>31</v>
      </c>
      <c r="H6409" s="19" t="s">
        <v>8479</v>
      </c>
      <c r="I6409" s="23" t="e">
        <f>VLOOKUP(H6409,'合同综合查询数据（3月返）'!$A:$A,1,FALSE)</f>
        <v>#N/A</v>
      </c>
      <c r="J6409" s="448" t="s">
        <v>7564</v>
      </c>
      <c r="K6409" s="96" t="s">
        <v>8493</v>
      </c>
      <c r="L6409" s="96"/>
      <c r="M6409" s="449" t="s">
        <v>8491</v>
      </c>
      <c r="N6409" s="450">
        <v>43952</v>
      </c>
      <c r="O6409" s="96"/>
      <c r="P6409" s="463">
        <v>0</v>
      </c>
      <c r="Q6409" s="463">
        <v>-288</v>
      </c>
      <c r="R6409" s="119">
        <f t="shared" si="148"/>
        <v>0</v>
      </c>
      <c r="S6409" s="456">
        <v>202303</v>
      </c>
      <c r="T6409" s="184" t="s">
        <v>8504</v>
      </c>
      <c r="U6409" s="457"/>
      <c r="V6409" s="458"/>
      <c r="W6409" s="458"/>
      <c r="X6409" s="190">
        <v>44774</v>
      </c>
      <c r="Y6409" s="38">
        <v>45138</v>
      </c>
    </row>
    <row r="6410" s="9" customFormat="1" customHeight="1" spans="1:25">
      <c r="A6410" s="446" t="s">
        <v>403</v>
      </c>
      <c r="B6410" s="446" t="s">
        <v>8192</v>
      </c>
      <c r="C6410" s="446" t="s">
        <v>110</v>
      </c>
      <c r="D6410" s="446" t="s">
        <v>6237</v>
      </c>
      <c r="E6410" s="105" t="s">
        <v>875</v>
      </c>
      <c r="F6410" s="96" t="s">
        <v>8489</v>
      </c>
      <c r="G6410" s="96" t="s">
        <v>31</v>
      </c>
      <c r="H6410" s="19" t="s">
        <v>8479</v>
      </c>
      <c r="I6410" s="23" t="e">
        <f>VLOOKUP(H6410,'合同综合查询数据（3月返）'!$A:$A,1,FALSE)</f>
        <v>#N/A</v>
      </c>
      <c r="J6410" s="448" t="s">
        <v>7564</v>
      </c>
      <c r="K6410" s="96" t="s">
        <v>8505</v>
      </c>
      <c r="L6410" s="96"/>
      <c r="M6410" s="449" t="s">
        <v>8491</v>
      </c>
      <c r="N6410" s="450">
        <v>43952</v>
      </c>
      <c r="O6410" s="96"/>
      <c r="P6410" s="463">
        <v>0</v>
      </c>
      <c r="Q6410" s="463">
        <v>-288</v>
      </c>
      <c r="R6410" s="119">
        <f t="shared" si="148"/>
        <v>0</v>
      </c>
      <c r="S6410" s="456">
        <v>202303</v>
      </c>
      <c r="T6410" s="184" t="s">
        <v>8506</v>
      </c>
      <c r="U6410" s="457"/>
      <c r="V6410" s="458"/>
      <c r="W6410" s="458"/>
      <c r="X6410" s="190">
        <v>44774</v>
      </c>
      <c r="Y6410" s="38">
        <v>45138</v>
      </c>
    </row>
    <row r="6411" s="9" customFormat="1" customHeight="1" spans="1:25">
      <c r="A6411" s="446" t="s">
        <v>403</v>
      </c>
      <c r="B6411" s="446" t="s">
        <v>8192</v>
      </c>
      <c r="C6411" s="446" t="s">
        <v>110</v>
      </c>
      <c r="D6411" s="446" t="s">
        <v>6237</v>
      </c>
      <c r="E6411" s="105" t="s">
        <v>875</v>
      </c>
      <c r="F6411" s="96" t="s">
        <v>8489</v>
      </c>
      <c r="G6411" s="96" t="s">
        <v>31</v>
      </c>
      <c r="H6411" s="19" t="s">
        <v>8479</v>
      </c>
      <c r="I6411" s="23" t="e">
        <f>VLOOKUP(H6411,'合同综合查询数据（3月返）'!$A:$A,1,FALSE)</f>
        <v>#N/A</v>
      </c>
      <c r="J6411" s="96" t="s">
        <v>7564</v>
      </c>
      <c r="K6411" s="96" t="s">
        <v>8490</v>
      </c>
      <c r="L6411" s="96"/>
      <c r="M6411" s="449" t="s">
        <v>8491</v>
      </c>
      <c r="N6411" s="450">
        <v>44756</v>
      </c>
      <c r="O6411" s="96"/>
      <c r="P6411" s="463">
        <v>0</v>
      </c>
      <c r="Q6411" s="463">
        <v>-128</v>
      </c>
      <c r="R6411" s="119">
        <f t="shared" si="148"/>
        <v>0</v>
      </c>
      <c r="S6411" s="456">
        <v>202303</v>
      </c>
      <c r="T6411" s="184" t="s">
        <v>8507</v>
      </c>
      <c r="U6411" s="457"/>
      <c r="V6411" s="458"/>
      <c r="W6411" s="458"/>
      <c r="X6411" s="190">
        <v>44774</v>
      </c>
      <c r="Y6411" s="38">
        <v>45138</v>
      </c>
    </row>
    <row r="6412" s="9" customFormat="1" customHeight="1" spans="1:25">
      <c r="A6412" s="446" t="s">
        <v>403</v>
      </c>
      <c r="B6412" s="446" t="s">
        <v>8192</v>
      </c>
      <c r="C6412" s="446" t="s">
        <v>110</v>
      </c>
      <c r="D6412" s="446" t="s">
        <v>6237</v>
      </c>
      <c r="E6412" s="105" t="s">
        <v>875</v>
      </c>
      <c r="F6412" s="96" t="s">
        <v>8489</v>
      </c>
      <c r="G6412" s="96" t="s">
        <v>88</v>
      </c>
      <c r="H6412" s="19" t="s">
        <v>8479</v>
      </c>
      <c r="I6412" s="23" t="e">
        <f>VLOOKUP(H6412,'合同综合查询数据（3月返）'!$A:$A,1,FALSE)</f>
        <v>#N/A</v>
      </c>
      <c r="J6412" s="96" t="s">
        <v>126</v>
      </c>
      <c r="K6412" s="96" t="s">
        <v>8505</v>
      </c>
      <c r="L6412" s="96"/>
      <c r="M6412" s="449" t="s">
        <v>8491</v>
      </c>
      <c r="N6412" s="450">
        <v>43952</v>
      </c>
      <c r="O6412" s="96" t="s">
        <v>1424</v>
      </c>
      <c r="P6412" s="463">
        <v>4000</v>
      </c>
      <c r="Q6412" s="463">
        <v>4</v>
      </c>
      <c r="R6412" s="119">
        <f t="shared" si="148"/>
        <v>16000</v>
      </c>
      <c r="S6412" s="456">
        <v>202303</v>
      </c>
      <c r="T6412" s="184"/>
      <c r="U6412" s="457"/>
      <c r="V6412" s="458"/>
      <c r="W6412" s="458"/>
      <c r="X6412" s="190">
        <v>44774</v>
      </c>
      <c r="Y6412" s="38">
        <v>45138</v>
      </c>
    </row>
    <row r="6413" s="9" customFormat="1" customHeight="1" spans="1:25">
      <c r="A6413" s="446" t="s">
        <v>403</v>
      </c>
      <c r="B6413" s="446" t="s">
        <v>8192</v>
      </c>
      <c r="C6413" s="446" t="s">
        <v>110</v>
      </c>
      <c r="D6413" s="446" t="s">
        <v>6237</v>
      </c>
      <c r="E6413" s="105" t="s">
        <v>875</v>
      </c>
      <c r="F6413" s="96" t="s">
        <v>8489</v>
      </c>
      <c r="G6413" s="96" t="s">
        <v>88</v>
      </c>
      <c r="H6413" s="19" t="s">
        <v>8479</v>
      </c>
      <c r="I6413" s="23" t="e">
        <f>VLOOKUP(H6413,'合同综合查询数据（3月返）'!$A:$A,1,FALSE)</f>
        <v>#N/A</v>
      </c>
      <c r="J6413" s="96" t="s">
        <v>126</v>
      </c>
      <c r="K6413" s="96" t="s">
        <v>8505</v>
      </c>
      <c r="L6413" s="96"/>
      <c r="M6413" s="449" t="s">
        <v>8491</v>
      </c>
      <c r="N6413" s="450">
        <v>44286</v>
      </c>
      <c r="O6413" s="96" t="s">
        <v>1424</v>
      </c>
      <c r="P6413" s="463">
        <v>4000</v>
      </c>
      <c r="Q6413" s="463">
        <v>-4</v>
      </c>
      <c r="R6413" s="119">
        <f t="shared" si="148"/>
        <v>-16000</v>
      </c>
      <c r="S6413" s="456">
        <v>202303</v>
      </c>
      <c r="T6413" s="184" t="s">
        <v>8508</v>
      </c>
      <c r="U6413" s="457"/>
      <c r="V6413" s="458"/>
      <c r="W6413" s="458"/>
      <c r="X6413" s="190">
        <v>44774</v>
      </c>
      <c r="Y6413" s="38">
        <v>45138</v>
      </c>
    </row>
    <row r="6414" s="9" customFormat="1" customHeight="1" spans="1:25">
      <c r="A6414" s="446" t="s">
        <v>403</v>
      </c>
      <c r="B6414" s="446" t="s">
        <v>8192</v>
      </c>
      <c r="C6414" s="446" t="s">
        <v>110</v>
      </c>
      <c r="D6414" s="446" t="s">
        <v>6237</v>
      </c>
      <c r="E6414" s="105" t="s">
        <v>875</v>
      </c>
      <c r="F6414" s="96" t="s">
        <v>8489</v>
      </c>
      <c r="G6414" s="96" t="s">
        <v>88</v>
      </c>
      <c r="H6414" s="19" t="s">
        <v>8479</v>
      </c>
      <c r="I6414" s="23" t="e">
        <f>VLOOKUP(H6414,'合同综合查询数据（3月返）'!$A:$A,1,FALSE)</f>
        <v>#N/A</v>
      </c>
      <c r="J6414" s="96" t="s">
        <v>126</v>
      </c>
      <c r="K6414" s="96" t="s">
        <v>8490</v>
      </c>
      <c r="L6414" s="96"/>
      <c r="M6414" s="449" t="s">
        <v>8491</v>
      </c>
      <c r="N6414" s="450">
        <v>44754</v>
      </c>
      <c r="O6414" s="96" t="s">
        <v>1424</v>
      </c>
      <c r="P6414" s="463">
        <v>4000</v>
      </c>
      <c r="Q6414" s="463">
        <v>-7</v>
      </c>
      <c r="R6414" s="119">
        <f t="shared" si="148"/>
        <v>-28000</v>
      </c>
      <c r="S6414" s="456">
        <v>202303</v>
      </c>
      <c r="T6414" s="184" t="s">
        <v>8509</v>
      </c>
      <c r="U6414" s="457"/>
      <c r="V6414" s="458"/>
      <c r="W6414" s="458"/>
      <c r="X6414" s="190">
        <v>44774</v>
      </c>
      <c r="Y6414" s="38">
        <v>45138</v>
      </c>
    </row>
    <row r="6415" s="9" customFormat="1" customHeight="1" spans="1:25">
      <c r="A6415" s="446" t="s">
        <v>403</v>
      </c>
      <c r="B6415" s="446" t="s">
        <v>8192</v>
      </c>
      <c r="C6415" s="446" t="s">
        <v>63</v>
      </c>
      <c r="D6415" s="446" t="s">
        <v>85</v>
      </c>
      <c r="E6415" s="105" t="s">
        <v>875</v>
      </c>
      <c r="F6415" s="96" t="s">
        <v>8510</v>
      </c>
      <c r="G6415" s="448" t="s">
        <v>302</v>
      </c>
      <c r="H6415" s="195" t="s">
        <v>8511</v>
      </c>
      <c r="I6415" s="23" t="e">
        <f>VLOOKUP(H6415,'合同综合查询数据（3月返）'!$A:$A,1,FALSE)</f>
        <v>#N/A</v>
      </c>
      <c r="J6415" s="96" t="s">
        <v>302</v>
      </c>
      <c r="K6415" s="96" t="s">
        <v>8512</v>
      </c>
      <c r="L6415" s="94"/>
      <c r="M6415" s="449"/>
      <c r="N6415" s="450">
        <v>41526</v>
      </c>
      <c r="O6415" s="94"/>
      <c r="P6415" s="463">
        <v>800000</v>
      </c>
      <c r="Q6415" s="463">
        <v>1</v>
      </c>
      <c r="R6415" s="119">
        <v>0</v>
      </c>
      <c r="S6415" s="456">
        <v>202303</v>
      </c>
      <c r="T6415" s="184"/>
      <c r="U6415" s="457"/>
      <c r="V6415" s="458"/>
      <c r="W6415" s="458"/>
      <c r="X6415" s="487"/>
      <c r="Y6415" s="491"/>
    </row>
    <row r="6416" s="9" customFormat="1" customHeight="1" spans="1:25">
      <c r="A6416" s="446" t="s">
        <v>403</v>
      </c>
      <c r="B6416" s="446" t="s">
        <v>8192</v>
      </c>
      <c r="C6416" s="446" t="s">
        <v>63</v>
      </c>
      <c r="D6416" s="446" t="s">
        <v>85</v>
      </c>
      <c r="E6416" s="105" t="s">
        <v>875</v>
      </c>
      <c r="F6416" s="96" t="s">
        <v>8510</v>
      </c>
      <c r="G6416" s="448" t="s">
        <v>302</v>
      </c>
      <c r="H6416" s="195" t="s">
        <v>8511</v>
      </c>
      <c r="I6416" s="23" t="e">
        <f>VLOOKUP(H6416,'合同综合查询数据（3月返）'!$A:$A,1,FALSE)</f>
        <v>#N/A</v>
      </c>
      <c r="J6416" s="96" t="s">
        <v>302</v>
      </c>
      <c r="K6416" s="96" t="s">
        <v>8512</v>
      </c>
      <c r="L6416" s="94"/>
      <c r="M6416" s="449"/>
      <c r="N6416" s="450">
        <v>44135</v>
      </c>
      <c r="O6416" s="94"/>
      <c r="P6416" s="463">
        <v>800000</v>
      </c>
      <c r="Q6416" s="463">
        <v>-1</v>
      </c>
      <c r="R6416" s="119">
        <v>0</v>
      </c>
      <c r="S6416" s="456">
        <v>202303</v>
      </c>
      <c r="T6416" s="184" t="s">
        <v>8513</v>
      </c>
      <c r="U6416" s="457"/>
      <c r="V6416" s="458"/>
      <c r="W6416" s="458"/>
      <c r="X6416" s="487"/>
      <c r="Y6416" s="491"/>
    </row>
    <row r="6417" s="10" customFormat="1" customHeight="1" spans="1:25">
      <c r="A6417" s="459" t="s">
        <v>403</v>
      </c>
      <c r="B6417" s="459" t="s">
        <v>8192</v>
      </c>
      <c r="C6417" s="459" t="s">
        <v>63</v>
      </c>
      <c r="D6417" s="459" t="s">
        <v>85</v>
      </c>
      <c r="E6417" s="63" t="s">
        <v>875</v>
      </c>
      <c r="F6417" s="60" t="s">
        <v>8510</v>
      </c>
      <c r="G6417" s="60" t="s">
        <v>302</v>
      </c>
      <c r="H6417" s="480" t="s">
        <v>8514</v>
      </c>
      <c r="I6417" s="47" t="e">
        <f>VLOOKUP(H6417,'合同综合查询数据（3月返）'!$A:$A,1,FALSE)</f>
        <v>#N/A</v>
      </c>
      <c r="J6417" s="60" t="s">
        <v>302</v>
      </c>
      <c r="K6417" s="60" t="s">
        <v>8515</v>
      </c>
      <c r="L6417" s="62"/>
      <c r="M6417" s="429"/>
      <c r="N6417" s="461">
        <v>40623</v>
      </c>
      <c r="O6417" s="60" t="s">
        <v>1852</v>
      </c>
      <c r="P6417" s="475">
        <v>800000</v>
      </c>
      <c r="Q6417" s="475">
        <v>1</v>
      </c>
      <c r="R6417" s="69">
        <f t="shared" ref="R6417:R6479" si="149">ROUND(P6417*Q6417,2)</f>
        <v>800000</v>
      </c>
      <c r="S6417" s="434">
        <v>202303</v>
      </c>
      <c r="T6417" s="168" t="s">
        <v>8516</v>
      </c>
      <c r="U6417" s="465"/>
      <c r="V6417" s="437"/>
      <c r="W6417" s="437"/>
      <c r="X6417" s="163">
        <v>44927</v>
      </c>
      <c r="Y6417" s="468"/>
    </row>
    <row r="6418" s="10" customFormat="1" customHeight="1" spans="1:25">
      <c r="A6418" s="459" t="s">
        <v>403</v>
      </c>
      <c r="B6418" s="459" t="s">
        <v>8192</v>
      </c>
      <c r="C6418" s="459" t="s">
        <v>63</v>
      </c>
      <c r="D6418" s="459" t="s">
        <v>85</v>
      </c>
      <c r="E6418" s="63" t="s">
        <v>875</v>
      </c>
      <c r="F6418" s="60" t="s">
        <v>8510</v>
      </c>
      <c r="G6418" s="60" t="s">
        <v>302</v>
      </c>
      <c r="H6418" s="480" t="s">
        <v>8514</v>
      </c>
      <c r="I6418" s="47" t="e">
        <f>VLOOKUP(H6418,'合同综合查询数据（3月返）'!$A:$A,1,FALSE)</f>
        <v>#N/A</v>
      </c>
      <c r="J6418" s="60" t="s">
        <v>302</v>
      </c>
      <c r="K6418" s="60" t="s">
        <v>8515</v>
      </c>
      <c r="L6418" s="62"/>
      <c r="M6418" s="429"/>
      <c r="N6418" s="461">
        <v>44985</v>
      </c>
      <c r="O6418" s="60" t="s">
        <v>1852</v>
      </c>
      <c r="P6418" s="475">
        <v>800000</v>
      </c>
      <c r="Q6418" s="475">
        <v>-1</v>
      </c>
      <c r="R6418" s="69">
        <f t="shared" si="149"/>
        <v>-800000</v>
      </c>
      <c r="S6418" s="434">
        <v>202303</v>
      </c>
      <c r="T6418" s="168" t="s">
        <v>8517</v>
      </c>
      <c r="U6418" s="465"/>
      <c r="V6418" s="437"/>
      <c r="W6418" s="437"/>
      <c r="X6418" s="163">
        <v>44927</v>
      </c>
      <c r="Y6418" s="468"/>
    </row>
    <row r="6419" s="10" customFormat="1" customHeight="1" spans="1:25">
      <c r="A6419" s="459" t="s">
        <v>403</v>
      </c>
      <c r="B6419" s="459" t="s">
        <v>8192</v>
      </c>
      <c r="C6419" s="459" t="s">
        <v>63</v>
      </c>
      <c r="D6419" s="459" t="s">
        <v>85</v>
      </c>
      <c r="E6419" s="63" t="s">
        <v>875</v>
      </c>
      <c r="F6419" s="60" t="s">
        <v>8510</v>
      </c>
      <c r="G6419" s="60" t="s">
        <v>302</v>
      </c>
      <c r="H6419" s="480" t="s">
        <v>8514</v>
      </c>
      <c r="I6419" s="47" t="e">
        <f>VLOOKUP(H6419,'合同综合查询数据（3月返）'!$A:$A,1,FALSE)</f>
        <v>#N/A</v>
      </c>
      <c r="J6419" s="60" t="s">
        <v>302</v>
      </c>
      <c r="K6419" s="60" t="s">
        <v>8518</v>
      </c>
      <c r="L6419" s="113"/>
      <c r="M6419" s="429"/>
      <c r="N6419" s="461" t="s">
        <v>8519</v>
      </c>
      <c r="O6419" s="60" t="s">
        <v>1852</v>
      </c>
      <c r="P6419" s="475">
        <v>800000</v>
      </c>
      <c r="Q6419" s="475">
        <v>1</v>
      </c>
      <c r="R6419" s="69">
        <f t="shared" si="149"/>
        <v>800000</v>
      </c>
      <c r="S6419" s="434">
        <v>202303</v>
      </c>
      <c r="T6419" s="168" t="s">
        <v>8520</v>
      </c>
      <c r="U6419" s="465"/>
      <c r="V6419" s="437"/>
      <c r="W6419" s="437"/>
      <c r="X6419" s="163">
        <v>44927</v>
      </c>
      <c r="Y6419" s="468"/>
    </row>
    <row r="6420" s="10" customFormat="1" customHeight="1" spans="1:25">
      <c r="A6420" s="459" t="s">
        <v>403</v>
      </c>
      <c r="B6420" s="459" t="s">
        <v>8192</v>
      </c>
      <c r="C6420" s="459" t="s">
        <v>63</v>
      </c>
      <c r="D6420" s="459" t="s">
        <v>85</v>
      </c>
      <c r="E6420" s="63" t="s">
        <v>8521</v>
      </c>
      <c r="F6420" s="60" t="s">
        <v>8522</v>
      </c>
      <c r="G6420" s="60" t="s">
        <v>302</v>
      </c>
      <c r="H6420" s="480" t="s">
        <v>8523</v>
      </c>
      <c r="I6420" s="47" t="e">
        <f>VLOOKUP(H6420,'合同综合查询数据（3月返）'!$A:$A,1,FALSE)</f>
        <v>#N/A</v>
      </c>
      <c r="J6420" s="60" t="s">
        <v>302</v>
      </c>
      <c r="K6420" s="60" t="s">
        <v>8524</v>
      </c>
      <c r="L6420" s="113"/>
      <c r="M6420" s="429"/>
      <c r="N6420" s="461">
        <v>44228</v>
      </c>
      <c r="O6420" s="60" t="s">
        <v>1366</v>
      </c>
      <c r="P6420" s="475">
        <v>400000</v>
      </c>
      <c r="Q6420" s="475">
        <v>1</v>
      </c>
      <c r="R6420" s="69">
        <f t="shared" si="149"/>
        <v>400000</v>
      </c>
      <c r="S6420" s="434">
        <v>202303</v>
      </c>
      <c r="T6420" s="168"/>
      <c r="U6420" s="465"/>
      <c r="V6420" s="437"/>
      <c r="W6420" s="437"/>
      <c r="X6420" s="163">
        <v>44927</v>
      </c>
      <c r="Y6420" s="468"/>
    </row>
    <row r="6421" s="10" customFormat="1" customHeight="1" spans="1:25">
      <c r="A6421" s="459" t="s">
        <v>403</v>
      </c>
      <c r="B6421" s="459" t="s">
        <v>8192</v>
      </c>
      <c r="C6421" s="459" t="s">
        <v>63</v>
      </c>
      <c r="D6421" s="459" t="s">
        <v>85</v>
      </c>
      <c r="E6421" s="63" t="s">
        <v>8521</v>
      </c>
      <c r="F6421" s="60" t="s">
        <v>8522</v>
      </c>
      <c r="G6421" s="60" t="s">
        <v>302</v>
      </c>
      <c r="H6421" s="480" t="s">
        <v>8523</v>
      </c>
      <c r="I6421" s="47" t="e">
        <f>VLOOKUP(H6421,'合同综合查询数据（3月返）'!$A:$A,1,FALSE)</f>
        <v>#N/A</v>
      </c>
      <c r="J6421" s="60" t="s">
        <v>302</v>
      </c>
      <c r="K6421" s="60" t="s">
        <v>8524</v>
      </c>
      <c r="L6421" s="113"/>
      <c r="M6421" s="429"/>
      <c r="N6421" s="461">
        <v>44681</v>
      </c>
      <c r="O6421" s="60" t="s">
        <v>1366</v>
      </c>
      <c r="P6421" s="475">
        <v>400000</v>
      </c>
      <c r="Q6421" s="475">
        <v>-1</v>
      </c>
      <c r="R6421" s="69">
        <f t="shared" si="149"/>
        <v>-400000</v>
      </c>
      <c r="S6421" s="434">
        <v>202303</v>
      </c>
      <c r="T6421" s="168"/>
      <c r="U6421" s="465"/>
      <c r="V6421" s="437"/>
      <c r="W6421" s="437"/>
      <c r="X6421" s="163">
        <v>44927</v>
      </c>
      <c r="Y6421" s="468"/>
    </row>
    <row r="6422" s="10" customFormat="1" customHeight="1" spans="1:25">
      <c r="A6422" s="459" t="s">
        <v>403</v>
      </c>
      <c r="B6422" s="459" t="s">
        <v>8192</v>
      </c>
      <c r="C6422" s="459" t="s">
        <v>63</v>
      </c>
      <c r="D6422" s="459" t="s">
        <v>85</v>
      </c>
      <c r="E6422" s="63" t="s">
        <v>8521</v>
      </c>
      <c r="F6422" s="60" t="s">
        <v>8522</v>
      </c>
      <c r="G6422" s="60" t="s">
        <v>302</v>
      </c>
      <c r="H6422" s="480" t="s">
        <v>8523</v>
      </c>
      <c r="I6422" s="47" t="e">
        <f>VLOOKUP(H6422,'合同综合查询数据（3月返）'!$A:$A,1,FALSE)</f>
        <v>#N/A</v>
      </c>
      <c r="J6422" s="60" t="s">
        <v>302</v>
      </c>
      <c r="K6422" s="60" t="s">
        <v>8525</v>
      </c>
      <c r="L6422" s="113"/>
      <c r="M6422" s="429"/>
      <c r="N6422" s="461">
        <v>44228</v>
      </c>
      <c r="O6422" s="60" t="s">
        <v>1366</v>
      </c>
      <c r="P6422" s="475">
        <v>400000</v>
      </c>
      <c r="Q6422" s="475">
        <v>1</v>
      </c>
      <c r="R6422" s="69">
        <f t="shared" si="149"/>
        <v>400000</v>
      </c>
      <c r="S6422" s="434">
        <v>202303</v>
      </c>
      <c r="T6422" s="168"/>
      <c r="U6422" s="465"/>
      <c r="V6422" s="437"/>
      <c r="W6422" s="437"/>
      <c r="X6422" s="163">
        <v>44927</v>
      </c>
      <c r="Y6422" s="468"/>
    </row>
    <row r="6423" s="9" customFormat="1" customHeight="1" spans="1:25">
      <c r="A6423" s="96" t="s">
        <v>403</v>
      </c>
      <c r="B6423" s="446" t="s">
        <v>8192</v>
      </c>
      <c r="C6423" s="96" t="s">
        <v>110</v>
      </c>
      <c r="D6423" s="446" t="s">
        <v>6237</v>
      </c>
      <c r="E6423" s="105" t="s">
        <v>875</v>
      </c>
      <c r="F6423" s="96" t="s">
        <v>8526</v>
      </c>
      <c r="G6423" s="96" t="s">
        <v>88</v>
      </c>
      <c r="H6423" s="19" t="s">
        <v>8479</v>
      </c>
      <c r="I6423" s="23" t="e">
        <f>VLOOKUP(H6423,'合同综合查询数据（3月返）'!$A:$A,1,FALSE)</f>
        <v>#N/A</v>
      </c>
      <c r="J6423" s="96" t="s">
        <v>2256</v>
      </c>
      <c r="K6423" s="446" t="s">
        <v>8527</v>
      </c>
      <c r="L6423" s="96"/>
      <c r="M6423" s="449" t="s">
        <v>8528</v>
      </c>
      <c r="N6423" s="220">
        <v>43510</v>
      </c>
      <c r="O6423" s="482" t="s">
        <v>1424</v>
      </c>
      <c r="P6423" s="483">
        <v>0</v>
      </c>
      <c r="Q6423" s="483">
        <v>7</v>
      </c>
      <c r="R6423" s="455">
        <f t="shared" si="149"/>
        <v>0</v>
      </c>
      <c r="S6423" s="456">
        <v>202303</v>
      </c>
      <c r="T6423" s="215" t="s">
        <v>8529</v>
      </c>
      <c r="U6423" s="488"/>
      <c r="V6423" s="489"/>
      <c r="W6423" s="458"/>
      <c r="X6423" s="190">
        <v>44774</v>
      </c>
      <c r="Y6423" s="38">
        <v>45138</v>
      </c>
    </row>
    <row r="6424" s="9" customFormat="1" customHeight="1" spans="1:25">
      <c r="A6424" s="96" t="s">
        <v>403</v>
      </c>
      <c r="B6424" s="446" t="s">
        <v>8192</v>
      </c>
      <c r="C6424" s="96" t="s">
        <v>110</v>
      </c>
      <c r="D6424" s="446" t="s">
        <v>6237</v>
      </c>
      <c r="E6424" s="105" t="s">
        <v>875</v>
      </c>
      <c r="F6424" s="96" t="s">
        <v>8526</v>
      </c>
      <c r="G6424" s="96" t="s">
        <v>88</v>
      </c>
      <c r="H6424" s="19" t="s">
        <v>8479</v>
      </c>
      <c r="I6424" s="23" t="e">
        <f>VLOOKUP(H6424,'合同综合查询数据（3月返）'!$A:$A,1,FALSE)</f>
        <v>#N/A</v>
      </c>
      <c r="J6424" s="96" t="s">
        <v>2256</v>
      </c>
      <c r="K6424" s="446" t="s">
        <v>8527</v>
      </c>
      <c r="L6424" s="96"/>
      <c r="M6424" s="449" t="s">
        <v>8528</v>
      </c>
      <c r="N6424" s="220">
        <v>44732</v>
      </c>
      <c r="O6424" s="482" t="s">
        <v>1424</v>
      </c>
      <c r="P6424" s="483">
        <v>0</v>
      </c>
      <c r="Q6424" s="483">
        <v>-5</v>
      </c>
      <c r="R6424" s="455">
        <f t="shared" si="149"/>
        <v>0</v>
      </c>
      <c r="S6424" s="456">
        <v>202303</v>
      </c>
      <c r="T6424" s="215" t="s">
        <v>8530</v>
      </c>
      <c r="U6424" s="488"/>
      <c r="V6424" s="489"/>
      <c r="W6424" s="458"/>
      <c r="X6424" s="190">
        <v>44774</v>
      </c>
      <c r="Y6424" s="38">
        <v>45138</v>
      </c>
    </row>
    <row r="6425" s="9" customFormat="1" customHeight="1" spans="1:25">
      <c r="A6425" s="96" t="s">
        <v>403</v>
      </c>
      <c r="B6425" s="446" t="s">
        <v>8192</v>
      </c>
      <c r="C6425" s="96" t="s">
        <v>110</v>
      </c>
      <c r="D6425" s="446" t="s">
        <v>6237</v>
      </c>
      <c r="E6425" s="105" t="s">
        <v>875</v>
      </c>
      <c r="F6425" s="96" t="s">
        <v>8526</v>
      </c>
      <c r="G6425" s="96" t="s">
        <v>31</v>
      </c>
      <c r="H6425" s="19" t="s">
        <v>8479</v>
      </c>
      <c r="I6425" s="23" t="e">
        <f>VLOOKUP(H6425,'合同综合查询数据（3月返）'!$A:$A,1,FALSE)</f>
        <v>#N/A</v>
      </c>
      <c r="J6425" s="448" t="s">
        <v>7564</v>
      </c>
      <c r="K6425" s="446" t="s">
        <v>8527</v>
      </c>
      <c r="L6425" s="96"/>
      <c r="M6425" s="449" t="s">
        <v>8528</v>
      </c>
      <c r="N6425" s="220">
        <v>43510</v>
      </c>
      <c r="O6425" s="482"/>
      <c r="P6425" s="483">
        <v>0</v>
      </c>
      <c r="Q6425" s="483">
        <v>288</v>
      </c>
      <c r="R6425" s="455">
        <f t="shared" si="149"/>
        <v>0</v>
      </c>
      <c r="S6425" s="456">
        <v>202303</v>
      </c>
      <c r="T6425" s="215" t="s">
        <v>8531</v>
      </c>
      <c r="U6425" s="488"/>
      <c r="V6425" s="489"/>
      <c r="W6425" s="458"/>
      <c r="X6425" s="190">
        <v>44774</v>
      </c>
      <c r="Y6425" s="38">
        <v>45138</v>
      </c>
    </row>
    <row r="6426" s="10" customFormat="1" customHeight="1" spans="1:25">
      <c r="A6426" s="481" t="s">
        <v>401</v>
      </c>
      <c r="B6426" s="459" t="s">
        <v>8192</v>
      </c>
      <c r="C6426" s="481" t="s">
        <v>110</v>
      </c>
      <c r="D6426" s="459" t="s">
        <v>6237</v>
      </c>
      <c r="E6426" s="47" t="s">
        <v>8532</v>
      </c>
      <c r="F6426" s="481" t="s">
        <v>8533</v>
      </c>
      <c r="G6426" s="441" t="s">
        <v>88</v>
      </c>
      <c r="H6426" s="137" t="s">
        <v>8534</v>
      </c>
      <c r="I6426" s="47" t="e">
        <f>VLOOKUP(H6426,'合同综合查询数据（3月返）'!$A:$A,1,FALSE)</f>
        <v>#N/A</v>
      </c>
      <c r="J6426" s="484" t="s">
        <v>2256</v>
      </c>
      <c r="K6426" s="441" t="s">
        <v>114</v>
      </c>
      <c r="L6426" s="441"/>
      <c r="M6426" s="429" t="s">
        <v>8535</v>
      </c>
      <c r="N6426" s="430">
        <v>40186</v>
      </c>
      <c r="O6426" s="430" t="s">
        <v>1424</v>
      </c>
      <c r="P6426" s="485">
        <v>4000</v>
      </c>
      <c r="Q6426" s="485">
        <v>15</v>
      </c>
      <c r="R6426" s="490">
        <f t="shared" si="149"/>
        <v>60000</v>
      </c>
      <c r="S6426" s="434">
        <v>202303</v>
      </c>
      <c r="T6426" s="167"/>
      <c r="U6426" s="436"/>
      <c r="V6426" s="437"/>
      <c r="W6426" s="437"/>
      <c r="X6426" s="163">
        <v>44927</v>
      </c>
      <c r="Y6426" s="468"/>
    </row>
    <row r="6427" s="10" customFormat="1" customHeight="1" spans="1:25">
      <c r="A6427" s="481" t="s">
        <v>401</v>
      </c>
      <c r="B6427" s="459" t="s">
        <v>8192</v>
      </c>
      <c r="C6427" s="481" t="s">
        <v>110</v>
      </c>
      <c r="D6427" s="459" t="s">
        <v>6237</v>
      </c>
      <c r="E6427" s="47" t="s">
        <v>8532</v>
      </c>
      <c r="F6427" s="481" t="s">
        <v>8533</v>
      </c>
      <c r="G6427" s="441" t="s">
        <v>88</v>
      </c>
      <c r="H6427" s="137" t="s">
        <v>8534</v>
      </c>
      <c r="I6427" s="47" t="e">
        <f>VLOOKUP(H6427,'合同综合查询数据（3月返）'!$A:$A,1,FALSE)</f>
        <v>#N/A</v>
      </c>
      <c r="J6427" s="484" t="s">
        <v>2256</v>
      </c>
      <c r="K6427" s="441" t="s">
        <v>114</v>
      </c>
      <c r="L6427" s="441"/>
      <c r="M6427" s="429" t="s">
        <v>8535</v>
      </c>
      <c r="N6427" s="430">
        <v>40186</v>
      </c>
      <c r="O6427" s="430" t="s">
        <v>1424</v>
      </c>
      <c r="P6427" s="485">
        <v>4000</v>
      </c>
      <c r="Q6427" s="485">
        <v>-15</v>
      </c>
      <c r="R6427" s="490">
        <f t="shared" si="149"/>
        <v>-60000</v>
      </c>
      <c r="S6427" s="434">
        <v>202303</v>
      </c>
      <c r="T6427" s="167"/>
      <c r="U6427" s="436"/>
      <c r="V6427" s="437"/>
      <c r="W6427" s="437"/>
      <c r="X6427" s="163">
        <v>44927</v>
      </c>
      <c r="Y6427" s="468"/>
    </row>
    <row r="6428" s="10" customFormat="1" customHeight="1" spans="1:25">
      <c r="A6428" s="481" t="s">
        <v>401</v>
      </c>
      <c r="B6428" s="459" t="s">
        <v>8192</v>
      </c>
      <c r="C6428" s="481" t="s">
        <v>110</v>
      </c>
      <c r="D6428" s="459" t="s">
        <v>6237</v>
      </c>
      <c r="E6428" s="47" t="s">
        <v>8532</v>
      </c>
      <c r="F6428" s="481" t="s">
        <v>8533</v>
      </c>
      <c r="G6428" s="441" t="s">
        <v>88</v>
      </c>
      <c r="H6428" s="137" t="s">
        <v>8534</v>
      </c>
      <c r="I6428" s="47" t="e">
        <f>VLOOKUP(H6428,'合同综合查询数据（3月返）'!$A:$A,1,FALSE)</f>
        <v>#N/A</v>
      </c>
      <c r="J6428" s="484" t="s">
        <v>8536</v>
      </c>
      <c r="K6428" s="441" t="s">
        <v>114</v>
      </c>
      <c r="L6428" s="441"/>
      <c r="M6428" s="429" t="s">
        <v>8535</v>
      </c>
      <c r="N6428" s="430">
        <v>40186</v>
      </c>
      <c r="O6428" s="430" t="s">
        <v>1424</v>
      </c>
      <c r="P6428" s="485">
        <v>4000</v>
      </c>
      <c r="Q6428" s="485">
        <v>4</v>
      </c>
      <c r="R6428" s="490">
        <f t="shared" si="149"/>
        <v>16000</v>
      </c>
      <c r="S6428" s="434">
        <v>202303</v>
      </c>
      <c r="T6428" s="167"/>
      <c r="U6428" s="436"/>
      <c r="V6428" s="437"/>
      <c r="W6428" s="437"/>
      <c r="X6428" s="163">
        <v>44927</v>
      </c>
      <c r="Y6428" s="468"/>
    </row>
    <row r="6429" s="10" customFormat="1" customHeight="1" spans="1:25">
      <c r="A6429" s="481" t="s">
        <v>401</v>
      </c>
      <c r="B6429" s="459" t="s">
        <v>8192</v>
      </c>
      <c r="C6429" s="481" t="s">
        <v>110</v>
      </c>
      <c r="D6429" s="459" t="s">
        <v>6237</v>
      </c>
      <c r="E6429" s="47" t="s">
        <v>8532</v>
      </c>
      <c r="F6429" s="481" t="s">
        <v>8533</v>
      </c>
      <c r="G6429" s="441" t="s">
        <v>88</v>
      </c>
      <c r="H6429" s="137" t="s">
        <v>8534</v>
      </c>
      <c r="I6429" s="47" t="e">
        <f>VLOOKUP(H6429,'合同综合查询数据（3月返）'!$A:$A,1,FALSE)</f>
        <v>#N/A</v>
      </c>
      <c r="J6429" s="484" t="s">
        <v>8536</v>
      </c>
      <c r="K6429" s="441" t="s">
        <v>114</v>
      </c>
      <c r="L6429" s="441"/>
      <c r="M6429" s="429" t="s">
        <v>8535</v>
      </c>
      <c r="N6429" s="430">
        <v>44377</v>
      </c>
      <c r="O6429" s="430" t="s">
        <v>1424</v>
      </c>
      <c r="P6429" s="485">
        <v>4000</v>
      </c>
      <c r="Q6429" s="485">
        <v>-4</v>
      </c>
      <c r="R6429" s="490">
        <f t="shared" si="149"/>
        <v>-16000</v>
      </c>
      <c r="S6429" s="434">
        <v>202303</v>
      </c>
      <c r="T6429" s="167" t="s">
        <v>8537</v>
      </c>
      <c r="U6429" s="436"/>
      <c r="V6429" s="437"/>
      <c r="W6429" s="437"/>
      <c r="X6429" s="163">
        <v>44927</v>
      </c>
      <c r="Y6429" s="468"/>
    </row>
    <row r="6430" s="10" customFormat="1" customHeight="1" spans="1:25">
      <c r="A6430" s="481" t="s">
        <v>401</v>
      </c>
      <c r="B6430" s="459" t="s">
        <v>8192</v>
      </c>
      <c r="C6430" s="481" t="s">
        <v>110</v>
      </c>
      <c r="D6430" s="459" t="s">
        <v>6237</v>
      </c>
      <c r="E6430" s="47" t="s">
        <v>8532</v>
      </c>
      <c r="F6430" s="481" t="s">
        <v>8533</v>
      </c>
      <c r="G6430" s="441" t="s">
        <v>88</v>
      </c>
      <c r="H6430" s="137" t="s">
        <v>8534</v>
      </c>
      <c r="I6430" s="47" t="e">
        <f>VLOOKUP(H6430,'合同综合查询数据（3月返）'!$A:$A,1,FALSE)</f>
        <v>#N/A</v>
      </c>
      <c r="J6430" s="484" t="s">
        <v>8538</v>
      </c>
      <c r="K6430" s="441" t="s">
        <v>114</v>
      </c>
      <c r="L6430" s="441"/>
      <c r="M6430" s="429" t="s">
        <v>8535</v>
      </c>
      <c r="N6430" s="430">
        <v>40186</v>
      </c>
      <c r="O6430" s="430" t="s">
        <v>1424</v>
      </c>
      <c r="P6430" s="485">
        <v>4000</v>
      </c>
      <c r="Q6430" s="485">
        <v>3</v>
      </c>
      <c r="R6430" s="490">
        <f t="shared" si="149"/>
        <v>12000</v>
      </c>
      <c r="S6430" s="434">
        <v>202303</v>
      </c>
      <c r="T6430" s="167" t="s">
        <v>8539</v>
      </c>
      <c r="U6430" s="436"/>
      <c r="V6430" s="437"/>
      <c r="W6430" s="437"/>
      <c r="X6430" s="163">
        <v>44927</v>
      </c>
      <c r="Y6430" s="468"/>
    </row>
    <row r="6431" s="10" customFormat="1" customHeight="1" spans="1:25">
      <c r="A6431" s="481" t="s">
        <v>401</v>
      </c>
      <c r="B6431" s="459" t="s">
        <v>8192</v>
      </c>
      <c r="C6431" s="481" t="s">
        <v>110</v>
      </c>
      <c r="D6431" s="459" t="s">
        <v>6237</v>
      </c>
      <c r="E6431" s="47" t="s">
        <v>8532</v>
      </c>
      <c r="F6431" s="481" t="s">
        <v>8533</v>
      </c>
      <c r="G6431" s="441" t="s">
        <v>88</v>
      </c>
      <c r="H6431" s="137" t="s">
        <v>8534</v>
      </c>
      <c r="I6431" s="47" t="e">
        <f>VLOOKUP(H6431,'合同综合查询数据（3月返）'!$A:$A,1,FALSE)</f>
        <v>#N/A</v>
      </c>
      <c r="J6431" s="484" t="s">
        <v>8538</v>
      </c>
      <c r="K6431" s="441" t="s">
        <v>114</v>
      </c>
      <c r="L6431" s="441"/>
      <c r="M6431" s="429" t="s">
        <v>8535</v>
      </c>
      <c r="N6431" s="430">
        <v>44895</v>
      </c>
      <c r="O6431" s="430" t="s">
        <v>1424</v>
      </c>
      <c r="P6431" s="485">
        <v>4000</v>
      </c>
      <c r="Q6431" s="485">
        <v>-3</v>
      </c>
      <c r="R6431" s="490">
        <f t="shared" si="149"/>
        <v>-12000</v>
      </c>
      <c r="S6431" s="434">
        <v>202303</v>
      </c>
      <c r="T6431" s="167" t="s">
        <v>8540</v>
      </c>
      <c r="U6431" s="436"/>
      <c r="V6431" s="437"/>
      <c r="W6431" s="437"/>
      <c r="X6431" s="163">
        <v>44927</v>
      </c>
      <c r="Y6431" s="468"/>
    </row>
    <row r="6432" s="10" customFormat="1" customHeight="1" spans="1:25">
      <c r="A6432" s="481" t="s">
        <v>401</v>
      </c>
      <c r="B6432" s="459" t="s">
        <v>8192</v>
      </c>
      <c r="C6432" s="481" t="s">
        <v>110</v>
      </c>
      <c r="D6432" s="459" t="s">
        <v>6237</v>
      </c>
      <c r="E6432" s="47" t="s">
        <v>8532</v>
      </c>
      <c r="F6432" s="481" t="s">
        <v>8533</v>
      </c>
      <c r="G6432" s="441" t="s">
        <v>31</v>
      </c>
      <c r="H6432" s="137" t="s">
        <v>8534</v>
      </c>
      <c r="I6432" s="47" t="e">
        <f>VLOOKUP(H6432,'合同综合查询数据（3月返）'!$A:$A,1,FALSE)</f>
        <v>#N/A</v>
      </c>
      <c r="J6432" s="60" t="s">
        <v>8541</v>
      </c>
      <c r="K6432" s="441" t="s">
        <v>114</v>
      </c>
      <c r="L6432" s="441"/>
      <c r="M6432" s="429"/>
      <c r="N6432" s="430">
        <v>40186</v>
      </c>
      <c r="O6432" s="430"/>
      <c r="P6432" s="485">
        <v>0</v>
      </c>
      <c r="Q6432" s="485">
        <v>1024</v>
      </c>
      <c r="R6432" s="490">
        <f t="shared" si="149"/>
        <v>0</v>
      </c>
      <c r="S6432" s="434">
        <v>202303</v>
      </c>
      <c r="T6432" s="167" t="s">
        <v>8542</v>
      </c>
      <c r="U6432" s="436"/>
      <c r="V6432" s="437"/>
      <c r="W6432" s="437"/>
      <c r="X6432" s="163">
        <v>44927</v>
      </c>
      <c r="Y6432" s="468"/>
    </row>
    <row r="6433" s="10" customFormat="1" customHeight="1" spans="1:25">
      <c r="A6433" s="481" t="s">
        <v>401</v>
      </c>
      <c r="B6433" s="459" t="s">
        <v>8192</v>
      </c>
      <c r="C6433" s="481" t="s">
        <v>110</v>
      </c>
      <c r="D6433" s="459" t="s">
        <v>6237</v>
      </c>
      <c r="E6433" s="47" t="s">
        <v>8532</v>
      </c>
      <c r="F6433" s="481" t="s">
        <v>8533</v>
      </c>
      <c r="G6433" s="441" t="s">
        <v>31</v>
      </c>
      <c r="H6433" s="137" t="s">
        <v>8534</v>
      </c>
      <c r="I6433" s="47" t="e">
        <f>VLOOKUP(H6433,'合同综合查询数据（3月返）'!$A:$A,1,FALSE)</f>
        <v>#N/A</v>
      </c>
      <c r="J6433" s="60" t="s">
        <v>8541</v>
      </c>
      <c r="K6433" s="441" t="s">
        <v>114</v>
      </c>
      <c r="L6433" s="441"/>
      <c r="M6433" s="441" t="s">
        <v>8543</v>
      </c>
      <c r="N6433" s="430">
        <v>44377</v>
      </c>
      <c r="O6433" s="430"/>
      <c r="P6433" s="485">
        <v>0</v>
      </c>
      <c r="Q6433" s="485">
        <v>-512</v>
      </c>
      <c r="R6433" s="490">
        <f t="shared" si="149"/>
        <v>0</v>
      </c>
      <c r="S6433" s="434">
        <v>202303</v>
      </c>
      <c r="T6433" s="167" t="s">
        <v>8544</v>
      </c>
      <c r="U6433" s="436"/>
      <c r="V6433" s="437"/>
      <c r="W6433" s="437"/>
      <c r="X6433" s="163">
        <v>44927</v>
      </c>
      <c r="Y6433" s="468"/>
    </row>
    <row r="6434" s="10" customFormat="1" customHeight="1" spans="1:25">
      <c r="A6434" s="481" t="s">
        <v>401</v>
      </c>
      <c r="B6434" s="459" t="s">
        <v>8192</v>
      </c>
      <c r="C6434" s="481" t="s">
        <v>110</v>
      </c>
      <c r="D6434" s="459" t="s">
        <v>6237</v>
      </c>
      <c r="E6434" s="47" t="s">
        <v>8532</v>
      </c>
      <c r="F6434" s="481" t="s">
        <v>8533</v>
      </c>
      <c r="G6434" s="441" t="s">
        <v>31</v>
      </c>
      <c r="H6434" s="137" t="s">
        <v>8534</v>
      </c>
      <c r="I6434" s="47" t="e">
        <f>VLOOKUP(H6434,'合同综合查询数据（3月返）'!$A:$A,1,FALSE)</f>
        <v>#N/A</v>
      </c>
      <c r="J6434" s="60" t="s">
        <v>8541</v>
      </c>
      <c r="K6434" s="441" t="s">
        <v>114</v>
      </c>
      <c r="L6434" s="441"/>
      <c r="M6434" s="441" t="s">
        <v>8543</v>
      </c>
      <c r="N6434" s="430">
        <v>44895</v>
      </c>
      <c r="O6434" s="430"/>
      <c r="P6434" s="485">
        <v>0</v>
      </c>
      <c r="Q6434" s="485">
        <v>-512</v>
      </c>
      <c r="R6434" s="490">
        <f t="shared" si="149"/>
        <v>0</v>
      </c>
      <c r="S6434" s="434">
        <v>202303</v>
      </c>
      <c r="T6434" s="167" t="s">
        <v>8545</v>
      </c>
      <c r="U6434" s="436"/>
      <c r="V6434" s="437"/>
      <c r="W6434" s="437"/>
      <c r="X6434" s="163">
        <v>44927</v>
      </c>
      <c r="Y6434" s="468"/>
    </row>
    <row r="6435" s="10" customFormat="1" customHeight="1" spans="1:25">
      <c r="A6435" s="481" t="s">
        <v>401</v>
      </c>
      <c r="B6435" s="459" t="s">
        <v>8192</v>
      </c>
      <c r="C6435" s="481" t="s">
        <v>110</v>
      </c>
      <c r="D6435" s="459" t="s">
        <v>6237</v>
      </c>
      <c r="E6435" s="47" t="s">
        <v>8532</v>
      </c>
      <c r="F6435" s="481" t="s">
        <v>8533</v>
      </c>
      <c r="G6435" s="441" t="s">
        <v>88</v>
      </c>
      <c r="H6435" s="137" t="s">
        <v>8534</v>
      </c>
      <c r="I6435" s="47" t="e">
        <f>VLOOKUP(H6435,'合同综合查询数据（3月返）'!$A:$A,1,FALSE)</f>
        <v>#N/A</v>
      </c>
      <c r="J6435" s="484" t="s">
        <v>2256</v>
      </c>
      <c r="K6435" s="441" t="s">
        <v>4511</v>
      </c>
      <c r="L6435" s="441"/>
      <c r="M6435" s="429" t="s">
        <v>8546</v>
      </c>
      <c r="N6435" s="430"/>
      <c r="O6435" s="430" t="s">
        <v>1424</v>
      </c>
      <c r="P6435" s="485">
        <v>4000</v>
      </c>
      <c r="Q6435" s="485">
        <v>10</v>
      </c>
      <c r="R6435" s="490">
        <f t="shared" si="149"/>
        <v>40000</v>
      </c>
      <c r="S6435" s="434">
        <v>202303</v>
      </c>
      <c r="T6435" s="167"/>
      <c r="U6435" s="436"/>
      <c r="V6435" s="437"/>
      <c r="W6435" s="437"/>
      <c r="X6435" s="163">
        <v>44927</v>
      </c>
      <c r="Y6435" s="468"/>
    </row>
    <row r="6436" s="10" customFormat="1" customHeight="1" spans="1:25">
      <c r="A6436" s="481" t="s">
        <v>401</v>
      </c>
      <c r="B6436" s="459" t="s">
        <v>8192</v>
      </c>
      <c r="C6436" s="481" t="s">
        <v>110</v>
      </c>
      <c r="D6436" s="459" t="s">
        <v>6237</v>
      </c>
      <c r="E6436" s="47" t="s">
        <v>8532</v>
      </c>
      <c r="F6436" s="481" t="s">
        <v>8533</v>
      </c>
      <c r="G6436" s="441" t="s">
        <v>88</v>
      </c>
      <c r="H6436" s="137" t="s">
        <v>8534</v>
      </c>
      <c r="I6436" s="47" t="e">
        <f>VLOOKUP(H6436,'合同综合查询数据（3月返）'!$A:$A,1,FALSE)</f>
        <v>#N/A</v>
      </c>
      <c r="J6436" s="484" t="s">
        <v>2256</v>
      </c>
      <c r="K6436" s="441" t="s">
        <v>4511</v>
      </c>
      <c r="L6436" s="441"/>
      <c r="M6436" s="429" t="s">
        <v>8546</v>
      </c>
      <c r="N6436" s="430">
        <v>44804</v>
      </c>
      <c r="O6436" s="430" t="s">
        <v>1424</v>
      </c>
      <c r="P6436" s="485">
        <v>4000</v>
      </c>
      <c r="Q6436" s="485">
        <v>-6</v>
      </c>
      <c r="R6436" s="490">
        <f t="shared" si="149"/>
        <v>-24000</v>
      </c>
      <c r="S6436" s="434">
        <v>202303</v>
      </c>
      <c r="T6436" s="167" t="s">
        <v>8547</v>
      </c>
      <c r="U6436" s="436"/>
      <c r="V6436" s="437"/>
      <c r="W6436" s="437"/>
      <c r="X6436" s="163">
        <v>44927</v>
      </c>
      <c r="Y6436" s="468"/>
    </row>
    <row r="6437" s="10" customFormat="1" customHeight="1" spans="1:25">
      <c r="A6437" s="481" t="s">
        <v>401</v>
      </c>
      <c r="B6437" s="459" t="s">
        <v>8192</v>
      </c>
      <c r="C6437" s="481" t="s">
        <v>110</v>
      </c>
      <c r="D6437" s="459" t="s">
        <v>6237</v>
      </c>
      <c r="E6437" s="47" t="s">
        <v>8532</v>
      </c>
      <c r="F6437" s="481" t="s">
        <v>8533</v>
      </c>
      <c r="G6437" s="441" t="s">
        <v>31</v>
      </c>
      <c r="H6437" s="137" t="s">
        <v>8534</v>
      </c>
      <c r="I6437" s="47" t="e">
        <f>VLOOKUP(H6437,'合同综合查询数据（3月返）'!$A:$A,1,FALSE)</f>
        <v>#N/A</v>
      </c>
      <c r="J6437" s="424" t="s">
        <v>7564</v>
      </c>
      <c r="K6437" s="441" t="s">
        <v>4511</v>
      </c>
      <c r="L6437" s="441"/>
      <c r="M6437" s="429"/>
      <c r="N6437" s="430"/>
      <c r="O6437" s="430"/>
      <c r="P6437" s="485">
        <v>0</v>
      </c>
      <c r="Q6437" s="485">
        <v>512</v>
      </c>
      <c r="R6437" s="490">
        <f t="shared" si="149"/>
        <v>0</v>
      </c>
      <c r="S6437" s="434">
        <v>202303</v>
      </c>
      <c r="T6437" s="167" t="s">
        <v>8548</v>
      </c>
      <c r="U6437" s="436"/>
      <c r="V6437" s="437"/>
      <c r="W6437" s="437"/>
      <c r="X6437" s="163">
        <v>44927</v>
      </c>
      <c r="Y6437" s="468"/>
    </row>
    <row r="6438" s="10" customFormat="1" customHeight="1" spans="1:25">
      <c r="A6438" s="481" t="s">
        <v>401</v>
      </c>
      <c r="B6438" s="459" t="s">
        <v>8192</v>
      </c>
      <c r="C6438" s="481" t="s">
        <v>110</v>
      </c>
      <c r="D6438" s="459" t="s">
        <v>6237</v>
      </c>
      <c r="E6438" s="47" t="s">
        <v>8532</v>
      </c>
      <c r="F6438" s="481" t="s">
        <v>8533</v>
      </c>
      <c r="G6438" s="441" t="s">
        <v>88</v>
      </c>
      <c r="H6438" s="137" t="s">
        <v>8534</v>
      </c>
      <c r="I6438" s="47" t="e">
        <f>VLOOKUP(H6438,'合同综合查询数据（3月返）'!$A:$A,1,FALSE)</f>
        <v>#N/A</v>
      </c>
      <c r="J6438" s="484" t="s">
        <v>2256</v>
      </c>
      <c r="K6438" s="441" t="s">
        <v>5515</v>
      </c>
      <c r="L6438" s="441"/>
      <c r="M6438" s="429" t="s">
        <v>8549</v>
      </c>
      <c r="N6438" s="430"/>
      <c r="O6438" s="430" t="s">
        <v>1424</v>
      </c>
      <c r="P6438" s="485">
        <v>4000</v>
      </c>
      <c r="Q6438" s="485">
        <v>9</v>
      </c>
      <c r="R6438" s="490">
        <f t="shared" si="149"/>
        <v>36000</v>
      </c>
      <c r="S6438" s="434">
        <v>202303</v>
      </c>
      <c r="T6438" s="167"/>
      <c r="U6438" s="436"/>
      <c r="V6438" s="437"/>
      <c r="W6438" s="437"/>
      <c r="X6438" s="163">
        <v>44927</v>
      </c>
      <c r="Y6438" s="468"/>
    </row>
    <row r="6439" s="10" customFormat="1" customHeight="1" spans="1:25">
      <c r="A6439" s="481" t="s">
        <v>401</v>
      </c>
      <c r="B6439" s="459" t="s">
        <v>8192</v>
      </c>
      <c r="C6439" s="481" t="s">
        <v>110</v>
      </c>
      <c r="D6439" s="459" t="s">
        <v>6237</v>
      </c>
      <c r="E6439" s="47" t="s">
        <v>8532</v>
      </c>
      <c r="F6439" s="481" t="s">
        <v>8533</v>
      </c>
      <c r="G6439" s="441" t="s">
        <v>88</v>
      </c>
      <c r="H6439" s="137" t="s">
        <v>8534</v>
      </c>
      <c r="I6439" s="47" t="e">
        <f>VLOOKUP(H6439,'合同综合查询数据（3月返）'!$A:$A,1,FALSE)</f>
        <v>#N/A</v>
      </c>
      <c r="J6439" s="484" t="s">
        <v>2256</v>
      </c>
      <c r="K6439" s="441" t="s">
        <v>5515</v>
      </c>
      <c r="L6439" s="441"/>
      <c r="M6439" s="429" t="s">
        <v>8549</v>
      </c>
      <c r="N6439" s="430">
        <v>44561</v>
      </c>
      <c r="O6439" s="430" t="s">
        <v>1424</v>
      </c>
      <c r="P6439" s="485">
        <v>4000</v>
      </c>
      <c r="Q6439" s="485">
        <v>-3</v>
      </c>
      <c r="R6439" s="490">
        <f t="shared" si="149"/>
        <v>-12000</v>
      </c>
      <c r="S6439" s="434">
        <v>202303</v>
      </c>
      <c r="T6439" s="167" t="s">
        <v>8550</v>
      </c>
      <c r="U6439" s="436"/>
      <c r="V6439" s="437"/>
      <c r="W6439" s="437"/>
      <c r="X6439" s="163">
        <v>44927</v>
      </c>
      <c r="Y6439" s="468"/>
    </row>
    <row r="6440" s="10" customFormat="1" customHeight="1" spans="1:25">
      <c r="A6440" s="481" t="s">
        <v>401</v>
      </c>
      <c r="B6440" s="459" t="s">
        <v>8192</v>
      </c>
      <c r="C6440" s="481" t="s">
        <v>110</v>
      </c>
      <c r="D6440" s="459" t="s">
        <v>6237</v>
      </c>
      <c r="E6440" s="47" t="s">
        <v>8532</v>
      </c>
      <c r="F6440" s="481" t="s">
        <v>8533</v>
      </c>
      <c r="G6440" s="441" t="s">
        <v>31</v>
      </c>
      <c r="H6440" s="137" t="s">
        <v>8534</v>
      </c>
      <c r="I6440" s="47" t="e">
        <f>VLOOKUP(H6440,'合同综合查询数据（3月返）'!$A:$A,1,FALSE)</f>
        <v>#N/A</v>
      </c>
      <c r="J6440" s="424" t="s">
        <v>7564</v>
      </c>
      <c r="K6440" s="441" t="s">
        <v>5515</v>
      </c>
      <c r="L6440" s="441"/>
      <c r="M6440" s="429"/>
      <c r="N6440" s="430"/>
      <c r="O6440" s="430"/>
      <c r="P6440" s="485">
        <v>0</v>
      </c>
      <c r="Q6440" s="485">
        <v>544</v>
      </c>
      <c r="R6440" s="490">
        <f t="shared" si="149"/>
        <v>0</v>
      </c>
      <c r="S6440" s="434">
        <v>202303</v>
      </c>
      <c r="T6440" s="167" t="s">
        <v>8551</v>
      </c>
      <c r="U6440" s="436"/>
      <c r="V6440" s="437"/>
      <c r="W6440" s="437"/>
      <c r="X6440" s="163">
        <v>44927</v>
      </c>
      <c r="Y6440" s="468"/>
    </row>
    <row r="6441" s="10" customFormat="1" customHeight="1" spans="1:25">
      <c r="A6441" s="481" t="s">
        <v>401</v>
      </c>
      <c r="B6441" s="459" t="s">
        <v>8192</v>
      </c>
      <c r="C6441" s="481" t="s">
        <v>110</v>
      </c>
      <c r="D6441" s="459" t="s">
        <v>6237</v>
      </c>
      <c r="E6441" s="47" t="s">
        <v>8532</v>
      </c>
      <c r="F6441" s="481" t="s">
        <v>8533</v>
      </c>
      <c r="G6441" s="441" t="s">
        <v>88</v>
      </c>
      <c r="H6441" s="137" t="s">
        <v>8534</v>
      </c>
      <c r="I6441" s="47" t="e">
        <f>VLOOKUP(H6441,'合同综合查询数据（3月返）'!$A:$A,1,FALSE)</f>
        <v>#N/A</v>
      </c>
      <c r="J6441" s="484" t="s">
        <v>2256</v>
      </c>
      <c r="K6441" s="441" t="s">
        <v>5515</v>
      </c>
      <c r="L6441" s="441"/>
      <c r="M6441" s="429" t="s">
        <v>8549</v>
      </c>
      <c r="N6441" s="430">
        <v>43930</v>
      </c>
      <c r="O6441" s="430" t="s">
        <v>1424</v>
      </c>
      <c r="P6441" s="485">
        <v>4000</v>
      </c>
      <c r="Q6441" s="485">
        <v>1</v>
      </c>
      <c r="R6441" s="490">
        <f t="shared" si="149"/>
        <v>4000</v>
      </c>
      <c r="S6441" s="434">
        <v>202303</v>
      </c>
      <c r="T6441" s="167" t="s">
        <v>8552</v>
      </c>
      <c r="U6441" s="436"/>
      <c r="V6441" s="437"/>
      <c r="W6441" s="437"/>
      <c r="X6441" s="163">
        <v>44927</v>
      </c>
      <c r="Y6441" s="468"/>
    </row>
    <row r="6442" s="10" customFormat="1" customHeight="1" spans="1:25">
      <c r="A6442" s="481" t="s">
        <v>401</v>
      </c>
      <c r="B6442" s="459" t="s">
        <v>8192</v>
      </c>
      <c r="C6442" s="481" t="s">
        <v>110</v>
      </c>
      <c r="D6442" s="459" t="s">
        <v>6237</v>
      </c>
      <c r="E6442" s="47" t="s">
        <v>8532</v>
      </c>
      <c r="F6442" s="481" t="s">
        <v>8533</v>
      </c>
      <c r="G6442" s="441" t="s">
        <v>88</v>
      </c>
      <c r="H6442" s="137" t="s">
        <v>8534</v>
      </c>
      <c r="I6442" s="47" t="e">
        <f>VLOOKUP(H6442,'合同综合查询数据（3月返）'!$A:$A,1,FALSE)</f>
        <v>#N/A</v>
      </c>
      <c r="J6442" s="484" t="s">
        <v>2256</v>
      </c>
      <c r="K6442" s="441" t="s">
        <v>8553</v>
      </c>
      <c r="L6442" s="441"/>
      <c r="M6442" s="429" t="s">
        <v>8554</v>
      </c>
      <c r="N6442" s="430">
        <v>43008</v>
      </c>
      <c r="O6442" s="430" t="s">
        <v>1424</v>
      </c>
      <c r="P6442" s="485">
        <v>4000</v>
      </c>
      <c r="Q6442" s="485">
        <v>4</v>
      </c>
      <c r="R6442" s="490">
        <f t="shared" si="149"/>
        <v>16000</v>
      </c>
      <c r="S6442" s="434">
        <v>202303</v>
      </c>
      <c r="T6442" s="167"/>
      <c r="U6442" s="436"/>
      <c r="V6442" s="437"/>
      <c r="W6442" s="437"/>
      <c r="X6442" s="163">
        <v>44927</v>
      </c>
      <c r="Y6442" s="468"/>
    </row>
    <row r="6443" s="10" customFormat="1" customHeight="1" spans="1:25">
      <c r="A6443" s="481" t="s">
        <v>401</v>
      </c>
      <c r="B6443" s="459" t="s">
        <v>8192</v>
      </c>
      <c r="C6443" s="481" t="s">
        <v>110</v>
      </c>
      <c r="D6443" s="459" t="s">
        <v>6237</v>
      </c>
      <c r="E6443" s="47" t="s">
        <v>8532</v>
      </c>
      <c r="F6443" s="481" t="s">
        <v>8533</v>
      </c>
      <c r="G6443" s="441" t="s">
        <v>88</v>
      </c>
      <c r="H6443" s="137" t="s">
        <v>8534</v>
      </c>
      <c r="I6443" s="47" t="e">
        <f>VLOOKUP(H6443,'合同综合查询数据（3月返）'!$A:$A,1,FALSE)</f>
        <v>#N/A</v>
      </c>
      <c r="J6443" s="484" t="s">
        <v>2256</v>
      </c>
      <c r="K6443" s="441" t="s">
        <v>8555</v>
      </c>
      <c r="L6443" s="441"/>
      <c r="M6443" s="429" t="s">
        <v>8556</v>
      </c>
      <c r="N6443" s="430">
        <v>43008</v>
      </c>
      <c r="O6443" s="430" t="s">
        <v>1424</v>
      </c>
      <c r="P6443" s="485">
        <v>4000</v>
      </c>
      <c r="Q6443" s="485">
        <v>7</v>
      </c>
      <c r="R6443" s="490">
        <f t="shared" si="149"/>
        <v>28000</v>
      </c>
      <c r="S6443" s="434">
        <v>202303</v>
      </c>
      <c r="T6443" s="167"/>
      <c r="U6443" s="436"/>
      <c r="V6443" s="437"/>
      <c r="W6443" s="437"/>
      <c r="X6443" s="163">
        <v>44927</v>
      </c>
      <c r="Y6443" s="468"/>
    </row>
    <row r="6444" s="10" customFormat="1" customHeight="1" spans="1:25">
      <c r="A6444" s="481" t="s">
        <v>401</v>
      </c>
      <c r="B6444" s="459" t="s">
        <v>8192</v>
      </c>
      <c r="C6444" s="481" t="s">
        <v>110</v>
      </c>
      <c r="D6444" s="459" t="s">
        <v>6237</v>
      </c>
      <c r="E6444" s="47" t="s">
        <v>8532</v>
      </c>
      <c r="F6444" s="481" t="s">
        <v>8533</v>
      </c>
      <c r="G6444" s="441" t="s">
        <v>31</v>
      </c>
      <c r="H6444" s="137" t="s">
        <v>8534</v>
      </c>
      <c r="I6444" s="47" t="e">
        <f>VLOOKUP(H6444,'合同综合查询数据（3月返）'!$A:$A,1,FALSE)</f>
        <v>#N/A</v>
      </c>
      <c r="J6444" s="424" t="s">
        <v>7564</v>
      </c>
      <c r="K6444" s="441" t="s">
        <v>8557</v>
      </c>
      <c r="L6444" s="441"/>
      <c r="M6444" s="429"/>
      <c r="N6444" s="430">
        <v>43008</v>
      </c>
      <c r="O6444" s="430"/>
      <c r="P6444" s="486">
        <v>0</v>
      </c>
      <c r="Q6444" s="486">
        <v>512</v>
      </c>
      <c r="R6444" s="490">
        <f t="shared" si="149"/>
        <v>0</v>
      </c>
      <c r="S6444" s="434">
        <v>202303</v>
      </c>
      <c r="T6444" s="167" t="s">
        <v>8558</v>
      </c>
      <c r="U6444" s="436"/>
      <c r="V6444" s="437"/>
      <c r="W6444" s="437"/>
      <c r="X6444" s="163">
        <v>44927</v>
      </c>
      <c r="Y6444" s="468"/>
    </row>
    <row r="6445" s="10" customFormat="1" customHeight="1" spans="1:25">
      <c r="A6445" s="481" t="s">
        <v>401</v>
      </c>
      <c r="B6445" s="459" t="s">
        <v>8192</v>
      </c>
      <c r="C6445" s="481" t="s">
        <v>110</v>
      </c>
      <c r="D6445" s="459" t="s">
        <v>6237</v>
      </c>
      <c r="E6445" s="47" t="s">
        <v>8532</v>
      </c>
      <c r="F6445" s="481" t="s">
        <v>8533</v>
      </c>
      <c r="G6445" s="441" t="s">
        <v>88</v>
      </c>
      <c r="H6445" s="137" t="s">
        <v>8534</v>
      </c>
      <c r="I6445" s="47" t="e">
        <f>VLOOKUP(H6445,'合同综合查询数据（3月返）'!$A:$A,1,FALSE)</f>
        <v>#N/A</v>
      </c>
      <c r="J6445" s="484" t="s">
        <v>2256</v>
      </c>
      <c r="K6445" s="441" t="s">
        <v>8559</v>
      </c>
      <c r="L6445" s="441"/>
      <c r="M6445" s="429" t="s">
        <v>8560</v>
      </c>
      <c r="N6445" s="430" t="s">
        <v>8561</v>
      </c>
      <c r="O6445" s="430" t="s">
        <v>1424</v>
      </c>
      <c r="P6445" s="485">
        <v>4000</v>
      </c>
      <c r="Q6445" s="485">
        <v>14</v>
      </c>
      <c r="R6445" s="490">
        <f t="shared" si="149"/>
        <v>56000</v>
      </c>
      <c r="S6445" s="434">
        <v>202303</v>
      </c>
      <c r="T6445" s="167" t="s">
        <v>8562</v>
      </c>
      <c r="U6445" s="436"/>
      <c r="V6445" s="437"/>
      <c r="W6445" s="437"/>
      <c r="X6445" s="163">
        <v>44927</v>
      </c>
      <c r="Y6445" s="468"/>
    </row>
    <row r="6446" s="10" customFormat="1" customHeight="1" spans="1:25">
      <c r="A6446" s="481" t="s">
        <v>401</v>
      </c>
      <c r="B6446" s="459" t="s">
        <v>8192</v>
      </c>
      <c r="C6446" s="481" t="s">
        <v>110</v>
      </c>
      <c r="D6446" s="459" t="s">
        <v>6237</v>
      </c>
      <c r="E6446" s="47" t="s">
        <v>8532</v>
      </c>
      <c r="F6446" s="481" t="s">
        <v>8533</v>
      </c>
      <c r="G6446" s="441" t="s">
        <v>88</v>
      </c>
      <c r="H6446" s="137" t="s">
        <v>8534</v>
      </c>
      <c r="I6446" s="47" t="e">
        <f>VLOOKUP(H6446,'合同综合查询数据（3月返）'!$A:$A,1,FALSE)</f>
        <v>#N/A</v>
      </c>
      <c r="J6446" s="484" t="s">
        <v>2256</v>
      </c>
      <c r="K6446" s="441" t="s">
        <v>8527</v>
      </c>
      <c r="L6446" s="441" t="s">
        <v>8563</v>
      </c>
      <c r="M6446" s="429" t="s">
        <v>8560</v>
      </c>
      <c r="N6446" s="430">
        <v>44712</v>
      </c>
      <c r="O6446" s="430" t="s">
        <v>1424</v>
      </c>
      <c r="P6446" s="485">
        <v>4000</v>
      </c>
      <c r="Q6446" s="485">
        <v>-7</v>
      </c>
      <c r="R6446" s="490">
        <f t="shared" si="149"/>
        <v>-28000</v>
      </c>
      <c r="S6446" s="434">
        <v>202303</v>
      </c>
      <c r="T6446" s="167" t="s">
        <v>8564</v>
      </c>
      <c r="U6446" s="436"/>
      <c r="V6446" s="437"/>
      <c r="W6446" s="437"/>
      <c r="X6446" s="163">
        <v>44927</v>
      </c>
      <c r="Y6446" s="468"/>
    </row>
    <row r="6447" s="10" customFormat="1" customHeight="1" spans="1:25">
      <c r="A6447" s="481" t="s">
        <v>401</v>
      </c>
      <c r="B6447" s="459" t="s">
        <v>8192</v>
      </c>
      <c r="C6447" s="481" t="s">
        <v>110</v>
      </c>
      <c r="D6447" s="459" t="s">
        <v>6237</v>
      </c>
      <c r="E6447" s="47" t="s">
        <v>8532</v>
      </c>
      <c r="F6447" s="481" t="s">
        <v>8533</v>
      </c>
      <c r="G6447" s="441" t="s">
        <v>88</v>
      </c>
      <c r="H6447" s="137" t="s">
        <v>8534</v>
      </c>
      <c r="I6447" s="47" t="e">
        <f>VLOOKUP(H6447,'合同综合查询数据（3月返）'!$A:$A,1,FALSE)</f>
        <v>#N/A</v>
      </c>
      <c r="J6447" s="484" t="s">
        <v>2256</v>
      </c>
      <c r="K6447" s="441" t="s">
        <v>8527</v>
      </c>
      <c r="L6447" s="441" t="s">
        <v>8563</v>
      </c>
      <c r="M6447" s="429" t="s">
        <v>8560</v>
      </c>
      <c r="N6447" s="430">
        <v>44903</v>
      </c>
      <c r="O6447" s="430" t="s">
        <v>1424</v>
      </c>
      <c r="P6447" s="485">
        <v>4000</v>
      </c>
      <c r="Q6447" s="485">
        <v>-2</v>
      </c>
      <c r="R6447" s="490">
        <f t="shared" si="149"/>
        <v>-8000</v>
      </c>
      <c r="S6447" s="434">
        <v>202303</v>
      </c>
      <c r="T6447" s="167" t="s">
        <v>8565</v>
      </c>
      <c r="U6447" s="436"/>
      <c r="V6447" s="437"/>
      <c r="W6447" s="437"/>
      <c r="X6447" s="163">
        <v>44927</v>
      </c>
      <c r="Y6447" s="468"/>
    </row>
    <row r="6448" s="10" customFormat="1" customHeight="1" spans="1:25">
      <c r="A6448" s="481" t="s">
        <v>401</v>
      </c>
      <c r="B6448" s="459" t="s">
        <v>8192</v>
      </c>
      <c r="C6448" s="481" t="s">
        <v>110</v>
      </c>
      <c r="D6448" s="459" t="s">
        <v>6237</v>
      </c>
      <c r="E6448" s="47" t="s">
        <v>8532</v>
      </c>
      <c r="F6448" s="481" t="s">
        <v>8533</v>
      </c>
      <c r="G6448" s="441" t="s">
        <v>88</v>
      </c>
      <c r="H6448" s="137" t="s">
        <v>8534</v>
      </c>
      <c r="I6448" s="47" t="e">
        <f>VLOOKUP(H6448,'合同综合查询数据（3月返）'!$A:$A,1,FALSE)</f>
        <v>#N/A</v>
      </c>
      <c r="J6448" s="484" t="s">
        <v>2256</v>
      </c>
      <c r="K6448" s="441" t="s">
        <v>8527</v>
      </c>
      <c r="L6448" s="441" t="s">
        <v>8563</v>
      </c>
      <c r="M6448" s="429" t="s">
        <v>8560</v>
      </c>
      <c r="N6448" s="430">
        <v>44903</v>
      </c>
      <c r="O6448" s="430" t="s">
        <v>1424</v>
      </c>
      <c r="P6448" s="485">
        <v>4000</v>
      </c>
      <c r="Q6448" s="485">
        <v>-5</v>
      </c>
      <c r="R6448" s="490">
        <f t="shared" si="149"/>
        <v>-20000</v>
      </c>
      <c r="S6448" s="434">
        <v>202303</v>
      </c>
      <c r="T6448" s="167" t="s">
        <v>8566</v>
      </c>
      <c r="U6448" s="436"/>
      <c r="V6448" s="437"/>
      <c r="W6448" s="437"/>
      <c r="X6448" s="163">
        <v>44927</v>
      </c>
      <c r="Y6448" s="468"/>
    </row>
    <row r="6449" s="10" customFormat="1" customHeight="1" spans="1:25">
      <c r="A6449" s="481" t="s">
        <v>401</v>
      </c>
      <c r="B6449" s="459" t="s">
        <v>8192</v>
      </c>
      <c r="C6449" s="481" t="s">
        <v>110</v>
      </c>
      <c r="D6449" s="459" t="s">
        <v>6237</v>
      </c>
      <c r="E6449" s="47" t="s">
        <v>8532</v>
      </c>
      <c r="F6449" s="481" t="s">
        <v>8533</v>
      </c>
      <c r="G6449" s="441" t="s">
        <v>88</v>
      </c>
      <c r="H6449" s="137" t="s">
        <v>8534</v>
      </c>
      <c r="I6449" s="47" t="e">
        <f>VLOOKUP(H6449,'合同综合查询数据（3月返）'!$A:$A,1,FALSE)</f>
        <v>#N/A</v>
      </c>
      <c r="J6449" s="484" t="s">
        <v>2256</v>
      </c>
      <c r="K6449" s="441" t="s">
        <v>8527</v>
      </c>
      <c r="L6449" s="441" t="s">
        <v>8567</v>
      </c>
      <c r="M6449" s="429" t="s">
        <v>8560</v>
      </c>
      <c r="N6449" s="430">
        <v>44923</v>
      </c>
      <c r="O6449" s="430" t="s">
        <v>1424</v>
      </c>
      <c r="P6449" s="485">
        <v>4000</v>
      </c>
      <c r="Q6449" s="485">
        <v>5</v>
      </c>
      <c r="R6449" s="490">
        <f t="shared" si="149"/>
        <v>20000</v>
      </c>
      <c r="S6449" s="434">
        <v>202303</v>
      </c>
      <c r="T6449" s="167" t="s">
        <v>8568</v>
      </c>
      <c r="U6449" s="436"/>
      <c r="V6449" s="437"/>
      <c r="W6449" s="437"/>
      <c r="X6449" s="163">
        <v>44927</v>
      </c>
      <c r="Y6449" s="468"/>
    </row>
    <row r="6450" s="10" customFormat="1" customHeight="1" spans="1:25">
      <c r="A6450" s="481" t="s">
        <v>401</v>
      </c>
      <c r="B6450" s="459" t="s">
        <v>8192</v>
      </c>
      <c r="C6450" s="481" t="s">
        <v>110</v>
      </c>
      <c r="D6450" s="459" t="s">
        <v>6237</v>
      </c>
      <c r="E6450" s="47" t="s">
        <v>8532</v>
      </c>
      <c r="F6450" s="481" t="s">
        <v>8533</v>
      </c>
      <c r="G6450" s="441" t="s">
        <v>31</v>
      </c>
      <c r="H6450" s="137" t="s">
        <v>8534</v>
      </c>
      <c r="I6450" s="47" t="e">
        <f>VLOOKUP(H6450,'合同综合查询数据（3月返）'!$A:$A,1,FALSE)</f>
        <v>#N/A</v>
      </c>
      <c r="J6450" s="424" t="s">
        <v>7564</v>
      </c>
      <c r="K6450" s="441" t="s">
        <v>8569</v>
      </c>
      <c r="L6450" s="441" t="s">
        <v>8570</v>
      </c>
      <c r="M6450" s="429" t="s">
        <v>8560</v>
      </c>
      <c r="N6450" s="430" t="s">
        <v>8561</v>
      </c>
      <c r="O6450" s="430"/>
      <c r="P6450" s="486">
        <v>0</v>
      </c>
      <c r="Q6450" s="486">
        <v>576</v>
      </c>
      <c r="R6450" s="490">
        <f t="shared" si="149"/>
        <v>0</v>
      </c>
      <c r="S6450" s="434">
        <v>202303</v>
      </c>
      <c r="T6450" s="167" t="s">
        <v>8571</v>
      </c>
      <c r="U6450" s="436"/>
      <c r="V6450" s="437"/>
      <c r="W6450" s="437"/>
      <c r="X6450" s="163">
        <v>44927</v>
      </c>
      <c r="Y6450" s="468"/>
    </row>
    <row r="6451" s="10" customFormat="1" customHeight="1" spans="1:25">
      <c r="A6451" s="481" t="s">
        <v>401</v>
      </c>
      <c r="B6451" s="459" t="s">
        <v>8192</v>
      </c>
      <c r="C6451" s="481" t="s">
        <v>110</v>
      </c>
      <c r="D6451" s="459" t="s">
        <v>6237</v>
      </c>
      <c r="E6451" s="47" t="s">
        <v>8532</v>
      </c>
      <c r="F6451" s="481" t="s">
        <v>8533</v>
      </c>
      <c r="G6451" s="441" t="s">
        <v>31</v>
      </c>
      <c r="H6451" s="137" t="s">
        <v>8534</v>
      </c>
      <c r="I6451" s="47" t="e">
        <f>VLOOKUP(H6451,'合同综合查询数据（3月返）'!$A:$A,1,FALSE)</f>
        <v>#N/A</v>
      </c>
      <c r="J6451" s="424" t="s">
        <v>7564</v>
      </c>
      <c r="K6451" s="441" t="s">
        <v>8527</v>
      </c>
      <c r="L6451" s="441" t="s">
        <v>8563</v>
      </c>
      <c r="M6451" s="429" t="s">
        <v>8560</v>
      </c>
      <c r="N6451" s="430" t="s">
        <v>8572</v>
      </c>
      <c r="O6451" s="430"/>
      <c r="P6451" s="486">
        <v>0</v>
      </c>
      <c r="Q6451" s="486">
        <v>-288</v>
      </c>
      <c r="R6451" s="490">
        <f t="shared" si="149"/>
        <v>0</v>
      </c>
      <c r="S6451" s="434">
        <v>202303</v>
      </c>
      <c r="T6451" s="167" t="s">
        <v>8573</v>
      </c>
      <c r="U6451" s="436"/>
      <c r="V6451" s="437"/>
      <c r="W6451" s="437"/>
      <c r="X6451" s="163">
        <v>44927</v>
      </c>
      <c r="Y6451" s="468"/>
    </row>
    <row r="6452" s="10" customFormat="1" customHeight="1" spans="1:25">
      <c r="A6452" s="481" t="s">
        <v>401</v>
      </c>
      <c r="B6452" s="459" t="s">
        <v>8192</v>
      </c>
      <c r="C6452" s="481" t="s">
        <v>110</v>
      </c>
      <c r="D6452" s="459" t="s">
        <v>6237</v>
      </c>
      <c r="E6452" s="47" t="s">
        <v>8532</v>
      </c>
      <c r="F6452" s="481" t="s">
        <v>8533</v>
      </c>
      <c r="G6452" s="441" t="s">
        <v>88</v>
      </c>
      <c r="H6452" s="137" t="s">
        <v>8534</v>
      </c>
      <c r="I6452" s="47" t="e">
        <f>VLOOKUP(H6452,'合同综合查询数据（3月返）'!$A:$A,1,FALSE)</f>
        <v>#N/A</v>
      </c>
      <c r="J6452" s="484" t="s">
        <v>2256</v>
      </c>
      <c r="K6452" s="441" t="s">
        <v>8574</v>
      </c>
      <c r="L6452" s="441"/>
      <c r="M6452" s="429" t="s">
        <v>8560</v>
      </c>
      <c r="N6452" s="430">
        <v>43516</v>
      </c>
      <c r="O6452" s="430" t="s">
        <v>1424</v>
      </c>
      <c r="P6452" s="485">
        <v>4000</v>
      </c>
      <c r="Q6452" s="485">
        <v>7</v>
      </c>
      <c r="R6452" s="490">
        <f t="shared" si="149"/>
        <v>28000</v>
      </c>
      <c r="S6452" s="434">
        <v>202303</v>
      </c>
      <c r="T6452" s="167" t="s">
        <v>8575</v>
      </c>
      <c r="U6452" s="436"/>
      <c r="V6452" s="437"/>
      <c r="W6452" s="437"/>
      <c r="X6452" s="163">
        <v>44927</v>
      </c>
      <c r="Y6452" s="468"/>
    </row>
    <row r="6453" s="10" customFormat="1" customHeight="1" spans="1:25">
      <c r="A6453" s="481" t="s">
        <v>401</v>
      </c>
      <c r="B6453" s="459" t="s">
        <v>8192</v>
      </c>
      <c r="C6453" s="481" t="s">
        <v>110</v>
      </c>
      <c r="D6453" s="459" t="s">
        <v>6237</v>
      </c>
      <c r="E6453" s="47" t="s">
        <v>8532</v>
      </c>
      <c r="F6453" s="481" t="s">
        <v>8533</v>
      </c>
      <c r="G6453" s="441" t="s">
        <v>88</v>
      </c>
      <c r="H6453" s="137" t="s">
        <v>8534</v>
      </c>
      <c r="I6453" s="47" t="e">
        <f>VLOOKUP(H6453,'合同综合查询数据（3月返）'!$A:$A,1,FALSE)</f>
        <v>#N/A</v>
      </c>
      <c r="J6453" s="484" t="s">
        <v>2256</v>
      </c>
      <c r="K6453" s="441" t="s">
        <v>8576</v>
      </c>
      <c r="L6453" s="441"/>
      <c r="M6453" s="429" t="s">
        <v>8560</v>
      </c>
      <c r="N6453" s="430">
        <v>44075</v>
      </c>
      <c r="O6453" s="430" t="s">
        <v>1424</v>
      </c>
      <c r="P6453" s="485">
        <v>4000</v>
      </c>
      <c r="Q6453" s="485">
        <v>5</v>
      </c>
      <c r="R6453" s="490">
        <f t="shared" si="149"/>
        <v>20000</v>
      </c>
      <c r="S6453" s="434">
        <v>202303</v>
      </c>
      <c r="T6453" s="167" t="s">
        <v>8577</v>
      </c>
      <c r="U6453" s="436"/>
      <c r="V6453" s="437"/>
      <c r="W6453" s="437"/>
      <c r="X6453" s="163">
        <v>44927</v>
      </c>
      <c r="Y6453" s="468"/>
    </row>
    <row r="6454" s="10" customFormat="1" customHeight="1" spans="1:25">
      <c r="A6454" s="481" t="s">
        <v>401</v>
      </c>
      <c r="B6454" s="459" t="s">
        <v>8192</v>
      </c>
      <c r="C6454" s="481" t="s">
        <v>110</v>
      </c>
      <c r="D6454" s="459" t="s">
        <v>6237</v>
      </c>
      <c r="E6454" s="47" t="s">
        <v>8532</v>
      </c>
      <c r="F6454" s="481" t="s">
        <v>8533</v>
      </c>
      <c r="G6454" s="441" t="s">
        <v>88</v>
      </c>
      <c r="H6454" s="137" t="s">
        <v>8534</v>
      </c>
      <c r="I6454" s="47" t="e">
        <f>VLOOKUP(H6454,'合同综合查询数据（3月返）'!$A:$A,1,FALSE)</f>
        <v>#N/A</v>
      </c>
      <c r="J6454" s="484" t="s">
        <v>2256</v>
      </c>
      <c r="K6454" s="441" t="s">
        <v>8578</v>
      </c>
      <c r="L6454" s="441"/>
      <c r="M6454" s="429" t="s">
        <v>8579</v>
      </c>
      <c r="N6454" s="430">
        <v>44606</v>
      </c>
      <c r="O6454" s="430" t="s">
        <v>1424</v>
      </c>
      <c r="P6454" s="485">
        <v>4000</v>
      </c>
      <c r="Q6454" s="485">
        <v>1</v>
      </c>
      <c r="R6454" s="490">
        <f t="shared" si="149"/>
        <v>4000</v>
      </c>
      <c r="S6454" s="434">
        <v>202303</v>
      </c>
      <c r="T6454" s="167" t="s">
        <v>8580</v>
      </c>
      <c r="U6454" s="436"/>
      <c r="V6454" s="437"/>
      <c r="W6454" s="437"/>
      <c r="X6454" s="163">
        <v>44927</v>
      </c>
      <c r="Y6454" s="468"/>
    </row>
    <row r="6455" s="10" customFormat="1" customHeight="1" spans="1:25">
      <c r="A6455" s="481" t="s">
        <v>401</v>
      </c>
      <c r="B6455" s="459" t="s">
        <v>8192</v>
      </c>
      <c r="C6455" s="481" t="s">
        <v>110</v>
      </c>
      <c r="D6455" s="459" t="s">
        <v>6237</v>
      </c>
      <c r="E6455" s="47" t="s">
        <v>8532</v>
      </c>
      <c r="F6455" s="481" t="s">
        <v>8533</v>
      </c>
      <c r="G6455" s="441" t="s">
        <v>31</v>
      </c>
      <c r="H6455" s="137" t="s">
        <v>8534</v>
      </c>
      <c r="I6455" s="47" t="e">
        <f>VLOOKUP(H6455,'合同综合查询数据（3月返）'!$A:$A,1,FALSE)</f>
        <v>#N/A</v>
      </c>
      <c r="J6455" s="424" t="s">
        <v>7564</v>
      </c>
      <c r="K6455" s="441" t="s">
        <v>8574</v>
      </c>
      <c r="L6455" s="441"/>
      <c r="M6455" s="429" t="s">
        <v>8560</v>
      </c>
      <c r="N6455" s="430">
        <v>43516</v>
      </c>
      <c r="O6455" s="430"/>
      <c r="P6455" s="485">
        <v>0</v>
      </c>
      <c r="Q6455" s="485">
        <v>288</v>
      </c>
      <c r="R6455" s="490">
        <f t="shared" si="149"/>
        <v>0</v>
      </c>
      <c r="S6455" s="434">
        <v>202303</v>
      </c>
      <c r="T6455" s="167" t="s">
        <v>8581</v>
      </c>
      <c r="U6455" s="436"/>
      <c r="V6455" s="437"/>
      <c r="W6455" s="437"/>
      <c r="X6455" s="163">
        <v>44927</v>
      </c>
      <c r="Y6455" s="468"/>
    </row>
    <row r="6456" s="10" customFormat="1" customHeight="1" spans="1:25">
      <c r="A6456" s="481" t="s">
        <v>401</v>
      </c>
      <c r="B6456" s="459" t="s">
        <v>8192</v>
      </c>
      <c r="C6456" s="481" t="s">
        <v>110</v>
      </c>
      <c r="D6456" s="459" t="s">
        <v>6237</v>
      </c>
      <c r="E6456" s="47" t="s">
        <v>8532</v>
      </c>
      <c r="F6456" s="481" t="s">
        <v>8533</v>
      </c>
      <c r="G6456" s="441" t="s">
        <v>31</v>
      </c>
      <c r="H6456" s="137" t="s">
        <v>8534</v>
      </c>
      <c r="I6456" s="47" t="e">
        <f>VLOOKUP(H6456,'合同综合查询数据（3月返）'!$A:$A,1,FALSE)</f>
        <v>#N/A</v>
      </c>
      <c r="J6456" s="484" t="s">
        <v>7564</v>
      </c>
      <c r="K6456" s="441" t="s">
        <v>8576</v>
      </c>
      <c r="L6456" s="441"/>
      <c r="M6456" s="429" t="s">
        <v>8579</v>
      </c>
      <c r="N6456" s="430">
        <v>44075</v>
      </c>
      <c r="O6456" s="430"/>
      <c r="P6456" s="485">
        <v>0</v>
      </c>
      <c r="Q6456" s="485">
        <v>288</v>
      </c>
      <c r="R6456" s="490">
        <f t="shared" si="149"/>
        <v>0</v>
      </c>
      <c r="S6456" s="434">
        <v>202303</v>
      </c>
      <c r="T6456" s="167" t="s">
        <v>8582</v>
      </c>
      <c r="U6456" s="436"/>
      <c r="V6456" s="437"/>
      <c r="W6456" s="437"/>
      <c r="X6456" s="163">
        <v>44927</v>
      </c>
      <c r="Y6456" s="468"/>
    </row>
    <row r="6457" s="10" customFormat="1" customHeight="1" spans="1:25">
      <c r="A6457" s="481" t="s">
        <v>401</v>
      </c>
      <c r="B6457" s="459" t="s">
        <v>8192</v>
      </c>
      <c r="C6457" s="481" t="s">
        <v>110</v>
      </c>
      <c r="D6457" s="459" t="s">
        <v>6237</v>
      </c>
      <c r="E6457" s="47" t="s">
        <v>8532</v>
      </c>
      <c r="F6457" s="481" t="s">
        <v>8533</v>
      </c>
      <c r="G6457" s="441" t="s">
        <v>88</v>
      </c>
      <c r="H6457" s="137" t="s">
        <v>8534</v>
      </c>
      <c r="I6457" s="47" t="e">
        <f>VLOOKUP(H6457,'合同综合查询数据（3月返）'!$A:$A,1,FALSE)</f>
        <v>#N/A</v>
      </c>
      <c r="J6457" s="484" t="s">
        <v>2256</v>
      </c>
      <c r="K6457" s="441" t="s">
        <v>4299</v>
      </c>
      <c r="L6457" s="441"/>
      <c r="M6457" s="429" t="s">
        <v>8583</v>
      </c>
      <c r="N6457" s="430">
        <v>43384</v>
      </c>
      <c r="O6457" s="430" t="s">
        <v>1424</v>
      </c>
      <c r="P6457" s="485">
        <v>4000</v>
      </c>
      <c r="Q6457" s="485">
        <v>9</v>
      </c>
      <c r="R6457" s="490">
        <f t="shared" si="149"/>
        <v>36000</v>
      </c>
      <c r="S6457" s="434">
        <v>202303</v>
      </c>
      <c r="T6457" s="167" t="s">
        <v>8584</v>
      </c>
      <c r="U6457" s="436"/>
      <c r="V6457" s="437"/>
      <c r="W6457" s="437"/>
      <c r="X6457" s="163">
        <v>44927</v>
      </c>
      <c r="Y6457" s="468"/>
    </row>
    <row r="6458" s="10" customFormat="1" customHeight="1" spans="1:25">
      <c r="A6458" s="481" t="s">
        <v>401</v>
      </c>
      <c r="B6458" s="459" t="s">
        <v>8192</v>
      </c>
      <c r="C6458" s="481" t="s">
        <v>110</v>
      </c>
      <c r="D6458" s="459" t="s">
        <v>6237</v>
      </c>
      <c r="E6458" s="47" t="s">
        <v>8532</v>
      </c>
      <c r="F6458" s="481" t="s">
        <v>8533</v>
      </c>
      <c r="G6458" s="441" t="s">
        <v>88</v>
      </c>
      <c r="H6458" s="137" t="s">
        <v>8534</v>
      </c>
      <c r="I6458" s="47" t="e">
        <f>VLOOKUP(H6458,'合同综合查询数据（3月返）'!$A:$A,1,FALSE)</f>
        <v>#N/A</v>
      </c>
      <c r="J6458" s="484" t="s">
        <v>2256</v>
      </c>
      <c r="K6458" s="441" t="s">
        <v>4299</v>
      </c>
      <c r="L6458" s="441"/>
      <c r="M6458" s="429" t="s">
        <v>8583</v>
      </c>
      <c r="N6458" s="430">
        <v>44681</v>
      </c>
      <c r="O6458" s="430" t="s">
        <v>1424</v>
      </c>
      <c r="P6458" s="485">
        <v>4000</v>
      </c>
      <c r="Q6458" s="485">
        <v>-4</v>
      </c>
      <c r="R6458" s="490">
        <f t="shared" si="149"/>
        <v>-16000</v>
      </c>
      <c r="S6458" s="434">
        <v>202303</v>
      </c>
      <c r="T6458" s="167" t="s">
        <v>8585</v>
      </c>
      <c r="U6458" s="436"/>
      <c r="V6458" s="437"/>
      <c r="W6458" s="437"/>
      <c r="X6458" s="163">
        <v>44927</v>
      </c>
      <c r="Y6458" s="468"/>
    </row>
    <row r="6459" s="10" customFormat="1" customHeight="1" spans="1:25">
      <c r="A6459" s="481" t="s">
        <v>401</v>
      </c>
      <c r="B6459" s="459" t="s">
        <v>8192</v>
      </c>
      <c r="C6459" s="481" t="s">
        <v>110</v>
      </c>
      <c r="D6459" s="459" t="s">
        <v>6237</v>
      </c>
      <c r="E6459" s="47" t="s">
        <v>8532</v>
      </c>
      <c r="F6459" s="481" t="s">
        <v>8533</v>
      </c>
      <c r="G6459" s="441" t="s">
        <v>88</v>
      </c>
      <c r="H6459" s="137" t="s">
        <v>8534</v>
      </c>
      <c r="I6459" s="47" t="e">
        <f>VLOOKUP(H6459,'合同综合查询数据（3月返）'!$A:$A,1,FALSE)</f>
        <v>#N/A</v>
      </c>
      <c r="J6459" s="484" t="s">
        <v>2256</v>
      </c>
      <c r="K6459" s="441" t="s">
        <v>4299</v>
      </c>
      <c r="L6459" s="441"/>
      <c r="M6459" s="429" t="s">
        <v>8583</v>
      </c>
      <c r="N6459" s="430">
        <v>44712</v>
      </c>
      <c r="O6459" s="430" t="s">
        <v>1424</v>
      </c>
      <c r="P6459" s="485">
        <v>4000</v>
      </c>
      <c r="Q6459" s="485">
        <v>-5</v>
      </c>
      <c r="R6459" s="490">
        <f t="shared" si="149"/>
        <v>-20000</v>
      </c>
      <c r="S6459" s="434">
        <v>202303</v>
      </c>
      <c r="T6459" s="167" t="s">
        <v>8586</v>
      </c>
      <c r="U6459" s="436"/>
      <c r="V6459" s="437"/>
      <c r="W6459" s="437"/>
      <c r="X6459" s="163">
        <v>44927</v>
      </c>
      <c r="Y6459" s="468"/>
    </row>
    <row r="6460" s="10" customFormat="1" customHeight="1" spans="1:25">
      <c r="A6460" s="481" t="s">
        <v>401</v>
      </c>
      <c r="B6460" s="459" t="s">
        <v>8192</v>
      </c>
      <c r="C6460" s="481" t="s">
        <v>110</v>
      </c>
      <c r="D6460" s="459" t="s">
        <v>6237</v>
      </c>
      <c r="E6460" s="47" t="s">
        <v>8532</v>
      </c>
      <c r="F6460" s="481" t="s">
        <v>8533</v>
      </c>
      <c r="G6460" s="441" t="s">
        <v>31</v>
      </c>
      <c r="H6460" s="137" t="s">
        <v>8534</v>
      </c>
      <c r="I6460" s="47" t="e">
        <f>VLOOKUP(H6460,'合同综合查询数据（3月返）'!$A:$A,1,FALSE)</f>
        <v>#N/A</v>
      </c>
      <c r="J6460" s="424" t="s">
        <v>7564</v>
      </c>
      <c r="K6460" s="441" t="s">
        <v>4299</v>
      </c>
      <c r="L6460" s="441"/>
      <c r="M6460" s="429"/>
      <c r="N6460" s="430">
        <v>43384</v>
      </c>
      <c r="O6460" s="430"/>
      <c r="P6460" s="485">
        <v>0</v>
      </c>
      <c r="Q6460" s="485">
        <v>544</v>
      </c>
      <c r="R6460" s="490">
        <f t="shared" si="149"/>
        <v>0</v>
      </c>
      <c r="S6460" s="434">
        <v>202303</v>
      </c>
      <c r="T6460" s="167" t="s">
        <v>8587</v>
      </c>
      <c r="U6460" s="436"/>
      <c r="V6460" s="437"/>
      <c r="W6460" s="437"/>
      <c r="X6460" s="163">
        <v>44927</v>
      </c>
      <c r="Y6460" s="468"/>
    </row>
    <row r="6461" s="10" customFormat="1" customHeight="1" spans="1:25">
      <c r="A6461" s="481" t="s">
        <v>401</v>
      </c>
      <c r="B6461" s="459" t="s">
        <v>8192</v>
      </c>
      <c r="C6461" s="481" t="s">
        <v>110</v>
      </c>
      <c r="D6461" s="459" t="s">
        <v>6237</v>
      </c>
      <c r="E6461" s="47" t="s">
        <v>8532</v>
      </c>
      <c r="F6461" s="481" t="s">
        <v>8533</v>
      </c>
      <c r="G6461" s="441" t="s">
        <v>31</v>
      </c>
      <c r="H6461" s="137" t="s">
        <v>8534</v>
      </c>
      <c r="I6461" s="47" t="e">
        <f>VLOOKUP(H6461,'合同综合查询数据（3月返）'!$A:$A,1,FALSE)</f>
        <v>#N/A</v>
      </c>
      <c r="J6461" s="424" t="s">
        <v>7564</v>
      </c>
      <c r="K6461" s="441" t="s">
        <v>4299</v>
      </c>
      <c r="L6461" s="441"/>
      <c r="M6461" s="429"/>
      <c r="N6461" s="430">
        <v>44712</v>
      </c>
      <c r="O6461" s="430"/>
      <c r="P6461" s="485">
        <v>0</v>
      </c>
      <c r="Q6461" s="485">
        <v>-544</v>
      </c>
      <c r="R6461" s="490">
        <f t="shared" si="149"/>
        <v>0</v>
      </c>
      <c r="S6461" s="434">
        <v>202303</v>
      </c>
      <c r="T6461" s="167" t="s">
        <v>8588</v>
      </c>
      <c r="U6461" s="436"/>
      <c r="V6461" s="437"/>
      <c r="W6461" s="437"/>
      <c r="X6461" s="163">
        <v>44927</v>
      </c>
      <c r="Y6461" s="468"/>
    </row>
    <row r="6462" s="10" customFormat="1" customHeight="1" spans="1:25">
      <c r="A6462" s="481" t="s">
        <v>401</v>
      </c>
      <c r="B6462" s="459" t="s">
        <v>8192</v>
      </c>
      <c r="C6462" s="481" t="s">
        <v>110</v>
      </c>
      <c r="D6462" s="459" t="s">
        <v>6237</v>
      </c>
      <c r="E6462" s="47" t="s">
        <v>8532</v>
      </c>
      <c r="F6462" s="481" t="s">
        <v>8533</v>
      </c>
      <c r="G6462" s="441" t="s">
        <v>88</v>
      </c>
      <c r="H6462" s="137" t="s">
        <v>8534</v>
      </c>
      <c r="I6462" s="47" t="e">
        <f>VLOOKUP(H6462,'合同综合查询数据（3月返）'!$A:$A,1,FALSE)</f>
        <v>#N/A</v>
      </c>
      <c r="J6462" s="484" t="s">
        <v>2256</v>
      </c>
      <c r="K6462" s="441" t="s">
        <v>5515</v>
      </c>
      <c r="L6462" s="441"/>
      <c r="M6462" s="429" t="s">
        <v>8549</v>
      </c>
      <c r="N6462" s="430">
        <v>43810</v>
      </c>
      <c r="O6462" s="430" t="s">
        <v>1424</v>
      </c>
      <c r="P6462" s="485">
        <v>4000</v>
      </c>
      <c r="Q6462" s="485">
        <v>2</v>
      </c>
      <c r="R6462" s="490">
        <f t="shared" si="149"/>
        <v>8000</v>
      </c>
      <c r="S6462" s="434">
        <v>202303</v>
      </c>
      <c r="T6462" s="167" t="s">
        <v>8589</v>
      </c>
      <c r="U6462" s="436"/>
      <c r="V6462" s="437"/>
      <c r="W6462" s="437"/>
      <c r="X6462" s="163">
        <v>44927</v>
      </c>
      <c r="Y6462" s="468"/>
    </row>
    <row r="6463" s="10" customFormat="1" customHeight="1" spans="1:25">
      <c r="A6463" s="481" t="s">
        <v>401</v>
      </c>
      <c r="B6463" s="459" t="s">
        <v>8192</v>
      </c>
      <c r="C6463" s="481" t="s">
        <v>110</v>
      </c>
      <c r="D6463" s="459" t="s">
        <v>6237</v>
      </c>
      <c r="E6463" s="47" t="s">
        <v>8532</v>
      </c>
      <c r="F6463" s="481" t="s">
        <v>8533</v>
      </c>
      <c r="G6463" s="441" t="s">
        <v>88</v>
      </c>
      <c r="H6463" s="137" t="s">
        <v>8534</v>
      </c>
      <c r="I6463" s="47" t="e">
        <f>VLOOKUP(H6463,'合同综合查询数据（3月返）'!$A:$A,1,FALSE)</f>
        <v>#N/A</v>
      </c>
      <c r="J6463" s="484" t="s">
        <v>2256</v>
      </c>
      <c r="K6463" s="441" t="s">
        <v>5515</v>
      </c>
      <c r="L6463" s="441"/>
      <c r="M6463" s="429" t="s">
        <v>8549</v>
      </c>
      <c r="N6463" s="430">
        <v>44293</v>
      </c>
      <c r="O6463" s="430" t="s">
        <v>1424</v>
      </c>
      <c r="P6463" s="485">
        <v>4000</v>
      </c>
      <c r="Q6463" s="485">
        <v>1</v>
      </c>
      <c r="R6463" s="490">
        <f t="shared" si="149"/>
        <v>4000</v>
      </c>
      <c r="S6463" s="434">
        <v>202303</v>
      </c>
      <c r="T6463" s="167" t="s">
        <v>8590</v>
      </c>
      <c r="U6463" s="436"/>
      <c r="V6463" s="437"/>
      <c r="W6463" s="437"/>
      <c r="X6463" s="163">
        <v>44927</v>
      </c>
      <c r="Y6463" s="468"/>
    </row>
    <row r="6464" s="10" customFormat="1" customHeight="1" spans="1:25">
      <c r="A6464" s="481" t="s">
        <v>401</v>
      </c>
      <c r="B6464" s="459" t="s">
        <v>8192</v>
      </c>
      <c r="C6464" s="481" t="s">
        <v>110</v>
      </c>
      <c r="D6464" s="459" t="s">
        <v>6237</v>
      </c>
      <c r="E6464" s="47" t="s">
        <v>8532</v>
      </c>
      <c r="F6464" s="481" t="s">
        <v>8533</v>
      </c>
      <c r="G6464" s="441" t="s">
        <v>31</v>
      </c>
      <c r="H6464" s="137" t="s">
        <v>8534</v>
      </c>
      <c r="I6464" s="47" t="e">
        <f>VLOOKUP(H6464,'合同综合查询数据（3月返）'!$A:$A,1,FALSE)</f>
        <v>#N/A</v>
      </c>
      <c r="J6464" s="484" t="s">
        <v>8591</v>
      </c>
      <c r="K6464" s="441" t="s">
        <v>5515</v>
      </c>
      <c r="L6464" s="441"/>
      <c r="M6464" s="429" t="s">
        <v>8549</v>
      </c>
      <c r="N6464" s="430">
        <v>44293</v>
      </c>
      <c r="O6464" s="430" t="s">
        <v>37</v>
      </c>
      <c r="P6464" s="485">
        <v>0</v>
      </c>
      <c r="Q6464" s="485">
        <v>128</v>
      </c>
      <c r="R6464" s="490">
        <f t="shared" si="149"/>
        <v>0</v>
      </c>
      <c r="S6464" s="434">
        <v>202303</v>
      </c>
      <c r="T6464" s="167" t="s">
        <v>8592</v>
      </c>
      <c r="U6464" s="436"/>
      <c r="V6464" s="437"/>
      <c r="W6464" s="437"/>
      <c r="X6464" s="163">
        <v>44927</v>
      </c>
      <c r="Y6464" s="468"/>
    </row>
    <row r="6465" s="10" customFormat="1" customHeight="1" spans="1:25">
      <c r="A6465" s="481" t="s">
        <v>401</v>
      </c>
      <c r="B6465" s="459" t="s">
        <v>8192</v>
      </c>
      <c r="C6465" s="481" t="s">
        <v>110</v>
      </c>
      <c r="D6465" s="459" t="s">
        <v>6237</v>
      </c>
      <c r="E6465" s="47" t="s">
        <v>8532</v>
      </c>
      <c r="F6465" s="481" t="s">
        <v>8533</v>
      </c>
      <c r="G6465" s="441" t="s">
        <v>88</v>
      </c>
      <c r="H6465" s="137" t="s">
        <v>8534</v>
      </c>
      <c r="I6465" s="47" t="e">
        <f>VLOOKUP(H6465,'合同综合查询数据（3月返）'!$A:$A,1,FALSE)</f>
        <v>#N/A</v>
      </c>
      <c r="J6465" s="484" t="s">
        <v>2256</v>
      </c>
      <c r="K6465" s="441" t="s">
        <v>5515</v>
      </c>
      <c r="L6465" s="441"/>
      <c r="M6465" s="429" t="s">
        <v>8549</v>
      </c>
      <c r="N6465" s="430">
        <v>44303</v>
      </c>
      <c r="O6465" s="430" t="s">
        <v>1424</v>
      </c>
      <c r="P6465" s="485">
        <v>4000</v>
      </c>
      <c r="Q6465" s="485">
        <v>1</v>
      </c>
      <c r="R6465" s="490">
        <f t="shared" si="149"/>
        <v>4000</v>
      </c>
      <c r="S6465" s="434">
        <v>202303</v>
      </c>
      <c r="T6465" s="167" t="s">
        <v>8593</v>
      </c>
      <c r="U6465" s="436"/>
      <c r="V6465" s="437"/>
      <c r="W6465" s="437"/>
      <c r="X6465" s="163">
        <v>44927</v>
      </c>
      <c r="Y6465" s="468"/>
    </row>
    <row r="6466" s="10" customFormat="1" customHeight="1" spans="1:25">
      <c r="A6466" s="481" t="s">
        <v>401</v>
      </c>
      <c r="B6466" s="459" t="s">
        <v>8192</v>
      </c>
      <c r="C6466" s="481" t="s">
        <v>110</v>
      </c>
      <c r="D6466" s="459" t="s">
        <v>6237</v>
      </c>
      <c r="E6466" s="47" t="s">
        <v>8532</v>
      </c>
      <c r="F6466" s="481" t="s">
        <v>8533</v>
      </c>
      <c r="G6466" s="441" t="s">
        <v>31</v>
      </c>
      <c r="H6466" s="137" t="s">
        <v>8534</v>
      </c>
      <c r="I6466" s="47" t="e">
        <f>VLOOKUP(H6466,'合同综合查询数据（3月返）'!$A:$A,1,FALSE)</f>
        <v>#N/A</v>
      </c>
      <c r="J6466" s="484" t="s">
        <v>8591</v>
      </c>
      <c r="K6466" s="441" t="s">
        <v>5515</v>
      </c>
      <c r="L6466" s="441"/>
      <c r="M6466" s="429" t="s">
        <v>8549</v>
      </c>
      <c r="N6466" s="430">
        <v>44303</v>
      </c>
      <c r="O6466" s="430" t="s">
        <v>37</v>
      </c>
      <c r="P6466" s="485">
        <v>0</v>
      </c>
      <c r="Q6466" s="485">
        <v>128</v>
      </c>
      <c r="R6466" s="490">
        <f t="shared" si="149"/>
        <v>0</v>
      </c>
      <c r="S6466" s="434">
        <v>202303</v>
      </c>
      <c r="T6466" s="167" t="s">
        <v>8594</v>
      </c>
      <c r="U6466" s="436"/>
      <c r="V6466" s="437"/>
      <c r="W6466" s="437"/>
      <c r="X6466" s="163">
        <v>44927</v>
      </c>
      <c r="Y6466" s="468"/>
    </row>
    <row r="6467" s="10" customFormat="1" customHeight="1" spans="1:25">
      <c r="A6467" s="481" t="s">
        <v>401</v>
      </c>
      <c r="B6467" s="459" t="s">
        <v>8192</v>
      </c>
      <c r="C6467" s="481" t="s">
        <v>110</v>
      </c>
      <c r="D6467" s="459" t="s">
        <v>6237</v>
      </c>
      <c r="E6467" s="47" t="s">
        <v>8532</v>
      </c>
      <c r="F6467" s="481" t="s">
        <v>8533</v>
      </c>
      <c r="G6467" s="441" t="s">
        <v>88</v>
      </c>
      <c r="H6467" s="137" t="s">
        <v>8534</v>
      </c>
      <c r="I6467" s="47" t="e">
        <f>VLOOKUP(H6467,'合同综合查询数据（3月返）'!$A:$A,1,FALSE)</f>
        <v>#N/A</v>
      </c>
      <c r="J6467" s="484" t="s">
        <v>2256</v>
      </c>
      <c r="K6467" s="441" t="s">
        <v>5515</v>
      </c>
      <c r="L6467" s="441"/>
      <c r="M6467" s="429" t="s">
        <v>8549</v>
      </c>
      <c r="N6467" s="430">
        <v>44348</v>
      </c>
      <c r="O6467" s="430" t="s">
        <v>1424</v>
      </c>
      <c r="P6467" s="485">
        <v>4000</v>
      </c>
      <c r="Q6467" s="485">
        <v>4</v>
      </c>
      <c r="R6467" s="490">
        <f t="shared" si="149"/>
        <v>16000</v>
      </c>
      <c r="S6467" s="434">
        <v>202303</v>
      </c>
      <c r="T6467" s="167" t="s">
        <v>8595</v>
      </c>
      <c r="U6467" s="436"/>
      <c r="V6467" s="437"/>
      <c r="W6467" s="437"/>
      <c r="X6467" s="163">
        <v>44927</v>
      </c>
      <c r="Y6467" s="468"/>
    </row>
    <row r="6468" s="10" customFormat="1" customHeight="1" spans="1:25">
      <c r="A6468" s="481" t="s">
        <v>401</v>
      </c>
      <c r="B6468" s="459" t="s">
        <v>8192</v>
      </c>
      <c r="C6468" s="481" t="s">
        <v>110</v>
      </c>
      <c r="D6468" s="459" t="s">
        <v>6237</v>
      </c>
      <c r="E6468" s="47" t="s">
        <v>8532</v>
      </c>
      <c r="F6468" s="481" t="s">
        <v>8533</v>
      </c>
      <c r="G6468" s="441" t="s">
        <v>31</v>
      </c>
      <c r="H6468" s="137" t="s">
        <v>8534</v>
      </c>
      <c r="I6468" s="47" t="e">
        <f>VLOOKUP(H6468,'合同综合查询数据（3月返）'!$A:$A,1,FALSE)</f>
        <v>#N/A</v>
      </c>
      <c r="J6468" s="484" t="s">
        <v>8591</v>
      </c>
      <c r="K6468" s="441" t="s">
        <v>8596</v>
      </c>
      <c r="L6468" s="441"/>
      <c r="M6468" s="429" t="s">
        <v>8549</v>
      </c>
      <c r="N6468" s="430">
        <v>44750</v>
      </c>
      <c r="O6468" s="430" t="s">
        <v>37</v>
      </c>
      <c r="P6468" s="485">
        <v>0</v>
      </c>
      <c r="Q6468" s="485">
        <v>128</v>
      </c>
      <c r="R6468" s="490">
        <f t="shared" si="149"/>
        <v>0</v>
      </c>
      <c r="S6468" s="434">
        <v>202303</v>
      </c>
      <c r="T6468" s="167" t="s">
        <v>8597</v>
      </c>
      <c r="U6468" s="436"/>
      <c r="V6468" s="437"/>
      <c r="W6468" s="437"/>
      <c r="X6468" s="163">
        <v>44927</v>
      </c>
      <c r="Y6468" s="468"/>
    </row>
    <row r="6469" s="10" customFormat="1" customHeight="1" spans="1:25">
      <c r="A6469" s="481" t="s">
        <v>401</v>
      </c>
      <c r="B6469" s="459" t="s">
        <v>8192</v>
      </c>
      <c r="C6469" s="481" t="s">
        <v>110</v>
      </c>
      <c r="D6469" s="459" t="s">
        <v>6237</v>
      </c>
      <c r="E6469" s="47" t="s">
        <v>8532</v>
      </c>
      <c r="F6469" s="481" t="s">
        <v>8533</v>
      </c>
      <c r="G6469" s="441" t="s">
        <v>88</v>
      </c>
      <c r="H6469" s="137" t="s">
        <v>8534</v>
      </c>
      <c r="I6469" s="47" t="e">
        <f>VLOOKUP(H6469,'合同综合查询数据（3月返）'!$A:$A,1,FALSE)</f>
        <v>#N/A</v>
      </c>
      <c r="J6469" s="484" t="s">
        <v>2256</v>
      </c>
      <c r="K6469" s="441" t="s">
        <v>8596</v>
      </c>
      <c r="L6469" s="441"/>
      <c r="M6469" s="429" t="s">
        <v>8549</v>
      </c>
      <c r="N6469" s="430">
        <v>44750</v>
      </c>
      <c r="O6469" s="430" t="s">
        <v>1424</v>
      </c>
      <c r="P6469" s="485">
        <v>4000</v>
      </c>
      <c r="Q6469" s="485">
        <v>2</v>
      </c>
      <c r="R6469" s="490">
        <f t="shared" si="149"/>
        <v>8000</v>
      </c>
      <c r="S6469" s="434">
        <v>202303</v>
      </c>
      <c r="T6469" s="167" t="s">
        <v>8598</v>
      </c>
      <c r="U6469" s="436"/>
      <c r="V6469" s="437"/>
      <c r="W6469" s="437"/>
      <c r="X6469" s="163">
        <v>44927</v>
      </c>
      <c r="Y6469" s="468"/>
    </row>
    <row r="6470" s="10" customFormat="1" customHeight="1" spans="1:25">
      <c r="A6470" s="481" t="s">
        <v>401</v>
      </c>
      <c r="B6470" s="459" t="s">
        <v>8192</v>
      </c>
      <c r="C6470" s="481" t="s">
        <v>110</v>
      </c>
      <c r="D6470" s="459" t="s">
        <v>6237</v>
      </c>
      <c r="E6470" s="47" t="s">
        <v>8532</v>
      </c>
      <c r="F6470" s="481" t="s">
        <v>8533</v>
      </c>
      <c r="G6470" s="441" t="s">
        <v>88</v>
      </c>
      <c r="H6470" s="137" t="s">
        <v>8534</v>
      </c>
      <c r="I6470" s="47" t="e">
        <f>VLOOKUP(H6470,'合同综合查询数据（3月返）'!$A:$A,1,FALSE)</f>
        <v>#N/A</v>
      </c>
      <c r="J6470" s="484" t="s">
        <v>3074</v>
      </c>
      <c r="K6470" s="441" t="s">
        <v>5515</v>
      </c>
      <c r="L6470" s="441"/>
      <c r="M6470" s="429" t="s">
        <v>8549</v>
      </c>
      <c r="N6470" s="430">
        <v>44470</v>
      </c>
      <c r="O6470" s="430" t="s">
        <v>1424</v>
      </c>
      <c r="P6470" s="485">
        <v>4000</v>
      </c>
      <c r="Q6470" s="485">
        <v>1</v>
      </c>
      <c r="R6470" s="490">
        <f t="shared" si="149"/>
        <v>4000</v>
      </c>
      <c r="S6470" s="434">
        <v>202303</v>
      </c>
      <c r="T6470" s="167" t="s">
        <v>8599</v>
      </c>
      <c r="U6470" s="436"/>
      <c r="V6470" s="437"/>
      <c r="W6470" s="437"/>
      <c r="X6470" s="163">
        <v>44927</v>
      </c>
      <c r="Y6470" s="468"/>
    </row>
    <row r="6471" s="9" customFormat="1" customHeight="1" spans="1:25">
      <c r="A6471" s="492" t="s">
        <v>399</v>
      </c>
      <c r="B6471" s="446" t="s">
        <v>8192</v>
      </c>
      <c r="C6471" s="492" t="s">
        <v>110</v>
      </c>
      <c r="D6471" s="446" t="s">
        <v>6237</v>
      </c>
      <c r="E6471" s="23" t="s">
        <v>8600</v>
      </c>
      <c r="F6471" s="492" t="s">
        <v>8601</v>
      </c>
      <c r="G6471" s="493" t="s">
        <v>67</v>
      </c>
      <c r="H6471" s="100" t="s">
        <v>8602</v>
      </c>
      <c r="I6471" s="23" t="e">
        <f>VLOOKUP(H6471,'合同综合查询数据（3月返）'!$A:$A,1,FALSE)</f>
        <v>#N/A</v>
      </c>
      <c r="J6471" s="493" t="s">
        <v>69</v>
      </c>
      <c r="K6471" s="493" t="s">
        <v>8603</v>
      </c>
      <c r="L6471" s="493"/>
      <c r="M6471" s="449"/>
      <c r="N6471" s="252">
        <v>44071</v>
      </c>
      <c r="O6471" s="252" t="s">
        <v>71</v>
      </c>
      <c r="P6471" s="494">
        <v>400</v>
      </c>
      <c r="Q6471" s="494">
        <v>42.3</v>
      </c>
      <c r="R6471" s="495">
        <f t="shared" si="149"/>
        <v>16920</v>
      </c>
      <c r="S6471" s="456">
        <v>202303</v>
      </c>
      <c r="T6471" s="215" t="s">
        <v>8604</v>
      </c>
      <c r="U6471" s="488"/>
      <c r="V6471" s="458"/>
      <c r="W6471" s="458"/>
      <c r="X6471" s="466">
        <v>44027</v>
      </c>
      <c r="Y6471" s="498">
        <v>45121</v>
      </c>
    </row>
    <row r="6472" s="9" customFormat="1" customHeight="1" spans="1:25">
      <c r="A6472" s="492" t="s">
        <v>399</v>
      </c>
      <c r="B6472" s="446" t="s">
        <v>8192</v>
      </c>
      <c r="C6472" s="492" t="s">
        <v>110</v>
      </c>
      <c r="D6472" s="446" t="s">
        <v>6237</v>
      </c>
      <c r="E6472" s="23" t="s">
        <v>8600</v>
      </c>
      <c r="F6472" s="492" t="s">
        <v>8601</v>
      </c>
      <c r="G6472" s="493" t="s">
        <v>67</v>
      </c>
      <c r="H6472" s="100" t="s">
        <v>8602</v>
      </c>
      <c r="I6472" s="23" t="e">
        <f>VLOOKUP(H6472,'合同综合查询数据（3月返）'!$A:$A,1,FALSE)</f>
        <v>#N/A</v>
      </c>
      <c r="J6472" s="493" t="s">
        <v>69</v>
      </c>
      <c r="K6472" s="493" t="s">
        <v>8603</v>
      </c>
      <c r="L6472" s="493"/>
      <c r="M6472" s="449"/>
      <c r="N6472" s="252">
        <v>44098</v>
      </c>
      <c r="O6472" s="252" t="s">
        <v>2249</v>
      </c>
      <c r="P6472" s="494">
        <v>800</v>
      </c>
      <c r="Q6472" s="494">
        <v>30</v>
      </c>
      <c r="R6472" s="495">
        <f t="shared" si="149"/>
        <v>24000</v>
      </c>
      <c r="S6472" s="456">
        <v>202303</v>
      </c>
      <c r="T6472" s="215" t="s">
        <v>8605</v>
      </c>
      <c r="U6472" s="488"/>
      <c r="V6472" s="458"/>
      <c r="W6472" s="458"/>
      <c r="X6472" s="466">
        <v>44027</v>
      </c>
      <c r="Y6472" s="498">
        <v>45121</v>
      </c>
    </row>
    <row r="6473" s="9" customFormat="1" customHeight="1" spans="1:25">
      <c r="A6473" s="492" t="s">
        <v>399</v>
      </c>
      <c r="B6473" s="446" t="s">
        <v>8192</v>
      </c>
      <c r="C6473" s="492" t="s">
        <v>110</v>
      </c>
      <c r="D6473" s="446" t="s">
        <v>6237</v>
      </c>
      <c r="E6473" s="23" t="s">
        <v>8600</v>
      </c>
      <c r="F6473" s="492" t="s">
        <v>8601</v>
      </c>
      <c r="G6473" s="493" t="s">
        <v>67</v>
      </c>
      <c r="H6473" s="100" t="s">
        <v>8602</v>
      </c>
      <c r="I6473" s="23" t="e">
        <f>VLOOKUP(H6473,'合同综合查询数据（3月返）'!$A:$A,1,FALSE)</f>
        <v>#N/A</v>
      </c>
      <c r="J6473" s="493" t="s">
        <v>69</v>
      </c>
      <c r="K6473" s="493" t="s">
        <v>8606</v>
      </c>
      <c r="L6473" s="493"/>
      <c r="M6473" s="449"/>
      <c r="N6473" s="252">
        <v>44086</v>
      </c>
      <c r="O6473" s="252" t="s">
        <v>71</v>
      </c>
      <c r="P6473" s="494">
        <v>400</v>
      </c>
      <c r="Q6473" s="494">
        <v>79.2</v>
      </c>
      <c r="R6473" s="495">
        <f t="shared" si="149"/>
        <v>31680</v>
      </c>
      <c r="S6473" s="456">
        <v>202303</v>
      </c>
      <c r="T6473" s="215" t="s">
        <v>8607</v>
      </c>
      <c r="U6473" s="488"/>
      <c r="V6473" s="458"/>
      <c r="W6473" s="458"/>
      <c r="X6473" s="466">
        <v>44027</v>
      </c>
      <c r="Y6473" s="498">
        <v>45121</v>
      </c>
    </row>
    <row r="6474" s="9" customFormat="1" customHeight="1" spans="1:25">
      <c r="A6474" s="492" t="s">
        <v>399</v>
      </c>
      <c r="B6474" s="446" t="s">
        <v>8192</v>
      </c>
      <c r="C6474" s="492" t="s">
        <v>110</v>
      </c>
      <c r="D6474" s="446" t="s">
        <v>6237</v>
      </c>
      <c r="E6474" s="23" t="s">
        <v>8600</v>
      </c>
      <c r="F6474" s="492" t="s">
        <v>8601</v>
      </c>
      <c r="G6474" s="493" t="s">
        <v>67</v>
      </c>
      <c r="H6474" s="100" t="s">
        <v>8602</v>
      </c>
      <c r="I6474" s="23" t="e">
        <f>VLOOKUP(H6474,'合同综合查询数据（3月返）'!$A:$A,1,FALSE)</f>
        <v>#N/A</v>
      </c>
      <c r="J6474" s="493" t="s">
        <v>69</v>
      </c>
      <c r="K6474" s="493" t="s">
        <v>8606</v>
      </c>
      <c r="L6474" s="493"/>
      <c r="M6474" s="449"/>
      <c r="N6474" s="252">
        <v>44116</v>
      </c>
      <c r="O6474" s="252" t="s">
        <v>2249</v>
      </c>
      <c r="P6474" s="494">
        <v>800</v>
      </c>
      <c r="Q6474" s="494">
        <v>68</v>
      </c>
      <c r="R6474" s="495">
        <f t="shared" si="149"/>
        <v>54400</v>
      </c>
      <c r="S6474" s="456">
        <v>202303</v>
      </c>
      <c r="T6474" s="215" t="s">
        <v>8608</v>
      </c>
      <c r="U6474" s="488"/>
      <c r="V6474" s="458"/>
      <c r="W6474" s="458"/>
      <c r="X6474" s="466">
        <v>44027</v>
      </c>
      <c r="Y6474" s="498">
        <v>45121</v>
      </c>
    </row>
    <row r="6475" s="9" customFormat="1" customHeight="1" spans="1:25">
      <c r="A6475" s="492" t="s">
        <v>399</v>
      </c>
      <c r="B6475" s="446" t="s">
        <v>8192</v>
      </c>
      <c r="C6475" s="492" t="s">
        <v>110</v>
      </c>
      <c r="D6475" s="446" t="s">
        <v>6237</v>
      </c>
      <c r="E6475" s="23" t="s">
        <v>8600</v>
      </c>
      <c r="F6475" s="492" t="s">
        <v>8601</v>
      </c>
      <c r="G6475" s="493" t="s">
        <v>67</v>
      </c>
      <c r="H6475" s="100" t="s">
        <v>8602</v>
      </c>
      <c r="I6475" s="23" t="e">
        <f>VLOOKUP(H6475,'合同综合查询数据（3月返）'!$A:$A,1,FALSE)</f>
        <v>#N/A</v>
      </c>
      <c r="J6475" s="493" t="s">
        <v>69</v>
      </c>
      <c r="K6475" s="493" t="s">
        <v>8606</v>
      </c>
      <c r="L6475" s="493"/>
      <c r="M6475" s="449"/>
      <c r="N6475" s="252">
        <v>44086</v>
      </c>
      <c r="O6475" s="252" t="s">
        <v>2249</v>
      </c>
      <c r="P6475" s="494">
        <v>800</v>
      </c>
      <c r="Q6475" s="494">
        <v>48.7</v>
      </c>
      <c r="R6475" s="495">
        <f t="shared" si="149"/>
        <v>38960</v>
      </c>
      <c r="S6475" s="456">
        <v>202303</v>
      </c>
      <c r="T6475" s="215" t="s">
        <v>8609</v>
      </c>
      <c r="U6475" s="488"/>
      <c r="V6475" s="458"/>
      <c r="W6475" s="458"/>
      <c r="X6475" s="466">
        <v>44027</v>
      </c>
      <c r="Y6475" s="498">
        <v>45121</v>
      </c>
    </row>
    <row r="6476" s="9" customFormat="1" customHeight="1" spans="1:25">
      <c r="A6476" s="492" t="s">
        <v>399</v>
      </c>
      <c r="B6476" s="446" t="s">
        <v>8192</v>
      </c>
      <c r="C6476" s="492" t="s">
        <v>110</v>
      </c>
      <c r="D6476" s="446" t="s">
        <v>6237</v>
      </c>
      <c r="E6476" s="23" t="s">
        <v>8600</v>
      </c>
      <c r="F6476" s="492" t="s">
        <v>8601</v>
      </c>
      <c r="G6476" s="493" t="s">
        <v>67</v>
      </c>
      <c r="H6476" s="100" t="s">
        <v>8602</v>
      </c>
      <c r="I6476" s="23" t="e">
        <f>VLOOKUP(H6476,'合同综合查询数据（3月返）'!$A:$A,1,FALSE)</f>
        <v>#N/A</v>
      </c>
      <c r="J6476" s="493" t="s">
        <v>69</v>
      </c>
      <c r="K6476" s="493" t="s">
        <v>8606</v>
      </c>
      <c r="L6476" s="493"/>
      <c r="M6476" s="449"/>
      <c r="N6476" s="252">
        <v>44307</v>
      </c>
      <c r="O6476" s="252" t="s">
        <v>71</v>
      </c>
      <c r="P6476" s="494">
        <v>400</v>
      </c>
      <c r="Q6476" s="494">
        <v>69</v>
      </c>
      <c r="R6476" s="495">
        <f t="shared" si="149"/>
        <v>27600</v>
      </c>
      <c r="S6476" s="456">
        <v>202303</v>
      </c>
      <c r="T6476" s="215" t="s">
        <v>8610</v>
      </c>
      <c r="U6476" s="488"/>
      <c r="V6476" s="458"/>
      <c r="W6476" s="458"/>
      <c r="X6476" s="466">
        <v>44027</v>
      </c>
      <c r="Y6476" s="498">
        <v>45121</v>
      </c>
    </row>
    <row r="6477" s="9" customFormat="1" customHeight="1" spans="1:25">
      <c r="A6477" s="492" t="s">
        <v>399</v>
      </c>
      <c r="B6477" s="446" t="s">
        <v>8192</v>
      </c>
      <c r="C6477" s="492" t="s">
        <v>110</v>
      </c>
      <c r="D6477" s="446" t="s">
        <v>6237</v>
      </c>
      <c r="E6477" s="23" t="s">
        <v>8600</v>
      </c>
      <c r="F6477" s="492" t="s">
        <v>8601</v>
      </c>
      <c r="G6477" s="493" t="s">
        <v>67</v>
      </c>
      <c r="H6477" s="100" t="s">
        <v>8602</v>
      </c>
      <c r="I6477" s="23" t="e">
        <f>VLOOKUP(H6477,'合同综合查询数据（3月返）'!$A:$A,1,FALSE)</f>
        <v>#N/A</v>
      </c>
      <c r="J6477" s="493" t="s">
        <v>69</v>
      </c>
      <c r="K6477" s="493" t="s">
        <v>8606</v>
      </c>
      <c r="L6477" s="493"/>
      <c r="M6477" s="449"/>
      <c r="N6477" s="252">
        <v>44307</v>
      </c>
      <c r="O6477" s="252" t="s">
        <v>71</v>
      </c>
      <c r="P6477" s="494">
        <v>400</v>
      </c>
      <c r="Q6477" s="494">
        <v>58.9</v>
      </c>
      <c r="R6477" s="495">
        <f t="shared" si="149"/>
        <v>23560</v>
      </c>
      <c r="S6477" s="456">
        <v>202303</v>
      </c>
      <c r="T6477" s="215" t="s">
        <v>8611</v>
      </c>
      <c r="U6477" s="488"/>
      <c r="V6477" s="458"/>
      <c r="W6477" s="458"/>
      <c r="X6477" s="466">
        <v>44027</v>
      </c>
      <c r="Y6477" s="498">
        <v>45121</v>
      </c>
    </row>
    <row r="6478" s="9" customFormat="1" customHeight="1" spans="1:25">
      <c r="A6478" s="492" t="s">
        <v>399</v>
      </c>
      <c r="B6478" s="446" t="s">
        <v>8192</v>
      </c>
      <c r="C6478" s="492" t="s">
        <v>110</v>
      </c>
      <c r="D6478" s="446" t="s">
        <v>6237</v>
      </c>
      <c r="E6478" s="23" t="s">
        <v>8600</v>
      </c>
      <c r="F6478" s="492" t="s">
        <v>8601</v>
      </c>
      <c r="G6478" s="493" t="s">
        <v>67</v>
      </c>
      <c r="H6478" s="100" t="s">
        <v>8602</v>
      </c>
      <c r="I6478" s="23" t="e">
        <f>VLOOKUP(H6478,'合同综合查询数据（3月返）'!$A:$A,1,FALSE)</f>
        <v>#N/A</v>
      </c>
      <c r="J6478" s="493" t="s">
        <v>69</v>
      </c>
      <c r="K6478" s="493" t="s">
        <v>8606</v>
      </c>
      <c r="L6478" s="493"/>
      <c r="M6478" s="449"/>
      <c r="N6478" s="252">
        <v>44419</v>
      </c>
      <c r="O6478" s="252" t="s">
        <v>71</v>
      </c>
      <c r="P6478" s="494">
        <v>400</v>
      </c>
      <c r="Q6478" s="494">
        <v>110</v>
      </c>
      <c r="R6478" s="495">
        <f t="shared" si="149"/>
        <v>44000</v>
      </c>
      <c r="S6478" s="456">
        <v>202303</v>
      </c>
      <c r="T6478" s="215" t="s">
        <v>8612</v>
      </c>
      <c r="U6478" s="488"/>
      <c r="V6478" s="458"/>
      <c r="W6478" s="458"/>
      <c r="X6478" s="466">
        <v>44027</v>
      </c>
      <c r="Y6478" s="498">
        <v>45121</v>
      </c>
    </row>
    <row r="6479" s="9" customFormat="1" customHeight="1" spans="1:25">
      <c r="A6479" s="492" t="s">
        <v>399</v>
      </c>
      <c r="B6479" s="446" t="s">
        <v>8192</v>
      </c>
      <c r="C6479" s="492" t="s">
        <v>110</v>
      </c>
      <c r="D6479" s="446" t="s">
        <v>6237</v>
      </c>
      <c r="E6479" s="23" t="s">
        <v>8600</v>
      </c>
      <c r="F6479" s="492" t="s">
        <v>8601</v>
      </c>
      <c r="G6479" s="493" t="s">
        <v>67</v>
      </c>
      <c r="H6479" s="100" t="s">
        <v>8602</v>
      </c>
      <c r="I6479" s="23" t="e">
        <f>VLOOKUP(H6479,'合同综合查询数据（3月返）'!$A:$A,1,FALSE)</f>
        <v>#N/A</v>
      </c>
      <c r="J6479" s="493" t="s">
        <v>69</v>
      </c>
      <c r="K6479" s="493" t="s">
        <v>8603</v>
      </c>
      <c r="L6479" s="493"/>
      <c r="M6479" s="449"/>
      <c r="N6479" s="252">
        <v>44531</v>
      </c>
      <c r="O6479" s="252" t="s">
        <v>71</v>
      </c>
      <c r="P6479" s="494">
        <v>400</v>
      </c>
      <c r="Q6479" s="494">
        <v>31.3</v>
      </c>
      <c r="R6479" s="495">
        <f t="shared" si="149"/>
        <v>12520</v>
      </c>
      <c r="S6479" s="456">
        <v>202303</v>
      </c>
      <c r="T6479" s="215" t="s">
        <v>8613</v>
      </c>
      <c r="U6479" s="488"/>
      <c r="V6479" s="458"/>
      <c r="W6479" s="458"/>
      <c r="X6479" s="466">
        <v>44027</v>
      </c>
      <c r="Y6479" s="498">
        <v>45121</v>
      </c>
    </row>
    <row r="6480" s="9" customFormat="1" customHeight="1" spans="1:25">
      <c r="A6480" s="492" t="s">
        <v>399</v>
      </c>
      <c r="B6480" s="446" t="s">
        <v>8192</v>
      </c>
      <c r="C6480" s="492" t="s">
        <v>110</v>
      </c>
      <c r="D6480" s="446" t="s">
        <v>6237</v>
      </c>
      <c r="E6480" s="23" t="s">
        <v>8600</v>
      </c>
      <c r="F6480" s="492" t="s">
        <v>8614</v>
      </c>
      <c r="G6480" s="493" t="s">
        <v>88</v>
      </c>
      <c r="H6480" s="100" t="s">
        <v>8615</v>
      </c>
      <c r="I6480" s="23" t="e">
        <f>VLOOKUP(H6480,'合同综合查询数据（3月返）'!$A:$A,1,FALSE)</f>
        <v>#N/A</v>
      </c>
      <c r="J6480" s="473" t="s">
        <v>126</v>
      </c>
      <c r="K6480" s="493" t="s">
        <v>8616</v>
      </c>
      <c r="L6480" s="493"/>
      <c r="M6480" s="449" t="s">
        <v>8617</v>
      </c>
      <c r="N6480" s="252" t="s">
        <v>8618</v>
      </c>
      <c r="O6480" s="493" t="s">
        <v>457</v>
      </c>
      <c r="P6480" s="494">
        <v>5600</v>
      </c>
      <c r="Q6480" s="494">
        <v>12</v>
      </c>
      <c r="R6480" s="495">
        <f>Q6480*P6480</f>
        <v>67200</v>
      </c>
      <c r="S6480" s="456">
        <v>202303</v>
      </c>
      <c r="T6480" s="108" t="s">
        <v>8619</v>
      </c>
      <c r="U6480" s="496"/>
      <c r="V6480" s="458"/>
      <c r="W6480" s="458"/>
      <c r="X6480" s="466">
        <v>44866</v>
      </c>
      <c r="Y6480" s="466">
        <v>45230</v>
      </c>
    </row>
    <row r="6481" s="9" customFormat="1" customHeight="1" spans="1:25">
      <c r="A6481" s="492" t="s">
        <v>399</v>
      </c>
      <c r="B6481" s="446" t="s">
        <v>8192</v>
      </c>
      <c r="C6481" s="492" t="s">
        <v>110</v>
      </c>
      <c r="D6481" s="446" t="s">
        <v>6237</v>
      </c>
      <c r="E6481" s="23" t="s">
        <v>8600</v>
      </c>
      <c r="F6481" s="492" t="s">
        <v>8614</v>
      </c>
      <c r="G6481" s="473" t="s">
        <v>88</v>
      </c>
      <c r="H6481" s="100" t="s">
        <v>8615</v>
      </c>
      <c r="I6481" s="23" t="e">
        <f>VLOOKUP(H6481,'合同综合查询数据（3月返）'!$A:$A,1,FALSE)</f>
        <v>#N/A</v>
      </c>
      <c r="J6481" s="473" t="s">
        <v>126</v>
      </c>
      <c r="K6481" s="493" t="s">
        <v>8620</v>
      </c>
      <c r="L6481" s="493"/>
      <c r="M6481" s="449" t="s">
        <v>8617</v>
      </c>
      <c r="N6481" s="252">
        <v>44763</v>
      </c>
      <c r="O6481" s="493" t="s">
        <v>457</v>
      </c>
      <c r="P6481" s="494">
        <v>5600</v>
      </c>
      <c r="Q6481" s="494">
        <v>-2</v>
      </c>
      <c r="R6481" s="495">
        <f>ROUND(P6481*Q6481,2)</f>
        <v>-11200</v>
      </c>
      <c r="S6481" s="456">
        <v>202303</v>
      </c>
      <c r="T6481" s="215" t="s">
        <v>8621</v>
      </c>
      <c r="U6481" s="488"/>
      <c r="V6481" s="458"/>
      <c r="W6481" s="458"/>
      <c r="X6481" s="466">
        <v>44866</v>
      </c>
      <c r="Y6481" s="466">
        <v>45230</v>
      </c>
    </row>
    <row r="6482" s="9" customFormat="1" customHeight="1" spans="1:25">
      <c r="A6482" s="492" t="s">
        <v>399</v>
      </c>
      <c r="B6482" s="446" t="s">
        <v>8192</v>
      </c>
      <c r="C6482" s="492" t="s">
        <v>110</v>
      </c>
      <c r="D6482" s="446" t="s">
        <v>6237</v>
      </c>
      <c r="E6482" s="23" t="s">
        <v>8600</v>
      </c>
      <c r="F6482" s="492" t="s">
        <v>8614</v>
      </c>
      <c r="G6482" s="473" t="s">
        <v>88</v>
      </c>
      <c r="H6482" s="100" t="s">
        <v>8615</v>
      </c>
      <c r="I6482" s="23" t="e">
        <f>VLOOKUP(H6482,'合同综合查询数据（3月返）'!$A:$A,1,FALSE)</f>
        <v>#N/A</v>
      </c>
      <c r="J6482" s="473" t="s">
        <v>126</v>
      </c>
      <c r="K6482" s="493" t="s">
        <v>8620</v>
      </c>
      <c r="L6482" s="493"/>
      <c r="M6482" s="449" t="s">
        <v>8617</v>
      </c>
      <c r="N6482" s="252">
        <v>44926</v>
      </c>
      <c r="O6482" s="493" t="s">
        <v>457</v>
      </c>
      <c r="P6482" s="494">
        <v>5600</v>
      </c>
      <c r="Q6482" s="494">
        <v>-2</v>
      </c>
      <c r="R6482" s="495">
        <f>ROUND(P6482*Q6482,2)</f>
        <v>-11200</v>
      </c>
      <c r="S6482" s="456">
        <v>202303</v>
      </c>
      <c r="T6482" s="215" t="s">
        <v>8622</v>
      </c>
      <c r="U6482" s="488"/>
      <c r="V6482" s="458"/>
      <c r="W6482" s="458"/>
      <c r="X6482" s="466">
        <v>44866</v>
      </c>
      <c r="Y6482" s="466">
        <v>45230</v>
      </c>
    </row>
    <row r="6483" s="9" customFormat="1" customHeight="1" spans="1:25">
      <c r="A6483" s="492" t="s">
        <v>399</v>
      </c>
      <c r="B6483" s="446" t="s">
        <v>8192</v>
      </c>
      <c r="C6483" s="492" t="s">
        <v>110</v>
      </c>
      <c r="D6483" s="446" t="s">
        <v>6237</v>
      </c>
      <c r="E6483" s="23" t="s">
        <v>8600</v>
      </c>
      <c r="F6483" s="492" t="s">
        <v>8614</v>
      </c>
      <c r="G6483" s="493" t="s">
        <v>31</v>
      </c>
      <c r="H6483" s="100" t="s">
        <v>8615</v>
      </c>
      <c r="I6483" s="23" t="e">
        <f>VLOOKUP(H6483,'合同综合查询数据（3月返）'!$A:$A,1,FALSE)</f>
        <v>#N/A</v>
      </c>
      <c r="J6483" s="448" t="s">
        <v>7580</v>
      </c>
      <c r="K6483" s="493" t="s">
        <v>5515</v>
      </c>
      <c r="L6483" s="493" t="s">
        <v>8623</v>
      </c>
      <c r="M6483" s="449"/>
      <c r="N6483" s="252">
        <v>43461</v>
      </c>
      <c r="O6483" s="493"/>
      <c r="P6483" s="494">
        <v>0</v>
      </c>
      <c r="Q6483" s="494">
        <v>512</v>
      </c>
      <c r="R6483" s="495">
        <f t="shared" ref="R6483:R6488" si="150">P6483*Q6483</f>
        <v>0</v>
      </c>
      <c r="S6483" s="456">
        <v>202303</v>
      </c>
      <c r="T6483" s="121" t="s">
        <v>8624</v>
      </c>
      <c r="U6483" s="496"/>
      <c r="V6483" s="458"/>
      <c r="W6483" s="458"/>
      <c r="X6483" s="466">
        <v>44866</v>
      </c>
      <c r="Y6483" s="466">
        <v>45230</v>
      </c>
    </row>
    <row r="6484" s="9" customFormat="1" customHeight="1" spans="1:25">
      <c r="A6484" s="492" t="s">
        <v>399</v>
      </c>
      <c r="B6484" s="446" t="s">
        <v>8192</v>
      </c>
      <c r="C6484" s="492" t="s">
        <v>110</v>
      </c>
      <c r="D6484" s="446" t="s">
        <v>6237</v>
      </c>
      <c r="E6484" s="23" t="s">
        <v>8600</v>
      </c>
      <c r="F6484" s="492" t="s">
        <v>8614</v>
      </c>
      <c r="G6484" s="493" t="s">
        <v>31</v>
      </c>
      <c r="H6484" s="100" t="s">
        <v>8615</v>
      </c>
      <c r="I6484" s="23" t="e">
        <f>VLOOKUP(H6484,'合同综合查询数据（3月返）'!$A:$A,1,FALSE)</f>
        <v>#N/A</v>
      </c>
      <c r="J6484" s="448" t="s">
        <v>7580</v>
      </c>
      <c r="K6484" s="493" t="s">
        <v>5515</v>
      </c>
      <c r="L6484" s="493" t="s">
        <v>8623</v>
      </c>
      <c r="M6484" s="449"/>
      <c r="N6484" s="252">
        <v>43461</v>
      </c>
      <c r="O6484" s="493"/>
      <c r="P6484" s="494">
        <v>0</v>
      </c>
      <c r="Q6484" s="494">
        <v>-512</v>
      </c>
      <c r="R6484" s="495">
        <f t="shared" si="150"/>
        <v>0</v>
      </c>
      <c r="S6484" s="456">
        <v>202303</v>
      </c>
      <c r="T6484" s="121" t="s">
        <v>8624</v>
      </c>
      <c r="U6484" s="496"/>
      <c r="V6484" s="458"/>
      <c r="W6484" s="458"/>
      <c r="X6484" s="466">
        <v>44866</v>
      </c>
      <c r="Y6484" s="466">
        <v>45230</v>
      </c>
    </row>
    <row r="6485" s="9" customFormat="1" customHeight="1" spans="1:25">
      <c r="A6485" s="492" t="s">
        <v>399</v>
      </c>
      <c r="B6485" s="446" t="s">
        <v>8192</v>
      </c>
      <c r="C6485" s="492" t="s">
        <v>110</v>
      </c>
      <c r="D6485" s="446" t="s">
        <v>6237</v>
      </c>
      <c r="E6485" s="23" t="s">
        <v>8600</v>
      </c>
      <c r="F6485" s="492" t="s">
        <v>8614</v>
      </c>
      <c r="G6485" s="493" t="s">
        <v>31</v>
      </c>
      <c r="H6485" s="100" t="s">
        <v>8615</v>
      </c>
      <c r="I6485" s="23" t="e">
        <f>VLOOKUP(H6485,'合同综合查询数据（3月返）'!$A:$A,1,FALSE)</f>
        <v>#N/A</v>
      </c>
      <c r="J6485" s="448" t="s">
        <v>7564</v>
      </c>
      <c r="K6485" s="493" t="s">
        <v>5515</v>
      </c>
      <c r="L6485" s="493" t="s">
        <v>8625</v>
      </c>
      <c r="M6485" s="449"/>
      <c r="N6485" s="252">
        <v>43461</v>
      </c>
      <c r="O6485" s="493"/>
      <c r="P6485" s="494">
        <v>0</v>
      </c>
      <c r="Q6485" s="494">
        <v>544</v>
      </c>
      <c r="R6485" s="495">
        <f t="shared" si="150"/>
        <v>0</v>
      </c>
      <c r="S6485" s="456">
        <v>202303</v>
      </c>
      <c r="T6485" s="121" t="s">
        <v>8626</v>
      </c>
      <c r="U6485" s="496"/>
      <c r="V6485" s="458"/>
      <c r="W6485" s="458"/>
      <c r="X6485" s="466">
        <v>44866</v>
      </c>
      <c r="Y6485" s="466">
        <v>45230</v>
      </c>
    </row>
    <row r="6486" s="9" customFormat="1" customHeight="1" spans="1:25">
      <c r="A6486" s="492" t="s">
        <v>399</v>
      </c>
      <c r="B6486" s="446" t="s">
        <v>8192</v>
      </c>
      <c r="C6486" s="492" t="s">
        <v>110</v>
      </c>
      <c r="D6486" s="446" t="s">
        <v>6237</v>
      </c>
      <c r="E6486" s="23" t="s">
        <v>8600</v>
      </c>
      <c r="F6486" s="492" t="s">
        <v>8614</v>
      </c>
      <c r="G6486" s="493" t="s">
        <v>31</v>
      </c>
      <c r="H6486" s="100" t="s">
        <v>8615</v>
      </c>
      <c r="I6486" s="23" t="e">
        <f>VLOOKUP(H6486,'合同综合查询数据（3月返）'!$A:$A,1,FALSE)</f>
        <v>#N/A</v>
      </c>
      <c r="J6486" s="448" t="s">
        <v>7564</v>
      </c>
      <c r="K6486" s="493" t="s">
        <v>5515</v>
      </c>
      <c r="L6486" s="493" t="s">
        <v>8620</v>
      </c>
      <c r="M6486" s="449"/>
      <c r="N6486" s="252">
        <v>43461</v>
      </c>
      <c r="O6486" s="493"/>
      <c r="P6486" s="494">
        <v>0</v>
      </c>
      <c r="Q6486" s="494">
        <v>288</v>
      </c>
      <c r="R6486" s="495">
        <f t="shared" si="150"/>
        <v>0</v>
      </c>
      <c r="S6486" s="456">
        <v>202303</v>
      </c>
      <c r="T6486" s="121" t="s">
        <v>8624</v>
      </c>
      <c r="U6486" s="496"/>
      <c r="V6486" s="458"/>
      <c r="W6486" s="458"/>
      <c r="X6486" s="466">
        <v>44866</v>
      </c>
      <c r="Y6486" s="466">
        <v>45230</v>
      </c>
    </row>
    <row r="6487" s="9" customFormat="1" customHeight="1" spans="1:25">
      <c r="A6487" s="492" t="s">
        <v>399</v>
      </c>
      <c r="B6487" s="446" t="s">
        <v>8192</v>
      </c>
      <c r="C6487" s="492" t="s">
        <v>110</v>
      </c>
      <c r="D6487" s="446" t="s">
        <v>6237</v>
      </c>
      <c r="E6487" s="23" t="s">
        <v>8600</v>
      </c>
      <c r="F6487" s="492" t="s">
        <v>8614</v>
      </c>
      <c r="G6487" s="493" t="s">
        <v>31</v>
      </c>
      <c r="H6487" s="100" t="s">
        <v>8615</v>
      </c>
      <c r="I6487" s="23" t="e">
        <f>VLOOKUP(H6487,'合同综合查询数据（3月返）'!$A:$A,1,FALSE)</f>
        <v>#N/A</v>
      </c>
      <c r="J6487" s="448" t="s">
        <v>7564</v>
      </c>
      <c r="K6487" s="493" t="s">
        <v>5515</v>
      </c>
      <c r="L6487" s="493" t="s">
        <v>8620</v>
      </c>
      <c r="M6487" s="449"/>
      <c r="N6487" s="252">
        <v>44763</v>
      </c>
      <c r="O6487" s="493"/>
      <c r="P6487" s="494">
        <v>0</v>
      </c>
      <c r="Q6487" s="494">
        <v>-128</v>
      </c>
      <c r="R6487" s="495">
        <f t="shared" si="150"/>
        <v>0</v>
      </c>
      <c r="S6487" s="456">
        <v>202303</v>
      </c>
      <c r="T6487" s="121" t="s">
        <v>8627</v>
      </c>
      <c r="U6487" s="496"/>
      <c r="V6487" s="458"/>
      <c r="W6487" s="458"/>
      <c r="X6487" s="466">
        <v>44866</v>
      </c>
      <c r="Y6487" s="466">
        <v>45230</v>
      </c>
    </row>
    <row r="6488" s="9" customFormat="1" customHeight="1" spans="1:25">
      <c r="A6488" s="492" t="s">
        <v>399</v>
      </c>
      <c r="B6488" s="446" t="s">
        <v>8192</v>
      </c>
      <c r="C6488" s="492" t="s">
        <v>110</v>
      </c>
      <c r="D6488" s="446" t="s">
        <v>6237</v>
      </c>
      <c r="E6488" s="23" t="s">
        <v>8600</v>
      </c>
      <c r="F6488" s="492" t="s">
        <v>8614</v>
      </c>
      <c r="G6488" s="493" t="s">
        <v>31</v>
      </c>
      <c r="H6488" s="100" t="s">
        <v>8615</v>
      </c>
      <c r="I6488" s="23" t="e">
        <f>VLOOKUP(H6488,'合同综合查询数据（3月返）'!$A:$A,1,FALSE)</f>
        <v>#N/A</v>
      </c>
      <c r="J6488" s="448" t="s">
        <v>7564</v>
      </c>
      <c r="K6488" s="493" t="s">
        <v>5515</v>
      </c>
      <c r="L6488" s="493" t="s">
        <v>8620</v>
      </c>
      <c r="M6488" s="449"/>
      <c r="N6488" s="252">
        <v>44926</v>
      </c>
      <c r="O6488" s="493"/>
      <c r="P6488" s="494">
        <v>0</v>
      </c>
      <c r="Q6488" s="494">
        <v>-160</v>
      </c>
      <c r="R6488" s="495">
        <f t="shared" si="150"/>
        <v>0</v>
      </c>
      <c r="S6488" s="456">
        <v>202303</v>
      </c>
      <c r="T6488" s="121" t="s">
        <v>8628</v>
      </c>
      <c r="U6488" s="496"/>
      <c r="V6488" s="458"/>
      <c r="W6488" s="458"/>
      <c r="X6488" s="466">
        <v>44866</v>
      </c>
      <c r="Y6488" s="466">
        <v>45230</v>
      </c>
    </row>
    <row r="6489" s="9" customFormat="1" customHeight="1" spans="1:25">
      <c r="A6489" s="492" t="s">
        <v>399</v>
      </c>
      <c r="B6489" s="446" t="s">
        <v>8192</v>
      </c>
      <c r="C6489" s="492" t="s">
        <v>110</v>
      </c>
      <c r="D6489" s="446" t="s">
        <v>6237</v>
      </c>
      <c r="E6489" s="23" t="s">
        <v>8600</v>
      </c>
      <c r="F6489" s="492" t="s">
        <v>8614</v>
      </c>
      <c r="G6489" s="493" t="s">
        <v>88</v>
      </c>
      <c r="H6489" s="100" t="s">
        <v>8615</v>
      </c>
      <c r="I6489" s="23" t="e">
        <f>VLOOKUP(H6489,'合同综合查询数据（3月返）'!$A:$A,1,FALSE)</f>
        <v>#N/A</v>
      </c>
      <c r="J6489" s="473" t="s">
        <v>3074</v>
      </c>
      <c r="K6489" s="493" t="s">
        <v>5515</v>
      </c>
      <c r="L6489" s="493"/>
      <c r="M6489" s="449" t="s">
        <v>8629</v>
      </c>
      <c r="N6489" s="252"/>
      <c r="O6489" s="493" t="s">
        <v>457</v>
      </c>
      <c r="P6489" s="494">
        <v>5600</v>
      </c>
      <c r="Q6489" s="494">
        <v>491</v>
      </c>
      <c r="R6489" s="495">
        <f>Q6489*P6489</f>
        <v>2749600</v>
      </c>
      <c r="S6489" s="456">
        <v>202303</v>
      </c>
      <c r="T6489" s="108" t="s">
        <v>8630</v>
      </c>
      <c r="U6489" s="496"/>
      <c r="V6489" s="458"/>
      <c r="W6489" s="458"/>
      <c r="X6489" s="466">
        <v>44866</v>
      </c>
      <c r="Y6489" s="466">
        <v>45230</v>
      </c>
    </row>
    <row r="6490" s="9" customFormat="1" customHeight="1" spans="1:25">
      <c r="A6490" s="492" t="s">
        <v>399</v>
      </c>
      <c r="B6490" s="446" t="s">
        <v>8192</v>
      </c>
      <c r="C6490" s="492" t="s">
        <v>110</v>
      </c>
      <c r="D6490" s="446" t="s">
        <v>6237</v>
      </c>
      <c r="E6490" s="23" t="s">
        <v>8600</v>
      </c>
      <c r="F6490" s="492" t="s">
        <v>8614</v>
      </c>
      <c r="G6490" s="493" t="s">
        <v>88</v>
      </c>
      <c r="H6490" s="100" t="s">
        <v>8615</v>
      </c>
      <c r="I6490" s="23" t="e">
        <f>VLOOKUP(H6490,'合同综合查询数据（3月返）'!$A:$A,1,FALSE)</f>
        <v>#N/A</v>
      </c>
      <c r="J6490" s="473" t="s">
        <v>3074</v>
      </c>
      <c r="K6490" s="493" t="s">
        <v>5515</v>
      </c>
      <c r="L6490" s="493"/>
      <c r="M6490" s="449" t="s">
        <v>8629</v>
      </c>
      <c r="N6490" s="252"/>
      <c r="O6490" s="493" t="s">
        <v>457</v>
      </c>
      <c r="P6490" s="494">
        <v>5600</v>
      </c>
      <c r="Q6490" s="494">
        <v>-8</v>
      </c>
      <c r="R6490" s="495">
        <f t="shared" ref="R6490:R6499" si="151">ROUND(P6490*Q6490,2)</f>
        <v>-44800</v>
      </c>
      <c r="S6490" s="456">
        <v>202303</v>
      </c>
      <c r="T6490" s="108" t="s">
        <v>8631</v>
      </c>
      <c r="U6490" s="496"/>
      <c r="V6490" s="458"/>
      <c r="W6490" s="458"/>
      <c r="X6490" s="466">
        <v>44866</v>
      </c>
      <c r="Y6490" s="466">
        <v>45230</v>
      </c>
    </row>
    <row r="6491" s="9" customFormat="1" customHeight="1" spans="1:25">
      <c r="A6491" s="492" t="s">
        <v>399</v>
      </c>
      <c r="B6491" s="446" t="s">
        <v>8192</v>
      </c>
      <c r="C6491" s="492" t="s">
        <v>110</v>
      </c>
      <c r="D6491" s="446" t="s">
        <v>6237</v>
      </c>
      <c r="E6491" s="23" t="s">
        <v>8600</v>
      </c>
      <c r="F6491" s="492" t="s">
        <v>8614</v>
      </c>
      <c r="G6491" s="493" t="s">
        <v>88</v>
      </c>
      <c r="H6491" s="100" t="s">
        <v>8615</v>
      </c>
      <c r="I6491" s="23" t="e">
        <f>VLOOKUP(H6491,'合同综合查询数据（3月返）'!$A:$A,1,FALSE)</f>
        <v>#N/A</v>
      </c>
      <c r="J6491" s="473" t="s">
        <v>3074</v>
      </c>
      <c r="K6491" s="493" t="s">
        <v>5515</v>
      </c>
      <c r="L6491" s="493"/>
      <c r="M6491" s="449" t="s">
        <v>8629</v>
      </c>
      <c r="N6491" s="252">
        <v>43430</v>
      </c>
      <c r="O6491" s="493" t="s">
        <v>457</v>
      </c>
      <c r="P6491" s="494">
        <v>5600</v>
      </c>
      <c r="Q6491" s="494">
        <v>16</v>
      </c>
      <c r="R6491" s="495">
        <f t="shared" si="151"/>
        <v>89600</v>
      </c>
      <c r="S6491" s="456">
        <v>202303</v>
      </c>
      <c r="T6491" s="108" t="s">
        <v>8632</v>
      </c>
      <c r="U6491" s="496"/>
      <c r="V6491" s="458"/>
      <c r="W6491" s="458"/>
      <c r="X6491" s="466">
        <v>44866</v>
      </c>
      <c r="Y6491" s="466">
        <v>45230</v>
      </c>
    </row>
    <row r="6492" s="9" customFormat="1" customHeight="1" spans="1:25">
      <c r="A6492" s="492" t="s">
        <v>399</v>
      </c>
      <c r="B6492" s="446" t="s">
        <v>8192</v>
      </c>
      <c r="C6492" s="492" t="s">
        <v>110</v>
      </c>
      <c r="D6492" s="446" t="s">
        <v>6237</v>
      </c>
      <c r="E6492" s="23" t="s">
        <v>8600</v>
      </c>
      <c r="F6492" s="492" t="s">
        <v>8614</v>
      </c>
      <c r="G6492" s="493" t="s">
        <v>88</v>
      </c>
      <c r="H6492" s="100" t="s">
        <v>8615</v>
      </c>
      <c r="I6492" s="23" t="e">
        <f>VLOOKUP(H6492,'合同综合查询数据（3月返）'!$A:$A,1,FALSE)</f>
        <v>#N/A</v>
      </c>
      <c r="J6492" s="473" t="s">
        <v>3074</v>
      </c>
      <c r="K6492" s="493" t="s">
        <v>5515</v>
      </c>
      <c r="L6492" s="493"/>
      <c r="M6492" s="449" t="s">
        <v>8629</v>
      </c>
      <c r="N6492" s="252">
        <v>43431</v>
      </c>
      <c r="O6492" s="493" t="s">
        <v>457</v>
      </c>
      <c r="P6492" s="494">
        <v>5600</v>
      </c>
      <c r="Q6492" s="494">
        <v>37</v>
      </c>
      <c r="R6492" s="495">
        <f t="shared" si="151"/>
        <v>207200</v>
      </c>
      <c r="S6492" s="456">
        <v>202303</v>
      </c>
      <c r="T6492" s="108" t="s">
        <v>8633</v>
      </c>
      <c r="U6492" s="496"/>
      <c r="V6492" s="458"/>
      <c r="W6492" s="458"/>
      <c r="X6492" s="466">
        <v>44866</v>
      </c>
      <c r="Y6492" s="466">
        <v>45230</v>
      </c>
    </row>
    <row r="6493" s="9" customFormat="1" customHeight="1" spans="1:25">
      <c r="A6493" s="492" t="s">
        <v>399</v>
      </c>
      <c r="B6493" s="446" t="s">
        <v>8192</v>
      </c>
      <c r="C6493" s="492" t="s">
        <v>110</v>
      </c>
      <c r="D6493" s="446" t="s">
        <v>6237</v>
      </c>
      <c r="E6493" s="23" t="s">
        <v>8600</v>
      </c>
      <c r="F6493" s="492" t="s">
        <v>8614</v>
      </c>
      <c r="G6493" s="493" t="s">
        <v>88</v>
      </c>
      <c r="H6493" s="100" t="s">
        <v>8615</v>
      </c>
      <c r="I6493" s="23" t="e">
        <f>VLOOKUP(H6493,'合同综合查询数据（3月返）'!$A:$A,1,FALSE)</f>
        <v>#N/A</v>
      </c>
      <c r="J6493" s="473" t="s">
        <v>3074</v>
      </c>
      <c r="K6493" s="493" t="s">
        <v>5515</v>
      </c>
      <c r="L6493" s="493"/>
      <c r="M6493" s="449" t="s">
        <v>8629</v>
      </c>
      <c r="N6493" s="252">
        <v>43432</v>
      </c>
      <c r="O6493" s="493" t="s">
        <v>457</v>
      </c>
      <c r="P6493" s="494">
        <v>5600</v>
      </c>
      <c r="Q6493" s="494">
        <v>1</v>
      </c>
      <c r="R6493" s="495">
        <f t="shared" si="151"/>
        <v>5600</v>
      </c>
      <c r="S6493" s="456">
        <v>202303</v>
      </c>
      <c r="T6493" s="108" t="s">
        <v>8634</v>
      </c>
      <c r="U6493" s="496"/>
      <c r="V6493" s="458"/>
      <c r="W6493" s="458"/>
      <c r="X6493" s="466">
        <v>44866</v>
      </c>
      <c r="Y6493" s="466">
        <v>45230</v>
      </c>
    </row>
    <row r="6494" s="9" customFormat="1" customHeight="1" spans="1:25">
      <c r="A6494" s="492" t="s">
        <v>399</v>
      </c>
      <c r="B6494" s="446" t="s">
        <v>8192</v>
      </c>
      <c r="C6494" s="492" t="s">
        <v>110</v>
      </c>
      <c r="D6494" s="446" t="s">
        <v>6237</v>
      </c>
      <c r="E6494" s="23" t="s">
        <v>8600</v>
      </c>
      <c r="F6494" s="492" t="s">
        <v>8614</v>
      </c>
      <c r="G6494" s="493" t="s">
        <v>88</v>
      </c>
      <c r="H6494" s="100" t="s">
        <v>8615</v>
      </c>
      <c r="I6494" s="23" t="e">
        <f>VLOOKUP(H6494,'合同综合查询数据（3月返）'!$A:$A,1,FALSE)</f>
        <v>#N/A</v>
      </c>
      <c r="J6494" s="473" t="s">
        <v>3074</v>
      </c>
      <c r="K6494" s="493" t="s">
        <v>5515</v>
      </c>
      <c r="L6494" s="493"/>
      <c r="M6494" s="449" t="s">
        <v>8629</v>
      </c>
      <c r="N6494" s="252">
        <v>43434</v>
      </c>
      <c r="O6494" s="493" t="s">
        <v>457</v>
      </c>
      <c r="P6494" s="494">
        <v>5600</v>
      </c>
      <c r="Q6494" s="494">
        <v>2</v>
      </c>
      <c r="R6494" s="495">
        <f t="shared" si="151"/>
        <v>11200</v>
      </c>
      <c r="S6494" s="456">
        <v>202303</v>
      </c>
      <c r="T6494" s="108" t="s">
        <v>8635</v>
      </c>
      <c r="U6494" s="496"/>
      <c r="V6494" s="458"/>
      <c r="W6494" s="458"/>
      <c r="X6494" s="466">
        <v>44866</v>
      </c>
      <c r="Y6494" s="466">
        <v>45230</v>
      </c>
    </row>
    <row r="6495" s="9" customFormat="1" customHeight="1" spans="1:25">
      <c r="A6495" s="492" t="s">
        <v>399</v>
      </c>
      <c r="B6495" s="446" t="s">
        <v>8192</v>
      </c>
      <c r="C6495" s="492" t="s">
        <v>110</v>
      </c>
      <c r="D6495" s="446" t="s">
        <v>6237</v>
      </c>
      <c r="E6495" s="23" t="s">
        <v>8600</v>
      </c>
      <c r="F6495" s="492" t="s">
        <v>8614</v>
      </c>
      <c r="G6495" s="493" t="s">
        <v>88</v>
      </c>
      <c r="H6495" s="100" t="s">
        <v>8615</v>
      </c>
      <c r="I6495" s="23" t="e">
        <f>VLOOKUP(H6495,'合同综合查询数据（3月返）'!$A:$A,1,FALSE)</f>
        <v>#N/A</v>
      </c>
      <c r="J6495" s="473" t="s">
        <v>3074</v>
      </c>
      <c r="K6495" s="493" t="s">
        <v>5515</v>
      </c>
      <c r="L6495" s="493"/>
      <c r="M6495" s="449" t="s">
        <v>8629</v>
      </c>
      <c r="N6495" s="252">
        <v>43437</v>
      </c>
      <c r="O6495" s="493" t="s">
        <v>457</v>
      </c>
      <c r="P6495" s="494">
        <v>5600</v>
      </c>
      <c r="Q6495" s="494">
        <v>22</v>
      </c>
      <c r="R6495" s="495">
        <f t="shared" si="151"/>
        <v>123200</v>
      </c>
      <c r="S6495" s="456">
        <v>202303</v>
      </c>
      <c r="T6495" s="108" t="s">
        <v>8636</v>
      </c>
      <c r="U6495" s="496"/>
      <c r="V6495" s="458"/>
      <c r="W6495" s="458"/>
      <c r="X6495" s="466">
        <v>44866</v>
      </c>
      <c r="Y6495" s="466">
        <v>45230</v>
      </c>
    </row>
    <row r="6496" s="9" customFormat="1" customHeight="1" spans="1:25">
      <c r="A6496" s="492" t="s">
        <v>399</v>
      </c>
      <c r="B6496" s="446" t="s">
        <v>8192</v>
      </c>
      <c r="C6496" s="492" t="s">
        <v>110</v>
      </c>
      <c r="D6496" s="446" t="s">
        <v>6237</v>
      </c>
      <c r="E6496" s="23" t="s">
        <v>8600</v>
      </c>
      <c r="F6496" s="492" t="s">
        <v>8614</v>
      </c>
      <c r="G6496" s="493" t="s">
        <v>88</v>
      </c>
      <c r="H6496" s="100" t="s">
        <v>8615</v>
      </c>
      <c r="I6496" s="23" t="e">
        <f>VLOOKUP(H6496,'合同综合查询数据（3月返）'!$A:$A,1,FALSE)</f>
        <v>#N/A</v>
      </c>
      <c r="J6496" s="473" t="s">
        <v>3074</v>
      </c>
      <c r="K6496" s="493" t="s">
        <v>5515</v>
      </c>
      <c r="L6496" s="493"/>
      <c r="M6496" s="449" t="s">
        <v>8629</v>
      </c>
      <c r="N6496" s="252">
        <v>43451</v>
      </c>
      <c r="O6496" s="493" t="s">
        <v>457</v>
      </c>
      <c r="P6496" s="494">
        <v>5600</v>
      </c>
      <c r="Q6496" s="494">
        <v>37</v>
      </c>
      <c r="R6496" s="495">
        <f t="shared" si="151"/>
        <v>207200</v>
      </c>
      <c r="S6496" s="456">
        <v>202303</v>
      </c>
      <c r="T6496" s="108" t="s">
        <v>8637</v>
      </c>
      <c r="U6496" s="496"/>
      <c r="V6496" s="458"/>
      <c r="W6496" s="458"/>
      <c r="X6496" s="466">
        <v>44866</v>
      </c>
      <c r="Y6496" s="466">
        <v>45230</v>
      </c>
    </row>
    <row r="6497" s="9" customFormat="1" customHeight="1" spans="1:25">
      <c r="A6497" s="492" t="s">
        <v>399</v>
      </c>
      <c r="B6497" s="446" t="s">
        <v>8192</v>
      </c>
      <c r="C6497" s="492" t="s">
        <v>110</v>
      </c>
      <c r="D6497" s="446" t="s">
        <v>6237</v>
      </c>
      <c r="E6497" s="23" t="s">
        <v>8600</v>
      </c>
      <c r="F6497" s="492" t="s">
        <v>8614</v>
      </c>
      <c r="G6497" s="493" t="s">
        <v>88</v>
      </c>
      <c r="H6497" s="100" t="s">
        <v>8615</v>
      </c>
      <c r="I6497" s="23" t="e">
        <f>VLOOKUP(H6497,'合同综合查询数据（3月返）'!$A:$A,1,FALSE)</f>
        <v>#N/A</v>
      </c>
      <c r="J6497" s="473" t="s">
        <v>3074</v>
      </c>
      <c r="K6497" s="493" t="s">
        <v>5515</v>
      </c>
      <c r="L6497" s="493"/>
      <c r="M6497" s="449" t="s">
        <v>8629</v>
      </c>
      <c r="N6497" s="252">
        <v>43452</v>
      </c>
      <c r="O6497" s="493" t="s">
        <v>457</v>
      </c>
      <c r="P6497" s="494">
        <v>5600</v>
      </c>
      <c r="Q6497" s="494">
        <v>8</v>
      </c>
      <c r="R6497" s="495">
        <f t="shared" si="151"/>
        <v>44800</v>
      </c>
      <c r="S6497" s="456">
        <v>202303</v>
      </c>
      <c r="T6497" s="108" t="s">
        <v>8638</v>
      </c>
      <c r="U6497" s="496"/>
      <c r="V6497" s="458"/>
      <c r="W6497" s="458"/>
      <c r="X6497" s="466">
        <v>44866</v>
      </c>
      <c r="Y6497" s="466">
        <v>45230</v>
      </c>
    </row>
    <row r="6498" s="9" customFormat="1" customHeight="1" spans="1:25">
      <c r="A6498" s="492" t="s">
        <v>399</v>
      </c>
      <c r="B6498" s="446" t="s">
        <v>8192</v>
      </c>
      <c r="C6498" s="492" t="s">
        <v>110</v>
      </c>
      <c r="D6498" s="446" t="s">
        <v>6237</v>
      </c>
      <c r="E6498" s="23" t="s">
        <v>8600</v>
      </c>
      <c r="F6498" s="492" t="s">
        <v>8614</v>
      </c>
      <c r="G6498" s="493" t="s">
        <v>88</v>
      </c>
      <c r="H6498" s="100" t="s">
        <v>8615</v>
      </c>
      <c r="I6498" s="23" t="e">
        <f>VLOOKUP(H6498,'合同综合查询数据（3月返）'!$A:$A,1,FALSE)</f>
        <v>#N/A</v>
      </c>
      <c r="J6498" s="473" t="s">
        <v>3074</v>
      </c>
      <c r="K6498" s="493" t="s">
        <v>5515</v>
      </c>
      <c r="L6498" s="493"/>
      <c r="M6498" s="449" t="s">
        <v>8629</v>
      </c>
      <c r="N6498" s="252">
        <v>43455</v>
      </c>
      <c r="O6498" s="493" t="s">
        <v>457</v>
      </c>
      <c r="P6498" s="494">
        <v>5600</v>
      </c>
      <c r="Q6498" s="494">
        <v>4</v>
      </c>
      <c r="R6498" s="495">
        <f t="shared" si="151"/>
        <v>22400</v>
      </c>
      <c r="S6498" s="456">
        <v>202303</v>
      </c>
      <c r="T6498" s="108" t="s">
        <v>8639</v>
      </c>
      <c r="U6498" s="496"/>
      <c r="V6498" s="458"/>
      <c r="W6498" s="458"/>
      <c r="X6498" s="466">
        <v>44866</v>
      </c>
      <c r="Y6498" s="466">
        <v>45230</v>
      </c>
    </row>
    <row r="6499" s="9" customFormat="1" customHeight="1" spans="1:25">
      <c r="A6499" s="492" t="s">
        <v>399</v>
      </c>
      <c r="B6499" s="446" t="s">
        <v>8192</v>
      </c>
      <c r="C6499" s="492" t="s">
        <v>110</v>
      </c>
      <c r="D6499" s="446" t="s">
        <v>6237</v>
      </c>
      <c r="E6499" s="23" t="s">
        <v>8600</v>
      </c>
      <c r="F6499" s="492" t="s">
        <v>8614</v>
      </c>
      <c r="G6499" s="493" t="s">
        <v>88</v>
      </c>
      <c r="H6499" s="100" t="s">
        <v>8615</v>
      </c>
      <c r="I6499" s="23" t="e">
        <f>VLOOKUP(H6499,'合同综合查询数据（3月返）'!$A:$A,1,FALSE)</f>
        <v>#N/A</v>
      </c>
      <c r="J6499" s="473" t="s">
        <v>3074</v>
      </c>
      <c r="K6499" s="493" t="s">
        <v>5515</v>
      </c>
      <c r="L6499" s="493"/>
      <c r="M6499" s="449" t="s">
        <v>8629</v>
      </c>
      <c r="N6499" s="252">
        <v>43458</v>
      </c>
      <c r="O6499" s="493" t="s">
        <v>457</v>
      </c>
      <c r="P6499" s="494">
        <v>5600</v>
      </c>
      <c r="Q6499" s="494">
        <v>22</v>
      </c>
      <c r="R6499" s="495">
        <f t="shared" si="151"/>
        <v>123200</v>
      </c>
      <c r="S6499" s="456">
        <v>202303</v>
      </c>
      <c r="T6499" s="108" t="s">
        <v>8640</v>
      </c>
      <c r="U6499" s="496"/>
      <c r="V6499" s="458"/>
      <c r="W6499" s="458"/>
      <c r="X6499" s="466">
        <v>44866</v>
      </c>
      <c r="Y6499" s="466">
        <v>45230</v>
      </c>
    </row>
    <row r="6500" s="9" customFormat="1" customHeight="1" spans="1:25">
      <c r="A6500" s="492" t="s">
        <v>399</v>
      </c>
      <c r="B6500" s="446" t="s">
        <v>8192</v>
      </c>
      <c r="C6500" s="492" t="s">
        <v>110</v>
      </c>
      <c r="D6500" s="446" t="s">
        <v>6237</v>
      </c>
      <c r="E6500" s="23" t="s">
        <v>8600</v>
      </c>
      <c r="F6500" s="492" t="s">
        <v>8614</v>
      </c>
      <c r="G6500" s="493" t="s">
        <v>88</v>
      </c>
      <c r="H6500" s="100" t="s">
        <v>8615</v>
      </c>
      <c r="I6500" s="23" t="e">
        <f>VLOOKUP(H6500,'合同综合查询数据（3月返）'!$A:$A,1,FALSE)</f>
        <v>#N/A</v>
      </c>
      <c r="J6500" s="473" t="s">
        <v>3074</v>
      </c>
      <c r="K6500" s="493" t="s">
        <v>5515</v>
      </c>
      <c r="L6500" s="493"/>
      <c r="M6500" s="449" t="s">
        <v>8629</v>
      </c>
      <c r="N6500" s="252"/>
      <c r="O6500" s="493" t="s">
        <v>457</v>
      </c>
      <c r="P6500" s="494">
        <v>5600</v>
      </c>
      <c r="Q6500" s="494">
        <v>-4</v>
      </c>
      <c r="R6500" s="495">
        <v>-22400</v>
      </c>
      <c r="S6500" s="456">
        <v>202303</v>
      </c>
      <c r="T6500" s="108"/>
      <c r="U6500" s="496"/>
      <c r="V6500" s="458"/>
      <c r="W6500" s="458"/>
      <c r="X6500" s="466">
        <v>44866</v>
      </c>
      <c r="Y6500" s="466">
        <v>45230</v>
      </c>
    </row>
    <row r="6501" s="9" customFormat="1" customHeight="1" spans="1:25">
      <c r="A6501" s="492" t="s">
        <v>399</v>
      </c>
      <c r="B6501" s="446" t="s">
        <v>8192</v>
      </c>
      <c r="C6501" s="492" t="s">
        <v>110</v>
      </c>
      <c r="D6501" s="446" t="s">
        <v>6237</v>
      </c>
      <c r="E6501" s="23" t="s">
        <v>8600</v>
      </c>
      <c r="F6501" s="492" t="s">
        <v>8614</v>
      </c>
      <c r="G6501" s="493" t="s">
        <v>88</v>
      </c>
      <c r="H6501" s="100" t="s">
        <v>8615</v>
      </c>
      <c r="I6501" s="23" t="e">
        <f>VLOOKUP(H6501,'合同综合查询数据（3月返）'!$A:$A,1,FALSE)</f>
        <v>#N/A</v>
      </c>
      <c r="J6501" s="473" t="s">
        <v>3074</v>
      </c>
      <c r="K6501" s="493" t="s">
        <v>5515</v>
      </c>
      <c r="L6501" s="493"/>
      <c r="M6501" s="449" t="s">
        <v>8629</v>
      </c>
      <c r="N6501" s="252"/>
      <c r="O6501" s="493" t="s">
        <v>506</v>
      </c>
      <c r="P6501" s="494">
        <v>7420</v>
      </c>
      <c r="Q6501" s="494">
        <v>4</v>
      </c>
      <c r="R6501" s="495">
        <f>Q6501*P6501</f>
        <v>29680</v>
      </c>
      <c r="S6501" s="456">
        <v>202303</v>
      </c>
      <c r="T6501" s="108" t="s">
        <v>8641</v>
      </c>
      <c r="U6501" s="496"/>
      <c r="V6501" s="458"/>
      <c r="W6501" s="458"/>
      <c r="X6501" s="466">
        <v>44866</v>
      </c>
      <c r="Y6501" s="466">
        <v>45230</v>
      </c>
    </row>
    <row r="6502" s="9" customFormat="1" customHeight="1" spans="1:25">
      <c r="A6502" s="492" t="s">
        <v>399</v>
      </c>
      <c r="B6502" s="446" t="s">
        <v>8192</v>
      </c>
      <c r="C6502" s="492" t="s">
        <v>110</v>
      </c>
      <c r="D6502" s="446" t="s">
        <v>6237</v>
      </c>
      <c r="E6502" s="23" t="s">
        <v>8600</v>
      </c>
      <c r="F6502" s="492" t="s">
        <v>8614</v>
      </c>
      <c r="G6502" s="493" t="s">
        <v>88</v>
      </c>
      <c r="H6502" s="100" t="s">
        <v>8615</v>
      </c>
      <c r="I6502" s="23" t="e">
        <f>VLOOKUP(H6502,'合同综合查询数据（3月返）'!$A:$A,1,FALSE)</f>
        <v>#N/A</v>
      </c>
      <c r="J6502" s="473" t="s">
        <v>3074</v>
      </c>
      <c r="K6502" s="493" t="s">
        <v>5515</v>
      </c>
      <c r="L6502" s="493"/>
      <c r="M6502" s="449" t="s">
        <v>8629</v>
      </c>
      <c r="N6502" s="252"/>
      <c r="O6502" s="493" t="s">
        <v>461</v>
      </c>
      <c r="P6502" s="494">
        <v>10800</v>
      </c>
      <c r="Q6502" s="494">
        <v>2</v>
      </c>
      <c r="R6502" s="495">
        <f>Q6502*P6502</f>
        <v>21600</v>
      </c>
      <c r="S6502" s="456">
        <v>202303</v>
      </c>
      <c r="T6502" s="108"/>
      <c r="U6502" s="496"/>
      <c r="V6502" s="458"/>
      <c r="W6502" s="458"/>
      <c r="X6502" s="466">
        <v>44866</v>
      </c>
      <c r="Y6502" s="466">
        <v>45230</v>
      </c>
    </row>
    <row r="6503" s="9" customFormat="1" customHeight="1" spans="1:25">
      <c r="A6503" s="492" t="s">
        <v>399</v>
      </c>
      <c r="B6503" s="446" t="s">
        <v>8192</v>
      </c>
      <c r="C6503" s="492" t="s">
        <v>110</v>
      </c>
      <c r="D6503" s="446" t="s">
        <v>6237</v>
      </c>
      <c r="E6503" s="23" t="s">
        <v>8600</v>
      </c>
      <c r="F6503" s="492" t="s">
        <v>8614</v>
      </c>
      <c r="G6503" s="493" t="s">
        <v>88</v>
      </c>
      <c r="H6503" s="100" t="s">
        <v>8615</v>
      </c>
      <c r="I6503" s="23" t="e">
        <f>VLOOKUP(H6503,'合同综合查询数据（3月返）'!$A:$A,1,FALSE)</f>
        <v>#N/A</v>
      </c>
      <c r="J6503" s="473" t="s">
        <v>3074</v>
      </c>
      <c r="K6503" s="493" t="s">
        <v>5515</v>
      </c>
      <c r="L6503" s="493"/>
      <c r="M6503" s="449" t="s">
        <v>8629</v>
      </c>
      <c r="N6503" s="252"/>
      <c r="O6503" s="493" t="s">
        <v>519</v>
      </c>
      <c r="P6503" s="494">
        <v>16650</v>
      </c>
      <c r="Q6503" s="494">
        <v>14</v>
      </c>
      <c r="R6503" s="495">
        <f>Q6503*P6503</f>
        <v>233100</v>
      </c>
      <c r="S6503" s="456">
        <v>202303</v>
      </c>
      <c r="T6503" s="108" t="s">
        <v>8641</v>
      </c>
      <c r="U6503" s="496"/>
      <c r="V6503" s="458"/>
      <c r="W6503" s="458"/>
      <c r="X6503" s="466">
        <v>44866</v>
      </c>
      <c r="Y6503" s="466">
        <v>45230</v>
      </c>
    </row>
    <row r="6504" s="9" customFormat="1" customHeight="1" spans="1:25">
      <c r="A6504" s="492" t="s">
        <v>399</v>
      </c>
      <c r="B6504" s="446" t="s">
        <v>8192</v>
      </c>
      <c r="C6504" s="492" t="s">
        <v>110</v>
      </c>
      <c r="D6504" s="446" t="s">
        <v>6237</v>
      </c>
      <c r="E6504" s="23" t="s">
        <v>8600</v>
      </c>
      <c r="F6504" s="492" t="s">
        <v>8614</v>
      </c>
      <c r="G6504" s="493" t="s">
        <v>88</v>
      </c>
      <c r="H6504" s="100" t="s">
        <v>8615</v>
      </c>
      <c r="I6504" s="23" t="e">
        <f>VLOOKUP(H6504,'合同综合查询数据（3月返）'!$A:$A,1,FALSE)</f>
        <v>#N/A</v>
      </c>
      <c r="J6504" s="473" t="s">
        <v>3074</v>
      </c>
      <c r="K6504" s="493" t="s">
        <v>5515</v>
      </c>
      <c r="L6504" s="493"/>
      <c r="M6504" s="449" t="s">
        <v>8629</v>
      </c>
      <c r="N6504" s="252">
        <v>43459</v>
      </c>
      <c r="O6504" s="493" t="s">
        <v>457</v>
      </c>
      <c r="P6504" s="494">
        <v>5600</v>
      </c>
      <c r="Q6504" s="494">
        <v>14</v>
      </c>
      <c r="R6504" s="495">
        <f>Q6504*P6504</f>
        <v>78400</v>
      </c>
      <c r="S6504" s="456">
        <v>202303</v>
      </c>
      <c r="T6504" s="108" t="s">
        <v>8642</v>
      </c>
      <c r="U6504" s="496"/>
      <c r="V6504" s="458"/>
      <c r="W6504" s="458"/>
      <c r="X6504" s="466">
        <v>44866</v>
      </c>
      <c r="Y6504" s="466">
        <v>45230</v>
      </c>
    </row>
    <row r="6505" s="9" customFormat="1" customHeight="1" spans="1:25">
      <c r="A6505" s="492" t="s">
        <v>399</v>
      </c>
      <c r="B6505" s="446" t="s">
        <v>8192</v>
      </c>
      <c r="C6505" s="492" t="s">
        <v>110</v>
      </c>
      <c r="D6505" s="446" t="s">
        <v>6237</v>
      </c>
      <c r="E6505" s="23" t="s">
        <v>8600</v>
      </c>
      <c r="F6505" s="492" t="s">
        <v>8614</v>
      </c>
      <c r="G6505" s="493" t="s">
        <v>88</v>
      </c>
      <c r="H6505" s="100" t="s">
        <v>8615</v>
      </c>
      <c r="I6505" s="23" t="e">
        <f>VLOOKUP(H6505,'合同综合查询数据（3月返）'!$A:$A,1,FALSE)</f>
        <v>#N/A</v>
      </c>
      <c r="J6505" s="473" t="s">
        <v>3074</v>
      </c>
      <c r="K6505" s="493" t="s">
        <v>5515</v>
      </c>
      <c r="L6505" s="493"/>
      <c r="M6505" s="449" t="s">
        <v>8629</v>
      </c>
      <c r="N6505" s="252">
        <v>43460</v>
      </c>
      <c r="O6505" s="493" t="s">
        <v>457</v>
      </c>
      <c r="P6505" s="494">
        <v>5600</v>
      </c>
      <c r="Q6505" s="494">
        <v>3</v>
      </c>
      <c r="R6505" s="495">
        <f t="shared" ref="R6505:R6563" si="152">ROUND(P6505*Q6505,2)</f>
        <v>16800</v>
      </c>
      <c r="S6505" s="456">
        <v>202303</v>
      </c>
      <c r="T6505" s="108" t="s">
        <v>8643</v>
      </c>
      <c r="U6505" s="496"/>
      <c r="V6505" s="458"/>
      <c r="W6505" s="458"/>
      <c r="X6505" s="466">
        <v>44866</v>
      </c>
      <c r="Y6505" s="466">
        <v>45230</v>
      </c>
    </row>
    <row r="6506" s="9" customFormat="1" customHeight="1" spans="1:25">
      <c r="A6506" s="492" t="s">
        <v>399</v>
      </c>
      <c r="B6506" s="446" t="s">
        <v>8192</v>
      </c>
      <c r="C6506" s="492" t="s">
        <v>110</v>
      </c>
      <c r="D6506" s="446" t="s">
        <v>6237</v>
      </c>
      <c r="E6506" s="23" t="s">
        <v>8600</v>
      </c>
      <c r="F6506" s="492" t="s">
        <v>8614</v>
      </c>
      <c r="G6506" s="493" t="s">
        <v>88</v>
      </c>
      <c r="H6506" s="100" t="s">
        <v>8615</v>
      </c>
      <c r="I6506" s="23" t="e">
        <f>VLOOKUP(H6506,'合同综合查询数据（3月返）'!$A:$A,1,FALSE)</f>
        <v>#N/A</v>
      </c>
      <c r="J6506" s="473" t="s">
        <v>3074</v>
      </c>
      <c r="K6506" s="493" t="s">
        <v>5515</v>
      </c>
      <c r="L6506" s="493"/>
      <c r="M6506" s="449" t="s">
        <v>8629</v>
      </c>
      <c r="N6506" s="252">
        <v>43461</v>
      </c>
      <c r="O6506" s="493" t="s">
        <v>457</v>
      </c>
      <c r="P6506" s="494">
        <v>5600</v>
      </c>
      <c r="Q6506" s="494">
        <v>20</v>
      </c>
      <c r="R6506" s="495">
        <f t="shared" si="152"/>
        <v>112000</v>
      </c>
      <c r="S6506" s="456">
        <v>202303</v>
      </c>
      <c r="T6506" s="108" t="s">
        <v>8644</v>
      </c>
      <c r="U6506" s="497"/>
      <c r="V6506" s="458"/>
      <c r="W6506" s="458"/>
      <c r="X6506" s="466">
        <v>44866</v>
      </c>
      <c r="Y6506" s="466">
        <v>45230</v>
      </c>
    </row>
    <row r="6507" s="9" customFormat="1" customHeight="1" spans="1:25">
      <c r="A6507" s="492" t="s">
        <v>399</v>
      </c>
      <c r="B6507" s="446" t="s">
        <v>8192</v>
      </c>
      <c r="C6507" s="492" t="s">
        <v>110</v>
      </c>
      <c r="D6507" s="446" t="s">
        <v>6237</v>
      </c>
      <c r="E6507" s="23" t="s">
        <v>8600</v>
      </c>
      <c r="F6507" s="492" t="s">
        <v>8614</v>
      </c>
      <c r="G6507" s="493" t="s">
        <v>88</v>
      </c>
      <c r="H6507" s="100" t="s">
        <v>8615</v>
      </c>
      <c r="I6507" s="23" t="e">
        <f>VLOOKUP(H6507,'合同综合查询数据（3月返）'!$A:$A,1,FALSE)</f>
        <v>#N/A</v>
      </c>
      <c r="J6507" s="473" t="s">
        <v>3074</v>
      </c>
      <c r="K6507" s="493" t="s">
        <v>5515</v>
      </c>
      <c r="L6507" s="493"/>
      <c r="M6507" s="449" t="s">
        <v>8629</v>
      </c>
      <c r="N6507" s="252">
        <v>43462</v>
      </c>
      <c r="O6507" s="493" t="s">
        <v>457</v>
      </c>
      <c r="P6507" s="494">
        <v>5600</v>
      </c>
      <c r="Q6507" s="494">
        <v>5</v>
      </c>
      <c r="R6507" s="495">
        <f t="shared" si="152"/>
        <v>28000</v>
      </c>
      <c r="S6507" s="456">
        <v>202303</v>
      </c>
      <c r="T6507" s="108" t="s">
        <v>8645</v>
      </c>
      <c r="U6507" s="496"/>
      <c r="V6507" s="458"/>
      <c r="W6507" s="458"/>
      <c r="X6507" s="466">
        <v>44866</v>
      </c>
      <c r="Y6507" s="466">
        <v>45230</v>
      </c>
    </row>
    <row r="6508" s="9" customFormat="1" customHeight="1" spans="1:25">
      <c r="A6508" s="492" t="s">
        <v>399</v>
      </c>
      <c r="B6508" s="446" t="s">
        <v>8192</v>
      </c>
      <c r="C6508" s="492" t="s">
        <v>110</v>
      </c>
      <c r="D6508" s="446" t="s">
        <v>6237</v>
      </c>
      <c r="E6508" s="23" t="s">
        <v>8600</v>
      </c>
      <c r="F6508" s="492" t="s">
        <v>8614</v>
      </c>
      <c r="G6508" s="493" t="s">
        <v>88</v>
      </c>
      <c r="H6508" s="100" t="s">
        <v>8615</v>
      </c>
      <c r="I6508" s="23" t="e">
        <f>VLOOKUP(H6508,'合同综合查询数据（3月返）'!$A:$A,1,FALSE)</f>
        <v>#N/A</v>
      </c>
      <c r="J6508" s="473" t="s">
        <v>3074</v>
      </c>
      <c r="K6508" s="493" t="s">
        <v>5515</v>
      </c>
      <c r="L6508" s="493"/>
      <c r="M6508" s="449" t="s">
        <v>8629</v>
      </c>
      <c r="N6508" s="252">
        <v>43468</v>
      </c>
      <c r="O6508" s="493" t="s">
        <v>457</v>
      </c>
      <c r="P6508" s="494">
        <v>5600</v>
      </c>
      <c r="Q6508" s="494">
        <v>14</v>
      </c>
      <c r="R6508" s="495">
        <f t="shared" si="152"/>
        <v>78400</v>
      </c>
      <c r="S6508" s="456">
        <v>202303</v>
      </c>
      <c r="T6508" s="108" t="s">
        <v>8646</v>
      </c>
      <c r="U6508" s="496"/>
      <c r="V6508" s="458"/>
      <c r="W6508" s="458"/>
      <c r="X6508" s="466">
        <v>44866</v>
      </c>
      <c r="Y6508" s="466">
        <v>45230</v>
      </c>
    </row>
    <row r="6509" s="9" customFormat="1" customHeight="1" spans="1:25">
      <c r="A6509" s="492" t="s">
        <v>399</v>
      </c>
      <c r="B6509" s="446" t="s">
        <v>8192</v>
      </c>
      <c r="C6509" s="492" t="s">
        <v>110</v>
      </c>
      <c r="D6509" s="446" t="s">
        <v>6237</v>
      </c>
      <c r="E6509" s="23" t="s">
        <v>8600</v>
      </c>
      <c r="F6509" s="492" t="s">
        <v>8614</v>
      </c>
      <c r="G6509" s="493" t="s">
        <v>88</v>
      </c>
      <c r="H6509" s="100" t="s">
        <v>8615</v>
      </c>
      <c r="I6509" s="23" t="e">
        <f>VLOOKUP(H6509,'合同综合查询数据（3月返）'!$A:$A,1,FALSE)</f>
        <v>#N/A</v>
      </c>
      <c r="J6509" s="473" t="s">
        <v>3074</v>
      </c>
      <c r="K6509" s="493" t="s">
        <v>5515</v>
      </c>
      <c r="L6509" s="493"/>
      <c r="M6509" s="449" t="s">
        <v>8629</v>
      </c>
      <c r="N6509" s="252">
        <v>43472</v>
      </c>
      <c r="O6509" s="493" t="s">
        <v>457</v>
      </c>
      <c r="P6509" s="494">
        <v>5600</v>
      </c>
      <c r="Q6509" s="494">
        <v>2</v>
      </c>
      <c r="R6509" s="495">
        <f t="shared" si="152"/>
        <v>11200</v>
      </c>
      <c r="S6509" s="456">
        <v>202303</v>
      </c>
      <c r="T6509" s="108" t="s">
        <v>8647</v>
      </c>
      <c r="U6509" s="496"/>
      <c r="V6509" s="458"/>
      <c r="W6509" s="458"/>
      <c r="X6509" s="466">
        <v>44866</v>
      </c>
      <c r="Y6509" s="466">
        <v>45230</v>
      </c>
    </row>
    <row r="6510" s="9" customFormat="1" customHeight="1" spans="1:25">
      <c r="A6510" s="492" t="s">
        <v>399</v>
      </c>
      <c r="B6510" s="446" t="s">
        <v>8192</v>
      </c>
      <c r="C6510" s="492" t="s">
        <v>110</v>
      </c>
      <c r="D6510" s="446" t="s">
        <v>6237</v>
      </c>
      <c r="E6510" s="23" t="s">
        <v>8600</v>
      </c>
      <c r="F6510" s="492" t="s">
        <v>8614</v>
      </c>
      <c r="G6510" s="493" t="s">
        <v>88</v>
      </c>
      <c r="H6510" s="100" t="s">
        <v>8615</v>
      </c>
      <c r="I6510" s="23" t="e">
        <f>VLOOKUP(H6510,'合同综合查询数据（3月返）'!$A:$A,1,FALSE)</f>
        <v>#N/A</v>
      </c>
      <c r="J6510" s="473" t="s">
        <v>3074</v>
      </c>
      <c r="K6510" s="493" t="s">
        <v>5515</v>
      </c>
      <c r="L6510" s="493"/>
      <c r="M6510" s="449" t="s">
        <v>8629</v>
      </c>
      <c r="N6510" s="252">
        <v>43479</v>
      </c>
      <c r="O6510" s="493" t="s">
        <v>457</v>
      </c>
      <c r="P6510" s="494">
        <v>5600</v>
      </c>
      <c r="Q6510" s="494">
        <v>4</v>
      </c>
      <c r="R6510" s="495">
        <f t="shared" si="152"/>
        <v>22400</v>
      </c>
      <c r="S6510" s="456">
        <v>202303</v>
      </c>
      <c r="T6510" s="108" t="s">
        <v>8648</v>
      </c>
      <c r="U6510" s="496"/>
      <c r="V6510" s="458"/>
      <c r="W6510" s="458"/>
      <c r="X6510" s="466">
        <v>44866</v>
      </c>
      <c r="Y6510" s="466">
        <v>45230</v>
      </c>
    </row>
    <row r="6511" s="9" customFormat="1" customHeight="1" spans="1:25">
      <c r="A6511" s="492" t="s">
        <v>399</v>
      </c>
      <c r="B6511" s="446" t="s">
        <v>8192</v>
      </c>
      <c r="C6511" s="492" t="s">
        <v>110</v>
      </c>
      <c r="D6511" s="446" t="s">
        <v>6237</v>
      </c>
      <c r="E6511" s="23" t="s">
        <v>8600</v>
      </c>
      <c r="F6511" s="492" t="s">
        <v>8614</v>
      </c>
      <c r="G6511" s="493" t="s">
        <v>88</v>
      </c>
      <c r="H6511" s="100" t="s">
        <v>8615</v>
      </c>
      <c r="I6511" s="23" t="e">
        <f>VLOOKUP(H6511,'合同综合查询数据（3月返）'!$A:$A,1,FALSE)</f>
        <v>#N/A</v>
      </c>
      <c r="J6511" s="473" t="s">
        <v>3074</v>
      </c>
      <c r="K6511" s="493" t="s">
        <v>5515</v>
      </c>
      <c r="L6511" s="493"/>
      <c r="M6511" s="449" t="s">
        <v>8629</v>
      </c>
      <c r="N6511" s="252">
        <v>43480</v>
      </c>
      <c r="O6511" s="493" t="s">
        <v>457</v>
      </c>
      <c r="P6511" s="494">
        <v>5600</v>
      </c>
      <c r="Q6511" s="494">
        <v>2</v>
      </c>
      <c r="R6511" s="495">
        <f t="shared" si="152"/>
        <v>11200</v>
      </c>
      <c r="S6511" s="456">
        <v>202303</v>
      </c>
      <c r="T6511" s="108" t="s">
        <v>8649</v>
      </c>
      <c r="U6511" s="496"/>
      <c r="V6511" s="458"/>
      <c r="W6511" s="458"/>
      <c r="X6511" s="466">
        <v>44866</v>
      </c>
      <c r="Y6511" s="466">
        <v>45230</v>
      </c>
    </row>
    <row r="6512" s="9" customFormat="1" customHeight="1" spans="1:25">
      <c r="A6512" s="492" t="s">
        <v>399</v>
      </c>
      <c r="B6512" s="446" t="s">
        <v>8192</v>
      </c>
      <c r="C6512" s="492" t="s">
        <v>110</v>
      </c>
      <c r="D6512" s="446" t="s">
        <v>6237</v>
      </c>
      <c r="E6512" s="23" t="s">
        <v>8600</v>
      </c>
      <c r="F6512" s="492" t="s">
        <v>8614</v>
      </c>
      <c r="G6512" s="493" t="s">
        <v>88</v>
      </c>
      <c r="H6512" s="100" t="s">
        <v>8615</v>
      </c>
      <c r="I6512" s="23" t="e">
        <f>VLOOKUP(H6512,'合同综合查询数据（3月返）'!$A:$A,1,FALSE)</f>
        <v>#N/A</v>
      </c>
      <c r="J6512" s="473" t="s">
        <v>3074</v>
      </c>
      <c r="K6512" s="493" t="s">
        <v>5515</v>
      </c>
      <c r="L6512" s="493"/>
      <c r="M6512" s="449" t="s">
        <v>8629</v>
      </c>
      <c r="N6512" s="252">
        <v>43481</v>
      </c>
      <c r="O6512" s="493" t="s">
        <v>457</v>
      </c>
      <c r="P6512" s="494">
        <v>5600</v>
      </c>
      <c r="Q6512" s="494">
        <v>10</v>
      </c>
      <c r="R6512" s="495">
        <f t="shared" si="152"/>
        <v>56000</v>
      </c>
      <c r="S6512" s="456">
        <v>202303</v>
      </c>
      <c r="T6512" s="108" t="s">
        <v>8650</v>
      </c>
      <c r="U6512" s="496"/>
      <c r="V6512" s="458"/>
      <c r="W6512" s="458"/>
      <c r="X6512" s="466">
        <v>44866</v>
      </c>
      <c r="Y6512" s="466">
        <v>45230</v>
      </c>
    </row>
    <row r="6513" s="9" customFormat="1" customHeight="1" spans="1:25">
      <c r="A6513" s="492" t="s">
        <v>399</v>
      </c>
      <c r="B6513" s="446" t="s">
        <v>8192</v>
      </c>
      <c r="C6513" s="492" t="s">
        <v>110</v>
      </c>
      <c r="D6513" s="446" t="s">
        <v>6237</v>
      </c>
      <c r="E6513" s="23" t="s">
        <v>8600</v>
      </c>
      <c r="F6513" s="492" t="s">
        <v>8614</v>
      </c>
      <c r="G6513" s="493" t="s">
        <v>88</v>
      </c>
      <c r="H6513" s="100" t="s">
        <v>8615</v>
      </c>
      <c r="I6513" s="23" t="e">
        <f>VLOOKUP(H6513,'合同综合查询数据（3月返）'!$A:$A,1,FALSE)</f>
        <v>#N/A</v>
      </c>
      <c r="J6513" s="473" t="s">
        <v>3074</v>
      </c>
      <c r="K6513" s="493" t="s">
        <v>5515</v>
      </c>
      <c r="L6513" s="493"/>
      <c r="M6513" s="449" t="s">
        <v>8629</v>
      </c>
      <c r="N6513" s="252">
        <v>43487</v>
      </c>
      <c r="O6513" s="493" t="s">
        <v>457</v>
      </c>
      <c r="P6513" s="494">
        <v>5600</v>
      </c>
      <c r="Q6513" s="494">
        <v>2</v>
      </c>
      <c r="R6513" s="495">
        <f t="shared" si="152"/>
        <v>11200</v>
      </c>
      <c r="S6513" s="456">
        <v>202303</v>
      </c>
      <c r="T6513" s="108" t="s">
        <v>8651</v>
      </c>
      <c r="U6513" s="496"/>
      <c r="V6513" s="458"/>
      <c r="W6513" s="458"/>
      <c r="X6513" s="466">
        <v>44866</v>
      </c>
      <c r="Y6513" s="466">
        <v>45230</v>
      </c>
    </row>
    <row r="6514" s="9" customFormat="1" customHeight="1" spans="1:25">
      <c r="A6514" s="492" t="s">
        <v>399</v>
      </c>
      <c r="B6514" s="446" t="s">
        <v>8192</v>
      </c>
      <c r="C6514" s="492" t="s">
        <v>110</v>
      </c>
      <c r="D6514" s="446" t="s">
        <v>6237</v>
      </c>
      <c r="E6514" s="23" t="s">
        <v>8600</v>
      </c>
      <c r="F6514" s="492" t="s">
        <v>8614</v>
      </c>
      <c r="G6514" s="493" t="s">
        <v>88</v>
      </c>
      <c r="H6514" s="100" t="s">
        <v>8615</v>
      </c>
      <c r="I6514" s="23" t="e">
        <f>VLOOKUP(H6514,'合同综合查询数据（3月返）'!$A:$A,1,FALSE)</f>
        <v>#N/A</v>
      </c>
      <c r="J6514" s="473" t="s">
        <v>3074</v>
      </c>
      <c r="K6514" s="493" t="s">
        <v>5515</v>
      </c>
      <c r="L6514" s="493"/>
      <c r="M6514" s="449" t="s">
        <v>8629</v>
      </c>
      <c r="N6514" s="252">
        <v>43494</v>
      </c>
      <c r="O6514" s="493" t="s">
        <v>457</v>
      </c>
      <c r="P6514" s="494">
        <v>5600</v>
      </c>
      <c r="Q6514" s="494">
        <v>11</v>
      </c>
      <c r="R6514" s="495">
        <f t="shared" si="152"/>
        <v>61600</v>
      </c>
      <c r="S6514" s="456">
        <v>202303</v>
      </c>
      <c r="T6514" s="108" t="s">
        <v>8652</v>
      </c>
      <c r="U6514" s="496"/>
      <c r="V6514" s="458"/>
      <c r="W6514" s="458"/>
      <c r="X6514" s="466">
        <v>44866</v>
      </c>
      <c r="Y6514" s="466">
        <v>45230</v>
      </c>
    </row>
    <row r="6515" s="9" customFormat="1" customHeight="1" spans="1:25">
      <c r="A6515" s="492" t="s">
        <v>399</v>
      </c>
      <c r="B6515" s="446" t="s">
        <v>8192</v>
      </c>
      <c r="C6515" s="492" t="s">
        <v>110</v>
      </c>
      <c r="D6515" s="446" t="s">
        <v>6237</v>
      </c>
      <c r="E6515" s="23" t="s">
        <v>8600</v>
      </c>
      <c r="F6515" s="492" t="s">
        <v>8614</v>
      </c>
      <c r="G6515" s="493" t="s">
        <v>88</v>
      </c>
      <c r="H6515" s="100" t="s">
        <v>8615</v>
      </c>
      <c r="I6515" s="23" t="e">
        <f>VLOOKUP(H6515,'合同综合查询数据（3月返）'!$A:$A,1,FALSE)</f>
        <v>#N/A</v>
      </c>
      <c r="J6515" s="473" t="s">
        <v>3074</v>
      </c>
      <c r="K6515" s="493" t="s">
        <v>5515</v>
      </c>
      <c r="L6515" s="493"/>
      <c r="M6515" s="449" t="s">
        <v>8629</v>
      </c>
      <c r="N6515" s="252">
        <v>43507</v>
      </c>
      <c r="O6515" s="493" t="s">
        <v>457</v>
      </c>
      <c r="P6515" s="494">
        <v>5600</v>
      </c>
      <c r="Q6515" s="494">
        <v>11</v>
      </c>
      <c r="R6515" s="495">
        <f t="shared" si="152"/>
        <v>61600</v>
      </c>
      <c r="S6515" s="456">
        <v>202303</v>
      </c>
      <c r="T6515" s="108" t="s">
        <v>8653</v>
      </c>
      <c r="U6515" s="473"/>
      <c r="V6515" s="458"/>
      <c r="W6515" s="458"/>
      <c r="X6515" s="466">
        <v>44866</v>
      </c>
      <c r="Y6515" s="466">
        <v>45230</v>
      </c>
    </row>
    <row r="6516" s="9" customFormat="1" customHeight="1" spans="1:25">
      <c r="A6516" s="492" t="s">
        <v>399</v>
      </c>
      <c r="B6516" s="446" t="s">
        <v>8192</v>
      </c>
      <c r="C6516" s="492" t="s">
        <v>110</v>
      </c>
      <c r="D6516" s="446" t="s">
        <v>6237</v>
      </c>
      <c r="E6516" s="23" t="s">
        <v>8600</v>
      </c>
      <c r="F6516" s="492" t="s">
        <v>8614</v>
      </c>
      <c r="G6516" s="493" t="s">
        <v>88</v>
      </c>
      <c r="H6516" s="100" t="s">
        <v>8615</v>
      </c>
      <c r="I6516" s="23" t="e">
        <f>VLOOKUP(H6516,'合同综合查询数据（3月返）'!$A:$A,1,FALSE)</f>
        <v>#N/A</v>
      </c>
      <c r="J6516" s="473" t="s">
        <v>3074</v>
      </c>
      <c r="K6516" s="493" t="s">
        <v>5515</v>
      </c>
      <c r="L6516" s="493"/>
      <c r="M6516" s="449" t="s">
        <v>8629</v>
      </c>
      <c r="N6516" s="252">
        <v>43522</v>
      </c>
      <c r="O6516" s="493" t="s">
        <v>457</v>
      </c>
      <c r="P6516" s="494">
        <v>5600</v>
      </c>
      <c r="Q6516" s="494">
        <v>11</v>
      </c>
      <c r="R6516" s="495">
        <f t="shared" si="152"/>
        <v>61600</v>
      </c>
      <c r="S6516" s="456">
        <v>202303</v>
      </c>
      <c r="T6516" s="108" t="s">
        <v>8654</v>
      </c>
      <c r="U6516" s="473"/>
      <c r="V6516" s="458"/>
      <c r="W6516" s="458"/>
      <c r="X6516" s="466">
        <v>44866</v>
      </c>
      <c r="Y6516" s="466">
        <v>45230</v>
      </c>
    </row>
    <row r="6517" s="9" customFormat="1" customHeight="1" spans="1:25">
      <c r="A6517" s="492" t="s">
        <v>399</v>
      </c>
      <c r="B6517" s="446" t="s">
        <v>8192</v>
      </c>
      <c r="C6517" s="492" t="s">
        <v>110</v>
      </c>
      <c r="D6517" s="446" t="s">
        <v>6237</v>
      </c>
      <c r="E6517" s="23" t="s">
        <v>8600</v>
      </c>
      <c r="F6517" s="492" t="s">
        <v>8614</v>
      </c>
      <c r="G6517" s="493" t="s">
        <v>88</v>
      </c>
      <c r="H6517" s="100" t="s">
        <v>8615</v>
      </c>
      <c r="I6517" s="23" t="e">
        <f>VLOOKUP(H6517,'合同综合查询数据（3月返）'!$A:$A,1,FALSE)</f>
        <v>#N/A</v>
      </c>
      <c r="J6517" s="473" t="s">
        <v>3074</v>
      </c>
      <c r="K6517" s="493" t="s">
        <v>5515</v>
      </c>
      <c r="L6517" s="493"/>
      <c r="M6517" s="449" t="s">
        <v>8629</v>
      </c>
      <c r="N6517" s="252">
        <v>43525</v>
      </c>
      <c r="O6517" s="493" t="s">
        <v>457</v>
      </c>
      <c r="P6517" s="494">
        <v>5600</v>
      </c>
      <c r="Q6517" s="494">
        <v>30</v>
      </c>
      <c r="R6517" s="495">
        <f t="shared" si="152"/>
        <v>168000</v>
      </c>
      <c r="S6517" s="456">
        <v>202303</v>
      </c>
      <c r="T6517" s="108" t="s">
        <v>8655</v>
      </c>
      <c r="U6517" s="473"/>
      <c r="V6517" s="458"/>
      <c r="W6517" s="458"/>
      <c r="X6517" s="466">
        <v>44866</v>
      </c>
      <c r="Y6517" s="466">
        <v>45230</v>
      </c>
    </row>
    <row r="6518" s="9" customFormat="1" customHeight="1" spans="1:25">
      <c r="A6518" s="492" t="s">
        <v>399</v>
      </c>
      <c r="B6518" s="446" t="s">
        <v>8192</v>
      </c>
      <c r="C6518" s="492" t="s">
        <v>110</v>
      </c>
      <c r="D6518" s="446" t="s">
        <v>6237</v>
      </c>
      <c r="E6518" s="23" t="s">
        <v>8600</v>
      </c>
      <c r="F6518" s="492" t="s">
        <v>8614</v>
      </c>
      <c r="G6518" s="493" t="s">
        <v>88</v>
      </c>
      <c r="H6518" s="100" t="s">
        <v>8615</v>
      </c>
      <c r="I6518" s="23" t="e">
        <f>VLOOKUP(H6518,'合同综合查询数据（3月返）'!$A:$A,1,FALSE)</f>
        <v>#N/A</v>
      </c>
      <c r="J6518" s="473" t="s">
        <v>3074</v>
      </c>
      <c r="K6518" s="493" t="s">
        <v>5515</v>
      </c>
      <c r="L6518" s="493"/>
      <c r="M6518" s="449" t="s">
        <v>8629</v>
      </c>
      <c r="N6518" s="252">
        <v>43543</v>
      </c>
      <c r="O6518" s="493" t="s">
        <v>457</v>
      </c>
      <c r="P6518" s="494">
        <v>5600</v>
      </c>
      <c r="Q6518" s="494">
        <v>22</v>
      </c>
      <c r="R6518" s="495">
        <f t="shared" si="152"/>
        <v>123200</v>
      </c>
      <c r="S6518" s="456">
        <v>202303</v>
      </c>
      <c r="T6518" s="108" t="s">
        <v>8655</v>
      </c>
      <c r="U6518" s="473"/>
      <c r="V6518" s="458"/>
      <c r="W6518" s="458"/>
      <c r="X6518" s="466">
        <v>44866</v>
      </c>
      <c r="Y6518" s="466">
        <v>45230</v>
      </c>
    </row>
    <row r="6519" s="9" customFormat="1" customHeight="1" spans="1:25">
      <c r="A6519" s="492" t="s">
        <v>399</v>
      </c>
      <c r="B6519" s="446" t="s">
        <v>8192</v>
      </c>
      <c r="C6519" s="492" t="s">
        <v>110</v>
      </c>
      <c r="D6519" s="446" t="s">
        <v>6237</v>
      </c>
      <c r="E6519" s="23" t="s">
        <v>8600</v>
      </c>
      <c r="F6519" s="492" t="s">
        <v>8614</v>
      </c>
      <c r="G6519" s="493" t="s">
        <v>88</v>
      </c>
      <c r="H6519" s="100" t="s">
        <v>8615</v>
      </c>
      <c r="I6519" s="23" t="e">
        <f>VLOOKUP(H6519,'合同综合查询数据（3月返）'!$A:$A,1,FALSE)</f>
        <v>#N/A</v>
      </c>
      <c r="J6519" s="473" t="s">
        <v>3074</v>
      </c>
      <c r="K6519" s="493" t="s">
        <v>5515</v>
      </c>
      <c r="L6519" s="493"/>
      <c r="M6519" s="449" t="s">
        <v>8629</v>
      </c>
      <c r="N6519" s="252">
        <v>43552</v>
      </c>
      <c r="O6519" s="493" t="s">
        <v>457</v>
      </c>
      <c r="P6519" s="494">
        <v>5600</v>
      </c>
      <c r="Q6519" s="494">
        <v>6</v>
      </c>
      <c r="R6519" s="495">
        <f t="shared" si="152"/>
        <v>33600</v>
      </c>
      <c r="S6519" s="456">
        <v>202303</v>
      </c>
      <c r="T6519" s="108" t="s">
        <v>8655</v>
      </c>
      <c r="U6519" s="473"/>
      <c r="V6519" s="458"/>
      <c r="W6519" s="458"/>
      <c r="X6519" s="466">
        <v>44866</v>
      </c>
      <c r="Y6519" s="466">
        <v>45230</v>
      </c>
    </row>
    <row r="6520" s="9" customFormat="1" customHeight="1" spans="1:25">
      <c r="A6520" s="492" t="s">
        <v>399</v>
      </c>
      <c r="B6520" s="446" t="s">
        <v>8192</v>
      </c>
      <c r="C6520" s="492" t="s">
        <v>110</v>
      </c>
      <c r="D6520" s="446" t="s">
        <v>6237</v>
      </c>
      <c r="E6520" s="23" t="s">
        <v>8600</v>
      </c>
      <c r="F6520" s="492" t="s">
        <v>8614</v>
      </c>
      <c r="G6520" s="493" t="s">
        <v>88</v>
      </c>
      <c r="H6520" s="100" t="s">
        <v>8615</v>
      </c>
      <c r="I6520" s="23" t="e">
        <f>VLOOKUP(H6520,'合同综合查询数据（3月返）'!$A:$A,1,FALSE)</f>
        <v>#N/A</v>
      </c>
      <c r="J6520" s="473" t="s">
        <v>3074</v>
      </c>
      <c r="K6520" s="493" t="s">
        <v>5515</v>
      </c>
      <c r="L6520" s="493"/>
      <c r="M6520" s="449" t="s">
        <v>8629</v>
      </c>
      <c r="N6520" s="252">
        <v>43590</v>
      </c>
      <c r="O6520" s="493" t="s">
        <v>457</v>
      </c>
      <c r="P6520" s="494">
        <v>5600</v>
      </c>
      <c r="Q6520" s="494">
        <v>60</v>
      </c>
      <c r="R6520" s="495">
        <f t="shared" si="152"/>
        <v>336000</v>
      </c>
      <c r="S6520" s="456">
        <v>202303</v>
      </c>
      <c r="T6520" s="108" t="s">
        <v>8655</v>
      </c>
      <c r="U6520" s="473"/>
      <c r="V6520" s="458"/>
      <c r="W6520" s="458"/>
      <c r="X6520" s="466">
        <v>44866</v>
      </c>
      <c r="Y6520" s="466">
        <v>45230</v>
      </c>
    </row>
    <row r="6521" s="9" customFormat="1" customHeight="1" spans="1:25">
      <c r="A6521" s="492" t="s">
        <v>399</v>
      </c>
      <c r="B6521" s="446" t="s">
        <v>8192</v>
      </c>
      <c r="C6521" s="492" t="s">
        <v>110</v>
      </c>
      <c r="D6521" s="446" t="s">
        <v>6237</v>
      </c>
      <c r="E6521" s="23" t="s">
        <v>8600</v>
      </c>
      <c r="F6521" s="492" t="s">
        <v>8614</v>
      </c>
      <c r="G6521" s="493" t="s">
        <v>88</v>
      </c>
      <c r="H6521" s="100" t="s">
        <v>8615</v>
      </c>
      <c r="I6521" s="23" t="e">
        <f>VLOOKUP(H6521,'合同综合查询数据（3月返）'!$A:$A,1,FALSE)</f>
        <v>#N/A</v>
      </c>
      <c r="J6521" s="473" t="s">
        <v>3074</v>
      </c>
      <c r="K6521" s="493" t="s">
        <v>5515</v>
      </c>
      <c r="L6521" s="493"/>
      <c r="M6521" s="449" t="s">
        <v>8629</v>
      </c>
      <c r="N6521" s="252">
        <v>43595</v>
      </c>
      <c r="O6521" s="493" t="s">
        <v>457</v>
      </c>
      <c r="P6521" s="494">
        <v>5600</v>
      </c>
      <c r="Q6521" s="494">
        <v>12</v>
      </c>
      <c r="R6521" s="495">
        <f t="shared" si="152"/>
        <v>67200</v>
      </c>
      <c r="S6521" s="456">
        <v>202303</v>
      </c>
      <c r="T6521" s="108" t="s">
        <v>8655</v>
      </c>
      <c r="U6521" s="473"/>
      <c r="V6521" s="458"/>
      <c r="W6521" s="458"/>
      <c r="X6521" s="466">
        <v>44866</v>
      </c>
      <c r="Y6521" s="466">
        <v>45230</v>
      </c>
    </row>
    <row r="6522" s="9" customFormat="1" customHeight="1" spans="1:25">
      <c r="A6522" s="492" t="s">
        <v>399</v>
      </c>
      <c r="B6522" s="446" t="s">
        <v>8192</v>
      </c>
      <c r="C6522" s="492" t="s">
        <v>110</v>
      </c>
      <c r="D6522" s="446" t="s">
        <v>6237</v>
      </c>
      <c r="E6522" s="23" t="s">
        <v>8600</v>
      </c>
      <c r="F6522" s="492" t="s">
        <v>8614</v>
      </c>
      <c r="G6522" s="493" t="s">
        <v>88</v>
      </c>
      <c r="H6522" s="100" t="s">
        <v>8615</v>
      </c>
      <c r="I6522" s="23" t="e">
        <f>VLOOKUP(H6522,'合同综合查询数据（3月返）'!$A:$A,1,FALSE)</f>
        <v>#N/A</v>
      </c>
      <c r="J6522" s="473" t="s">
        <v>3074</v>
      </c>
      <c r="K6522" s="493" t="s">
        <v>5515</v>
      </c>
      <c r="L6522" s="493"/>
      <c r="M6522" s="449" t="s">
        <v>8629</v>
      </c>
      <c r="N6522" s="252">
        <v>43599</v>
      </c>
      <c r="O6522" s="493" t="s">
        <v>457</v>
      </c>
      <c r="P6522" s="494">
        <v>5600</v>
      </c>
      <c r="Q6522" s="494">
        <v>1</v>
      </c>
      <c r="R6522" s="495">
        <f t="shared" si="152"/>
        <v>5600</v>
      </c>
      <c r="S6522" s="456">
        <v>202303</v>
      </c>
      <c r="T6522" s="108" t="s">
        <v>8655</v>
      </c>
      <c r="U6522" s="473"/>
      <c r="V6522" s="458"/>
      <c r="W6522" s="458"/>
      <c r="X6522" s="466">
        <v>44866</v>
      </c>
      <c r="Y6522" s="466">
        <v>45230</v>
      </c>
    </row>
    <row r="6523" s="9" customFormat="1" customHeight="1" spans="1:25">
      <c r="A6523" s="492" t="s">
        <v>399</v>
      </c>
      <c r="B6523" s="446" t="s">
        <v>8192</v>
      </c>
      <c r="C6523" s="492" t="s">
        <v>110</v>
      </c>
      <c r="D6523" s="446" t="s">
        <v>6237</v>
      </c>
      <c r="E6523" s="23" t="s">
        <v>8600</v>
      </c>
      <c r="F6523" s="492" t="s">
        <v>8614</v>
      </c>
      <c r="G6523" s="493" t="s">
        <v>88</v>
      </c>
      <c r="H6523" s="100" t="s">
        <v>8615</v>
      </c>
      <c r="I6523" s="23" t="e">
        <f>VLOOKUP(H6523,'合同综合查询数据（3月返）'!$A:$A,1,FALSE)</f>
        <v>#N/A</v>
      </c>
      <c r="J6523" s="473" t="s">
        <v>3074</v>
      </c>
      <c r="K6523" s="493" t="s">
        <v>5515</v>
      </c>
      <c r="L6523" s="493"/>
      <c r="M6523" s="449" t="s">
        <v>8629</v>
      </c>
      <c r="N6523" s="252">
        <v>43601</v>
      </c>
      <c r="O6523" s="493" t="s">
        <v>457</v>
      </c>
      <c r="P6523" s="494">
        <v>5600</v>
      </c>
      <c r="Q6523" s="494">
        <v>30</v>
      </c>
      <c r="R6523" s="495">
        <f t="shared" si="152"/>
        <v>168000</v>
      </c>
      <c r="S6523" s="456">
        <v>202303</v>
      </c>
      <c r="T6523" s="108" t="s">
        <v>8655</v>
      </c>
      <c r="U6523" s="473"/>
      <c r="V6523" s="458"/>
      <c r="W6523" s="458"/>
      <c r="X6523" s="466">
        <v>44866</v>
      </c>
      <c r="Y6523" s="466">
        <v>45230</v>
      </c>
    </row>
    <row r="6524" s="9" customFormat="1" customHeight="1" spans="1:25">
      <c r="A6524" s="492" t="s">
        <v>399</v>
      </c>
      <c r="B6524" s="446" t="s">
        <v>8192</v>
      </c>
      <c r="C6524" s="492" t="s">
        <v>110</v>
      </c>
      <c r="D6524" s="446" t="s">
        <v>6237</v>
      </c>
      <c r="E6524" s="23" t="s">
        <v>8600</v>
      </c>
      <c r="F6524" s="492" t="s">
        <v>8614</v>
      </c>
      <c r="G6524" s="493" t="s">
        <v>88</v>
      </c>
      <c r="H6524" s="100" t="s">
        <v>8615</v>
      </c>
      <c r="I6524" s="23" t="e">
        <f>VLOOKUP(H6524,'合同综合查询数据（3月返）'!$A:$A,1,FALSE)</f>
        <v>#N/A</v>
      </c>
      <c r="J6524" s="473" t="s">
        <v>3074</v>
      </c>
      <c r="K6524" s="493" t="s">
        <v>5515</v>
      </c>
      <c r="L6524" s="493"/>
      <c r="M6524" s="449" t="s">
        <v>8629</v>
      </c>
      <c r="N6524" s="252">
        <v>43607</v>
      </c>
      <c r="O6524" s="493" t="s">
        <v>457</v>
      </c>
      <c r="P6524" s="494">
        <v>5600</v>
      </c>
      <c r="Q6524" s="494">
        <v>6</v>
      </c>
      <c r="R6524" s="495">
        <f t="shared" si="152"/>
        <v>33600</v>
      </c>
      <c r="S6524" s="456">
        <v>202303</v>
      </c>
      <c r="T6524" s="108" t="s">
        <v>8655</v>
      </c>
      <c r="U6524" s="473"/>
      <c r="V6524" s="458"/>
      <c r="W6524" s="458"/>
      <c r="X6524" s="466">
        <v>44866</v>
      </c>
      <c r="Y6524" s="466">
        <v>45230</v>
      </c>
    </row>
    <row r="6525" s="9" customFormat="1" customHeight="1" spans="1:25">
      <c r="A6525" s="492" t="s">
        <v>399</v>
      </c>
      <c r="B6525" s="446" t="s">
        <v>8192</v>
      </c>
      <c r="C6525" s="492" t="s">
        <v>110</v>
      </c>
      <c r="D6525" s="446" t="s">
        <v>6237</v>
      </c>
      <c r="E6525" s="23" t="s">
        <v>8600</v>
      </c>
      <c r="F6525" s="492" t="s">
        <v>8614</v>
      </c>
      <c r="G6525" s="493" t="s">
        <v>88</v>
      </c>
      <c r="H6525" s="100" t="s">
        <v>8615</v>
      </c>
      <c r="I6525" s="23" t="e">
        <f>VLOOKUP(H6525,'合同综合查询数据（3月返）'!$A:$A,1,FALSE)</f>
        <v>#N/A</v>
      </c>
      <c r="J6525" s="473" t="s">
        <v>3074</v>
      </c>
      <c r="K6525" s="493" t="s">
        <v>5515</v>
      </c>
      <c r="L6525" s="493"/>
      <c r="M6525" s="449" t="s">
        <v>8629</v>
      </c>
      <c r="N6525" s="252">
        <v>43633</v>
      </c>
      <c r="O6525" s="493" t="s">
        <v>457</v>
      </c>
      <c r="P6525" s="494">
        <v>5600</v>
      </c>
      <c r="Q6525" s="494">
        <v>44</v>
      </c>
      <c r="R6525" s="495">
        <f t="shared" si="152"/>
        <v>246400</v>
      </c>
      <c r="S6525" s="456">
        <v>202303</v>
      </c>
      <c r="T6525" s="108" t="s">
        <v>8656</v>
      </c>
      <c r="U6525" s="473"/>
      <c r="V6525" s="458"/>
      <c r="W6525" s="458"/>
      <c r="X6525" s="466">
        <v>44866</v>
      </c>
      <c r="Y6525" s="466">
        <v>45230</v>
      </c>
    </row>
    <row r="6526" s="9" customFormat="1" customHeight="1" spans="1:25">
      <c r="A6526" s="492" t="s">
        <v>399</v>
      </c>
      <c r="B6526" s="446" t="s">
        <v>8192</v>
      </c>
      <c r="C6526" s="492" t="s">
        <v>110</v>
      </c>
      <c r="D6526" s="446" t="s">
        <v>6237</v>
      </c>
      <c r="E6526" s="23" t="s">
        <v>8600</v>
      </c>
      <c r="F6526" s="492" t="s">
        <v>8614</v>
      </c>
      <c r="G6526" s="493" t="s">
        <v>88</v>
      </c>
      <c r="H6526" s="100" t="s">
        <v>8615</v>
      </c>
      <c r="I6526" s="23" t="e">
        <f>VLOOKUP(H6526,'合同综合查询数据（3月返）'!$A:$A,1,FALSE)</f>
        <v>#N/A</v>
      </c>
      <c r="J6526" s="473" t="s">
        <v>3074</v>
      </c>
      <c r="K6526" s="493" t="s">
        <v>5515</v>
      </c>
      <c r="L6526" s="493"/>
      <c r="M6526" s="449" t="s">
        <v>8629</v>
      </c>
      <c r="N6526" s="252">
        <v>43634</v>
      </c>
      <c r="O6526" s="493" t="s">
        <v>457</v>
      </c>
      <c r="P6526" s="494">
        <v>5600</v>
      </c>
      <c r="Q6526" s="494">
        <v>7</v>
      </c>
      <c r="R6526" s="495">
        <f t="shared" si="152"/>
        <v>39200</v>
      </c>
      <c r="S6526" s="456">
        <v>202303</v>
      </c>
      <c r="T6526" s="108" t="s">
        <v>8657</v>
      </c>
      <c r="U6526" s="473"/>
      <c r="V6526" s="458"/>
      <c r="W6526" s="458"/>
      <c r="X6526" s="466">
        <v>44866</v>
      </c>
      <c r="Y6526" s="466">
        <v>45230</v>
      </c>
    </row>
    <row r="6527" s="9" customFormat="1" customHeight="1" spans="1:25">
      <c r="A6527" s="492" t="s">
        <v>399</v>
      </c>
      <c r="B6527" s="446" t="s">
        <v>8192</v>
      </c>
      <c r="C6527" s="492" t="s">
        <v>110</v>
      </c>
      <c r="D6527" s="446" t="s">
        <v>6237</v>
      </c>
      <c r="E6527" s="23" t="s">
        <v>8600</v>
      </c>
      <c r="F6527" s="492" t="s">
        <v>8614</v>
      </c>
      <c r="G6527" s="493" t="s">
        <v>88</v>
      </c>
      <c r="H6527" s="100" t="s">
        <v>8615</v>
      </c>
      <c r="I6527" s="23" t="e">
        <f>VLOOKUP(H6527,'合同综合查询数据（3月返）'!$A:$A,1,FALSE)</f>
        <v>#N/A</v>
      </c>
      <c r="J6527" s="473" t="s">
        <v>3074</v>
      </c>
      <c r="K6527" s="493" t="s">
        <v>5515</v>
      </c>
      <c r="L6527" s="493"/>
      <c r="M6527" s="449" t="s">
        <v>8629</v>
      </c>
      <c r="N6527" s="252">
        <v>43637</v>
      </c>
      <c r="O6527" s="493" t="s">
        <v>457</v>
      </c>
      <c r="P6527" s="494">
        <v>5600</v>
      </c>
      <c r="Q6527" s="494">
        <v>28</v>
      </c>
      <c r="R6527" s="495">
        <f t="shared" si="152"/>
        <v>156800</v>
      </c>
      <c r="S6527" s="456">
        <v>202303</v>
      </c>
      <c r="T6527" s="108" t="s">
        <v>8658</v>
      </c>
      <c r="U6527" s="473"/>
      <c r="V6527" s="458"/>
      <c r="W6527" s="458"/>
      <c r="X6527" s="466">
        <v>44866</v>
      </c>
      <c r="Y6527" s="466">
        <v>45230</v>
      </c>
    </row>
    <row r="6528" s="9" customFormat="1" customHeight="1" spans="1:25">
      <c r="A6528" s="492" t="s">
        <v>399</v>
      </c>
      <c r="B6528" s="446" t="s">
        <v>8192</v>
      </c>
      <c r="C6528" s="492" t="s">
        <v>110</v>
      </c>
      <c r="D6528" s="446" t="s">
        <v>6237</v>
      </c>
      <c r="E6528" s="23" t="s">
        <v>8600</v>
      </c>
      <c r="F6528" s="492" t="s">
        <v>8614</v>
      </c>
      <c r="G6528" s="493" t="s">
        <v>88</v>
      </c>
      <c r="H6528" s="100" t="s">
        <v>8615</v>
      </c>
      <c r="I6528" s="23" t="e">
        <f>VLOOKUP(H6528,'合同综合查询数据（3月返）'!$A:$A,1,FALSE)</f>
        <v>#N/A</v>
      </c>
      <c r="J6528" s="473" t="s">
        <v>3074</v>
      </c>
      <c r="K6528" s="493" t="s">
        <v>5515</v>
      </c>
      <c r="L6528" s="493"/>
      <c r="M6528" s="449" t="s">
        <v>8629</v>
      </c>
      <c r="N6528" s="252">
        <v>43640</v>
      </c>
      <c r="O6528" s="493" t="s">
        <v>457</v>
      </c>
      <c r="P6528" s="494">
        <v>5600</v>
      </c>
      <c r="Q6528" s="494">
        <v>2</v>
      </c>
      <c r="R6528" s="495">
        <f t="shared" si="152"/>
        <v>11200</v>
      </c>
      <c r="S6528" s="456">
        <v>202303</v>
      </c>
      <c r="T6528" s="152" t="s">
        <v>8659</v>
      </c>
      <c r="U6528" s="473"/>
      <c r="V6528" s="458"/>
      <c r="W6528" s="458"/>
      <c r="X6528" s="466">
        <v>44866</v>
      </c>
      <c r="Y6528" s="466">
        <v>45230</v>
      </c>
    </row>
    <row r="6529" s="9" customFormat="1" customHeight="1" spans="1:25">
      <c r="A6529" s="492" t="s">
        <v>399</v>
      </c>
      <c r="B6529" s="446" t="s">
        <v>8192</v>
      </c>
      <c r="C6529" s="492" t="s">
        <v>110</v>
      </c>
      <c r="D6529" s="446" t="s">
        <v>6237</v>
      </c>
      <c r="E6529" s="23" t="s">
        <v>8600</v>
      </c>
      <c r="F6529" s="492" t="s">
        <v>8614</v>
      </c>
      <c r="G6529" s="493" t="s">
        <v>88</v>
      </c>
      <c r="H6529" s="100" t="s">
        <v>8615</v>
      </c>
      <c r="I6529" s="23" t="e">
        <f>VLOOKUP(H6529,'合同综合查询数据（3月返）'!$A:$A,1,FALSE)</f>
        <v>#N/A</v>
      </c>
      <c r="J6529" s="473" t="s">
        <v>3074</v>
      </c>
      <c r="K6529" s="493" t="s">
        <v>5515</v>
      </c>
      <c r="L6529" s="493"/>
      <c r="M6529" s="449" t="s">
        <v>8629</v>
      </c>
      <c r="N6529" s="252">
        <v>43644</v>
      </c>
      <c r="O6529" s="493" t="s">
        <v>457</v>
      </c>
      <c r="P6529" s="494">
        <v>5600</v>
      </c>
      <c r="Q6529" s="494">
        <v>12</v>
      </c>
      <c r="R6529" s="495">
        <f t="shared" si="152"/>
        <v>67200</v>
      </c>
      <c r="S6529" s="456">
        <v>202303</v>
      </c>
      <c r="T6529" s="152" t="s">
        <v>8660</v>
      </c>
      <c r="U6529" s="473"/>
      <c r="V6529" s="458"/>
      <c r="W6529" s="458"/>
      <c r="X6529" s="466">
        <v>44866</v>
      </c>
      <c r="Y6529" s="466">
        <v>45230</v>
      </c>
    </row>
    <row r="6530" s="9" customFormat="1" customHeight="1" spans="1:25">
      <c r="A6530" s="492" t="s">
        <v>399</v>
      </c>
      <c r="B6530" s="446" t="s">
        <v>8192</v>
      </c>
      <c r="C6530" s="492" t="s">
        <v>110</v>
      </c>
      <c r="D6530" s="446" t="s">
        <v>6237</v>
      </c>
      <c r="E6530" s="23" t="s">
        <v>8600</v>
      </c>
      <c r="F6530" s="492" t="s">
        <v>8614</v>
      </c>
      <c r="G6530" s="493" t="s">
        <v>88</v>
      </c>
      <c r="H6530" s="100" t="s">
        <v>8615</v>
      </c>
      <c r="I6530" s="23" t="e">
        <f>VLOOKUP(H6530,'合同综合查询数据（3月返）'!$A:$A,1,FALSE)</f>
        <v>#N/A</v>
      </c>
      <c r="J6530" s="473" t="s">
        <v>3074</v>
      </c>
      <c r="K6530" s="493" t="s">
        <v>5515</v>
      </c>
      <c r="L6530" s="493"/>
      <c r="M6530" s="449" t="s">
        <v>8629</v>
      </c>
      <c r="N6530" s="252">
        <v>43655</v>
      </c>
      <c r="O6530" s="493" t="s">
        <v>457</v>
      </c>
      <c r="P6530" s="494">
        <v>5600</v>
      </c>
      <c r="Q6530" s="494">
        <v>28</v>
      </c>
      <c r="R6530" s="495">
        <f t="shared" si="152"/>
        <v>156800</v>
      </c>
      <c r="S6530" s="456">
        <v>202303</v>
      </c>
      <c r="T6530" s="152" t="s">
        <v>8660</v>
      </c>
      <c r="U6530" s="496"/>
      <c r="V6530" s="458"/>
      <c r="W6530" s="458"/>
      <c r="X6530" s="466">
        <v>44866</v>
      </c>
      <c r="Y6530" s="466">
        <v>45230</v>
      </c>
    </row>
    <row r="6531" s="9" customFormat="1" customHeight="1" spans="1:25">
      <c r="A6531" s="492" t="s">
        <v>399</v>
      </c>
      <c r="B6531" s="446" t="s">
        <v>8192</v>
      </c>
      <c r="C6531" s="492" t="s">
        <v>110</v>
      </c>
      <c r="D6531" s="446" t="s">
        <v>6237</v>
      </c>
      <c r="E6531" s="23" t="s">
        <v>8600</v>
      </c>
      <c r="F6531" s="492" t="s">
        <v>8614</v>
      </c>
      <c r="G6531" s="493" t="s">
        <v>88</v>
      </c>
      <c r="H6531" s="100" t="s">
        <v>8615</v>
      </c>
      <c r="I6531" s="23" t="e">
        <f>VLOOKUP(H6531,'合同综合查询数据（3月返）'!$A:$A,1,FALSE)</f>
        <v>#N/A</v>
      </c>
      <c r="J6531" s="473" t="s">
        <v>3074</v>
      </c>
      <c r="K6531" s="493" t="s">
        <v>5515</v>
      </c>
      <c r="L6531" s="493"/>
      <c r="M6531" s="449" t="s">
        <v>8629</v>
      </c>
      <c r="N6531" s="252">
        <v>43657</v>
      </c>
      <c r="O6531" s="493" t="s">
        <v>457</v>
      </c>
      <c r="P6531" s="494">
        <v>5600</v>
      </c>
      <c r="Q6531" s="494">
        <v>4</v>
      </c>
      <c r="R6531" s="495">
        <f t="shared" si="152"/>
        <v>22400</v>
      </c>
      <c r="S6531" s="456">
        <v>202303</v>
      </c>
      <c r="T6531" s="108" t="s">
        <v>8660</v>
      </c>
      <c r="U6531" s="496"/>
      <c r="V6531" s="458"/>
      <c r="W6531" s="458"/>
      <c r="X6531" s="466">
        <v>44866</v>
      </c>
      <c r="Y6531" s="466">
        <v>45230</v>
      </c>
    </row>
    <row r="6532" s="9" customFormat="1" customHeight="1" spans="1:25">
      <c r="A6532" s="492" t="s">
        <v>399</v>
      </c>
      <c r="B6532" s="446" t="s">
        <v>8192</v>
      </c>
      <c r="C6532" s="492" t="s">
        <v>110</v>
      </c>
      <c r="D6532" s="446" t="s">
        <v>6237</v>
      </c>
      <c r="E6532" s="23" t="s">
        <v>8600</v>
      </c>
      <c r="F6532" s="492" t="s">
        <v>8614</v>
      </c>
      <c r="G6532" s="473" t="s">
        <v>88</v>
      </c>
      <c r="H6532" s="100" t="s">
        <v>8615</v>
      </c>
      <c r="I6532" s="23" t="e">
        <f>VLOOKUP(H6532,'合同综合查询数据（3月返）'!$A:$A,1,FALSE)</f>
        <v>#N/A</v>
      </c>
      <c r="J6532" s="473" t="s">
        <v>3074</v>
      </c>
      <c r="K6532" s="493" t="s">
        <v>5515</v>
      </c>
      <c r="L6532" s="493"/>
      <c r="M6532" s="449" t="s">
        <v>8629</v>
      </c>
      <c r="N6532" s="252">
        <v>43668</v>
      </c>
      <c r="O6532" s="493" t="s">
        <v>457</v>
      </c>
      <c r="P6532" s="494">
        <v>5600</v>
      </c>
      <c r="Q6532" s="494">
        <v>6</v>
      </c>
      <c r="R6532" s="495">
        <f t="shared" si="152"/>
        <v>33600</v>
      </c>
      <c r="S6532" s="456">
        <v>202303</v>
      </c>
      <c r="T6532" s="108" t="s">
        <v>8660</v>
      </c>
      <c r="U6532" s="496"/>
      <c r="V6532" s="458"/>
      <c r="W6532" s="458"/>
      <c r="X6532" s="466">
        <v>44866</v>
      </c>
      <c r="Y6532" s="466">
        <v>45230</v>
      </c>
    </row>
    <row r="6533" s="9" customFormat="1" customHeight="1" spans="1:25">
      <c r="A6533" s="492" t="s">
        <v>399</v>
      </c>
      <c r="B6533" s="446" t="s">
        <v>8192</v>
      </c>
      <c r="C6533" s="492" t="s">
        <v>110</v>
      </c>
      <c r="D6533" s="446" t="s">
        <v>6237</v>
      </c>
      <c r="E6533" s="23" t="s">
        <v>8600</v>
      </c>
      <c r="F6533" s="492" t="s">
        <v>8614</v>
      </c>
      <c r="G6533" s="473" t="s">
        <v>88</v>
      </c>
      <c r="H6533" s="100" t="s">
        <v>8615</v>
      </c>
      <c r="I6533" s="23" t="e">
        <f>VLOOKUP(H6533,'合同综合查询数据（3月返）'!$A:$A,1,FALSE)</f>
        <v>#N/A</v>
      </c>
      <c r="J6533" s="473" t="s">
        <v>3074</v>
      </c>
      <c r="K6533" s="493" t="s">
        <v>5515</v>
      </c>
      <c r="L6533" s="493"/>
      <c r="M6533" s="449" t="s">
        <v>8629</v>
      </c>
      <c r="N6533" s="252">
        <v>43670</v>
      </c>
      <c r="O6533" s="493" t="s">
        <v>457</v>
      </c>
      <c r="P6533" s="494">
        <v>5600</v>
      </c>
      <c r="Q6533" s="494">
        <v>2</v>
      </c>
      <c r="R6533" s="495">
        <f t="shared" si="152"/>
        <v>11200</v>
      </c>
      <c r="S6533" s="456">
        <v>202303</v>
      </c>
      <c r="T6533" s="108" t="s">
        <v>8660</v>
      </c>
      <c r="U6533" s="496"/>
      <c r="V6533" s="458"/>
      <c r="W6533" s="458"/>
      <c r="X6533" s="466">
        <v>44866</v>
      </c>
      <c r="Y6533" s="466">
        <v>45230</v>
      </c>
    </row>
    <row r="6534" s="9" customFormat="1" customHeight="1" spans="1:25">
      <c r="A6534" s="492" t="s">
        <v>399</v>
      </c>
      <c r="B6534" s="446" t="s">
        <v>8192</v>
      </c>
      <c r="C6534" s="492" t="s">
        <v>110</v>
      </c>
      <c r="D6534" s="446" t="s">
        <v>6237</v>
      </c>
      <c r="E6534" s="23" t="s">
        <v>8600</v>
      </c>
      <c r="F6534" s="492" t="s">
        <v>8614</v>
      </c>
      <c r="G6534" s="473" t="s">
        <v>88</v>
      </c>
      <c r="H6534" s="100" t="s">
        <v>8615</v>
      </c>
      <c r="I6534" s="23" t="e">
        <f>VLOOKUP(H6534,'合同综合查询数据（3月返）'!$A:$A,1,FALSE)</f>
        <v>#N/A</v>
      </c>
      <c r="J6534" s="473" t="s">
        <v>3074</v>
      </c>
      <c r="K6534" s="493" t="s">
        <v>5515</v>
      </c>
      <c r="L6534" s="493"/>
      <c r="M6534" s="449" t="s">
        <v>8629</v>
      </c>
      <c r="N6534" s="252">
        <v>43671</v>
      </c>
      <c r="O6534" s="493" t="s">
        <v>457</v>
      </c>
      <c r="P6534" s="494">
        <v>5600</v>
      </c>
      <c r="Q6534" s="494">
        <v>2</v>
      </c>
      <c r="R6534" s="495">
        <f t="shared" si="152"/>
        <v>11200</v>
      </c>
      <c r="S6534" s="456">
        <v>202303</v>
      </c>
      <c r="T6534" s="108" t="s">
        <v>8660</v>
      </c>
      <c r="U6534" s="496"/>
      <c r="V6534" s="458"/>
      <c r="W6534" s="458"/>
      <c r="X6534" s="466">
        <v>44866</v>
      </c>
      <c r="Y6534" s="466">
        <v>45230</v>
      </c>
    </row>
    <row r="6535" s="9" customFormat="1" customHeight="1" spans="1:25">
      <c r="A6535" s="492" t="s">
        <v>399</v>
      </c>
      <c r="B6535" s="446" t="s">
        <v>8192</v>
      </c>
      <c r="C6535" s="492" t="s">
        <v>110</v>
      </c>
      <c r="D6535" s="446" t="s">
        <v>6237</v>
      </c>
      <c r="E6535" s="23" t="s">
        <v>8600</v>
      </c>
      <c r="F6535" s="492" t="s">
        <v>8614</v>
      </c>
      <c r="G6535" s="473" t="s">
        <v>88</v>
      </c>
      <c r="H6535" s="100" t="s">
        <v>8615</v>
      </c>
      <c r="I6535" s="23" t="e">
        <f>VLOOKUP(H6535,'合同综合查询数据（3月返）'!$A:$A,1,FALSE)</f>
        <v>#N/A</v>
      </c>
      <c r="J6535" s="473" t="s">
        <v>3074</v>
      </c>
      <c r="K6535" s="493" t="s">
        <v>5515</v>
      </c>
      <c r="L6535" s="493"/>
      <c r="M6535" s="449" t="s">
        <v>8629</v>
      </c>
      <c r="N6535" s="252">
        <v>43678</v>
      </c>
      <c r="O6535" s="493" t="s">
        <v>457</v>
      </c>
      <c r="P6535" s="494">
        <v>5600</v>
      </c>
      <c r="Q6535" s="494">
        <v>8</v>
      </c>
      <c r="R6535" s="495">
        <f t="shared" si="152"/>
        <v>44800</v>
      </c>
      <c r="S6535" s="456">
        <v>202303</v>
      </c>
      <c r="T6535" s="108" t="s">
        <v>8661</v>
      </c>
      <c r="U6535" s="496"/>
      <c r="V6535" s="458"/>
      <c r="W6535" s="458"/>
      <c r="X6535" s="466">
        <v>44866</v>
      </c>
      <c r="Y6535" s="466">
        <v>45230</v>
      </c>
    </row>
    <row r="6536" s="9" customFormat="1" customHeight="1" spans="1:25">
      <c r="A6536" s="492" t="s">
        <v>399</v>
      </c>
      <c r="B6536" s="446" t="s">
        <v>8192</v>
      </c>
      <c r="C6536" s="492" t="s">
        <v>110</v>
      </c>
      <c r="D6536" s="446" t="s">
        <v>6237</v>
      </c>
      <c r="E6536" s="23" t="s">
        <v>8600</v>
      </c>
      <c r="F6536" s="492" t="s">
        <v>8614</v>
      </c>
      <c r="G6536" s="473" t="s">
        <v>88</v>
      </c>
      <c r="H6536" s="100" t="s">
        <v>8615</v>
      </c>
      <c r="I6536" s="23" t="e">
        <f>VLOOKUP(H6536,'合同综合查询数据（3月返）'!$A:$A,1,FALSE)</f>
        <v>#N/A</v>
      </c>
      <c r="J6536" s="473" t="s">
        <v>3074</v>
      </c>
      <c r="K6536" s="493" t="s">
        <v>5515</v>
      </c>
      <c r="L6536" s="493"/>
      <c r="M6536" s="449" t="s">
        <v>8629</v>
      </c>
      <c r="N6536" s="252">
        <v>43679</v>
      </c>
      <c r="O6536" s="493" t="s">
        <v>457</v>
      </c>
      <c r="P6536" s="494">
        <v>5600</v>
      </c>
      <c r="Q6536" s="494">
        <v>2</v>
      </c>
      <c r="R6536" s="495">
        <f t="shared" si="152"/>
        <v>11200</v>
      </c>
      <c r="S6536" s="456">
        <v>202303</v>
      </c>
      <c r="T6536" s="108" t="s">
        <v>8661</v>
      </c>
      <c r="U6536" s="496"/>
      <c r="V6536" s="458"/>
      <c r="W6536" s="458"/>
      <c r="X6536" s="466">
        <v>44866</v>
      </c>
      <c r="Y6536" s="466">
        <v>45230</v>
      </c>
    </row>
    <row r="6537" s="9" customFormat="1" customHeight="1" spans="1:25">
      <c r="A6537" s="492" t="s">
        <v>399</v>
      </c>
      <c r="B6537" s="446" t="s">
        <v>8192</v>
      </c>
      <c r="C6537" s="492" t="s">
        <v>110</v>
      </c>
      <c r="D6537" s="446" t="s">
        <v>6237</v>
      </c>
      <c r="E6537" s="23" t="s">
        <v>8600</v>
      </c>
      <c r="F6537" s="492" t="s">
        <v>8614</v>
      </c>
      <c r="G6537" s="473" t="s">
        <v>88</v>
      </c>
      <c r="H6537" s="100" t="s">
        <v>8615</v>
      </c>
      <c r="I6537" s="23" t="e">
        <f>VLOOKUP(H6537,'合同综合查询数据（3月返）'!$A:$A,1,FALSE)</f>
        <v>#N/A</v>
      </c>
      <c r="J6537" s="473" t="s">
        <v>3074</v>
      </c>
      <c r="K6537" s="493" t="s">
        <v>5515</v>
      </c>
      <c r="L6537" s="493"/>
      <c r="M6537" s="449" t="s">
        <v>8629</v>
      </c>
      <c r="N6537" s="252">
        <v>43690</v>
      </c>
      <c r="O6537" s="493" t="s">
        <v>457</v>
      </c>
      <c r="P6537" s="494">
        <v>5600</v>
      </c>
      <c r="Q6537" s="494">
        <v>2</v>
      </c>
      <c r="R6537" s="495">
        <f t="shared" si="152"/>
        <v>11200</v>
      </c>
      <c r="S6537" s="456">
        <v>202303</v>
      </c>
      <c r="T6537" s="108" t="s">
        <v>8661</v>
      </c>
      <c r="U6537" s="496"/>
      <c r="V6537" s="458"/>
      <c r="W6537" s="458"/>
      <c r="X6537" s="466">
        <v>44866</v>
      </c>
      <c r="Y6537" s="466">
        <v>45230</v>
      </c>
    </row>
    <row r="6538" s="9" customFormat="1" customHeight="1" spans="1:25">
      <c r="A6538" s="492" t="s">
        <v>399</v>
      </c>
      <c r="B6538" s="446" t="s">
        <v>8192</v>
      </c>
      <c r="C6538" s="492" t="s">
        <v>110</v>
      </c>
      <c r="D6538" s="446" t="s">
        <v>6237</v>
      </c>
      <c r="E6538" s="23" t="s">
        <v>8600</v>
      </c>
      <c r="F6538" s="492" t="s">
        <v>8614</v>
      </c>
      <c r="G6538" s="473" t="s">
        <v>88</v>
      </c>
      <c r="H6538" s="100" t="s">
        <v>8615</v>
      </c>
      <c r="I6538" s="23" t="e">
        <f>VLOOKUP(H6538,'合同综合查询数据（3月返）'!$A:$A,1,FALSE)</f>
        <v>#N/A</v>
      </c>
      <c r="J6538" s="473" t="s">
        <v>3074</v>
      </c>
      <c r="K6538" s="493" t="s">
        <v>5515</v>
      </c>
      <c r="L6538" s="493"/>
      <c r="M6538" s="449" t="s">
        <v>8629</v>
      </c>
      <c r="N6538" s="252">
        <v>43693</v>
      </c>
      <c r="O6538" s="493" t="s">
        <v>457</v>
      </c>
      <c r="P6538" s="494">
        <v>5600</v>
      </c>
      <c r="Q6538" s="494">
        <v>7</v>
      </c>
      <c r="R6538" s="495">
        <f t="shared" si="152"/>
        <v>39200</v>
      </c>
      <c r="S6538" s="456">
        <v>202303</v>
      </c>
      <c r="T6538" s="108" t="s">
        <v>8661</v>
      </c>
      <c r="U6538" s="496"/>
      <c r="V6538" s="458"/>
      <c r="W6538" s="458"/>
      <c r="X6538" s="466">
        <v>44866</v>
      </c>
      <c r="Y6538" s="466">
        <v>45230</v>
      </c>
    </row>
    <row r="6539" s="9" customFormat="1" customHeight="1" spans="1:25">
      <c r="A6539" s="492" t="s">
        <v>399</v>
      </c>
      <c r="B6539" s="446" t="s">
        <v>8192</v>
      </c>
      <c r="C6539" s="492" t="s">
        <v>110</v>
      </c>
      <c r="D6539" s="446" t="s">
        <v>6237</v>
      </c>
      <c r="E6539" s="23" t="s">
        <v>8600</v>
      </c>
      <c r="F6539" s="492" t="s">
        <v>8614</v>
      </c>
      <c r="G6539" s="473" t="s">
        <v>88</v>
      </c>
      <c r="H6539" s="100" t="s">
        <v>8615</v>
      </c>
      <c r="I6539" s="23" t="e">
        <f>VLOOKUP(H6539,'合同综合查询数据（3月返）'!$A:$A,1,FALSE)</f>
        <v>#N/A</v>
      </c>
      <c r="J6539" s="473" t="s">
        <v>3074</v>
      </c>
      <c r="K6539" s="493" t="s">
        <v>5515</v>
      </c>
      <c r="L6539" s="493"/>
      <c r="M6539" s="449" t="s">
        <v>8629</v>
      </c>
      <c r="N6539" s="252">
        <v>43696</v>
      </c>
      <c r="O6539" s="493" t="s">
        <v>457</v>
      </c>
      <c r="P6539" s="494">
        <v>5600</v>
      </c>
      <c r="Q6539" s="494">
        <v>6</v>
      </c>
      <c r="R6539" s="495">
        <f t="shared" si="152"/>
        <v>33600</v>
      </c>
      <c r="S6539" s="456">
        <v>202303</v>
      </c>
      <c r="T6539" s="108" t="s">
        <v>8661</v>
      </c>
      <c r="U6539" s="496"/>
      <c r="V6539" s="458"/>
      <c r="W6539" s="458"/>
      <c r="X6539" s="466">
        <v>44866</v>
      </c>
      <c r="Y6539" s="466">
        <v>45230</v>
      </c>
    </row>
    <row r="6540" s="9" customFormat="1" customHeight="1" spans="1:25">
      <c r="A6540" s="492" t="s">
        <v>399</v>
      </c>
      <c r="B6540" s="446" t="s">
        <v>8192</v>
      </c>
      <c r="C6540" s="492" t="s">
        <v>110</v>
      </c>
      <c r="D6540" s="446" t="s">
        <v>6237</v>
      </c>
      <c r="E6540" s="23" t="s">
        <v>8600</v>
      </c>
      <c r="F6540" s="492" t="s">
        <v>8614</v>
      </c>
      <c r="G6540" s="473" t="s">
        <v>88</v>
      </c>
      <c r="H6540" s="100" t="s">
        <v>8615</v>
      </c>
      <c r="I6540" s="23" t="e">
        <f>VLOOKUP(H6540,'合同综合查询数据（3月返）'!$A:$A,1,FALSE)</f>
        <v>#N/A</v>
      </c>
      <c r="J6540" s="473" t="s">
        <v>3074</v>
      </c>
      <c r="K6540" s="493" t="s">
        <v>5515</v>
      </c>
      <c r="L6540" s="493"/>
      <c r="M6540" s="449" t="s">
        <v>8629</v>
      </c>
      <c r="N6540" s="252">
        <v>43698</v>
      </c>
      <c r="O6540" s="493" t="s">
        <v>457</v>
      </c>
      <c r="P6540" s="494">
        <v>5600</v>
      </c>
      <c r="Q6540" s="494">
        <v>9</v>
      </c>
      <c r="R6540" s="495">
        <f t="shared" si="152"/>
        <v>50400</v>
      </c>
      <c r="S6540" s="456">
        <v>202303</v>
      </c>
      <c r="T6540" s="108" t="s">
        <v>8661</v>
      </c>
      <c r="U6540" s="496"/>
      <c r="V6540" s="458"/>
      <c r="W6540" s="458"/>
      <c r="X6540" s="466">
        <v>44866</v>
      </c>
      <c r="Y6540" s="466">
        <v>45230</v>
      </c>
    </row>
    <row r="6541" s="9" customFormat="1" customHeight="1" spans="1:25">
      <c r="A6541" s="492" t="s">
        <v>399</v>
      </c>
      <c r="B6541" s="446" t="s">
        <v>8192</v>
      </c>
      <c r="C6541" s="492" t="s">
        <v>110</v>
      </c>
      <c r="D6541" s="446" t="s">
        <v>6237</v>
      </c>
      <c r="E6541" s="23" t="s">
        <v>8600</v>
      </c>
      <c r="F6541" s="492" t="s">
        <v>8614</v>
      </c>
      <c r="G6541" s="473" t="s">
        <v>88</v>
      </c>
      <c r="H6541" s="100" t="s">
        <v>8615</v>
      </c>
      <c r="I6541" s="23" t="e">
        <f>VLOOKUP(H6541,'合同综合查询数据（3月返）'!$A:$A,1,FALSE)</f>
        <v>#N/A</v>
      </c>
      <c r="J6541" s="473" t="s">
        <v>3074</v>
      </c>
      <c r="K6541" s="493" t="s">
        <v>5515</v>
      </c>
      <c r="L6541" s="493"/>
      <c r="M6541" s="449" t="s">
        <v>8629</v>
      </c>
      <c r="N6541" s="252">
        <v>43703</v>
      </c>
      <c r="O6541" s="493" t="s">
        <v>457</v>
      </c>
      <c r="P6541" s="494">
        <v>5600</v>
      </c>
      <c r="Q6541" s="494">
        <v>8</v>
      </c>
      <c r="R6541" s="495">
        <f t="shared" si="152"/>
        <v>44800</v>
      </c>
      <c r="S6541" s="456">
        <v>202303</v>
      </c>
      <c r="T6541" s="108" t="s">
        <v>8661</v>
      </c>
      <c r="U6541" s="496"/>
      <c r="V6541" s="458"/>
      <c r="W6541" s="458"/>
      <c r="X6541" s="466">
        <v>44866</v>
      </c>
      <c r="Y6541" s="466">
        <v>45230</v>
      </c>
    </row>
    <row r="6542" s="9" customFormat="1" customHeight="1" spans="1:25">
      <c r="A6542" s="492" t="s">
        <v>399</v>
      </c>
      <c r="B6542" s="446" t="s">
        <v>8192</v>
      </c>
      <c r="C6542" s="492" t="s">
        <v>110</v>
      </c>
      <c r="D6542" s="446" t="s">
        <v>6237</v>
      </c>
      <c r="E6542" s="23" t="s">
        <v>8600</v>
      </c>
      <c r="F6542" s="492" t="s">
        <v>8614</v>
      </c>
      <c r="G6542" s="473" t="s">
        <v>88</v>
      </c>
      <c r="H6542" s="100" t="s">
        <v>8615</v>
      </c>
      <c r="I6542" s="23" t="e">
        <f>VLOOKUP(H6542,'合同综合查询数据（3月返）'!$A:$A,1,FALSE)</f>
        <v>#N/A</v>
      </c>
      <c r="J6542" s="473" t="s">
        <v>3074</v>
      </c>
      <c r="K6542" s="493" t="s">
        <v>5515</v>
      </c>
      <c r="L6542" s="449"/>
      <c r="M6542" s="449" t="s">
        <v>8629</v>
      </c>
      <c r="N6542" s="252">
        <v>43767</v>
      </c>
      <c r="O6542" s="493" t="s">
        <v>457</v>
      </c>
      <c r="P6542" s="494">
        <v>5600</v>
      </c>
      <c r="Q6542" s="494">
        <v>4</v>
      </c>
      <c r="R6542" s="495">
        <f t="shared" si="152"/>
        <v>22400</v>
      </c>
      <c r="S6542" s="456">
        <v>202303</v>
      </c>
      <c r="T6542" s="503"/>
      <c r="U6542" s="496"/>
      <c r="V6542" s="458"/>
      <c r="W6542" s="458"/>
      <c r="X6542" s="466">
        <v>44866</v>
      </c>
      <c r="Y6542" s="466">
        <v>45230</v>
      </c>
    </row>
    <row r="6543" s="9" customFormat="1" customHeight="1" spans="1:25">
      <c r="A6543" s="492" t="s">
        <v>399</v>
      </c>
      <c r="B6543" s="446" t="s">
        <v>8192</v>
      </c>
      <c r="C6543" s="492" t="s">
        <v>110</v>
      </c>
      <c r="D6543" s="446" t="s">
        <v>6237</v>
      </c>
      <c r="E6543" s="23" t="s">
        <v>8600</v>
      </c>
      <c r="F6543" s="492" t="s">
        <v>8614</v>
      </c>
      <c r="G6543" s="473" t="s">
        <v>88</v>
      </c>
      <c r="H6543" s="100" t="s">
        <v>8615</v>
      </c>
      <c r="I6543" s="23" t="e">
        <f>VLOOKUP(H6543,'合同综合查询数据（3月返）'!$A:$A,1,FALSE)</f>
        <v>#N/A</v>
      </c>
      <c r="J6543" s="473" t="s">
        <v>3074</v>
      </c>
      <c r="K6543" s="493" t="s">
        <v>5515</v>
      </c>
      <c r="L6543" s="493"/>
      <c r="M6543" s="449" t="s">
        <v>8629</v>
      </c>
      <c r="N6543" s="252">
        <v>43402</v>
      </c>
      <c r="O6543" s="493" t="s">
        <v>457</v>
      </c>
      <c r="P6543" s="494">
        <v>5600</v>
      </c>
      <c r="Q6543" s="494">
        <v>1</v>
      </c>
      <c r="R6543" s="495">
        <f t="shared" si="152"/>
        <v>5600</v>
      </c>
      <c r="S6543" s="456">
        <v>202303</v>
      </c>
      <c r="T6543" s="108" t="s">
        <v>8662</v>
      </c>
      <c r="U6543" s="496"/>
      <c r="V6543" s="458"/>
      <c r="W6543" s="458"/>
      <c r="X6543" s="466">
        <v>44866</v>
      </c>
      <c r="Y6543" s="466">
        <v>45230</v>
      </c>
    </row>
    <row r="6544" s="9" customFormat="1" customHeight="1" spans="1:25">
      <c r="A6544" s="492" t="s">
        <v>399</v>
      </c>
      <c r="B6544" s="446" t="s">
        <v>8192</v>
      </c>
      <c r="C6544" s="492" t="s">
        <v>110</v>
      </c>
      <c r="D6544" s="446" t="s">
        <v>6237</v>
      </c>
      <c r="E6544" s="23" t="s">
        <v>8600</v>
      </c>
      <c r="F6544" s="492" t="s">
        <v>8614</v>
      </c>
      <c r="G6544" s="473" t="s">
        <v>88</v>
      </c>
      <c r="H6544" s="100" t="s">
        <v>8615</v>
      </c>
      <c r="I6544" s="23" t="e">
        <f>VLOOKUP(H6544,'合同综合查询数据（3月返）'!$A:$A,1,FALSE)</f>
        <v>#N/A</v>
      </c>
      <c r="J6544" s="473" t="s">
        <v>3074</v>
      </c>
      <c r="K6544" s="493" t="s">
        <v>5515</v>
      </c>
      <c r="L6544" s="493"/>
      <c r="M6544" s="449" t="s">
        <v>8629</v>
      </c>
      <c r="N6544" s="252">
        <v>43850</v>
      </c>
      <c r="O6544" s="493" t="s">
        <v>457</v>
      </c>
      <c r="P6544" s="494">
        <v>5600</v>
      </c>
      <c r="Q6544" s="494">
        <v>12</v>
      </c>
      <c r="R6544" s="495">
        <f t="shared" si="152"/>
        <v>67200</v>
      </c>
      <c r="S6544" s="456">
        <v>202303</v>
      </c>
      <c r="T6544" s="108" t="s">
        <v>8288</v>
      </c>
      <c r="U6544" s="496"/>
      <c r="V6544" s="458"/>
      <c r="W6544" s="458"/>
      <c r="X6544" s="466">
        <v>44866</v>
      </c>
      <c r="Y6544" s="466">
        <v>45230</v>
      </c>
    </row>
    <row r="6545" s="9" customFormat="1" customHeight="1" spans="1:25">
      <c r="A6545" s="492" t="s">
        <v>399</v>
      </c>
      <c r="B6545" s="446" t="s">
        <v>8192</v>
      </c>
      <c r="C6545" s="492" t="s">
        <v>110</v>
      </c>
      <c r="D6545" s="446" t="s">
        <v>6237</v>
      </c>
      <c r="E6545" s="23" t="s">
        <v>8600</v>
      </c>
      <c r="F6545" s="492" t="s">
        <v>8614</v>
      </c>
      <c r="G6545" s="473" t="s">
        <v>88</v>
      </c>
      <c r="H6545" s="100" t="s">
        <v>8615</v>
      </c>
      <c r="I6545" s="23" t="e">
        <f>VLOOKUP(H6545,'合同综合查询数据（3月返）'!$A:$A,1,FALSE)</f>
        <v>#N/A</v>
      </c>
      <c r="J6545" s="473" t="s">
        <v>3074</v>
      </c>
      <c r="K6545" s="493" t="s">
        <v>5515</v>
      </c>
      <c r="L6545" s="493"/>
      <c r="M6545" s="449" t="s">
        <v>8629</v>
      </c>
      <c r="N6545" s="252">
        <v>43886</v>
      </c>
      <c r="O6545" s="493" t="s">
        <v>457</v>
      </c>
      <c r="P6545" s="494">
        <v>5600</v>
      </c>
      <c r="Q6545" s="494">
        <v>-2</v>
      </c>
      <c r="R6545" s="495">
        <f t="shared" si="152"/>
        <v>-11200</v>
      </c>
      <c r="S6545" s="456">
        <v>202303</v>
      </c>
      <c r="T6545" s="108"/>
      <c r="U6545" s="496"/>
      <c r="V6545" s="458"/>
      <c r="W6545" s="458"/>
      <c r="X6545" s="466">
        <v>44866</v>
      </c>
      <c r="Y6545" s="466">
        <v>45230</v>
      </c>
    </row>
    <row r="6546" s="9" customFormat="1" customHeight="1" spans="1:25">
      <c r="A6546" s="492" t="s">
        <v>399</v>
      </c>
      <c r="B6546" s="446" t="s">
        <v>8192</v>
      </c>
      <c r="C6546" s="492" t="s">
        <v>110</v>
      </c>
      <c r="D6546" s="446" t="s">
        <v>6237</v>
      </c>
      <c r="E6546" s="23" t="s">
        <v>8600</v>
      </c>
      <c r="F6546" s="492" t="s">
        <v>8614</v>
      </c>
      <c r="G6546" s="473" t="s">
        <v>88</v>
      </c>
      <c r="H6546" s="100" t="s">
        <v>8615</v>
      </c>
      <c r="I6546" s="23" t="e">
        <f>VLOOKUP(H6546,'合同综合查询数据（3月返）'!$A:$A,1,FALSE)</f>
        <v>#N/A</v>
      </c>
      <c r="J6546" s="473" t="s">
        <v>3074</v>
      </c>
      <c r="K6546" s="493" t="s">
        <v>5515</v>
      </c>
      <c r="L6546" s="493"/>
      <c r="M6546" s="449" t="s">
        <v>8629</v>
      </c>
      <c r="N6546" s="252">
        <v>43947</v>
      </c>
      <c r="O6546" s="493" t="s">
        <v>457</v>
      </c>
      <c r="P6546" s="494">
        <v>5600</v>
      </c>
      <c r="Q6546" s="494">
        <v>-2</v>
      </c>
      <c r="R6546" s="495">
        <f t="shared" si="152"/>
        <v>-11200</v>
      </c>
      <c r="S6546" s="456">
        <v>202303</v>
      </c>
      <c r="T6546" s="108"/>
      <c r="U6546" s="496"/>
      <c r="V6546" s="458"/>
      <c r="W6546" s="458"/>
      <c r="X6546" s="466">
        <v>44866</v>
      </c>
      <c r="Y6546" s="466">
        <v>45230</v>
      </c>
    </row>
    <row r="6547" s="9" customFormat="1" customHeight="1" spans="1:25">
      <c r="A6547" s="492" t="s">
        <v>399</v>
      </c>
      <c r="B6547" s="446" t="s">
        <v>8192</v>
      </c>
      <c r="C6547" s="492" t="s">
        <v>110</v>
      </c>
      <c r="D6547" s="446" t="s">
        <v>6237</v>
      </c>
      <c r="E6547" s="23" t="s">
        <v>8600</v>
      </c>
      <c r="F6547" s="492" t="s">
        <v>8614</v>
      </c>
      <c r="G6547" s="473" t="s">
        <v>88</v>
      </c>
      <c r="H6547" s="100" t="s">
        <v>8615</v>
      </c>
      <c r="I6547" s="23" t="e">
        <f>VLOOKUP(H6547,'合同综合查询数据（3月返）'!$A:$A,1,FALSE)</f>
        <v>#N/A</v>
      </c>
      <c r="J6547" s="473" t="s">
        <v>3074</v>
      </c>
      <c r="K6547" s="493" t="s">
        <v>5515</v>
      </c>
      <c r="L6547" s="493"/>
      <c r="M6547" s="449" t="s">
        <v>8629</v>
      </c>
      <c r="N6547" s="252">
        <v>44068</v>
      </c>
      <c r="O6547" s="493" t="s">
        <v>457</v>
      </c>
      <c r="P6547" s="494">
        <v>5600</v>
      </c>
      <c r="Q6547" s="494">
        <v>2</v>
      </c>
      <c r="R6547" s="495">
        <f t="shared" si="152"/>
        <v>11200</v>
      </c>
      <c r="S6547" s="456">
        <v>202303</v>
      </c>
      <c r="T6547" s="108"/>
      <c r="U6547" s="496"/>
      <c r="V6547" s="458"/>
      <c r="W6547" s="458"/>
      <c r="X6547" s="466">
        <v>44866</v>
      </c>
      <c r="Y6547" s="466">
        <v>45230</v>
      </c>
    </row>
    <row r="6548" s="9" customFormat="1" customHeight="1" spans="1:25">
      <c r="A6548" s="492" t="s">
        <v>399</v>
      </c>
      <c r="B6548" s="446" t="s">
        <v>8192</v>
      </c>
      <c r="C6548" s="492" t="s">
        <v>110</v>
      </c>
      <c r="D6548" s="446" t="s">
        <v>6237</v>
      </c>
      <c r="E6548" s="23" t="s">
        <v>8600</v>
      </c>
      <c r="F6548" s="492" t="s">
        <v>8614</v>
      </c>
      <c r="G6548" s="473" t="s">
        <v>88</v>
      </c>
      <c r="H6548" s="100" t="s">
        <v>8615</v>
      </c>
      <c r="I6548" s="23" t="e">
        <f>VLOOKUP(H6548,'合同综合查询数据（3月返）'!$A:$A,1,FALSE)</f>
        <v>#N/A</v>
      </c>
      <c r="J6548" s="473" t="s">
        <v>3074</v>
      </c>
      <c r="K6548" s="493" t="s">
        <v>5515</v>
      </c>
      <c r="L6548" s="493"/>
      <c r="M6548" s="449" t="s">
        <v>8629</v>
      </c>
      <c r="N6548" s="252">
        <v>44075</v>
      </c>
      <c r="O6548" s="493" t="s">
        <v>457</v>
      </c>
      <c r="P6548" s="494">
        <v>5600</v>
      </c>
      <c r="Q6548" s="494">
        <v>2</v>
      </c>
      <c r="R6548" s="495">
        <f t="shared" si="152"/>
        <v>11200</v>
      </c>
      <c r="S6548" s="456">
        <v>202303</v>
      </c>
      <c r="T6548" s="108" t="s">
        <v>8663</v>
      </c>
      <c r="U6548" s="496"/>
      <c r="V6548" s="458"/>
      <c r="W6548" s="458"/>
      <c r="X6548" s="466">
        <v>44866</v>
      </c>
      <c r="Y6548" s="466">
        <v>45230</v>
      </c>
    </row>
    <row r="6549" s="9" customFormat="1" customHeight="1" spans="1:25">
      <c r="A6549" s="492" t="s">
        <v>399</v>
      </c>
      <c r="B6549" s="446" t="s">
        <v>8192</v>
      </c>
      <c r="C6549" s="492" t="s">
        <v>110</v>
      </c>
      <c r="D6549" s="446" t="s">
        <v>6237</v>
      </c>
      <c r="E6549" s="23" t="s">
        <v>8600</v>
      </c>
      <c r="F6549" s="492" t="s">
        <v>8614</v>
      </c>
      <c r="G6549" s="473" t="s">
        <v>88</v>
      </c>
      <c r="H6549" s="100" t="s">
        <v>8615</v>
      </c>
      <c r="I6549" s="23" t="e">
        <f>VLOOKUP(H6549,'合同综合查询数据（3月返）'!$A:$A,1,FALSE)</f>
        <v>#N/A</v>
      </c>
      <c r="J6549" s="473" t="s">
        <v>3074</v>
      </c>
      <c r="K6549" s="493" t="s">
        <v>5515</v>
      </c>
      <c r="L6549" s="493"/>
      <c r="M6549" s="449" t="s">
        <v>8629</v>
      </c>
      <c r="N6549" s="252">
        <v>44076</v>
      </c>
      <c r="O6549" s="493" t="s">
        <v>457</v>
      </c>
      <c r="P6549" s="494">
        <v>5600</v>
      </c>
      <c r="Q6549" s="494">
        <v>2</v>
      </c>
      <c r="R6549" s="495">
        <f t="shared" si="152"/>
        <v>11200</v>
      </c>
      <c r="S6549" s="456">
        <v>202303</v>
      </c>
      <c r="T6549" s="108" t="s">
        <v>8663</v>
      </c>
      <c r="U6549" s="496"/>
      <c r="V6549" s="458"/>
      <c r="W6549" s="458"/>
      <c r="X6549" s="466">
        <v>44866</v>
      </c>
      <c r="Y6549" s="466">
        <v>45230</v>
      </c>
    </row>
    <row r="6550" s="9" customFormat="1" customHeight="1" spans="1:25">
      <c r="A6550" s="492" t="s">
        <v>399</v>
      </c>
      <c r="B6550" s="446" t="s">
        <v>8192</v>
      </c>
      <c r="C6550" s="492" t="s">
        <v>110</v>
      </c>
      <c r="D6550" s="446" t="s">
        <v>6237</v>
      </c>
      <c r="E6550" s="23" t="s">
        <v>8600</v>
      </c>
      <c r="F6550" s="492" t="s">
        <v>8614</v>
      </c>
      <c r="G6550" s="473" t="s">
        <v>88</v>
      </c>
      <c r="H6550" s="100" t="s">
        <v>8615</v>
      </c>
      <c r="I6550" s="23" t="e">
        <f>VLOOKUP(H6550,'合同综合查询数据（3月返）'!$A:$A,1,FALSE)</f>
        <v>#N/A</v>
      </c>
      <c r="J6550" s="473" t="s">
        <v>3074</v>
      </c>
      <c r="K6550" s="493" t="s">
        <v>5515</v>
      </c>
      <c r="L6550" s="493"/>
      <c r="M6550" s="449" t="s">
        <v>8629</v>
      </c>
      <c r="N6550" s="252">
        <v>44098</v>
      </c>
      <c r="O6550" s="493" t="s">
        <v>457</v>
      </c>
      <c r="P6550" s="494">
        <v>5600</v>
      </c>
      <c r="Q6550" s="494">
        <v>3</v>
      </c>
      <c r="R6550" s="495">
        <f t="shared" si="152"/>
        <v>16800</v>
      </c>
      <c r="S6550" s="456">
        <v>202303</v>
      </c>
      <c r="T6550" s="108" t="s">
        <v>8663</v>
      </c>
      <c r="U6550" s="496"/>
      <c r="V6550" s="458"/>
      <c r="W6550" s="458"/>
      <c r="X6550" s="466">
        <v>44866</v>
      </c>
      <c r="Y6550" s="466">
        <v>45230</v>
      </c>
    </row>
    <row r="6551" s="9" customFormat="1" customHeight="1" spans="1:25">
      <c r="A6551" s="492" t="s">
        <v>399</v>
      </c>
      <c r="B6551" s="446" t="s">
        <v>8192</v>
      </c>
      <c r="C6551" s="492" t="s">
        <v>110</v>
      </c>
      <c r="D6551" s="446" t="s">
        <v>6237</v>
      </c>
      <c r="E6551" s="23" t="s">
        <v>8600</v>
      </c>
      <c r="F6551" s="492" t="s">
        <v>8614</v>
      </c>
      <c r="G6551" s="473" t="s">
        <v>88</v>
      </c>
      <c r="H6551" s="100" t="s">
        <v>8615</v>
      </c>
      <c r="I6551" s="23" t="e">
        <f>VLOOKUP(H6551,'合同综合查询数据（3月返）'!$A:$A,1,FALSE)</f>
        <v>#N/A</v>
      </c>
      <c r="J6551" s="473" t="s">
        <v>3074</v>
      </c>
      <c r="K6551" s="493" t="s">
        <v>5515</v>
      </c>
      <c r="L6551" s="493"/>
      <c r="M6551" s="449" t="s">
        <v>8629</v>
      </c>
      <c r="N6551" s="252">
        <v>44146</v>
      </c>
      <c r="O6551" s="493" t="s">
        <v>457</v>
      </c>
      <c r="P6551" s="494">
        <v>5600</v>
      </c>
      <c r="Q6551" s="494">
        <v>1</v>
      </c>
      <c r="R6551" s="495">
        <f t="shared" si="152"/>
        <v>5600</v>
      </c>
      <c r="S6551" s="456">
        <v>202303</v>
      </c>
      <c r="T6551" s="108" t="s">
        <v>8664</v>
      </c>
      <c r="U6551" s="496"/>
      <c r="V6551" s="458"/>
      <c r="W6551" s="458"/>
      <c r="X6551" s="466">
        <v>44866</v>
      </c>
      <c r="Y6551" s="466">
        <v>45230</v>
      </c>
    </row>
    <row r="6552" s="9" customFormat="1" customHeight="1" spans="1:25">
      <c r="A6552" s="492" t="s">
        <v>399</v>
      </c>
      <c r="B6552" s="446" t="s">
        <v>8192</v>
      </c>
      <c r="C6552" s="492" t="s">
        <v>110</v>
      </c>
      <c r="D6552" s="446" t="s">
        <v>6237</v>
      </c>
      <c r="E6552" s="23" t="s">
        <v>8600</v>
      </c>
      <c r="F6552" s="492" t="s">
        <v>8614</v>
      </c>
      <c r="G6552" s="473" t="s">
        <v>88</v>
      </c>
      <c r="H6552" s="100" t="s">
        <v>8615</v>
      </c>
      <c r="I6552" s="23" t="e">
        <f>VLOOKUP(H6552,'合同综合查询数据（3月返）'!$A:$A,1,FALSE)</f>
        <v>#N/A</v>
      </c>
      <c r="J6552" s="473" t="s">
        <v>3074</v>
      </c>
      <c r="K6552" s="493" t="s">
        <v>5515</v>
      </c>
      <c r="L6552" s="493"/>
      <c r="M6552" s="449" t="s">
        <v>8629</v>
      </c>
      <c r="N6552" s="252">
        <v>44162</v>
      </c>
      <c r="O6552" s="493" t="s">
        <v>457</v>
      </c>
      <c r="P6552" s="494">
        <v>5600</v>
      </c>
      <c r="Q6552" s="494">
        <v>-2</v>
      </c>
      <c r="R6552" s="495">
        <f t="shared" si="152"/>
        <v>-11200</v>
      </c>
      <c r="S6552" s="456">
        <v>202303</v>
      </c>
      <c r="T6552" s="108" t="s">
        <v>8665</v>
      </c>
      <c r="U6552" s="496"/>
      <c r="V6552" s="458"/>
      <c r="W6552" s="458"/>
      <c r="X6552" s="466">
        <v>44866</v>
      </c>
      <c r="Y6552" s="466">
        <v>45230</v>
      </c>
    </row>
    <row r="6553" s="9" customFormat="1" customHeight="1" spans="1:25">
      <c r="A6553" s="492" t="s">
        <v>399</v>
      </c>
      <c r="B6553" s="446" t="s">
        <v>8192</v>
      </c>
      <c r="C6553" s="492" t="s">
        <v>110</v>
      </c>
      <c r="D6553" s="446" t="s">
        <v>6237</v>
      </c>
      <c r="E6553" s="23" t="s">
        <v>8600</v>
      </c>
      <c r="F6553" s="492" t="s">
        <v>8614</v>
      </c>
      <c r="G6553" s="473" t="s">
        <v>88</v>
      </c>
      <c r="H6553" s="100" t="s">
        <v>8615</v>
      </c>
      <c r="I6553" s="23" t="e">
        <f>VLOOKUP(H6553,'合同综合查询数据（3月返）'!$A:$A,1,FALSE)</f>
        <v>#N/A</v>
      </c>
      <c r="J6553" s="473" t="s">
        <v>3074</v>
      </c>
      <c r="K6553" s="493" t="s">
        <v>5515</v>
      </c>
      <c r="L6553" s="493"/>
      <c r="M6553" s="449" t="s">
        <v>8629</v>
      </c>
      <c r="N6553" s="252">
        <v>44170</v>
      </c>
      <c r="O6553" s="493" t="s">
        <v>457</v>
      </c>
      <c r="P6553" s="494">
        <v>5600</v>
      </c>
      <c r="Q6553" s="494">
        <v>2</v>
      </c>
      <c r="R6553" s="495">
        <f t="shared" si="152"/>
        <v>11200</v>
      </c>
      <c r="S6553" s="456">
        <v>202303</v>
      </c>
      <c r="T6553" s="108" t="s">
        <v>8666</v>
      </c>
      <c r="U6553" s="496"/>
      <c r="V6553" s="458"/>
      <c r="W6553" s="458"/>
      <c r="X6553" s="466">
        <v>44866</v>
      </c>
      <c r="Y6553" s="466">
        <v>45230</v>
      </c>
    </row>
    <row r="6554" s="9" customFormat="1" customHeight="1" spans="1:25">
      <c r="A6554" s="492" t="s">
        <v>399</v>
      </c>
      <c r="B6554" s="446" t="s">
        <v>8192</v>
      </c>
      <c r="C6554" s="492" t="s">
        <v>110</v>
      </c>
      <c r="D6554" s="446" t="s">
        <v>6237</v>
      </c>
      <c r="E6554" s="23" t="s">
        <v>8600</v>
      </c>
      <c r="F6554" s="492" t="s">
        <v>8614</v>
      </c>
      <c r="G6554" s="473" t="s">
        <v>88</v>
      </c>
      <c r="H6554" s="100" t="s">
        <v>8615</v>
      </c>
      <c r="I6554" s="23" t="e">
        <f>VLOOKUP(H6554,'合同综合查询数据（3月返）'!$A:$A,1,FALSE)</f>
        <v>#N/A</v>
      </c>
      <c r="J6554" s="473" t="s">
        <v>1941</v>
      </c>
      <c r="K6554" s="493" t="s">
        <v>5515</v>
      </c>
      <c r="L6554" s="493"/>
      <c r="M6554" s="449" t="s">
        <v>8629</v>
      </c>
      <c r="N6554" s="252">
        <v>44222</v>
      </c>
      <c r="O6554" s="493" t="s">
        <v>457</v>
      </c>
      <c r="P6554" s="494">
        <v>5600</v>
      </c>
      <c r="Q6554" s="494">
        <v>2</v>
      </c>
      <c r="R6554" s="495">
        <f t="shared" si="152"/>
        <v>11200</v>
      </c>
      <c r="S6554" s="456">
        <v>202303</v>
      </c>
      <c r="T6554" s="108" t="s">
        <v>8667</v>
      </c>
      <c r="U6554" s="496"/>
      <c r="V6554" s="458"/>
      <c r="W6554" s="458"/>
      <c r="X6554" s="466">
        <v>44866</v>
      </c>
      <c r="Y6554" s="466">
        <v>45230</v>
      </c>
    </row>
    <row r="6555" s="9" customFormat="1" customHeight="1" spans="1:25">
      <c r="A6555" s="492" t="s">
        <v>399</v>
      </c>
      <c r="B6555" s="446" t="s">
        <v>8192</v>
      </c>
      <c r="C6555" s="492" t="s">
        <v>110</v>
      </c>
      <c r="D6555" s="446" t="s">
        <v>6237</v>
      </c>
      <c r="E6555" s="23" t="s">
        <v>8600</v>
      </c>
      <c r="F6555" s="492" t="s">
        <v>8614</v>
      </c>
      <c r="G6555" s="473" t="s">
        <v>88</v>
      </c>
      <c r="H6555" s="100" t="s">
        <v>8615</v>
      </c>
      <c r="I6555" s="23" t="e">
        <f>VLOOKUP(H6555,'合同综合查询数据（3月返）'!$A:$A,1,FALSE)</f>
        <v>#N/A</v>
      </c>
      <c r="J6555" s="473" t="s">
        <v>3074</v>
      </c>
      <c r="K6555" s="493" t="s">
        <v>5515</v>
      </c>
      <c r="L6555" s="493"/>
      <c r="M6555" s="449" t="s">
        <v>8629</v>
      </c>
      <c r="N6555" s="252">
        <v>44324</v>
      </c>
      <c r="O6555" s="493" t="s">
        <v>457</v>
      </c>
      <c r="P6555" s="494">
        <v>5600</v>
      </c>
      <c r="Q6555" s="494">
        <v>2</v>
      </c>
      <c r="R6555" s="495">
        <f t="shared" si="152"/>
        <v>11200</v>
      </c>
      <c r="S6555" s="456">
        <v>202303</v>
      </c>
      <c r="T6555" s="121" t="s">
        <v>8668</v>
      </c>
      <c r="U6555" s="496"/>
      <c r="V6555" s="458"/>
      <c r="W6555" s="458"/>
      <c r="X6555" s="466">
        <v>44866</v>
      </c>
      <c r="Y6555" s="466">
        <v>45230</v>
      </c>
    </row>
    <row r="6556" s="9" customFormat="1" customHeight="1" spans="1:25">
      <c r="A6556" s="492" t="s">
        <v>399</v>
      </c>
      <c r="B6556" s="446" t="s">
        <v>8192</v>
      </c>
      <c r="C6556" s="492" t="s">
        <v>110</v>
      </c>
      <c r="D6556" s="446" t="s">
        <v>6237</v>
      </c>
      <c r="E6556" s="23" t="s">
        <v>8600</v>
      </c>
      <c r="F6556" s="492" t="s">
        <v>8614</v>
      </c>
      <c r="G6556" s="473" t="s">
        <v>88</v>
      </c>
      <c r="H6556" s="100" t="s">
        <v>8615</v>
      </c>
      <c r="I6556" s="23" t="e">
        <f>VLOOKUP(H6556,'合同综合查询数据（3月返）'!$A:$A,1,FALSE)</f>
        <v>#N/A</v>
      </c>
      <c r="J6556" s="473" t="s">
        <v>3074</v>
      </c>
      <c r="K6556" s="493" t="s">
        <v>5515</v>
      </c>
      <c r="L6556" s="493"/>
      <c r="M6556" s="449" t="s">
        <v>8629</v>
      </c>
      <c r="N6556" s="252">
        <v>44358</v>
      </c>
      <c r="O6556" s="493" t="s">
        <v>457</v>
      </c>
      <c r="P6556" s="494">
        <v>5600</v>
      </c>
      <c r="Q6556" s="494">
        <v>-2</v>
      </c>
      <c r="R6556" s="495">
        <f t="shared" si="152"/>
        <v>-11200</v>
      </c>
      <c r="S6556" s="456">
        <v>202303</v>
      </c>
      <c r="T6556" s="121" t="s">
        <v>8669</v>
      </c>
      <c r="U6556" s="496"/>
      <c r="V6556" s="458"/>
      <c r="W6556" s="458"/>
      <c r="X6556" s="466">
        <v>44866</v>
      </c>
      <c r="Y6556" s="466">
        <v>45230</v>
      </c>
    </row>
    <row r="6557" s="9" customFormat="1" customHeight="1" spans="1:25">
      <c r="A6557" s="492" t="s">
        <v>399</v>
      </c>
      <c r="B6557" s="446" t="s">
        <v>8192</v>
      </c>
      <c r="C6557" s="492" t="s">
        <v>110</v>
      </c>
      <c r="D6557" s="446" t="s">
        <v>6237</v>
      </c>
      <c r="E6557" s="23" t="s">
        <v>8600</v>
      </c>
      <c r="F6557" s="492" t="s">
        <v>8614</v>
      </c>
      <c r="G6557" s="473" t="s">
        <v>88</v>
      </c>
      <c r="H6557" s="100" t="s">
        <v>8615</v>
      </c>
      <c r="I6557" s="23" t="e">
        <f>VLOOKUP(H6557,'合同综合查询数据（3月返）'!$A:$A,1,FALSE)</f>
        <v>#N/A</v>
      </c>
      <c r="J6557" s="473" t="s">
        <v>90</v>
      </c>
      <c r="K6557" s="493" t="s">
        <v>5515</v>
      </c>
      <c r="L6557" s="493"/>
      <c r="M6557" s="449" t="s">
        <v>8629</v>
      </c>
      <c r="N6557" s="252">
        <v>44613</v>
      </c>
      <c r="O6557" s="493" t="s">
        <v>457</v>
      </c>
      <c r="P6557" s="494">
        <v>5600</v>
      </c>
      <c r="Q6557" s="494">
        <v>-5</v>
      </c>
      <c r="R6557" s="495">
        <f t="shared" si="152"/>
        <v>-28000</v>
      </c>
      <c r="S6557" s="456">
        <v>202303</v>
      </c>
      <c r="T6557" s="215" t="s">
        <v>8670</v>
      </c>
      <c r="U6557" s="488"/>
      <c r="V6557" s="458"/>
      <c r="W6557" s="458"/>
      <c r="X6557" s="466">
        <v>44866</v>
      </c>
      <c r="Y6557" s="466">
        <v>45230</v>
      </c>
    </row>
    <row r="6558" s="9" customFormat="1" customHeight="1" spans="1:25">
      <c r="A6558" s="492" t="s">
        <v>399</v>
      </c>
      <c r="B6558" s="446" t="s">
        <v>8192</v>
      </c>
      <c r="C6558" s="492" t="s">
        <v>110</v>
      </c>
      <c r="D6558" s="446" t="s">
        <v>6237</v>
      </c>
      <c r="E6558" s="23" t="s">
        <v>8600</v>
      </c>
      <c r="F6558" s="492" t="s">
        <v>8614</v>
      </c>
      <c r="G6558" s="473" t="s">
        <v>88</v>
      </c>
      <c r="H6558" s="100" t="s">
        <v>8615</v>
      </c>
      <c r="I6558" s="23" t="e">
        <f>VLOOKUP(H6558,'合同综合查询数据（3月返）'!$A:$A,1,FALSE)</f>
        <v>#N/A</v>
      </c>
      <c r="J6558" s="473" t="s">
        <v>90</v>
      </c>
      <c r="K6558" s="493" t="s">
        <v>5515</v>
      </c>
      <c r="L6558" s="493"/>
      <c r="M6558" s="449" t="s">
        <v>8629</v>
      </c>
      <c r="N6558" s="252">
        <v>44614</v>
      </c>
      <c r="O6558" s="493" t="s">
        <v>457</v>
      </c>
      <c r="P6558" s="494">
        <v>5600</v>
      </c>
      <c r="Q6558" s="494">
        <v>4</v>
      </c>
      <c r="R6558" s="495">
        <f t="shared" si="152"/>
        <v>22400</v>
      </c>
      <c r="S6558" s="456">
        <v>202303</v>
      </c>
      <c r="T6558" s="215" t="s">
        <v>8671</v>
      </c>
      <c r="U6558" s="488"/>
      <c r="V6558" s="458"/>
      <c r="W6558" s="458"/>
      <c r="X6558" s="466">
        <v>44866</v>
      </c>
      <c r="Y6558" s="466">
        <v>45230</v>
      </c>
    </row>
    <row r="6559" s="9" customFormat="1" customHeight="1" spans="1:25">
      <c r="A6559" s="492" t="s">
        <v>399</v>
      </c>
      <c r="B6559" s="446" t="s">
        <v>8192</v>
      </c>
      <c r="C6559" s="492" t="s">
        <v>110</v>
      </c>
      <c r="D6559" s="446" t="s">
        <v>6237</v>
      </c>
      <c r="E6559" s="23" t="s">
        <v>8600</v>
      </c>
      <c r="F6559" s="492" t="s">
        <v>8614</v>
      </c>
      <c r="G6559" s="473" t="s">
        <v>88</v>
      </c>
      <c r="H6559" s="100" t="s">
        <v>8615</v>
      </c>
      <c r="I6559" s="23" t="e">
        <f>VLOOKUP(H6559,'合同综合查询数据（3月返）'!$A:$A,1,FALSE)</f>
        <v>#N/A</v>
      </c>
      <c r="J6559" s="473" t="s">
        <v>90</v>
      </c>
      <c r="K6559" s="493" t="s">
        <v>5515</v>
      </c>
      <c r="L6559" s="493"/>
      <c r="M6559" s="449" t="s">
        <v>8629</v>
      </c>
      <c r="N6559" s="252">
        <v>44616</v>
      </c>
      <c r="O6559" s="493" t="s">
        <v>457</v>
      </c>
      <c r="P6559" s="494">
        <v>5600</v>
      </c>
      <c r="Q6559" s="494">
        <v>-5</v>
      </c>
      <c r="R6559" s="495">
        <f t="shared" si="152"/>
        <v>-28000</v>
      </c>
      <c r="S6559" s="456">
        <v>202303</v>
      </c>
      <c r="T6559" s="215" t="s">
        <v>8672</v>
      </c>
      <c r="U6559" s="488"/>
      <c r="V6559" s="458"/>
      <c r="W6559" s="458"/>
      <c r="X6559" s="466">
        <v>44866</v>
      </c>
      <c r="Y6559" s="466">
        <v>45230</v>
      </c>
    </row>
    <row r="6560" s="9" customFormat="1" customHeight="1" spans="1:25">
      <c r="A6560" s="492" t="s">
        <v>399</v>
      </c>
      <c r="B6560" s="446" t="s">
        <v>8192</v>
      </c>
      <c r="C6560" s="492" t="s">
        <v>110</v>
      </c>
      <c r="D6560" s="446" t="s">
        <v>6237</v>
      </c>
      <c r="E6560" s="23" t="s">
        <v>8600</v>
      </c>
      <c r="F6560" s="492" t="s">
        <v>8614</v>
      </c>
      <c r="G6560" s="473" t="s">
        <v>88</v>
      </c>
      <c r="H6560" s="100" t="s">
        <v>8615</v>
      </c>
      <c r="I6560" s="23" t="e">
        <f>VLOOKUP(H6560,'合同综合查询数据（3月返）'!$A:$A,1,FALSE)</f>
        <v>#N/A</v>
      </c>
      <c r="J6560" s="473" t="s">
        <v>90</v>
      </c>
      <c r="K6560" s="493" t="s">
        <v>5515</v>
      </c>
      <c r="L6560" s="493"/>
      <c r="M6560" s="449" t="s">
        <v>8629</v>
      </c>
      <c r="N6560" s="252">
        <v>44617</v>
      </c>
      <c r="O6560" s="493" t="s">
        <v>457</v>
      </c>
      <c r="P6560" s="494">
        <v>5600</v>
      </c>
      <c r="Q6560" s="494">
        <v>4</v>
      </c>
      <c r="R6560" s="495">
        <f t="shared" si="152"/>
        <v>22400</v>
      </c>
      <c r="S6560" s="456">
        <v>202303</v>
      </c>
      <c r="T6560" s="215" t="s">
        <v>8673</v>
      </c>
      <c r="U6560" s="488"/>
      <c r="V6560" s="458"/>
      <c r="W6560" s="458"/>
      <c r="X6560" s="466">
        <v>44866</v>
      </c>
      <c r="Y6560" s="466">
        <v>45230</v>
      </c>
    </row>
    <row r="6561" s="9" customFormat="1" customHeight="1" spans="1:25">
      <c r="A6561" s="492" t="s">
        <v>399</v>
      </c>
      <c r="B6561" s="446" t="s">
        <v>8192</v>
      </c>
      <c r="C6561" s="492" t="s">
        <v>110</v>
      </c>
      <c r="D6561" s="446" t="s">
        <v>6237</v>
      </c>
      <c r="E6561" s="23" t="s">
        <v>8600</v>
      </c>
      <c r="F6561" s="492" t="s">
        <v>8614</v>
      </c>
      <c r="G6561" s="473" t="s">
        <v>88</v>
      </c>
      <c r="H6561" s="100" t="s">
        <v>8615</v>
      </c>
      <c r="I6561" s="23" t="e">
        <f>VLOOKUP(H6561,'合同综合查询数据（3月返）'!$A:$A,1,FALSE)</f>
        <v>#N/A</v>
      </c>
      <c r="J6561" s="473" t="s">
        <v>90</v>
      </c>
      <c r="K6561" s="493" t="s">
        <v>5515</v>
      </c>
      <c r="L6561" s="493"/>
      <c r="M6561" s="449" t="s">
        <v>8629</v>
      </c>
      <c r="N6561" s="252">
        <v>44694</v>
      </c>
      <c r="O6561" s="493" t="s">
        <v>457</v>
      </c>
      <c r="P6561" s="494">
        <v>5600</v>
      </c>
      <c r="Q6561" s="494">
        <v>4</v>
      </c>
      <c r="R6561" s="495">
        <f t="shared" si="152"/>
        <v>22400</v>
      </c>
      <c r="S6561" s="456">
        <v>202303</v>
      </c>
      <c r="T6561" s="215" t="s">
        <v>8674</v>
      </c>
      <c r="U6561" s="488"/>
      <c r="V6561" s="458"/>
      <c r="W6561" s="458"/>
      <c r="X6561" s="466">
        <v>44866</v>
      </c>
      <c r="Y6561" s="466">
        <v>45230</v>
      </c>
    </row>
    <row r="6562" s="10" customFormat="1" customHeight="1" spans="1:25">
      <c r="A6562" s="481" t="s">
        <v>399</v>
      </c>
      <c r="B6562" s="459" t="s">
        <v>8192</v>
      </c>
      <c r="C6562" s="481" t="s">
        <v>110</v>
      </c>
      <c r="D6562" s="459" t="s">
        <v>6237</v>
      </c>
      <c r="E6562" s="47" t="s">
        <v>8600</v>
      </c>
      <c r="F6562" s="481" t="s">
        <v>8614</v>
      </c>
      <c r="G6562" s="441" t="s">
        <v>88</v>
      </c>
      <c r="H6562" s="137" t="s">
        <v>8675</v>
      </c>
      <c r="I6562" s="47" t="e">
        <f>VLOOKUP(H6562,'合同综合查询数据（3月返）'!$A:$A,1,FALSE)</f>
        <v>#N/A</v>
      </c>
      <c r="J6562" s="484" t="s">
        <v>3074</v>
      </c>
      <c r="K6562" s="441" t="s">
        <v>5515</v>
      </c>
      <c r="L6562" s="441"/>
      <c r="M6562" s="429" t="s">
        <v>8629</v>
      </c>
      <c r="N6562" s="430">
        <v>44911</v>
      </c>
      <c r="O6562" s="441" t="s">
        <v>1327</v>
      </c>
      <c r="P6562" s="485">
        <v>16650</v>
      </c>
      <c r="Q6562" s="485">
        <v>2</v>
      </c>
      <c r="R6562" s="490">
        <f t="shared" si="152"/>
        <v>33300</v>
      </c>
      <c r="S6562" s="434">
        <v>202303</v>
      </c>
      <c r="T6562" s="139" t="s">
        <v>8676</v>
      </c>
      <c r="U6562" s="504"/>
      <c r="V6562" s="437"/>
      <c r="W6562" s="437"/>
      <c r="X6562" s="442">
        <v>44911</v>
      </c>
      <c r="Y6562" s="442"/>
    </row>
    <row r="6563" s="9" customFormat="1" customHeight="1" spans="1:25">
      <c r="A6563" s="492" t="s">
        <v>399</v>
      </c>
      <c r="B6563" s="446" t="s">
        <v>8192</v>
      </c>
      <c r="C6563" s="492" t="s">
        <v>110</v>
      </c>
      <c r="D6563" s="446" t="s">
        <v>6237</v>
      </c>
      <c r="E6563" s="23" t="s">
        <v>8600</v>
      </c>
      <c r="F6563" s="492" t="s">
        <v>8614</v>
      </c>
      <c r="G6563" s="473" t="s">
        <v>88</v>
      </c>
      <c r="H6563" s="100" t="s">
        <v>8615</v>
      </c>
      <c r="I6563" s="23" t="e">
        <f>VLOOKUP(H6563,'合同综合查询数据（3月返）'!$A:$A,1,FALSE)</f>
        <v>#N/A</v>
      </c>
      <c r="J6563" s="473" t="s">
        <v>90</v>
      </c>
      <c r="K6563" s="493" t="s">
        <v>5515</v>
      </c>
      <c r="L6563" s="493"/>
      <c r="M6563" s="449" t="s">
        <v>8629</v>
      </c>
      <c r="N6563" s="252">
        <v>44924</v>
      </c>
      <c r="O6563" s="493" t="s">
        <v>457</v>
      </c>
      <c r="P6563" s="494">
        <v>5600</v>
      </c>
      <c r="Q6563" s="494">
        <v>-1</v>
      </c>
      <c r="R6563" s="495">
        <f t="shared" si="152"/>
        <v>-5600</v>
      </c>
      <c r="S6563" s="456">
        <v>202303</v>
      </c>
      <c r="T6563" s="215" t="s">
        <v>8677</v>
      </c>
      <c r="U6563" s="488"/>
      <c r="V6563" s="458"/>
      <c r="W6563" s="458"/>
      <c r="X6563" s="466">
        <v>44866</v>
      </c>
      <c r="Y6563" s="466">
        <v>45230</v>
      </c>
    </row>
    <row r="6564" s="9" customFormat="1" customHeight="1" spans="1:25">
      <c r="A6564" s="492" t="s">
        <v>399</v>
      </c>
      <c r="B6564" s="446" t="s">
        <v>8192</v>
      </c>
      <c r="C6564" s="492" t="s">
        <v>110</v>
      </c>
      <c r="D6564" s="446" t="s">
        <v>6237</v>
      </c>
      <c r="E6564" s="23" t="s">
        <v>8678</v>
      </c>
      <c r="F6564" s="492" t="s">
        <v>8614</v>
      </c>
      <c r="G6564" s="473" t="s">
        <v>67</v>
      </c>
      <c r="H6564" s="100" t="s">
        <v>8679</v>
      </c>
      <c r="I6564" s="23" t="e">
        <f>VLOOKUP(H6564,'合同综合查询数据（3月返）'!$A:$A,1,FALSE)</f>
        <v>#N/A</v>
      </c>
      <c r="J6564" s="473" t="s">
        <v>69</v>
      </c>
      <c r="K6564" s="493" t="s">
        <v>8680</v>
      </c>
      <c r="L6564" s="493"/>
      <c r="M6564" s="449" t="s">
        <v>8629</v>
      </c>
      <c r="N6564" s="252">
        <v>43176</v>
      </c>
      <c r="O6564" s="493" t="s">
        <v>71</v>
      </c>
      <c r="P6564" s="494">
        <v>535</v>
      </c>
      <c r="Q6564" s="494">
        <v>204.18</v>
      </c>
      <c r="R6564" s="495">
        <f>ROUND(Q6564*P6564,2)</f>
        <v>109236.3</v>
      </c>
      <c r="S6564" s="456">
        <v>202303</v>
      </c>
      <c r="T6564" s="108" t="s">
        <v>8681</v>
      </c>
      <c r="U6564" s="496"/>
      <c r="V6564" s="458"/>
      <c r="W6564" s="458"/>
      <c r="X6564" s="106">
        <v>43177</v>
      </c>
      <c r="Y6564" s="491">
        <v>45002</v>
      </c>
    </row>
    <row r="6565" s="9" customFormat="1" customHeight="1" spans="1:25">
      <c r="A6565" s="492" t="s">
        <v>399</v>
      </c>
      <c r="B6565" s="446" t="s">
        <v>8192</v>
      </c>
      <c r="C6565" s="492" t="s">
        <v>110</v>
      </c>
      <c r="D6565" s="446" t="s">
        <v>6237</v>
      </c>
      <c r="E6565" s="23" t="s">
        <v>8678</v>
      </c>
      <c r="F6565" s="492" t="s">
        <v>8614</v>
      </c>
      <c r="G6565" s="473" t="s">
        <v>67</v>
      </c>
      <c r="H6565" s="100" t="s">
        <v>8679</v>
      </c>
      <c r="I6565" s="23" t="e">
        <f>VLOOKUP(H6565,'合同综合查询数据（3月返）'!$A:$A,1,FALSE)</f>
        <v>#N/A</v>
      </c>
      <c r="J6565" s="473" t="s">
        <v>69</v>
      </c>
      <c r="K6565" s="493" t="s">
        <v>8680</v>
      </c>
      <c r="L6565" s="493"/>
      <c r="M6565" s="449" t="s">
        <v>8629</v>
      </c>
      <c r="N6565" s="252">
        <v>43176</v>
      </c>
      <c r="O6565" s="493" t="s">
        <v>71</v>
      </c>
      <c r="P6565" s="494">
        <v>535</v>
      </c>
      <c r="Q6565" s="494">
        <v>58</v>
      </c>
      <c r="R6565" s="495">
        <f>ROUND(Q6565*P6565,2)</f>
        <v>31030</v>
      </c>
      <c r="S6565" s="456">
        <v>202303</v>
      </c>
      <c r="T6565" s="108" t="s">
        <v>8682</v>
      </c>
      <c r="U6565" s="496"/>
      <c r="V6565" s="458"/>
      <c r="W6565" s="458"/>
      <c r="X6565" s="106">
        <v>43177</v>
      </c>
      <c r="Y6565" s="491">
        <v>45002</v>
      </c>
    </row>
    <row r="6566" s="9" customFormat="1" customHeight="1" spans="1:25">
      <c r="A6566" s="492" t="s">
        <v>399</v>
      </c>
      <c r="B6566" s="446" t="s">
        <v>8192</v>
      </c>
      <c r="C6566" s="492" t="s">
        <v>110</v>
      </c>
      <c r="D6566" s="446" t="s">
        <v>6237</v>
      </c>
      <c r="E6566" s="23" t="s">
        <v>8678</v>
      </c>
      <c r="F6566" s="492" t="s">
        <v>8614</v>
      </c>
      <c r="G6566" s="473" t="s">
        <v>67</v>
      </c>
      <c r="H6566" s="100" t="s">
        <v>8679</v>
      </c>
      <c r="I6566" s="23" t="e">
        <f>VLOOKUP(H6566,'合同综合查询数据（3月返）'!$A:$A,1,FALSE)</f>
        <v>#N/A</v>
      </c>
      <c r="J6566" s="473" t="s">
        <v>69</v>
      </c>
      <c r="K6566" s="493" t="s">
        <v>8680</v>
      </c>
      <c r="L6566" s="493"/>
      <c r="M6566" s="449" t="s">
        <v>8629</v>
      </c>
      <c r="N6566" s="252">
        <v>43176</v>
      </c>
      <c r="O6566" s="493" t="s">
        <v>71</v>
      </c>
      <c r="P6566" s="494">
        <v>535</v>
      </c>
      <c r="Q6566" s="494">
        <v>225.51</v>
      </c>
      <c r="R6566" s="495">
        <f>ROUND(Q6566*P6566,2)</f>
        <v>120647.85</v>
      </c>
      <c r="S6566" s="456">
        <v>202303</v>
      </c>
      <c r="T6566" s="108" t="s">
        <v>8683</v>
      </c>
      <c r="U6566" s="496"/>
      <c r="V6566" s="458"/>
      <c r="W6566" s="458"/>
      <c r="X6566" s="106">
        <v>43177</v>
      </c>
      <c r="Y6566" s="491">
        <v>45002</v>
      </c>
    </row>
    <row r="6567" s="9" customFormat="1" customHeight="1" spans="1:25">
      <c r="A6567" s="492" t="s">
        <v>399</v>
      </c>
      <c r="B6567" s="446" t="s">
        <v>8192</v>
      </c>
      <c r="C6567" s="492" t="s">
        <v>110</v>
      </c>
      <c r="D6567" s="446" t="s">
        <v>6237</v>
      </c>
      <c r="E6567" s="499" t="s">
        <v>8600</v>
      </c>
      <c r="F6567" s="492" t="s">
        <v>8684</v>
      </c>
      <c r="G6567" s="493" t="s">
        <v>88</v>
      </c>
      <c r="H6567" s="100" t="s">
        <v>8685</v>
      </c>
      <c r="I6567" s="23" t="e">
        <f>VLOOKUP(H6567,'合同综合查询数据（3月返）'!$A:$A,1,FALSE)</f>
        <v>#N/A</v>
      </c>
      <c r="J6567" s="473" t="s">
        <v>126</v>
      </c>
      <c r="K6567" s="493" t="s">
        <v>8686</v>
      </c>
      <c r="L6567" s="501"/>
      <c r="M6567" s="449" t="s">
        <v>8687</v>
      </c>
      <c r="N6567" s="252">
        <v>43462</v>
      </c>
      <c r="O6567" s="493" t="s">
        <v>127</v>
      </c>
      <c r="P6567" s="494">
        <v>5000</v>
      </c>
      <c r="Q6567" s="494">
        <v>7</v>
      </c>
      <c r="R6567" s="495">
        <f t="shared" ref="R6567:R6630" si="153">ROUND(P6567*Q6567,2)</f>
        <v>35000</v>
      </c>
      <c r="S6567" s="456">
        <v>202303</v>
      </c>
      <c r="T6567" s="108"/>
      <c r="U6567" s="496"/>
      <c r="V6567" s="458"/>
      <c r="W6567" s="458"/>
      <c r="X6567" s="190"/>
      <c r="Y6567" s="190"/>
    </row>
    <row r="6568" s="9" customFormat="1" customHeight="1" spans="1:25">
      <c r="A6568" s="492" t="s">
        <v>399</v>
      </c>
      <c r="B6568" s="446" t="s">
        <v>8192</v>
      </c>
      <c r="C6568" s="492" t="s">
        <v>110</v>
      </c>
      <c r="D6568" s="446" t="s">
        <v>6237</v>
      </c>
      <c r="E6568" s="499" t="s">
        <v>8600</v>
      </c>
      <c r="F6568" s="492" t="s">
        <v>8684</v>
      </c>
      <c r="G6568" s="493" t="s">
        <v>88</v>
      </c>
      <c r="H6568" s="100" t="s">
        <v>8685</v>
      </c>
      <c r="I6568" s="23" t="e">
        <f>VLOOKUP(H6568,'合同综合查询数据（3月返）'!$A:$A,1,FALSE)</f>
        <v>#N/A</v>
      </c>
      <c r="J6568" s="473" t="s">
        <v>126</v>
      </c>
      <c r="K6568" s="493" t="s">
        <v>8686</v>
      </c>
      <c r="L6568" s="501"/>
      <c r="M6568" s="449" t="s">
        <v>8687</v>
      </c>
      <c r="N6568" s="252">
        <v>43617</v>
      </c>
      <c r="O6568" s="493" t="s">
        <v>127</v>
      </c>
      <c r="P6568" s="494">
        <v>5000</v>
      </c>
      <c r="Q6568" s="494">
        <v>2</v>
      </c>
      <c r="R6568" s="495">
        <f t="shared" si="153"/>
        <v>10000</v>
      </c>
      <c r="S6568" s="456">
        <v>202303</v>
      </c>
      <c r="T6568" s="97"/>
      <c r="U6568" s="492"/>
      <c r="V6568" s="458"/>
      <c r="W6568" s="458"/>
      <c r="X6568" s="190"/>
      <c r="Y6568" s="190"/>
    </row>
    <row r="6569" s="9" customFormat="1" customHeight="1" spans="1:25">
      <c r="A6569" s="492" t="s">
        <v>399</v>
      </c>
      <c r="B6569" s="446" t="s">
        <v>8192</v>
      </c>
      <c r="C6569" s="492" t="s">
        <v>110</v>
      </c>
      <c r="D6569" s="446" t="s">
        <v>6237</v>
      </c>
      <c r="E6569" s="499" t="s">
        <v>8600</v>
      </c>
      <c r="F6569" s="492" t="s">
        <v>8684</v>
      </c>
      <c r="G6569" s="493" t="s">
        <v>88</v>
      </c>
      <c r="H6569" s="100" t="s">
        <v>8685</v>
      </c>
      <c r="I6569" s="23" t="e">
        <f>VLOOKUP(H6569,'合同综合查询数据（3月返）'!$A:$A,1,FALSE)</f>
        <v>#N/A</v>
      </c>
      <c r="J6569" s="473" t="s">
        <v>126</v>
      </c>
      <c r="K6569" s="493" t="s">
        <v>8686</v>
      </c>
      <c r="L6569" s="501"/>
      <c r="M6569" s="449" t="s">
        <v>8687</v>
      </c>
      <c r="N6569" s="252">
        <v>44742</v>
      </c>
      <c r="O6569" s="493" t="s">
        <v>127</v>
      </c>
      <c r="P6569" s="494">
        <v>5000</v>
      </c>
      <c r="Q6569" s="494">
        <v>-5</v>
      </c>
      <c r="R6569" s="495">
        <f t="shared" si="153"/>
        <v>-25000</v>
      </c>
      <c r="S6569" s="456">
        <v>202303</v>
      </c>
      <c r="T6569" s="97" t="s">
        <v>8688</v>
      </c>
      <c r="U6569" s="492"/>
      <c r="V6569" s="458"/>
      <c r="W6569" s="458"/>
      <c r="X6569" s="190"/>
      <c r="Y6569" s="190"/>
    </row>
    <row r="6570" s="9" customFormat="1" customHeight="1" spans="1:25">
      <c r="A6570" s="492" t="s">
        <v>399</v>
      </c>
      <c r="B6570" s="446" t="s">
        <v>8192</v>
      </c>
      <c r="C6570" s="492" t="s">
        <v>110</v>
      </c>
      <c r="D6570" s="446" t="s">
        <v>6237</v>
      </c>
      <c r="E6570" s="499" t="s">
        <v>8600</v>
      </c>
      <c r="F6570" s="492" t="s">
        <v>8684</v>
      </c>
      <c r="G6570" s="493" t="s">
        <v>31</v>
      </c>
      <c r="H6570" s="100" t="s">
        <v>8685</v>
      </c>
      <c r="I6570" s="23" t="e">
        <f>VLOOKUP(H6570,'合同综合查询数据（3月返）'!$A:$A,1,FALSE)</f>
        <v>#N/A</v>
      </c>
      <c r="J6570" s="448" t="s">
        <v>7564</v>
      </c>
      <c r="K6570" s="493" t="s">
        <v>8686</v>
      </c>
      <c r="L6570" s="501" t="s">
        <v>8684</v>
      </c>
      <c r="M6570" s="449"/>
      <c r="N6570" s="252">
        <v>43617</v>
      </c>
      <c r="O6570" s="493"/>
      <c r="P6570" s="494">
        <v>0</v>
      </c>
      <c r="Q6570" s="494">
        <v>288</v>
      </c>
      <c r="R6570" s="495">
        <f t="shared" si="153"/>
        <v>0</v>
      </c>
      <c r="S6570" s="456">
        <v>202303</v>
      </c>
      <c r="T6570" s="94" t="s">
        <v>8689</v>
      </c>
      <c r="U6570" s="496"/>
      <c r="V6570" s="458"/>
      <c r="W6570" s="458"/>
      <c r="X6570" s="190"/>
      <c r="Y6570" s="190"/>
    </row>
    <row r="6571" s="9" customFormat="1" customHeight="1" spans="1:25">
      <c r="A6571" s="492" t="s">
        <v>399</v>
      </c>
      <c r="B6571" s="446" t="s">
        <v>8192</v>
      </c>
      <c r="C6571" s="492" t="s">
        <v>110</v>
      </c>
      <c r="D6571" s="446" t="s">
        <v>6237</v>
      </c>
      <c r="E6571" s="499" t="s">
        <v>8600</v>
      </c>
      <c r="F6571" s="492" t="s">
        <v>8684</v>
      </c>
      <c r="G6571" s="493" t="s">
        <v>31</v>
      </c>
      <c r="H6571" s="100" t="s">
        <v>8685</v>
      </c>
      <c r="I6571" s="23" t="e">
        <f>VLOOKUP(H6571,'合同综合查询数据（3月返）'!$A:$A,1,FALSE)</f>
        <v>#N/A</v>
      </c>
      <c r="J6571" s="448" t="s">
        <v>7564</v>
      </c>
      <c r="K6571" s="493" t="s">
        <v>8686</v>
      </c>
      <c r="L6571" s="501" t="s">
        <v>8684</v>
      </c>
      <c r="M6571" s="449"/>
      <c r="N6571" s="252">
        <v>44773</v>
      </c>
      <c r="O6571" s="493"/>
      <c r="P6571" s="494">
        <v>0</v>
      </c>
      <c r="Q6571" s="494">
        <v>-288</v>
      </c>
      <c r="R6571" s="495">
        <f t="shared" si="153"/>
        <v>0</v>
      </c>
      <c r="S6571" s="456">
        <v>202303</v>
      </c>
      <c r="T6571" s="94" t="s">
        <v>8690</v>
      </c>
      <c r="U6571" s="496"/>
      <c r="V6571" s="458"/>
      <c r="W6571" s="458"/>
      <c r="X6571" s="190"/>
      <c r="Y6571" s="190"/>
    </row>
    <row r="6572" s="9" customFormat="1" customHeight="1" spans="1:25">
      <c r="A6572" s="492" t="s">
        <v>399</v>
      </c>
      <c r="B6572" s="446" t="s">
        <v>8192</v>
      </c>
      <c r="C6572" s="492" t="s">
        <v>110</v>
      </c>
      <c r="D6572" s="446" t="s">
        <v>6237</v>
      </c>
      <c r="E6572" s="499" t="s">
        <v>8600</v>
      </c>
      <c r="F6572" s="492" t="s">
        <v>8684</v>
      </c>
      <c r="G6572" s="493" t="s">
        <v>88</v>
      </c>
      <c r="H6572" s="100" t="s">
        <v>8685</v>
      </c>
      <c r="I6572" s="23" t="e">
        <f>VLOOKUP(H6572,'合同综合查询数据（3月返）'!$A:$A,1,FALSE)</f>
        <v>#N/A</v>
      </c>
      <c r="J6572" s="473" t="s">
        <v>126</v>
      </c>
      <c r="K6572" s="493" t="s">
        <v>8686</v>
      </c>
      <c r="L6572" s="501"/>
      <c r="M6572" s="449" t="s">
        <v>8687</v>
      </c>
      <c r="N6572" s="252">
        <v>44773</v>
      </c>
      <c r="O6572" s="493" t="s">
        <v>127</v>
      </c>
      <c r="P6572" s="494">
        <v>5000</v>
      </c>
      <c r="Q6572" s="494">
        <v>-4</v>
      </c>
      <c r="R6572" s="495">
        <f t="shared" si="153"/>
        <v>-20000</v>
      </c>
      <c r="S6572" s="456">
        <v>202303</v>
      </c>
      <c r="T6572" s="97" t="s">
        <v>8691</v>
      </c>
      <c r="U6572" s="492"/>
      <c r="V6572" s="458"/>
      <c r="W6572" s="458"/>
      <c r="X6572" s="190"/>
      <c r="Y6572" s="190"/>
    </row>
    <row r="6573" s="10" customFormat="1" customHeight="1" spans="1:25">
      <c r="A6573" s="481" t="s">
        <v>399</v>
      </c>
      <c r="B6573" s="459" t="s">
        <v>8192</v>
      </c>
      <c r="C6573" s="481" t="s">
        <v>110</v>
      </c>
      <c r="D6573" s="459" t="s">
        <v>6237</v>
      </c>
      <c r="E6573" s="500" t="s">
        <v>8692</v>
      </c>
      <c r="F6573" s="481" t="s">
        <v>8684</v>
      </c>
      <c r="G6573" s="441" t="s">
        <v>31</v>
      </c>
      <c r="H6573" s="137" t="s">
        <v>8693</v>
      </c>
      <c r="I6573" s="47" t="e">
        <f>VLOOKUP(H6573,'合同综合查询数据（3月返）'!$A:$A,1,FALSE)</f>
        <v>#N/A</v>
      </c>
      <c r="J6573" s="424" t="s">
        <v>7564</v>
      </c>
      <c r="K6573" s="441" t="s">
        <v>8694</v>
      </c>
      <c r="L6573" s="502" t="s">
        <v>8695</v>
      </c>
      <c r="M6573" s="429" t="s">
        <v>8687</v>
      </c>
      <c r="N6573" s="430">
        <v>44935</v>
      </c>
      <c r="O6573" s="441"/>
      <c r="P6573" s="485">
        <v>0</v>
      </c>
      <c r="Q6573" s="485">
        <v>512</v>
      </c>
      <c r="R6573" s="490">
        <f t="shared" si="153"/>
        <v>0</v>
      </c>
      <c r="S6573" s="434">
        <v>202303</v>
      </c>
      <c r="T6573" s="62" t="s">
        <v>8696</v>
      </c>
      <c r="U6573" s="504"/>
      <c r="V6573" s="437"/>
      <c r="W6573" s="437"/>
      <c r="X6573" s="430">
        <v>44935</v>
      </c>
      <c r="Y6573" s="163"/>
    </row>
    <row r="6574" s="10" customFormat="1" customHeight="1" spans="1:25">
      <c r="A6574" s="481" t="s">
        <v>399</v>
      </c>
      <c r="B6574" s="459" t="s">
        <v>8192</v>
      </c>
      <c r="C6574" s="481" t="s">
        <v>110</v>
      </c>
      <c r="D6574" s="459" t="s">
        <v>6237</v>
      </c>
      <c r="E6574" s="500" t="s">
        <v>8692</v>
      </c>
      <c r="F6574" s="481" t="s">
        <v>8684</v>
      </c>
      <c r="G6574" s="441" t="s">
        <v>88</v>
      </c>
      <c r="H6574" s="137" t="s">
        <v>8693</v>
      </c>
      <c r="I6574" s="47" t="e">
        <f>VLOOKUP(H6574,'合同综合查询数据（3月返）'!$A:$A,1,FALSE)</f>
        <v>#N/A</v>
      </c>
      <c r="J6574" s="484" t="s">
        <v>126</v>
      </c>
      <c r="K6574" s="441" t="s">
        <v>8694</v>
      </c>
      <c r="L6574" s="502" t="s">
        <v>8695</v>
      </c>
      <c r="M6574" s="429" t="s">
        <v>8687</v>
      </c>
      <c r="N6574" s="430">
        <v>44935</v>
      </c>
      <c r="O6574" s="441" t="s">
        <v>457</v>
      </c>
      <c r="P6574" s="485">
        <v>5000</v>
      </c>
      <c r="Q6574" s="485">
        <v>1</v>
      </c>
      <c r="R6574" s="490">
        <f t="shared" si="153"/>
        <v>5000</v>
      </c>
      <c r="S6574" s="434">
        <v>202303</v>
      </c>
      <c r="T6574" s="62" t="s">
        <v>8697</v>
      </c>
      <c r="U6574" s="481"/>
      <c r="V6574" s="437"/>
      <c r="W6574" s="437"/>
      <c r="X6574" s="430">
        <v>44935</v>
      </c>
      <c r="Y6574" s="163"/>
    </row>
    <row r="6575" s="9" customFormat="1" customHeight="1" spans="1:25">
      <c r="A6575" s="94" t="s">
        <v>399</v>
      </c>
      <c r="B6575" s="446" t="s">
        <v>8192</v>
      </c>
      <c r="C6575" s="492" t="s">
        <v>110</v>
      </c>
      <c r="D6575" s="446" t="s">
        <v>6237</v>
      </c>
      <c r="E6575" s="499" t="s">
        <v>8600</v>
      </c>
      <c r="F6575" s="94" t="s">
        <v>8698</v>
      </c>
      <c r="G6575" s="493" t="s">
        <v>88</v>
      </c>
      <c r="H6575" s="100" t="s">
        <v>8685</v>
      </c>
      <c r="I6575" s="23" t="e">
        <f>VLOOKUP(H6575,'合同综合查询数据（3月返）'!$A:$A,1,FALSE)</f>
        <v>#N/A</v>
      </c>
      <c r="J6575" s="473" t="s">
        <v>126</v>
      </c>
      <c r="K6575" s="94" t="s">
        <v>8699</v>
      </c>
      <c r="L6575" s="94"/>
      <c r="M6575" s="449" t="s">
        <v>8700</v>
      </c>
      <c r="N6575" s="106">
        <v>43494</v>
      </c>
      <c r="O6575" s="94" t="s">
        <v>127</v>
      </c>
      <c r="P6575" s="359">
        <v>5000</v>
      </c>
      <c r="Q6575" s="359">
        <v>7</v>
      </c>
      <c r="R6575" s="107">
        <f t="shared" si="153"/>
        <v>35000</v>
      </c>
      <c r="S6575" s="456">
        <v>202303</v>
      </c>
      <c r="T6575" s="94"/>
      <c r="U6575" s="492"/>
      <c r="V6575" s="458"/>
      <c r="W6575" s="458"/>
      <c r="X6575" s="190"/>
      <c r="Y6575" s="190"/>
    </row>
    <row r="6576" s="9" customFormat="1" customHeight="1" spans="1:25">
      <c r="A6576" s="94" t="s">
        <v>399</v>
      </c>
      <c r="B6576" s="446" t="s">
        <v>8192</v>
      </c>
      <c r="C6576" s="492" t="s">
        <v>110</v>
      </c>
      <c r="D6576" s="446" t="s">
        <v>6237</v>
      </c>
      <c r="E6576" s="499" t="s">
        <v>8600</v>
      </c>
      <c r="F6576" s="94" t="s">
        <v>8698</v>
      </c>
      <c r="G6576" s="493" t="s">
        <v>31</v>
      </c>
      <c r="H6576" s="100" t="s">
        <v>8685</v>
      </c>
      <c r="I6576" s="23" t="e">
        <f>VLOOKUP(H6576,'合同综合查询数据（3月返）'!$A:$A,1,FALSE)</f>
        <v>#N/A</v>
      </c>
      <c r="J6576" s="448" t="s">
        <v>7564</v>
      </c>
      <c r="K6576" s="94" t="s">
        <v>8699</v>
      </c>
      <c r="L6576" s="94"/>
      <c r="M6576" s="449"/>
      <c r="N6576" s="106">
        <v>43494</v>
      </c>
      <c r="O6576" s="94"/>
      <c r="P6576" s="494">
        <v>0</v>
      </c>
      <c r="Q6576" s="359">
        <v>288</v>
      </c>
      <c r="R6576" s="107">
        <f t="shared" si="153"/>
        <v>0</v>
      </c>
      <c r="S6576" s="456">
        <v>202303</v>
      </c>
      <c r="T6576" s="94" t="s">
        <v>8701</v>
      </c>
      <c r="U6576" s="499"/>
      <c r="V6576" s="458"/>
      <c r="W6576" s="458"/>
      <c r="X6576" s="190"/>
      <c r="Y6576" s="190"/>
    </row>
    <row r="6577" s="9" customFormat="1" customHeight="1" spans="1:25">
      <c r="A6577" s="94" t="s">
        <v>399</v>
      </c>
      <c r="B6577" s="446" t="s">
        <v>8192</v>
      </c>
      <c r="C6577" s="492" t="s">
        <v>110</v>
      </c>
      <c r="D6577" s="446" t="s">
        <v>6237</v>
      </c>
      <c r="E6577" s="499" t="s">
        <v>8600</v>
      </c>
      <c r="F6577" s="94" t="s">
        <v>8698</v>
      </c>
      <c r="G6577" s="493" t="s">
        <v>88</v>
      </c>
      <c r="H6577" s="100" t="s">
        <v>8685</v>
      </c>
      <c r="I6577" s="23" t="e">
        <f>VLOOKUP(H6577,'合同综合查询数据（3月返）'!$A:$A,1,FALSE)</f>
        <v>#N/A</v>
      </c>
      <c r="J6577" s="473" t="s">
        <v>126</v>
      </c>
      <c r="K6577" s="94" t="s">
        <v>8699</v>
      </c>
      <c r="L6577" s="94"/>
      <c r="M6577" s="449" t="s">
        <v>8700</v>
      </c>
      <c r="N6577" s="106">
        <v>44773</v>
      </c>
      <c r="O6577" s="94" t="s">
        <v>127</v>
      </c>
      <c r="P6577" s="359">
        <v>5000</v>
      </c>
      <c r="Q6577" s="359">
        <v>-7</v>
      </c>
      <c r="R6577" s="107">
        <f t="shared" si="153"/>
        <v>-35000</v>
      </c>
      <c r="S6577" s="456">
        <v>202303</v>
      </c>
      <c r="T6577" s="94" t="s">
        <v>8702</v>
      </c>
      <c r="U6577" s="492"/>
      <c r="V6577" s="458"/>
      <c r="W6577" s="458"/>
      <c r="X6577" s="190"/>
      <c r="Y6577" s="190"/>
    </row>
    <row r="6578" s="9" customFormat="1" customHeight="1" spans="1:25">
      <c r="A6578" s="94" t="s">
        <v>399</v>
      </c>
      <c r="B6578" s="446" t="s">
        <v>8192</v>
      </c>
      <c r="C6578" s="492" t="s">
        <v>110</v>
      </c>
      <c r="D6578" s="446" t="s">
        <v>6237</v>
      </c>
      <c r="E6578" s="499" t="s">
        <v>8600</v>
      </c>
      <c r="F6578" s="94" t="s">
        <v>8698</v>
      </c>
      <c r="G6578" s="493" t="s">
        <v>31</v>
      </c>
      <c r="H6578" s="100" t="s">
        <v>8685</v>
      </c>
      <c r="I6578" s="23" t="e">
        <f>VLOOKUP(H6578,'合同综合查询数据（3月返）'!$A:$A,1,FALSE)</f>
        <v>#N/A</v>
      </c>
      <c r="J6578" s="448" t="s">
        <v>7564</v>
      </c>
      <c r="K6578" s="94" t="s">
        <v>8699</v>
      </c>
      <c r="L6578" s="94"/>
      <c r="M6578" s="449"/>
      <c r="N6578" s="106">
        <v>44773</v>
      </c>
      <c r="O6578" s="94"/>
      <c r="P6578" s="494">
        <v>0</v>
      </c>
      <c r="Q6578" s="359">
        <v>-288</v>
      </c>
      <c r="R6578" s="107">
        <f t="shared" si="153"/>
        <v>0</v>
      </c>
      <c r="S6578" s="456">
        <v>202303</v>
      </c>
      <c r="T6578" s="94" t="s">
        <v>8703</v>
      </c>
      <c r="U6578" s="499"/>
      <c r="V6578" s="458"/>
      <c r="W6578" s="458"/>
      <c r="X6578" s="190"/>
      <c r="Y6578" s="190"/>
    </row>
    <row r="6579" s="9" customFormat="1" customHeight="1" spans="1:25">
      <c r="A6579" s="94" t="s">
        <v>399</v>
      </c>
      <c r="B6579" s="446" t="s">
        <v>8192</v>
      </c>
      <c r="C6579" s="492" t="s">
        <v>110</v>
      </c>
      <c r="D6579" s="446" t="s">
        <v>6237</v>
      </c>
      <c r="E6579" s="23" t="s">
        <v>8600</v>
      </c>
      <c r="F6579" s="94" t="s">
        <v>8704</v>
      </c>
      <c r="G6579" s="94" t="s">
        <v>88</v>
      </c>
      <c r="H6579" s="100" t="s">
        <v>8615</v>
      </c>
      <c r="I6579" s="23" t="e">
        <f>VLOOKUP(H6579,'合同综合查询数据（3月返）'!$A:$A,1,FALSE)</f>
        <v>#N/A</v>
      </c>
      <c r="J6579" s="94" t="s">
        <v>90</v>
      </c>
      <c r="K6579" s="94" t="s">
        <v>5515</v>
      </c>
      <c r="L6579" s="94"/>
      <c r="M6579" s="449" t="s">
        <v>8629</v>
      </c>
      <c r="N6579" s="106">
        <v>43593</v>
      </c>
      <c r="O6579" s="94" t="s">
        <v>457</v>
      </c>
      <c r="P6579" s="359">
        <v>5600</v>
      </c>
      <c r="Q6579" s="359">
        <v>1</v>
      </c>
      <c r="R6579" s="107">
        <f t="shared" si="153"/>
        <v>5600</v>
      </c>
      <c r="S6579" s="456">
        <v>202303</v>
      </c>
      <c r="T6579" s="215" t="s">
        <v>8705</v>
      </c>
      <c r="U6579" s="488"/>
      <c r="V6579" s="458"/>
      <c r="W6579" s="458"/>
      <c r="X6579" s="466">
        <v>44866</v>
      </c>
      <c r="Y6579" s="466">
        <v>45230</v>
      </c>
    </row>
    <row r="6580" s="9" customFormat="1" customHeight="1" spans="1:25">
      <c r="A6580" s="94" t="s">
        <v>399</v>
      </c>
      <c r="B6580" s="446" t="s">
        <v>8192</v>
      </c>
      <c r="C6580" s="492" t="s">
        <v>110</v>
      </c>
      <c r="D6580" s="446" t="s">
        <v>6237</v>
      </c>
      <c r="E6580" s="23" t="s">
        <v>8600</v>
      </c>
      <c r="F6580" s="94" t="s">
        <v>8704</v>
      </c>
      <c r="G6580" s="94" t="s">
        <v>88</v>
      </c>
      <c r="H6580" s="100" t="s">
        <v>8615</v>
      </c>
      <c r="I6580" s="23" t="e">
        <f>VLOOKUP(H6580,'合同综合查询数据（3月返）'!$A:$A,1,FALSE)</f>
        <v>#N/A</v>
      </c>
      <c r="J6580" s="94" t="s">
        <v>90</v>
      </c>
      <c r="K6580" s="94" t="s">
        <v>5515</v>
      </c>
      <c r="L6580" s="94"/>
      <c r="M6580" s="449" t="s">
        <v>8629</v>
      </c>
      <c r="N6580" s="106">
        <v>43598</v>
      </c>
      <c r="O6580" s="94" t="s">
        <v>457</v>
      </c>
      <c r="P6580" s="359">
        <v>5600</v>
      </c>
      <c r="Q6580" s="359">
        <v>37</v>
      </c>
      <c r="R6580" s="107">
        <f t="shared" si="153"/>
        <v>207200</v>
      </c>
      <c r="S6580" s="456">
        <v>202303</v>
      </c>
      <c r="T6580" s="215" t="s">
        <v>8706</v>
      </c>
      <c r="U6580" s="488"/>
      <c r="V6580" s="458"/>
      <c r="W6580" s="458"/>
      <c r="X6580" s="466">
        <v>44866</v>
      </c>
      <c r="Y6580" s="466">
        <v>45230</v>
      </c>
    </row>
    <row r="6581" s="9" customFormat="1" customHeight="1" spans="1:25">
      <c r="A6581" s="94" t="s">
        <v>399</v>
      </c>
      <c r="B6581" s="446" t="s">
        <v>8192</v>
      </c>
      <c r="C6581" s="492" t="s">
        <v>110</v>
      </c>
      <c r="D6581" s="446" t="s">
        <v>6237</v>
      </c>
      <c r="E6581" s="23" t="s">
        <v>8600</v>
      </c>
      <c r="F6581" s="94" t="s">
        <v>8704</v>
      </c>
      <c r="G6581" s="94" t="s">
        <v>88</v>
      </c>
      <c r="H6581" s="100" t="s">
        <v>8615</v>
      </c>
      <c r="I6581" s="23" t="e">
        <f>VLOOKUP(H6581,'合同综合查询数据（3月返）'!$A:$A,1,FALSE)</f>
        <v>#N/A</v>
      </c>
      <c r="J6581" s="94" t="s">
        <v>90</v>
      </c>
      <c r="K6581" s="94" t="s">
        <v>5515</v>
      </c>
      <c r="L6581" s="94"/>
      <c r="M6581" s="449" t="s">
        <v>8629</v>
      </c>
      <c r="N6581" s="106">
        <v>43599</v>
      </c>
      <c r="O6581" s="94" t="s">
        <v>457</v>
      </c>
      <c r="P6581" s="359">
        <v>5600</v>
      </c>
      <c r="Q6581" s="359">
        <v>3</v>
      </c>
      <c r="R6581" s="107">
        <f t="shared" si="153"/>
        <v>16800</v>
      </c>
      <c r="S6581" s="456">
        <v>202303</v>
      </c>
      <c r="T6581" s="215" t="s">
        <v>8707</v>
      </c>
      <c r="U6581" s="488"/>
      <c r="V6581" s="458"/>
      <c r="W6581" s="458"/>
      <c r="X6581" s="466">
        <v>44866</v>
      </c>
      <c r="Y6581" s="466">
        <v>45230</v>
      </c>
    </row>
    <row r="6582" s="9" customFormat="1" customHeight="1" spans="1:25">
      <c r="A6582" s="94" t="s">
        <v>399</v>
      </c>
      <c r="B6582" s="446" t="s">
        <v>8192</v>
      </c>
      <c r="C6582" s="492" t="s">
        <v>110</v>
      </c>
      <c r="D6582" s="446" t="s">
        <v>6237</v>
      </c>
      <c r="E6582" s="23" t="s">
        <v>8600</v>
      </c>
      <c r="F6582" s="94" t="s">
        <v>8704</v>
      </c>
      <c r="G6582" s="94" t="s">
        <v>88</v>
      </c>
      <c r="H6582" s="100" t="s">
        <v>8615</v>
      </c>
      <c r="I6582" s="23" t="e">
        <f>VLOOKUP(H6582,'合同综合查询数据（3月返）'!$A:$A,1,FALSE)</f>
        <v>#N/A</v>
      </c>
      <c r="J6582" s="94" t="s">
        <v>90</v>
      </c>
      <c r="K6582" s="94" t="s">
        <v>5515</v>
      </c>
      <c r="L6582" s="94"/>
      <c r="M6582" s="449" t="s">
        <v>8629</v>
      </c>
      <c r="N6582" s="106">
        <v>43601</v>
      </c>
      <c r="O6582" s="94" t="s">
        <v>457</v>
      </c>
      <c r="P6582" s="359">
        <v>5600</v>
      </c>
      <c r="Q6582" s="359">
        <v>24</v>
      </c>
      <c r="R6582" s="107">
        <f t="shared" si="153"/>
        <v>134400</v>
      </c>
      <c r="S6582" s="456">
        <v>202303</v>
      </c>
      <c r="T6582" s="215" t="s">
        <v>8708</v>
      </c>
      <c r="U6582" s="488"/>
      <c r="V6582" s="458"/>
      <c r="W6582" s="458"/>
      <c r="X6582" s="466">
        <v>44866</v>
      </c>
      <c r="Y6582" s="466">
        <v>45230</v>
      </c>
    </row>
    <row r="6583" s="9" customFormat="1" customHeight="1" spans="1:25">
      <c r="A6583" s="94" t="s">
        <v>399</v>
      </c>
      <c r="B6583" s="446" t="s">
        <v>8192</v>
      </c>
      <c r="C6583" s="492" t="s">
        <v>110</v>
      </c>
      <c r="D6583" s="446" t="s">
        <v>6237</v>
      </c>
      <c r="E6583" s="23" t="s">
        <v>8600</v>
      </c>
      <c r="F6583" s="94" t="s">
        <v>8704</v>
      </c>
      <c r="G6583" s="94" t="s">
        <v>88</v>
      </c>
      <c r="H6583" s="100" t="s">
        <v>8615</v>
      </c>
      <c r="I6583" s="23" t="e">
        <f>VLOOKUP(H6583,'合同综合查询数据（3月返）'!$A:$A,1,FALSE)</f>
        <v>#N/A</v>
      </c>
      <c r="J6583" s="94" t="s">
        <v>90</v>
      </c>
      <c r="K6583" s="94" t="s">
        <v>5515</v>
      </c>
      <c r="L6583" s="94"/>
      <c r="M6583" s="449" t="s">
        <v>8629</v>
      </c>
      <c r="N6583" s="106">
        <v>43606</v>
      </c>
      <c r="O6583" s="94" t="s">
        <v>457</v>
      </c>
      <c r="P6583" s="359">
        <v>5600</v>
      </c>
      <c r="Q6583" s="359">
        <v>3</v>
      </c>
      <c r="R6583" s="107">
        <f t="shared" si="153"/>
        <v>16800</v>
      </c>
      <c r="S6583" s="456">
        <v>202303</v>
      </c>
      <c r="T6583" s="215" t="s">
        <v>8709</v>
      </c>
      <c r="U6583" s="488"/>
      <c r="V6583" s="458"/>
      <c r="W6583" s="458"/>
      <c r="X6583" s="466">
        <v>44866</v>
      </c>
      <c r="Y6583" s="466">
        <v>45230</v>
      </c>
    </row>
    <row r="6584" s="9" customFormat="1" customHeight="1" spans="1:25">
      <c r="A6584" s="94" t="s">
        <v>399</v>
      </c>
      <c r="B6584" s="446" t="s">
        <v>8192</v>
      </c>
      <c r="C6584" s="492" t="s">
        <v>110</v>
      </c>
      <c r="D6584" s="446" t="s">
        <v>6237</v>
      </c>
      <c r="E6584" s="23" t="s">
        <v>8600</v>
      </c>
      <c r="F6584" s="94" t="s">
        <v>8704</v>
      </c>
      <c r="G6584" s="94" t="s">
        <v>88</v>
      </c>
      <c r="H6584" s="100" t="s">
        <v>8615</v>
      </c>
      <c r="I6584" s="23" t="e">
        <f>VLOOKUP(H6584,'合同综合查询数据（3月返）'!$A:$A,1,FALSE)</f>
        <v>#N/A</v>
      </c>
      <c r="J6584" s="94" t="s">
        <v>90</v>
      </c>
      <c r="K6584" s="94" t="s">
        <v>5515</v>
      </c>
      <c r="L6584" s="94"/>
      <c r="M6584" s="449" t="s">
        <v>8629</v>
      </c>
      <c r="N6584" s="106">
        <v>43616</v>
      </c>
      <c r="O6584" s="94" t="s">
        <v>457</v>
      </c>
      <c r="P6584" s="359">
        <v>5600</v>
      </c>
      <c r="Q6584" s="359">
        <v>3</v>
      </c>
      <c r="R6584" s="107">
        <f t="shared" si="153"/>
        <v>16800</v>
      </c>
      <c r="S6584" s="456">
        <v>202303</v>
      </c>
      <c r="T6584" s="215" t="s">
        <v>8710</v>
      </c>
      <c r="U6584" s="488"/>
      <c r="V6584" s="458"/>
      <c r="W6584" s="458"/>
      <c r="X6584" s="466">
        <v>44866</v>
      </c>
      <c r="Y6584" s="466">
        <v>45230</v>
      </c>
    </row>
    <row r="6585" s="9" customFormat="1" customHeight="1" spans="1:25">
      <c r="A6585" s="94" t="s">
        <v>399</v>
      </c>
      <c r="B6585" s="446" t="s">
        <v>8192</v>
      </c>
      <c r="C6585" s="492" t="s">
        <v>110</v>
      </c>
      <c r="D6585" s="446" t="s">
        <v>6237</v>
      </c>
      <c r="E6585" s="23" t="s">
        <v>8600</v>
      </c>
      <c r="F6585" s="94" t="s">
        <v>8704</v>
      </c>
      <c r="G6585" s="94" t="s">
        <v>88</v>
      </c>
      <c r="H6585" s="100" t="s">
        <v>8615</v>
      </c>
      <c r="I6585" s="23" t="e">
        <f>VLOOKUP(H6585,'合同综合查询数据（3月返）'!$A:$A,1,FALSE)</f>
        <v>#N/A</v>
      </c>
      <c r="J6585" s="94" t="s">
        <v>90</v>
      </c>
      <c r="K6585" s="94" t="s">
        <v>5515</v>
      </c>
      <c r="L6585" s="94"/>
      <c r="M6585" s="449" t="s">
        <v>8629</v>
      </c>
      <c r="N6585" s="106">
        <v>43634</v>
      </c>
      <c r="O6585" s="94" t="s">
        <v>457</v>
      </c>
      <c r="P6585" s="359">
        <v>5600</v>
      </c>
      <c r="Q6585" s="359">
        <v>36</v>
      </c>
      <c r="R6585" s="107">
        <f t="shared" si="153"/>
        <v>201600</v>
      </c>
      <c r="S6585" s="456">
        <v>202303</v>
      </c>
      <c r="T6585" s="215" t="s">
        <v>8711</v>
      </c>
      <c r="U6585" s="488"/>
      <c r="V6585" s="458"/>
      <c r="W6585" s="458"/>
      <c r="X6585" s="466">
        <v>44866</v>
      </c>
      <c r="Y6585" s="466">
        <v>45230</v>
      </c>
    </row>
    <row r="6586" s="9" customFormat="1" customHeight="1" spans="1:25">
      <c r="A6586" s="492" t="s">
        <v>399</v>
      </c>
      <c r="B6586" s="446" t="s">
        <v>8192</v>
      </c>
      <c r="C6586" s="492" t="s">
        <v>110</v>
      </c>
      <c r="D6586" s="446" t="s">
        <v>6237</v>
      </c>
      <c r="E6586" s="23" t="s">
        <v>8600</v>
      </c>
      <c r="F6586" s="492" t="s">
        <v>8704</v>
      </c>
      <c r="G6586" s="493" t="s">
        <v>88</v>
      </c>
      <c r="H6586" s="100" t="s">
        <v>8615</v>
      </c>
      <c r="I6586" s="23" t="e">
        <f>VLOOKUP(H6586,'合同综合查询数据（3月返）'!$A:$A,1,FALSE)</f>
        <v>#N/A</v>
      </c>
      <c r="J6586" s="473" t="s">
        <v>90</v>
      </c>
      <c r="K6586" s="493" t="s">
        <v>5515</v>
      </c>
      <c r="L6586" s="493"/>
      <c r="M6586" s="449" t="s">
        <v>8629</v>
      </c>
      <c r="N6586" s="252">
        <v>43647</v>
      </c>
      <c r="O6586" s="493" t="s">
        <v>457</v>
      </c>
      <c r="P6586" s="359">
        <v>5600</v>
      </c>
      <c r="Q6586" s="494">
        <v>14</v>
      </c>
      <c r="R6586" s="495">
        <f t="shared" si="153"/>
        <v>78400</v>
      </c>
      <c r="S6586" s="456">
        <v>202303</v>
      </c>
      <c r="T6586" s="215" t="s">
        <v>8712</v>
      </c>
      <c r="U6586" s="488"/>
      <c r="V6586" s="458"/>
      <c r="W6586" s="458"/>
      <c r="X6586" s="466">
        <v>44866</v>
      </c>
      <c r="Y6586" s="466">
        <v>45230</v>
      </c>
    </row>
    <row r="6587" s="9" customFormat="1" customHeight="1" spans="1:25">
      <c r="A6587" s="492" t="s">
        <v>399</v>
      </c>
      <c r="B6587" s="446" t="s">
        <v>8192</v>
      </c>
      <c r="C6587" s="492" t="s">
        <v>110</v>
      </c>
      <c r="D6587" s="446" t="s">
        <v>6237</v>
      </c>
      <c r="E6587" s="23" t="s">
        <v>8600</v>
      </c>
      <c r="F6587" s="492" t="s">
        <v>8704</v>
      </c>
      <c r="G6587" s="493" t="s">
        <v>88</v>
      </c>
      <c r="H6587" s="100" t="s">
        <v>8615</v>
      </c>
      <c r="I6587" s="23" t="e">
        <f>VLOOKUP(H6587,'合同综合查询数据（3月返）'!$A:$A,1,FALSE)</f>
        <v>#N/A</v>
      </c>
      <c r="J6587" s="473" t="s">
        <v>90</v>
      </c>
      <c r="K6587" s="493" t="s">
        <v>5515</v>
      </c>
      <c r="L6587" s="493"/>
      <c r="M6587" s="449" t="s">
        <v>8629</v>
      </c>
      <c r="N6587" s="252">
        <v>43649</v>
      </c>
      <c r="O6587" s="493" t="s">
        <v>457</v>
      </c>
      <c r="P6587" s="359">
        <v>5600</v>
      </c>
      <c r="Q6587" s="494">
        <v>7</v>
      </c>
      <c r="R6587" s="495">
        <f t="shared" si="153"/>
        <v>39200</v>
      </c>
      <c r="S6587" s="456">
        <v>202303</v>
      </c>
      <c r="T6587" s="215" t="s">
        <v>8713</v>
      </c>
      <c r="U6587" s="488"/>
      <c r="V6587" s="458"/>
      <c r="W6587" s="458"/>
      <c r="X6587" s="466">
        <v>44866</v>
      </c>
      <c r="Y6587" s="466">
        <v>45230</v>
      </c>
    </row>
    <row r="6588" s="9" customFormat="1" customHeight="1" spans="1:25">
      <c r="A6588" s="492" t="s">
        <v>399</v>
      </c>
      <c r="B6588" s="446" t="s">
        <v>8192</v>
      </c>
      <c r="C6588" s="492" t="s">
        <v>110</v>
      </c>
      <c r="D6588" s="446" t="s">
        <v>6237</v>
      </c>
      <c r="E6588" s="23" t="s">
        <v>8600</v>
      </c>
      <c r="F6588" s="492" t="s">
        <v>8704</v>
      </c>
      <c r="G6588" s="493" t="s">
        <v>88</v>
      </c>
      <c r="H6588" s="100" t="s">
        <v>8615</v>
      </c>
      <c r="I6588" s="23" t="e">
        <f>VLOOKUP(H6588,'合同综合查询数据（3月返）'!$A:$A,1,FALSE)</f>
        <v>#N/A</v>
      </c>
      <c r="J6588" s="473" t="s">
        <v>90</v>
      </c>
      <c r="K6588" s="493" t="s">
        <v>5515</v>
      </c>
      <c r="L6588" s="493"/>
      <c r="M6588" s="449" t="s">
        <v>8629</v>
      </c>
      <c r="N6588" s="252">
        <v>43677</v>
      </c>
      <c r="O6588" s="493" t="s">
        <v>457</v>
      </c>
      <c r="P6588" s="359">
        <v>5600</v>
      </c>
      <c r="Q6588" s="494">
        <v>4</v>
      </c>
      <c r="R6588" s="495">
        <f t="shared" si="153"/>
        <v>22400</v>
      </c>
      <c r="S6588" s="456">
        <v>202303</v>
      </c>
      <c r="T6588" s="215" t="s">
        <v>1917</v>
      </c>
      <c r="U6588" s="488"/>
      <c r="V6588" s="458"/>
      <c r="W6588" s="458"/>
      <c r="X6588" s="466">
        <v>44866</v>
      </c>
      <c r="Y6588" s="466">
        <v>45230</v>
      </c>
    </row>
    <row r="6589" s="9" customFormat="1" customHeight="1" spans="1:25">
      <c r="A6589" s="492" t="s">
        <v>399</v>
      </c>
      <c r="B6589" s="446" t="s">
        <v>8192</v>
      </c>
      <c r="C6589" s="492" t="s">
        <v>110</v>
      </c>
      <c r="D6589" s="446" t="s">
        <v>6237</v>
      </c>
      <c r="E6589" s="23" t="s">
        <v>8600</v>
      </c>
      <c r="F6589" s="492" t="s">
        <v>8704</v>
      </c>
      <c r="G6589" s="493" t="s">
        <v>88</v>
      </c>
      <c r="H6589" s="100" t="s">
        <v>8615</v>
      </c>
      <c r="I6589" s="23" t="e">
        <f>VLOOKUP(H6589,'合同综合查询数据（3月返）'!$A:$A,1,FALSE)</f>
        <v>#N/A</v>
      </c>
      <c r="J6589" s="473" t="s">
        <v>90</v>
      </c>
      <c r="K6589" s="493" t="s">
        <v>5515</v>
      </c>
      <c r="L6589" s="493"/>
      <c r="M6589" s="449" t="s">
        <v>8629</v>
      </c>
      <c r="N6589" s="252">
        <v>43756</v>
      </c>
      <c r="O6589" s="493" t="s">
        <v>457</v>
      </c>
      <c r="P6589" s="359">
        <v>5600</v>
      </c>
      <c r="Q6589" s="494">
        <v>2</v>
      </c>
      <c r="R6589" s="495">
        <f t="shared" si="153"/>
        <v>11200</v>
      </c>
      <c r="S6589" s="456">
        <v>202303</v>
      </c>
      <c r="T6589" s="215" t="s">
        <v>8714</v>
      </c>
      <c r="U6589" s="488"/>
      <c r="V6589" s="458"/>
      <c r="W6589" s="458"/>
      <c r="X6589" s="466">
        <v>44866</v>
      </c>
      <c r="Y6589" s="466">
        <v>45230</v>
      </c>
    </row>
    <row r="6590" s="9" customFormat="1" customHeight="1" spans="1:25">
      <c r="A6590" s="492" t="s">
        <v>399</v>
      </c>
      <c r="B6590" s="446" t="s">
        <v>8192</v>
      </c>
      <c r="C6590" s="492" t="s">
        <v>110</v>
      </c>
      <c r="D6590" s="446" t="s">
        <v>6237</v>
      </c>
      <c r="E6590" s="23" t="s">
        <v>8600</v>
      </c>
      <c r="F6590" s="492" t="s">
        <v>8704</v>
      </c>
      <c r="G6590" s="493" t="s">
        <v>88</v>
      </c>
      <c r="H6590" s="100" t="s">
        <v>8615</v>
      </c>
      <c r="I6590" s="23" t="e">
        <f>VLOOKUP(H6590,'合同综合查询数据（3月返）'!$A:$A,1,FALSE)</f>
        <v>#N/A</v>
      </c>
      <c r="J6590" s="473" t="s">
        <v>90</v>
      </c>
      <c r="K6590" s="493" t="s">
        <v>5515</v>
      </c>
      <c r="L6590" s="493"/>
      <c r="M6590" s="449" t="s">
        <v>8629</v>
      </c>
      <c r="N6590" s="252">
        <v>43756</v>
      </c>
      <c r="O6590" s="493" t="s">
        <v>470</v>
      </c>
      <c r="P6590" s="494">
        <v>8200</v>
      </c>
      <c r="Q6590" s="494">
        <v>14</v>
      </c>
      <c r="R6590" s="495">
        <f t="shared" si="153"/>
        <v>114800</v>
      </c>
      <c r="S6590" s="456">
        <v>202303</v>
      </c>
      <c r="T6590" s="215" t="s">
        <v>8714</v>
      </c>
      <c r="U6590" s="488"/>
      <c r="V6590" s="458"/>
      <c r="W6590" s="458"/>
      <c r="X6590" s="466">
        <v>44866</v>
      </c>
      <c r="Y6590" s="466">
        <v>45230</v>
      </c>
    </row>
    <row r="6591" s="9" customFormat="1" customHeight="1" spans="1:25">
      <c r="A6591" s="492" t="s">
        <v>399</v>
      </c>
      <c r="B6591" s="446" t="s">
        <v>8192</v>
      </c>
      <c r="C6591" s="492" t="s">
        <v>110</v>
      </c>
      <c r="D6591" s="446" t="s">
        <v>6237</v>
      </c>
      <c r="E6591" s="23" t="s">
        <v>8600</v>
      </c>
      <c r="F6591" s="492" t="s">
        <v>8704</v>
      </c>
      <c r="G6591" s="493" t="s">
        <v>88</v>
      </c>
      <c r="H6591" s="100" t="s">
        <v>8615</v>
      </c>
      <c r="I6591" s="23" t="e">
        <f>VLOOKUP(H6591,'合同综合查询数据（3月返）'!$A:$A,1,FALSE)</f>
        <v>#N/A</v>
      </c>
      <c r="J6591" s="473" t="s">
        <v>90</v>
      </c>
      <c r="K6591" s="493" t="s">
        <v>5515</v>
      </c>
      <c r="L6591" s="493"/>
      <c r="M6591" s="449" t="s">
        <v>8629</v>
      </c>
      <c r="N6591" s="252">
        <v>43756</v>
      </c>
      <c r="O6591" s="493" t="s">
        <v>3649</v>
      </c>
      <c r="P6591" s="494">
        <v>28740</v>
      </c>
      <c r="Q6591" s="494">
        <v>8</v>
      </c>
      <c r="R6591" s="495">
        <f t="shared" si="153"/>
        <v>229920</v>
      </c>
      <c r="S6591" s="456">
        <v>202303</v>
      </c>
      <c r="T6591" s="215" t="s">
        <v>8714</v>
      </c>
      <c r="U6591" s="488"/>
      <c r="V6591" s="458"/>
      <c r="W6591" s="458"/>
      <c r="X6591" s="466">
        <v>44866</v>
      </c>
      <c r="Y6591" s="466">
        <v>45230</v>
      </c>
    </row>
    <row r="6592" s="9" customFormat="1" customHeight="1" spans="1:25">
      <c r="A6592" s="492" t="s">
        <v>399</v>
      </c>
      <c r="B6592" s="446" t="s">
        <v>8192</v>
      </c>
      <c r="C6592" s="492" t="s">
        <v>110</v>
      </c>
      <c r="D6592" s="446" t="s">
        <v>6237</v>
      </c>
      <c r="E6592" s="23" t="s">
        <v>8600</v>
      </c>
      <c r="F6592" s="492" t="s">
        <v>8704</v>
      </c>
      <c r="G6592" s="493" t="s">
        <v>88</v>
      </c>
      <c r="H6592" s="100" t="s">
        <v>8615</v>
      </c>
      <c r="I6592" s="23" t="e">
        <f>VLOOKUP(H6592,'合同综合查询数据（3月返）'!$A:$A,1,FALSE)</f>
        <v>#N/A</v>
      </c>
      <c r="J6592" s="473" t="s">
        <v>90</v>
      </c>
      <c r="K6592" s="493" t="s">
        <v>5515</v>
      </c>
      <c r="L6592" s="493"/>
      <c r="M6592" s="449" t="s">
        <v>8715</v>
      </c>
      <c r="N6592" s="252">
        <v>43777</v>
      </c>
      <c r="O6592" s="493" t="s">
        <v>457</v>
      </c>
      <c r="P6592" s="359">
        <v>5600</v>
      </c>
      <c r="Q6592" s="494">
        <v>2</v>
      </c>
      <c r="R6592" s="495">
        <f t="shared" si="153"/>
        <v>11200</v>
      </c>
      <c r="S6592" s="456">
        <v>202303</v>
      </c>
      <c r="T6592" s="215" t="s">
        <v>8716</v>
      </c>
      <c r="U6592" s="488"/>
      <c r="V6592" s="458"/>
      <c r="W6592" s="458"/>
      <c r="X6592" s="466">
        <v>44866</v>
      </c>
      <c r="Y6592" s="466">
        <v>45230</v>
      </c>
    </row>
    <row r="6593" s="9" customFormat="1" customHeight="1" spans="1:25">
      <c r="A6593" s="492" t="s">
        <v>399</v>
      </c>
      <c r="B6593" s="446" t="s">
        <v>8192</v>
      </c>
      <c r="C6593" s="492" t="s">
        <v>110</v>
      </c>
      <c r="D6593" s="446" t="s">
        <v>6237</v>
      </c>
      <c r="E6593" s="23" t="s">
        <v>8600</v>
      </c>
      <c r="F6593" s="492" t="s">
        <v>8704</v>
      </c>
      <c r="G6593" s="493" t="s">
        <v>88</v>
      </c>
      <c r="H6593" s="100" t="s">
        <v>8615</v>
      </c>
      <c r="I6593" s="23" t="e">
        <f>VLOOKUP(H6593,'合同综合查询数据（3月返）'!$A:$A,1,FALSE)</f>
        <v>#N/A</v>
      </c>
      <c r="J6593" s="473" t="s">
        <v>90</v>
      </c>
      <c r="K6593" s="493" t="s">
        <v>5515</v>
      </c>
      <c r="L6593" s="493"/>
      <c r="M6593" s="449" t="s">
        <v>8629</v>
      </c>
      <c r="N6593" s="252">
        <v>43789</v>
      </c>
      <c r="O6593" s="493" t="s">
        <v>457</v>
      </c>
      <c r="P6593" s="359">
        <v>5600</v>
      </c>
      <c r="Q6593" s="494">
        <v>2</v>
      </c>
      <c r="R6593" s="495">
        <f t="shared" si="153"/>
        <v>11200</v>
      </c>
      <c r="S6593" s="456">
        <v>202303</v>
      </c>
      <c r="T6593" s="215" t="s">
        <v>8717</v>
      </c>
      <c r="U6593" s="488"/>
      <c r="V6593" s="458"/>
      <c r="W6593" s="458"/>
      <c r="X6593" s="466">
        <v>44866</v>
      </c>
      <c r="Y6593" s="466">
        <v>45230</v>
      </c>
    </row>
    <row r="6594" s="9" customFormat="1" customHeight="1" spans="1:25">
      <c r="A6594" s="492" t="s">
        <v>399</v>
      </c>
      <c r="B6594" s="446" t="s">
        <v>8192</v>
      </c>
      <c r="C6594" s="492" t="s">
        <v>110</v>
      </c>
      <c r="D6594" s="446" t="s">
        <v>6237</v>
      </c>
      <c r="E6594" s="23" t="s">
        <v>8600</v>
      </c>
      <c r="F6594" s="492" t="s">
        <v>8704</v>
      </c>
      <c r="G6594" s="493" t="s">
        <v>88</v>
      </c>
      <c r="H6594" s="100" t="s">
        <v>8615</v>
      </c>
      <c r="I6594" s="23" t="e">
        <f>VLOOKUP(H6594,'合同综合查询数据（3月返）'!$A:$A,1,FALSE)</f>
        <v>#N/A</v>
      </c>
      <c r="J6594" s="473" t="s">
        <v>90</v>
      </c>
      <c r="K6594" s="493" t="s">
        <v>5515</v>
      </c>
      <c r="L6594" s="493"/>
      <c r="M6594" s="449" t="s">
        <v>8629</v>
      </c>
      <c r="N6594" s="252">
        <v>43805</v>
      </c>
      <c r="O6594" s="493" t="s">
        <v>457</v>
      </c>
      <c r="P6594" s="359">
        <v>5600</v>
      </c>
      <c r="Q6594" s="494">
        <v>14</v>
      </c>
      <c r="R6594" s="495">
        <f t="shared" si="153"/>
        <v>78400</v>
      </c>
      <c r="S6594" s="456">
        <v>202303</v>
      </c>
      <c r="T6594" s="215" t="s">
        <v>8286</v>
      </c>
      <c r="U6594" s="488"/>
      <c r="V6594" s="458"/>
      <c r="W6594" s="458"/>
      <c r="X6594" s="466">
        <v>44866</v>
      </c>
      <c r="Y6594" s="466">
        <v>45230</v>
      </c>
    </row>
    <row r="6595" s="9" customFormat="1" customHeight="1" spans="1:25">
      <c r="A6595" s="492" t="s">
        <v>399</v>
      </c>
      <c r="B6595" s="446" t="s">
        <v>8192</v>
      </c>
      <c r="C6595" s="492" t="s">
        <v>110</v>
      </c>
      <c r="D6595" s="446" t="s">
        <v>6237</v>
      </c>
      <c r="E6595" s="23" t="s">
        <v>8600</v>
      </c>
      <c r="F6595" s="492" t="s">
        <v>8704</v>
      </c>
      <c r="G6595" s="493" t="s">
        <v>88</v>
      </c>
      <c r="H6595" s="100" t="s">
        <v>8615</v>
      </c>
      <c r="I6595" s="23" t="e">
        <f>VLOOKUP(H6595,'合同综合查询数据（3月返）'!$A:$A,1,FALSE)</f>
        <v>#N/A</v>
      </c>
      <c r="J6595" s="473" t="s">
        <v>90</v>
      </c>
      <c r="K6595" s="493" t="s">
        <v>5515</v>
      </c>
      <c r="L6595" s="493"/>
      <c r="M6595" s="449" t="s">
        <v>8629</v>
      </c>
      <c r="N6595" s="252">
        <v>43815</v>
      </c>
      <c r="O6595" s="493" t="s">
        <v>457</v>
      </c>
      <c r="P6595" s="359">
        <v>5600</v>
      </c>
      <c r="Q6595" s="494">
        <v>2</v>
      </c>
      <c r="R6595" s="495">
        <f t="shared" si="153"/>
        <v>11200</v>
      </c>
      <c r="S6595" s="456">
        <v>202303</v>
      </c>
      <c r="T6595" s="215" t="s">
        <v>8286</v>
      </c>
      <c r="U6595" s="488"/>
      <c r="V6595" s="458"/>
      <c r="W6595" s="458"/>
      <c r="X6595" s="466">
        <v>44866</v>
      </c>
      <c r="Y6595" s="466">
        <v>45230</v>
      </c>
    </row>
    <row r="6596" s="9" customFormat="1" customHeight="1" spans="1:25">
      <c r="A6596" s="492" t="s">
        <v>399</v>
      </c>
      <c r="B6596" s="446" t="s">
        <v>8192</v>
      </c>
      <c r="C6596" s="492" t="s">
        <v>110</v>
      </c>
      <c r="D6596" s="446" t="s">
        <v>6237</v>
      </c>
      <c r="E6596" s="23" t="s">
        <v>8600</v>
      </c>
      <c r="F6596" s="492" t="s">
        <v>8704</v>
      </c>
      <c r="G6596" s="493" t="s">
        <v>88</v>
      </c>
      <c r="H6596" s="100" t="s">
        <v>8615</v>
      </c>
      <c r="I6596" s="23" t="e">
        <f>VLOOKUP(H6596,'合同综合查询数据（3月返）'!$A:$A,1,FALSE)</f>
        <v>#N/A</v>
      </c>
      <c r="J6596" s="473" t="s">
        <v>90</v>
      </c>
      <c r="K6596" s="493" t="s">
        <v>5515</v>
      </c>
      <c r="L6596" s="493"/>
      <c r="M6596" s="449" t="s">
        <v>8629</v>
      </c>
      <c r="N6596" s="252">
        <v>43818</v>
      </c>
      <c r="O6596" s="493" t="s">
        <v>457</v>
      </c>
      <c r="P6596" s="359">
        <v>5600</v>
      </c>
      <c r="Q6596" s="494">
        <v>14</v>
      </c>
      <c r="R6596" s="495">
        <f t="shared" si="153"/>
        <v>78400</v>
      </c>
      <c r="S6596" s="456">
        <v>202303</v>
      </c>
      <c r="T6596" s="215" t="s">
        <v>8286</v>
      </c>
      <c r="U6596" s="488"/>
      <c r="V6596" s="458"/>
      <c r="W6596" s="458"/>
      <c r="X6596" s="466">
        <v>44866</v>
      </c>
      <c r="Y6596" s="466">
        <v>45230</v>
      </c>
    </row>
    <row r="6597" s="9" customFormat="1" customHeight="1" spans="1:25">
      <c r="A6597" s="492" t="s">
        <v>399</v>
      </c>
      <c r="B6597" s="446" t="s">
        <v>8192</v>
      </c>
      <c r="C6597" s="492" t="s">
        <v>110</v>
      </c>
      <c r="D6597" s="446" t="s">
        <v>6237</v>
      </c>
      <c r="E6597" s="23" t="s">
        <v>8600</v>
      </c>
      <c r="F6597" s="492" t="s">
        <v>8704</v>
      </c>
      <c r="G6597" s="493" t="s">
        <v>88</v>
      </c>
      <c r="H6597" s="100" t="s">
        <v>8615</v>
      </c>
      <c r="I6597" s="23" t="e">
        <f>VLOOKUP(H6597,'合同综合查询数据（3月返）'!$A:$A,1,FALSE)</f>
        <v>#N/A</v>
      </c>
      <c r="J6597" s="473" t="s">
        <v>90</v>
      </c>
      <c r="K6597" s="493" t="s">
        <v>5515</v>
      </c>
      <c r="L6597" s="493"/>
      <c r="M6597" s="449" t="s">
        <v>8629</v>
      </c>
      <c r="N6597" s="252">
        <v>43820</v>
      </c>
      <c r="O6597" s="493" t="s">
        <v>457</v>
      </c>
      <c r="P6597" s="359">
        <v>5600</v>
      </c>
      <c r="Q6597" s="494">
        <v>2</v>
      </c>
      <c r="R6597" s="495">
        <f t="shared" si="153"/>
        <v>11200</v>
      </c>
      <c r="S6597" s="456">
        <v>202303</v>
      </c>
      <c r="T6597" s="215" t="s">
        <v>8286</v>
      </c>
      <c r="U6597" s="488"/>
      <c r="V6597" s="458"/>
      <c r="W6597" s="458"/>
      <c r="X6597" s="466">
        <v>44866</v>
      </c>
      <c r="Y6597" s="466">
        <v>45230</v>
      </c>
    </row>
    <row r="6598" s="9" customFormat="1" customHeight="1" spans="1:25">
      <c r="A6598" s="492" t="s">
        <v>399</v>
      </c>
      <c r="B6598" s="446" t="s">
        <v>8192</v>
      </c>
      <c r="C6598" s="492" t="s">
        <v>110</v>
      </c>
      <c r="D6598" s="446" t="s">
        <v>6237</v>
      </c>
      <c r="E6598" s="23" t="s">
        <v>8600</v>
      </c>
      <c r="F6598" s="492" t="s">
        <v>8704</v>
      </c>
      <c r="G6598" s="493" t="s">
        <v>88</v>
      </c>
      <c r="H6598" s="100" t="s">
        <v>8615</v>
      </c>
      <c r="I6598" s="23" t="e">
        <f>VLOOKUP(H6598,'合同综合查询数据（3月返）'!$A:$A,1,FALSE)</f>
        <v>#N/A</v>
      </c>
      <c r="J6598" s="473" t="s">
        <v>90</v>
      </c>
      <c r="K6598" s="493" t="s">
        <v>5515</v>
      </c>
      <c r="L6598" s="493"/>
      <c r="M6598" s="449" t="s">
        <v>8629</v>
      </c>
      <c r="N6598" s="252">
        <v>43823</v>
      </c>
      <c r="O6598" s="493" t="s">
        <v>457</v>
      </c>
      <c r="P6598" s="359">
        <v>5600</v>
      </c>
      <c r="Q6598" s="494">
        <v>8</v>
      </c>
      <c r="R6598" s="495">
        <f t="shared" si="153"/>
        <v>44800</v>
      </c>
      <c r="S6598" s="456">
        <v>202303</v>
      </c>
      <c r="T6598" s="215" t="s">
        <v>8286</v>
      </c>
      <c r="U6598" s="488"/>
      <c r="V6598" s="458"/>
      <c r="W6598" s="458"/>
      <c r="X6598" s="466">
        <v>44866</v>
      </c>
      <c r="Y6598" s="466">
        <v>45230</v>
      </c>
    </row>
    <row r="6599" s="9" customFormat="1" customHeight="1" spans="1:25">
      <c r="A6599" s="492" t="s">
        <v>399</v>
      </c>
      <c r="B6599" s="446" t="s">
        <v>8192</v>
      </c>
      <c r="C6599" s="492" t="s">
        <v>110</v>
      </c>
      <c r="D6599" s="446" t="s">
        <v>6237</v>
      </c>
      <c r="E6599" s="23" t="s">
        <v>8600</v>
      </c>
      <c r="F6599" s="492" t="s">
        <v>8704</v>
      </c>
      <c r="G6599" s="493" t="s">
        <v>88</v>
      </c>
      <c r="H6599" s="100" t="s">
        <v>8615</v>
      </c>
      <c r="I6599" s="23" t="e">
        <f>VLOOKUP(H6599,'合同综合查询数据（3月返）'!$A:$A,1,FALSE)</f>
        <v>#N/A</v>
      </c>
      <c r="J6599" s="473" t="s">
        <v>90</v>
      </c>
      <c r="K6599" s="493" t="s">
        <v>5515</v>
      </c>
      <c r="L6599" s="493"/>
      <c r="M6599" s="449" t="s">
        <v>8629</v>
      </c>
      <c r="N6599" s="252">
        <v>43824</v>
      </c>
      <c r="O6599" s="493" t="s">
        <v>457</v>
      </c>
      <c r="P6599" s="359">
        <v>5600</v>
      </c>
      <c r="Q6599" s="494">
        <v>2</v>
      </c>
      <c r="R6599" s="495">
        <f t="shared" si="153"/>
        <v>11200</v>
      </c>
      <c r="S6599" s="456">
        <v>202303</v>
      </c>
      <c r="T6599" s="215" t="s">
        <v>8286</v>
      </c>
      <c r="U6599" s="488"/>
      <c r="V6599" s="458"/>
      <c r="W6599" s="458"/>
      <c r="X6599" s="466">
        <v>44866</v>
      </c>
      <c r="Y6599" s="466">
        <v>45230</v>
      </c>
    </row>
    <row r="6600" s="9" customFormat="1" customHeight="1" spans="1:25">
      <c r="A6600" s="492" t="s">
        <v>399</v>
      </c>
      <c r="B6600" s="446" t="s">
        <v>8192</v>
      </c>
      <c r="C6600" s="492" t="s">
        <v>110</v>
      </c>
      <c r="D6600" s="446" t="s">
        <v>6237</v>
      </c>
      <c r="E6600" s="23" t="s">
        <v>8600</v>
      </c>
      <c r="F6600" s="492" t="s">
        <v>8704</v>
      </c>
      <c r="G6600" s="493" t="s">
        <v>88</v>
      </c>
      <c r="H6600" s="100" t="s">
        <v>8615</v>
      </c>
      <c r="I6600" s="23" t="e">
        <f>VLOOKUP(H6600,'合同综合查询数据（3月返）'!$A:$A,1,FALSE)</f>
        <v>#N/A</v>
      </c>
      <c r="J6600" s="473" t="s">
        <v>126</v>
      </c>
      <c r="K6600" s="493" t="s">
        <v>5515</v>
      </c>
      <c r="L6600" s="493" t="s">
        <v>8620</v>
      </c>
      <c r="M6600" s="449" t="s">
        <v>8617</v>
      </c>
      <c r="N6600" s="252">
        <v>43808</v>
      </c>
      <c r="O6600" s="493" t="s">
        <v>457</v>
      </c>
      <c r="P6600" s="359">
        <v>5600</v>
      </c>
      <c r="Q6600" s="494">
        <v>2</v>
      </c>
      <c r="R6600" s="495">
        <f t="shared" si="153"/>
        <v>11200</v>
      </c>
      <c r="S6600" s="456">
        <v>202303</v>
      </c>
      <c r="T6600" s="215" t="s">
        <v>8718</v>
      </c>
      <c r="U6600" s="488"/>
      <c r="V6600" s="458"/>
      <c r="W6600" s="458"/>
      <c r="X6600" s="466">
        <v>44866</v>
      </c>
      <c r="Y6600" s="466">
        <v>45230</v>
      </c>
    </row>
    <row r="6601" s="9" customFormat="1" customHeight="1" spans="1:25">
      <c r="A6601" s="492" t="s">
        <v>399</v>
      </c>
      <c r="B6601" s="446" t="s">
        <v>8192</v>
      </c>
      <c r="C6601" s="492" t="s">
        <v>110</v>
      </c>
      <c r="D6601" s="446" t="s">
        <v>6237</v>
      </c>
      <c r="E6601" s="23" t="s">
        <v>8600</v>
      </c>
      <c r="F6601" s="492" t="s">
        <v>8704</v>
      </c>
      <c r="G6601" s="493" t="s">
        <v>88</v>
      </c>
      <c r="H6601" s="100" t="s">
        <v>8615</v>
      </c>
      <c r="I6601" s="23" t="e">
        <f>VLOOKUP(H6601,'合同综合查询数据（3月返）'!$A:$A,1,FALSE)</f>
        <v>#N/A</v>
      </c>
      <c r="J6601" s="473" t="s">
        <v>90</v>
      </c>
      <c r="K6601" s="493" t="s">
        <v>5515</v>
      </c>
      <c r="L6601" s="493"/>
      <c r="M6601" s="449" t="s">
        <v>8629</v>
      </c>
      <c r="N6601" s="252">
        <v>43839</v>
      </c>
      <c r="O6601" s="493" t="s">
        <v>457</v>
      </c>
      <c r="P6601" s="359">
        <v>5600</v>
      </c>
      <c r="Q6601" s="494">
        <v>2</v>
      </c>
      <c r="R6601" s="495">
        <f t="shared" si="153"/>
        <v>11200</v>
      </c>
      <c r="S6601" s="456">
        <v>202303</v>
      </c>
      <c r="T6601" s="215" t="s">
        <v>8719</v>
      </c>
      <c r="U6601" s="488"/>
      <c r="V6601" s="458"/>
      <c r="W6601" s="458"/>
      <c r="X6601" s="466">
        <v>44866</v>
      </c>
      <c r="Y6601" s="466">
        <v>45230</v>
      </c>
    </row>
    <row r="6602" s="9" customFormat="1" customHeight="1" spans="1:25">
      <c r="A6602" s="492" t="s">
        <v>399</v>
      </c>
      <c r="B6602" s="446" t="s">
        <v>8192</v>
      </c>
      <c r="C6602" s="492" t="s">
        <v>110</v>
      </c>
      <c r="D6602" s="446" t="s">
        <v>6237</v>
      </c>
      <c r="E6602" s="23" t="s">
        <v>8600</v>
      </c>
      <c r="F6602" s="492" t="s">
        <v>8704</v>
      </c>
      <c r="G6602" s="493" t="s">
        <v>88</v>
      </c>
      <c r="H6602" s="100" t="s">
        <v>8615</v>
      </c>
      <c r="I6602" s="23" t="e">
        <f>VLOOKUP(H6602,'合同综合查询数据（3月返）'!$A:$A,1,FALSE)</f>
        <v>#N/A</v>
      </c>
      <c r="J6602" s="473" t="s">
        <v>90</v>
      </c>
      <c r="K6602" s="493" t="s">
        <v>5515</v>
      </c>
      <c r="L6602" s="493"/>
      <c r="M6602" s="449" t="s">
        <v>8715</v>
      </c>
      <c r="N6602" s="252">
        <v>43839</v>
      </c>
      <c r="O6602" s="493" t="s">
        <v>457</v>
      </c>
      <c r="P6602" s="359">
        <v>5600</v>
      </c>
      <c r="Q6602" s="494">
        <v>1</v>
      </c>
      <c r="R6602" s="495">
        <f t="shared" si="153"/>
        <v>5600</v>
      </c>
      <c r="S6602" s="456">
        <v>202303</v>
      </c>
      <c r="T6602" s="215" t="s">
        <v>8720</v>
      </c>
      <c r="U6602" s="488"/>
      <c r="V6602" s="458"/>
      <c r="W6602" s="458"/>
      <c r="X6602" s="466">
        <v>44866</v>
      </c>
      <c r="Y6602" s="466">
        <v>45230</v>
      </c>
    </row>
    <row r="6603" s="9" customFormat="1" customHeight="1" spans="1:25">
      <c r="A6603" s="492" t="s">
        <v>399</v>
      </c>
      <c r="B6603" s="446" t="s">
        <v>8192</v>
      </c>
      <c r="C6603" s="492" t="s">
        <v>110</v>
      </c>
      <c r="D6603" s="446" t="s">
        <v>6237</v>
      </c>
      <c r="E6603" s="23" t="s">
        <v>8600</v>
      </c>
      <c r="F6603" s="492" t="s">
        <v>8704</v>
      </c>
      <c r="G6603" s="493" t="s">
        <v>88</v>
      </c>
      <c r="H6603" s="100" t="s">
        <v>8615</v>
      </c>
      <c r="I6603" s="23" t="e">
        <f>VLOOKUP(H6603,'合同综合查询数据（3月返）'!$A:$A,1,FALSE)</f>
        <v>#N/A</v>
      </c>
      <c r="J6603" s="473" t="s">
        <v>90</v>
      </c>
      <c r="K6603" s="493" t="s">
        <v>5515</v>
      </c>
      <c r="L6603" s="493"/>
      <c r="M6603" s="449" t="s">
        <v>8629</v>
      </c>
      <c r="N6603" s="252">
        <v>43840</v>
      </c>
      <c r="O6603" s="493" t="s">
        <v>457</v>
      </c>
      <c r="P6603" s="359">
        <v>5600</v>
      </c>
      <c r="Q6603" s="494">
        <v>2</v>
      </c>
      <c r="R6603" s="495">
        <f t="shared" si="153"/>
        <v>11200</v>
      </c>
      <c r="S6603" s="456">
        <v>202303</v>
      </c>
      <c r="T6603" s="215" t="s">
        <v>8721</v>
      </c>
      <c r="U6603" s="488"/>
      <c r="V6603" s="458"/>
      <c r="W6603" s="458"/>
      <c r="X6603" s="466">
        <v>44866</v>
      </c>
      <c r="Y6603" s="466">
        <v>45230</v>
      </c>
    </row>
    <row r="6604" s="9" customFormat="1" customHeight="1" spans="1:25">
      <c r="A6604" s="492" t="s">
        <v>399</v>
      </c>
      <c r="B6604" s="446" t="s">
        <v>8192</v>
      </c>
      <c r="C6604" s="492" t="s">
        <v>110</v>
      </c>
      <c r="D6604" s="446" t="s">
        <v>6237</v>
      </c>
      <c r="E6604" s="23" t="s">
        <v>8600</v>
      </c>
      <c r="F6604" s="492" t="s">
        <v>8704</v>
      </c>
      <c r="G6604" s="493" t="s">
        <v>88</v>
      </c>
      <c r="H6604" s="100" t="s">
        <v>8615</v>
      </c>
      <c r="I6604" s="23" t="e">
        <f>VLOOKUP(H6604,'合同综合查询数据（3月返）'!$A:$A,1,FALSE)</f>
        <v>#N/A</v>
      </c>
      <c r="J6604" s="473" t="s">
        <v>90</v>
      </c>
      <c r="K6604" s="493" t="s">
        <v>5515</v>
      </c>
      <c r="L6604" s="493"/>
      <c r="M6604" s="449" t="s">
        <v>8629</v>
      </c>
      <c r="N6604" s="252">
        <v>43847</v>
      </c>
      <c r="O6604" s="493" t="s">
        <v>457</v>
      </c>
      <c r="P6604" s="359">
        <v>5600</v>
      </c>
      <c r="Q6604" s="494">
        <v>8</v>
      </c>
      <c r="R6604" s="495">
        <f t="shared" si="153"/>
        <v>44800</v>
      </c>
      <c r="S6604" s="456">
        <v>202303</v>
      </c>
      <c r="T6604" s="215" t="s">
        <v>8721</v>
      </c>
      <c r="U6604" s="488"/>
      <c r="V6604" s="458"/>
      <c r="W6604" s="458"/>
      <c r="X6604" s="466">
        <v>44866</v>
      </c>
      <c r="Y6604" s="466">
        <v>45230</v>
      </c>
    </row>
    <row r="6605" s="9" customFormat="1" customHeight="1" spans="1:25">
      <c r="A6605" s="492" t="s">
        <v>399</v>
      </c>
      <c r="B6605" s="446" t="s">
        <v>8192</v>
      </c>
      <c r="C6605" s="492" t="s">
        <v>110</v>
      </c>
      <c r="D6605" s="446" t="s">
        <v>6237</v>
      </c>
      <c r="E6605" s="23" t="s">
        <v>8600</v>
      </c>
      <c r="F6605" s="492" t="s">
        <v>8704</v>
      </c>
      <c r="G6605" s="493" t="s">
        <v>88</v>
      </c>
      <c r="H6605" s="100" t="s">
        <v>8615</v>
      </c>
      <c r="I6605" s="23" t="e">
        <f>VLOOKUP(H6605,'合同综合查询数据（3月返）'!$A:$A,1,FALSE)</f>
        <v>#N/A</v>
      </c>
      <c r="J6605" s="473" t="s">
        <v>90</v>
      </c>
      <c r="K6605" s="493" t="s">
        <v>5515</v>
      </c>
      <c r="L6605" s="493"/>
      <c r="M6605" s="449" t="s">
        <v>8629</v>
      </c>
      <c r="N6605" s="252">
        <v>43850</v>
      </c>
      <c r="O6605" s="493" t="s">
        <v>457</v>
      </c>
      <c r="P6605" s="359">
        <v>5600</v>
      </c>
      <c r="Q6605" s="494">
        <v>24</v>
      </c>
      <c r="R6605" s="495">
        <f t="shared" si="153"/>
        <v>134400</v>
      </c>
      <c r="S6605" s="456">
        <v>202303</v>
      </c>
      <c r="T6605" s="215" t="s">
        <v>8721</v>
      </c>
      <c r="U6605" s="488"/>
      <c r="V6605" s="458"/>
      <c r="W6605" s="458"/>
      <c r="X6605" s="466">
        <v>44866</v>
      </c>
      <c r="Y6605" s="466">
        <v>45230</v>
      </c>
    </row>
    <row r="6606" s="9" customFormat="1" customHeight="1" spans="1:25">
      <c r="A6606" s="492" t="s">
        <v>399</v>
      </c>
      <c r="B6606" s="446" t="s">
        <v>8192</v>
      </c>
      <c r="C6606" s="492" t="s">
        <v>110</v>
      </c>
      <c r="D6606" s="446" t="s">
        <v>6237</v>
      </c>
      <c r="E6606" s="23" t="s">
        <v>8600</v>
      </c>
      <c r="F6606" s="492" t="s">
        <v>8704</v>
      </c>
      <c r="G6606" s="493" t="s">
        <v>88</v>
      </c>
      <c r="H6606" s="100" t="s">
        <v>8615</v>
      </c>
      <c r="I6606" s="23" t="e">
        <f>VLOOKUP(H6606,'合同综合查询数据（3月返）'!$A:$A,1,FALSE)</f>
        <v>#N/A</v>
      </c>
      <c r="J6606" s="473" t="s">
        <v>90</v>
      </c>
      <c r="K6606" s="493" t="s">
        <v>5515</v>
      </c>
      <c r="L6606" s="493"/>
      <c r="M6606" s="449" t="s">
        <v>8629</v>
      </c>
      <c r="N6606" s="252">
        <v>43868</v>
      </c>
      <c r="O6606" s="493" t="s">
        <v>470</v>
      </c>
      <c r="P6606" s="494">
        <v>8200</v>
      </c>
      <c r="Q6606" s="494">
        <v>2</v>
      </c>
      <c r="R6606" s="495">
        <f t="shared" si="153"/>
        <v>16400</v>
      </c>
      <c r="S6606" s="456">
        <v>202303</v>
      </c>
      <c r="T6606" s="215" t="s">
        <v>8722</v>
      </c>
      <c r="U6606" s="488"/>
      <c r="V6606" s="458"/>
      <c r="W6606" s="458"/>
      <c r="X6606" s="466">
        <v>44866</v>
      </c>
      <c r="Y6606" s="466">
        <v>45230</v>
      </c>
    </row>
    <row r="6607" s="9" customFormat="1" customHeight="1" spans="1:25">
      <c r="A6607" s="492" t="s">
        <v>399</v>
      </c>
      <c r="B6607" s="446" t="s">
        <v>8192</v>
      </c>
      <c r="C6607" s="492" t="s">
        <v>110</v>
      </c>
      <c r="D6607" s="446" t="s">
        <v>6237</v>
      </c>
      <c r="E6607" s="23" t="s">
        <v>8600</v>
      </c>
      <c r="F6607" s="492" t="s">
        <v>8704</v>
      </c>
      <c r="G6607" s="493" t="s">
        <v>88</v>
      </c>
      <c r="H6607" s="100" t="s">
        <v>8615</v>
      </c>
      <c r="I6607" s="23" t="e">
        <f>VLOOKUP(H6607,'合同综合查询数据（3月返）'!$A:$A,1,FALSE)</f>
        <v>#N/A</v>
      </c>
      <c r="J6607" s="473" t="s">
        <v>90</v>
      </c>
      <c r="K6607" s="493" t="s">
        <v>5515</v>
      </c>
      <c r="L6607" s="493"/>
      <c r="M6607" s="449" t="s">
        <v>8629</v>
      </c>
      <c r="N6607" s="252">
        <v>43881</v>
      </c>
      <c r="O6607" s="493" t="s">
        <v>457</v>
      </c>
      <c r="P6607" s="359">
        <v>5600</v>
      </c>
      <c r="Q6607" s="494">
        <v>14</v>
      </c>
      <c r="R6607" s="495">
        <f t="shared" si="153"/>
        <v>78400</v>
      </c>
      <c r="S6607" s="456">
        <v>202303</v>
      </c>
      <c r="T6607" s="215" t="s">
        <v>8722</v>
      </c>
      <c r="U6607" s="488"/>
      <c r="V6607" s="458"/>
      <c r="W6607" s="458"/>
      <c r="X6607" s="466">
        <v>44866</v>
      </c>
      <c r="Y6607" s="466">
        <v>45230</v>
      </c>
    </row>
    <row r="6608" s="9" customFormat="1" customHeight="1" spans="1:25">
      <c r="A6608" s="492" t="s">
        <v>399</v>
      </c>
      <c r="B6608" s="446" t="s">
        <v>8192</v>
      </c>
      <c r="C6608" s="492" t="s">
        <v>110</v>
      </c>
      <c r="D6608" s="446" t="s">
        <v>6237</v>
      </c>
      <c r="E6608" s="23" t="s">
        <v>8600</v>
      </c>
      <c r="F6608" s="492" t="s">
        <v>8704</v>
      </c>
      <c r="G6608" s="493" t="s">
        <v>88</v>
      </c>
      <c r="H6608" s="100" t="s">
        <v>8615</v>
      </c>
      <c r="I6608" s="23" t="e">
        <f>VLOOKUP(H6608,'合同综合查询数据（3月返）'!$A:$A,1,FALSE)</f>
        <v>#N/A</v>
      </c>
      <c r="J6608" s="473" t="s">
        <v>90</v>
      </c>
      <c r="K6608" s="493" t="s">
        <v>5515</v>
      </c>
      <c r="L6608" s="493"/>
      <c r="M6608" s="449" t="s">
        <v>8629</v>
      </c>
      <c r="N6608" s="252">
        <v>43886</v>
      </c>
      <c r="O6608" s="493" t="s">
        <v>457</v>
      </c>
      <c r="P6608" s="359">
        <v>5600</v>
      </c>
      <c r="Q6608" s="494">
        <v>2</v>
      </c>
      <c r="R6608" s="495">
        <f t="shared" si="153"/>
        <v>11200</v>
      </c>
      <c r="S6608" s="456">
        <v>202303</v>
      </c>
      <c r="T6608" s="215" t="s">
        <v>8722</v>
      </c>
      <c r="U6608" s="488"/>
      <c r="V6608" s="458"/>
      <c r="W6608" s="458"/>
      <c r="X6608" s="466">
        <v>44866</v>
      </c>
      <c r="Y6608" s="466">
        <v>45230</v>
      </c>
    </row>
    <row r="6609" s="9" customFormat="1" customHeight="1" spans="1:25">
      <c r="A6609" s="492" t="s">
        <v>399</v>
      </c>
      <c r="B6609" s="446" t="s">
        <v>8192</v>
      </c>
      <c r="C6609" s="492" t="s">
        <v>110</v>
      </c>
      <c r="D6609" s="446" t="s">
        <v>6237</v>
      </c>
      <c r="E6609" s="23" t="s">
        <v>8600</v>
      </c>
      <c r="F6609" s="492" t="s">
        <v>8704</v>
      </c>
      <c r="G6609" s="493" t="s">
        <v>88</v>
      </c>
      <c r="H6609" s="100" t="s">
        <v>8615</v>
      </c>
      <c r="I6609" s="23" t="e">
        <f>VLOOKUP(H6609,'合同综合查询数据（3月返）'!$A:$A,1,FALSE)</f>
        <v>#N/A</v>
      </c>
      <c r="J6609" s="473" t="s">
        <v>90</v>
      </c>
      <c r="K6609" s="493" t="s">
        <v>5515</v>
      </c>
      <c r="L6609" s="493"/>
      <c r="M6609" s="449" t="s">
        <v>8629</v>
      </c>
      <c r="N6609" s="252">
        <v>43888</v>
      </c>
      <c r="O6609" s="493" t="s">
        <v>457</v>
      </c>
      <c r="P6609" s="359">
        <v>5600</v>
      </c>
      <c r="Q6609" s="494">
        <v>4</v>
      </c>
      <c r="R6609" s="495">
        <f t="shared" si="153"/>
        <v>22400</v>
      </c>
      <c r="S6609" s="456">
        <v>202303</v>
      </c>
      <c r="T6609" s="215" t="s">
        <v>8723</v>
      </c>
      <c r="U6609" s="488"/>
      <c r="V6609" s="458"/>
      <c r="W6609" s="458"/>
      <c r="X6609" s="466">
        <v>44866</v>
      </c>
      <c r="Y6609" s="466">
        <v>45230</v>
      </c>
    </row>
    <row r="6610" s="9" customFormat="1" customHeight="1" spans="1:25">
      <c r="A6610" s="492" t="s">
        <v>399</v>
      </c>
      <c r="B6610" s="446" t="s">
        <v>8192</v>
      </c>
      <c r="C6610" s="492" t="s">
        <v>110</v>
      </c>
      <c r="D6610" s="446" t="s">
        <v>6237</v>
      </c>
      <c r="E6610" s="23" t="s">
        <v>8600</v>
      </c>
      <c r="F6610" s="492" t="s">
        <v>8704</v>
      </c>
      <c r="G6610" s="493" t="s">
        <v>88</v>
      </c>
      <c r="H6610" s="100" t="s">
        <v>8615</v>
      </c>
      <c r="I6610" s="23" t="e">
        <f>VLOOKUP(H6610,'合同综合查询数据（3月返）'!$A:$A,1,FALSE)</f>
        <v>#N/A</v>
      </c>
      <c r="J6610" s="473" t="s">
        <v>90</v>
      </c>
      <c r="K6610" s="493" t="s">
        <v>5515</v>
      </c>
      <c r="L6610" s="493"/>
      <c r="M6610" s="449" t="s">
        <v>8629</v>
      </c>
      <c r="N6610" s="252">
        <v>43936</v>
      </c>
      <c r="O6610" s="493" t="s">
        <v>457</v>
      </c>
      <c r="P6610" s="359">
        <v>5600</v>
      </c>
      <c r="Q6610" s="494">
        <v>8</v>
      </c>
      <c r="R6610" s="495">
        <f t="shared" si="153"/>
        <v>44800</v>
      </c>
      <c r="S6610" s="456">
        <v>202303</v>
      </c>
      <c r="T6610" s="215"/>
      <c r="U6610" s="488"/>
      <c r="V6610" s="458"/>
      <c r="W6610" s="458"/>
      <c r="X6610" s="466">
        <v>44866</v>
      </c>
      <c r="Y6610" s="466">
        <v>45230</v>
      </c>
    </row>
    <row r="6611" s="9" customFormat="1" customHeight="1" spans="1:25">
      <c r="A6611" s="492" t="s">
        <v>399</v>
      </c>
      <c r="B6611" s="446" t="s">
        <v>8192</v>
      </c>
      <c r="C6611" s="492" t="s">
        <v>110</v>
      </c>
      <c r="D6611" s="446" t="s">
        <v>6237</v>
      </c>
      <c r="E6611" s="23" t="s">
        <v>8600</v>
      </c>
      <c r="F6611" s="492" t="s">
        <v>8704</v>
      </c>
      <c r="G6611" s="493" t="s">
        <v>88</v>
      </c>
      <c r="H6611" s="100" t="s">
        <v>8615</v>
      </c>
      <c r="I6611" s="23" t="e">
        <f>VLOOKUP(H6611,'合同综合查询数据（3月返）'!$A:$A,1,FALSE)</f>
        <v>#N/A</v>
      </c>
      <c r="J6611" s="473" t="s">
        <v>90</v>
      </c>
      <c r="K6611" s="493" t="s">
        <v>5515</v>
      </c>
      <c r="L6611" s="493"/>
      <c r="M6611" s="449" t="s">
        <v>8629</v>
      </c>
      <c r="N6611" s="252">
        <v>43951</v>
      </c>
      <c r="O6611" s="493" t="s">
        <v>457</v>
      </c>
      <c r="P6611" s="359">
        <v>5600</v>
      </c>
      <c r="Q6611" s="494">
        <v>2</v>
      </c>
      <c r="R6611" s="495">
        <f t="shared" si="153"/>
        <v>11200</v>
      </c>
      <c r="S6611" s="456">
        <v>202303</v>
      </c>
      <c r="T6611" s="215"/>
      <c r="U6611" s="488"/>
      <c r="V6611" s="458"/>
      <c r="W6611" s="458"/>
      <c r="X6611" s="466">
        <v>44866</v>
      </c>
      <c r="Y6611" s="466">
        <v>45230</v>
      </c>
    </row>
    <row r="6612" s="9" customFormat="1" customHeight="1" spans="1:25">
      <c r="A6612" s="492" t="s">
        <v>399</v>
      </c>
      <c r="B6612" s="446" t="s">
        <v>8192</v>
      </c>
      <c r="C6612" s="492" t="s">
        <v>110</v>
      </c>
      <c r="D6612" s="446" t="s">
        <v>6237</v>
      </c>
      <c r="E6612" s="23" t="s">
        <v>8600</v>
      </c>
      <c r="F6612" s="492" t="s">
        <v>8704</v>
      </c>
      <c r="G6612" s="493" t="s">
        <v>88</v>
      </c>
      <c r="H6612" s="100" t="s">
        <v>8615</v>
      </c>
      <c r="I6612" s="23" t="e">
        <f>VLOOKUP(H6612,'合同综合查询数据（3月返）'!$A:$A,1,FALSE)</f>
        <v>#N/A</v>
      </c>
      <c r="J6612" s="473" t="s">
        <v>90</v>
      </c>
      <c r="K6612" s="493" t="s">
        <v>5515</v>
      </c>
      <c r="L6612" s="493"/>
      <c r="M6612" s="449" t="s">
        <v>8629</v>
      </c>
      <c r="N6612" s="252">
        <v>43963</v>
      </c>
      <c r="O6612" s="493" t="s">
        <v>457</v>
      </c>
      <c r="P6612" s="359">
        <v>5600</v>
      </c>
      <c r="Q6612" s="494">
        <v>2</v>
      </c>
      <c r="R6612" s="495">
        <f t="shared" si="153"/>
        <v>11200</v>
      </c>
      <c r="S6612" s="456">
        <v>202303</v>
      </c>
      <c r="T6612" s="215"/>
      <c r="U6612" s="488"/>
      <c r="V6612" s="458"/>
      <c r="W6612" s="458"/>
      <c r="X6612" s="466">
        <v>44866</v>
      </c>
      <c r="Y6612" s="466">
        <v>45230</v>
      </c>
    </row>
    <row r="6613" s="9" customFormat="1" customHeight="1" spans="1:25">
      <c r="A6613" s="492" t="s">
        <v>399</v>
      </c>
      <c r="B6613" s="446" t="s">
        <v>8192</v>
      </c>
      <c r="C6613" s="492" t="s">
        <v>110</v>
      </c>
      <c r="D6613" s="446" t="s">
        <v>6237</v>
      </c>
      <c r="E6613" s="23" t="s">
        <v>8600</v>
      </c>
      <c r="F6613" s="492" t="s">
        <v>8704</v>
      </c>
      <c r="G6613" s="493" t="s">
        <v>88</v>
      </c>
      <c r="H6613" s="100" t="s">
        <v>8615</v>
      </c>
      <c r="I6613" s="23" t="e">
        <f>VLOOKUP(H6613,'合同综合查询数据（3月返）'!$A:$A,1,FALSE)</f>
        <v>#N/A</v>
      </c>
      <c r="J6613" s="473" t="s">
        <v>90</v>
      </c>
      <c r="K6613" s="493" t="s">
        <v>5515</v>
      </c>
      <c r="L6613" s="493"/>
      <c r="M6613" s="449" t="s">
        <v>8629</v>
      </c>
      <c r="N6613" s="252">
        <v>43987</v>
      </c>
      <c r="O6613" s="493" t="s">
        <v>457</v>
      </c>
      <c r="P6613" s="359">
        <v>5600</v>
      </c>
      <c r="Q6613" s="494">
        <v>4</v>
      </c>
      <c r="R6613" s="495">
        <f t="shared" si="153"/>
        <v>22400</v>
      </c>
      <c r="S6613" s="456">
        <v>202303</v>
      </c>
      <c r="T6613" s="215" t="s">
        <v>8724</v>
      </c>
      <c r="U6613" s="488"/>
      <c r="V6613" s="458"/>
      <c r="W6613" s="458"/>
      <c r="X6613" s="466">
        <v>44866</v>
      </c>
      <c r="Y6613" s="466">
        <v>45230</v>
      </c>
    </row>
    <row r="6614" s="9" customFormat="1" customHeight="1" spans="1:25">
      <c r="A6614" s="492" t="s">
        <v>399</v>
      </c>
      <c r="B6614" s="446" t="s">
        <v>8192</v>
      </c>
      <c r="C6614" s="492" t="s">
        <v>110</v>
      </c>
      <c r="D6614" s="446" t="s">
        <v>6237</v>
      </c>
      <c r="E6614" s="23" t="s">
        <v>8600</v>
      </c>
      <c r="F6614" s="492" t="s">
        <v>8704</v>
      </c>
      <c r="G6614" s="493" t="s">
        <v>88</v>
      </c>
      <c r="H6614" s="100" t="s">
        <v>8615</v>
      </c>
      <c r="I6614" s="23" t="e">
        <f>VLOOKUP(H6614,'合同综合查询数据（3月返）'!$A:$A,1,FALSE)</f>
        <v>#N/A</v>
      </c>
      <c r="J6614" s="473" t="s">
        <v>90</v>
      </c>
      <c r="K6614" s="493" t="s">
        <v>5515</v>
      </c>
      <c r="L6614" s="493"/>
      <c r="M6614" s="449" t="s">
        <v>8629</v>
      </c>
      <c r="N6614" s="252">
        <v>44006</v>
      </c>
      <c r="O6614" s="493" t="s">
        <v>457</v>
      </c>
      <c r="P6614" s="359">
        <v>5600</v>
      </c>
      <c r="Q6614" s="494">
        <v>12</v>
      </c>
      <c r="R6614" s="495">
        <f t="shared" si="153"/>
        <v>67200</v>
      </c>
      <c r="S6614" s="456">
        <v>202303</v>
      </c>
      <c r="T6614" s="215" t="s">
        <v>8724</v>
      </c>
      <c r="U6614" s="488"/>
      <c r="V6614" s="458"/>
      <c r="W6614" s="458"/>
      <c r="X6614" s="466">
        <v>44866</v>
      </c>
      <c r="Y6614" s="466">
        <v>45230</v>
      </c>
    </row>
    <row r="6615" s="9" customFormat="1" customHeight="1" spans="1:25">
      <c r="A6615" s="492" t="s">
        <v>399</v>
      </c>
      <c r="B6615" s="446" t="s">
        <v>8192</v>
      </c>
      <c r="C6615" s="492" t="s">
        <v>110</v>
      </c>
      <c r="D6615" s="446" t="s">
        <v>6237</v>
      </c>
      <c r="E6615" s="23" t="s">
        <v>8600</v>
      </c>
      <c r="F6615" s="492" t="s">
        <v>8704</v>
      </c>
      <c r="G6615" s="493" t="s">
        <v>88</v>
      </c>
      <c r="H6615" s="100" t="s">
        <v>8615</v>
      </c>
      <c r="I6615" s="23" t="e">
        <f>VLOOKUP(H6615,'合同综合查询数据（3月返）'!$A:$A,1,FALSE)</f>
        <v>#N/A</v>
      </c>
      <c r="J6615" s="473" t="s">
        <v>90</v>
      </c>
      <c r="K6615" s="493" t="s">
        <v>5515</v>
      </c>
      <c r="L6615" s="493"/>
      <c r="M6615" s="449" t="s">
        <v>8629</v>
      </c>
      <c r="N6615" s="252">
        <v>43986</v>
      </c>
      <c r="O6615" s="493" t="s">
        <v>457</v>
      </c>
      <c r="P6615" s="359">
        <v>5600</v>
      </c>
      <c r="Q6615" s="494">
        <v>19</v>
      </c>
      <c r="R6615" s="495">
        <f t="shared" si="153"/>
        <v>106400</v>
      </c>
      <c r="S6615" s="456">
        <v>202303</v>
      </c>
      <c r="T6615" s="215" t="s">
        <v>8725</v>
      </c>
      <c r="U6615" s="488"/>
      <c r="V6615" s="458"/>
      <c r="W6615" s="458"/>
      <c r="X6615" s="466">
        <v>44866</v>
      </c>
      <c r="Y6615" s="466">
        <v>45230</v>
      </c>
    </row>
    <row r="6616" s="9" customFormat="1" customHeight="1" spans="1:25">
      <c r="A6616" s="492" t="s">
        <v>399</v>
      </c>
      <c r="B6616" s="446" t="s">
        <v>8192</v>
      </c>
      <c r="C6616" s="492" t="s">
        <v>110</v>
      </c>
      <c r="D6616" s="446" t="s">
        <v>6237</v>
      </c>
      <c r="E6616" s="23" t="s">
        <v>8600</v>
      </c>
      <c r="F6616" s="492" t="s">
        <v>8704</v>
      </c>
      <c r="G6616" s="493" t="s">
        <v>88</v>
      </c>
      <c r="H6616" s="100" t="s">
        <v>8615</v>
      </c>
      <c r="I6616" s="23" t="e">
        <f>VLOOKUP(H6616,'合同综合查询数据（3月返）'!$A:$A,1,FALSE)</f>
        <v>#N/A</v>
      </c>
      <c r="J6616" s="473" t="s">
        <v>90</v>
      </c>
      <c r="K6616" s="493" t="s">
        <v>5515</v>
      </c>
      <c r="L6616" s="493"/>
      <c r="M6616" s="449" t="s">
        <v>8629</v>
      </c>
      <c r="N6616" s="252">
        <v>44011</v>
      </c>
      <c r="O6616" s="493" t="s">
        <v>457</v>
      </c>
      <c r="P6616" s="359">
        <v>5600</v>
      </c>
      <c r="Q6616" s="494">
        <v>2</v>
      </c>
      <c r="R6616" s="495">
        <f t="shared" si="153"/>
        <v>11200</v>
      </c>
      <c r="S6616" s="456">
        <v>202303</v>
      </c>
      <c r="T6616" s="215" t="s">
        <v>8725</v>
      </c>
      <c r="U6616" s="488"/>
      <c r="V6616" s="458"/>
      <c r="W6616" s="458"/>
      <c r="X6616" s="466">
        <v>44866</v>
      </c>
      <c r="Y6616" s="466">
        <v>45230</v>
      </c>
    </row>
    <row r="6617" s="9" customFormat="1" customHeight="1" spans="1:25">
      <c r="A6617" s="492" t="s">
        <v>399</v>
      </c>
      <c r="B6617" s="446" t="s">
        <v>8192</v>
      </c>
      <c r="C6617" s="492" t="s">
        <v>110</v>
      </c>
      <c r="D6617" s="446" t="s">
        <v>6237</v>
      </c>
      <c r="E6617" s="23" t="s">
        <v>8600</v>
      </c>
      <c r="F6617" s="492" t="s">
        <v>8704</v>
      </c>
      <c r="G6617" s="493" t="s">
        <v>88</v>
      </c>
      <c r="H6617" s="100" t="s">
        <v>8615</v>
      </c>
      <c r="I6617" s="23" t="e">
        <f>VLOOKUP(H6617,'合同综合查询数据（3月返）'!$A:$A,1,FALSE)</f>
        <v>#N/A</v>
      </c>
      <c r="J6617" s="473" t="s">
        <v>90</v>
      </c>
      <c r="K6617" s="493" t="s">
        <v>5515</v>
      </c>
      <c r="L6617" s="493"/>
      <c r="M6617" s="449" t="s">
        <v>8629</v>
      </c>
      <c r="N6617" s="252">
        <v>44020</v>
      </c>
      <c r="O6617" s="493" t="s">
        <v>457</v>
      </c>
      <c r="P6617" s="359">
        <v>5600</v>
      </c>
      <c r="Q6617" s="494">
        <v>2</v>
      </c>
      <c r="R6617" s="495">
        <f t="shared" si="153"/>
        <v>11200</v>
      </c>
      <c r="S6617" s="456">
        <v>202303</v>
      </c>
      <c r="T6617" s="215" t="s">
        <v>8726</v>
      </c>
      <c r="U6617" s="488"/>
      <c r="V6617" s="458"/>
      <c r="W6617" s="458"/>
      <c r="X6617" s="466">
        <v>44866</v>
      </c>
      <c r="Y6617" s="466">
        <v>45230</v>
      </c>
    </row>
    <row r="6618" s="9" customFormat="1" customHeight="1" spans="1:25">
      <c r="A6618" s="492" t="s">
        <v>399</v>
      </c>
      <c r="B6618" s="446" t="s">
        <v>8192</v>
      </c>
      <c r="C6618" s="492" t="s">
        <v>110</v>
      </c>
      <c r="D6618" s="446" t="s">
        <v>6237</v>
      </c>
      <c r="E6618" s="23" t="s">
        <v>8600</v>
      </c>
      <c r="F6618" s="492" t="s">
        <v>8704</v>
      </c>
      <c r="G6618" s="493" t="s">
        <v>88</v>
      </c>
      <c r="H6618" s="100" t="s">
        <v>8615</v>
      </c>
      <c r="I6618" s="23" t="e">
        <f>VLOOKUP(H6618,'合同综合查询数据（3月返）'!$A:$A,1,FALSE)</f>
        <v>#N/A</v>
      </c>
      <c r="J6618" s="473" t="s">
        <v>90</v>
      </c>
      <c r="K6618" s="493" t="s">
        <v>5515</v>
      </c>
      <c r="L6618" s="493"/>
      <c r="M6618" s="449" t="s">
        <v>8629</v>
      </c>
      <c r="N6618" s="252">
        <v>44025</v>
      </c>
      <c r="O6618" s="493" t="s">
        <v>457</v>
      </c>
      <c r="P6618" s="359">
        <v>5600</v>
      </c>
      <c r="Q6618" s="494">
        <v>6</v>
      </c>
      <c r="R6618" s="495">
        <f t="shared" si="153"/>
        <v>33600</v>
      </c>
      <c r="S6618" s="456">
        <v>202303</v>
      </c>
      <c r="T6618" s="215" t="s">
        <v>8726</v>
      </c>
      <c r="U6618" s="488"/>
      <c r="V6618" s="458"/>
      <c r="W6618" s="458"/>
      <c r="X6618" s="466">
        <v>44866</v>
      </c>
      <c r="Y6618" s="466">
        <v>45230</v>
      </c>
    </row>
    <row r="6619" s="9" customFormat="1" customHeight="1" spans="1:25">
      <c r="A6619" s="492" t="s">
        <v>399</v>
      </c>
      <c r="B6619" s="446" t="s">
        <v>8192</v>
      </c>
      <c r="C6619" s="492" t="s">
        <v>110</v>
      </c>
      <c r="D6619" s="446" t="s">
        <v>6237</v>
      </c>
      <c r="E6619" s="23" t="s">
        <v>8600</v>
      </c>
      <c r="F6619" s="492" t="s">
        <v>8704</v>
      </c>
      <c r="G6619" s="493" t="s">
        <v>88</v>
      </c>
      <c r="H6619" s="100" t="s">
        <v>8615</v>
      </c>
      <c r="I6619" s="23" t="e">
        <f>VLOOKUP(H6619,'合同综合查询数据（3月返）'!$A:$A,1,FALSE)</f>
        <v>#N/A</v>
      </c>
      <c r="J6619" s="473" t="s">
        <v>90</v>
      </c>
      <c r="K6619" s="493" t="s">
        <v>5515</v>
      </c>
      <c r="L6619" s="493"/>
      <c r="M6619" s="449" t="s">
        <v>8629</v>
      </c>
      <c r="N6619" s="252">
        <v>44073</v>
      </c>
      <c r="O6619" s="493" t="s">
        <v>457</v>
      </c>
      <c r="P6619" s="359">
        <v>5600</v>
      </c>
      <c r="Q6619" s="494">
        <v>-4</v>
      </c>
      <c r="R6619" s="495">
        <f t="shared" si="153"/>
        <v>-22400</v>
      </c>
      <c r="S6619" s="456">
        <v>202303</v>
      </c>
      <c r="T6619" s="215" t="s">
        <v>8727</v>
      </c>
      <c r="U6619" s="488"/>
      <c r="V6619" s="458"/>
      <c r="W6619" s="458"/>
      <c r="X6619" s="466">
        <v>44866</v>
      </c>
      <c r="Y6619" s="466">
        <v>45230</v>
      </c>
    </row>
    <row r="6620" s="9" customFormat="1" customHeight="1" spans="1:25">
      <c r="A6620" s="492" t="s">
        <v>399</v>
      </c>
      <c r="B6620" s="446" t="s">
        <v>8192</v>
      </c>
      <c r="C6620" s="492" t="s">
        <v>110</v>
      </c>
      <c r="D6620" s="446" t="s">
        <v>6237</v>
      </c>
      <c r="E6620" s="23" t="s">
        <v>8600</v>
      </c>
      <c r="F6620" s="492" t="s">
        <v>8704</v>
      </c>
      <c r="G6620" s="493" t="s">
        <v>88</v>
      </c>
      <c r="H6620" s="100" t="s">
        <v>8615</v>
      </c>
      <c r="I6620" s="23" t="e">
        <f>VLOOKUP(H6620,'合同综合查询数据（3月返）'!$A:$A,1,FALSE)</f>
        <v>#N/A</v>
      </c>
      <c r="J6620" s="473" t="s">
        <v>90</v>
      </c>
      <c r="K6620" s="493" t="s">
        <v>5515</v>
      </c>
      <c r="L6620" s="493"/>
      <c r="M6620" s="449" t="s">
        <v>8629</v>
      </c>
      <c r="N6620" s="252">
        <v>44090</v>
      </c>
      <c r="O6620" s="493" t="s">
        <v>457</v>
      </c>
      <c r="P6620" s="359">
        <v>5600</v>
      </c>
      <c r="Q6620" s="494">
        <v>4</v>
      </c>
      <c r="R6620" s="495">
        <f t="shared" si="153"/>
        <v>22400</v>
      </c>
      <c r="S6620" s="456">
        <v>202303</v>
      </c>
      <c r="T6620" s="215" t="s">
        <v>8728</v>
      </c>
      <c r="U6620" s="488"/>
      <c r="V6620" s="458"/>
      <c r="W6620" s="458"/>
      <c r="X6620" s="466">
        <v>44866</v>
      </c>
      <c r="Y6620" s="466">
        <v>45230</v>
      </c>
    </row>
    <row r="6621" s="9" customFormat="1" customHeight="1" spans="1:25">
      <c r="A6621" s="492" t="s">
        <v>399</v>
      </c>
      <c r="B6621" s="446" t="s">
        <v>8192</v>
      </c>
      <c r="C6621" s="492" t="s">
        <v>110</v>
      </c>
      <c r="D6621" s="446" t="s">
        <v>6237</v>
      </c>
      <c r="E6621" s="23" t="s">
        <v>8600</v>
      </c>
      <c r="F6621" s="492" t="s">
        <v>8704</v>
      </c>
      <c r="G6621" s="493" t="s">
        <v>88</v>
      </c>
      <c r="H6621" s="100" t="s">
        <v>8615</v>
      </c>
      <c r="I6621" s="23" t="e">
        <f>VLOOKUP(H6621,'合同综合查询数据（3月返）'!$A:$A,1,FALSE)</f>
        <v>#N/A</v>
      </c>
      <c r="J6621" s="473" t="s">
        <v>90</v>
      </c>
      <c r="K6621" s="493" t="s">
        <v>5515</v>
      </c>
      <c r="L6621" s="493"/>
      <c r="M6621" s="449" t="s">
        <v>8629</v>
      </c>
      <c r="N6621" s="252">
        <v>44098</v>
      </c>
      <c r="O6621" s="493" t="s">
        <v>457</v>
      </c>
      <c r="P6621" s="359">
        <v>5600</v>
      </c>
      <c r="Q6621" s="494">
        <v>4</v>
      </c>
      <c r="R6621" s="495">
        <f t="shared" si="153"/>
        <v>22400</v>
      </c>
      <c r="S6621" s="456">
        <v>202303</v>
      </c>
      <c r="T6621" s="215" t="s">
        <v>8728</v>
      </c>
      <c r="U6621" s="488"/>
      <c r="V6621" s="458"/>
      <c r="W6621" s="458"/>
      <c r="X6621" s="466">
        <v>44866</v>
      </c>
      <c r="Y6621" s="466">
        <v>45230</v>
      </c>
    </row>
    <row r="6622" s="9" customFormat="1" customHeight="1" spans="1:25">
      <c r="A6622" s="492" t="s">
        <v>399</v>
      </c>
      <c r="B6622" s="446" t="s">
        <v>8192</v>
      </c>
      <c r="C6622" s="492" t="s">
        <v>110</v>
      </c>
      <c r="D6622" s="446" t="s">
        <v>6237</v>
      </c>
      <c r="E6622" s="23" t="s">
        <v>8600</v>
      </c>
      <c r="F6622" s="492" t="s">
        <v>8704</v>
      </c>
      <c r="G6622" s="493" t="s">
        <v>88</v>
      </c>
      <c r="H6622" s="100" t="s">
        <v>8615</v>
      </c>
      <c r="I6622" s="23" t="e">
        <f>VLOOKUP(H6622,'合同综合查询数据（3月返）'!$A:$A,1,FALSE)</f>
        <v>#N/A</v>
      </c>
      <c r="J6622" s="473" t="s">
        <v>90</v>
      </c>
      <c r="K6622" s="493" t="s">
        <v>5515</v>
      </c>
      <c r="L6622" s="493"/>
      <c r="M6622" s="449" t="s">
        <v>8629</v>
      </c>
      <c r="N6622" s="252">
        <v>44116</v>
      </c>
      <c r="O6622" s="493" t="s">
        <v>457</v>
      </c>
      <c r="P6622" s="359">
        <v>5600</v>
      </c>
      <c r="Q6622" s="494">
        <v>2</v>
      </c>
      <c r="R6622" s="495">
        <f t="shared" si="153"/>
        <v>11200</v>
      </c>
      <c r="S6622" s="456">
        <v>202303</v>
      </c>
      <c r="T6622" s="215" t="s">
        <v>8729</v>
      </c>
      <c r="U6622" s="488"/>
      <c r="V6622" s="458"/>
      <c r="W6622" s="458"/>
      <c r="X6622" s="466">
        <v>44866</v>
      </c>
      <c r="Y6622" s="466">
        <v>45230</v>
      </c>
    </row>
    <row r="6623" s="9" customFormat="1" customHeight="1" spans="1:25">
      <c r="A6623" s="492" t="s">
        <v>399</v>
      </c>
      <c r="B6623" s="446" t="s">
        <v>8192</v>
      </c>
      <c r="C6623" s="492" t="s">
        <v>110</v>
      </c>
      <c r="D6623" s="446" t="s">
        <v>6237</v>
      </c>
      <c r="E6623" s="23" t="s">
        <v>8600</v>
      </c>
      <c r="F6623" s="492" t="s">
        <v>8704</v>
      </c>
      <c r="G6623" s="493" t="s">
        <v>88</v>
      </c>
      <c r="H6623" s="100" t="s">
        <v>8615</v>
      </c>
      <c r="I6623" s="23" t="e">
        <f>VLOOKUP(H6623,'合同综合查询数据（3月返）'!$A:$A,1,FALSE)</f>
        <v>#N/A</v>
      </c>
      <c r="J6623" s="473" t="s">
        <v>90</v>
      </c>
      <c r="K6623" s="493" t="s">
        <v>5515</v>
      </c>
      <c r="L6623" s="493"/>
      <c r="M6623" s="449" t="s">
        <v>8629</v>
      </c>
      <c r="N6623" s="252">
        <v>44135</v>
      </c>
      <c r="O6623" s="493" t="s">
        <v>457</v>
      </c>
      <c r="P6623" s="359">
        <v>5600</v>
      </c>
      <c r="Q6623" s="494">
        <v>2</v>
      </c>
      <c r="R6623" s="495">
        <f t="shared" si="153"/>
        <v>11200</v>
      </c>
      <c r="S6623" s="456">
        <v>202303</v>
      </c>
      <c r="T6623" s="215" t="s">
        <v>8730</v>
      </c>
      <c r="U6623" s="488"/>
      <c r="V6623" s="458"/>
      <c r="W6623" s="458"/>
      <c r="X6623" s="466">
        <v>44866</v>
      </c>
      <c r="Y6623" s="466">
        <v>45230</v>
      </c>
    </row>
    <row r="6624" s="9" customFormat="1" customHeight="1" spans="1:25">
      <c r="A6624" s="492" t="s">
        <v>399</v>
      </c>
      <c r="B6624" s="446" t="s">
        <v>8192</v>
      </c>
      <c r="C6624" s="492" t="s">
        <v>110</v>
      </c>
      <c r="D6624" s="446" t="s">
        <v>6237</v>
      </c>
      <c r="E6624" s="23" t="s">
        <v>8600</v>
      </c>
      <c r="F6624" s="492" t="s">
        <v>8704</v>
      </c>
      <c r="G6624" s="493" t="s">
        <v>88</v>
      </c>
      <c r="H6624" s="100" t="s">
        <v>8615</v>
      </c>
      <c r="I6624" s="23" t="e">
        <f>VLOOKUP(H6624,'合同综合查询数据（3月返）'!$A:$A,1,FALSE)</f>
        <v>#N/A</v>
      </c>
      <c r="J6624" s="473" t="s">
        <v>90</v>
      </c>
      <c r="K6624" s="493" t="s">
        <v>5515</v>
      </c>
      <c r="L6624" s="493"/>
      <c r="M6624" s="449" t="s">
        <v>8629</v>
      </c>
      <c r="N6624" s="252">
        <v>44169</v>
      </c>
      <c r="O6624" s="493" t="s">
        <v>457</v>
      </c>
      <c r="P6624" s="359">
        <v>5600</v>
      </c>
      <c r="Q6624" s="494">
        <v>-2</v>
      </c>
      <c r="R6624" s="495">
        <f t="shared" si="153"/>
        <v>-11200</v>
      </c>
      <c r="S6624" s="456">
        <v>202303</v>
      </c>
      <c r="T6624" s="215" t="s">
        <v>8731</v>
      </c>
      <c r="U6624" s="488"/>
      <c r="V6624" s="458"/>
      <c r="W6624" s="458"/>
      <c r="X6624" s="466">
        <v>44866</v>
      </c>
      <c r="Y6624" s="466">
        <v>45230</v>
      </c>
    </row>
    <row r="6625" s="9" customFormat="1" customHeight="1" spans="1:25">
      <c r="A6625" s="492" t="s">
        <v>399</v>
      </c>
      <c r="B6625" s="446" t="s">
        <v>8192</v>
      </c>
      <c r="C6625" s="492" t="s">
        <v>110</v>
      </c>
      <c r="D6625" s="446" t="s">
        <v>6237</v>
      </c>
      <c r="E6625" s="23" t="s">
        <v>8600</v>
      </c>
      <c r="F6625" s="492" t="s">
        <v>8704</v>
      </c>
      <c r="G6625" s="493" t="s">
        <v>88</v>
      </c>
      <c r="H6625" s="100" t="s">
        <v>8615</v>
      </c>
      <c r="I6625" s="23" t="e">
        <f>VLOOKUP(H6625,'合同综合查询数据（3月返）'!$A:$A,1,FALSE)</f>
        <v>#N/A</v>
      </c>
      <c r="J6625" s="473" t="s">
        <v>90</v>
      </c>
      <c r="K6625" s="493" t="s">
        <v>5515</v>
      </c>
      <c r="L6625" s="493"/>
      <c r="M6625" s="449" t="s">
        <v>8629</v>
      </c>
      <c r="N6625" s="252">
        <v>44225</v>
      </c>
      <c r="O6625" s="493" t="s">
        <v>457</v>
      </c>
      <c r="P6625" s="359">
        <v>5600</v>
      </c>
      <c r="Q6625" s="494">
        <v>2</v>
      </c>
      <c r="R6625" s="495">
        <f t="shared" si="153"/>
        <v>11200</v>
      </c>
      <c r="S6625" s="456">
        <v>202303</v>
      </c>
      <c r="T6625" s="215" t="s">
        <v>8732</v>
      </c>
      <c r="U6625" s="488"/>
      <c r="V6625" s="458"/>
      <c r="W6625" s="458"/>
      <c r="X6625" s="466">
        <v>44866</v>
      </c>
      <c r="Y6625" s="466">
        <v>45230</v>
      </c>
    </row>
    <row r="6626" s="9" customFormat="1" customHeight="1" spans="1:25">
      <c r="A6626" s="492" t="s">
        <v>399</v>
      </c>
      <c r="B6626" s="446" t="s">
        <v>8192</v>
      </c>
      <c r="C6626" s="492" t="s">
        <v>110</v>
      </c>
      <c r="D6626" s="446" t="s">
        <v>6237</v>
      </c>
      <c r="E6626" s="23" t="s">
        <v>8600</v>
      </c>
      <c r="F6626" s="492" t="s">
        <v>8704</v>
      </c>
      <c r="G6626" s="493" t="s">
        <v>88</v>
      </c>
      <c r="H6626" s="100" t="s">
        <v>8615</v>
      </c>
      <c r="I6626" s="23" t="e">
        <f>VLOOKUP(H6626,'合同综合查询数据（3月返）'!$A:$A,1,FALSE)</f>
        <v>#N/A</v>
      </c>
      <c r="J6626" s="473" t="s">
        <v>90</v>
      </c>
      <c r="K6626" s="493" t="s">
        <v>5515</v>
      </c>
      <c r="L6626" s="493"/>
      <c r="M6626" s="449" t="s">
        <v>8629</v>
      </c>
      <c r="N6626" s="252">
        <v>44230</v>
      </c>
      <c r="O6626" s="493" t="s">
        <v>457</v>
      </c>
      <c r="P6626" s="359">
        <v>5600</v>
      </c>
      <c r="Q6626" s="494">
        <v>12</v>
      </c>
      <c r="R6626" s="495">
        <f t="shared" si="153"/>
        <v>67200</v>
      </c>
      <c r="S6626" s="456">
        <v>202303</v>
      </c>
      <c r="T6626" s="215" t="s">
        <v>8733</v>
      </c>
      <c r="U6626" s="488"/>
      <c r="V6626" s="458"/>
      <c r="W6626" s="458"/>
      <c r="X6626" s="466">
        <v>44866</v>
      </c>
      <c r="Y6626" s="466">
        <v>45230</v>
      </c>
    </row>
    <row r="6627" s="9" customFormat="1" customHeight="1" spans="1:25">
      <c r="A6627" s="492" t="s">
        <v>399</v>
      </c>
      <c r="B6627" s="446" t="s">
        <v>8192</v>
      </c>
      <c r="C6627" s="492" t="s">
        <v>110</v>
      </c>
      <c r="D6627" s="446" t="s">
        <v>6237</v>
      </c>
      <c r="E6627" s="23" t="s">
        <v>8600</v>
      </c>
      <c r="F6627" s="492" t="s">
        <v>8704</v>
      </c>
      <c r="G6627" s="493" t="s">
        <v>88</v>
      </c>
      <c r="H6627" s="100" t="s">
        <v>8615</v>
      </c>
      <c r="I6627" s="23" t="e">
        <f>VLOOKUP(H6627,'合同综合查询数据（3月返）'!$A:$A,1,FALSE)</f>
        <v>#N/A</v>
      </c>
      <c r="J6627" s="473" t="s">
        <v>90</v>
      </c>
      <c r="K6627" s="493" t="s">
        <v>5515</v>
      </c>
      <c r="L6627" s="493"/>
      <c r="M6627" s="449" t="s">
        <v>8629</v>
      </c>
      <c r="N6627" s="252">
        <v>44255</v>
      </c>
      <c r="O6627" s="493" t="s">
        <v>457</v>
      </c>
      <c r="P6627" s="359">
        <v>5600</v>
      </c>
      <c r="Q6627" s="494">
        <v>2</v>
      </c>
      <c r="R6627" s="495">
        <f t="shared" si="153"/>
        <v>11200</v>
      </c>
      <c r="S6627" s="456">
        <v>202303</v>
      </c>
      <c r="T6627" s="215" t="s">
        <v>8734</v>
      </c>
      <c r="U6627" s="488"/>
      <c r="V6627" s="458"/>
      <c r="W6627" s="458"/>
      <c r="X6627" s="466">
        <v>44866</v>
      </c>
      <c r="Y6627" s="466">
        <v>45230</v>
      </c>
    </row>
    <row r="6628" s="9" customFormat="1" customHeight="1" spans="1:25">
      <c r="A6628" s="492" t="s">
        <v>399</v>
      </c>
      <c r="B6628" s="446" t="s">
        <v>8192</v>
      </c>
      <c r="C6628" s="492" t="s">
        <v>110</v>
      </c>
      <c r="D6628" s="446" t="s">
        <v>6237</v>
      </c>
      <c r="E6628" s="23" t="s">
        <v>8600</v>
      </c>
      <c r="F6628" s="492" t="s">
        <v>8704</v>
      </c>
      <c r="G6628" s="493" t="s">
        <v>88</v>
      </c>
      <c r="H6628" s="100" t="s">
        <v>8615</v>
      </c>
      <c r="I6628" s="23" t="e">
        <f>VLOOKUP(H6628,'合同综合查询数据（3月返）'!$A:$A,1,FALSE)</f>
        <v>#N/A</v>
      </c>
      <c r="J6628" s="473" t="s">
        <v>90</v>
      </c>
      <c r="K6628" s="493" t="s">
        <v>5515</v>
      </c>
      <c r="L6628" s="493"/>
      <c r="M6628" s="449" t="s">
        <v>8629</v>
      </c>
      <c r="N6628" s="252">
        <v>44257</v>
      </c>
      <c r="O6628" s="493" t="s">
        <v>457</v>
      </c>
      <c r="P6628" s="359">
        <v>5600</v>
      </c>
      <c r="Q6628" s="494">
        <v>10</v>
      </c>
      <c r="R6628" s="495">
        <f t="shared" si="153"/>
        <v>56000</v>
      </c>
      <c r="S6628" s="456">
        <v>202303</v>
      </c>
      <c r="T6628" s="215" t="s">
        <v>8735</v>
      </c>
      <c r="U6628" s="488"/>
      <c r="V6628" s="458"/>
      <c r="W6628" s="458"/>
      <c r="X6628" s="466">
        <v>44866</v>
      </c>
      <c r="Y6628" s="466">
        <v>45230</v>
      </c>
    </row>
    <row r="6629" s="9" customFormat="1" customHeight="1" spans="1:25">
      <c r="A6629" s="492" t="s">
        <v>399</v>
      </c>
      <c r="B6629" s="446" t="s">
        <v>8192</v>
      </c>
      <c r="C6629" s="492" t="s">
        <v>110</v>
      </c>
      <c r="D6629" s="446" t="s">
        <v>6237</v>
      </c>
      <c r="E6629" s="23" t="s">
        <v>8600</v>
      </c>
      <c r="F6629" s="492" t="s">
        <v>8704</v>
      </c>
      <c r="G6629" s="493" t="s">
        <v>88</v>
      </c>
      <c r="H6629" s="100" t="s">
        <v>8615</v>
      </c>
      <c r="I6629" s="23" t="e">
        <f>VLOOKUP(H6629,'合同综合查询数据（3月返）'!$A:$A,1,FALSE)</f>
        <v>#N/A</v>
      </c>
      <c r="J6629" s="473" t="s">
        <v>90</v>
      </c>
      <c r="K6629" s="493" t="s">
        <v>5515</v>
      </c>
      <c r="L6629" s="493"/>
      <c r="M6629" s="449" t="s">
        <v>8629</v>
      </c>
      <c r="N6629" s="252">
        <v>44316</v>
      </c>
      <c r="O6629" s="493" t="s">
        <v>457</v>
      </c>
      <c r="P6629" s="359">
        <v>5600</v>
      </c>
      <c r="Q6629" s="494">
        <v>4</v>
      </c>
      <c r="R6629" s="495">
        <f t="shared" si="153"/>
        <v>22400</v>
      </c>
      <c r="S6629" s="456">
        <v>202303</v>
      </c>
      <c r="T6629" s="215" t="s">
        <v>8736</v>
      </c>
      <c r="U6629" s="488"/>
      <c r="V6629" s="458"/>
      <c r="W6629" s="458"/>
      <c r="X6629" s="466">
        <v>44866</v>
      </c>
      <c r="Y6629" s="466">
        <v>45230</v>
      </c>
    </row>
    <row r="6630" s="9" customFormat="1" customHeight="1" spans="1:25">
      <c r="A6630" s="492" t="s">
        <v>399</v>
      </c>
      <c r="B6630" s="446" t="s">
        <v>8192</v>
      </c>
      <c r="C6630" s="492" t="s">
        <v>110</v>
      </c>
      <c r="D6630" s="446" t="s">
        <v>6237</v>
      </c>
      <c r="E6630" s="23" t="s">
        <v>8600</v>
      </c>
      <c r="F6630" s="492" t="s">
        <v>8704</v>
      </c>
      <c r="G6630" s="493" t="s">
        <v>88</v>
      </c>
      <c r="H6630" s="100" t="s">
        <v>8615</v>
      </c>
      <c r="I6630" s="23" t="e">
        <f>VLOOKUP(H6630,'合同综合查询数据（3月返）'!$A:$A,1,FALSE)</f>
        <v>#N/A</v>
      </c>
      <c r="J6630" s="473" t="s">
        <v>90</v>
      </c>
      <c r="K6630" s="493" t="s">
        <v>5515</v>
      </c>
      <c r="L6630" s="493"/>
      <c r="M6630" s="449" t="s">
        <v>8629</v>
      </c>
      <c r="N6630" s="252">
        <v>44317</v>
      </c>
      <c r="O6630" s="493" t="s">
        <v>457</v>
      </c>
      <c r="P6630" s="359">
        <v>5600</v>
      </c>
      <c r="Q6630" s="494">
        <v>25</v>
      </c>
      <c r="R6630" s="495">
        <f t="shared" si="153"/>
        <v>140000</v>
      </c>
      <c r="S6630" s="456">
        <v>202303</v>
      </c>
      <c r="T6630" s="215" t="s">
        <v>8737</v>
      </c>
      <c r="U6630" s="488"/>
      <c r="V6630" s="458"/>
      <c r="W6630" s="458"/>
      <c r="X6630" s="466">
        <v>44866</v>
      </c>
      <c r="Y6630" s="466">
        <v>45230</v>
      </c>
    </row>
    <row r="6631" s="9" customFormat="1" customHeight="1" spans="1:25">
      <c r="A6631" s="492" t="s">
        <v>399</v>
      </c>
      <c r="B6631" s="446" t="s">
        <v>8192</v>
      </c>
      <c r="C6631" s="492" t="s">
        <v>110</v>
      </c>
      <c r="D6631" s="446" t="s">
        <v>6237</v>
      </c>
      <c r="E6631" s="23" t="s">
        <v>8600</v>
      </c>
      <c r="F6631" s="492" t="s">
        <v>8704</v>
      </c>
      <c r="G6631" s="493" t="s">
        <v>88</v>
      </c>
      <c r="H6631" s="100" t="s">
        <v>8615</v>
      </c>
      <c r="I6631" s="23" t="e">
        <f>VLOOKUP(H6631,'合同综合查询数据（3月返）'!$A:$A,1,FALSE)</f>
        <v>#N/A</v>
      </c>
      <c r="J6631" s="473" t="s">
        <v>90</v>
      </c>
      <c r="K6631" s="493" t="s">
        <v>5515</v>
      </c>
      <c r="L6631" s="493"/>
      <c r="M6631" s="449" t="s">
        <v>8629</v>
      </c>
      <c r="N6631" s="252">
        <v>44340</v>
      </c>
      <c r="O6631" s="493" t="s">
        <v>457</v>
      </c>
      <c r="P6631" s="359">
        <v>5600</v>
      </c>
      <c r="Q6631" s="494">
        <v>2</v>
      </c>
      <c r="R6631" s="495">
        <f t="shared" ref="R6631:R6694" si="154">ROUND(P6631*Q6631,2)</f>
        <v>11200</v>
      </c>
      <c r="S6631" s="456">
        <v>202303</v>
      </c>
      <c r="T6631" s="215" t="s">
        <v>8738</v>
      </c>
      <c r="U6631" s="488"/>
      <c r="V6631" s="458"/>
      <c r="W6631" s="458"/>
      <c r="X6631" s="466">
        <v>44866</v>
      </c>
      <c r="Y6631" s="466">
        <v>45230</v>
      </c>
    </row>
    <row r="6632" s="9" customFormat="1" customHeight="1" spans="1:25">
      <c r="A6632" s="492" t="s">
        <v>399</v>
      </c>
      <c r="B6632" s="446" t="s">
        <v>8192</v>
      </c>
      <c r="C6632" s="492" t="s">
        <v>110</v>
      </c>
      <c r="D6632" s="446" t="s">
        <v>6237</v>
      </c>
      <c r="E6632" s="23" t="s">
        <v>8600</v>
      </c>
      <c r="F6632" s="492" t="s">
        <v>8704</v>
      </c>
      <c r="G6632" s="493" t="s">
        <v>88</v>
      </c>
      <c r="H6632" s="100" t="s">
        <v>8615</v>
      </c>
      <c r="I6632" s="23" t="e">
        <f>VLOOKUP(H6632,'合同综合查询数据（3月返）'!$A:$A,1,FALSE)</f>
        <v>#N/A</v>
      </c>
      <c r="J6632" s="473" t="s">
        <v>90</v>
      </c>
      <c r="K6632" s="493" t="s">
        <v>5515</v>
      </c>
      <c r="L6632" s="493"/>
      <c r="M6632" s="449" t="s">
        <v>8629</v>
      </c>
      <c r="N6632" s="252">
        <v>44342</v>
      </c>
      <c r="O6632" s="493" t="s">
        <v>457</v>
      </c>
      <c r="P6632" s="359">
        <v>5600</v>
      </c>
      <c r="Q6632" s="494">
        <v>2</v>
      </c>
      <c r="R6632" s="495">
        <f t="shared" si="154"/>
        <v>11200</v>
      </c>
      <c r="S6632" s="456">
        <v>202303</v>
      </c>
      <c r="T6632" s="215" t="s">
        <v>8739</v>
      </c>
      <c r="U6632" s="488"/>
      <c r="V6632" s="458"/>
      <c r="W6632" s="458"/>
      <c r="X6632" s="466">
        <v>44866</v>
      </c>
      <c r="Y6632" s="466">
        <v>45230</v>
      </c>
    </row>
    <row r="6633" s="9" customFormat="1" customHeight="1" spans="1:25">
      <c r="A6633" s="492" t="s">
        <v>399</v>
      </c>
      <c r="B6633" s="446" t="s">
        <v>8192</v>
      </c>
      <c r="C6633" s="492" t="s">
        <v>110</v>
      </c>
      <c r="D6633" s="446" t="s">
        <v>6237</v>
      </c>
      <c r="E6633" s="23" t="s">
        <v>8600</v>
      </c>
      <c r="F6633" s="492" t="s">
        <v>8704</v>
      </c>
      <c r="G6633" s="493" t="s">
        <v>88</v>
      </c>
      <c r="H6633" s="100" t="s">
        <v>8615</v>
      </c>
      <c r="I6633" s="23" t="e">
        <f>VLOOKUP(H6633,'合同综合查询数据（3月返）'!$A:$A,1,FALSE)</f>
        <v>#N/A</v>
      </c>
      <c r="J6633" s="473" t="s">
        <v>90</v>
      </c>
      <c r="K6633" s="493" t="s">
        <v>5515</v>
      </c>
      <c r="L6633" s="493"/>
      <c r="M6633" s="449" t="s">
        <v>8629</v>
      </c>
      <c r="N6633" s="252">
        <v>44344</v>
      </c>
      <c r="O6633" s="493" t="s">
        <v>457</v>
      </c>
      <c r="P6633" s="359">
        <v>5600</v>
      </c>
      <c r="Q6633" s="494">
        <v>2</v>
      </c>
      <c r="R6633" s="495">
        <f t="shared" si="154"/>
        <v>11200</v>
      </c>
      <c r="S6633" s="456">
        <v>202303</v>
      </c>
      <c r="T6633" s="215" t="s">
        <v>8740</v>
      </c>
      <c r="U6633" s="488"/>
      <c r="V6633" s="458"/>
      <c r="W6633" s="458"/>
      <c r="X6633" s="466">
        <v>44866</v>
      </c>
      <c r="Y6633" s="466">
        <v>45230</v>
      </c>
    </row>
    <row r="6634" s="9" customFormat="1" customHeight="1" spans="1:25">
      <c r="A6634" s="492" t="s">
        <v>399</v>
      </c>
      <c r="B6634" s="446" t="s">
        <v>8192</v>
      </c>
      <c r="C6634" s="492" t="s">
        <v>110</v>
      </c>
      <c r="D6634" s="446" t="s">
        <v>6237</v>
      </c>
      <c r="E6634" s="23" t="s">
        <v>8600</v>
      </c>
      <c r="F6634" s="492" t="s">
        <v>8704</v>
      </c>
      <c r="G6634" s="493" t="s">
        <v>88</v>
      </c>
      <c r="H6634" s="100" t="s">
        <v>8615</v>
      </c>
      <c r="I6634" s="23" t="e">
        <f>VLOOKUP(H6634,'合同综合查询数据（3月返）'!$A:$A,1,FALSE)</f>
        <v>#N/A</v>
      </c>
      <c r="J6634" s="473" t="s">
        <v>90</v>
      </c>
      <c r="K6634" s="493" t="s">
        <v>5515</v>
      </c>
      <c r="L6634" s="493"/>
      <c r="M6634" s="449" t="s">
        <v>8629</v>
      </c>
      <c r="N6634" s="252">
        <v>44351</v>
      </c>
      <c r="O6634" s="493" t="s">
        <v>457</v>
      </c>
      <c r="P6634" s="359">
        <v>5600</v>
      </c>
      <c r="Q6634" s="494">
        <v>2</v>
      </c>
      <c r="R6634" s="495">
        <f t="shared" si="154"/>
        <v>11200</v>
      </c>
      <c r="S6634" s="456">
        <v>202303</v>
      </c>
      <c r="T6634" s="215" t="s">
        <v>8741</v>
      </c>
      <c r="U6634" s="488"/>
      <c r="V6634" s="458"/>
      <c r="W6634" s="458"/>
      <c r="X6634" s="466">
        <v>44866</v>
      </c>
      <c r="Y6634" s="466">
        <v>45230</v>
      </c>
    </row>
    <row r="6635" s="9" customFormat="1" customHeight="1" spans="1:25">
      <c r="A6635" s="492" t="s">
        <v>399</v>
      </c>
      <c r="B6635" s="446" t="s">
        <v>8192</v>
      </c>
      <c r="C6635" s="492" t="s">
        <v>110</v>
      </c>
      <c r="D6635" s="446" t="s">
        <v>6237</v>
      </c>
      <c r="E6635" s="23" t="s">
        <v>8600</v>
      </c>
      <c r="F6635" s="492" t="s">
        <v>8704</v>
      </c>
      <c r="G6635" s="493" t="s">
        <v>88</v>
      </c>
      <c r="H6635" s="100" t="s">
        <v>8615</v>
      </c>
      <c r="I6635" s="23" t="e">
        <f>VLOOKUP(H6635,'合同综合查询数据（3月返）'!$A:$A,1,FALSE)</f>
        <v>#N/A</v>
      </c>
      <c r="J6635" s="473" t="s">
        <v>90</v>
      </c>
      <c r="K6635" s="493" t="s">
        <v>5515</v>
      </c>
      <c r="L6635" s="493"/>
      <c r="M6635" s="449" t="s">
        <v>8629</v>
      </c>
      <c r="N6635" s="252">
        <v>44356</v>
      </c>
      <c r="O6635" s="493" t="s">
        <v>457</v>
      </c>
      <c r="P6635" s="359">
        <v>5600</v>
      </c>
      <c r="Q6635" s="494">
        <v>2</v>
      </c>
      <c r="R6635" s="495">
        <f t="shared" si="154"/>
        <v>11200</v>
      </c>
      <c r="S6635" s="456">
        <v>202303</v>
      </c>
      <c r="T6635" s="215" t="s">
        <v>8742</v>
      </c>
      <c r="U6635" s="488"/>
      <c r="V6635" s="458"/>
      <c r="W6635" s="458"/>
      <c r="X6635" s="466">
        <v>44866</v>
      </c>
      <c r="Y6635" s="466">
        <v>45230</v>
      </c>
    </row>
    <row r="6636" s="9" customFormat="1" customHeight="1" spans="1:25">
      <c r="A6636" s="492" t="s">
        <v>399</v>
      </c>
      <c r="B6636" s="446" t="s">
        <v>8192</v>
      </c>
      <c r="C6636" s="492" t="s">
        <v>110</v>
      </c>
      <c r="D6636" s="446" t="s">
        <v>6237</v>
      </c>
      <c r="E6636" s="23" t="s">
        <v>8600</v>
      </c>
      <c r="F6636" s="492" t="s">
        <v>8704</v>
      </c>
      <c r="G6636" s="493" t="s">
        <v>88</v>
      </c>
      <c r="H6636" s="100" t="s">
        <v>8615</v>
      </c>
      <c r="I6636" s="23" t="e">
        <f>VLOOKUP(H6636,'合同综合查询数据（3月返）'!$A:$A,1,FALSE)</f>
        <v>#N/A</v>
      </c>
      <c r="J6636" s="473" t="s">
        <v>90</v>
      </c>
      <c r="K6636" s="493" t="s">
        <v>5515</v>
      </c>
      <c r="L6636" s="493"/>
      <c r="M6636" s="449" t="s">
        <v>8629</v>
      </c>
      <c r="N6636" s="252">
        <v>44365</v>
      </c>
      <c r="O6636" s="493" t="s">
        <v>457</v>
      </c>
      <c r="P6636" s="359">
        <v>5600</v>
      </c>
      <c r="Q6636" s="494">
        <v>2</v>
      </c>
      <c r="R6636" s="495">
        <f t="shared" si="154"/>
        <v>11200</v>
      </c>
      <c r="S6636" s="456">
        <v>202303</v>
      </c>
      <c r="T6636" s="215" t="s">
        <v>8743</v>
      </c>
      <c r="U6636" s="488"/>
      <c r="V6636" s="458"/>
      <c r="W6636" s="458"/>
      <c r="X6636" s="466">
        <v>44866</v>
      </c>
      <c r="Y6636" s="466">
        <v>45230</v>
      </c>
    </row>
    <row r="6637" s="9" customFormat="1" customHeight="1" spans="1:25">
      <c r="A6637" s="492" t="s">
        <v>399</v>
      </c>
      <c r="B6637" s="446" t="s">
        <v>8192</v>
      </c>
      <c r="C6637" s="492" t="s">
        <v>110</v>
      </c>
      <c r="D6637" s="446" t="s">
        <v>6237</v>
      </c>
      <c r="E6637" s="23" t="s">
        <v>8600</v>
      </c>
      <c r="F6637" s="492" t="s">
        <v>8704</v>
      </c>
      <c r="G6637" s="493" t="s">
        <v>88</v>
      </c>
      <c r="H6637" s="100" t="s">
        <v>8615</v>
      </c>
      <c r="I6637" s="23" t="e">
        <f>VLOOKUP(H6637,'合同综合查询数据（3月返）'!$A:$A,1,FALSE)</f>
        <v>#N/A</v>
      </c>
      <c r="J6637" s="473" t="s">
        <v>90</v>
      </c>
      <c r="K6637" s="493" t="s">
        <v>5515</v>
      </c>
      <c r="L6637" s="493"/>
      <c r="M6637" s="449" t="s">
        <v>8629</v>
      </c>
      <c r="N6637" s="252">
        <v>44379</v>
      </c>
      <c r="O6637" s="493" t="s">
        <v>457</v>
      </c>
      <c r="P6637" s="359">
        <v>5600</v>
      </c>
      <c r="Q6637" s="494">
        <v>2</v>
      </c>
      <c r="R6637" s="495">
        <f t="shared" si="154"/>
        <v>11200</v>
      </c>
      <c r="S6637" s="456">
        <v>202303</v>
      </c>
      <c r="T6637" s="215" t="s">
        <v>8744</v>
      </c>
      <c r="U6637" s="488"/>
      <c r="V6637" s="458"/>
      <c r="W6637" s="458"/>
      <c r="X6637" s="466">
        <v>44866</v>
      </c>
      <c r="Y6637" s="466">
        <v>45230</v>
      </c>
    </row>
    <row r="6638" s="9" customFormat="1" customHeight="1" spans="1:25">
      <c r="A6638" s="492" t="s">
        <v>399</v>
      </c>
      <c r="B6638" s="446" t="s">
        <v>8192</v>
      </c>
      <c r="C6638" s="492" t="s">
        <v>110</v>
      </c>
      <c r="D6638" s="446" t="s">
        <v>6237</v>
      </c>
      <c r="E6638" s="23" t="s">
        <v>8600</v>
      </c>
      <c r="F6638" s="492" t="s">
        <v>8704</v>
      </c>
      <c r="G6638" s="493" t="s">
        <v>88</v>
      </c>
      <c r="H6638" s="100" t="s">
        <v>8615</v>
      </c>
      <c r="I6638" s="23" t="e">
        <f>VLOOKUP(H6638,'合同综合查询数据（3月返）'!$A:$A,1,FALSE)</f>
        <v>#N/A</v>
      </c>
      <c r="J6638" s="473" t="s">
        <v>90</v>
      </c>
      <c r="K6638" s="493" t="s">
        <v>5515</v>
      </c>
      <c r="L6638" s="493"/>
      <c r="M6638" s="449" t="s">
        <v>8629</v>
      </c>
      <c r="N6638" s="252">
        <v>44422</v>
      </c>
      <c r="O6638" s="493" t="s">
        <v>457</v>
      </c>
      <c r="P6638" s="359">
        <v>5600</v>
      </c>
      <c r="Q6638" s="494">
        <v>4</v>
      </c>
      <c r="R6638" s="495">
        <f t="shared" si="154"/>
        <v>22400</v>
      </c>
      <c r="S6638" s="456">
        <v>202303</v>
      </c>
      <c r="T6638" s="215" t="s">
        <v>8745</v>
      </c>
      <c r="U6638" s="488"/>
      <c r="V6638" s="458"/>
      <c r="W6638" s="458"/>
      <c r="X6638" s="466">
        <v>44866</v>
      </c>
      <c r="Y6638" s="466">
        <v>45230</v>
      </c>
    </row>
    <row r="6639" s="9" customFormat="1" customHeight="1" spans="1:25">
      <c r="A6639" s="492" t="s">
        <v>399</v>
      </c>
      <c r="B6639" s="446" t="s">
        <v>8192</v>
      </c>
      <c r="C6639" s="492" t="s">
        <v>110</v>
      </c>
      <c r="D6639" s="446" t="s">
        <v>6237</v>
      </c>
      <c r="E6639" s="23" t="s">
        <v>8600</v>
      </c>
      <c r="F6639" s="492" t="s">
        <v>8704</v>
      </c>
      <c r="G6639" s="493" t="s">
        <v>88</v>
      </c>
      <c r="H6639" s="100" t="s">
        <v>8615</v>
      </c>
      <c r="I6639" s="23" t="e">
        <f>VLOOKUP(H6639,'合同综合查询数据（3月返）'!$A:$A,1,FALSE)</f>
        <v>#N/A</v>
      </c>
      <c r="J6639" s="473" t="s">
        <v>90</v>
      </c>
      <c r="K6639" s="493" t="s">
        <v>5515</v>
      </c>
      <c r="L6639" s="493"/>
      <c r="M6639" s="449" t="s">
        <v>8629</v>
      </c>
      <c r="N6639" s="252">
        <v>44442</v>
      </c>
      <c r="O6639" s="493" t="s">
        <v>457</v>
      </c>
      <c r="P6639" s="359">
        <v>5600</v>
      </c>
      <c r="Q6639" s="494">
        <v>8</v>
      </c>
      <c r="R6639" s="495">
        <f t="shared" si="154"/>
        <v>44800</v>
      </c>
      <c r="S6639" s="456">
        <v>202303</v>
      </c>
      <c r="T6639" s="215" t="s">
        <v>8746</v>
      </c>
      <c r="U6639" s="488"/>
      <c r="V6639" s="458"/>
      <c r="W6639" s="458"/>
      <c r="X6639" s="466">
        <v>44866</v>
      </c>
      <c r="Y6639" s="466">
        <v>45230</v>
      </c>
    </row>
    <row r="6640" s="9" customFormat="1" customHeight="1" spans="1:25">
      <c r="A6640" s="492" t="s">
        <v>399</v>
      </c>
      <c r="B6640" s="446" t="s">
        <v>8192</v>
      </c>
      <c r="C6640" s="492" t="s">
        <v>110</v>
      </c>
      <c r="D6640" s="446" t="s">
        <v>6237</v>
      </c>
      <c r="E6640" s="23" t="s">
        <v>8600</v>
      </c>
      <c r="F6640" s="492" t="s">
        <v>8704</v>
      </c>
      <c r="G6640" s="493" t="s">
        <v>88</v>
      </c>
      <c r="H6640" s="100" t="s">
        <v>8615</v>
      </c>
      <c r="I6640" s="23" t="e">
        <f>VLOOKUP(H6640,'合同综合查询数据（3月返）'!$A:$A,1,FALSE)</f>
        <v>#N/A</v>
      </c>
      <c r="J6640" s="473" t="s">
        <v>90</v>
      </c>
      <c r="K6640" s="493" t="s">
        <v>5515</v>
      </c>
      <c r="L6640" s="493"/>
      <c r="M6640" s="449" t="s">
        <v>8629</v>
      </c>
      <c r="N6640" s="252">
        <v>44444</v>
      </c>
      <c r="O6640" s="493" t="s">
        <v>457</v>
      </c>
      <c r="P6640" s="359">
        <v>5600</v>
      </c>
      <c r="Q6640" s="494">
        <v>2</v>
      </c>
      <c r="R6640" s="495">
        <f t="shared" si="154"/>
        <v>11200</v>
      </c>
      <c r="S6640" s="456">
        <v>202303</v>
      </c>
      <c r="T6640" s="215" t="s">
        <v>8747</v>
      </c>
      <c r="U6640" s="488"/>
      <c r="V6640" s="458"/>
      <c r="W6640" s="458"/>
      <c r="X6640" s="466">
        <v>44866</v>
      </c>
      <c r="Y6640" s="466">
        <v>45230</v>
      </c>
    </row>
    <row r="6641" s="9" customFormat="1" customHeight="1" spans="1:25">
      <c r="A6641" s="492" t="s">
        <v>399</v>
      </c>
      <c r="B6641" s="446" t="s">
        <v>8192</v>
      </c>
      <c r="C6641" s="492" t="s">
        <v>110</v>
      </c>
      <c r="D6641" s="446" t="s">
        <v>6237</v>
      </c>
      <c r="E6641" s="23" t="s">
        <v>8600</v>
      </c>
      <c r="F6641" s="492" t="s">
        <v>8704</v>
      </c>
      <c r="G6641" s="493" t="s">
        <v>88</v>
      </c>
      <c r="H6641" s="100" t="s">
        <v>8615</v>
      </c>
      <c r="I6641" s="23" t="e">
        <f>VLOOKUP(H6641,'合同综合查询数据（3月返）'!$A:$A,1,FALSE)</f>
        <v>#N/A</v>
      </c>
      <c r="J6641" s="473" t="s">
        <v>90</v>
      </c>
      <c r="K6641" s="493" t="s">
        <v>5515</v>
      </c>
      <c r="L6641" s="493"/>
      <c r="M6641" s="449" t="s">
        <v>8715</v>
      </c>
      <c r="N6641" s="252">
        <v>44494</v>
      </c>
      <c r="O6641" s="493" t="s">
        <v>457</v>
      </c>
      <c r="P6641" s="359">
        <v>5600</v>
      </c>
      <c r="Q6641" s="494">
        <v>4</v>
      </c>
      <c r="R6641" s="495">
        <f t="shared" si="154"/>
        <v>22400</v>
      </c>
      <c r="S6641" s="456">
        <v>202303</v>
      </c>
      <c r="T6641" s="215" t="s">
        <v>8748</v>
      </c>
      <c r="U6641" s="488"/>
      <c r="V6641" s="458"/>
      <c r="W6641" s="458"/>
      <c r="X6641" s="466">
        <v>44866</v>
      </c>
      <c r="Y6641" s="466">
        <v>45230</v>
      </c>
    </row>
    <row r="6642" s="9" customFormat="1" customHeight="1" spans="1:25">
      <c r="A6642" s="492" t="s">
        <v>399</v>
      </c>
      <c r="B6642" s="446" t="s">
        <v>8192</v>
      </c>
      <c r="C6642" s="492" t="s">
        <v>110</v>
      </c>
      <c r="D6642" s="446" t="s">
        <v>6237</v>
      </c>
      <c r="E6642" s="23" t="s">
        <v>8600</v>
      </c>
      <c r="F6642" s="492" t="s">
        <v>8704</v>
      </c>
      <c r="G6642" s="493" t="s">
        <v>88</v>
      </c>
      <c r="H6642" s="100" t="s">
        <v>8615</v>
      </c>
      <c r="I6642" s="23" t="e">
        <f>VLOOKUP(H6642,'合同综合查询数据（3月返）'!$A:$A,1,FALSE)</f>
        <v>#N/A</v>
      </c>
      <c r="J6642" s="473" t="s">
        <v>90</v>
      </c>
      <c r="K6642" s="493" t="s">
        <v>5515</v>
      </c>
      <c r="L6642" s="493"/>
      <c r="M6642" s="449" t="s">
        <v>8629</v>
      </c>
      <c r="N6642" s="252">
        <v>44497</v>
      </c>
      <c r="O6642" s="493" t="s">
        <v>457</v>
      </c>
      <c r="P6642" s="359">
        <v>5600</v>
      </c>
      <c r="Q6642" s="494">
        <v>8</v>
      </c>
      <c r="R6642" s="495">
        <f t="shared" si="154"/>
        <v>44800</v>
      </c>
      <c r="S6642" s="456">
        <v>202303</v>
      </c>
      <c r="T6642" s="215" t="s">
        <v>8749</v>
      </c>
      <c r="U6642" s="488"/>
      <c r="V6642" s="458"/>
      <c r="W6642" s="458"/>
      <c r="X6642" s="466">
        <v>44866</v>
      </c>
      <c r="Y6642" s="466">
        <v>45230</v>
      </c>
    </row>
    <row r="6643" s="9" customFormat="1" customHeight="1" spans="1:25">
      <c r="A6643" s="492" t="s">
        <v>399</v>
      </c>
      <c r="B6643" s="446" t="s">
        <v>8192</v>
      </c>
      <c r="C6643" s="492" t="s">
        <v>110</v>
      </c>
      <c r="D6643" s="446" t="s">
        <v>6237</v>
      </c>
      <c r="E6643" s="23" t="s">
        <v>8600</v>
      </c>
      <c r="F6643" s="492" t="s">
        <v>8704</v>
      </c>
      <c r="G6643" s="493" t="s">
        <v>88</v>
      </c>
      <c r="H6643" s="100" t="s">
        <v>8615</v>
      </c>
      <c r="I6643" s="23" t="e">
        <f>VLOOKUP(H6643,'合同综合查询数据（3月返）'!$A:$A,1,FALSE)</f>
        <v>#N/A</v>
      </c>
      <c r="J6643" s="473" t="s">
        <v>90</v>
      </c>
      <c r="K6643" s="493" t="s">
        <v>5515</v>
      </c>
      <c r="L6643" s="493"/>
      <c r="M6643" s="449" t="s">
        <v>8629</v>
      </c>
      <c r="N6643" s="252">
        <v>44517</v>
      </c>
      <c r="O6643" s="493" t="s">
        <v>457</v>
      </c>
      <c r="P6643" s="359">
        <v>5600</v>
      </c>
      <c r="Q6643" s="494">
        <v>4</v>
      </c>
      <c r="R6643" s="495">
        <f t="shared" si="154"/>
        <v>22400</v>
      </c>
      <c r="S6643" s="456">
        <v>202303</v>
      </c>
      <c r="T6643" s="215" t="s">
        <v>8750</v>
      </c>
      <c r="U6643" s="488"/>
      <c r="V6643" s="458"/>
      <c r="W6643" s="458"/>
      <c r="X6643" s="466">
        <v>44866</v>
      </c>
      <c r="Y6643" s="466">
        <v>45230</v>
      </c>
    </row>
    <row r="6644" s="9" customFormat="1" customHeight="1" spans="1:25">
      <c r="A6644" s="492" t="s">
        <v>399</v>
      </c>
      <c r="B6644" s="446" t="s">
        <v>8192</v>
      </c>
      <c r="C6644" s="492" t="s">
        <v>110</v>
      </c>
      <c r="D6644" s="446" t="s">
        <v>6237</v>
      </c>
      <c r="E6644" s="23" t="s">
        <v>8600</v>
      </c>
      <c r="F6644" s="492" t="s">
        <v>8704</v>
      </c>
      <c r="G6644" s="493" t="s">
        <v>88</v>
      </c>
      <c r="H6644" s="100" t="s">
        <v>8615</v>
      </c>
      <c r="I6644" s="23" t="e">
        <f>VLOOKUP(H6644,'合同综合查询数据（3月返）'!$A:$A,1,FALSE)</f>
        <v>#N/A</v>
      </c>
      <c r="J6644" s="473" t="s">
        <v>90</v>
      </c>
      <c r="K6644" s="493" t="s">
        <v>5515</v>
      </c>
      <c r="L6644" s="493"/>
      <c r="M6644" s="449" t="s">
        <v>8629</v>
      </c>
      <c r="N6644" s="252">
        <v>44523</v>
      </c>
      <c r="O6644" s="493" t="s">
        <v>457</v>
      </c>
      <c r="P6644" s="359">
        <v>5600</v>
      </c>
      <c r="Q6644" s="494">
        <v>6</v>
      </c>
      <c r="R6644" s="495">
        <f t="shared" si="154"/>
        <v>33600</v>
      </c>
      <c r="S6644" s="456">
        <v>202303</v>
      </c>
      <c r="T6644" s="215" t="s">
        <v>8751</v>
      </c>
      <c r="U6644" s="488"/>
      <c r="V6644" s="458"/>
      <c r="W6644" s="458"/>
      <c r="X6644" s="466">
        <v>44866</v>
      </c>
      <c r="Y6644" s="466">
        <v>45230</v>
      </c>
    </row>
    <row r="6645" s="9" customFormat="1" customHeight="1" spans="1:25">
      <c r="A6645" s="492" t="s">
        <v>399</v>
      </c>
      <c r="B6645" s="446" t="s">
        <v>8192</v>
      </c>
      <c r="C6645" s="492" t="s">
        <v>110</v>
      </c>
      <c r="D6645" s="446" t="s">
        <v>6237</v>
      </c>
      <c r="E6645" s="23" t="s">
        <v>8600</v>
      </c>
      <c r="F6645" s="492" t="s">
        <v>8704</v>
      </c>
      <c r="G6645" s="493" t="s">
        <v>88</v>
      </c>
      <c r="H6645" s="100" t="s">
        <v>8615</v>
      </c>
      <c r="I6645" s="23" t="e">
        <f>VLOOKUP(H6645,'合同综合查询数据（3月返）'!$A:$A,1,FALSE)</f>
        <v>#N/A</v>
      </c>
      <c r="J6645" s="473" t="s">
        <v>90</v>
      </c>
      <c r="K6645" s="493" t="s">
        <v>5515</v>
      </c>
      <c r="L6645" s="493"/>
      <c r="M6645" s="449" t="s">
        <v>8629</v>
      </c>
      <c r="N6645" s="252">
        <v>44566</v>
      </c>
      <c r="O6645" s="493" t="s">
        <v>457</v>
      </c>
      <c r="P6645" s="359">
        <v>5600</v>
      </c>
      <c r="Q6645" s="494">
        <v>4</v>
      </c>
      <c r="R6645" s="495">
        <f t="shared" si="154"/>
        <v>22400</v>
      </c>
      <c r="S6645" s="456">
        <v>202303</v>
      </c>
      <c r="T6645" s="215" t="s">
        <v>8752</v>
      </c>
      <c r="U6645" s="488"/>
      <c r="V6645" s="458"/>
      <c r="W6645" s="458"/>
      <c r="X6645" s="466">
        <v>44866</v>
      </c>
      <c r="Y6645" s="466">
        <v>45230</v>
      </c>
    </row>
    <row r="6646" s="9" customFormat="1" customHeight="1" spans="1:25">
      <c r="A6646" s="492" t="s">
        <v>399</v>
      </c>
      <c r="B6646" s="446" t="s">
        <v>8192</v>
      </c>
      <c r="C6646" s="492" t="s">
        <v>110</v>
      </c>
      <c r="D6646" s="446" t="s">
        <v>6237</v>
      </c>
      <c r="E6646" s="23" t="s">
        <v>8600</v>
      </c>
      <c r="F6646" s="492" t="s">
        <v>8704</v>
      </c>
      <c r="G6646" s="493" t="s">
        <v>88</v>
      </c>
      <c r="H6646" s="100" t="s">
        <v>8615</v>
      </c>
      <c r="I6646" s="23" t="e">
        <f>VLOOKUP(H6646,'合同综合查询数据（3月返）'!$A:$A,1,FALSE)</f>
        <v>#N/A</v>
      </c>
      <c r="J6646" s="473" t="s">
        <v>90</v>
      </c>
      <c r="K6646" s="493" t="s">
        <v>5515</v>
      </c>
      <c r="L6646" s="493"/>
      <c r="M6646" s="449" t="s">
        <v>8629</v>
      </c>
      <c r="N6646" s="252">
        <v>44643</v>
      </c>
      <c r="O6646" s="493" t="s">
        <v>457</v>
      </c>
      <c r="P6646" s="359">
        <v>5600</v>
      </c>
      <c r="Q6646" s="494">
        <v>6</v>
      </c>
      <c r="R6646" s="495">
        <f t="shared" si="154"/>
        <v>33600</v>
      </c>
      <c r="S6646" s="456">
        <v>202303</v>
      </c>
      <c r="T6646" s="215" t="s">
        <v>8753</v>
      </c>
      <c r="U6646" s="488"/>
      <c r="V6646" s="458"/>
      <c r="W6646" s="458"/>
      <c r="X6646" s="466">
        <v>44866</v>
      </c>
      <c r="Y6646" s="466">
        <v>45230</v>
      </c>
    </row>
    <row r="6647" s="9" customFormat="1" customHeight="1" spans="1:25">
      <c r="A6647" s="492" t="s">
        <v>399</v>
      </c>
      <c r="B6647" s="446" t="s">
        <v>8192</v>
      </c>
      <c r="C6647" s="492" t="s">
        <v>110</v>
      </c>
      <c r="D6647" s="446" t="s">
        <v>6237</v>
      </c>
      <c r="E6647" s="23" t="s">
        <v>8600</v>
      </c>
      <c r="F6647" s="492" t="s">
        <v>8704</v>
      </c>
      <c r="G6647" s="493" t="s">
        <v>88</v>
      </c>
      <c r="H6647" s="100" t="s">
        <v>8615</v>
      </c>
      <c r="I6647" s="23" t="e">
        <f>VLOOKUP(H6647,'合同综合查询数据（3月返）'!$A:$A,1,FALSE)</f>
        <v>#N/A</v>
      </c>
      <c r="J6647" s="473" t="s">
        <v>90</v>
      </c>
      <c r="K6647" s="493" t="s">
        <v>5515</v>
      </c>
      <c r="L6647" s="493"/>
      <c r="M6647" s="449" t="s">
        <v>8629</v>
      </c>
      <c r="N6647" s="252">
        <v>44666</v>
      </c>
      <c r="O6647" s="493" t="s">
        <v>457</v>
      </c>
      <c r="P6647" s="359">
        <v>5600</v>
      </c>
      <c r="Q6647" s="494">
        <v>2</v>
      </c>
      <c r="R6647" s="495">
        <f t="shared" si="154"/>
        <v>11200</v>
      </c>
      <c r="S6647" s="456">
        <v>202303</v>
      </c>
      <c r="T6647" s="215" t="s">
        <v>8754</v>
      </c>
      <c r="U6647" s="488"/>
      <c r="V6647" s="458"/>
      <c r="W6647" s="458"/>
      <c r="X6647" s="466">
        <v>44866</v>
      </c>
      <c r="Y6647" s="466">
        <v>45230</v>
      </c>
    </row>
    <row r="6648" s="9" customFormat="1" customHeight="1" spans="1:25">
      <c r="A6648" s="492" t="s">
        <v>399</v>
      </c>
      <c r="B6648" s="446" t="s">
        <v>8192</v>
      </c>
      <c r="C6648" s="492" t="s">
        <v>110</v>
      </c>
      <c r="D6648" s="446" t="s">
        <v>6237</v>
      </c>
      <c r="E6648" s="23" t="s">
        <v>8600</v>
      </c>
      <c r="F6648" s="492" t="s">
        <v>8704</v>
      </c>
      <c r="G6648" s="493" t="s">
        <v>88</v>
      </c>
      <c r="H6648" s="100" t="s">
        <v>8615</v>
      </c>
      <c r="I6648" s="23" t="e">
        <f>VLOOKUP(H6648,'合同综合查询数据（3月返）'!$A:$A,1,FALSE)</f>
        <v>#N/A</v>
      </c>
      <c r="J6648" s="473" t="s">
        <v>90</v>
      </c>
      <c r="K6648" s="493" t="s">
        <v>5515</v>
      </c>
      <c r="L6648" s="493"/>
      <c r="M6648" s="449" t="s">
        <v>8629</v>
      </c>
      <c r="N6648" s="252">
        <v>44732</v>
      </c>
      <c r="O6648" s="493" t="s">
        <v>457</v>
      </c>
      <c r="P6648" s="359">
        <v>5600</v>
      </c>
      <c r="Q6648" s="494">
        <v>1</v>
      </c>
      <c r="R6648" s="495">
        <f t="shared" si="154"/>
        <v>5600</v>
      </c>
      <c r="S6648" s="456">
        <v>202303</v>
      </c>
      <c r="T6648" s="215" t="s">
        <v>8755</v>
      </c>
      <c r="U6648" s="488"/>
      <c r="V6648" s="458"/>
      <c r="W6648" s="458"/>
      <c r="X6648" s="466">
        <v>44866</v>
      </c>
      <c r="Y6648" s="466">
        <v>45230</v>
      </c>
    </row>
    <row r="6649" s="9" customFormat="1" customHeight="1" spans="1:25">
      <c r="A6649" s="492" t="s">
        <v>399</v>
      </c>
      <c r="B6649" s="446" t="s">
        <v>8192</v>
      </c>
      <c r="C6649" s="492" t="s">
        <v>110</v>
      </c>
      <c r="D6649" s="446" t="s">
        <v>6237</v>
      </c>
      <c r="E6649" s="23" t="s">
        <v>8600</v>
      </c>
      <c r="F6649" s="492" t="s">
        <v>8704</v>
      </c>
      <c r="G6649" s="493" t="s">
        <v>88</v>
      </c>
      <c r="H6649" s="100" t="s">
        <v>8615</v>
      </c>
      <c r="I6649" s="23" t="e">
        <f>VLOOKUP(H6649,'合同综合查询数据（3月返）'!$A:$A,1,FALSE)</f>
        <v>#N/A</v>
      </c>
      <c r="J6649" s="473" t="s">
        <v>90</v>
      </c>
      <c r="K6649" s="493" t="s">
        <v>5515</v>
      </c>
      <c r="L6649" s="493"/>
      <c r="M6649" s="449" t="s">
        <v>8629</v>
      </c>
      <c r="N6649" s="252">
        <v>44924</v>
      </c>
      <c r="O6649" s="493" t="s">
        <v>457</v>
      </c>
      <c r="P6649" s="359">
        <v>5600</v>
      </c>
      <c r="Q6649" s="494">
        <v>-2</v>
      </c>
      <c r="R6649" s="495">
        <f t="shared" si="154"/>
        <v>-11200</v>
      </c>
      <c r="S6649" s="456">
        <v>202303</v>
      </c>
      <c r="T6649" s="215" t="s">
        <v>8756</v>
      </c>
      <c r="U6649" s="488"/>
      <c r="V6649" s="458"/>
      <c r="W6649" s="458"/>
      <c r="X6649" s="466">
        <v>44866</v>
      </c>
      <c r="Y6649" s="466">
        <v>45230</v>
      </c>
    </row>
    <row r="6650" s="10" customFormat="1" customHeight="1" spans="1:25">
      <c r="A6650" s="481" t="s">
        <v>399</v>
      </c>
      <c r="B6650" s="459" t="s">
        <v>8192</v>
      </c>
      <c r="C6650" s="481" t="s">
        <v>110</v>
      </c>
      <c r="D6650" s="459" t="s">
        <v>6237</v>
      </c>
      <c r="E6650" s="47" t="s">
        <v>8757</v>
      </c>
      <c r="F6650" s="481" t="s">
        <v>8704</v>
      </c>
      <c r="G6650" s="441" t="s">
        <v>31</v>
      </c>
      <c r="H6650" s="137" t="s">
        <v>8758</v>
      </c>
      <c r="I6650" s="47" t="e">
        <f>VLOOKUP(H6650,'合同综合查询数据（3月返）'!$A:$A,1,FALSE)</f>
        <v>#N/A</v>
      </c>
      <c r="J6650" s="484" t="s">
        <v>7517</v>
      </c>
      <c r="K6650" s="441" t="s">
        <v>5515</v>
      </c>
      <c r="L6650" s="441"/>
      <c r="M6650" s="429" t="s">
        <v>8629</v>
      </c>
      <c r="N6650" s="430">
        <v>43891</v>
      </c>
      <c r="O6650" s="441"/>
      <c r="P6650" s="485">
        <v>5000</v>
      </c>
      <c r="Q6650" s="485">
        <v>2</v>
      </c>
      <c r="R6650" s="490">
        <f t="shared" si="154"/>
        <v>10000</v>
      </c>
      <c r="S6650" s="434">
        <v>202303</v>
      </c>
      <c r="T6650" s="167" t="s">
        <v>8759</v>
      </c>
      <c r="U6650" s="436"/>
      <c r="V6650" s="437"/>
      <c r="W6650" s="437"/>
      <c r="X6650" s="442">
        <v>43891</v>
      </c>
      <c r="Y6650" s="442"/>
    </row>
    <row r="6651" s="10" customFormat="1" customHeight="1" spans="1:25">
      <c r="A6651" s="481" t="s">
        <v>399</v>
      </c>
      <c r="B6651" s="459" t="s">
        <v>8192</v>
      </c>
      <c r="C6651" s="481" t="s">
        <v>110</v>
      </c>
      <c r="D6651" s="459" t="s">
        <v>6237</v>
      </c>
      <c r="E6651" s="47" t="s">
        <v>8600</v>
      </c>
      <c r="F6651" s="481" t="s">
        <v>8704</v>
      </c>
      <c r="G6651" s="441" t="s">
        <v>31</v>
      </c>
      <c r="H6651" s="137" t="s">
        <v>8760</v>
      </c>
      <c r="I6651" s="47" t="e">
        <f>VLOOKUP(H6651,'合同综合查询数据（3月返）'!$A:$A,1,FALSE)</f>
        <v>#N/A</v>
      </c>
      <c r="J6651" s="424" t="s">
        <v>7564</v>
      </c>
      <c r="K6651" s="441" t="s">
        <v>8761</v>
      </c>
      <c r="L6651" s="441"/>
      <c r="M6651" s="429" t="s">
        <v>8629</v>
      </c>
      <c r="N6651" s="430" t="s">
        <v>8762</v>
      </c>
      <c r="O6651" s="441"/>
      <c r="P6651" s="485">
        <v>0</v>
      </c>
      <c r="Q6651" s="485">
        <v>1152</v>
      </c>
      <c r="R6651" s="490">
        <f t="shared" si="154"/>
        <v>0</v>
      </c>
      <c r="S6651" s="434">
        <v>202303</v>
      </c>
      <c r="T6651" s="505" t="s">
        <v>8763</v>
      </c>
      <c r="U6651" s="436"/>
      <c r="V6651" s="437"/>
      <c r="W6651" s="437"/>
      <c r="X6651" s="163">
        <v>44927</v>
      </c>
      <c r="Y6651" s="468"/>
    </row>
    <row r="6652" s="10" customFormat="1" customHeight="1" spans="1:25">
      <c r="A6652" s="481" t="s">
        <v>399</v>
      </c>
      <c r="B6652" s="459" t="s">
        <v>8192</v>
      </c>
      <c r="C6652" s="481" t="s">
        <v>110</v>
      </c>
      <c r="D6652" s="459" t="s">
        <v>6237</v>
      </c>
      <c r="E6652" s="47" t="s">
        <v>8600</v>
      </c>
      <c r="F6652" s="481" t="s">
        <v>8704</v>
      </c>
      <c r="G6652" s="441" t="s">
        <v>31</v>
      </c>
      <c r="H6652" s="137" t="s">
        <v>8760</v>
      </c>
      <c r="I6652" s="47" t="e">
        <f>VLOOKUP(H6652,'合同综合查询数据（3月返）'!$A:$A,1,FALSE)</f>
        <v>#N/A</v>
      </c>
      <c r="J6652" s="424" t="s">
        <v>7580</v>
      </c>
      <c r="K6652" s="441" t="s">
        <v>8764</v>
      </c>
      <c r="L6652" s="441"/>
      <c r="M6652" s="429" t="s">
        <v>8629</v>
      </c>
      <c r="N6652" s="430" t="s">
        <v>8762</v>
      </c>
      <c r="O6652" s="441"/>
      <c r="P6652" s="485">
        <v>0</v>
      </c>
      <c r="Q6652" s="485">
        <v>128</v>
      </c>
      <c r="R6652" s="490">
        <f t="shared" si="154"/>
        <v>0</v>
      </c>
      <c r="S6652" s="434">
        <v>202303</v>
      </c>
      <c r="T6652" s="505" t="s">
        <v>8765</v>
      </c>
      <c r="U6652" s="436"/>
      <c r="V6652" s="437"/>
      <c r="W6652" s="437"/>
      <c r="X6652" s="163">
        <v>44927</v>
      </c>
      <c r="Y6652" s="468"/>
    </row>
    <row r="6653" s="10" customFormat="1" customHeight="1" spans="1:25">
      <c r="A6653" s="481" t="s">
        <v>399</v>
      </c>
      <c r="B6653" s="459" t="s">
        <v>8192</v>
      </c>
      <c r="C6653" s="481" t="s">
        <v>110</v>
      </c>
      <c r="D6653" s="459" t="s">
        <v>6237</v>
      </c>
      <c r="E6653" s="47" t="s">
        <v>8600</v>
      </c>
      <c r="F6653" s="481" t="s">
        <v>8704</v>
      </c>
      <c r="G6653" s="441" t="s">
        <v>31</v>
      </c>
      <c r="H6653" s="137" t="s">
        <v>8760</v>
      </c>
      <c r="I6653" s="47" t="e">
        <f>VLOOKUP(H6653,'合同综合查询数据（3月返）'!$A:$A,1,FALSE)</f>
        <v>#N/A</v>
      </c>
      <c r="J6653" s="424" t="s">
        <v>7580</v>
      </c>
      <c r="K6653" s="441" t="s">
        <v>5515</v>
      </c>
      <c r="L6653" s="441"/>
      <c r="M6653" s="429" t="s">
        <v>8629</v>
      </c>
      <c r="N6653" s="430" t="s">
        <v>1225</v>
      </c>
      <c r="O6653" s="441"/>
      <c r="P6653" s="485">
        <v>0</v>
      </c>
      <c r="Q6653" s="485">
        <v>512</v>
      </c>
      <c r="R6653" s="490">
        <f t="shared" si="154"/>
        <v>0</v>
      </c>
      <c r="S6653" s="434">
        <v>202303</v>
      </c>
      <c r="T6653" s="167" t="s">
        <v>8766</v>
      </c>
      <c r="U6653" s="436"/>
      <c r="V6653" s="437"/>
      <c r="W6653" s="437"/>
      <c r="X6653" s="163">
        <v>44927</v>
      </c>
      <c r="Y6653" s="468"/>
    </row>
    <row r="6654" s="10" customFormat="1" customHeight="1" spans="1:25">
      <c r="A6654" s="481" t="s">
        <v>399</v>
      </c>
      <c r="B6654" s="459" t="s">
        <v>8192</v>
      </c>
      <c r="C6654" s="481" t="s">
        <v>110</v>
      </c>
      <c r="D6654" s="459" t="s">
        <v>6237</v>
      </c>
      <c r="E6654" s="47" t="s">
        <v>8600</v>
      </c>
      <c r="F6654" s="481" t="s">
        <v>8704</v>
      </c>
      <c r="G6654" s="441" t="s">
        <v>31</v>
      </c>
      <c r="H6654" s="137" t="s">
        <v>8760</v>
      </c>
      <c r="I6654" s="47" t="e">
        <f>VLOOKUP(H6654,'合同综合查询数据（3月返）'!$A:$A,1,FALSE)</f>
        <v>#N/A</v>
      </c>
      <c r="J6654" s="424" t="s">
        <v>889</v>
      </c>
      <c r="K6654" s="441" t="s">
        <v>5515</v>
      </c>
      <c r="L6654" s="441"/>
      <c r="M6654" s="429" t="s">
        <v>8629</v>
      </c>
      <c r="N6654" s="430">
        <v>44215</v>
      </c>
      <c r="O6654" s="441"/>
      <c r="P6654" s="485">
        <v>0</v>
      </c>
      <c r="Q6654" s="485">
        <v>512</v>
      </c>
      <c r="R6654" s="490">
        <f t="shared" si="154"/>
        <v>0</v>
      </c>
      <c r="S6654" s="434">
        <v>202303</v>
      </c>
      <c r="T6654" s="167" t="s">
        <v>8767</v>
      </c>
      <c r="U6654" s="436"/>
      <c r="V6654" s="437"/>
      <c r="W6654" s="437"/>
      <c r="X6654" s="163">
        <v>44927</v>
      </c>
      <c r="Y6654" s="468"/>
    </row>
    <row r="6655" s="10" customFormat="1" customHeight="1" spans="1:25">
      <c r="A6655" s="481" t="s">
        <v>399</v>
      </c>
      <c r="B6655" s="459" t="s">
        <v>8192</v>
      </c>
      <c r="C6655" s="481" t="s">
        <v>110</v>
      </c>
      <c r="D6655" s="459" t="s">
        <v>6237</v>
      </c>
      <c r="E6655" s="47" t="s">
        <v>8600</v>
      </c>
      <c r="F6655" s="481" t="s">
        <v>8704</v>
      </c>
      <c r="G6655" s="441" t="s">
        <v>31</v>
      </c>
      <c r="H6655" s="137" t="s">
        <v>8760</v>
      </c>
      <c r="I6655" s="47" t="e">
        <f>VLOOKUP(H6655,'合同综合查询数据（3月返）'!$A:$A,1,FALSE)</f>
        <v>#N/A</v>
      </c>
      <c r="J6655" s="424" t="s">
        <v>8541</v>
      </c>
      <c r="K6655" s="441" t="s">
        <v>5515</v>
      </c>
      <c r="L6655" s="441"/>
      <c r="M6655" s="429" t="s">
        <v>8629</v>
      </c>
      <c r="N6655" s="430">
        <v>44215</v>
      </c>
      <c r="O6655" s="441"/>
      <c r="P6655" s="485">
        <v>0</v>
      </c>
      <c r="Q6655" s="485">
        <v>512</v>
      </c>
      <c r="R6655" s="490">
        <f t="shared" si="154"/>
        <v>0</v>
      </c>
      <c r="S6655" s="434">
        <v>202303</v>
      </c>
      <c r="T6655" s="167" t="s">
        <v>8768</v>
      </c>
      <c r="U6655" s="436"/>
      <c r="V6655" s="437"/>
      <c r="W6655" s="437"/>
      <c r="X6655" s="163">
        <v>44927</v>
      </c>
      <c r="Y6655" s="468"/>
    </row>
    <row r="6656" s="10" customFormat="1" customHeight="1" spans="1:25">
      <c r="A6656" s="481" t="s">
        <v>399</v>
      </c>
      <c r="B6656" s="459" t="s">
        <v>8192</v>
      </c>
      <c r="C6656" s="481" t="s">
        <v>110</v>
      </c>
      <c r="D6656" s="459" t="s">
        <v>6237</v>
      </c>
      <c r="E6656" s="500" t="s">
        <v>8600</v>
      </c>
      <c r="F6656" s="62" t="s">
        <v>8704</v>
      </c>
      <c r="G6656" s="441" t="s">
        <v>31</v>
      </c>
      <c r="H6656" s="137" t="s">
        <v>8760</v>
      </c>
      <c r="I6656" s="47" t="e">
        <f>VLOOKUP(H6656,'合同综合查询数据（3月返）'!$A:$A,1,FALSE)</f>
        <v>#N/A</v>
      </c>
      <c r="J6656" s="62" t="s">
        <v>7564</v>
      </c>
      <c r="K6656" s="441" t="s">
        <v>8769</v>
      </c>
      <c r="L6656" s="441" t="s">
        <v>8620</v>
      </c>
      <c r="M6656" s="429"/>
      <c r="N6656" s="442">
        <v>44295</v>
      </c>
      <c r="O6656" s="441" t="s">
        <v>37</v>
      </c>
      <c r="P6656" s="485">
        <v>0</v>
      </c>
      <c r="Q6656" s="485">
        <v>128</v>
      </c>
      <c r="R6656" s="490">
        <f t="shared" si="154"/>
        <v>0</v>
      </c>
      <c r="S6656" s="434">
        <v>202303</v>
      </c>
      <c r="T6656" s="139" t="s">
        <v>8770</v>
      </c>
      <c r="U6656" s="504"/>
      <c r="V6656" s="506"/>
      <c r="W6656" s="506"/>
      <c r="X6656" s="163">
        <v>44927</v>
      </c>
      <c r="Y6656" s="468"/>
    </row>
    <row r="6657" s="10" customFormat="1" customHeight="1" spans="1:25">
      <c r="A6657" s="481" t="s">
        <v>399</v>
      </c>
      <c r="B6657" s="459" t="s">
        <v>8192</v>
      </c>
      <c r="C6657" s="481" t="s">
        <v>110</v>
      </c>
      <c r="D6657" s="459" t="s">
        <v>6237</v>
      </c>
      <c r="E6657" s="500" t="s">
        <v>8600</v>
      </c>
      <c r="F6657" s="62" t="s">
        <v>8704</v>
      </c>
      <c r="G6657" s="441" t="s">
        <v>88</v>
      </c>
      <c r="H6657" s="137" t="s">
        <v>8760</v>
      </c>
      <c r="I6657" s="47" t="e">
        <f>VLOOKUP(H6657,'合同综合查询数据（3月返）'!$A:$A,1,FALSE)</f>
        <v>#N/A</v>
      </c>
      <c r="J6657" s="62" t="s">
        <v>126</v>
      </c>
      <c r="K6657" s="441"/>
      <c r="L6657" s="441" t="s">
        <v>8620</v>
      </c>
      <c r="M6657" s="429" t="s">
        <v>8617</v>
      </c>
      <c r="N6657" s="442">
        <v>44478</v>
      </c>
      <c r="O6657" s="441" t="s">
        <v>457</v>
      </c>
      <c r="P6657" s="485">
        <v>5500</v>
      </c>
      <c r="Q6657" s="485">
        <v>1</v>
      </c>
      <c r="R6657" s="490">
        <f t="shared" si="154"/>
        <v>5500</v>
      </c>
      <c r="S6657" s="434">
        <v>202303</v>
      </c>
      <c r="T6657" s="139" t="s">
        <v>8771</v>
      </c>
      <c r="U6657" s="504"/>
      <c r="V6657" s="506"/>
      <c r="W6657" s="506"/>
      <c r="X6657" s="163">
        <v>44927</v>
      </c>
      <c r="Y6657" s="468"/>
    </row>
    <row r="6658" s="10" customFormat="1" customHeight="1" spans="1:25">
      <c r="A6658" s="481" t="s">
        <v>399</v>
      </c>
      <c r="B6658" s="459" t="s">
        <v>8192</v>
      </c>
      <c r="C6658" s="481" t="s">
        <v>110</v>
      </c>
      <c r="D6658" s="459" t="s">
        <v>6237</v>
      </c>
      <c r="E6658" s="500" t="s">
        <v>8600</v>
      </c>
      <c r="F6658" s="62" t="s">
        <v>8704</v>
      </c>
      <c r="G6658" s="441" t="s">
        <v>31</v>
      </c>
      <c r="H6658" s="137" t="s">
        <v>8772</v>
      </c>
      <c r="I6658" s="47" t="e">
        <f>VLOOKUP(H6658,'合同综合查询数据（3月返）'!$A:$A,1,FALSE)</f>
        <v>#N/A</v>
      </c>
      <c r="J6658" s="62" t="s">
        <v>7564</v>
      </c>
      <c r="K6658" s="441" t="s">
        <v>8769</v>
      </c>
      <c r="L6658" s="441" t="s">
        <v>8620</v>
      </c>
      <c r="M6658" s="429"/>
      <c r="N6658" s="442">
        <v>44694</v>
      </c>
      <c r="O6658" s="441" t="s">
        <v>37</v>
      </c>
      <c r="P6658" s="485">
        <v>0</v>
      </c>
      <c r="Q6658" s="485">
        <v>128</v>
      </c>
      <c r="R6658" s="490">
        <f t="shared" si="154"/>
        <v>0</v>
      </c>
      <c r="S6658" s="434">
        <v>202303</v>
      </c>
      <c r="T6658" s="139" t="s">
        <v>8773</v>
      </c>
      <c r="U6658" s="504"/>
      <c r="V6658" s="506"/>
      <c r="W6658" s="506"/>
      <c r="X6658" s="163">
        <v>44694</v>
      </c>
      <c r="Y6658" s="163"/>
    </row>
    <row r="6659" s="10" customFormat="1" customHeight="1" spans="1:25">
      <c r="A6659" s="481" t="s">
        <v>399</v>
      </c>
      <c r="B6659" s="459" t="s">
        <v>8192</v>
      </c>
      <c r="C6659" s="481" t="s">
        <v>110</v>
      </c>
      <c r="D6659" s="459" t="s">
        <v>6237</v>
      </c>
      <c r="E6659" s="500" t="s">
        <v>8600</v>
      </c>
      <c r="F6659" s="62" t="s">
        <v>8704</v>
      </c>
      <c r="G6659" s="441" t="s">
        <v>88</v>
      </c>
      <c r="H6659" s="137" t="s">
        <v>8772</v>
      </c>
      <c r="I6659" s="47" t="e">
        <f>VLOOKUP(H6659,'合同综合查询数据（3月返）'!$A:$A,1,FALSE)</f>
        <v>#N/A</v>
      </c>
      <c r="J6659" s="62" t="s">
        <v>126</v>
      </c>
      <c r="K6659" s="441"/>
      <c r="L6659" s="441" t="s">
        <v>8620</v>
      </c>
      <c r="M6659" s="429" t="s">
        <v>8617</v>
      </c>
      <c r="N6659" s="442">
        <v>44694</v>
      </c>
      <c r="O6659" s="441" t="s">
        <v>457</v>
      </c>
      <c r="P6659" s="485">
        <v>5500</v>
      </c>
      <c r="Q6659" s="485">
        <v>4</v>
      </c>
      <c r="R6659" s="490">
        <f t="shared" si="154"/>
        <v>22000</v>
      </c>
      <c r="S6659" s="434">
        <v>202303</v>
      </c>
      <c r="T6659" s="139" t="s">
        <v>8774</v>
      </c>
      <c r="U6659" s="504"/>
      <c r="V6659" s="506"/>
      <c r="W6659" s="506"/>
      <c r="X6659" s="163">
        <v>44694</v>
      </c>
      <c r="Y6659" s="163"/>
    </row>
    <row r="6660" s="10" customFormat="1" customHeight="1" spans="1:25">
      <c r="A6660" s="481" t="s">
        <v>399</v>
      </c>
      <c r="B6660" s="459" t="s">
        <v>8192</v>
      </c>
      <c r="C6660" s="481" t="s">
        <v>110</v>
      </c>
      <c r="D6660" s="459" t="s">
        <v>6237</v>
      </c>
      <c r="E6660" s="500" t="s">
        <v>8600</v>
      </c>
      <c r="F6660" s="62" t="s">
        <v>8704</v>
      </c>
      <c r="G6660" s="441" t="s">
        <v>31</v>
      </c>
      <c r="H6660" s="137" t="s">
        <v>8760</v>
      </c>
      <c r="I6660" s="47" t="e">
        <f>VLOOKUP(H6660,'合同综合查询数据（3月返）'!$A:$A,1,FALSE)</f>
        <v>#N/A</v>
      </c>
      <c r="J6660" s="62" t="s">
        <v>7580</v>
      </c>
      <c r="K6660" s="441" t="s">
        <v>8764</v>
      </c>
      <c r="L6660" s="441" t="s">
        <v>8775</v>
      </c>
      <c r="M6660" s="429"/>
      <c r="N6660" s="442">
        <v>44470</v>
      </c>
      <c r="O6660" s="441" t="s">
        <v>37</v>
      </c>
      <c r="P6660" s="485">
        <v>0</v>
      </c>
      <c r="Q6660" s="485">
        <v>1024</v>
      </c>
      <c r="R6660" s="490">
        <f t="shared" si="154"/>
        <v>0</v>
      </c>
      <c r="S6660" s="434">
        <v>202303</v>
      </c>
      <c r="T6660" s="139" t="s">
        <v>8776</v>
      </c>
      <c r="U6660" s="504"/>
      <c r="V6660" s="506"/>
      <c r="W6660" s="506"/>
      <c r="X6660" s="163">
        <v>44927</v>
      </c>
      <c r="Y6660" s="468"/>
    </row>
    <row r="6661" s="10" customFormat="1" customHeight="1" spans="1:25">
      <c r="A6661" s="481" t="s">
        <v>399</v>
      </c>
      <c r="B6661" s="459" t="s">
        <v>8192</v>
      </c>
      <c r="C6661" s="481" t="s">
        <v>110</v>
      </c>
      <c r="D6661" s="459" t="s">
        <v>6237</v>
      </c>
      <c r="E6661" s="47" t="s">
        <v>8757</v>
      </c>
      <c r="F6661" s="481" t="s">
        <v>8704</v>
      </c>
      <c r="G6661" s="441" t="s">
        <v>31</v>
      </c>
      <c r="H6661" s="102" t="s">
        <v>8777</v>
      </c>
      <c r="I6661" s="47" t="e">
        <f>VLOOKUP(H6661,'合同综合查询数据（3月返）'!$A:$A,1,FALSE)</f>
        <v>#N/A</v>
      </c>
      <c r="J6661" s="484" t="s">
        <v>7517</v>
      </c>
      <c r="K6661" s="441" t="s">
        <v>5515</v>
      </c>
      <c r="L6661" s="441"/>
      <c r="M6661" s="429" t="s">
        <v>8629</v>
      </c>
      <c r="N6661" s="430">
        <v>44013</v>
      </c>
      <c r="O6661" s="441"/>
      <c r="P6661" s="485">
        <v>10</v>
      </c>
      <c r="Q6661" s="485">
        <v>1024</v>
      </c>
      <c r="R6661" s="490">
        <f t="shared" si="154"/>
        <v>10240</v>
      </c>
      <c r="S6661" s="434">
        <v>202303</v>
      </c>
      <c r="T6661" s="167" t="s">
        <v>8778</v>
      </c>
      <c r="U6661" s="436"/>
      <c r="V6661" s="437"/>
      <c r="W6661" s="437"/>
      <c r="X6661" s="111">
        <v>44013</v>
      </c>
      <c r="Y6661" s="510"/>
    </row>
    <row r="6662" s="9" customFormat="1" customHeight="1" spans="1:25">
      <c r="A6662" s="492" t="s">
        <v>401</v>
      </c>
      <c r="B6662" s="446" t="s">
        <v>8192</v>
      </c>
      <c r="C6662" s="492" t="s">
        <v>110</v>
      </c>
      <c r="D6662" s="446" t="s">
        <v>6237</v>
      </c>
      <c r="E6662" s="499" t="s">
        <v>8532</v>
      </c>
      <c r="F6662" s="94" t="s">
        <v>8533</v>
      </c>
      <c r="G6662" s="493" t="s">
        <v>88</v>
      </c>
      <c r="H6662" s="100" t="s">
        <v>8779</v>
      </c>
      <c r="I6662" s="23" t="e">
        <f>VLOOKUP(H6662,'合同综合查询数据（3月返）'!$A:$A,1,FALSE)</f>
        <v>#N/A</v>
      </c>
      <c r="J6662" s="473" t="s">
        <v>90</v>
      </c>
      <c r="K6662" s="493"/>
      <c r="L6662" s="493"/>
      <c r="M6662" s="449" t="s">
        <v>8780</v>
      </c>
      <c r="N6662" s="252">
        <v>44136</v>
      </c>
      <c r="O6662" s="493" t="s">
        <v>461</v>
      </c>
      <c r="P6662" s="494">
        <v>5150</v>
      </c>
      <c r="Q6662" s="494">
        <v>246</v>
      </c>
      <c r="R6662" s="495">
        <f t="shared" si="154"/>
        <v>1266900</v>
      </c>
      <c r="S6662" s="456">
        <v>202303</v>
      </c>
      <c r="T6662" s="215" t="s">
        <v>8781</v>
      </c>
      <c r="U6662" s="488"/>
      <c r="V6662" s="458"/>
      <c r="W6662" s="458"/>
      <c r="X6662" s="106">
        <v>44136</v>
      </c>
      <c r="Y6662" s="491">
        <v>45230</v>
      </c>
    </row>
    <row r="6663" s="9" customFormat="1" customHeight="1" spans="1:25">
      <c r="A6663" s="492" t="s">
        <v>401</v>
      </c>
      <c r="B6663" s="446" t="s">
        <v>8192</v>
      </c>
      <c r="C6663" s="492" t="s">
        <v>110</v>
      </c>
      <c r="D6663" s="446" t="s">
        <v>6237</v>
      </c>
      <c r="E6663" s="499" t="s">
        <v>8532</v>
      </c>
      <c r="F6663" s="94" t="s">
        <v>8533</v>
      </c>
      <c r="G6663" s="493" t="s">
        <v>88</v>
      </c>
      <c r="H6663" s="100" t="s">
        <v>8779</v>
      </c>
      <c r="I6663" s="23" t="e">
        <f>VLOOKUP(H6663,'合同综合查询数据（3月返）'!$A:$A,1,FALSE)</f>
        <v>#N/A</v>
      </c>
      <c r="J6663" s="473" t="s">
        <v>90</v>
      </c>
      <c r="K6663" s="493"/>
      <c r="L6663" s="493"/>
      <c r="M6663" s="449" t="s">
        <v>8780</v>
      </c>
      <c r="N6663" s="252">
        <v>44348</v>
      </c>
      <c r="O6663" s="493" t="s">
        <v>461</v>
      </c>
      <c r="P6663" s="494">
        <v>5150</v>
      </c>
      <c r="Q6663" s="494">
        <v>6</v>
      </c>
      <c r="R6663" s="495">
        <f t="shared" si="154"/>
        <v>30900</v>
      </c>
      <c r="S6663" s="456">
        <v>202303</v>
      </c>
      <c r="T6663" s="215" t="s">
        <v>8782</v>
      </c>
      <c r="U6663" s="488"/>
      <c r="V6663" s="458"/>
      <c r="W6663" s="458"/>
      <c r="X6663" s="106">
        <v>44136</v>
      </c>
      <c r="Y6663" s="491">
        <v>45230</v>
      </c>
    </row>
    <row r="6664" s="9" customFormat="1" customHeight="1" spans="1:25">
      <c r="A6664" s="492" t="s">
        <v>401</v>
      </c>
      <c r="B6664" s="446" t="s">
        <v>8192</v>
      </c>
      <c r="C6664" s="492" t="s">
        <v>110</v>
      </c>
      <c r="D6664" s="446" t="s">
        <v>6237</v>
      </c>
      <c r="E6664" s="499" t="s">
        <v>8532</v>
      </c>
      <c r="F6664" s="94" t="s">
        <v>8533</v>
      </c>
      <c r="G6664" s="493" t="s">
        <v>88</v>
      </c>
      <c r="H6664" s="100" t="s">
        <v>8779</v>
      </c>
      <c r="I6664" s="23" t="e">
        <f>VLOOKUP(H6664,'合同综合查询数据（3月返）'!$A:$A,1,FALSE)</f>
        <v>#N/A</v>
      </c>
      <c r="J6664" s="473" t="s">
        <v>90</v>
      </c>
      <c r="K6664" s="493"/>
      <c r="L6664" s="493"/>
      <c r="M6664" s="449" t="s">
        <v>8780</v>
      </c>
      <c r="N6664" s="252">
        <v>44348</v>
      </c>
      <c r="O6664" s="493" t="s">
        <v>461</v>
      </c>
      <c r="P6664" s="494">
        <v>5150</v>
      </c>
      <c r="Q6664" s="494">
        <v>16</v>
      </c>
      <c r="R6664" s="495">
        <f t="shared" si="154"/>
        <v>82400</v>
      </c>
      <c r="S6664" s="456">
        <v>202303</v>
      </c>
      <c r="T6664" s="215" t="s">
        <v>8783</v>
      </c>
      <c r="U6664" s="488"/>
      <c r="V6664" s="458"/>
      <c r="W6664" s="458"/>
      <c r="X6664" s="106">
        <v>44136</v>
      </c>
      <c r="Y6664" s="491">
        <v>45230</v>
      </c>
    </row>
    <row r="6665" s="9" customFormat="1" customHeight="1" spans="1:25">
      <c r="A6665" s="492" t="s">
        <v>401</v>
      </c>
      <c r="B6665" s="446" t="s">
        <v>8192</v>
      </c>
      <c r="C6665" s="492" t="s">
        <v>110</v>
      </c>
      <c r="D6665" s="446" t="s">
        <v>6237</v>
      </c>
      <c r="E6665" s="499" t="s">
        <v>8532</v>
      </c>
      <c r="F6665" s="94" t="s">
        <v>8533</v>
      </c>
      <c r="G6665" s="493" t="s">
        <v>88</v>
      </c>
      <c r="H6665" s="100" t="s">
        <v>8779</v>
      </c>
      <c r="I6665" s="23" t="e">
        <f>VLOOKUP(H6665,'合同综合查询数据（3月返）'!$A:$A,1,FALSE)</f>
        <v>#N/A</v>
      </c>
      <c r="J6665" s="473" t="s">
        <v>90</v>
      </c>
      <c r="K6665" s="493"/>
      <c r="L6665" s="493"/>
      <c r="M6665" s="449" t="s">
        <v>8780</v>
      </c>
      <c r="N6665" s="252">
        <v>44348</v>
      </c>
      <c r="O6665" s="493" t="s">
        <v>461</v>
      </c>
      <c r="P6665" s="494">
        <v>5150</v>
      </c>
      <c r="Q6665" s="494">
        <v>7</v>
      </c>
      <c r="R6665" s="495">
        <f t="shared" si="154"/>
        <v>36050</v>
      </c>
      <c r="S6665" s="456">
        <v>202303</v>
      </c>
      <c r="T6665" s="215" t="s">
        <v>8784</v>
      </c>
      <c r="U6665" s="488"/>
      <c r="V6665" s="458"/>
      <c r="W6665" s="458"/>
      <c r="X6665" s="106">
        <v>44136</v>
      </c>
      <c r="Y6665" s="491">
        <v>45230</v>
      </c>
    </row>
    <row r="6666" s="9" customFormat="1" customHeight="1" spans="1:25">
      <c r="A6666" s="492" t="s">
        <v>401</v>
      </c>
      <c r="B6666" s="446" t="s">
        <v>8192</v>
      </c>
      <c r="C6666" s="492" t="s">
        <v>110</v>
      </c>
      <c r="D6666" s="446" t="s">
        <v>6237</v>
      </c>
      <c r="E6666" s="499" t="s">
        <v>8532</v>
      </c>
      <c r="F6666" s="94" t="s">
        <v>8533</v>
      </c>
      <c r="G6666" s="493" t="s">
        <v>88</v>
      </c>
      <c r="H6666" s="100" t="s">
        <v>8779</v>
      </c>
      <c r="I6666" s="23" t="e">
        <f>VLOOKUP(H6666,'合同综合查询数据（3月返）'!$A:$A,1,FALSE)</f>
        <v>#N/A</v>
      </c>
      <c r="J6666" s="473" t="s">
        <v>90</v>
      </c>
      <c r="K6666" s="493"/>
      <c r="L6666" s="493"/>
      <c r="M6666" s="449" t="s">
        <v>8780</v>
      </c>
      <c r="N6666" s="252">
        <v>44334</v>
      </c>
      <c r="O6666" s="493" t="s">
        <v>461</v>
      </c>
      <c r="P6666" s="494">
        <v>5150</v>
      </c>
      <c r="Q6666" s="494">
        <v>5</v>
      </c>
      <c r="R6666" s="495">
        <f t="shared" si="154"/>
        <v>25750</v>
      </c>
      <c r="S6666" s="456">
        <v>202303</v>
      </c>
      <c r="T6666" s="215" t="s">
        <v>8785</v>
      </c>
      <c r="U6666" s="488"/>
      <c r="V6666" s="458"/>
      <c r="W6666" s="458"/>
      <c r="X6666" s="106">
        <v>44136</v>
      </c>
      <c r="Y6666" s="491">
        <v>45230</v>
      </c>
    </row>
    <row r="6667" s="9" customFormat="1" customHeight="1" spans="1:25">
      <c r="A6667" s="492" t="s">
        <v>401</v>
      </c>
      <c r="B6667" s="446" t="s">
        <v>8192</v>
      </c>
      <c r="C6667" s="492" t="s">
        <v>110</v>
      </c>
      <c r="D6667" s="446" t="s">
        <v>6237</v>
      </c>
      <c r="E6667" s="499" t="s">
        <v>8532</v>
      </c>
      <c r="F6667" s="94" t="s">
        <v>8533</v>
      </c>
      <c r="G6667" s="493" t="s">
        <v>88</v>
      </c>
      <c r="H6667" s="100" t="s">
        <v>8779</v>
      </c>
      <c r="I6667" s="23" t="e">
        <f>VLOOKUP(H6667,'合同综合查询数据（3月返）'!$A:$A,1,FALSE)</f>
        <v>#N/A</v>
      </c>
      <c r="J6667" s="473" t="s">
        <v>90</v>
      </c>
      <c r="K6667" s="493"/>
      <c r="L6667" s="493"/>
      <c r="M6667" s="449" t="s">
        <v>8780</v>
      </c>
      <c r="N6667" s="252">
        <v>44338</v>
      </c>
      <c r="O6667" s="493" t="s">
        <v>461</v>
      </c>
      <c r="P6667" s="494">
        <v>5150</v>
      </c>
      <c r="Q6667" s="494">
        <v>1</v>
      </c>
      <c r="R6667" s="495">
        <f t="shared" si="154"/>
        <v>5150</v>
      </c>
      <c r="S6667" s="456">
        <v>202303</v>
      </c>
      <c r="T6667" s="215" t="s">
        <v>8786</v>
      </c>
      <c r="U6667" s="488"/>
      <c r="V6667" s="458"/>
      <c r="W6667" s="458"/>
      <c r="X6667" s="106">
        <v>44136</v>
      </c>
      <c r="Y6667" s="491">
        <v>45230</v>
      </c>
    </row>
    <row r="6668" s="9" customFormat="1" customHeight="1" spans="1:25">
      <c r="A6668" s="492" t="s">
        <v>401</v>
      </c>
      <c r="B6668" s="446" t="s">
        <v>8192</v>
      </c>
      <c r="C6668" s="492" t="s">
        <v>110</v>
      </c>
      <c r="D6668" s="446" t="s">
        <v>6237</v>
      </c>
      <c r="E6668" s="499" t="s">
        <v>8532</v>
      </c>
      <c r="F6668" s="94" t="s">
        <v>8533</v>
      </c>
      <c r="G6668" s="493" t="s">
        <v>88</v>
      </c>
      <c r="H6668" s="100" t="s">
        <v>8779</v>
      </c>
      <c r="I6668" s="23" t="e">
        <f>VLOOKUP(H6668,'合同综合查询数据（3月返）'!$A:$A,1,FALSE)</f>
        <v>#N/A</v>
      </c>
      <c r="J6668" s="473" t="s">
        <v>90</v>
      </c>
      <c r="K6668" s="493"/>
      <c r="L6668" s="493"/>
      <c r="M6668" s="449" t="s">
        <v>8780</v>
      </c>
      <c r="N6668" s="252">
        <v>44348</v>
      </c>
      <c r="O6668" s="493" t="s">
        <v>461</v>
      </c>
      <c r="P6668" s="494">
        <v>5150</v>
      </c>
      <c r="Q6668" s="494">
        <v>78</v>
      </c>
      <c r="R6668" s="495">
        <f t="shared" si="154"/>
        <v>401700</v>
      </c>
      <c r="S6668" s="456">
        <v>202303</v>
      </c>
      <c r="T6668" s="215" t="s">
        <v>8787</v>
      </c>
      <c r="U6668" s="488"/>
      <c r="V6668" s="458"/>
      <c r="W6668" s="458"/>
      <c r="X6668" s="106">
        <v>44136</v>
      </c>
      <c r="Y6668" s="491">
        <v>45230</v>
      </c>
    </row>
    <row r="6669" s="9" customFormat="1" customHeight="1" spans="1:25">
      <c r="A6669" s="492" t="s">
        <v>401</v>
      </c>
      <c r="B6669" s="446" t="s">
        <v>8192</v>
      </c>
      <c r="C6669" s="492" t="s">
        <v>110</v>
      </c>
      <c r="D6669" s="446" t="s">
        <v>6237</v>
      </c>
      <c r="E6669" s="499" t="s">
        <v>8532</v>
      </c>
      <c r="F6669" s="94" t="s">
        <v>8533</v>
      </c>
      <c r="G6669" s="493" t="s">
        <v>88</v>
      </c>
      <c r="H6669" s="100" t="s">
        <v>8779</v>
      </c>
      <c r="I6669" s="23" t="e">
        <f>VLOOKUP(H6669,'合同综合查询数据（3月返）'!$A:$A,1,FALSE)</f>
        <v>#N/A</v>
      </c>
      <c r="J6669" s="473" t="s">
        <v>90</v>
      </c>
      <c r="K6669" s="493"/>
      <c r="L6669" s="493"/>
      <c r="M6669" s="449" t="s">
        <v>8780</v>
      </c>
      <c r="N6669" s="252">
        <v>44348</v>
      </c>
      <c r="O6669" s="493" t="s">
        <v>461</v>
      </c>
      <c r="P6669" s="494">
        <v>5150</v>
      </c>
      <c r="Q6669" s="494">
        <v>4</v>
      </c>
      <c r="R6669" s="495">
        <f t="shared" si="154"/>
        <v>20600</v>
      </c>
      <c r="S6669" s="456">
        <v>202303</v>
      </c>
      <c r="T6669" s="215" t="s">
        <v>8788</v>
      </c>
      <c r="U6669" s="488"/>
      <c r="V6669" s="458"/>
      <c r="W6669" s="458"/>
      <c r="X6669" s="106">
        <v>44136</v>
      </c>
      <c r="Y6669" s="491">
        <v>45230</v>
      </c>
    </row>
    <row r="6670" s="9" customFormat="1" customHeight="1" spans="1:25">
      <c r="A6670" s="492" t="s">
        <v>401</v>
      </c>
      <c r="B6670" s="446" t="s">
        <v>8192</v>
      </c>
      <c r="C6670" s="492" t="s">
        <v>110</v>
      </c>
      <c r="D6670" s="446" t="s">
        <v>6237</v>
      </c>
      <c r="E6670" s="499" t="s">
        <v>8532</v>
      </c>
      <c r="F6670" s="94" t="s">
        <v>8533</v>
      </c>
      <c r="G6670" s="493" t="s">
        <v>88</v>
      </c>
      <c r="H6670" s="100" t="s">
        <v>8779</v>
      </c>
      <c r="I6670" s="23" t="e">
        <f>VLOOKUP(H6670,'合同综合查询数据（3月返）'!$A:$A,1,FALSE)</f>
        <v>#N/A</v>
      </c>
      <c r="J6670" s="473" t="s">
        <v>90</v>
      </c>
      <c r="K6670" s="493"/>
      <c r="L6670" s="493"/>
      <c r="M6670" s="449" t="s">
        <v>8780</v>
      </c>
      <c r="N6670" s="252">
        <v>44362</v>
      </c>
      <c r="O6670" s="493" t="s">
        <v>461</v>
      </c>
      <c r="P6670" s="494">
        <v>5150</v>
      </c>
      <c r="Q6670" s="494">
        <v>1</v>
      </c>
      <c r="R6670" s="495">
        <f t="shared" si="154"/>
        <v>5150</v>
      </c>
      <c r="S6670" s="456">
        <v>202303</v>
      </c>
      <c r="T6670" s="215" t="s">
        <v>8789</v>
      </c>
      <c r="U6670" s="488"/>
      <c r="V6670" s="458"/>
      <c r="W6670" s="458"/>
      <c r="X6670" s="106">
        <v>44136</v>
      </c>
      <c r="Y6670" s="491">
        <v>45230</v>
      </c>
    </row>
    <row r="6671" s="9" customFormat="1" customHeight="1" spans="1:25">
      <c r="A6671" s="492" t="s">
        <v>401</v>
      </c>
      <c r="B6671" s="446" t="s">
        <v>8192</v>
      </c>
      <c r="C6671" s="492" t="s">
        <v>110</v>
      </c>
      <c r="D6671" s="446" t="s">
        <v>6237</v>
      </c>
      <c r="E6671" s="499" t="s">
        <v>8532</v>
      </c>
      <c r="F6671" s="94" t="s">
        <v>8533</v>
      </c>
      <c r="G6671" s="493" t="s">
        <v>88</v>
      </c>
      <c r="H6671" s="100" t="s">
        <v>8779</v>
      </c>
      <c r="I6671" s="23" t="e">
        <f>VLOOKUP(H6671,'合同综合查询数据（3月返）'!$A:$A,1,FALSE)</f>
        <v>#N/A</v>
      </c>
      <c r="J6671" s="473" t="s">
        <v>90</v>
      </c>
      <c r="K6671" s="493"/>
      <c r="L6671" s="493"/>
      <c r="M6671" s="449" t="s">
        <v>8780</v>
      </c>
      <c r="N6671" s="252">
        <v>44440</v>
      </c>
      <c r="O6671" s="493" t="s">
        <v>461</v>
      </c>
      <c r="P6671" s="494">
        <v>5150</v>
      </c>
      <c r="Q6671" s="494">
        <v>3</v>
      </c>
      <c r="R6671" s="495">
        <f t="shared" si="154"/>
        <v>15450</v>
      </c>
      <c r="S6671" s="456">
        <v>202303</v>
      </c>
      <c r="T6671" s="215" t="s">
        <v>8790</v>
      </c>
      <c r="U6671" s="488"/>
      <c r="V6671" s="458"/>
      <c r="W6671" s="458"/>
      <c r="X6671" s="106">
        <v>44136</v>
      </c>
      <c r="Y6671" s="491">
        <v>45230</v>
      </c>
    </row>
    <row r="6672" s="9" customFormat="1" customHeight="1" spans="1:25">
      <c r="A6672" s="492" t="s">
        <v>401</v>
      </c>
      <c r="B6672" s="446" t="s">
        <v>8192</v>
      </c>
      <c r="C6672" s="492" t="s">
        <v>110</v>
      </c>
      <c r="D6672" s="446" t="s">
        <v>6237</v>
      </c>
      <c r="E6672" s="499" t="s">
        <v>8532</v>
      </c>
      <c r="F6672" s="94" t="s">
        <v>8533</v>
      </c>
      <c r="G6672" s="493" t="s">
        <v>88</v>
      </c>
      <c r="H6672" s="100" t="s">
        <v>8779</v>
      </c>
      <c r="I6672" s="23" t="e">
        <f>VLOOKUP(H6672,'合同综合查询数据（3月返）'!$A:$A,1,FALSE)</f>
        <v>#N/A</v>
      </c>
      <c r="J6672" s="473" t="s">
        <v>90</v>
      </c>
      <c r="K6672" s="493"/>
      <c r="L6672" s="493"/>
      <c r="M6672" s="449" t="s">
        <v>8780</v>
      </c>
      <c r="N6672" s="252">
        <v>44465</v>
      </c>
      <c r="O6672" s="493" t="s">
        <v>461</v>
      </c>
      <c r="P6672" s="494">
        <v>5150</v>
      </c>
      <c r="Q6672" s="494">
        <v>3</v>
      </c>
      <c r="R6672" s="495">
        <f t="shared" si="154"/>
        <v>15450</v>
      </c>
      <c r="S6672" s="456">
        <v>202303</v>
      </c>
      <c r="T6672" s="215" t="s">
        <v>8791</v>
      </c>
      <c r="U6672" s="488"/>
      <c r="V6672" s="458"/>
      <c r="W6672" s="458"/>
      <c r="X6672" s="106">
        <v>44136</v>
      </c>
      <c r="Y6672" s="491">
        <v>45230</v>
      </c>
    </row>
    <row r="6673" s="9" customFormat="1" customHeight="1" spans="1:25">
      <c r="A6673" s="492" t="s">
        <v>401</v>
      </c>
      <c r="B6673" s="446" t="s">
        <v>8192</v>
      </c>
      <c r="C6673" s="492" t="s">
        <v>110</v>
      </c>
      <c r="D6673" s="446" t="s">
        <v>6237</v>
      </c>
      <c r="E6673" s="499" t="s">
        <v>8532</v>
      </c>
      <c r="F6673" s="94" t="s">
        <v>8533</v>
      </c>
      <c r="G6673" s="493" t="s">
        <v>88</v>
      </c>
      <c r="H6673" s="100" t="s">
        <v>8779</v>
      </c>
      <c r="I6673" s="23" t="e">
        <f>VLOOKUP(H6673,'合同综合查询数据（3月返）'!$A:$A,1,FALSE)</f>
        <v>#N/A</v>
      </c>
      <c r="J6673" s="473" t="s">
        <v>90</v>
      </c>
      <c r="K6673" s="493"/>
      <c r="L6673" s="493"/>
      <c r="M6673" s="449" t="s">
        <v>8780</v>
      </c>
      <c r="N6673" s="252">
        <v>44895</v>
      </c>
      <c r="O6673" s="493" t="s">
        <v>461</v>
      </c>
      <c r="P6673" s="494">
        <v>5150</v>
      </c>
      <c r="Q6673" s="494">
        <v>-2</v>
      </c>
      <c r="R6673" s="495">
        <f t="shared" si="154"/>
        <v>-10300</v>
      </c>
      <c r="S6673" s="456">
        <v>202303</v>
      </c>
      <c r="T6673" s="215" t="s">
        <v>8792</v>
      </c>
      <c r="U6673" s="488"/>
      <c r="V6673" s="458"/>
      <c r="W6673" s="458"/>
      <c r="X6673" s="106">
        <v>44136</v>
      </c>
      <c r="Y6673" s="491">
        <v>45230</v>
      </c>
    </row>
    <row r="6674" s="9" customFormat="1" customHeight="1" spans="1:25">
      <c r="A6674" s="492" t="s">
        <v>401</v>
      </c>
      <c r="B6674" s="446" t="s">
        <v>8192</v>
      </c>
      <c r="C6674" s="492" t="s">
        <v>110</v>
      </c>
      <c r="D6674" s="446" t="s">
        <v>6237</v>
      </c>
      <c r="E6674" s="499" t="s">
        <v>8532</v>
      </c>
      <c r="F6674" s="94" t="s">
        <v>8533</v>
      </c>
      <c r="G6674" s="493" t="s">
        <v>31</v>
      </c>
      <c r="H6674" s="100" t="s">
        <v>8779</v>
      </c>
      <c r="I6674" s="23" t="e">
        <f>VLOOKUP(H6674,'合同综合查询数据（3月返）'!$A:$A,1,FALSE)</f>
        <v>#N/A</v>
      </c>
      <c r="J6674" s="473" t="s">
        <v>7517</v>
      </c>
      <c r="K6674" s="493" t="s">
        <v>8793</v>
      </c>
      <c r="L6674" s="493"/>
      <c r="M6674" s="449" t="s">
        <v>8780</v>
      </c>
      <c r="N6674" s="252">
        <v>44236</v>
      </c>
      <c r="O6674" s="493"/>
      <c r="P6674" s="494">
        <v>5000</v>
      </c>
      <c r="Q6674" s="494">
        <v>16</v>
      </c>
      <c r="R6674" s="495">
        <f t="shared" si="154"/>
        <v>80000</v>
      </c>
      <c r="S6674" s="456">
        <v>202303</v>
      </c>
      <c r="T6674" s="215" t="s">
        <v>8794</v>
      </c>
      <c r="U6674" s="488"/>
      <c r="V6674" s="458"/>
      <c r="W6674" s="458"/>
      <c r="X6674" s="106">
        <v>44136</v>
      </c>
      <c r="Y6674" s="491">
        <v>45230</v>
      </c>
    </row>
    <row r="6675" s="9" customFormat="1" customHeight="1" spans="1:25">
      <c r="A6675" s="492" t="s">
        <v>401</v>
      </c>
      <c r="B6675" s="446" t="s">
        <v>8192</v>
      </c>
      <c r="C6675" s="492" t="s">
        <v>110</v>
      </c>
      <c r="D6675" s="446" t="s">
        <v>6237</v>
      </c>
      <c r="E6675" s="499" t="s">
        <v>8532</v>
      </c>
      <c r="F6675" s="94" t="s">
        <v>8533</v>
      </c>
      <c r="G6675" s="493" t="s">
        <v>31</v>
      </c>
      <c r="H6675" s="100" t="s">
        <v>8779</v>
      </c>
      <c r="I6675" s="23" t="e">
        <f>VLOOKUP(H6675,'合同综合查询数据（3月返）'!$A:$A,1,FALSE)</f>
        <v>#N/A</v>
      </c>
      <c r="J6675" s="473" t="s">
        <v>7580</v>
      </c>
      <c r="K6675" s="493" t="s">
        <v>5515</v>
      </c>
      <c r="L6675" s="492" t="s">
        <v>8795</v>
      </c>
      <c r="M6675" s="449" t="s">
        <v>8780</v>
      </c>
      <c r="N6675" s="252">
        <v>44130</v>
      </c>
      <c r="O6675" s="493" t="s">
        <v>37</v>
      </c>
      <c r="P6675" s="494">
        <v>0</v>
      </c>
      <c r="Q6675" s="494">
        <v>2432</v>
      </c>
      <c r="R6675" s="495">
        <f t="shared" si="154"/>
        <v>0</v>
      </c>
      <c r="S6675" s="456">
        <v>202303</v>
      </c>
      <c r="T6675" s="215" t="s">
        <v>8796</v>
      </c>
      <c r="U6675" s="488"/>
      <c r="V6675" s="458"/>
      <c r="W6675" s="458"/>
      <c r="X6675" s="106">
        <v>44136</v>
      </c>
      <c r="Y6675" s="491">
        <v>45230</v>
      </c>
    </row>
    <row r="6676" s="9" customFormat="1" customHeight="1" spans="1:25">
      <c r="A6676" s="492" t="s">
        <v>401</v>
      </c>
      <c r="B6676" s="446" t="s">
        <v>8192</v>
      </c>
      <c r="C6676" s="492" t="s">
        <v>110</v>
      </c>
      <c r="D6676" s="446" t="s">
        <v>6237</v>
      </c>
      <c r="E6676" s="499" t="s">
        <v>8532</v>
      </c>
      <c r="F6676" s="94" t="s">
        <v>8533</v>
      </c>
      <c r="G6676" s="493" t="s">
        <v>31</v>
      </c>
      <c r="H6676" s="100" t="s">
        <v>8779</v>
      </c>
      <c r="I6676" s="23" t="e">
        <f>VLOOKUP(H6676,'合同综合查询数据（3月返）'!$A:$A,1,FALSE)</f>
        <v>#N/A</v>
      </c>
      <c r="J6676" s="473" t="s">
        <v>7564</v>
      </c>
      <c r="K6676" s="493" t="s">
        <v>8797</v>
      </c>
      <c r="L6676" s="492" t="s">
        <v>8795</v>
      </c>
      <c r="M6676" s="449" t="s">
        <v>8780</v>
      </c>
      <c r="N6676" s="252">
        <v>44130</v>
      </c>
      <c r="O6676" s="493" t="s">
        <v>37</v>
      </c>
      <c r="P6676" s="494">
        <v>0</v>
      </c>
      <c r="Q6676" s="494">
        <v>512</v>
      </c>
      <c r="R6676" s="495">
        <f t="shared" si="154"/>
        <v>0</v>
      </c>
      <c r="S6676" s="456">
        <v>202303</v>
      </c>
      <c r="T6676" s="215" t="s">
        <v>8798</v>
      </c>
      <c r="U6676" s="488"/>
      <c r="V6676" s="458"/>
      <c r="W6676" s="458"/>
      <c r="X6676" s="106">
        <v>44136</v>
      </c>
      <c r="Y6676" s="491">
        <v>45230</v>
      </c>
    </row>
    <row r="6677" s="10" customFormat="1" customHeight="1" spans="1:25">
      <c r="A6677" s="481" t="s">
        <v>401</v>
      </c>
      <c r="B6677" s="459" t="s">
        <v>8192</v>
      </c>
      <c r="C6677" s="481" t="s">
        <v>110</v>
      </c>
      <c r="D6677" s="459" t="s">
        <v>6237</v>
      </c>
      <c r="E6677" s="500" t="s">
        <v>8532</v>
      </c>
      <c r="F6677" s="62" t="s">
        <v>8533</v>
      </c>
      <c r="G6677" s="441" t="s">
        <v>31</v>
      </c>
      <c r="H6677" s="137" t="s">
        <v>8534</v>
      </c>
      <c r="I6677" s="47" t="e">
        <f>VLOOKUP(H6677,'合同综合查询数据（3月返）'!$A:$A,1,FALSE)</f>
        <v>#N/A</v>
      </c>
      <c r="J6677" s="484" t="s">
        <v>7580</v>
      </c>
      <c r="K6677" s="441" t="s">
        <v>8797</v>
      </c>
      <c r="L6677" s="481" t="s">
        <v>8799</v>
      </c>
      <c r="M6677" s="429" t="s">
        <v>8780</v>
      </c>
      <c r="N6677" s="430">
        <v>44470</v>
      </c>
      <c r="O6677" s="441" t="s">
        <v>37</v>
      </c>
      <c r="P6677" s="485">
        <v>0</v>
      </c>
      <c r="Q6677" s="485">
        <v>256</v>
      </c>
      <c r="R6677" s="490">
        <f t="shared" si="154"/>
        <v>0</v>
      </c>
      <c r="S6677" s="434">
        <v>202303</v>
      </c>
      <c r="T6677" s="167" t="s">
        <v>8800</v>
      </c>
      <c r="U6677" s="436"/>
      <c r="V6677" s="437"/>
      <c r="W6677" s="437"/>
      <c r="X6677" s="163">
        <v>44927</v>
      </c>
      <c r="Y6677" s="468"/>
    </row>
    <row r="6678" s="9" customFormat="1" customHeight="1" spans="1:25">
      <c r="A6678" s="492" t="s">
        <v>401</v>
      </c>
      <c r="B6678" s="446" t="s">
        <v>8192</v>
      </c>
      <c r="C6678" s="492" t="s">
        <v>110</v>
      </c>
      <c r="D6678" s="446" t="s">
        <v>6237</v>
      </c>
      <c r="E6678" s="499" t="s">
        <v>8801</v>
      </c>
      <c r="F6678" s="94" t="s">
        <v>8802</v>
      </c>
      <c r="G6678" s="493" t="s">
        <v>67</v>
      </c>
      <c r="H6678" s="97" t="s">
        <v>8803</v>
      </c>
      <c r="I6678" s="23" t="e">
        <f>VLOOKUP(H6678,'合同综合查询数据（3月返）'!$A:$A,1,FALSE)</f>
        <v>#N/A</v>
      </c>
      <c r="J6678" s="473" t="s">
        <v>69</v>
      </c>
      <c r="K6678" s="493" t="s">
        <v>8804</v>
      </c>
      <c r="L6678" s="493"/>
      <c r="M6678" s="449"/>
      <c r="N6678" s="252">
        <v>44470</v>
      </c>
      <c r="O6678" s="493" t="s">
        <v>71</v>
      </c>
      <c r="P6678" s="494">
        <v>450</v>
      </c>
      <c r="Q6678" s="494">
        <v>30</v>
      </c>
      <c r="R6678" s="495">
        <f t="shared" si="154"/>
        <v>13500</v>
      </c>
      <c r="S6678" s="456">
        <v>202303</v>
      </c>
      <c r="T6678" s="215" t="s">
        <v>8805</v>
      </c>
      <c r="U6678" s="488"/>
      <c r="V6678" s="458"/>
      <c r="W6678" s="458"/>
      <c r="X6678" s="106">
        <v>44470</v>
      </c>
      <c r="Y6678" s="491">
        <v>45199</v>
      </c>
    </row>
    <row r="6679" s="9" customFormat="1" customHeight="1" spans="1:25">
      <c r="A6679" s="492" t="s">
        <v>401</v>
      </c>
      <c r="B6679" s="446" t="s">
        <v>8192</v>
      </c>
      <c r="C6679" s="492" t="s">
        <v>110</v>
      </c>
      <c r="D6679" s="446" t="s">
        <v>6237</v>
      </c>
      <c r="E6679" s="499" t="s">
        <v>8801</v>
      </c>
      <c r="F6679" s="94" t="s">
        <v>8802</v>
      </c>
      <c r="G6679" s="493" t="s">
        <v>67</v>
      </c>
      <c r="H6679" s="97" t="s">
        <v>8803</v>
      </c>
      <c r="I6679" s="23" t="e">
        <f>VLOOKUP(H6679,'合同综合查询数据（3月返）'!$A:$A,1,FALSE)</f>
        <v>#N/A</v>
      </c>
      <c r="J6679" s="473" t="s">
        <v>69</v>
      </c>
      <c r="K6679" s="493" t="s">
        <v>8804</v>
      </c>
      <c r="L6679" s="493"/>
      <c r="M6679" s="449"/>
      <c r="N6679" s="252">
        <v>44470</v>
      </c>
      <c r="O6679" s="493" t="s">
        <v>71</v>
      </c>
      <c r="P6679" s="494">
        <v>450</v>
      </c>
      <c r="Q6679" s="494">
        <v>30</v>
      </c>
      <c r="R6679" s="495">
        <f t="shared" si="154"/>
        <v>13500</v>
      </c>
      <c r="S6679" s="456">
        <v>202303</v>
      </c>
      <c r="T6679" s="215" t="s">
        <v>8805</v>
      </c>
      <c r="U6679" s="488"/>
      <c r="V6679" s="458"/>
      <c r="W6679" s="458"/>
      <c r="X6679" s="106">
        <v>44470</v>
      </c>
      <c r="Y6679" s="491">
        <v>45199</v>
      </c>
    </row>
    <row r="6680" s="9" customFormat="1" customHeight="1" spans="1:25">
      <c r="A6680" s="492" t="s">
        <v>403</v>
      </c>
      <c r="B6680" s="446" t="s">
        <v>8192</v>
      </c>
      <c r="C6680" s="492" t="s">
        <v>110</v>
      </c>
      <c r="D6680" s="446" t="s">
        <v>6237</v>
      </c>
      <c r="E6680" s="499" t="s">
        <v>8521</v>
      </c>
      <c r="F6680" s="94" t="s">
        <v>8522</v>
      </c>
      <c r="G6680" s="493" t="s">
        <v>88</v>
      </c>
      <c r="H6680" s="195" t="s">
        <v>8806</v>
      </c>
      <c r="I6680" s="23" t="e">
        <f>VLOOKUP(H6680,'合同综合查询数据（3月返）'!$A:$A,1,FALSE)</f>
        <v>#N/A</v>
      </c>
      <c r="J6680" s="473" t="s">
        <v>90</v>
      </c>
      <c r="K6680" s="493" t="s">
        <v>8807</v>
      </c>
      <c r="L6680" s="493"/>
      <c r="M6680" s="449" t="s">
        <v>8780</v>
      </c>
      <c r="N6680" s="252">
        <v>44131</v>
      </c>
      <c r="O6680" s="493" t="s">
        <v>461</v>
      </c>
      <c r="P6680" s="494">
        <v>5250</v>
      </c>
      <c r="Q6680" s="494">
        <v>53</v>
      </c>
      <c r="R6680" s="495">
        <f t="shared" si="154"/>
        <v>278250</v>
      </c>
      <c r="S6680" s="456">
        <v>202303</v>
      </c>
      <c r="T6680" s="215" t="s">
        <v>8808</v>
      </c>
      <c r="U6680" s="488"/>
      <c r="V6680" s="458"/>
      <c r="W6680" s="458"/>
      <c r="X6680" s="190">
        <v>44531</v>
      </c>
      <c r="Y6680" s="190">
        <v>45260</v>
      </c>
    </row>
    <row r="6681" s="9" customFormat="1" customHeight="1" spans="1:25">
      <c r="A6681" s="492" t="s">
        <v>403</v>
      </c>
      <c r="B6681" s="446" t="s">
        <v>8192</v>
      </c>
      <c r="C6681" s="492" t="s">
        <v>110</v>
      </c>
      <c r="D6681" s="446" t="s">
        <v>6237</v>
      </c>
      <c r="E6681" s="499" t="s">
        <v>8521</v>
      </c>
      <c r="F6681" s="94" t="s">
        <v>8522</v>
      </c>
      <c r="G6681" s="493" t="s">
        <v>88</v>
      </c>
      <c r="H6681" s="195" t="s">
        <v>8806</v>
      </c>
      <c r="I6681" s="23" t="e">
        <f>VLOOKUP(H6681,'合同综合查询数据（3月返）'!$A:$A,1,FALSE)</f>
        <v>#N/A</v>
      </c>
      <c r="J6681" s="473" t="s">
        <v>90</v>
      </c>
      <c r="K6681" s="493" t="s">
        <v>8807</v>
      </c>
      <c r="L6681" s="493"/>
      <c r="M6681" s="449" t="s">
        <v>8780</v>
      </c>
      <c r="N6681" s="252">
        <v>44348</v>
      </c>
      <c r="O6681" s="493" t="s">
        <v>461</v>
      </c>
      <c r="P6681" s="494">
        <v>5250</v>
      </c>
      <c r="Q6681" s="494">
        <v>4</v>
      </c>
      <c r="R6681" s="495">
        <f t="shared" si="154"/>
        <v>21000</v>
      </c>
      <c r="S6681" s="456">
        <v>202303</v>
      </c>
      <c r="T6681" s="215" t="s">
        <v>8809</v>
      </c>
      <c r="U6681" s="488"/>
      <c r="V6681" s="458"/>
      <c r="W6681" s="458"/>
      <c r="X6681" s="190">
        <v>44531</v>
      </c>
      <c r="Y6681" s="190">
        <v>45260</v>
      </c>
    </row>
    <row r="6682" s="9" customFormat="1" customHeight="1" spans="1:25">
      <c r="A6682" s="492" t="s">
        <v>403</v>
      </c>
      <c r="B6682" s="446" t="s">
        <v>8192</v>
      </c>
      <c r="C6682" s="492" t="s">
        <v>110</v>
      </c>
      <c r="D6682" s="446" t="s">
        <v>6237</v>
      </c>
      <c r="E6682" s="499" t="s">
        <v>8521</v>
      </c>
      <c r="F6682" s="94" t="s">
        <v>8522</v>
      </c>
      <c r="G6682" s="493" t="s">
        <v>88</v>
      </c>
      <c r="H6682" s="195" t="s">
        <v>8806</v>
      </c>
      <c r="I6682" s="23" t="e">
        <f>VLOOKUP(H6682,'合同综合查询数据（3月返）'!$A:$A,1,FALSE)</f>
        <v>#N/A</v>
      </c>
      <c r="J6682" s="473" t="s">
        <v>90</v>
      </c>
      <c r="K6682" s="493" t="s">
        <v>8807</v>
      </c>
      <c r="L6682" s="493"/>
      <c r="M6682" s="449" t="s">
        <v>8780</v>
      </c>
      <c r="N6682" s="252">
        <v>44348</v>
      </c>
      <c r="O6682" s="493" t="s">
        <v>461</v>
      </c>
      <c r="P6682" s="494">
        <v>5250</v>
      </c>
      <c r="Q6682" s="494">
        <v>2</v>
      </c>
      <c r="R6682" s="495">
        <f t="shared" si="154"/>
        <v>10500</v>
      </c>
      <c r="S6682" s="456">
        <v>202303</v>
      </c>
      <c r="T6682" s="215" t="s">
        <v>8810</v>
      </c>
      <c r="U6682" s="488"/>
      <c r="V6682" s="458"/>
      <c r="W6682" s="458"/>
      <c r="X6682" s="190">
        <v>44531</v>
      </c>
      <c r="Y6682" s="190">
        <v>45260</v>
      </c>
    </row>
    <row r="6683" s="9" customFormat="1" customHeight="1" spans="1:25">
      <c r="A6683" s="492" t="s">
        <v>403</v>
      </c>
      <c r="B6683" s="446" t="s">
        <v>8192</v>
      </c>
      <c r="C6683" s="492" t="s">
        <v>110</v>
      </c>
      <c r="D6683" s="446" t="s">
        <v>6237</v>
      </c>
      <c r="E6683" s="499" t="s">
        <v>8521</v>
      </c>
      <c r="F6683" s="94" t="s">
        <v>8522</v>
      </c>
      <c r="G6683" s="493" t="s">
        <v>88</v>
      </c>
      <c r="H6683" s="195" t="s">
        <v>8806</v>
      </c>
      <c r="I6683" s="23" t="e">
        <f>VLOOKUP(H6683,'合同综合查询数据（3月返）'!$A:$A,1,FALSE)</f>
        <v>#N/A</v>
      </c>
      <c r="J6683" s="473" t="s">
        <v>90</v>
      </c>
      <c r="K6683" s="493" t="s">
        <v>8807</v>
      </c>
      <c r="L6683" s="493"/>
      <c r="M6683" s="449" t="s">
        <v>8780</v>
      </c>
      <c r="N6683" s="252">
        <v>44348</v>
      </c>
      <c r="O6683" s="493" t="s">
        <v>461</v>
      </c>
      <c r="P6683" s="494">
        <v>5250</v>
      </c>
      <c r="Q6683" s="494">
        <v>60</v>
      </c>
      <c r="R6683" s="495">
        <f t="shared" si="154"/>
        <v>315000</v>
      </c>
      <c r="S6683" s="456">
        <v>202303</v>
      </c>
      <c r="T6683" s="215" t="s">
        <v>8811</v>
      </c>
      <c r="U6683" s="488"/>
      <c r="V6683" s="458"/>
      <c r="W6683" s="458"/>
      <c r="X6683" s="190">
        <v>44531</v>
      </c>
      <c r="Y6683" s="190">
        <v>45260</v>
      </c>
    </row>
    <row r="6684" s="9" customFormat="1" customHeight="1" spans="1:25">
      <c r="A6684" s="492" t="s">
        <v>403</v>
      </c>
      <c r="B6684" s="446" t="s">
        <v>8192</v>
      </c>
      <c r="C6684" s="492" t="s">
        <v>110</v>
      </c>
      <c r="D6684" s="446" t="s">
        <v>6237</v>
      </c>
      <c r="E6684" s="499" t="s">
        <v>8521</v>
      </c>
      <c r="F6684" s="94" t="s">
        <v>8522</v>
      </c>
      <c r="G6684" s="493" t="s">
        <v>88</v>
      </c>
      <c r="H6684" s="195" t="s">
        <v>8806</v>
      </c>
      <c r="I6684" s="23" t="e">
        <f>VLOOKUP(H6684,'合同综合查询数据（3月返）'!$A:$A,1,FALSE)</f>
        <v>#N/A</v>
      </c>
      <c r="J6684" s="473" t="s">
        <v>90</v>
      </c>
      <c r="K6684" s="493" t="s">
        <v>8807</v>
      </c>
      <c r="L6684" s="493"/>
      <c r="M6684" s="449" t="s">
        <v>8780</v>
      </c>
      <c r="N6684" s="252">
        <v>44348</v>
      </c>
      <c r="O6684" s="493" t="s">
        <v>461</v>
      </c>
      <c r="P6684" s="494">
        <v>5250</v>
      </c>
      <c r="Q6684" s="494">
        <v>22</v>
      </c>
      <c r="R6684" s="495">
        <f t="shared" si="154"/>
        <v>115500</v>
      </c>
      <c r="S6684" s="456">
        <v>202303</v>
      </c>
      <c r="T6684" s="215" t="s">
        <v>8812</v>
      </c>
      <c r="U6684" s="488"/>
      <c r="V6684" s="458"/>
      <c r="W6684" s="458"/>
      <c r="X6684" s="190">
        <v>44531</v>
      </c>
      <c r="Y6684" s="190">
        <v>45260</v>
      </c>
    </row>
    <row r="6685" s="9" customFormat="1" customHeight="1" spans="1:25">
      <c r="A6685" s="492" t="s">
        <v>403</v>
      </c>
      <c r="B6685" s="446" t="s">
        <v>8192</v>
      </c>
      <c r="C6685" s="492" t="s">
        <v>110</v>
      </c>
      <c r="D6685" s="446" t="s">
        <v>6237</v>
      </c>
      <c r="E6685" s="499" t="s">
        <v>8521</v>
      </c>
      <c r="F6685" s="94" t="s">
        <v>8522</v>
      </c>
      <c r="G6685" s="493" t="s">
        <v>88</v>
      </c>
      <c r="H6685" s="195" t="s">
        <v>8806</v>
      </c>
      <c r="I6685" s="23" t="e">
        <f>VLOOKUP(H6685,'合同综合查询数据（3月返）'!$A:$A,1,FALSE)</f>
        <v>#N/A</v>
      </c>
      <c r="J6685" s="473" t="s">
        <v>90</v>
      </c>
      <c r="K6685" s="493" t="s">
        <v>8807</v>
      </c>
      <c r="L6685" s="493"/>
      <c r="M6685" s="449" t="s">
        <v>8780</v>
      </c>
      <c r="N6685" s="252">
        <v>44348</v>
      </c>
      <c r="O6685" s="493" t="s">
        <v>461</v>
      </c>
      <c r="P6685" s="494">
        <v>5250</v>
      </c>
      <c r="Q6685" s="494">
        <v>43</v>
      </c>
      <c r="R6685" s="495">
        <f t="shared" si="154"/>
        <v>225750</v>
      </c>
      <c r="S6685" s="456">
        <v>202303</v>
      </c>
      <c r="T6685" s="215" t="s">
        <v>8813</v>
      </c>
      <c r="U6685" s="488"/>
      <c r="V6685" s="458"/>
      <c r="W6685" s="458"/>
      <c r="X6685" s="190">
        <v>44531</v>
      </c>
      <c r="Y6685" s="190">
        <v>45260</v>
      </c>
    </row>
    <row r="6686" s="9" customFormat="1" customHeight="1" spans="1:25">
      <c r="A6686" s="492" t="s">
        <v>403</v>
      </c>
      <c r="B6686" s="446" t="s">
        <v>8192</v>
      </c>
      <c r="C6686" s="492" t="s">
        <v>110</v>
      </c>
      <c r="D6686" s="446" t="s">
        <v>6237</v>
      </c>
      <c r="E6686" s="499" t="s">
        <v>8521</v>
      </c>
      <c r="F6686" s="94" t="s">
        <v>8522</v>
      </c>
      <c r="G6686" s="493" t="s">
        <v>88</v>
      </c>
      <c r="H6686" s="195" t="s">
        <v>8806</v>
      </c>
      <c r="I6686" s="23" t="e">
        <f>VLOOKUP(H6686,'合同综合查询数据（3月返）'!$A:$A,1,FALSE)</f>
        <v>#N/A</v>
      </c>
      <c r="J6686" s="473" t="s">
        <v>90</v>
      </c>
      <c r="K6686" s="493" t="s">
        <v>8807</v>
      </c>
      <c r="L6686" s="493"/>
      <c r="M6686" s="449" t="s">
        <v>8780</v>
      </c>
      <c r="N6686" s="252">
        <v>44348</v>
      </c>
      <c r="O6686" s="493" t="s">
        <v>461</v>
      </c>
      <c r="P6686" s="494">
        <v>5250</v>
      </c>
      <c r="Q6686" s="494">
        <v>10</v>
      </c>
      <c r="R6686" s="495">
        <f t="shared" si="154"/>
        <v>52500</v>
      </c>
      <c r="S6686" s="456">
        <v>202303</v>
      </c>
      <c r="T6686" s="215" t="s">
        <v>8814</v>
      </c>
      <c r="U6686" s="488"/>
      <c r="V6686" s="458"/>
      <c r="W6686" s="458"/>
      <c r="X6686" s="190">
        <v>44531</v>
      </c>
      <c r="Y6686" s="190">
        <v>45260</v>
      </c>
    </row>
    <row r="6687" s="9" customFormat="1" customHeight="1" spans="1:25">
      <c r="A6687" s="492" t="s">
        <v>403</v>
      </c>
      <c r="B6687" s="446" t="s">
        <v>8192</v>
      </c>
      <c r="C6687" s="492" t="s">
        <v>110</v>
      </c>
      <c r="D6687" s="446" t="s">
        <v>6237</v>
      </c>
      <c r="E6687" s="499" t="s">
        <v>8521</v>
      </c>
      <c r="F6687" s="94" t="s">
        <v>8522</v>
      </c>
      <c r="G6687" s="493" t="s">
        <v>88</v>
      </c>
      <c r="H6687" s="195" t="s">
        <v>8806</v>
      </c>
      <c r="I6687" s="23" t="e">
        <f>VLOOKUP(H6687,'合同综合查询数据（3月返）'!$A:$A,1,FALSE)</f>
        <v>#N/A</v>
      </c>
      <c r="J6687" s="473" t="s">
        <v>90</v>
      </c>
      <c r="K6687" s="493" t="s">
        <v>8807</v>
      </c>
      <c r="L6687" s="493"/>
      <c r="M6687" s="449" t="s">
        <v>8780</v>
      </c>
      <c r="N6687" s="252">
        <v>44348</v>
      </c>
      <c r="O6687" s="493" t="s">
        <v>461</v>
      </c>
      <c r="P6687" s="494">
        <v>5250</v>
      </c>
      <c r="Q6687" s="494">
        <v>3</v>
      </c>
      <c r="R6687" s="495">
        <f t="shared" si="154"/>
        <v>15750</v>
      </c>
      <c r="S6687" s="456">
        <v>202303</v>
      </c>
      <c r="T6687" s="215" t="s">
        <v>8815</v>
      </c>
      <c r="U6687" s="488"/>
      <c r="V6687" s="458"/>
      <c r="W6687" s="458"/>
      <c r="X6687" s="190">
        <v>44531</v>
      </c>
      <c r="Y6687" s="190">
        <v>45260</v>
      </c>
    </row>
    <row r="6688" s="9" customFormat="1" customHeight="1" spans="1:25">
      <c r="A6688" s="492" t="s">
        <v>403</v>
      </c>
      <c r="B6688" s="446" t="s">
        <v>8192</v>
      </c>
      <c r="C6688" s="492" t="s">
        <v>110</v>
      </c>
      <c r="D6688" s="446" t="s">
        <v>6237</v>
      </c>
      <c r="E6688" s="499" t="s">
        <v>8521</v>
      </c>
      <c r="F6688" s="94" t="s">
        <v>8522</v>
      </c>
      <c r="G6688" s="493" t="s">
        <v>88</v>
      </c>
      <c r="H6688" s="195" t="s">
        <v>8806</v>
      </c>
      <c r="I6688" s="23" t="e">
        <f>VLOOKUP(H6688,'合同综合查询数据（3月返）'!$A:$A,1,FALSE)</f>
        <v>#N/A</v>
      </c>
      <c r="J6688" s="473" t="s">
        <v>90</v>
      </c>
      <c r="K6688" s="493" t="s">
        <v>8807</v>
      </c>
      <c r="L6688" s="493"/>
      <c r="M6688" s="449" t="s">
        <v>8780</v>
      </c>
      <c r="N6688" s="252">
        <v>44348</v>
      </c>
      <c r="O6688" s="493" t="s">
        <v>461</v>
      </c>
      <c r="P6688" s="494">
        <v>5250</v>
      </c>
      <c r="Q6688" s="494">
        <v>2</v>
      </c>
      <c r="R6688" s="495">
        <f t="shared" si="154"/>
        <v>10500</v>
      </c>
      <c r="S6688" s="456">
        <v>202303</v>
      </c>
      <c r="T6688" s="215" t="s">
        <v>8816</v>
      </c>
      <c r="U6688" s="488"/>
      <c r="V6688" s="458"/>
      <c r="W6688" s="458"/>
      <c r="X6688" s="190">
        <v>44531</v>
      </c>
      <c r="Y6688" s="190">
        <v>45260</v>
      </c>
    </row>
    <row r="6689" s="9" customFormat="1" customHeight="1" spans="1:25">
      <c r="A6689" s="492" t="s">
        <v>403</v>
      </c>
      <c r="B6689" s="446" t="s">
        <v>8192</v>
      </c>
      <c r="C6689" s="492" t="s">
        <v>110</v>
      </c>
      <c r="D6689" s="446" t="s">
        <v>6237</v>
      </c>
      <c r="E6689" s="499" t="s">
        <v>8521</v>
      </c>
      <c r="F6689" s="94" t="s">
        <v>8522</v>
      </c>
      <c r="G6689" s="493" t="s">
        <v>88</v>
      </c>
      <c r="H6689" s="195" t="s">
        <v>8806</v>
      </c>
      <c r="I6689" s="23" t="e">
        <f>VLOOKUP(H6689,'合同综合查询数据（3月返）'!$A:$A,1,FALSE)</f>
        <v>#N/A</v>
      </c>
      <c r="J6689" s="473" t="s">
        <v>90</v>
      </c>
      <c r="K6689" s="493" t="s">
        <v>8807</v>
      </c>
      <c r="L6689" s="493"/>
      <c r="M6689" s="449" t="s">
        <v>8780</v>
      </c>
      <c r="N6689" s="252">
        <v>44348</v>
      </c>
      <c r="O6689" s="493" t="s">
        <v>461</v>
      </c>
      <c r="P6689" s="494">
        <v>5250</v>
      </c>
      <c r="Q6689" s="494">
        <v>9</v>
      </c>
      <c r="R6689" s="495">
        <f t="shared" si="154"/>
        <v>47250</v>
      </c>
      <c r="S6689" s="456">
        <v>202303</v>
      </c>
      <c r="T6689" s="215" t="s">
        <v>8817</v>
      </c>
      <c r="U6689" s="488"/>
      <c r="V6689" s="458"/>
      <c r="W6689" s="458"/>
      <c r="X6689" s="190">
        <v>44531</v>
      </c>
      <c r="Y6689" s="190">
        <v>45260</v>
      </c>
    </row>
    <row r="6690" s="9" customFormat="1" customHeight="1" spans="1:25">
      <c r="A6690" s="492" t="s">
        <v>403</v>
      </c>
      <c r="B6690" s="446" t="s">
        <v>8192</v>
      </c>
      <c r="C6690" s="492" t="s">
        <v>110</v>
      </c>
      <c r="D6690" s="446" t="s">
        <v>6237</v>
      </c>
      <c r="E6690" s="499" t="s">
        <v>8521</v>
      </c>
      <c r="F6690" s="94" t="s">
        <v>8522</v>
      </c>
      <c r="G6690" s="493" t="s">
        <v>88</v>
      </c>
      <c r="H6690" s="195" t="s">
        <v>8806</v>
      </c>
      <c r="I6690" s="23" t="e">
        <f>VLOOKUP(H6690,'合同综合查询数据（3月返）'!$A:$A,1,FALSE)</f>
        <v>#N/A</v>
      </c>
      <c r="J6690" s="473" t="s">
        <v>90</v>
      </c>
      <c r="K6690" s="493" t="s">
        <v>8807</v>
      </c>
      <c r="L6690" s="493"/>
      <c r="M6690" s="449" t="s">
        <v>8780</v>
      </c>
      <c r="N6690" s="252">
        <v>44348</v>
      </c>
      <c r="O6690" s="493" t="s">
        <v>461</v>
      </c>
      <c r="P6690" s="494">
        <v>5250</v>
      </c>
      <c r="Q6690" s="494">
        <v>6</v>
      </c>
      <c r="R6690" s="495">
        <f t="shared" si="154"/>
        <v>31500</v>
      </c>
      <c r="S6690" s="456">
        <v>202303</v>
      </c>
      <c r="T6690" s="215" t="s">
        <v>8818</v>
      </c>
      <c r="U6690" s="488"/>
      <c r="V6690" s="458"/>
      <c r="W6690" s="458"/>
      <c r="X6690" s="190">
        <v>44531</v>
      </c>
      <c r="Y6690" s="190">
        <v>45260</v>
      </c>
    </row>
    <row r="6691" s="9" customFormat="1" customHeight="1" spans="1:25">
      <c r="A6691" s="492" t="s">
        <v>403</v>
      </c>
      <c r="B6691" s="446" t="s">
        <v>8192</v>
      </c>
      <c r="C6691" s="492" t="s">
        <v>110</v>
      </c>
      <c r="D6691" s="446" t="s">
        <v>6237</v>
      </c>
      <c r="E6691" s="499" t="s">
        <v>8521</v>
      </c>
      <c r="F6691" s="94" t="s">
        <v>8522</v>
      </c>
      <c r="G6691" s="493" t="s">
        <v>88</v>
      </c>
      <c r="H6691" s="195" t="s">
        <v>8806</v>
      </c>
      <c r="I6691" s="23" t="e">
        <f>VLOOKUP(H6691,'合同综合查询数据（3月返）'!$A:$A,1,FALSE)</f>
        <v>#N/A</v>
      </c>
      <c r="J6691" s="473" t="s">
        <v>90</v>
      </c>
      <c r="K6691" s="493" t="s">
        <v>8807</v>
      </c>
      <c r="L6691" s="493"/>
      <c r="M6691" s="449" t="s">
        <v>8780</v>
      </c>
      <c r="N6691" s="252">
        <v>44327</v>
      </c>
      <c r="O6691" s="493" t="s">
        <v>461</v>
      </c>
      <c r="P6691" s="494">
        <v>5250</v>
      </c>
      <c r="Q6691" s="494">
        <v>6</v>
      </c>
      <c r="R6691" s="495">
        <f t="shared" si="154"/>
        <v>31500</v>
      </c>
      <c r="S6691" s="456">
        <v>202303</v>
      </c>
      <c r="T6691" s="215" t="s">
        <v>8819</v>
      </c>
      <c r="U6691" s="488"/>
      <c r="V6691" s="458"/>
      <c r="W6691" s="458"/>
      <c r="X6691" s="190">
        <v>44531</v>
      </c>
      <c r="Y6691" s="190">
        <v>45260</v>
      </c>
    </row>
    <row r="6692" s="9" customFormat="1" customHeight="1" spans="1:25">
      <c r="A6692" s="492" t="s">
        <v>403</v>
      </c>
      <c r="B6692" s="446" t="s">
        <v>8192</v>
      </c>
      <c r="C6692" s="492" t="s">
        <v>110</v>
      </c>
      <c r="D6692" s="446" t="s">
        <v>6237</v>
      </c>
      <c r="E6692" s="499" t="s">
        <v>8521</v>
      </c>
      <c r="F6692" s="94" t="s">
        <v>8522</v>
      </c>
      <c r="G6692" s="493" t="s">
        <v>88</v>
      </c>
      <c r="H6692" s="195" t="s">
        <v>8806</v>
      </c>
      <c r="I6692" s="23" t="e">
        <f>VLOOKUP(H6692,'合同综合查询数据（3月返）'!$A:$A,1,FALSE)</f>
        <v>#N/A</v>
      </c>
      <c r="J6692" s="473" t="s">
        <v>90</v>
      </c>
      <c r="K6692" s="493" t="s">
        <v>8807</v>
      </c>
      <c r="L6692" s="493"/>
      <c r="M6692" s="449" t="s">
        <v>8780</v>
      </c>
      <c r="N6692" s="252">
        <v>44348</v>
      </c>
      <c r="O6692" s="493" t="s">
        <v>461</v>
      </c>
      <c r="P6692" s="494">
        <v>5250</v>
      </c>
      <c r="Q6692" s="494">
        <v>40</v>
      </c>
      <c r="R6692" s="495">
        <f t="shared" si="154"/>
        <v>210000</v>
      </c>
      <c r="S6692" s="456">
        <v>202303</v>
      </c>
      <c r="T6692" s="215" t="s">
        <v>8820</v>
      </c>
      <c r="U6692" s="488"/>
      <c r="V6692" s="458"/>
      <c r="W6692" s="458"/>
      <c r="X6692" s="190">
        <v>44531</v>
      </c>
      <c r="Y6692" s="190">
        <v>45260</v>
      </c>
    </row>
    <row r="6693" s="9" customFormat="1" customHeight="1" spans="1:25">
      <c r="A6693" s="492" t="s">
        <v>403</v>
      </c>
      <c r="B6693" s="446" t="s">
        <v>8192</v>
      </c>
      <c r="C6693" s="492" t="s">
        <v>110</v>
      </c>
      <c r="D6693" s="446" t="s">
        <v>6237</v>
      </c>
      <c r="E6693" s="499" t="s">
        <v>8521</v>
      </c>
      <c r="F6693" s="94" t="s">
        <v>8522</v>
      </c>
      <c r="G6693" s="493" t="s">
        <v>31</v>
      </c>
      <c r="H6693" s="195" t="s">
        <v>8806</v>
      </c>
      <c r="I6693" s="23" t="e">
        <f>VLOOKUP(H6693,'合同综合查询数据（3月返）'!$A:$A,1,FALSE)</f>
        <v>#N/A</v>
      </c>
      <c r="J6693" s="473" t="s">
        <v>7580</v>
      </c>
      <c r="K6693" s="493" t="s">
        <v>8807</v>
      </c>
      <c r="L6693" s="493"/>
      <c r="M6693" s="449" t="s">
        <v>8780</v>
      </c>
      <c r="N6693" s="252">
        <v>44166</v>
      </c>
      <c r="O6693" s="493"/>
      <c r="P6693" s="494">
        <v>0</v>
      </c>
      <c r="Q6693" s="494">
        <v>2048</v>
      </c>
      <c r="R6693" s="495">
        <f t="shared" si="154"/>
        <v>0</v>
      </c>
      <c r="S6693" s="456">
        <v>202303</v>
      </c>
      <c r="T6693" s="215" t="s">
        <v>8821</v>
      </c>
      <c r="U6693" s="488"/>
      <c r="V6693" s="458"/>
      <c r="W6693" s="458"/>
      <c r="X6693" s="190">
        <v>44531</v>
      </c>
      <c r="Y6693" s="190">
        <v>45260</v>
      </c>
    </row>
    <row r="6694" s="9" customFormat="1" customHeight="1" spans="1:25">
      <c r="A6694" s="492" t="s">
        <v>403</v>
      </c>
      <c r="B6694" s="446" t="s">
        <v>8192</v>
      </c>
      <c r="C6694" s="492" t="s">
        <v>110</v>
      </c>
      <c r="D6694" s="446" t="s">
        <v>6237</v>
      </c>
      <c r="E6694" s="499" t="s">
        <v>8521</v>
      </c>
      <c r="F6694" s="94" t="s">
        <v>8522</v>
      </c>
      <c r="G6694" s="493" t="s">
        <v>31</v>
      </c>
      <c r="H6694" s="195" t="s">
        <v>8806</v>
      </c>
      <c r="I6694" s="23" t="e">
        <f>VLOOKUP(H6694,'合同综合查询数据（3月返）'!$A:$A,1,FALSE)</f>
        <v>#N/A</v>
      </c>
      <c r="J6694" s="473" t="s">
        <v>667</v>
      </c>
      <c r="K6694" s="493" t="s">
        <v>8807</v>
      </c>
      <c r="L6694" s="493"/>
      <c r="M6694" s="449" t="s">
        <v>8780</v>
      </c>
      <c r="N6694" s="252">
        <v>44217</v>
      </c>
      <c r="O6694" s="493" t="s">
        <v>8822</v>
      </c>
      <c r="P6694" s="494">
        <v>2500</v>
      </c>
      <c r="Q6694" s="494">
        <v>4</v>
      </c>
      <c r="R6694" s="495">
        <f t="shared" si="154"/>
        <v>10000</v>
      </c>
      <c r="S6694" s="456">
        <v>202303</v>
      </c>
      <c r="T6694" s="215" t="s">
        <v>8823</v>
      </c>
      <c r="U6694" s="488"/>
      <c r="V6694" s="458"/>
      <c r="W6694" s="458"/>
      <c r="X6694" s="190">
        <v>44531</v>
      </c>
      <c r="Y6694" s="190">
        <v>45260</v>
      </c>
    </row>
    <row r="6695" s="9" customFormat="1" customHeight="1" spans="1:25">
      <c r="A6695" s="492" t="s">
        <v>403</v>
      </c>
      <c r="B6695" s="446" t="s">
        <v>8192</v>
      </c>
      <c r="C6695" s="492" t="s">
        <v>110</v>
      </c>
      <c r="D6695" s="446" t="s">
        <v>6237</v>
      </c>
      <c r="E6695" s="499" t="s">
        <v>8521</v>
      </c>
      <c r="F6695" s="94" t="s">
        <v>8522</v>
      </c>
      <c r="G6695" s="493" t="s">
        <v>31</v>
      </c>
      <c r="H6695" s="195" t="s">
        <v>8806</v>
      </c>
      <c r="I6695" s="23" t="e">
        <f>VLOOKUP(H6695,'合同综合查询数据（3月返）'!$A:$A,1,FALSE)</f>
        <v>#N/A</v>
      </c>
      <c r="J6695" s="473" t="s">
        <v>667</v>
      </c>
      <c r="K6695" s="493" t="s">
        <v>8807</v>
      </c>
      <c r="L6695" s="493"/>
      <c r="M6695" s="449" t="s">
        <v>8780</v>
      </c>
      <c r="N6695" s="252">
        <v>44217</v>
      </c>
      <c r="O6695" s="493" t="s">
        <v>8822</v>
      </c>
      <c r="P6695" s="494">
        <v>2500</v>
      </c>
      <c r="Q6695" s="494">
        <v>16</v>
      </c>
      <c r="R6695" s="495">
        <f t="shared" ref="R6695:R6758" si="155">ROUND(P6695*Q6695,2)</f>
        <v>40000</v>
      </c>
      <c r="S6695" s="456">
        <v>202303</v>
      </c>
      <c r="T6695" s="215" t="s">
        <v>8824</v>
      </c>
      <c r="U6695" s="488"/>
      <c r="V6695" s="458"/>
      <c r="W6695" s="458"/>
      <c r="X6695" s="190">
        <v>44531</v>
      </c>
      <c r="Y6695" s="190">
        <v>45260</v>
      </c>
    </row>
    <row r="6696" s="10" customFormat="1" customHeight="1" spans="1:25">
      <c r="A6696" s="60" t="s">
        <v>403</v>
      </c>
      <c r="B6696" s="459" t="s">
        <v>8192</v>
      </c>
      <c r="C6696" s="60" t="s">
        <v>110</v>
      </c>
      <c r="D6696" s="459" t="s">
        <v>6237</v>
      </c>
      <c r="E6696" s="63" t="s">
        <v>8825</v>
      </c>
      <c r="F6696" s="60" t="s">
        <v>8522</v>
      </c>
      <c r="G6696" s="60" t="s">
        <v>31</v>
      </c>
      <c r="H6696" s="480" t="s">
        <v>8826</v>
      </c>
      <c r="I6696" s="47" t="e">
        <f>VLOOKUP(H6696,'合同综合查询数据（3月返）'!$A:$A,1,FALSE)</f>
        <v>#N/A</v>
      </c>
      <c r="J6696" s="424" t="s">
        <v>7580</v>
      </c>
      <c r="K6696" s="459" t="s">
        <v>8827</v>
      </c>
      <c r="L6696" s="60" t="s">
        <v>8828</v>
      </c>
      <c r="M6696" s="429" t="s">
        <v>8828</v>
      </c>
      <c r="N6696" s="219">
        <v>44197</v>
      </c>
      <c r="O6696" s="234" t="s">
        <v>37</v>
      </c>
      <c r="P6696" s="507">
        <v>0</v>
      </c>
      <c r="Q6696" s="507">
        <v>1280</v>
      </c>
      <c r="R6696" s="490">
        <f t="shared" si="155"/>
        <v>0</v>
      </c>
      <c r="S6696" s="434">
        <v>202303</v>
      </c>
      <c r="T6696" s="167" t="s">
        <v>8829</v>
      </c>
      <c r="U6696" s="436"/>
      <c r="V6696" s="509"/>
      <c r="W6696" s="437"/>
      <c r="X6696" s="163">
        <v>44774</v>
      </c>
      <c r="Y6696" s="163"/>
    </row>
    <row r="6697" s="9" customFormat="1" customHeight="1" spans="1:25">
      <c r="A6697" s="96" t="s">
        <v>403</v>
      </c>
      <c r="B6697" s="446" t="s">
        <v>8192</v>
      </c>
      <c r="C6697" s="96" t="s">
        <v>110</v>
      </c>
      <c r="D6697" s="446" t="s">
        <v>6237</v>
      </c>
      <c r="E6697" s="105" t="s">
        <v>875</v>
      </c>
      <c r="F6697" s="96" t="s">
        <v>8522</v>
      </c>
      <c r="G6697" s="96" t="s">
        <v>31</v>
      </c>
      <c r="H6697" s="19" t="s">
        <v>8479</v>
      </c>
      <c r="I6697" s="23" t="e">
        <f>VLOOKUP(H6697,'合同综合查询数据（3月返）'!$A:$A,1,FALSE)</f>
        <v>#N/A</v>
      </c>
      <c r="J6697" s="448" t="s">
        <v>7564</v>
      </c>
      <c r="K6697" s="446" t="s">
        <v>8827</v>
      </c>
      <c r="L6697" s="96" t="s">
        <v>8828</v>
      </c>
      <c r="M6697" s="449" t="s">
        <v>8828</v>
      </c>
      <c r="N6697" s="220">
        <v>44197</v>
      </c>
      <c r="O6697" s="482" t="s">
        <v>37</v>
      </c>
      <c r="P6697" s="483">
        <v>0</v>
      </c>
      <c r="Q6697" s="483">
        <v>768</v>
      </c>
      <c r="R6697" s="495">
        <f t="shared" si="155"/>
        <v>0</v>
      </c>
      <c r="S6697" s="456">
        <v>202303</v>
      </c>
      <c r="T6697" s="215" t="s">
        <v>8830</v>
      </c>
      <c r="U6697" s="488"/>
      <c r="V6697" s="489"/>
      <c r="W6697" s="458"/>
      <c r="X6697" s="190">
        <v>44774</v>
      </c>
      <c r="Y6697" s="38">
        <v>45138</v>
      </c>
    </row>
    <row r="6698" s="10" customFormat="1" customHeight="1" spans="1:25">
      <c r="A6698" s="60" t="s">
        <v>403</v>
      </c>
      <c r="B6698" s="459" t="s">
        <v>8192</v>
      </c>
      <c r="C6698" s="60" t="s">
        <v>110</v>
      </c>
      <c r="D6698" s="459" t="s">
        <v>6237</v>
      </c>
      <c r="E6698" s="63" t="s">
        <v>8825</v>
      </c>
      <c r="F6698" s="60" t="s">
        <v>8522</v>
      </c>
      <c r="G6698" s="60" t="s">
        <v>31</v>
      </c>
      <c r="H6698" s="480" t="s">
        <v>8826</v>
      </c>
      <c r="I6698" s="47" t="e">
        <f>VLOOKUP(H6698,'合同综合查询数据（3月返）'!$A:$A,1,FALSE)</f>
        <v>#N/A</v>
      </c>
      <c r="J6698" s="424" t="s">
        <v>7580</v>
      </c>
      <c r="K6698" s="459" t="s">
        <v>8827</v>
      </c>
      <c r="L6698" s="60" t="s">
        <v>8828</v>
      </c>
      <c r="M6698" s="429" t="s">
        <v>8828</v>
      </c>
      <c r="N6698" s="219">
        <v>44501</v>
      </c>
      <c r="O6698" s="234" t="s">
        <v>37</v>
      </c>
      <c r="P6698" s="507">
        <v>0</v>
      </c>
      <c r="Q6698" s="507">
        <v>768</v>
      </c>
      <c r="R6698" s="490">
        <f t="shared" si="155"/>
        <v>0</v>
      </c>
      <c r="S6698" s="434">
        <v>202303</v>
      </c>
      <c r="T6698" s="167" t="s">
        <v>8831</v>
      </c>
      <c r="U6698" s="436"/>
      <c r="V6698" s="509"/>
      <c r="W6698" s="437"/>
      <c r="X6698" s="163">
        <v>44774</v>
      </c>
      <c r="Y6698" s="163"/>
    </row>
    <row r="6699" s="9" customFormat="1" customHeight="1" spans="1:25">
      <c r="A6699" s="492" t="s">
        <v>403</v>
      </c>
      <c r="B6699" s="446" t="s">
        <v>8192</v>
      </c>
      <c r="C6699" s="492" t="s">
        <v>110</v>
      </c>
      <c r="D6699" s="446" t="s">
        <v>6237</v>
      </c>
      <c r="E6699" s="105" t="s">
        <v>875</v>
      </c>
      <c r="F6699" s="94" t="s">
        <v>8522</v>
      </c>
      <c r="G6699" s="493" t="s">
        <v>88</v>
      </c>
      <c r="H6699" s="19" t="s">
        <v>8479</v>
      </c>
      <c r="I6699" s="23" t="e">
        <f>VLOOKUP(H6699,'合同综合查询数据（3月返）'!$A:$A,1,FALSE)</f>
        <v>#N/A</v>
      </c>
      <c r="J6699" s="473" t="s">
        <v>126</v>
      </c>
      <c r="K6699" s="493" t="s">
        <v>8606</v>
      </c>
      <c r="L6699" s="493" t="s">
        <v>8828</v>
      </c>
      <c r="M6699" s="493" t="s">
        <v>8828</v>
      </c>
      <c r="N6699" s="252">
        <v>44186</v>
      </c>
      <c r="O6699" s="493" t="s">
        <v>1424</v>
      </c>
      <c r="P6699" s="494">
        <v>0</v>
      </c>
      <c r="Q6699" s="494">
        <v>12</v>
      </c>
      <c r="R6699" s="495">
        <f t="shared" si="155"/>
        <v>0</v>
      </c>
      <c r="S6699" s="456">
        <v>202303</v>
      </c>
      <c r="T6699" s="215" t="s">
        <v>8832</v>
      </c>
      <c r="U6699" s="488"/>
      <c r="V6699" s="458"/>
      <c r="W6699" s="458"/>
      <c r="X6699" s="190">
        <v>44774</v>
      </c>
      <c r="Y6699" s="38">
        <v>45138</v>
      </c>
    </row>
    <row r="6700" s="9" customFormat="1" customHeight="1" spans="1:25">
      <c r="A6700" s="492" t="s">
        <v>403</v>
      </c>
      <c r="B6700" s="446" t="s">
        <v>8192</v>
      </c>
      <c r="C6700" s="492" t="s">
        <v>110</v>
      </c>
      <c r="D6700" s="446" t="s">
        <v>6237</v>
      </c>
      <c r="E6700" s="105" t="s">
        <v>875</v>
      </c>
      <c r="F6700" s="94" t="s">
        <v>8522</v>
      </c>
      <c r="G6700" s="493" t="s">
        <v>88</v>
      </c>
      <c r="H6700" s="19" t="s">
        <v>8479</v>
      </c>
      <c r="I6700" s="23" t="e">
        <f>VLOOKUP(H6700,'合同综合查询数据（3月返）'!$A:$A,1,FALSE)</f>
        <v>#N/A</v>
      </c>
      <c r="J6700" s="473" t="s">
        <v>126</v>
      </c>
      <c r="K6700" s="493" t="s">
        <v>8606</v>
      </c>
      <c r="L6700" s="493" t="s">
        <v>8828</v>
      </c>
      <c r="M6700" s="493" t="s">
        <v>8828</v>
      </c>
      <c r="N6700" s="252">
        <v>44216</v>
      </c>
      <c r="O6700" s="493" t="s">
        <v>1424</v>
      </c>
      <c r="P6700" s="494">
        <v>0</v>
      </c>
      <c r="Q6700" s="494">
        <v>2</v>
      </c>
      <c r="R6700" s="495">
        <f t="shared" si="155"/>
        <v>0</v>
      </c>
      <c r="S6700" s="456">
        <v>202303</v>
      </c>
      <c r="T6700" s="215" t="s">
        <v>8833</v>
      </c>
      <c r="U6700" s="488"/>
      <c r="V6700" s="458"/>
      <c r="W6700" s="458"/>
      <c r="X6700" s="190">
        <v>44774</v>
      </c>
      <c r="Y6700" s="38">
        <v>45138</v>
      </c>
    </row>
    <row r="6701" s="10" customFormat="1" customHeight="1" spans="1:25">
      <c r="A6701" s="459" t="s">
        <v>403</v>
      </c>
      <c r="B6701" s="459" t="s">
        <v>8834</v>
      </c>
      <c r="C6701" s="60" t="s">
        <v>39</v>
      </c>
      <c r="D6701" s="459" t="s">
        <v>881</v>
      </c>
      <c r="E6701" s="63" t="s">
        <v>8835</v>
      </c>
      <c r="F6701" s="60" t="s">
        <v>8836</v>
      </c>
      <c r="G6701" s="60" t="s">
        <v>302</v>
      </c>
      <c r="H6701" s="102" t="s">
        <v>8837</v>
      </c>
      <c r="I6701" s="47" t="e">
        <f>VLOOKUP(H6701,'合同综合查询数据（3月返）'!$A:$A,1,FALSE)</f>
        <v>#N/A</v>
      </c>
      <c r="J6701" s="424" t="s">
        <v>302</v>
      </c>
      <c r="K6701" s="60" t="s">
        <v>8838</v>
      </c>
      <c r="L6701" s="164"/>
      <c r="M6701" s="429"/>
      <c r="N6701" s="461">
        <v>43756</v>
      </c>
      <c r="O6701" s="60" t="s">
        <v>1366</v>
      </c>
      <c r="P6701" s="475">
        <v>450000</v>
      </c>
      <c r="Q6701" s="475">
        <v>1</v>
      </c>
      <c r="R6701" s="69">
        <f t="shared" si="155"/>
        <v>450000</v>
      </c>
      <c r="S6701" s="434">
        <v>202303</v>
      </c>
      <c r="T6701" s="168" t="s">
        <v>8839</v>
      </c>
      <c r="U6701" s="465"/>
      <c r="V6701" s="437"/>
      <c r="W6701" s="437"/>
      <c r="X6701" s="163">
        <v>44927</v>
      </c>
      <c r="Y6701" s="468"/>
    </row>
    <row r="6702" s="10" customFormat="1" customHeight="1" spans="1:25">
      <c r="A6702" s="60" t="s">
        <v>403</v>
      </c>
      <c r="B6702" s="459" t="s">
        <v>8834</v>
      </c>
      <c r="C6702" s="60" t="s">
        <v>39</v>
      </c>
      <c r="D6702" s="62" t="s">
        <v>881</v>
      </c>
      <c r="E6702" s="63" t="s">
        <v>8835</v>
      </c>
      <c r="F6702" s="60" t="s">
        <v>8840</v>
      </c>
      <c r="G6702" s="60" t="s">
        <v>88</v>
      </c>
      <c r="H6702" s="480" t="s">
        <v>8841</v>
      </c>
      <c r="I6702" s="47" t="e">
        <f>VLOOKUP(H6702,'合同综合查询数据（3月返）'!$A:$A,1,FALSE)</f>
        <v>#N/A</v>
      </c>
      <c r="J6702" s="508" t="s">
        <v>90</v>
      </c>
      <c r="K6702" s="62" t="s">
        <v>8842</v>
      </c>
      <c r="L6702" s="62"/>
      <c r="M6702" s="429" t="s">
        <v>8843</v>
      </c>
      <c r="N6702" s="219">
        <v>43424</v>
      </c>
      <c r="O6702" s="219" t="s">
        <v>457</v>
      </c>
      <c r="P6702" s="431">
        <v>6000</v>
      </c>
      <c r="Q6702" s="464">
        <v>2</v>
      </c>
      <c r="R6702" s="464">
        <f t="shared" si="155"/>
        <v>12000</v>
      </c>
      <c r="S6702" s="434">
        <v>202303</v>
      </c>
      <c r="T6702" s="167" t="s">
        <v>8844</v>
      </c>
      <c r="U6702" s="436"/>
      <c r="V6702" s="437"/>
      <c r="W6702" s="437"/>
      <c r="X6702" s="442">
        <v>44866</v>
      </c>
      <c r="Y6702" s="468"/>
    </row>
    <row r="6703" s="10" customFormat="1" customHeight="1" spans="1:25">
      <c r="A6703" s="60" t="s">
        <v>403</v>
      </c>
      <c r="B6703" s="459" t="s">
        <v>8834</v>
      </c>
      <c r="C6703" s="60" t="s">
        <v>39</v>
      </c>
      <c r="D6703" s="62" t="s">
        <v>881</v>
      </c>
      <c r="E6703" s="63" t="s">
        <v>8835</v>
      </c>
      <c r="F6703" s="60" t="s">
        <v>8840</v>
      </c>
      <c r="G6703" s="60" t="s">
        <v>88</v>
      </c>
      <c r="H6703" s="480" t="s">
        <v>8841</v>
      </c>
      <c r="I6703" s="47" t="e">
        <f>VLOOKUP(H6703,'合同综合查询数据（3月返）'!$A:$A,1,FALSE)</f>
        <v>#N/A</v>
      </c>
      <c r="J6703" s="508" t="s">
        <v>3074</v>
      </c>
      <c r="K6703" s="62" t="s">
        <v>8842</v>
      </c>
      <c r="L6703" s="62"/>
      <c r="M6703" s="429" t="s">
        <v>8843</v>
      </c>
      <c r="N6703" s="219">
        <v>43426</v>
      </c>
      <c r="O6703" s="219" t="s">
        <v>457</v>
      </c>
      <c r="P6703" s="431">
        <v>6000</v>
      </c>
      <c r="Q6703" s="464">
        <v>15</v>
      </c>
      <c r="R6703" s="464">
        <f t="shared" si="155"/>
        <v>90000</v>
      </c>
      <c r="S6703" s="434">
        <v>202303</v>
      </c>
      <c r="T6703" s="167" t="s">
        <v>8845</v>
      </c>
      <c r="U6703" s="436"/>
      <c r="V6703" s="437"/>
      <c r="W6703" s="437"/>
      <c r="X6703" s="442">
        <v>44866</v>
      </c>
      <c r="Y6703" s="468"/>
    </row>
    <row r="6704" s="10" customFormat="1" customHeight="1" spans="1:25">
      <c r="A6704" s="60" t="s">
        <v>403</v>
      </c>
      <c r="B6704" s="459" t="s">
        <v>8834</v>
      </c>
      <c r="C6704" s="60" t="s">
        <v>39</v>
      </c>
      <c r="D6704" s="62" t="s">
        <v>881</v>
      </c>
      <c r="E6704" s="63" t="s">
        <v>8835</v>
      </c>
      <c r="F6704" s="60" t="s">
        <v>8840</v>
      </c>
      <c r="G6704" s="60" t="s">
        <v>88</v>
      </c>
      <c r="H6704" s="480" t="s">
        <v>8841</v>
      </c>
      <c r="I6704" s="47" t="e">
        <f>VLOOKUP(H6704,'合同综合查询数据（3月返）'!$A:$A,1,FALSE)</f>
        <v>#N/A</v>
      </c>
      <c r="J6704" s="508" t="s">
        <v>3074</v>
      </c>
      <c r="K6704" s="62" t="s">
        <v>8842</v>
      </c>
      <c r="L6704" s="62"/>
      <c r="M6704" s="429" t="s">
        <v>8843</v>
      </c>
      <c r="N6704" s="219">
        <v>43430</v>
      </c>
      <c r="O6704" s="219" t="s">
        <v>457</v>
      </c>
      <c r="P6704" s="431">
        <v>6000</v>
      </c>
      <c r="Q6704" s="464">
        <v>15</v>
      </c>
      <c r="R6704" s="464">
        <f t="shared" si="155"/>
        <v>90000</v>
      </c>
      <c r="S6704" s="434">
        <v>202303</v>
      </c>
      <c r="T6704" s="167" t="s">
        <v>8846</v>
      </c>
      <c r="U6704" s="436"/>
      <c r="V6704" s="437"/>
      <c r="W6704" s="437"/>
      <c r="X6704" s="442">
        <v>44866</v>
      </c>
      <c r="Y6704" s="468"/>
    </row>
    <row r="6705" s="10" customFormat="1" customHeight="1" spans="1:25">
      <c r="A6705" s="60" t="s">
        <v>403</v>
      </c>
      <c r="B6705" s="459" t="s">
        <v>8834</v>
      </c>
      <c r="C6705" s="60" t="s">
        <v>39</v>
      </c>
      <c r="D6705" s="62" t="s">
        <v>881</v>
      </c>
      <c r="E6705" s="63" t="s">
        <v>8835</v>
      </c>
      <c r="F6705" s="60" t="s">
        <v>8840</v>
      </c>
      <c r="G6705" s="60" t="s">
        <v>88</v>
      </c>
      <c r="H6705" s="480" t="s">
        <v>8841</v>
      </c>
      <c r="I6705" s="47" t="e">
        <f>VLOOKUP(H6705,'合同综合查询数据（3月返）'!$A:$A,1,FALSE)</f>
        <v>#N/A</v>
      </c>
      <c r="J6705" s="508" t="s">
        <v>3074</v>
      </c>
      <c r="K6705" s="62" t="s">
        <v>8842</v>
      </c>
      <c r="L6705" s="62"/>
      <c r="M6705" s="429" t="s">
        <v>8843</v>
      </c>
      <c r="N6705" s="219">
        <v>43431</v>
      </c>
      <c r="O6705" s="219" t="s">
        <v>457</v>
      </c>
      <c r="P6705" s="431">
        <v>6000</v>
      </c>
      <c r="Q6705" s="464">
        <v>23</v>
      </c>
      <c r="R6705" s="464">
        <f t="shared" si="155"/>
        <v>138000</v>
      </c>
      <c r="S6705" s="434">
        <v>202303</v>
      </c>
      <c r="T6705" s="167" t="s">
        <v>8847</v>
      </c>
      <c r="U6705" s="436"/>
      <c r="V6705" s="437"/>
      <c r="W6705" s="437"/>
      <c r="X6705" s="442">
        <v>44866</v>
      </c>
      <c r="Y6705" s="468"/>
    </row>
    <row r="6706" s="10" customFormat="1" customHeight="1" spans="1:25">
      <c r="A6706" s="60" t="s">
        <v>403</v>
      </c>
      <c r="B6706" s="459" t="s">
        <v>8834</v>
      </c>
      <c r="C6706" s="60" t="s">
        <v>39</v>
      </c>
      <c r="D6706" s="62" t="s">
        <v>881</v>
      </c>
      <c r="E6706" s="63" t="s">
        <v>8835</v>
      </c>
      <c r="F6706" s="60" t="s">
        <v>8840</v>
      </c>
      <c r="G6706" s="60" t="s">
        <v>88</v>
      </c>
      <c r="H6706" s="480" t="s">
        <v>8841</v>
      </c>
      <c r="I6706" s="47" t="e">
        <f>VLOOKUP(H6706,'合同综合查询数据（3月返）'!$A:$A,1,FALSE)</f>
        <v>#N/A</v>
      </c>
      <c r="J6706" s="508" t="s">
        <v>3074</v>
      </c>
      <c r="K6706" s="62" t="s">
        <v>8842</v>
      </c>
      <c r="L6706" s="62"/>
      <c r="M6706" s="429" t="s">
        <v>8843</v>
      </c>
      <c r="N6706" s="219">
        <v>43432</v>
      </c>
      <c r="O6706" s="219" t="s">
        <v>457</v>
      </c>
      <c r="P6706" s="431">
        <v>6000</v>
      </c>
      <c r="Q6706" s="464">
        <v>27</v>
      </c>
      <c r="R6706" s="464">
        <f t="shared" si="155"/>
        <v>162000</v>
      </c>
      <c r="S6706" s="434">
        <v>202303</v>
      </c>
      <c r="T6706" s="167" t="s">
        <v>8848</v>
      </c>
      <c r="U6706" s="436"/>
      <c r="V6706" s="437"/>
      <c r="W6706" s="437"/>
      <c r="X6706" s="442">
        <v>44866</v>
      </c>
      <c r="Y6706" s="468"/>
    </row>
    <row r="6707" s="10" customFormat="1" customHeight="1" spans="1:25">
      <c r="A6707" s="60" t="s">
        <v>403</v>
      </c>
      <c r="B6707" s="459" t="s">
        <v>8834</v>
      </c>
      <c r="C6707" s="60" t="s">
        <v>39</v>
      </c>
      <c r="D6707" s="62" t="s">
        <v>881</v>
      </c>
      <c r="E6707" s="63" t="s">
        <v>8835</v>
      </c>
      <c r="F6707" s="60" t="s">
        <v>8840</v>
      </c>
      <c r="G6707" s="60" t="s">
        <v>88</v>
      </c>
      <c r="H6707" s="480" t="s">
        <v>8841</v>
      </c>
      <c r="I6707" s="47" t="e">
        <f>VLOOKUP(H6707,'合同综合查询数据（3月返）'!$A:$A,1,FALSE)</f>
        <v>#N/A</v>
      </c>
      <c r="J6707" s="60" t="s">
        <v>3074</v>
      </c>
      <c r="K6707" s="62" t="s">
        <v>8842</v>
      </c>
      <c r="L6707" s="60"/>
      <c r="M6707" s="429" t="s">
        <v>8843</v>
      </c>
      <c r="N6707" s="219">
        <v>43433</v>
      </c>
      <c r="O6707" s="234" t="s">
        <v>457</v>
      </c>
      <c r="P6707" s="507">
        <v>6000</v>
      </c>
      <c r="Q6707" s="464">
        <v>12</v>
      </c>
      <c r="R6707" s="464">
        <f t="shared" si="155"/>
        <v>72000</v>
      </c>
      <c r="S6707" s="434">
        <v>202303</v>
      </c>
      <c r="T6707" s="167" t="s">
        <v>8849</v>
      </c>
      <c r="U6707" s="436"/>
      <c r="V6707" s="437"/>
      <c r="W6707" s="437"/>
      <c r="X6707" s="442">
        <v>44866</v>
      </c>
      <c r="Y6707" s="468"/>
    </row>
    <row r="6708" s="10" customFormat="1" customHeight="1" spans="1:25">
      <c r="A6708" s="60" t="s">
        <v>403</v>
      </c>
      <c r="B6708" s="459" t="s">
        <v>8834</v>
      </c>
      <c r="C6708" s="60" t="s">
        <v>39</v>
      </c>
      <c r="D6708" s="62" t="s">
        <v>881</v>
      </c>
      <c r="E6708" s="63" t="s">
        <v>8835</v>
      </c>
      <c r="F6708" s="60" t="s">
        <v>8840</v>
      </c>
      <c r="G6708" s="60" t="s">
        <v>88</v>
      </c>
      <c r="H6708" s="480" t="s">
        <v>8841</v>
      </c>
      <c r="I6708" s="47" t="e">
        <f>VLOOKUP(H6708,'合同综合查询数据（3月返）'!$A:$A,1,FALSE)</f>
        <v>#N/A</v>
      </c>
      <c r="J6708" s="60" t="s">
        <v>3074</v>
      </c>
      <c r="K6708" s="62" t="s">
        <v>8842</v>
      </c>
      <c r="L6708" s="60"/>
      <c r="M6708" s="429" t="s">
        <v>8843</v>
      </c>
      <c r="N6708" s="219">
        <v>43440</v>
      </c>
      <c r="O6708" s="234" t="s">
        <v>457</v>
      </c>
      <c r="P6708" s="507">
        <v>6000</v>
      </c>
      <c r="Q6708" s="464">
        <v>1</v>
      </c>
      <c r="R6708" s="464">
        <f t="shared" si="155"/>
        <v>6000</v>
      </c>
      <c r="S6708" s="434">
        <v>202303</v>
      </c>
      <c r="T6708" s="167" t="s">
        <v>8850</v>
      </c>
      <c r="U6708" s="436"/>
      <c r="V6708" s="437"/>
      <c r="W6708" s="437"/>
      <c r="X6708" s="442">
        <v>44866</v>
      </c>
      <c r="Y6708" s="468"/>
    </row>
    <row r="6709" s="10" customFormat="1" customHeight="1" spans="1:25">
      <c r="A6709" s="60" t="s">
        <v>403</v>
      </c>
      <c r="B6709" s="459" t="s">
        <v>8834</v>
      </c>
      <c r="C6709" s="60" t="s">
        <v>39</v>
      </c>
      <c r="D6709" s="62" t="s">
        <v>881</v>
      </c>
      <c r="E6709" s="63" t="s">
        <v>8835</v>
      </c>
      <c r="F6709" s="60" t="s">
        <v>8840</v>
      </c>
      <c r="G6709" s="60" t="s">
        <v>88</v>
      </c>
      <c r="H6709" s="480" t="s">
        <v>8841</v>
      </c>
      <c r="I6709" s="47" t="e">
        <f>VLOOKUP(H6709,'合同综合查询数据（3月返）'!$A:$A,1,FALSE)</f>
        <v>#N/A</v>
      </c>
      <c r="J6709" s="60" t="s">
        <v>3074</v>
      </c>
      <c r="K6709" s="62" t="s">
        <v>8842</v>
      </c>
      <c r="L6709" s="60"/>
      <c r="M6709" s="429" t="s">
        <v>8843</v>
      </c>
      <c r="N6709" s="219">
        <v>43447</v>
      </c>
      <c r="O6709" s="234" t="s">
        <v>457</v>
      </c>
      <c r="P6709" s="507">
        <v>6000</v>
      </c>
      <c r="Q6709" s="464">
        <v>3</v>
      </c>
      <c r="R6709" s="464">
        <f t="shared" si="155"/>
        <v>18000</v>
      </c>
      <c r="S6709" s="434">
        <v>202303</v>
      </c>
      <c r="T6709" s="167" t="s">
        <v>8851</v>
      </c>
      <c r="U6709" s="436"/>
      <c r="V6709" s="437"/>
      <c r="W6709" s="437"/>
      <c r="X6709" s="442">
        <v>44866</v>
      </c>
      <c r="Y6709" s="468"/>
    </row>
    <row r="6710" s="10" customFormat="1" customHeight="1" spans="1:25">
      <c r="A6710" s="60" t="s">
        <v>403</v>
      </c>
      <c r="B6710" s="459" t="s">
        <v>8834</v>
      </c>
      <c r="C6710" s="60" t="s">
        <v>39</v>
      </c>
      <c r="D6710" s="62" t="s">
        <v>881</v>
      </c>
      <c r="E6710" s="63" t="s">
        <v>8835</v>
      </c>
      <c r="F6710" s="60" t="s">
        <v>8840</v>
      </c>
      <c r="G6710" s="60" t="s">
        <v>88</v>
      </c>
      <c r="H6710" s="480" t="s">
        <v>8841</v>
      </c>
      <c r="I6710" s="47" t="e">
        <f>VLOOKUP(H6710,'合同综合查询数据（3月返）'!$A:$A,1,FALSE)</f>
        <v>#N/A</v>
      </c>
      <c r="J6710" s="60" t="s">
        <v>90</v>
      </c>
      <c r="K6710" s="62" t="s">
        <v>8842</v>
      </c>
      <c r="L6710" s="60"/>
      <c r="M6710" s="429" t="s">
        <v>8843</v>
      </c>
      <c r="N6710" s="219">
        <v>43426</v>
      </c>
      <c r="O6710" s="219" t="s">
        <v>1459</v>
      </c>
      <c r="P6710" s="507">
        <v>10000</v>
      </c>
      <c r="Q6710" s="464">
        <v>27</v>
      </c>
      <c r="R6710" s="464">
        <f t="shared" si="155"/>
        <v>270000</v>
      </c>
      <c r="S6710" s="434">
        <v>202303</v>
      </c>
      <c r="T6710" s="167" t="s">
        <v>8852</v>
      </c>
      <c r="U6710" s="436"/>
      <c r="V6710" s="437"/>
      <c r="W6710" s="437"/>
      <c r="X6710" s="442">
        <v>44866</v>
      </c>
      <c r="Y6710" s="468"/>
    </row>
    <row r="6711" s="10" customFormat="1" customHeight="1" spans="1:25">
      <c r="A6711" s="60" t="s">
        <v>403</v>
      </c>
      <c r="B6711" s="459" t="s">
        <v>8834</v>
      </c>
      <c r="C6711" s="60" t="s">
        <v>39</v>
      </c>
      <c r="D6711" s="62" t="s">
        <v>881</v>
      </c>
      <c r="E6711" s="63" t="s">
        <v>8835</v>
      </c>
      <c r="F6711" s="60" t="s">
        <v>8840</v>
      </c>
      <c r="G6711" s="60" t="s">
        <v>88</v>
      </c>
      <c r="H6711" s="480" t="s">
        <v>8841</v>
      </c>
      <c r="I6711" s="47" t="e">
        <f>VLOOKUP(H6711,'合同综合查询数据（3月返）'!$A:$A,1,FALSE)</f>
        <v>#N/A</v>
      </c>
      <c r="J6711" s="60" t="s">
        <v>90</v>
      </c>
      <c r="K6711" s="62" t="s">
        <v>8842</v>
      </c>
      <c r="L6711" s="60"/>
      <c r="M6711" s="429" t="s">
        <v>8843</v>
      </c>
      <c r="N6711" s="219">
        <v>43525</v>
      </c>
      <c r="O6711" s="219" t="s">
        <v>457</v>
      </c>
      <c r="P6711" s="507">
        <v>6000</v>
      </c>
      <c r="Q6711" s="464">
        <v>39</v>
      </c>
      <c r="R6711" s="464">
        <f t="shared" si="155"/>
        <v>234000</v>
      </c>
      <c r="S6711" s="434">
        <v>202303</v>
      </c>
      <c r="T6711" s="167"/>
      <c r="U6711" s="436"/>
      <c r="V6711" s="437"/>
      <c r="W6711" s="437"/>
      <c r="X6711" s="442">
        <v>44866</v>
      </c>
      <c r="Y6711" s="468"/>
    </row>
    <row r="6712" s="10" customFormat="1" customHeight="1" spans="1:25">
      <c r="A6712" s="60" t="s">
        <v>403</v>
      </c>
      <c r="B6712" s="459" t="s">
        <v>8834</v>
      </c>
      <c r="C6712" s="60" t="s">
        <v>39</v>
      </c>
      <c r="D6712" s="62" t="s">
        <v>881</v>
      </c>
      <c r="E6712" s="63" t="s">
        <v>8835</v>
      </c>
      <c r="F6712" s="60" t="s">
        <v>8840</v>
      </c>
      <c r="G6712" s="60" t="s">
        <v>88</v>
      </c>
      <c r="H6712" s="480" t="s">
        <v>8841</v>
      </c>
      <c r="I6712" s="47" t="e">
        <f>VLOOKUP(H6712,'合同综合查询数据（3月返）'!$A:$A,1,FALSE)</f>
        <v>#N/A</v>
      </c>
      <c r="J6712" s="60" t="s">
        <v>90</v>
      </c>
      <c r="K6712" s="62" t="s">
        <v>8842</v>
      </c>
      <c r="L6712" s="60"/>
      <c r="M6712" s="429" t="s">
        <v>8843</v>
      </c>
      <c r="N6712" s="219">
        <v>43544</v>
      </c>
      <c r="O6712" s="219" t="s">
        <v>457</v>
      </c>
      <c r="P6712" s="507">
        <v>6000</v>
      </c>
      <c r="Q6712" s="464">
        <v>20</v>
      </c>
      <c r="R6712" s="464">
        <f t="shared" si="155"/>
        <v>120000</v>
      </c>
      <c r="S6712" s="434">
        <v>202303</v>
      </c>
      <c r="T6712" s="167" t="s">
        <v>8853</v>
      </c>
      <c r="U6712" s="436"/>
      <c r="V6712" s="437"/>
      <c r="W6712" s="437"/>
      <c r="X6712" s="442">
        <v>44866</v>
      </c>
      <c r="Y6712" s="468"/>
    </row>
    <row r="6713" s="10" customFormat="1" customHeight="1" spans="1:25">
      <c r="A6713" s="60" t="s">
        <v>403</v>
      </c>
      <c r="B6713" s="459" t="s">
        <v>8834</v>
      </c>
      <c r="C6713" s="60" t="s">
        <v>39</v>
      </c>
      <c r="D6713" s="62" t="s">
        <v>881</v>
      </c>
      <c r="E6713" s="63" t="s">
        <v>8835</v>
      </c>
      <c r="F6713" s="60" t="s">
        <v>8840</v>
      </c>
      <c r="G6713" s="60" t="s">
        <v>88</v>
      </c>
      <c r="H6713" s="480" t="s">
        <v>8841</v>
      </c>
      <c r="I6713" s="47" t="e">
        <f>VLOOKUP(H6713,'合同综合查询数据（3月返）'!$A:$A,1,FALSE)</f>
        <v>#N/A</v>
      </c>
      <c r="J6713" s="60" t="s">
        <v>90</v>
      </c>
      <c r="K6713" s="62" t="s">
        <v>8842</v>
      </c>
      <c r="L6713" s="60"/>
      <c r="M6713" s="429" t="s">
        <v>8843</v>
      </c>
      <c r="N6713" s="219">
        <v>43546</v>
      </c>
      <c r="O6713" s="219" t="s">
        <v>457</v>
      </c>
      <c r="P6713" s="507">
        <v>6000</v>
      </c>
      <c r="Q6713" s="464">
        <v>3</v>
      </c>
      <c r="R6713" s="464">
        <f t="shared" si="155"/>
        <v>18000</v>
      </c>
      <c r="S6713" s="434">
        <v>202303</v>
      </c>
      <c r="T6713" s="167" t="s">
        <v>8854</v>
      </c>
      <c r="U6713" s="436"/>
      <c r="V6713" s="437"/>
      <c r="W6713" s="437"/>
      <c r="X6713" s="442">
        <v>44866</v>
      </c>
      <c r="Y6713" s="468"/>
    </row>
    <row r="6714" s="10" customFormat="1" customHeight="1" spans="1:25">
      <c r="A6714" s="60" t="s">
        <v>403</v>
      </c>
      <c r="B6714" s="459" t="s">
        <v>8834</v>
      </c>
      <c r="C6714" s="60" t="s">
        <v>39</v>
      </c>
      <c r="D6714" s="62" t="s">
        <v>881</v>
      </c>
      <c r="E6714" s="63" t="s">
        <v>8835</v>
      </c>
      <c r="F6714" s="60" t="s">
        <v>8840</v>
      </c>
      <c r="G6714" s="60" t="s">
        <v>88</v>
      </c>
      <c r="H6714" s="480" t="s">
        <v>8841</v>
      </c>
      <c r="I6714" s="47" t="e">
        <f>VLOOKUP(H6714,'合同综合查询数据（3月返）'!$A:$A,1,FALSE)</f>
        <v>#N/A</v>
      </c>
      <c r="J6714" s="60" t="s">
        <v>90</v>
      </c>
      <c r="K6714" s="62" t="s">
        <v>8842</v>
      </c>
      <c r="L6714" s="60"/>
      <c r="M6714" s="429" t="s">
        <v>8843</v>
      </c>
      <c r="N6714" s="219">
        <v>43615</v>
      </c>
      <c r="O6714" s="234" t="s">
        <v>457</v>
      </c>
      <c r="P6714" s="507">
        <v>6000</v>
      </c>
      <c r="Q6714" s="464">
        <v>9</v>
      </c>
      <c r="R6714" s="464">
        <f t="shared" si="155"/>
        <v>54000</v>
      </c>
      <c r="S6714" s="434">
        <v>202303</v>
      </c>
      <c r="T6714" s="167" t="s">
        <v>8855</v>
      </c>
      <c r="U6714" s="436"/>
      <c r="V6714" s="437"/>
      <c r="W6714" s="437"/>
      <c r="X6714" s="442">
        <v>44866</v>
      </c>
      <c r="Y6714" s="468"/>
    </row>
    <row r="6715" s="10" customFormat="1" customHeight="1" spans="1:25">
      <c r="A6715" s="60" t="s">
        <v>403</v>
      </c>
      <c r="B6715" s="459" t="s">
        <v>8834</v>
      </c>
      <c r="C6715" s="60" t="s">
        <v>39</v>
      </c>
      <c r="D6715" s="62" t="s">
        <v>881</v>
      </c>
      <c r="E6715" s="63" t="s">
        <v>8835</v>
      </c>
      <c r="F6715" s="60" t="s">
        <v>8840</v>
      </c>
      <c r="G6715" s="60" t="s">
        <v>88</v>
      </c>
      <c r="H6715" s="480" t="s">
        <v>8841</v>
      </c>
      <c r="I6715" s="47" t="e">
        <f>VLOOKUP(H6715,'合同综合查询数据（3月返）'!$A:$A,1,FALSE)</f>
        <v>#N/A</v>
      </c>
      <c r="J6715" s="60" t="s">
        <v>90</v>
      </c>
      <c r="K6715" s="62" t="s">
        <v>8842</v>
      </c>
      <c r="L6715" s="60"/>
      <c r="M6715" s="429" t="s">
        <v>8843</v>
      </c>
      <c r="N6715" s="219">
        <v>43640</v>
      </c>
      <c r="O6715" s="234" t="s">
        <v>457</v>
      </c>
      <c r="P6715" s="507">
        <v>6000</v>
      </c>
      <c r="Q6715" s="464">
        <v>30</v>
      </c>
      <c r="R6715" s="464">
        <f t="shared" si="155"/>
        <v>180000</v>
      </c>
      <c r="S6715" s="434">
        <v>202303</v>
      </c>
      <c r="T6715" s="167" t="s">
        <v>8856</v>
      </c>
      <c r="U6715" s="436"/>
      <c r="V6715" s="437"/>
      <c r="W6715" s="437"/>
      <c r="X6715" s="442">
        <v>44866</v>
      </c>
      <c r="Y6715" s="468"/>
    </row>
    <row r="6716" s="10" customFormat="1" customHeight="1" spans="1:25">
      <c r="A6716" s="60" t="s">
        <v>403</v>
      </c>
      <c r="B6716" s="459" t="s">
        <v>8834</v>
      </c>
      <c r="C6716" s="60" t="s">
        <v>39</v>
      </c>
      <c r="D6716" s="62" t="s">
        <v>881</v>
      </c>
      <c r="E6716" s="63" t="s">
        <v>8835</v>
      </c>
      <c r="F6716" s="60" t="s">
        <v>8840</v>
      </c>
      <c r="G6716" s="60" t="s">
        <v>88</v>
      </c>
      <c r="H6716" s="480" t="s">
        <v>8841</v>
      </c>
      <c r="I6716" s="47" t="e">
        <f>VLOOKUP(H6716,'合同综合查询数据（3月返）'!$A:$A,1,FALSE)</f>
        <v>#N/A</v>
      </c>
      <c r="J6716" s="60" t="s">
        <v>90</v>
      </c>
      <c r="K6716" s="62" t="s">
        <v>8842</v>
      </c>
      <c r="L6716" s="60"/>
      <c r="M6716" s="429" t="s">
        <v>8843</v>
      </c>
      <c r="N6716" s="219">
        <v>43650</v>
      </c>
      <c r="O6716" s="234" t="s">
        <v>457</v>
      </c>
      <c r="P6716" s="507">
        <v>6000</v>
      </c>
      <c r="Q6716" s="464">
        <v>30</v>
      </c>
      <c r="R6716" s="464">
        <f t="shared" si="155"/>
        <v>180000</v>
      </c>
      <c r="S6716" s="434">
        <v>202303</v>
      </c>
      <c r="T6716" s="167"/>
      <c r="U6716" s="436"/>
      <c r="V6716" s="437"/>
      <c r="W6716" s="437"/>
      <c r="X6716" s="442">
        <v>44866</v>
      </c>
      <c r="Y6716" s="468"/>
    </row>
    <row r="6717" s="10" customFormat="1" customHeight="1" spans="1:25">
      <c r="A6717" s="60" t="s">
        <v>403</v>
      </c>
      <c r="B6717" s="459" t="s">
        <v>8834</v>
      </c>
      <c r="C6717" s="60" t="s">
        <v>39</v>
      </c>
      <c r="D6717" s="62" t="s">
        <v>881</v>
      </c>
      <c r="E6717" s="63" t="s">
        <v>8835</v>
      </c>
      <c r="F6717" s="60" t="s">
        <v>8840</v>
      </c>
      <c r="G6717" s="60" t="s">
        <v>88</v>
      </c>
      <c r="H6717" s="480" t="s">
        <v>8841</v>
      </c>
      <c r="I6717" s="47" t="e">
        <f>VLOOKUP(H6717,'合同综合查询数据（3月返）'!$A:$A,1,FALSE)</f>
        <v>#N/A</v>
      </c>
      <c r="J6717" s="60" t="s">
        <v>90</v>
      </c>
      <c r="K6717" s="62" t="s">
        <v>8842</v>
      </c>
      <c r="L6717" s="60"/>
      <c r="M6717" s="429" t="s">
        <v>8843</v>
      </c>
      <c r="N6717" s="219">
        <v>43656</v>
      </c>
      <c r="O6717" s="234" t="s">
        <v>457</v>
      </c>
      <c r="P6717" s="507">
        <v>6000</v>
      </c>
      <c r="Q6717" s="464">
        <v>36</v>
      </c>
      <c r="R6717" s="464">
        <f t="shared" si="155"/>
        <v>216000</v>
      </c>
      <c r="S6717" s="434">
        <v>202303</v>
      </c>
      <c r="T6717" s="167"/>
      <c r="U6717" s="436"/>
      <c r="V6717" s="437"/>
      <c r="W6717" s="437"/>
      <c r="X6717" s="442">
        <v>44866</v>
      </c>
      <c r="Y6717" s="468"/>
    </row>
    <row r="6718" s="10" customFormat="1" customHeight="1" spans="1:25">
      <c r="A6718" s="60" t="s">
        <v>403</v>
      </c>
      <c r="B6718" s="459" t="s">
        <v>8834</v>
      </c>
      <c r="C6718" s="60" t="s">
        <v>39</v>
      </c>
      <c r="D6718" s="62" t="s">
        <v>881</v>
      </c>
      <c r="E6718" s="63" t="s">
        <v>8835</v>
      </c>
      <c r="F6718" s="60" t="s">
        <v>8840</v>
      </c>
      <c r="G6718" s="60" t="s">
        <v>88</v>
      </c>
      <c r="H6718" s="480" t="s">
        <v>8841</v>
      </c>
      <c r="I6718" s="47" t="e">
        <f>VLOOKUP(H6718,'合同综合查询数据（3月返）'!$A:$A,1,FALSE)</f>
        <v>#N/A</v>
      </c>
      <c r="J6718" s="60" t="s">
        <v>90</v>
      </c>
      <c r="K6718" s="62" t="s">
        <v>8842</v>
      </c>
      <c r="L6718" s="60"/>
      <c r="M6718" s="429" t="s">
        <v>8843</v>
      </c>
      <c r="N6718" s="219">
        <v>43669</v>
      </c>
      <c r="O6718" s="234" t="s">
        <v>457</v>
      </c>
      <c r="P6718" s="507">
        <v>6000</v>
      </c>
      <c r="Q6718" s="464">
        <v>10</v>
      </c>
      <c r="R6718" s="464">
        <f t="shared" si="155"/>
        <v>60000</v>
      </c>
      <c r="S6718" s="434">
        <v>202303</v>
      </c>
      <c r="T6718" s="167"/>
      <c r="U6718" s="436"/>
      <c r="V6718" s="437"/>
      <c r="W6718" s="437"/>
      <c r="X6718" s="442">
        <v>44866</v>
      </c>
      <c r="Y6718" s="468"/>
    </row>
    <row r="6719" s="10" customFormat="1" customHeight="1" spans="1:25">
      <c r="A6719" s="60" t="s">
        <v>403</v>
      </c>
      <c r="B6719" s="459" t="s">
        <v>8834</v>
      </c>
      <c r="C6719" s="60" t="s">
        <v>39</v>
      </c>
      <c r="D6719" s="62" t="s">
        <v>881</v>
      </c>
      <c r="E6719" s="63" t="s">
        <v>8835</v>
      </c>
      <c r="F6719" s="60" t="s">
        <v>8840</v>
      </c>
      <c r="G6719" s="60" t="s">
        <v>88</v>
      </c>
      <c r="H6719" s="480" t="s">
        <v>8841</v>
      </c>
      <c r="I6719" s="47" t="e">
        <f>VLOOKUP(H6719,'合同综合查询数据（3月返）'!$A:$A,1,FALSE)</f>
        <v>#N/A</v>
      </c>
      <c r="J6719" s="60" t="s">
        <v>90</v>
      </c>
      <c r="K6719" s="62" t="s">
        <v>8842</v>
      </c>
      <c r="L6719" s="60"/>
      <c r="M6719" s="429" t="s">
        <v>8843</v>
      </c>
      <c r="N6719" s="219">
        <v>43713</v>
      </c>
      <c r="O6719" s="234" t="s">
        <v>457</v>
      </c>
      <c r="P6719" s="507">
        <v>6000</v>
      </c>
      <c r="Q6719" s="464">
        <v>3</v>
      </c>
      <c r="R6719" s="68">
        <f t="shared" si="155"/>
        <v>18000</v>
      </c>
      <c r="S6719" s="434">
        <v>202303</v>
      </c>
      <c r="T6719" s="167" t="s">
        <v>8857</v>
      </c>
      <c r="U6719" s="465"/>
      <c r="V6719" s="437"/>
      <c r="W6719" s="437"/>
      <c r="X6719" s="442">
        <v>44866</v>
      </c>
      <c r="Y6719" s="468"/>
    </row>
    <row r="6720" s="10" customFormat="1" customHeight="1" spans="1:25">
      <c r="A6720" s="60" t="s">
        <v>403</v>
      </c>
      <c r="B6720" s="459" t="s">
        <v>8834</v>
      </c>
      <c r="C6720" s="60" t="s">
        <v>39</v>
      </c>
      <c r="D6720" s="62" t="s">
        <v>881</v>
      </c>
      <c r="E6720" s="63" t="s">
        <v>8835</v>
      </c>
      <c r="F6720" s="60" t="s">
        <v>8840</v>
      </c>
      <c r="G6720" s="60" t="s">
        <v>88</v>
      </c>
      <c r="H6720" s="480" t="s">
        <v>8841</v>
      </c>
      <c r="I6720" s="47" t="e">
        <f>VLOOKUP(H6720,'合同综合查询数据（3月返）'!$A:$A,1,FALSE)</f>
        <v>#N/A</v>
      </c>
      <c r="J6720" s="60" t="s">
        <v>90</v>
      </c>
      <c r="K6720" s="62" t="s">
        <v>8842</v>
      </c>
      <c r="L6720" s="60"/>
      <c r="M6720" s="429" t="s">
        <v>8843</v>
      </c>
      <c r="N6720" s="219">
        <v>43923</v>
      </c>
      <c r="O6720" s="234" t="s">
        <v>457</v>
      </c>
      <c r="P6720" s="507">
        <v>6000</v>
      </c>
      <c r="Q6720" s="464">
        <v>3</v>
      </c>
      <c r="R6720" s="69">
        <f t="shared" si="155"/>
        <v>18000</v>
      </c>
      <c r="S6720" s="434">
        <v>202303</v>
      </c>
      <c r="T6720" s="167" t="s">
        <v>8858</v>
      </c>
      <c r="U6720" s="465"/>
      <c r="V6720" s="437"/>
      <c r="W6720" s="437"/>
      <c r="X6720" s="442">
        <v>44866</v>
      </c>
      <c r="Y6720" s="468"/>
    </row>
    <row r="6721" s="10" customFormat="1" customHeight="1" spans="1:25">
      <c r="A6721" s="60" t="s">
        <v>403</v>
      </c>
      <c r="B6721" s="459" t="s">
        <v>8834</v>
      </c>
      <c r="C6721" s="60" t="s">
        <v>39</v>
      </c>
      <c r="D6721" s="62" t="s">
        <v>881</v>
      </c>
      <c r="E6721" s="63" t="s">
        <v>8835</v>
      </c>
      <c r="F6721" s="60" t="s">
        <v>8840</v>
      </c>
      <c r="G6721" s="60" t="s">
        <v>88</v>
      </c>
      <c r="H6721" s="480" t="s">
        <v>8841</v>
      </c>
      <c r="I6721" s="47" t="e">
        <f>VLOOKUP(H6721,'合同综合查询数据（3月返）'!$A:$A,1,FALSE)</f>
        <v>#N/A</v>
      </c>
      <c r="J6721" s="60" t="s">
        <v>90</v>
      </c>
      <c r="K6721" s="62" t="s">
        <v>8842</v>
      </c>
      <c r="L6721" s="60"/>
      <c r="M6721" s="429" t="s">
        <v>8843</v>
      </c>
      <c r="N6721" s="219">
        <v>43990</v>
      </c>
      <c r="O6721" s="234" t="s">
        <v>1459</v>
      </c>
      <c r="P6721" s="507">
        <v>10000</v>
      </c>
      <c r="Q6721" s="464">
        <v>4</v>
      </c>
      <c r="R6721" s="69">
        <f t="shared" si="155"/>
        <v>40000</v>
      </c>
      <c r="S6721" s="434">
        <v>202303</v>
      </c>
      <c r="T6721" s="515" t="s">
        <v>8859</v>
      </c>
      <c r="U6721" s="465"/>
      <c r="V6721" s="437"/>
      <c r="W6721" s="437"/>
      <c r="X6721" s="442">
        <v>44866</v>
      </c>
      <c r="Y6721" s="468"/>
    </row>
    <row r="6722" s="10" customFormat="1" customHeight="1" spans="1:25">
      <c r="A6722" s="60" t="s">
        <v>403</v>
      </c>
      <c r="B6722" s="459" t="s">
        <v>8834</v>
      </c>
      <c r="C6722" s="60" t="s">
        <v>39</v>
      </c>
      <c r="D6722" s="62" t="s">
        <v>881</v>
      </c>
      <c r="E6722" s="63" t="s">
        <v>8835</v>
      </c>
      <c r="F6722" s="60" t="s">
        <v>8840</v>
      </c>
      <c r="G6722" s="60" t="s">
        <v>88</v>
      </c>
      <c r="H6722" s="480" t="s">
        <v>8841</v>
      </c>
      <c r="I6722" s="47" t="e">
        <f>VLOOKUP(H6722,'合同综合查询数据（3月返）'!$A:$A,1,FALSE)</f>
        <v>#N/A</v>
      </c>
      <c r="J6722" s="60" t="s">
        <v>90</v>
      </c>
      <c r="K6722" s="62" t="s">
        <v>8842</v>
      </c>
      <c r="L6722" s="60"/>
      <c r="M6722" s="429" t="s">
        <v>8843</v>
      </c>
      <c r="N6722" s="219">
        <v>44211</v>
      </c>
      <c r="O6722" s="234" t="s">
        <v>457</v>
      </c>
      <c r="P6722" s="507">
        <v>6000</v>
      </c>
      <c r="Q6722" s="464">
        <v>6</v>
      </c>
      <c r="R6722" s="69">
        <f t="shared" si="155"/>
        <v>36000</v>
      </c>
      <c r="S6722" s="434">
        <v>202303</v>
      </c>
      <c r="T6722" s="515" t="s">
        <v>8860</v>
      </c>
      <c r="U6722" s="465"/>
      <c r="V6722" s="437"/>
      <c r="W6722" s="437"/>
      <c r="X6722" s="442">
        <v>44866</v>
      </c>
      <c r="Y6722" s="468"/>
    </row>
    <row r="6723" s="10" customFormat="1" customHeight="1" spans="1:25">
      <c r="A6723" s="60" t="s">
        <v>403</v>
      </c>
      <c r="B6723" s="459" t="s">
        <v>8834</v>
      </c>
      <c r="C6723" s="60" t="s">
        <v>39</v>
      </c>
      <c r="D6723" s="62" t="s">
        <v>881</v>
      </c>
      <c r="E6723" s="63" t="s">
        <v>8835</v>
      </c>
      <c r="F6723" s="60" t="s">
        <v>8840</v>
      </c>
      <c r="G6723" s="60" t="s">
        <v>88</v>
      </c>
      <c r="H6723" s="480" t="s">
        <v>8841</v>
      </c>
      <c r="I6723" s="47" t="e">
        <f>VLOOKUP(H6723,'合同综合查询数据（3月返）'!$A:$A,1,FALSE)</f>
        <v>#N/A</v>
      </c>
      <c r="J6723" s="60" t="s">
        <v>90</v>
      </c>
      <c r="K6723" s="62" t="s">
        <v>8842</v>
      </c>
      <c r="L6723" s="60"/>
      <c r="M6723" s="429" t="s">
        <v>8843</v>
      </c>
      <c r="N6723" s="219">
        <v>44226</v>
      </c>
      <c r="O6723" s="234" t="s">
        <v>457</v>
      </c>
      <c r="P6723" s="507">
        <v>6000</v>
      </c>
      <c r="Q6723" s="464">
        <v>6</v>
      </c>
      <c r="R6723" s="69">
        <f t="shared" si="155"/>
        <v>36000</v>
      </c>
      <c r="S6723" s="434">
        <v>202303</v>
      </c>
      <c r="T6723" s="515" t="s">
        <v>8861</v>
      </c>
      <c r="U6723" s="465"/>
      <c r="V6723" s="437"/>
      <c r="W6723" s="437"/>
      <c r="X6723" s="442">
        <v>44866</v>
      </c>
      <c r="Y6723" s="468"/>
    </row>
    <row r="6724" s="10" customFormat="1" customHeight="1" spans="1:25">
      <c r="A6724" s="60" t="s">
        <v>403</v>
      </c>
      <c r="B6724" s="459" t="s">
        <v>8834</v>
      </c>
      <c r="C6724" s="60" t="s">
        <v>39</v>
      </c>
      <c r="D6724" s="62" t="s">
        <v>881</v>
      </c>
      <c r="E6724" s="63" t="s">
        <v>8835</v>
      </c>
      <c r="F6724" s="60" t="s">
        <v>8840</v>
      </c>
      <c r="G6724" s="60" t="s">
        <v>88</v>
      </c>
      <c r="H6724" s="480" t="s">
        <v>8841</v>
      </c>
      <c r="I6724" s="47" t="e">
        <f>VLOOKUP(H6724,'合同综合查询数据（3月返）'!$A:$A,1,FALSE)</f>
        <v>#N/A</v>
      </c>
      <c r="J6724" s="60" t="s">
        <v>90</v>
      </c>
      <c r="K6724" s="62" t="s">
        <v>8842</v>
      </c>
      <c r="L6724" s="60"/>
      <c r="M6724" s="429" t="s">
        <v>8843</v>
      </c>
      <c r="N6724" s="219">
        <v>44351</v>
      </c>
      <c r="O6724" s="234" t="s">
        <v>457</v>
      </c>
      <c r="P6724" s="507">
        <v>6000</v>
      </c>
      <c r="Q6724" s="464">
        <v>14</v>
      </c>
      <c r="R6724" s="69">
        <f t="shared" si="155"/>
        <v>84000</v>
      </c>
      <c r="S6724" s="434">
        <v>202303</v>
      </c>
      <c r="T6724" s="515" t="s">
        <v>8862</v>
      </c>
      <c r="U6724" s="465"/>
      <c r="V6724" s="437"/>
      <c r="W6724" s="437"/>
      <c r="X6724" s="442">
        <v>44866</v>
      </c>
      <c r="Y6724" s="468"/>
    </row>
    <row r="6725" s="10" customFormat="1" customHeight="1" spans="1:25">
      <c r="A6725" s="60" t="s">
        <v>403</v>
      </c>
      <c r="B6725" s="459" t="s">
        <v>8834</v>
      </c>
      <c r="C6725" s="60" t="s">
        <v>39</v>
      </c>
      <c r="D6725" s="62" t="s">
        <v>881</v>
      </c>
      <c r="E6725" s="63" t="s">
        <v>8835</v>
      </c>
      <c r="F6725" s="60" t="s">
        <v>8840</v>
      </c>
      <c r="G6725" s="60" t="s">
        <v>88</v>
      </c>
      <c r="H6725" s="480" t="s">
        <v>8841</v>
      </c>
      <c r="I6725" s="47" t="e">
        <f>VLOOKUP(H6725,'合同综合查询数据（3月返）'!$A:$A,1,FALSE)</f>
        <v>#N/A</v>
      </c>
      <c r="J6725" s="60" t="s">
        <v>90</v>
      </c>
      <c r="K6725" s="62" t="s">
        <v>8842</v>
      </c>
      <c r="L6725" s="60"/>
      <c r="M6725" s="429" t="s">
        <v>8843</v>
      </c>
      <c r="N6725" s="219">
        <v>44418</v>
      </c>
      <c r="O6725" s="234" t="s">
        <v>457</v>
      </c>
      <c r="P6725" s="507">
        <v>6000</v>
      </c>
      <c r="Q6725" s="464">
        <v>6</v>
      </c>
      <c r="R6725" s="69">
        <f t="shared" si="155"/>
        <v>36000</v>
      </c>
      <c r="S6725" s="434">
        <v>202303</v>
      </c>
      <c r="T6725" s="515" t="s">
        <v>8863</v>
      </c>
      <c r="U6725" s="465"/>
      <c r="V6725" s="437"/>
      <c r="W6725" s="437"/>
      <c r="X6725" s="442">
        <v>44866</v>
      </c>
      <c r="Y6725" s="468"/>
    </row>
    <row r="6726" s="10" customFormat="1" customHeight="1" spans="1:25">
      <c r="A6726" s="60" t="s">
        <v>403</v>
      </c>
      <c r="B6726" s="459" t="s">
        <v>8834</v>
      </c>
      <c r="C6726" s="60" t="s">
        <v>39</v>
      </c>
      <c r="D6726" s="62" t="s">
        <v>881</v>
      </c>
      <c r="E6726" s="63" t="s">
        <v>8835</v>
      </c>
      <c r="F6726" s="60" t="s">
        <v>8840</v>
      </c>
      <c r="G6726" s="60" t="s">
        <v>88</v>
      </c>
      <c r="H6726" s="480" t="s">
        <v>8841</v>
      </c>
      <c r="I6726" s="47" t="e">
        <f>VLOOKUP(H6726,'合同综合查询数据（3月返）'!$A:$A,1,FALSE)</f>
        <v>#N/A</v>
      </c>
      <c r="J6726" s="60" t="s">
        <v>90</v>
      </c>
      <c r="K6726" s="62" t="s">
        <v>8842</v>
      </c>
      <c r="L6726" s="60"/>
      <c r="M6726" s="429" t="s">
        <v>8843</v>
      </c>
      <c r="N6726" s="219">
        <v>44425</v>
      </c>
      <c r="O6726" s="234" t="s">
        <v>457</v>
      </c>
      <c r="P6726" s="507">
        <v>6000</v>
      </c>
      <c r="Q6726" s="464">
        <v>1</v>
      </c>
      <c r="R6726" s="69">
        <f t="shared" si="155"/>
        <v>6000</v>
      </c>
      <c r="S6726" s="434">
        <v>202303</v>
      </c>
      <c r="T6726" s="515" t="s">
        <v>8864</v>
      </c>
      <c r="U6726" s="465"/>
      <c r="V6726" s="437"/>
      <c r="W6726" s="437"/>
      <c r="X6726" s="442">
        <v>44866</v>
      </c>
      <c r="Y6726" s="468"/>
    </row>
    <row r="6727" s="10" customFormat="1" customHeight="1" spans="1:25">
      <c r="A6727" s="60" t="s">
        <v>403</v>
      </c>
      <c r="B6727" s="459" t="s">
        <v>8834</v>
      </c>
      <c r="C6727" s="60" t="s">
        <v>39</v>
      </c>
      <c r="D6727" s="62" t="s">
        <v>881</v>
      </c>
      <c r="E6727" s="63" t="s">
        <v>8835</v>
      </c>
      <c r="F6727" s="60" t="s">
        <v>8840</v>
      </c>
      <c r="G6727" s="60" t="s">
        <v>88</v>
      </c>
      <c r="H6727" s="480" t="s">
        <v>8841</v>
      </c>
      <c r="I6727" s="47" t="e">
        <f>VLOOKUP(H6727,'合同综合查询数据（3月返）'!$A:$A,1,FALSE)</f>
        <v>#N/A</v>
      </c>
      <c r="J6727" s="60" t="s">
        <v>90</v>
      </c>
      <c r="K6727" s="62" t="s">
        <v>8842</v>
      </c>
      <c r="L6727" s="60"/>
      <c r="M6727" s="429" t="s">
        <v>8843</v>
      </c>
      <c r="N6727" s="219">
        <v>44491</v>
      </c>
      <c r="O6727" s="234" t="s">
        <v>457</v>
      </c>
      <c r="P6727" s="507">
        <v>6000</v>
      </c>
      <c r="Q6727" s="464">
        <v>20</v>
      </c>
      <c r="R6727" s="69">
        <f t="shared" si="155"/>
        <v>120000</v>
      </c>
      <c r="S6727" s="434">
        <v>202303</v>
      </c>
      <c r="T6727" s="515" t="s">
        <v>8865</v>
      </c>
      <c r="U6727" s="465"/>
      <c r="V6727" s="437"/>
      <c r="W6727" s="437"/>
      <c r="X6727" s="442">
        <v>44866</v>
      </c>
      <c r="Y6727" s="468"/>
    </row>
    <row r="6728" s="10" customFormat="1" customHeight="1" spans="1:25">
      <c r="A6728" s="60" t="s">
        <v>403</v>
      </c>
      <c r="B6728" s="459" t="s">
        <v>8834</v>
      </c>
      <c r="C6728" s="60" t="s">
        <v>39</v>
      </c>
      <c r="D6728" s="62" t="s">
        <v>881</v>
      </c>
      <c r="E6728" s="63" t="s">
        <v>8835</v>
      </c>
      <c r="F6728" s="60" t="s">
        <v>8840</v>
      </c>
      <c r="G6728" s="60" t="s">
        <v>88</v>
      </c>
      <c r="H6728" s="480" t="s">
        <v>8841</v>
      </c>
      <c r="I6728" s="47" t="e">
        <f>VLOOKUP(H6728,'合同综合查询数据（3月返）'!$A:$A,1,FALSE)</f>
        <v>#N/A</v>
      </c>
      <c r="J6728" s="60" t="s">
        <v>90</v>
      </c>
      <c r="K6728" s="62" t="s">
        <v>8842</v>
      </c>
      <c r="L6728" s="60"/>
      <c r="M6728" s="429" t="s">
        <v>8843</v>
      </c>
      <c r="N6728" s="219">
        <v>44491</v>
      </c>
      <c r="O6728" s="234" t="s">
        <v>457</v>
      </c>
      <c r="P6728" s="507">
        <v>6000</v>
      </c>
      <c r="Q6728" s="464">
        <v>22</v>
      </c>
      <c r="R6728" s="69">
        <f t="shared" si="155"/>
        <v>132000</v>
      </c>
      <c r="S6728" s="434">
        <v>202303</v>
      </c>
      <c r="T6728" s="515" t="s">
        <v>8866</v>
      </c>
      <c r="U6728" s="465"/>
      <c r="V6728" s="437"/>
      <c r="W6728" s="437"/>
      <c r="X6728" s="442">
        <v>44866</v>
      </c>
      <c r="Y6728" s="468"/>
    </row>
    <row r="6729" s="10" customFormat="1" customHeight="1" spans="1:25">
      <c r="A6729" s="60" t="s">
        <v>403</v>
      </c>
      <c r="B6729" s="459" t="s">
        <v>8834</v>
      </c>
      <c r="C6729" s="60" t="s">
        <v>39</v>
      </c>
      <c r="D6729" s="62" t="s">
        <v>881</v>
      </c>
      <c r="E6729" s="63" t="s">
        <v>8835</v>
      </c>
      <c r="F6729" s="60" t="s">
        <v>8840</v>
      </c>
      <c r="G6729" s="60" t="s">
        <v>88</v>
      </c>
      <c r="H6729" s="480" t="s">
        <v>8841</v>
      </c>
      <c r="I6729" s="47" t="e">
        <f>VLOOKUP(H6729,'合同综合查询数据（3月返）'!$A:$A,1,FALSE)</f>
        <v>#N/A</v>
      </c>
      <c r="J6729" s="60" t="s">
        <v>90</v>
      </c>
      <c r="K6729" s="62" t="s">
        <v>8842</v>
      </c>
      <c r="L6729" s="60"/>
      <c r="M6729" s="429" t="s">
        <v>8843</v>
      </c>
      <c r="N6729" s="219">
        <v>44500</v>
      </c>
      <c r="O6729" s="234" t="s">
        <v>457</v>
      </c>
      <c r="P6729" s="507">
        <v>6000</v>
      </c>
      <c r="Q6729" s="464">
        <v>1</v>
      </c>
      <c r="R6729" s="69">
        <f t="shared" si="155"/>
        <v>6000</v>
      </c>
      <c r="S6729" s="434">
        <v>202303</v>
      </c>
      <c r="T6729" s="515" t="s">
        <v>8867</v>
      </c>
      <c r="U6729" s="465"/>
      <c r="V6729" s="437"/>
      <c r="W6729" s="437"/>
      <c r="X6729" s="442">
        <v>44866</v>
      </c>
      <c r="Y6729" s="468"/>
    </row>
    <row r="6730" s="10" customFormat="1" customHeight="1" spans="1:25">
      <c r="A6730" s="60" t="s">
        <v>403</v>
      </c>
      <c r="B6730" s="459" t="s">
        <v>8834</v>
      </c>
      <c r="C6730" s="60" t="s">
        <v>39</v>
      </c>
      <c r="D6730" s="62" t="s">
        <v>881</v>
      </c>
      <c r="E6730" s="63" t="s">
        <v>8835</v>
      </c>
      <c r="F6730" s="60" t="s">
        <v>8840</v>
      </c>
      <c r="G6730" s="60" t="s">
        <v>88</v>
      </c>
      <c r="H6730" s="480" t="s">
        <v>8841</v>
      </c>
      <c r="I6730" s="47" t="e">
        <f>VLOOKUP(H6730,'合同综合查询数据（3月返）'!$A:$A,1,FALSE)</f>
        <v>#N/A</v>
      </c>
      <c r="J6730" s="60" t="s">
        <v>90</v>
      </c>
      <c r="K6730" s="62" t="s">
        <v>8842</v>
      </c>
      <c r="L6730" s="60"/>
      <c r="M6730" s="429" t="s">
        <v>8843</v>
      </c>
      <c r="N6730" s="219">
        <v>44515</v>
      </c>
      <c r="O6730" s="234" t="s">
        <v>457</v>
      </c>
      <c r="P6730" s="507">
        <v>6000</v>
      </c>
      <c r="Q6730" s="464">
        <v>1</v>
      </c>
      <c r="R6730" s="69">
        <f t="shared" si="155"/>
        <v>6000</v>
      </c>
      <c r="S6730" s="434">
        <v>202303</v>
      </c>
      <c r="T6730" s="515" t="s">
        <v>8868</v>
      </c>
      <c r="U6730" s="465"/>
      <c r="V6730" s="437"/>
      <c r="W6730" s="437"/>
      <c r="X6730" s="442">
        <v>44866</v>
      </c>
      <c r="Y6730" s="468"/>
    </row>
    <row r="6731" s="10" customFormat="1" customHeight="1" spans="1:25">
      <c r="A6731" s="60" t="s">
        <v>403</v>
      </c>
      <c r="B6731" s="459" t="s">
        <v>8834</v>
      </c>
      <c r="C6731" s="60" t="s">
        <v>39</v>
      </c>
      <c r="D6731" s="62" t="s">
        <v>881</v>
      </c>
      <c r="E6731" s="63" t="s">
        <v>8835</v>
      </c>
      <c r="F6731" s="60" t="s">
        <v>8840</v>
      </c>
      <c r="G6731" s="60" t="s">
        <v>88</v>
      </c>
      <c r="H6731" s="480" t="s">
        <v>8841</v>
      </c>
      <c r="I6731" s="47" t="e">
        <f>VLOOKUP(H6731,'合同综合查询数据（3月返）'!$A:$A,1,FALSE)</f>
        <v>#N/A</v>
      </c>
      <c r="J6731" s="60" t="s">
        <v>90</v>
      </c>
      <c r="K6731" s="62" t="s">
        <v>8842</v>
      </c>
      <c r="L6731" s="60"/>
      <c r="M6731" s="429" t="s">
        <v>8843</v>
      </c>
      <c r="N6731" s="219">
        <v>44515</v>
      </c>
      <c r="O6731" s="234" t="s">
        <v>1459</v>
      </c>
      <c r="P6731" s="507">
        <v>10000</v>
      </c>
      <c r="Q6731" s="464">
        <v>37</v>
      </c>
      <c r="R6731" s="69">
        <f t="shared" si="155"/>
        <v>370000</v>
      </c>
      <c r="S6731" s="434">
        <v>202303</v>
      </c>
      <c r="T6731" s="515" t="s">
        <v>8869</v>
      </c>
      <c r="U6731" s="465"/>
      <c r="V6731" s="437"/>
      <c r="W6731" s="437"/>
      <c r="X6731" s="442">
        <v>44866</v>
      </c>
      <c r="Y6731" s="468"/>
    </row>
    <row r="6732" s="10" customFormat="1" customHeight="1" spans="1:25">
      <c r="A6732" s="60" t="s">
        <v>403</v>
      </c>
      <c r="B6732" s="459" t="s">
        <v>8834</v>
      </c>
      <c r="C6732" s="60" t="s">
        <v>39</v>
      </c>
      <c r="D6732" s="62" t="s">
        <v>881</v>
      </c>
      <c r="E6732" s="63" t="s">
        <v>8835</v>
      </c>
      <c r="F6732" s="60" t="s">
        <v>8840</v>
      </c>
      <c r="G6732" s="60" t="s">
        <v>88</v>
      </c>
      <c r="H6732" s="480" t="s">
        <v>8841</v>
      </c>
      <c r="I6732" s="47" t="e">
        <f>VLOOKUP(H6732,'合同综合查询数据（3月返）'!$A:$A,1,FALSE)</f>
        <v>#N/A</v>
      </c>
      <c r="J6732" s="60" t="s">
        <v>90</v>
      </c>
      <c r="K6732" s="62" t="s">
        <v>8842</v>
      </c>
      <c r="L6732" s="60"/>
      <c r="M6732" s="429" t="s">
        <v>8843</v>
      </c>
      <c r="N6732" s="219">
        <v>44516</v>
      </c>
      <c r="O6732" s="234" t="s">
        <v>457</v>
      </c>
      <c r="P6732" s="507">
        <v>6000</v>
      </c>
      <c r="Q6732" s="464">
        <v>1</v>
      </c>
      <c r="R6732" s="69">
        <f t="shared" si="155"/>
        <v>6000</v>
      </c>
      <c r="S6732" s="434">
        <v>202303</v>
      </c>
      <c r="T6732" s="515" t="s">
        <v>8870</v>
      </c>
      <c r="U6732" s="465"/>
      <c r="V6732" s="437"/>
      <c r="W6732" s="437"/>
      <c r="X6732" s="442">
        <v>44866</v>
      </c>
      <c r="Y6732" s="468"/>
    </row>
    <row r="6733" s="10" customFormat="1" customHeight="1" spans="1:25">
      <c r="A6733" s="60" t="s">
        <v>403</v>
      </c>
      <c r="B6733" s="459" t="s">
        <v>8834</v>
      </c>
      <c r="C6733" s="60" t="s">
        <v>39</v>
      </c>
      <c r="D6733" s="62" t="s">
        <v>881</v>
      </c>
      <c r="E6733" s="63" t="s">
        <v>8835</v>
      </c>
      <c r="F6733" s="60" t="s">
        <v>8840</v>
      </c>
      <c r="G6733" s="60" t="s">
        <v>88</v>
      </c>
      <c r="H6733" s="480" t="s">
        <v>8841</v>
      </c>
      <c r="I6733" s="47" t="e">
        <f>VLOOKUP(H6733,'合同综合查询数据（3月返）'!$A:$A,1,FALSE)</f>
        <v>#N/A</v>
      </c>
      <c r="J6733" s="60" t="s">
        <v>90</v>
      </c>
      <c r="K6733" s="62" t="s">
        <v>8842</v>
      </c>
      <c r="L6733" s="60"/>
      <c r="M6733" s="429" t="s">
        <v>8843</v>
      </c>
      <c r="N6733" s="219">
        <v>44538</v>
      </c>
      <c r="O6733" s="234" t="s">
        <v>457</v>
      </c>
      <c r="P6733" s="507">
        <v>6000</v>
      </c>
      <c r="Q6733" s="464">
        <v>-22</v>
      </c>
      <c r="R6733" s="69">
        <f t="shared" si="155"/>
        <v>-132000</v>
      </c>
      <c r="S6733" s="434">
        <v>202303</v>
      </c>
      <c r="T6733" s="515" t="s">
        <v>8871</v>
      </c>
      <c r="U6733" s="465"/>
      <c r="V6733" s="437"/>
      <c r="W6733" s="437"/>
      <c r="X6733" s="442">
        <v>44866</v>
      </c>
      <c r="Y6733" s="468"/>
    </row>
    <row r="6734" s="10" customFormat="1" customHeight="1" spans="1:25">
      <c r="A6734" s="60" t="s">
        <v>403</v>
      </c>
      <c r="B6734" s="459" t="s">
        <v>8834</v>
      </c>
      <c r="C6734" s="60" t="s">
        <v>39</v>
      </c>
      <c r="D6734" s="62" t="s">
        <v>881</v>
      </c>
      <c r="E6734" s="63" t="s">
        <v>8835</v>
      </c>
      <c r="F6734" s="60" t="s">
        <v>8840</v>
      </c>
      <c r="G6734" s="60" t="s">
        <v>88</v>
      </c>
      <c r="H6734" s="480" t="s">
        <v>8841</v>
      </c>
      <c r="I6734" s="47" t="e">
        <f>VLOOKUP(H6734,'合同综合查询数据（3月返）'!$A:$A,1,FALSE)</f>
        <v>#N/A</v>
      </c>
      <c r="J6734" s="60" t="s">
        <v>90</v>
      </c>
      <c r="K6734" s="62" t="s">
        <v>8842</v>
      </c>
      <c r="L6734" s="60"/>
      <c r="M6734" s="429" t="s">
        <v>8843</v>
      </c>
      <c r="N6734" s="219">
        <v>44538</v>
      </c>
      <c r="O6734" s="234" t="s">
        <v>1459</v>
      </c>
      <c r="P6734" s="507">
        <v>10000</v>
      </c>
      <c r="Q6734" s="464">
        <v>-17</v>
      </c>
      <c r="R6734" s="69">
        <f t="shared" si="155"/>
        <v>-170000</v>
      </c>
      <c r="S6734" s="434">
        <v>202303</v>
      </c>
      <c r="T6734" s="515" t="s">
        <v>8872</v>
      </c>
      <c r="U6734" s="465"/>
      <c r="V6734" s="437"/>
      <c r="W6734" s="437"/>
      <c r="X6734" s="442">
        <v>44866</v>
      </c>
      <c r="Y6734" s="468"/>
    </row>
    <row r="6735" s="9" customFormat="1" customHeight="1" spans="1:25">
      <c r="A6735" s="96" t="s">
        <v>403</v>
      </c>
      <c r="B6735" s="446" t="s">
        <v>8834</v>
      </c>
      <c r="C6735" s="96" t="s">
        <v>39</v>
      </c>
      <c r="D6735" s="94" t="s">
        <v>881</v>
      </c>
      <c r="E6735" s="105" t="s">
        <v>8835</v>
      </c>
      <c r="F6735" s="96" t="s">
        <v>8836</v>
      </c>
      <c r="G6735" s="96" t="s">
        <v>88</v>
      </c>
      <c r="H6735" s="195" t="s">
        <v>8873</v>
      </c>
      <c r="I6735" s="23" t="e">
        <f>VLOOKUP(H6735,'合同综合查询数据（3月返）'!$A:$A,1,FALSE)</f>
        <v>#N/A</v>
      </c>
      <c r="J6735" s="96" t="s">
        <v>126</v>
      </c>
      <c r="K6735" s="94" t="s">
        <v>8842</v>
      </c>
      <c r="L6735" s="96"/>
      <c r="M6735" s="449" t="s">
        <v>8874</v>
      </c>
      <c r="N6735" s="220">
        <v>43510</v>
      </c>
      <c r="O6735" s="94" t="s">
        <v>457</v>
      </c>
      <c r="P6735" s="483">
        <v>6000</v>
      </c>
      <c r="Q6735" s="455">
        <v>5</v>
      </c>
      <c r="R6735" s="119">
        <f t="shared" si="155"/>
        <v>30000</v>
      </c>
      <c r="S6735" s="456">
        <v>202303</v>
      </c>
      <c r="T6735" s="180" t="s">
        <v>8875</v>
      </c>
      <c r="U6735" s="457"/>
      <c r="V6735" s="458"/>
      <c r="W6735" s="458"/>
      <c r="X6735" s="190"/>
      <c r="Y6735" s="467"/>
    </row>
    <row r="6736" s="9" customFormat="1" customHeight="1" spans="1:25">
      <c r="A6736" s="96" t="s">
        <v>403</v>
      </c>
      <c r="B6736" s="446" t="s">
        <v>8834</v>
      </c>
      <c r="C6736" s="96" t="s">
        <v>39</v>
      </c>
      <c r="D6736" s="94" t="s">
        <v>881</v>
      </c>
      <c r="E6736" s="105" t="s">
        <v>8835</v>
      </c>
      <c r="F6736" s="96" t="s">
        <v>8836</v>
      </c>
      <c r="G6736" s="96" t="s">
        <v>88</v>
      </c>
      <c r="H6736" s="195" t="s">
        <v>8873</v>
      </c>
      <c r="I6736" s="23" t="e">
        <f>VLOOKUP(H6736,'合同综合查询数据（3月返）'!$A:$A,1,FALSE)</f>
        <v>#N/A</v>
      </c>
      <c r="J6736" s="96" t="s">
        <v>126</v>
      </c>
      <c r="K6736" s="94" t="s">
        <v>8842</v>
      </c>
      <c r="L6736" s="96"/>
      <c r="M6736" s="449" t="s">
        <v>8874</v>
      </c>
      <c r="N6736" s="220">
        <v>43830</v>
      </c>
      <c r="O6736" s="94" t="s">
        <v>457</v>
      </c>
      <c r="P6736" s="483">
        <v>6000</v>
      </c>
      <c r="Q6736" s="455">
        <v>-5</v>
      </c>
      <c r="R6736" s="119">
        <f t="shared" si="155"/>
        <v>-30000</v>
      </c>
      <c r="S6736" s="456">
        <v>202303</v>
      </c>
      <c r="T6736" s="180" t="s">
        <v>8876</v>
      </c>
      <c r="U6736" s="457"/>
      <c r="V6736" s="458"/>
      <c r="W6736" s="458"/>
      <c r="X6736" s="190"/>
      <c r="Y6736" s="467"/>
    </row>
    <row r="6737" s="9" customFormat="1" customHeight="1" spans="1:25">
      <c r="A6737" s="98" t="s">
        <v>403</v>
      </c>
      <c r="B6737" s="446" t="s">
        <v>8834</v>
      </c>
      <c r="C6737" s="129" t="s">
        <v>39</v>
      </c>
      <c r="D6737" s="94" t="s">
        <v>881</v>
      </c>
      <c r="E6737" s="147" t="s">
        <v>8877</v>
      </c>
      <c r="F6737" s="98" t="s">
        <v>8878</v>
      </c>
      <c r="G6737" s="448" t="s">
        <v>88</v>
      </c>
      <c r="H6737" s="19" t="s">
        <v>8879</v>
      </c>
      <c r="I6737" s="23" t="e">
        <f>VLOOKUP(H6737,'合同综合查询数据（3月返）'!$A:$A,1,FALSE)</f>
        <v>#N/A</v>
      </c>
      <c r="J6737" s="448" t="s">
        <v>126</v>
      </c>
      <c r="K6737" s="511" t="s">
        <v>8880</v>
      </c>
      <c r="L6737" s="512"/>
      <c r="M6737" s="449" t="s">
        <v>8881</v>
      </c>
      <c r="N6737" s="252" t="s">
        <v>1225</v>
      </c>
      <c r="O6737" s="252" t="s">
        <v>127</v>
      </c>
      <c r="P6737" s="513">
        <v>3333.33</v>
      </c>
      <c r="Q6737" s="131">
        <v>19</v>
      </c>
      <c r="R6737" s="119">
        <f t="shared" si="155"/>
        <v>63333.27</v>
      </c>
      <c r="S6737" s="456">
        <v>202303</v>
      </c>
      <c r="T6737" s="134" t="s">
        <v>8882</v>
      </c>
      <c r="U6737" s="488"/>
      <c r="V6737" s="516"/>
      <c r="W6737" s="516"/>
      <c r="X6737" s="466">
        <v>44652</v>
      </c>
      <c r="Y6737" s="467">
        <v>45016</v>
      </c>
    </row>
    <row r="6738" s="9" customFormat="1" customHeight="1" spans="1:25">
      <c r="A6738" s="98" t="s">
        <v>403</v>
      </c>
      <c r="B6738" s="446" t="s">
        <v>8834</v>
      </c>
      <c r="C6738" s="129" t="s">
        <v>39</v>
      </c>
      <c r="D6738" s="94" t="s">
        <v>881</v>
      </c>
      <c r="E6738" s="147" t="s">
        <v>8877</v>
      </c>
      <c r="F6738" s="98" t="s">
        <v>8878</v>
      </c>
      <c r="G6738" s="448" t="s">
        <v>88</v>
      </c>
      <c r="H6738" s="19" t="s">
        <v>8879</v>
      </c>
      <c r="I6738" s="23" t="e">
        <f>VLOOKUP(H6738,'合同综合查询数据（3月返）'!$A:$A,1,FALSE)</f>
        <v>#N/A</v>
      </c>
      <c r="J6738" s="448" t="s">
        <v>1033</v>
      </c>
      <c r="K6738" s="511" t="s">
        <v>8878</v>
      </c>
      <c r="L6738" s="512"/>
      <c r="M6738" s="449" t="s">
        <v>8881</v>
      </c>
      <c r="N6738" s="252" t="s">
        <v>1225</v>
      </c>
      <c r="O6738" s="252" t="s">
        <v>127</v>
      </c>
      <c r="P6738" s="513">
        <v>3333.33</v>
      </c>
      <c r="Q6738" s="131">
        <v>5</v>
      </c>
      <c r="R6738" s="119">
        <f t="shared" si="155"/>
        <v>16666.65</v>
      </c>
      <c r="S6738" s="456">
        <v>202303</v>
      </c>
      <c r="T6738" s="134" t="s">
        <v>8883</v>
      </c>
      <c r="U6738" s="488"/>
      <c r="V6738" s="516"/>
      <c r="W6738" s="516"/>
      <c r="X6738" s="466">
        <v>44652</v>
      </c>
      <c r="Y6738" s="467">
        <v>45016</v>
      </c>
    </row>
    <row r="6739" s="9" customFormat="1" customHeight="1" spans="1:25">
      <c r="A6739" s="98" t="s">
        <v>403</v>
      </c>
      <c r="B6739" s="446" t="s">
        <v>8834</v>
      </c>
      <c r="C6739" s="129" t="s">
        <v>39</v>
      </c>
      <c r="D6739" s="94" t="s">
        <v>881</v>
      </c>
      <c r="E6739" s="147" t="s">
        <v>8877</v>
      </c>
      <c r="F6739" s="98" t="s">
        <v>8878</v>
      </c>
      <c r="G6739" s="448" t="s">
        <v>88</v>
      </c>
      <c r="H6739" s="19" t="s">
        <v>8879</v>
      </c>
      <c r="I6739" s="23" t="e">
        <f>VLOOKUP(H6739,'合同综合查询数据（3月返）'!$A:$A,1,FALSE)</f>
        <v>#N/A</v>
      </c>
      <c r="J6739" s="448" t="s">
        <v>1033</v>
      </c>
      <c r="K6739" s="511" t="s">
        <v>8878</v>
      </c>
      <c r="L6739" s="512"/>
      <c r="M6739" s="449" t="s">
        <v>8881</v>
      </c>
      <c r="N6739" s="252">
        <v>44761</v>
      </c>
      <c r="O6739" s="252" t="s">
        <v>127</v>
      </c>
      <c r="P6739" s="513">
        <v>3333.33</v>
      </c>
      <c r="Q6739" s="131">
        <v>-2</v>
      </c>
      <c r="R6739" s="119">
        <f t="shared" si="155"/>
        <v>-6666.66</v>
      </c>
      <c r="S6739" s="456">
        <v>202303</v>
      </c>
      <c r="T6739" s="134" t="s">
        <v>8884</v>
      </c>
      <c r="U6739" s="488"/>
      <c r="V6739" s="516"/>
      <c r="W6739" s="516"/>
      <c r="X6739" s="466">
        <v>44652</v>
      </c>
      <c r="Y6739" s="467">
        <v>45016</v>
      </c>
    </row>
    <row r="6740" s="9" customFormat="1" customHeight="1" spans="1:25">
      <c r="A6740" s="98" t="s">
        <v>403</v>
      </c>
      <c r="B6740" s="446" t="s">
        <v>8834</v>
      </c>
      <c r="C6740" s="129" t="s">
        <v>39</v>
      </c>
      <c r="D6740" s="94" t="s">
        <v>881</v>
      </c>
      <c r="E6740" s="147" t="s">
        <v>8877</v>
      </c>
      <c r="F6740" s="98" t="s">
        <v>8878</v>
      </c>
      <c r="G6740" s="448" t="s">
        <v>88</v>
      </c>
      <c r="H6740" s="19" t="s">
        <v>8879</v>
      </c>
      <c r="I6740" s="23" t="e">
        <f>VLOOKUP(H6740,'合同综合查询数据（3月返）'!$A:$A,1,FALSE)</f>
        <v>#N/A</v>
      </c>
      <c r="J6740" s="448" t="s">
        <v>126</v>
      </c>
      <c r="K6740" s="511" t="s">
        <v>8885</v>
      </c>
      <c r="L6740" s="512"/>
      <c r="M6740" s="449" t="s">
        <v>8881</v>
      </c>
      <c r="N6740" s="252">
        <v>44221</v>
      </c>
      <c r="O6740" s="252" t="s">
        <v>127</v>
      </c>
      <c r="P6740" s="513">
        <v>3333.33</v>
      </c>
      <c r="Q6740" s="131">
        <v>3</v>
      </c>
      <c r="R6740" s="119">
        <f t="shared" si="155"/>
        <v>9999.99</v>
      </c>
      <c r="S6740" s="456">
        <v>202303</v>
      </c>
      <c r="T6740" s="134" t="s">
        <v>8886</v>
      </c>
      <c r="U6740" s="488"/>
      <c r="V6740" s="516"/>
      <c r="W6740" s="516"/>
      <c r="X6740" s="466">
        <v>44652</v>
      </c>
      <c r="Y6740" s="467">
        <v>45016</v>
      </c>
    </row>
    <row r="6741" s="9" customFormat="1" customHeight="1" spans="1:25">
      <c r="A6741" s="98" t="s">
        <v>403</v>
      </c>
      <c r="B6741" s="446" t="s">
        <v>8834</v>
      </c>
      <c r="C6741" s="129" t="s">
        <v>39</v>
      </c>
      <c r="D6741" s="94" t="s">
        <v>881</v>
      </c>
      <c r="E6741" s="147" t="s">
        <v>8877</v>
      </c>
      <c r="F6741" s="98" t="s">
        <v>8878</v>
      </c>
      <c r="G6741" s="448" t="s">
        <v>88</v>
      </c>
      <c r="H6741" s="19" t="s">
        <v>8879</v>
      </c>
      <c r="I6741" s="23" t="e">
        <f>VLOOKUP(H6741,'合同综合查询数据（3月返）'!$A:$A,1,FALSE)</f>
        <v>#N/A</v>
      </c>
      <c r="J6741" s="448" t="s">
        <v>126</v>
      </c>
      <c r="K6741" s="511" t="s">
        <v>8887</v>
      </c>
      <c r="L6741" s="512"/>
      <c r="M6741" s="449" t="s">
        <v>8881</v>
      </c>
      <c r="N6741" s="252">
        <v>44490</v>
      </c>
      <c r="O6741" s="252" t="s">
        <v>127</v>
      </c>
      <c r="P6741" s="513">
        <v>3333.33</v>
      </c>
      <c r="Q6741" s="131">
        <v>-4</v>
      </c>
      <c r="R6741" s="119">
        <f t="shared" si="155"/>
        <v>-13333.32</v>
      </c>
      <c r="S6741" s="456">
        <v>202303</v>
      </c>
      <c r="T6741" s="134" t="s">
        <v>8888</v>
      </c>
      <c r="U6741" s="488"/>
      <c r="V6741" s="516"/>
      <c r="W6741" s="516"/>
      <c r="X6741" s="466">
        <v>44652</v>
      </c>
      <c r="Y6741" s="467">
        <v>45016</v>
      </c>
    </row>
    <row r="6742" s="9" customFormat="1" customHeight="1" spans="1:25">
      <c r="A6742" s="98" t="s">
        <v>403</v>
      </c>
      <c r="B6742" s="446" t="s">
        <v>8834</v>
      </c>
      <c r="C6742" s="129" t="s">
        <v>39</v>
      </c>
      <c r="D6742" s="94" t="s">
        <v>881</v>
      </c>
      <c r="E6742" s="147" t="s">
        <v>8877</v>
      </c>
      <c r="F6742" s="98" t="s">
        <v>8878</v>
      </c>
      <c r="G6742" s="448" t="s">
        <v>88</v>
      </c>
      <c r="H6742" s="19" t="s">
        <v>8879</v>
      </c>
      <c r="I6742" s="23" t="e">
        <f>VLOOKUP(H6742,'合同综合查询数据（3月返）'!$A:$A,1,FALSE)</f>
        <v>#N/A</v>
      </c>
      <c r="J6742" s="448" t="s">
        <v>126</v>
      </c>
      <c r="K6742" s="511" t="s">
        <v>8887</v>
      </c>
      <c r="L6742" s="512"/>
      <c r="M6742" s="449" t="s">
        <v>8881</v>
      </c>
      <c r="N6742" s="252">
        <v>44804</v>
      </c>
      <c r="O6742" s="252" t="s">
        <v>127</v>
      </c>
      <c r="P6742" s="513">
        <v>3333.33</v>
      </c>
      <c r="Q6742" s="131">
        <v>-3</v>
      </c>
      <c r="R6742" s="119">
        <f t="shared" si="155"/>
        <v>-9999.99</v>
      </c>
      <c r="S6742" s="456">
        <v>202303</v>
      </c>
      <c r="T6742" s="134" t="s">
        <v>8889</v>
      </c>
      <c r="U6742" s="488"/>
      <c r="V6742" s="516"/>
      <c r="W6742" s="516"/>
      <c r="X6742" s="466">
        <v>44652</v>
      </c>
      <c r="Y6742" s="467">
        <v>45016</v>
      </c>
    </row>
    <row r="6743" s="9" customFormat="1" customHeight="1" spans="1:25">
      <c r="A6743" s="98" t="s">
        <v>403</v>
      </c>
      <c r="B6743" s="446" t="s">
        <v>8834</v>
      </c>
      <c r="C6743" s="129" t="s">
        <v>39</v>
      </c>
      <c r="D6743" s="96" t="s">
        <v>881</v>
      </c>
      <c r="E6743" s="147" t="s">
        <v>8877</v>
      </c>
      <c r="F6743" s="98" t="s">
        <v>8878</v>
      </c>
      <c r="G6743" s="448" t="s">
        <v>31</v>
      </c>
      <c r="H6743" s="19" t="s">
        <v>8879</v>
      </c>
      <c r="I6743" s="23" t="e">
        <f>VLOOKUP(H6743,'合同综合查询数据（3月返）'!$A:$A,1,FALSE)</f>
        <v>#N/A</v>
      </c>
      <c r="J6743" s="448" t="s">
        <v>7564</v>
      </c>
      <c r="K6743" s="511" t="s">
        <v>8890</v>
      </c>
      <c r="L6743" s="512"/>
      <c r="M6743" s="449" t="s">
        <v>8881</v>
      </c>
      <c r="N6743" s="252" t="s">
        <v>1225</v>
      </c>
      <c r="O6743" s="252"/>
      <c r="P6743" s="494">
        <v>0</v>
      </c>
      <c r="Q6743" s="131">
        <v>288</v>
      </c>
      <c r="R6743" s="173">
        <f t="shared" si="155"/>
        <v>0</v>
      </c>
      <c r="S6743" s="456">
        <v>202303</v>
      </c>
      <c r="T6743" s="134" t="s">
        <v>8891</v>
      </c>
      <c r="U6743" s="488"/>
      <c r="V6743" s="489"/>
      <c r="W6743" s="458"/>
      <c r="X6743" s="466">
        <v>44652</v>
      </c>
      <c r="Y6743" s="467">
        <v>45016</v>
      </c>
    </row>
    <row r="6744" s="9" customFormat="1" customHeight="1" spans="1:25">
      <c r="A6744" s="98" t="s">
        <v>403</v>
      </c>
      <c r="B6744" s="446" t="s">
        <v>8834</v>
      </c>
      <c r="C6744" s="129" t="s">
        <v>39</v>
      </c>
      <c r="D6744" s="96" t="s">
        <v>881</v>
      </c>
      <c r="E6744" s="147" t="s">
        <v>8877</v>
      </c>
      <c r="F6744" s="98" t="s">
        <v>8878</v>
      </c>
      <c r="G6744" s="448" t="s">
        <v>31</v>
      </c>
      <c r="H6744" s="19" t="s">
        <v>8879</v>
      </c>
      <c r="I6744" s="23" t="e">
        <f>VLOOKUP(H6744,'合同综合查询数据（3月返）'!$A:$A,1,FALSE)</f>
        <v>#N/A</v>
      </c>
      <c r="J6744" s="448" t="s">
        <v>7564</v>
      </c>
      <c r="K6744" s="511" t="s">
        <v>8892</v>
      </c>
      <c r="L6744" s="512"/>
      <c r="M6744" s="449" t="s">
        <v>8881</v>
      </c>
      <c r="N6744" s="252" t="s">
        <v>1225</v>
      </c>
      <c r="O6744" s="252"/>
      <c r="P6744" s="494">
        <v>0</v>
      </c>
      <c r="Q6744" s="131">
        <v>288</v>
      </c>
      <c r="R6744" s="173">
        <f t="shared" si="155"/>
        <v>0</v>
      </c>
      <c r="S6744" s="456">
        <v>202303</v>
      </c>
      <c r="T6744" s="134" t="s">
        <v>8893</v>
      </c>
      <c r="U6744" s="488"/>
      <c r="V6744" s="489"/>
      <c r="W6744" s="458"/>
      <c r="X6744" s="466">
        <v>44652</v>
      </c>
      <c r="Y6744" s="467">
        <v>45016</v>
      </c>
    </row>
    <row r="6745" s="9" customFormat="1" customHeight="1" spans="1:25">
      <c r="A6745" s="98" t="s">
        <v>403</v>
      </c>
      <c r="B6745" s="446" t="s">
        <v>8834</v>
      </c>
      <c r="C6745" s="129" t="s">
        <v>39</v>
      </c>
      <c r="D6745" s="96" t="s">
        <v>881</v>
      </c>
      <c r="E6745" s="147" t="s">
        <v>8877</v>
      </c>
      <c r="F6745" s="98" t="s">
        <v>8878</v>
      </c>
      <c r="G6745" s="448" t="s">
        <v>31</v>
      </c>
      <c r="H6745" s="19" t="s">
        <v>8879</v>
      </c>
      <c r="I6745" s="23" t="e">
        <f>VLOOKUP(H6745,'合同综合查询数据（3月返）'!$A:$A,1,FALSE)</f>
        <v>#N/A</v>
      </c>
      <c r="J6745" s="448" t="s">
        <v>7564</v>
      </c>
      <c r="K6745" s="511" t="s">
        <v>8887</v>
      </c>
      <c r="L6745" s="512"/>
      <c r="M6745" s="449" t="s">
        <v>8881</v>
      </c>
      <c r="N6745" s="252" t="s">
        <v>1225</v>
      </c>
      <c r="O6745" s="252"/>
      <c r="P6745" s="494">
        <v>0</v>
      </c>
      <c r="Q6745" s="131">
        <v>512</v>
      </c>
      <c r="R6745" s="173">
        <f t="shared" si="155"/>
        <v>0</v>
      </c>
      <c r="S6745" s="456">
        <v>202303</v>
      </c>
      <c r="T6745" s="134" t="s">
        <v>8894</v>
      </c>
      <c r="U6745" s="488"/>
      <c r="V6745" s="489"/>
      <c r="W6745" s="458"/>
      <c r="X6745" s="466">
        <v>44652</v>
      </c>
      <c r="Y6745" s="467">
        <v>45016</v>
      </c>
    </row>
    <row r="6746" s="9" customFormat="1" customHeight="1" spans="1:25">
      <c r="A6746" s="98" t="s">
        <v>403</v>
      </c>
      <c r="B6746" s="446" t="s">
        <v>8834</v>
      </c>
      <c r="C6746" s="129" t="s">
        <v>39</v>
      </c>
      <c r="D6746" s="96" t="s">
        <v>881</v>
      </c>
      <c r="E6746" s="147" t="s">
        <v>8877</v>
      </c>
      <c r="F6746" s="98" t="s">
        <v>8878</v>
      </c>
      <c r="G6746" s="448" t="s">
        <v>31</v>
      </c>
      <c r="H6746" s="19" t="s">
        <v>8879</v>
      </c>
      <c r="I6746" s="23" t="e">
        <f>VLOOKUP(H6746,'合同综合查询数据（3月返）'!$A:$A,1,FALSE)</f>
        <v>#N/A</v>
      </c>
      <c r="J6746" s="448" t="s">
        <v>7564</v>
      </c>
      <c r="K6746" s="511" t="s">
        <v>8887</v>
      </c>
      <c r="L6746" s="512"/>
      <c r="M6746" s="449" t="s">
        <v>8881</v>
      </c>
      <c r="N6746" s="252">
        <v>44804</v>
      </c>
      <c r="O6746" s="252"/>
      <c r="P6746" s="494">
        <v>0</v>
      </c>
      <c r="Q6746" s="131">
        <v>-256</v>
      </c>
      <c r="R6746" s="173">
        <f t="shared" si="155"/>
        <v>0</v>
      </c>
      <c r="S6746" s="456">
        <v>202303</v>
      </c>
      <c r="T6746" s="134" t="s">
        <v>8895</v>
      </c>
      <c r="U6746" s="488"/>
      <c r="V6746" s="489"/>
      <c r="W6746" s="458"/>
      <c r="X6746" s="466">
        <v>44652</v>
      </c>
      <c r="Y6746" s="467">
        <v>45016</v>
      </c>
    </row>
    <row r="6747" s="9" customFormat="1" customHeight="1" spans="1:25">
      <c r="A6747" s="98" t="s">
        <v>403</v>
      </c>
      <c r="B6747" s="446" t="s">
        <v>8834</v>
      </c>
      <c r="C6747" s="129" t="s">
        <v>39</v>
      </c>
      <c r="D6747" s="96" t="s">
        <v>881</v>
      </c>
      <c r="E6747" s="147" t="s">
        <v>8877</v>
      </c>
      <c r="F6747" s="98" t="s">
        <v>8878</v>
      </c>
      <c r="G6747" s="448" t="s">
        <v>31</v>
      </c>
      <c r="H6747" s="19" t="s">
        <v>8879</v>
      </c>
      <c r="I6747" s="23" t="e">
        <f>VLOOKUP(H6747,'合同综合查询数据（3月返）'!$A:$A,1,FALSE)</f>
        <v>#N/A</v>
      </c>
      <c r="J6747" s="448" t="s">
        <v>8541</v>
      </c>
      <c r="K6747" s="511" t="s">
        <v>8896</v>
      </c>
      <c r="L6747" s="512"/>
      <c r="M6747" s="449"/>
      <c r="N6747" s="252" t="s">
        <v>1225</v>
      </c>
      <c r="O6747" s="252"/>
      <c r="P6747" s="494">
        <v>0</v>
      </c>
      <c r="Q6747" s="131">
        <v>512</v>
      </c>
      <c r="R6747" s="173">
        <f t="shared" si="155"/>
        <v>0</v>
      </c>
      <c r="S6747" s="456">
        <v>202303</v>
      </c>
      <c r="T6747" s="134" t="s">
        <v>8897</v>
      </c>
      <c r="U6747" s="488"/>
      <c r="V6747" s="489"/>
      <c r="W6747" s="458"/>
      <c r="X6747" s="466">
        <v>44652</v>
      </c>
      <c r="Y6747" s="467">
        <v>45016</v>
      </c>
    </row>
    <row r="6748" s="9" customFormat="1" customHeight="1" spans="1:25">
      <c r="A6748" s="98" t="s">
        <v>403</v>
      </c>
      <c r="B6748" s="446" t="s">
        <v>8834</v>
      </c>
      <c r="C6748" s="129" t="s">
        <v>39</v>
      </c>
      <c r="D6748" s="96" t="s">
        <v>881</v>
      </c>
      <c r="E6748" s="147" t="s">
        <v>8877</v>
      </c>
      <c r="F6748" s="98" t="s">
        <v>8878</v>
      </c>
      <c r="G6748" s="448" t="s">
        <v>31</v>
      </c>
      <c r="H6748" s="19" t="s">
        <v>8879</v>
      </c>
      <c r="I6748" s="23" t="e">
        <f>VLOOKUP(H6748,'合同综合查询数据（3月返）'!$A:$A,1,FALSE)</f>
        <v>#N/A</v>
      </c>
      <c r="J6748" s="448" t="s">
        <v>7564</v>
      </c>
      <c r="K6748" s="511" t="s">
        <v>8892</v>
      </c>
      <c r="L6748" s="512"/>
      <c r="M6748" s="449" t="s">
        <v>8881</v>
      </c>
      <c r="N6748" s="252">
        <v>44221</v>
      </c>
      <c r="O6748" s="252"/>
      <c r="P6748" s="494">
        <v>0</v>
      </c>
      <c r="Q6748" s="131">
        <v>128</v>
      </c>
      <c r="R6748" s="173">
        <f t="shared" si="155"/>
        <v>0</v>
      </c>
      <c r="S6748" s="456">
        <v>202303</v>
      </c>
      <c r="T6748" s="134" t="s">
        <v>8898</v>
      </c>
      <c r="U6748" s="488"/>
      <c r="V6748" s="489"/>
      <c r="W6748" s="458"/>
      <c r="X6748" s="466">
        <v>44652</v>
      </c>
      <c r="Y6748" s="467">
        <v>45016</v>
      </c>
    </row>
    <row r="6749" s="9" customFormat="1" customHeight="1" spans="1:25">
      <c r="A6749" s="98" t="s">
        <v>403</v>
      </c>
      <c r="B6749" s="446" t="s">
        <v>8834</v>
      </c>
      <c r="C6749" s="129" t="s">
        <v>39</v>
      </c>
      <c r="D6749" s="96" t="s">
        <v>881</v>
      </c>
      <c r="E6749" s="147" t="s">
        <v>8877</v>
      </c>
      <c r="F6749" s="98" t="s">
        <v>8878</v>
      </c>
      <c r="G6749" s="448" t="s">
        <v>88</v>
      </c>
      <c r="H6749" s="19" t="s">
        <v>8879</v>
      </c>
      <c r="I6749" s="23" t="e">
        <f>VLOOKUP(H6749,'合同综合查询数据（3月返）'!$A:$A,1,FALSE)</f>
        <v>#N/A</v>
      </c>
      <c r="J6749" s="448" t="s">
        <v>126</v>
      </c>
      <c r="K6749" s="511" t="s">
        <v>8892</v>
      </c>
      <c r="L6749" s="512"/>
      <c r="M6749" s="449" t="s">
        <v>8881</v>
      </c>
      <c r="N6749" s="252">
        <v>44774</v>
      </c>
      <c r="O6749" s="252"/>
      <c r="P6749" s="513">
        <v>3333.33</v>
      </c>
      <c r="Q6749" s="131">
        <v>6</v>
      </c>
      <c r="R6749" s="173">
        <f t="shared" si="155"/>
        <v>19999.98</v>
      </c>
      <c r="S6749" s="456">
        <v>202303</v>
      </c>
      <c r="T6749" s="134" t="s">
        <v>8899</v>
      </c>
      <c r="U6749" s="488"/>
      <c r="V6749" s="489"/>
      <c r="W6749" s="458"/>
      <c r="X6749" s="466">
        <v>44652</v>
      </c>
      <c r="Y6749" s="467">
        <v>45016</v>
      </c>
    </row>
    <row r="6750" s="9" customFormat="1" customHeight="1" spans="1:25">
      <c r="A6750" s="98" t="s">
        <v>403</v>
      </c>
      <c r="B6750" s="446" t="s">
        <v>8834</v>
      </c>
      <c r="C6750" s="129" t="s">
        <v>39</v>
      </c>
      <c r="D6750" s="96" t="s">
        <v>881</v>
      </c>
      <c r="E6750" s="147" t="s">
        <v>8877</v>
      </c>
      <c r="F6750" s="98" t="s">
        <v>8878</v>
      </c>
      <c r="G6750" s="448" t="s">
        <v>31</v>
      </c>
      <c r="H6750" s="19" t="s">
        <v>8879</v>
      </c>
      <c r="I6750" s="23" t="e">
        <f>VLOOKUP(H6750,'合同综合查询数据（3月返）'!$A:$A,1,FALSE)</f>
        <v>#N/A</v>
      </c>
      <c r="J6750" s="448" t="s">
        <v>7564</v>
      </c>
      <c r="K6750" s="511" t="s">
        <v>8892</v>
      </c>
      <c r="L6750" s="512"/>
      <c r="M6750" s="449" t="s">
        <v>8881</v>
      </c>
      <c r="N6750" s="252">
        <v>44774</v>
      </c>
      <c r="O6750" s="252"/>
      <c r="P6750" s="494">
        <v>0</v>
      </c>
      <c r="Q6750" s="131">
        <v>256</v>
      </c>
      <c r="R6750" s="173">
        <f t="shared" si="155"/>
        <v>0</v>
      </c>
      <c r="S6750" s="456">
        <v>202303</v>
      </c>
      <c r="T6750" s="134" t="s">
        <v>8900</v>
      </c>
      <c r="U6750" s="488"/>
      <c r="V6750" s="489"/>
      <c r="W6750" s="458"/>
      <c r="X6750" s="466">
        <v>44652</v>
      </c>
      <c r="Y6750" s="467">
        <v>45016</v>
      </c>
    </row>
    <row r="6751" s="9" customFormat="1" customHeight="1" spans="1:25">
      <c r="A6751" s="98" t="s">
        <v>403</v>
      </c>
      <c r="B6751" s="446" t="s">
        <v>8834</v>
      </c>
      <c r="C6751" s="129" t="s">
        <v>39</v>
      </c>
      <c r="D6751" s="96" t="s">
        <v>881</v>
      </c>
      <c r="E6751" s="147" t="s">
        <v>8877</v>
      </c>
      <c r="F6751" s="98" t="s">
        <v>8878</v>
      </c>
      <c r="G6751" s="448" t="s">
        <v>31</v>
      </c>
      <c r="H6751" s="19" t="s">
        <v>8879</v>
      </c>
      <c r="I6751" s="23" t="e">
        <f>VLOOKUP(H6751,'合同综合查询数据（3月返）'!$A:$A,1,FALSE)</f>
        <v>#N/A</v>
      </c>
      <c r="J6751" s="448" t="s">
        <v>7564</v>
      </c>
      <c r="K6751" s="511" t="s">
        <v>8892</v>
      </c>
      <c r="L6751" s="512"/>
      <c r="M6751" s="449" t="s">
        <v>8881</v>
      </c>
      <c r="N6751" s="252">
        <v>44774</v>
      </c>
      <c r="O6751" s="252"/>
      <c r="P6751" s="494">
        <v>0</v>
      </c>
      <c r="Q6751" s="131">
        <v>1</v>
      </c>
      <c r="R6751" s="173">
        <f t="shared" si="155"/>
        <v>0</v>
      </c>
      <c r="S6751" s="456">
        <v>202303</v>
      </c>
      <c r="T6751" s="134" t="s">
        <v>8901</v>
      </c>
      <c r="U6751" s="488"/>
      <c r="V6751" s="489"/>
      <c r="W6751" s="458"/>
      <c r="X6751" s="466">
        <v>44652</v>
      </c>
      <c r="Y6751" s="467">
        <v>45016</v>
      </c>
    </row>
    <row r="6752" s="9" customFormat="1" customHeight="1" spans="1:25">
      <c r="A6752" s="98" t="s">
        <v>403</v>
      </c>
      <c r="B6752" s="446" t="s">
        <v>8834</v>
      </c>
      <c r="C6752" s="129" t="s">
        <v>39</v>
      </c>
      <c r="D6752" s="96" t="s">
        <v>881</v>
      </c>
      <c r="E6752" s="147" t="s">
        <v>8877</v>
      </c>
      <c r="F6752" s="98" t="s">
        <v>8878</v>
      </c>
      <c r="G6752" s="448" t="s">
        <v>31</v>
      </c>
      <c r="H6752" s="19" t="s">
        <v>8879</v>
      </c>
      <c r="I6752" s="23" t="e">
        <f>VLOOKUP(H6752,'合同综合查询数据（3月返）'!$A:$A,1,FALSE)</f>
        <v>#N/A</v>
      </c>
      <c r="J6752" s="448" t="s">
        <v>7564</v>
      </c>
      <c r="K6752" s="511" t="s">
        <v>8892</v>
      </c>
      <c r="L6752" s="512"/>
      <c r="M6752" s="449" t="s">
        <v>8881</v>
      </c>
      <c r="N6752" s="252">
        <v>44872</v>
      </c>
      <c r="O6752" s="252"/>
      <c r="P6752" s="494">
        <v>0</v>
      </c>
      <c r="Q6752" s="131">
        <v>-128</v>
      </c>
      <c r="R6752" s="173">
        <f t="shared" si="155"/>
        <v>0</v>
      </c>
      <c r="S6752" s="456">
        <v>202303</v>
      </c>
      <c r="T6752" s="134" t="s">
        <v>8902</v>
      </c>
      <c r="U6752" s="488"/>
      <c r="V6752" s="489"/>
      <c r="W6752" s="458"/>
      <c r="X6752" s="466">
        <v>44652</v>
      </c>
      <c r="Y6752" s="467">
        <v>45016</v>
      </c>
    </row>
    <row r="6753" s="9" customFormat="1" customHeight="1" spans="1:25">
      <c r="A6753" s="98" t="s">
        <v>403</v>
      </c>
      <c r="B6753" s="446" t="s">
        <v>8834</v>
      </c>
      <c r="C6753" s="129" t="s">
        <v>39</v>
      </c>
      <c r="D6753" s="94" t="s">
        <v>881</v>
      </c>
      <c r="E6753" s="147" t="s">
        <v>8877</v>
      </c>
      <c r="F6753" s="98" t="s">
        <v>8903</v>
      </c>
      <c r="G6753" s="448" t="s">
        <v>88</v>
      </c>
      <c r="H6753" s="19" t="s">
        <v>8879</v>
      </c>
      <c r="I6753" s="23" t="e">
        <f>VLOOKUP(H6753,'合同综合查询数据（3月返）'!$A:$A,1,FALSE)</f>
        <v>#N/A</v>
      </c>
      <c r="J6753" s="448" t="s">
        <v>126</v>
      </c>
      <c r="K6753" s="511" t="s">
        <v>8904</v>
      </c>
      <c r="L6753" s="512"/>
      <c r="M6753" s="449" t="s">
        <v>8905</v>
      </c>
      <c r="N6753" s="252">
        <v>43018</v>
      </c>
      <c r="O6753" s="252" t="s">
        <v>127</v>
      </c>
      <c r="P6753" s="513">
        <v>3333.33</v>
      </c>
      <c r="Q6753" s="131">
        <v>11</v>
      </c>
      <c r="R6753" s="119">
        <f t="shared" si="155"/>
        <v>36666.63</v>
      </c>
      <c r="S6753" s="456">
        <v>202303</v>
      </c>
      <c r="T6753" s="134" t="s">
        <v>8906</v>
      </c>
      <c r="U6753" s="488"/>
      <c r="V6753" s="516"/>
      <c r="W6753" s="516"/>
      <c r="X6753" s="466">
        <v>44652</v>
      </c>
      <c r="Y6753" s="467">
        <v>45016</v>
      </c>
    </row>
    <row r="6754" s="9" customFormat="1" customHeight="1" spans="1:25">
      <c r="A6754" s="98" t="s">
        <v>403</v>
      </c>
      <c r="B6754" s="446" t="s">
        <v>8834</v>
      </c>
      <c r="C6754" s="129" t="s">
        <v>39</v>
      </c>
      <c r="D6754" s="94" t="s">
        <v>881</v>
      </c>
      <c r="E6754" s="147" t="s">
        <v>8877</v>
      </c>
      <c r="F6754" s="98" t="s">
        <v>8903</v>
      </c>
      <c r="G6754" s="448" t="s">
        <v>88</v>
      </c>
      <c r="H6754" s="19" t="s">
        <v>8879</v>
      </c>
      <c r="I6754" s="23" t="e">
        <f>VLOOKUP(H6754,'合同综合查询数据（3月返）'!$A:$A,1,FALSE)</f>
        <v>#N/A</v>
      </c>
      <c r="J6754" s="448" t="s">
        <v>126</v>
      </c>
      <c r="K6754" s="511" t="s">
        <v>8904</v>
      </c>
      <c r="L6754" s="512"/>
      <c r="M6754" s="449" t="s">
        <v>8905</v>
      </c>
      <c r="N6754" s="252">
        <v>44421</v>
      </c>
      <c r="O6754" s="252" t="s">
        <v>127</v>
      </c>
      <c r="P6754" s="513">
        <v>3333.33</v>
      </c>
      <c r="Q6754" s="131">
        <v>-6</v>
      </c>
      <c r="R6754" s="119">
        <f t="shared" si="155"/>
        <v>-19999.98</v>
      </c>
      <c r="S6754" s="456">
        <v>202303</v>
      </c>
      <c r="T6754" s="134" t="s">
        <v>8907</v>
      </c>
      <c r="U6754" s="488"/>
      <c r="V6754" s="516"/>
      <c r="W6754" s="516"/>
      <c r="X6754" s="466">
        <v>44652</v>
      </c>
      <c r="Y6754" s="467">
        <v>45016</v>
      </c>
    </row>
    <row r="6755" s="9" customFormat="1" customHeight="1" spans="1:25">
      <c r="A6755" s="98" t="s">
        <v>403</v>
      </c>
      <c r="B6755" s="446" t="s">
        <v>8834</v>
      </c>
      <c r="C6755" s="129" t="s">
        <v>39</v>
      </c>
      <c r="D6755" s="94" t="s">
        <v>881</v>
      </c>
      <c r="E6755" s="147" t="s">
        <v>8877</v>
      </c>
      <c r="F6755" s="98" t="s">
        <v>8903</v>
      </c>
      <c r="G6755" s="448" t="s">
        <v>88</v>
      </c>
      <c r="H6755" s="19" t="s">
        <v>8879</v>
      </c>
      <c r="I6755" s="23" t="e">
        <f>VLOOKUP(H6755,'合同综合查询数据（3月返）'!$A:$A,1,FALSE)</f>
        <v>#N/A</v>
      </c>
      <c r="J6755" s="448" t="s">
        <v>126</v>
      </c>
      <c r="K6755" s="511" t="s">
        <v>8908</v>
      </c>
      <c r="L6755" s="512"/>
      <c r="M6755" s="449" t="s">
        <v>8905</v>
      </c>
      <c r="N6755" s="252">
        <v>43245</v>
      </c>
      <c r="O6755" s="252" t="s">
        <v>127</v>
      </c>
      <c r="P6755" s="513">
        <v>3333.33</v>
      </c>
      <c r="Q6755" s="131">
        <v>7</v>
      </c>
      <c r="R6755" s="119">
        <f t="shared" si="155"/>
        <v>23333.31</v>
      </c>
      <c r="S6755" s="456">
        <v>202303</v>
      </c>
      <c r="T6755" s="134" t="s">
        <v>8909</v>
      </c>
      <c r="U6755" s="488"/>
      <c r="V6755" s="516"/>
      <c r="W6755" s="516"/>
      <c r="X6755" s="466">
        <v>44652</v>
      </c>
      <c r="Y6755" s="467">
        <v>45016</v>
      </c>
    </row>
    <row r="6756" s="9" customFormat="1" customHeight="1" spans="1:25">
      <c r="A6756" s="98" t="s">
        <v>403</v>
      </c>
      <c r="B6756" s="446" t="s">
        <v>8834</v>
      </c>
      <c r="C6756" s="129" t="s">
        <v>39</v>
      </c>
      <c r="D6756" s="94" t="s">
        <v>881</v>
      </c>
      <c r="E6756" s="147" t="s">
        <v>8877</v>
      </c>
      <c r="F6756" s="98" t="s">
        <v>8903</v>
      </c>
      <c r="G6756" s="448" t="s">
        <v>88</v>
      </c>
      <c r="H6756" s="19" t="s">
        <v>8879</v>
      </c>
      <c r="I6756" s="23" t="e">
        <f>VLOOKUP(H6756,'合同综合查询数据（3月返）'!$A:$A,1,FALSE)</f>
        <v>#N/A</v>
      </c>
      <c r="J6756" s="448" t="s">
        <v>126</v>
      </c>
      <c r="K6756" s="511" t="s">
        <v>8908</v>
      </c>
      <c r="L6756" s="512"/>
      <c r="M6756" s="449" t="s">
        <v>8905</v>
      </c>
      <c r="N6756" s="252">
        <v>44905</v>
      </c>
      <c r="O6756" s="252" t="s">
        <v>127</v>
      </c>
      <c r="P6756" s="513">
        <v>3333.33</v>
      </c>
      <c r="Q6756" s="131">
        <v>-3</v>
      </c>
      <c r="R6756" s="119">
        <f t="shared" si="155"/>
        <v>-9999.99</v>
      </c>
      <c r="S6756" s="456">
        <v>202303</v>
      </c>
      <c r="T6756" s="134" t="s">
        <v>8910</v>
      </c>
      <c r="U6756" s="488"/>
      <c r="V6756" s="516"/>
      <c r="W6756" s="516"/>
      <c r="X6756" s="466">
        <v>44652</v>
      </c>
      <c r="Y6756" s="467">
        <v>45016</v>
      </c>
    </row>
    <row r="6757" s="9" customFormat="1" customHeight="1" spans="1:25">
      <c r="A6757" s="98" t="s">
        <v>403</v>
      </c>
      <c r="B6757" s="446" t="s">
        <v>8834</v>
      </c>
      <c r="C6757" s="129" t="s">
        <v>39</v>
      </c>
      <c r="D6757" s="94" t="s">
        <v>881</v>
      </c>
      <c r="E6757" s="147" t="s">
        <v>8877</v>
      </c>
      <c r="F6757" s="98" t="s">
        <v>8903</v>
      </c>
      <c r="G6757" s="448" t="s">
        <v>88</v>
      </c>
      <c r="H6757" s="19" t="s">
        <v>8879</v>
      </c>
      <c r="I6757" s="23" t="e">
        <f>VLOOKUP(H6757,'合同综合查询数据（3月返）'!$A:$A,1,FALSE)</f>
        <v>#N/A</v>
      </c>
      <c r="J6757" s="448" t="s">
        <v>126</v>
      </c>
      <c r="K6757" s="511" t="s">
        <v>8911</v>
      </c>
      <c r="L6757" s="512"/>
      <c r="M6757" s="449" t="s">
        <v>8912</v>
      </c>
      <c r="N6757" s="252">
        <v>43671</v>
      </c>
      <c r="O6757" s="252" t="s">
        <v>127</v>
      </c>
      <c r="P6757" s="513">
        <v>3333.33</v>
      </c>
      <c r="Q6757" s="131">
        <v>22</v>
      </c>
      <c r="R6757" s="119">
        <f t="shared" si="155"/>
        <v>73333.26</v>
      </c>
      <c r="S6757" s="456">
        <v>202303</v>
      </c>
      <c r="T6757" s="134" t="s">
        <v>8913</v>
      </c>
      <c r="U6757" s="488"/>
      <c r="V6757" s="516"/>
      <c r="W6757" s="516"/>
      <c r="X6757" s="466">
        <v>44652</v>
      </c>
      <c r="Y6757" s="467">
        <v>45016</v>
      </c>
    </row>
    <row r="6758" s="9" customFormat="1" customHeight="1" spans="1:25">
      <c r="A6758" s="98" t="s">
        <v>403</v>
      </c>
      <c r="B6758" s="446" t="s">
        <v>8834</v>
      </c>
      <c r="C6758" s="129" t="s">
        <v>39</v>
      </c>
      <c r="D6758" s="94" t="s">
        <v>881</v>
      </c>
      <c r="E6758" s="147" t="s">
        <v>8877</v>
      </c>
      <c r="F6758" s="98" t="s">
        <v>8903</v>
      </c>
      <c r="G6758" s="448" t="s">
        <v>88</v>
      </c>
      <c r="H6758" s="19" t="s">
        <v>8879</v>
      </c>
      <c r="I6758" s="23" t="e">
        <f>VLOOKUP(H6758,'合同综合查询数据（3月返）'!$A:$A,1,FALSE)</f>
        <v>#N/A</v>
      </c>
      <c r="J6758" s="448" t="s">
        <v>126</v>
      </c>
      <c r="K6758" s="511" t="s">
        <v>8911</v>
      </c>
      <c r="L6758" s="512"/>
      <c r="M6758" s="449" t="s">
        <v>8912</v>
      </c>
      <c r="N6758" s="252">
        <v>44214</v>
      </c>
      <c r="O6758" s="252" t="s">
        <v>127</v>
      </c>
      <c r="P6758" s="513">
        <v>3333.33</v>
      </c>
      <c r="Q6758" s="131">
        <v>-9</v>
      </c>
      <c r="R6758" s="119">
        <f t="shared" si="155"/>
        <v>-29999.97</v>
      </c>
      <c r="S6758" s="456">
        <v>202303</v>
      </c>
      <c r="T6758" s="134" t="s">
        <v>8914</v>
      </c>
      <c r="U6758" s="488"/>
      <c r="V6758" s="516"/>
      <c r="W6758" s="516"/>
      <c r="X6758" s="466">
        <v>44652</v>
      </c>
      <c r="Y6758" s="467">
        <v>45016</v>
      </c>
    </row>
    <row r="6759" s="9" customFormat="1" customHeight="1" spans="1:25">
      <c r="A6759" s="98" t="s">
        <v>403</v>
      </c>
      <c r="B6759" s="446" t="s">
        <v>8834</v>
      </c>
      <c r="C6759" s="129" t="s">
        <v>39</v>
      </c>
      <c r="D6759" s="94" t="s">
        <v>881</v>
      </c>
      <c r="E6759" s="147" t="s">
        <v>8877</v>
      </c>
      <c r="F6759" s="98" t="s">
        <v>8903</v>
      </c>
      <c r="G6759" s="448" t="s">
        <v>88</v>
      </c>
      <c r="H6759" s="19" t="s">
        <v>8879</v>
      </c>
      <c r="I6759" s="23" t="e">
        <f>VLOOKUP(H6759,'合同综合查询数据（3月返）'!$A:$A,1,FALSE)</f>
        <v>#N/A</v>
      </c>
      <c r="J6759" s="448" t="s">
        <v>126</v>
      </c>
      <c r="K6759" s="511" t="s">
        <v>8904</v>
      </c>
      <c r="L6759" s="512"/>
      <c r="M6759" s="449" t="s">
        <v>8905</v>
      </c>
      <c r="N6759" s="252">
        <v>44805</v>
      </c>
      <c r="O6759" s="252" t="s">
        <v>127</v>
      </c>
      <c r="P6759" s="513">
        <v>3333.33</v>
      </c>
      <c r="Q6759" s="131">
        <v>3</v>
      </c>
      <c r="R6759" s="119">
        <f t="shared" ref="R6759:R6822" si="156">ROUND(P6759*Q6759,2)</f>
        <v>9999.99</v>
      </c>
      <c r="S6759" s="456">
        <v>202303</v>
      </c>
      <c r="T6759" s="134" t="s">
        <v>8915</v>
      </c>
      <c r="U6759" s="488"/>
      <c r="V6759" s="516"/>
      <c r="W6759" s="516"/>
      <c r="X6759" s="466">
        <v>44652</v>
      </c>
      <c r="Y6759" s="467">
        <v>45016</v>
      </c>
    </row>
    <row r="6760" s="9" customFormat="1" customHeight="1" spans="1:25">
      <c r="A6760" s="98" t="s">
        <v>403</v>
      </c>
      <c r="B6760" s="446" t="s">
        <v>8834</v>
      </c>
      <c r="C6760" s="129" t="s">
        <v>39</v>
      </c>
      <c r="D6760" s="96" t="s">
        <v>881</v>
      </c>
      <c r="E6760" s="147" t="s">
        <v>8877</v>
      </c>
      <c r="F6760" s="98" t="s">
        <v>8903</v>
      </c>
      <c r="G6760" s="448" t="s">
        <v>31</v>
      </c>
      <c r="H6760" s="19" t="s">
        <v>8879</v>
      </c>
      <c r="I6760" s="23" t="e">
        <f>VLOOKUP(H6760,'合同综合查询数据（3月返）'!$A:$A,1,FALSE)</f>
        <v>#N/A</v>
      </c>
      <c r="J6760" s="448" t="s">
        <v>7564</v>
      </c>
      <c r="K6760" s="511" t="s">
        <v>8904</v>
      </c>
      <c r="L6760" s="512"/>
      <c r="M6760" s="449" t="s">
        <v>8905</v>
      </c>
      <c r="N6760" s="252">
        <v>43245</v>
      </c>
      <c r="O6760" s="252"/>
      <c r="P6760" s="494">
        <v>0</v>
      </c>
      <c r="Q6760" s="131">
        <v>544</v>
      </c>
      <c r="R6760" s="119">
        <f t="shared" si="156"/>
        <v>0</v>
      </c>
      <c r="S6760" s="456">
        <v>202303</v>
      </c>
      <c r="T6760" s="134" t="s">
        <v>8916</v>
      </c>
      <c r="U6760" s="488"/>
      <c r="V6760" s="489"/>
      <c r="W6760" s="458"/>
      <c r="X6760" s="466">
        <v>44652</v>
      </c>
      <c r="Y6760" s="467">
        <v>45016</v>
      </c>
    </row>
    <row r="6761" s="9" customFormat="1" customHeight="1" spans="1:25">
      <c r="A6761" s="98" t="s">
        <v>403</v>
      </c>
      <c r="B6761" s="446" t="s">
        <v>8834</v>
      </c>
      <c r="C6761" s="129" t="s">
        <v>39</v>
      </c>
      <c r="D6761" s="96" t="s">
        <v>881</v>
      </c>
      <c r="E6761" s="147" t="s">
        <v>8877</v>
      </c>
      <c r="F6761" s="98" t="s">
        <v>8903</v>
      </c>
      <c r="G6761" s="448" t="s">
        <v>31</v>
      </c>
      <c r="H6761" s="19" t="s">
        <v>8879</v>
      </c>
      <c r="I6761" s="23" t="e">
        <f>VLOOKUP(H6761,'合同综合查询数据（3月返）'!$A:$A,1,FALSE)</f>
        <v>#N/A</v>
      </c>
      <c r="J6761" s="448" t="s">
        <v>7564</v>
      </c>
      <c r="K6761" s="511" t="s">
        <v>8908</v>
      </c>
      <c r="L6761" s="512"/>
      <c r="M6761" s="449" t="s">
        <v>8905</v>
      </c>
      <c r="N6761" s="252">
        <v>43245</v>
      </c>
      <c r="O6761" s="252"/>
      <c r="P6761" s="494">
        <v>0</v>
      </c>
      <c r="Q6761" s="131">
        <v>288</v>
      </c>
      <c r="R6761" s="119">
        <f t="shared" si="156"/>
        <v>0</v>
      </c>
      <c r="S6761" s="456">
        <v>202303</v>
      </c>
      <c r="T6761" s="134" t="s">
        <v>8917</v>
      </c>
      <c r="U6761" s="488"/>
      <c r="V6761" s="489"/>
      <c r="W6761" s="458"/>
      <c r="X6761" s="466">
        <v>44652</v>
      </c>
      <c r="Y6761" s="467">
        <v>45016</v>
      </c>
    </row>
    <row r="6762" s="9" customFormat="1" customHeight="1" spans="1:25">
      <c r="A6762" s="98" t="s">
        <v>403</v>
      </c>
      <c r="B6762" s="446" t="s">
        <v>8834</v>
      </c>
      <c r="C6762" s="129" t="s">
        <v>39</v>
      </c>
      <c r="D6762" s="96" t="s">
        <v>881</v>
      </c>
      <c r="E6762" s="147" t="s">
        <v>8877</v>
      </c>
      <c r="F6762" s="98" t="s">
        <v>8903</v>
      </c>
      <c r="G6762" s="448" t="s">
        <v>31</v>
      </c>
      <c r="H6762" s="19" t="s">
        <v>8879</v>
      </c>
      <c r="I6762" s="23" t="e">
        <f>VLOOKUP(H6762,'合同综合查询数据（3月返）'!$A:$A,1,FALSE)</f>
        <v>#N/A</v>
      </c>
      <c r="J6762" s="448" t="s">
        <v>7564</v>
      </c>
      <c r="K6762" s="511" t="s">
        <v>8911</v>
      </c>
      <c r="L6762" s="512"/>
      <c r="M6762" s="449" t="s">
        <v>8912</v>
      </c>
      <c r="N6762" s="252">
        <v>43671</v>
      </c>
      <c r="O6762" s="252"/>
      <c r="P6762" s="494">
        <v>0</v>
      </c>
      <c r="Q6762" s="131">
        <v>544</v>
      </c>
      <c r="R6762" s="119">
        <f t="shared" si="156"/>
        <v>0</v>
      </c>
      <c r="S6762" s="456">
        <v>202303</v>
      </c>
      <c r="T6762" s="134" t="s">
        <v>8918</v>
      </c>
      <c r="U6762" s="488"/>
      <c r="V6762" s="489"/>
      <c r="W6762" s="458"/>
      <c r="X6762" s="466">
        <v>44652</v>
      </c>
      <c r="Y6762" s="467">
        <v>45016</v>
      </c>
    </row>
    <row r="6763" s="9" customFormat="1" customHeight="1" spans="1:25">
      <c r="A6763" s="98" t="s">
        <v>403</v>
      </c>
      <c r="B6763" s="446" t="s">
        <v>8834</v>
      </c>
      <c r="C6763" s="129" t="s">
        <v>39</v>
      </c>
      <c r="D6763" s="94" t="s">
        <v>881</v>
      </c>
      <c r="E6763" s="147" t="s">
        <v>8877</v>
      </c>
      <c r="F6763" s="98" t="s">
        <v>8903</v>
      </c>
      <c r="G6763" s="448" t="s">
        <v>88</v>
      </c>
      <c r="H6763" s="19" t="s">
        <v>8879</v>
      </c>
      <c r="I6763" s="23" t="e">
        <f>VLOOKUP(H6763,'合同综合查询数据（3月返）'!$A:$A,1,FALSE)</f>
        <v>#N/A</v>
      </c>
      <c r="J6763" s="448" t="s">
        <v>126</v>
      </c>
      <c r="K6763" s="511" t="s">
        <v>8911</v>
      </c>
      <c r="L6763" s="512"/>
      <c r="M6763" s="449" t="s">
        <v>8912</v>
      </c>
      <c r="N6763" s="252">
        <v>44835</v>
      </c>
      <c r="O6763" s="252" t="s">
        <v>127</v>
      </c>
      <c r="P6763" s="513">
        <v>3333.33</v>
      </c>
      <c r="Q6763" s="131">
        <v>11</v>
      </c>
      <c r="R6763" s="119">
        <f t="shared" si="156"/>
        <v>36666.63</v>
      </c>
      <c r="S6763" s="456">
        <v>202303</v>
      </c>
      <c r="T6763" s="134" t="s">
        <v>8919</v>
      </c>
      <c r="U6763" s="488"/>
      <c r="V6763" s="516"/>
      <c r="W6763" s="516"/>
      <c r="X6763" s="466">
        <v>44652</v>
      </c>
      <c r="Y6763" s="467">
        <v>45016</v>
      </c>
    </row>
    <row r="6764" s="9" customFormat="1" customHeight="1" spans="1:25">
      <c r="A6764" s="98" t="s">
        <v>403</v>
      </c>
      <c r="B6764" s="446" t="s">
        <v>8834</v>
      </c>
      <c r="C6764" s="129" t="s">
        <v>39</v>
      </c>
      <c r="D6764" s="96" t="s">
        <v>881</v>
      </c>
      <c r="E6764" s="147" t="s">
        <v>8877</v>
      </c>
      <c r="F6764" s="98" t="s">
        <v>8903</v>
      </c>
      <c r="G6764" s="448" t="s">
        <v>302</v>
      </c>
      <c r="H6764" s="19" t="s">
        <v>8920</v>
      </c>
      <c r="I6764" s="23" t="e">
        <f>VLOOKUP(H6764,'合同综合查询数据（3月返）'!$A:$A,1,FALSE)</f>
        <v>#N/A</v>
      </c>
      <c r="J6764" s="448" t="s">
        <v>302</v>
      </c>
      <c r="K6764" s="511" t="s">
        <v>8921</v>
      </c>
      <c r="L6764" s="512"/>
      <c r="M6764" s="449"/>
      <c r="N6764" s="252">
        <v>44743</v>
      </c>
      <c r="O6764" s="252" t="s">
        <v>2866</v>
      </c>
      <c r="P6764" s="494">
        <v>250000</v>
      </c>
      <c r="Q6764" s="131">
        <v>1</v>
      </c>
      <c r="R6764" s="119">
        <f t="shared" si="156"/>
        <v>250000</v>
      </c>
      <c r="S6764" s="456">
        <v>202303</v>
      </c>
      <c r="T6764" s="134" t="s">
        <v>8922</v>
      </c>
      <c r="U6764" s="488"/>
      <c r="V6764" s="489"/>
      <c r="W6764" s="458"/>
      <c r="X6764" s="466">
        <v>44713</v>
      </c>
      <c r="Y6764" s="467">
        <v>45808</v>
      </c>
    </row>
    <row r="6765" s="9" customFormat="1" customHeight="1" spans="1:25">
      <c r="A6765" s="98" t="s">
        <v>401</v>
      </c>
      <c r="B6765" s="446" t="s">
        <v>8834</v>
      </c>
      <c r="C6765" s="129" t="s">
        <v>39</v>
      </c>
      <c r="D6765" s="94" t="s">
        <v>881</v>
      </c>
      <c r="E6765" s="147" t="s">
        <v>8923</v>
      </c>
      <c r="F6765" s="98" t="s">
        <v>8924</v>
      </c>
      <c r="G6765" s="448" t="s">
        <v>88</v>
      </c>
      <c r="H6765" s="19" t="s">
        <v>8925</v>
      </c>
      <c r="I6765" s="23" t="e">
        <f>VLOOKUP(H6765,'合同综合查询数据（3月返）'!$A:$A,1,FALSE)</f>
        <v>#N/A</v>
      </c>
      <c r="J6765" s="448" t="s">
        <v>126</v>
      </c>
      <c r="K6765" s="511" t="s">
        <v>8926</v>
      </c>
      <c r="L6765" s="512" t="s">
        <v>8927</v>
      </c>
      <c r="M6765" s="449" t="s">
        <v>8928</v>
      </c>
      <c r="N6765" s="252">
        <v>44835</v>
      </c>
      <c r="O6765" s="252" t="s">
        <v>127</v>
      </c>
      <c r="P6765" s="513">
        <v>2916.6</v>
      </c>
      <c r="Q6765" s="131">
        <v>1</v>
      </c>
      <c r="R6765" s="119">
        <f t="shared" si="156"/>
        <v>2916.6</v>
      </c>
      <c r="S6765" s="456">
        <v>202303</v>
      </c>
      <c r="T6765" s="134" t="s">
        <v>8929</v>
      </c>
      <c r="U6765" s="488"/>
      <c r="V6765" s="516"/>
      <c r="W6765" s="516"/>
      <c r="X6765" s="252">
        <v>44835</v>
      </c>
      <c r="Y6765" s="467">
        <v>45199</v>
      </c>
    </row>
    <row r="6766" s="9" customFormat="1" customHeight="1" spans="1:25">
      <c r="A6766" s="98" t="s">
        <v>401</v>
      </c>
      <c r="B6766" s="446" t="s">
        <v>8834</v>
      </c>
      <c r="C6766" s="129" t="s">
        <v>39</v>
      </c>
      <c r="D6766" s="96" t="s">
        <v>881</v>
      </c>
      <c r="E6766" s="147" t="s">
        <v>8923</v>
      </c>
      <c r="F6766" s="98" t="s">
        <v>8924</v>
      </c>
      <c r="G6766" s="448" t="s">
        <v>31</v>
      </c>
      <c r="H6766" s="19" t="s">
        <v>8925</v>
      </c>
      <c r="I6766" s="23" t="e">
        <f>VLOOKUP(H6766,'合同综合查询数据（3月返）'!$A:$A,1,FALSE)</f>
        <v>#N/A</v>
      </c>
      <c r="J6766" s="448" t="s">
        <v>7564</v>
      </c>
      <c r="K6766" s="511" t="s">
        <v>8926</v>
      </c>
      <c r="L6766" s="512" t="s">
        <v>8927</v>
      </c>
      <c r="M6766" s="449" t="s">
        <v>8928</v>
      </c>
      <c r="N6766" s="252">
        <v>44835</v>
      </c>
      <c r="O6766" s="252"/>
      <c r="P6766" s="494">
        <v>0</v>
      </c>
      <c r="Q6766" s="131">
        <v>256</v>
      </c>
      <c r="R6766" s="173">
        <f t="shared" si="156"/>
        <v>0</v>
      </c>
      <c r="S6766" s="456">
        <v>202303</v>
      </c>
      <c r="T6766" s="134" t="s">
        <v>8930</v>
      </c>
      <c r="U6766" s="488"/>
      <c r="V6766" s="489"/>
      <c r="W6766" s="458"/>
      <c r="X6766" s="252">
        <v>44835</v>
      </c>
      <c r="Y6766" s="467">
        <v>45199</v>
      </c>
    </row>
    <row r="6767" s="10" customFormat="1" customHeight="1" spans="1:25">
      <c r="A6767" s="61" t="s">
        <v>401</v>
      </c>
      <c r="B6767" s="459" t="s">
        <v>8834</v>
      </c>
      <c r="C6767" s="135" t="s">
        <v>39</v>
      </c>
      <c r="D6767" s="62" t="s">
        <v>881</v>
      </c>
      <c r="E6767" s="160" t="s">
        <v>8931</v>
      </c>
      <c r="F6767" s="61" t="s">
        <v>8932</v>
      </c>
      <c r="G6767" s="424" t="s">
        <v>88</v>
      </c>
      <c r="H6767" s="45" t="s">
        <v>8933</v>
      </c>
      <c r="I6767" s="47" t="e">
        <f>VLOOKUP(H6767,'合同综合查询数据（3月返）'!$A:$A,1,FALSE)</f>
        <v>#N/A</v>
      </c>
      <c r="J6767" s="424" t="s">
        <v>126</v>
      </c>
      <c r="K6767" s="427" t="s">
        <v>8934</v>
      </c>
      <c r="L6767" s="428"/>
      <c r="M6767" s="429" t="s">
        <v>8935</v>
      </c>
      <c r="N6767" s="430">
        <v>42736</v>
      </c>
      <c r="O6767" s="430" t="s">
        <v>457</v>
      </c>
      <c r="P6767" s="514">
        <v>5000</v>
      </c>
      <c r="Q6767" s="140">
        <v>2</v>
      </c>
      <c r="R6767" s="69">
        <f t="shared" si="156"/>
        <v>10000</v>
      </c>
      <c r="S6767" s="434">
        <v>202303</v>
      </c>
      <c r="T6767" s="517"/>
      <c r="U6767" s="436"/>
      <c r="V6767" s="518"/>
      <c r="W6767" s="518"/>
      <c r="X6767" s="163">
        <v>44927</v>
      </c>
      <c r="Y6767" s="468"/>
    </row>
    <row r="6768" s="10" customFormat="1" customHeight="1" spans="1:25">
      <c r="A6768" s="61" t="s">
        <v>401</v>
      </c>
      <c r="B6768" s="459" t="s">
        <v>8834</v>
      </c>
      <c r="C6768" s="135" t="s">
        <v>39</v>
      </c>
      <c r="D6768" s="62" t="s">
        <v>881</v>
      </c>
      <c r="E6768" s="160" t="s">
        <v>8931</v>
      </c>
      <c r="F6768" s="61" t="s">
        <v>8932</v>
      </c>
      <c r="G6768" s="424" t="s">
        <v>88</v>
      </c>
      <c r="H6768" s="45" t="s">
        <v>8933</v>
      </c>
      <c r="I6768" s="47" t="e">
        <f>VLOOKUP(H6768,'合同综合查询数据（3月返）'!$A:$A,1,FALSE)</f>
        <v>#N/A</v>
      </c>
      <c r="J6768" s="424" t="s">
        <v>126</v>
      </c>
      <c r="K6768" s="427" t="s">
        <v>8934</v>
      </c>
      <c r="L6768" s="428"/>
      <c r="M6768" s="429" t="s">
        <v>8935</v>
      </c>
      <c r="N6768" s="430">
        <v>43701</v>
      </c>
      <c r="O6768" s="430" t="s">
        <v>457</v>
      </c>
      <c r="P6768" s="514">
        <v>5000</v>
      </c>
      <c r="Q6768" s="140">
        <v>-2</v>
      </c>
      <c r="R6768" s="69">
        <f t="shared" si="156"/>
        <v>-10000</v>
      </c>
      <c r="S6768" s="434">
        <v>202303</v>
      </c>
      <c r="T6768" s="517" t="s">
        <v>8936</v>
      </c>
      <c r="U6768" s="436"/>
      <c r="V6768" s="518"/>
      <c r="W6768" s="518"/>
      <c r="X6768" s="163">
        <v>44927</v>
      </c>
      <c r="Y6768" s="468"/>
    </row>
    <row r="6769" s="10" customFormat="1" customHeight="1" spans="1:25">
      <c r="A6769" s="61" t="s">
        <v>401</v>
      </c>
      <c r="B6769" s="459" t="s">
        <v>8834</v>
      </c>
      <c r="C6769" s="135" t="s">
        <v>39</v>
      </c>
      <c r="D6769" s="62" t="s">
        <v>881</v>
      </c>
      <c r="E6769" s="160" t="s">
        <v>8931</v>
      </c>
      <c r="F6769" s="61" t="s">
        <v>8932</v>
      </c>
      <c r="G6769" s="424" t="s">
        <v>88</v>
      </c>
      <c r="H6769" s="45" t="s">
        <v>8933</v>
      </c>
      <c r="I6769" s="47" t="e">
        <f>VLOOKUP(H6769,'合同综合查询数据（3月返）'!$A:$A,1,FALSE)</f>
        <v>#N/A</v>
      </c>
      <c r="J6769" s="424" t="s">
        <v>1033</v>
      </c>
      <c r="K6769" s="427" t="s">
        <v>8937</v>
      </c>
      <c r="L6769" s="428"/>
      <c r="M6769" s="429" t="s">
        <v>8938</v>
      </c>
      <c r="N6769" s="430">
        <v>42503</v>
      </c>
      <c r="O6769" s="430" t="s">
        <v>457</v>
      </c>
      <c r="P6769" s="514">
        <v>5000</v>
      </c>
      <c r="Q6769" s="140">
        <v>4</v>
      </c>
      <c r="R6769" s="69">
        <f t="shared" si="156"/>
        <v>20000</v>
      </c>
      <c r="S6769" s="434">
        <v>202303</v>
      </c>
      <c r="T6769" s="517" t="s">
        <v>8939</v>
      </c>
      <c r="U6769" s="436"/>
      <c r="V6769" s="518"/>
      <c r="W6769" s="518"/>
      <c r="X6769" s="163">
        <v>44927</v>
      </c>
      <c r="Y6769" s="468"/>
    </row>
    <row r="6770" s="10" customFormat="1" customHeight="1" spans="1:25">
      <c r="A6770" s="61" t="s">
        <v>401</v>
      </c>
      <c r="B6770" s="459" t="s">
        <v>8834</v>
      </c>
      <c r="C6770" s="135" t="s">
        <v>39</v>
      </c>
      <c r="D6770" s="62" t="s">
        <v>881</v>
      </c>
      <c r="E6770" s="160" t="s">
        <v>8931</v>
      </c>
      <c r="F6770" s="61" t="s">
        <v>8932</v>
      </c>
      <c r="G6770" s="424" t="s">
        <v>88</v>
      </c>
      <c r="H6770" s="45" t="s">
        <v>8933</v>
      </c>
      <c r="I6770" s="47" t="e">
        <f>VLOOKUP(H6770,'合同综合查询数据（3月返）'!$A:$A,1,FALSE)</f>
        <v>#N/A</v>
      </c>
      <c r="J6770" s="424" t="s">
        <v>1033</v>
      </c>
      <c r="K6770" s="427" t="s">
        <v>8937</v>
      </c>
      <c r="L6770" s="428"/>
      <c r="M6770" s="429" t="s">
        <v>8938</v>
      </c>
      <c r="N6770" s="430">
        <v>44895</v>
      </c>
      <c r="O6770" s="430" t="s">
        <v>457</v>
      </c>
      <c r="P6770" s="514">
        <v>5000</v>
      </c>
      <c r="Q6770" s="140">
        <v>-4</v>
      </c>
      <c r="R6770" s="69">
        <f t="shared" si="156"/>
        <v>-20000</v>
      </c>
      <c r="S6770" s="434">
        <v>202303</v>
      </c>
      <c r="T6770" s="517" t="s">
        <v>8940</v>
      </c>
      <c r="U6770" s="436"/>
      <c r="V6770" s="518"/>
      <c r="W6770" s="518"/>
      <c r="X6770" s="163">
        <v>44927</v>
      </c>
      <c r="Y6770" s="468"/>
    </row>
    <row r="6771" s="10" customFormat="1" customHeight="1" spans="1:25">
      <c r="A6771" s="61" t="s">
        <v>401</v>
      </c>
      <c r="B6771" s="459" t="s">
        <v>8834</v>
      </c>
      <c r="C6771" s="135" t="s">
        <v>39</v>
      </c>
      <c r="D6771" s="60" t="s">
        <v>881</v>
      </c>
      <c r="E6771" s="160" t="s">
        <v>8931</v>
      </c>
      <c r="F6771" s="61" t="s">
        <v>8932</v>
      </c>
      <c r="G6771" s="424" t="s">
        <v>31</v>
      </c>
      <c r="H6771" s="45" t="s">
        <v>8933</v>
      </c>
      <c r="I6771" s="47" t="e">
        <f>VLOOKUP(H6771,'合同综合查询数据（3月返）'!$A:$A,1,FALSE)</f>
        <v>#N/A</v>
      </c>
      <c r="J6771" s="424" t="s">
        <v>8541</v>
      </c>
      <c r="K6771" s="427" t="s">
        <v>40</v>
      </c>
      <c r="L6771" s="428"/>
      <c r="M6771" s="429"/>
      <c r="N6771" s="430">
        <v>42503</v>
      </c>
      <c r="O6771" s="430"/>
      <c r="P6771" s="485">
        <v>0</v>
      </c>
      <c r="Q6771" s="140">
        <v>256</v>
      </c>
      <c r="R6771" s="144">
        <f t="shared" si="156"/>
        <v>0</v>
      </c>
      <c r="S6771" s="434">
        <v>202303</v>
      </c>
      <c r="T6771" s="517" t="s">
        <v>8941</v>
      </c>
      <c r="U6771" s="436"/>
      <c r="V6771" s="509"/>
      <c r="W6771" s="437"/>
      <c r="X6771" s="163">
        <v>44927</v>
      </c>
      <c r="Y6771" s="468"/>
    </row>
    <row r="6772" s="10" customFormat="1" customHeight="1" spans="1:25">
      <c r="A6772" s="61" t="s">
        <v>401</v>
      </c>
      <c r="B6772" s="459" t="s">
        <v>8834</v>
      </c>
      <c r="C6772" s="135" t="s">
        <v>39</v>
      </c>
      <c r="D6772" s="60" t="s">
        <v>881</v>
      </c>
      <c r="E6772" s="160" t="s">
        <v>8931</v>
      </c>
      <c r="F6772" s="61" t="s">
        <v>8932</v>
      </c>
      <c r="G6772" s="424" t="s">
        <v>31</v>
      </c>
      <c r="H6772" s="45" t="s">
        <v>8933</v>
      </c>
      <c r="I6772" s="47" t="e">
        <f>VLOOKUP(H6772,'合同综合查询数据（3月返）'!$A:$A,1,FALSE)</f>
        <v>#N/A</v>
      </c>
      <c r="J6772" s="424" t="s">
        <v>8541</v>
      </c>
      <c r="K6772" s="427" t="s">
        <v>40</v>
      </c>
      <c r="L6772" s="428"/>
      <c r="M6772" s="429"/>
      <c r="N6772" s="430">
        <v>44895</v>
      </c>
      <c r="O6772" s="430"/>
      <c r="P6772" s="485">
        <v>0</v>
      </c>
      <c r="Q6772" s="140">
        <v>-256</v>
      </c>
      <c r="R6772" s="144">
        <f t="shared" si="156"/>
        <v>0</v>
      </c>
      <c r="S6772" s="434">
        <v>202303</v>
      </c>
      <c r="T6772" s="517" t="s">
        <v>8942</v>
      </c>
      <c r="U6772" s="436"/>
      <c r="V6772" s="509"/>
      <c r="W6772" s="437"/>
      <c r="X6772" s="163">
        <v>44927</v>
      </c>
      <c r="Y6772" s="468"/>
    </row>
    <row r="6773" s="10" customFormat="1" customHeight="1" spans="1:25">
      <c r="A6773" s="61" t="s">
        <v>401</v>
      </c>
      <c r="B6773" s="459" t="s">
        <v>8834</v>
      </c>
      <c r="C6773" s="135" t="s">
        <v>39</v>
      </c>
      <c r="D6773" s="60" t="s">
        <v>881</v>
      </c>
      <c r="E6773" s="160" t="s">
        <v>8931</v>
      </c>
      <c r="F6773" s="61" t="s">
        <v>8932</v>
      </c>
      <c r="G6773" s="424" t="s">
        <v>31</v>
      </c>
      <c r="H6773" s="45" t="s">
        <v>8933</v>
      </c>
      <c r="I6773" s="47" t="e">
        <f>VLOOKUP(H6773,'合同综合查询数据（3月返）'!$A:$A,1,FALSE)</f>
        <v>#N/A</v>
      </c>
      <c r="J6773" s="424" t="s">
        <v>8541</v>
      </c>
      <c r="K6773" s="427" t="s">
        <v>40</v>
      </c>
      <c r="L6773" s="428"/>
      <c r="M6773" s="429"/>
      <c r="N6773" s="430">
        <v>42503</v>
      </c>
      <c r="O6773" s="430"/>
      <c r="P6773" s="485">
        <v>20</v>
      </c>
      <c r="Q6773" s="140">
        <v>512</v>
      </c>
      <c r="R6773" s="144">
        <f t="shared" si="156"/>
        <v>10240</v>
      </c>
      <c r="S6773" s="434">
        <v>202303</v>
      </c>
      <c r="T6773" s="517" t="s">
        <v>8941</v>
      </c>
      <c r="U6773" s="436"/>
      <c r="V6773" s="509"/>
      <c r="W6773" s="437"/>
      <c r="X6773" s="163">
        <v>44927</v>
      </c>
      <c r="Y6773" s="468"/>
    </row>
    <row r="6774" s="10" customFormat="1" customHeight="1" spans="1:25">
      <c r="A6774" s="61" t="s">
        <v>401</v>
      </c>
      <c r="B6774" s="459" t="s">
        <v>8834</v>
      </c>
      <c r="C6774" s="135" t="s">
        <v>39</v>
      </c>
      <c r="D6774" s="60" t="s">
        <v>881</v>
      </c>
      <c r="E6774" s="160" t="s">
        <v>8931</v>
      </c>
      <c r="F6774" s="61" t="s">
        <v>8932</v>
      </c>
      <c r="G6774" s="424" t="s">
        <v>31</v>
      </c>
      <c r="H6774" s="45" t="s">
        <v>8933</v>
      </c>
      <c r="I6774" s="47" t="e">
        <f>VLOOKUP(H6774,'合同综合查询数据（3月返）'!$A:$A,1,FALSE)</f>
        <v>#N/A</v>
      </c>
      <c r="J6774" s="424" t="s">
        <v>8541</v>
      </c>
      <c r="K6774" s="427" t="s">
        <v>40</v>
      </c>
      <c r="L6774" s="428"/>
      <c r="M6774" s="429"/>
      <c r="N6774" s="430">
        <v>44895</v>
      </c>
      <c r="O6774" s="430"/>
      <c r="P6774" s="485">
        <v>20</v>
      </c>
      <c r="Q6774" s="140">
        <v>-512</v>
      </c>
      <c r="R6774" s="144">
        <f t="shared" si="156"/>
        <v>-10240</v>
      </c>
      <c r="S6774" s="434">
        <v>202303</v>
      </c>
      <c r="T6774" s="517" t="s">
        <v>8942</v>
      </c>
      <c r="U6774" s="436"/>
      <c r="V6774" s="509"/>
      <c r="W6774" s="437"/>
      <c r="X6774" s="163">
        <v>44927</v>
      </c>
      <c r="Y6774" s="468"/>
    </row>
    <row r="6775" s="10" customFormat="1" customHeight="1" spans="1:25">
      <c r="A6775" s="61" t="s">
        <v>401</v>
      </c>
      <c r="B6775" s="459" t="s">
        <v>8834</v>
      </c>
      <c r="C6775" s="135" t="s">
        <v>39</v>
      </c>
      <c r="D6775" s="62" t="s">
        <v>881</v>
      </c>
      <c r="E6775" s="160" t="s">
        <v>8931</v>
      </c>
      <c r="F6775" s="61" t="s">
        <v>8932</v>
      </c>
      <c r="G6775" s="424" t="s">
        <v>88</v>
      </c>
      <c r="H6775" s="45" t="s">
        <v>8933</v>
      </c>
      <c r="I6775" s="47" t="e">
        <f>VLOOKUP(H6775,'合同综合查询数据（3月返）'!$A:$A,1,FALSE)</f>
        <v>#N/A</v>
      </c>
      <c r="J6775" s="424" t="s">
        <v>126</v>
      </c>
      <c r="K6775" s="427" t="s">
        <v>8943</v>
      </c>
      <c r="L6775" s="428" t="s">
        <v>8944</v>
      </c>
      <c r="M6775" s="429" t="s">
        <v>8945</v>
      </c>
      <c r="N6775" s="430">
        <v>44795</v>
      </c>
      <c r="O6775" s="430" t="s">
        <v>457</v>
      </c>
      <c r="P6775" s="514">
        <v>4000</v>
      </c>
      <c r="Q6775" s="140">
        <v>5</v>
      </c>
      <c r="R6775" s="69">
        <f t="shared" si="156"/>
        <v>20000</v>
      </c>
      <c r="S6775" s="434">
        <v>202303</v>
      </c>
      <c r="T6775" s="517" t="s">
        <v>8946</v>
      </c>
      <c r="U6775" s="436"/>
      <c r="V6775" s="518"/>
      <c r="W6775" s="518"/>
      <c r="X6775" s="163">
        <v>44927</v>
      </c>
      <c r="Y6775" s="468"/>
    </row>
    <row r="6776" s="10" customFormat="1" customHeight="1" spans="1:25">
      <c r="A6776" s="61" t="s">
        <v>401</v>
      </c>
      <c r="B6776" s="459" t="s">
        <v>8834</v>
      </c>
      <c r="C6776" s="135" t="s">
        <v>39</v>
      </c>
      <c r="D6776" s="60" t="s">
        <v>881</v>
      </c>
      <c r="E6776" s="160" t="s">
        <v>8931</v>
      </c>
      <c r="F6776" s="61" t="s">
        <v>8932</v>
      </c>
      <c r="G6776" s="424" t="s">
        <v>31</v>
      </c>
      <c r="H6776" s="45" t="s">
        <v>8933</v>
      </c>
      <c r="I6776" s="47" t="e">
        <f>VLOOKUP(H6776,'合同综合查询数据（3月返）'!$A:$A,1,FALSE)</f>
        <v>#N/A</v>
      </c>
      <c r="J6776" s="424" t="s">
        <v>7564</v>
      </c>
      <c r="K6776" s="427" t="s">
        <v>8943</v>
      </c>
      <c r="L6776" s="428" t="s">
        <v>8944</v>
      </c>
      <c r="M6776" s="429" t="s">
        <v>8945</v>
      </c>
      <c r="N6776" s="430">
        <v>44805</v>
      </c>
      <c r="O6776" s="430"/>
      <c r="P6776" s="485">
        <v>0</v>
      </c>
      <c r="Q6776" s="140">
        <v>128</v>
      </c>
      <c r="R6776" s="144">
        <f t="shared" si="156"/>
        <v>0</v>
      </c>
      <c r="S6776" s="434">
        <v>202303</v>
      </c>
      <c r="T6776" s="517" t="s">
        <v>8947</v>
      </c>
      <c r="U6776" s="436"/>
      <c r="V6776" s="509"/>
      <c r="W6776" s="437"/>
      <c r="X6776" s="163">
        <v>44927</v>
      </c>
      <c r="Y6776" s="468"/>
    </row>
    <row r="6777" s="10" customFormat="1" customHeight="1" spans="1:25">
      <c r="A6777" s="61" t="s">
        <v>401</v>
      </c>
      <c r="B6777" s="459" t="s">
        <v>8834</v>
      </c>
      <c r="C6777" s="135" t="s">
        <v>39</v>
      </c>
      <c r="D6777" s="60" t="s">
        <v>881</v>
      </c>
      <c r="E6777" s="160" t="s">
        <v>8931</v>
      </c>
      <c r="F6777" s="61" t="s">
        <v>8932</v>
      </c>
      <c r="G6777" s="424" t="s">
        <v>31</v>
      </c>
      <c r="H6777" s="45" t="s">
        <v>8933</v>
      </c>
      <c r="I6777" s="47" t="e">
        <f>VLOOKUP(H6777,'合同综合查询数据（3月返）'!$A:$A,1,FALSE)</f>
        <v>#N/A</v>
      </c>
      <c r="J6777" s="424" t="s">
        <v>7564</v>
      </c>
      <c r="K6777" s="427" t="s">
        <v>8943</v>
      </c>
      <c r="L6777" s="428" t="s">
        <v>8944</v>
      </c>
      <c r="M6777" s="429" t="s">
        <v>8945</v>
      </c>
      <c r="N6777" s="430">
        <v>44805</v>
      </c>
      <c r="O6777" s="430"/>
      <c r="P6777" s="485">
        <v>35</v>
      </c>
      <c r="Q6777" s="140">
        <v>128</v>
      </c>
      <c r="R6777" s="144">
        <f t="shared" si="156"/>
        <v>4480</v>
      </c>
      <c r="S6777" s="434">
        <v>202303</v>
      </c>
      <c r="T6777" s="517" t="s">
        <v>8947</v>
      </c>
      <c r="U6777" s="436"/>
      <c r="V6777" s="509"/>
      <c r="W6777" s="437"/>
      <c r="X6777" s="163">
        <v>44927</v>
      </c>
      <c r="Y6777" s="468"/>
    </row>
    <row r="6778" s="10" customFormat="1" customHeight="1" spans="1:25">
      <c r="A6778" s="61" t="s">
        <v>401</v>
      </c>
      <c r="B6778" s="459" t="s">
        <v>8834</v>
      </c>
      <c r="C6778" s="135" t="s">
        <v>39</v>
      </c>
      <c r="D6778" s="60" t="s">
        <v>881</v>
      </c>
      <c r="E6778" s="160" t="s">
        <v>8931</v>
      </c>
      <c r="F6778" s="61" t="s">
        <v>8932</v>
      </c>
      <c r="G6778" s="424" t="s">
        <v>31</v>
      </c>
      <c r="H6778" s="45" t="s">
        <v>8933</v>
      </c>
      <c r="I6778" s="47" t="e">
        <f>VLOOKUP(H6778,'合同综合查询数据（3月返）'!$A:$A,1,FALSE)</f>
        <v>#N/A</v>
      </c>
      <c r="J6778" s="424" t="s">
        <v>7564</v>
      </c>
      <c r="K6778" s="427" t="s">
        <v>8943</v>
      </c>
      <c r="L6778" s="428" t="s">
        <v>8944</v>
      </c>
      <c r="M6778" s="429" t="s">
        <v>8945</v>
      </c>
      <c r="N6778" s="430">
        <v>44805</v>
      </c>
      <c r="O6778" s="430"/>
      <c r="P6778" s="485">
        <v>0</v>
      </c>
      <c r="Q6778" s="140">
        <v>1</v>
      </c>
      <c r="R6778" s="144">
        <f t="shared" si="156"/>
        <v>0</v>
      </c>
      <c r="S6778" s="434">
        <v>202303</v>
      </c>
      <c r="T6778" s="517" t="s">
        <v>8948</v>
      </c>
      <c r="U6778" s="436"/>
      <c r="V6778" s="509"/>
      <c r="W6778" s="437"/>
      <c r="X6778" s="163">
        <v>44927</v>
      </c>
      <c r="Y6778" s="468"/>
    </row>
    <row r="6779" s="10" customFormat="1" customHeight="1" spans="1:25">
      <c r="A6779" s="61" t="s">
        <v>401</v>
      </c>
      <c r="B6779" s="459" t="s">
        <v>8834</v>
      </c>
      <c r="C6779" s="135" t="s">
        <v>39</v>
      </c>
      <c r="D6779" s="62" t="s">
        <v>881</v>
      </c>
      <c r="E6779" s="160" t="s">
        <v>8931</v>
      </c>
      <c r="F6779" s="61" t="s">
        <v>8932</v>
      </c>
      <c r="G6779" s="424" t="s">
        <v>88</v>
      </c>
      <c r="H6779" s="45" t="s">
        <v>8933</v>
      </c>
      <c r="I6779" s="47" t="e">
        <f>VLOOKUP(H6779,'合同综合查询数据（3月返）'!$A:$A,1,FALSE)</f>
        <v>#N/A</v>
      </c>
      <c r="J6779" s="424" t="s">
        <v>126</v>
      </c>
      <c r="K6779" s="427" t="s">
        <v>8934</v>
      </c>
      <c r="L6779" s="428" t="s">
        <v>8949</v>
      </c>
      <c r="M6779" s="429" t="s">
        <v>8950</v>
      </c>
      <c r="N6779" s="430">
        <v>44835</v>
      </c>
      <c r="O6779" s="430" t="s">
        <v>457</v>
      </c>
      <c r="P6779" s="514">
        <v>4000</v>
      </c>
      <c r="Q6779" s="140">
        <v>2</v>
      </c>
      <c r="R6779" s="69">
        <f t="shared" si="156"/>
        <v>8000</v>
      </c>
      <c r="S6779" s="434">
        <v>202303</v>
      </c>
      <c r="T6779" s="517" t="s">
        <v>8951</v>
      </c>
      <c r="U6779" s="436"/>
      <c r="V6779" s="518"/>
      <c r="W6779" s="518"/>
      <c r="X6779" s="163">
        <v>44927</v>
      </c>
      <c r="Y6779" s="468"/>
    </row>
    <row r="6780" s="10" customFormat="1" customHeight="1" spans="1:25">
      <c r="A6780" s="61" t="s">
        <v>401</v>
      </c>
      <c r="B6780" s="459" t="s">
        <v>8834</v>
      </c>
      <c r="C6780" s="135" t="s">
        <v>39</v>
      </c>
      <c r="D6780" s="60" t="s">
        <v>881</v>
      </c>
      <c r="E6780" s="160" t="s">
        <v>8931</v>
      </c>
      <c r="F6780" s="61" t="s">
        <v>8932</v>
      </c>
      <c r="G6780" s="424" t="s">
        <v>31</v>
      </c>
      <c r="H6780" s="45" t="s">
        <v>8933</v>
      </c>
      <c r="I6780" s="47" t="e">
        <f>VLOOKUP(H6780,'合同综合查询数据（3月返）'!$A:$A,1,FALSE)</f>
        <v>#N/A</v>
      </c>
      <c r="J6780" s="424" t="s">
        <v>7564</v>
      </c>
      <c r="K6780" s="427" t="s">
        <v>8934</v>
      </c>
      <c r="L6780" s="428" t="s">
        <v>8949</v>
      </c>
      <c r="M6780" s="429" t="s">
        <v>8950</v>
      </c>
      <c r="N6780" s="430">
        <v>44835</v>
      </c>
      <c r="O6780" s="430"/>
      <c r="P6780" s="485">
        <v>0</v>
      </c>
      <c r="Q6780" s="140">
        <v>160</v>
      </c>
      <c r="R6780" s="144">
        <f t="shared" si="156"/>
        <v>0</v>
      </c>
      <c r="S6780" s="434">
        <v>202303</v>
      </c>
      <c r="T6780" s="517" t="s">
        <v>8952</v>
      </c>
      <c r="U6780" s="436"/>
      <c r="V6780" s="509"/>
      <c r="W6780" s="437"/>
      <c r="X6780" s="163">
        <v>44927</v>
      </c>
      <c r="Y6780" s="468"/>
    </row>
    <row r="6781" s="9" customFormat="1" customHeight="1" spans="1:25">
      <c r="A6781" s="98" t="s">
        <v>401</v>
      </c>
      <c r="B6781" s="446" t="s">
        <v>8834</v>
      </c>
      <c r="C6781" s="129" t="s">
        <v>39</v>
      </c>
      <c r="D6781" s="96" t="s">
        <v>881</v>
      </c>
      <c r="E6781" s="147" t="s">
        <v>8953</v>
      </c>
      <c r="F6781" s="98" t="s">
        <v>8954</v>
      </c>
      <c r="G6781" s="448" t="s">
        <v>31</v>
      </c>
      <c r="H6781" s="19" t="s">
        <v>8955</v>
      </c>
      <c r="I6781" s="23" t="e">
        <f>VLOOKUP(H6781,'合同综合查询数据（3月返）'!$A:$A,1,FALSE)</f>
        <v>#N/A</v>
      </c>
      <c r="J6781" s="448" t="s">
        <v>7564</v>
      </c>
      <c r="K6781" s="511" t="s">
        <v>8956</v>
      </c>
      <c r="L6781" s="512"/>
      <c r="M6781" s="449"/>
      <c r="N6781" s="252">
        <v>43622</v>
      </c>
      <c r="O6781" s="252"/>
      <c r="P6781" s="494">
        <v>0</v>
      </c>
      <c r="Q6781" s="131">
        <v>288</v>
      </c>
      <c r="R6781" s="173">
        <f t="shared" si="156"/>
        <v>0</v>
      </c>
      <c r="S6781" s="456">
        <v>202303</v>
      </c>
      <c r="T6781" s="134" t="s">
        <v>8957</v>
      </c>
      <c r="U6781" s="488"/>
      <c r="V6781" s="489"/>
      <c r="W6781" s="458"/>
      <c r="X6781" s="190">
        <v>44682</v>
      </c>
      <c r="Y6781" s="190">
        <v>45046</v>
      </c>
    </row>
    <row r="6782" s="9" customFormat="1" customHeight="1" spans="1:25">
      <c r="A6782" s="98" t="s">
        <v>401</v>
      </c>
      <c r="B6782" s="446" t="s">
        <v>8834</v>
      </c>
      <c r="C6782" s="129" t="s">
        <v>39</v>
      </c>
      <c r="D6782" s="96" t="s">
        <v>881</v>
      </c>
      <c r="E6782" s="147" t="s">
        <v>8953</v>
      </c>
      <c r="F6782" s="98" t="s">
        <v>8954</v>
      </c>
      <c r="G6782" s="448" t="s">
        <v>31</v>
      </c>
      <c r="H6782" s="19" t="s">
        <v>8955</v>
      </c>
      <c r="I6782" s="23" t="e">
        <f>VLOOKUP(H6782,'合同综合查询数据（3月返）'!$A:$A,1,FALSE)</f>
        <v>#N/A</v>
      </c>
      <c r="J6782" s="448" t="s">
        <v>7564</v>
      </c>
      <c r="K6782" s="511" t="s">
        <v>8956</v>
      </c>
      <c r="L6782" s="512"/>
      <c r="M6782" s="449"/>
      <c r="N6782" s="252">
        <v>44681</v>
      </c>
      <c r="O6782" s="252"/>
      <c r="P6782" s="494">
        <v>0</v>
      </c>
      <c r="Q6782" s="131">
        <v>-173</v>
      </c>
      <c r="R6782" s="173">
        <f t="shared" si="156"/>
        <v>0</v>
      </c>
      <c r="S6782" s="456">
        <v>202303</v>
      </c>
      <c r="T6782" s="134" t="s">
        <v>8958</v>
      </c>
      <c r="U6782" s="488"/>
      <c r="V6782" s="489"/>
      <c r="W6782" s="458"/>
      <c r="X6782" s="190">
        <v>44682</v>
      </c>
      <c r="Y6782" s="190">
        <v>45046</v>
      </c>
    </row>
    <row r="6783" s="9" customFormat="1" customHeight="1" spans="1:25">
      <c r="A6783" s="98" t="s">
        <v>8959</v>
      </c>
      <c r="B6783" s="446" t="s">
        <v>8834</v>
      </c>
      <c r="C6783" s="129" t="s">
        <v>39</v>
      </c>
      <c r="D6783" s="96" t="s">
        <v>881</v>
      </c>
      <c r="E6783" s="147" t="s">
        <v>8960</v>
      </c>
      <c r="F6783" s="98" t="s">
        <v>8961</v>
      </c>
      <c r="G6783" s="448" t="s">
        <v>31</v>
      </c>
      <c r="H6783" s="19" t="s">
        <v>8962</v>
      </c>
      <c r="I6783" s="23" t="e">
        <f>VLOOKUP(H6783,'合同综合查询数据（3月返）'!$A:$A,1,FALSE)</f>
        <v>#N/A</v>
      </c>
      <c r="J6783" s="448" t="s">
        <v>7564</v>
      </c>
      <c r="K6783" s="511" t="s">
        <v>8963</v>
      </c>
      <c r="L6783" s="512"/>
      <c r="M6783" s="449"/>
      <c r="N6783" s="252">
        <v>44682</v>
      </c>
      <c r="O6783" s="252"/>
      <c r="P6783" s="494">
        <v>0</v>
      </c>
      <c r="Q6783" s="131">
        <v>173</v>
      </c>
      <c r="R6783" s="173">
        <f t="shared" si="156"/>
        <v>0</v>
      </c>
      <c r="S6783" s="456">
        <v>202303</v>
      </c>
      <c r="T6783" s="134" t="s">
        <v>8964</v>
      </c>
      <c r="U6783" s="488"/>
      <c r="V6783" s="489"/>
      <c r="W6783" s="458"/>
      <c r="X6783" s="190">
        <v>44682</v>
      </c>
      <c r="Y6783" s="190">
        <v>45046</v>
      </c>
    </row>
    <row r="6784" s="10" customFormat="1" customHeight="1" spans="1:25">
      <c r="A6784" s="61" t="s">
        <v>399</v>
      </c>
      <c r="B6784" s="459" t="s">
        <v>8834</v>
      </c>
      <c r="C6784" s="135" t="s">
        <v>39</v>
      </c>
      <c r="D6784" s="62" t="s">
        <v>881</v>
      </c>
      <c r="E6784" s="160" t="s">
        <v>8965</v>
      </c>
      <c r="F6784" s="61" t="s">
        <v>8966</v>
      </c>
      <c r="G6784" s="424" t="s">
        <v>88</v>
      </c>
      <c r="H6784" s="45" t="s">
        <v>8967</v>
      </c>
      <c r="I6784" s="47" t="e">
        <f>VLOOKUP(H6784,'合同综合查询数据（3月返）'!$A:$A,1,FALSE)</f>
        <v>#N/A</v>
      </c>
      <c r="J6784" s="424" t="s">
        <v>126</v>
      </c>
      <c r="K6784" s="427" t="s">
        <v>8968</v>
      </c>
      <c r="L6784" s="428"/>
      <c r="M6784" s="429" t="s">
        <v>8969</v>
      </c>
      <c r="N6784" s="430">
        <v>43596</v>
      </c>
      <c r="O6784" s="430" t="s">
        <v>92</v>
      </c>
      <c r="P6784" s="514">
        <v>4300</v>
      </c>
      <c r="Q6784" s="140">
        <v>8</v>
      </c>
      <c r="R6784" s="69">
        <f t="shared" si="156"/>
        <v>34400</v>
      </c>
      <c r="S6784" s="434">
        <v>202303</v>
      </c>
      <c r="T6784" s="517" t="s">
        <v>8970</v>
      </c>
      <c r="U6784" s="436"/>
      <c r="V6784" s="518"/>
      <c r="W6784" s="518"/>
      <c r="X6784" s="163">
        <v>44927</v>
      </c>
      <c r="Y6784" s="468"/>
    </row>
    <row r="6785" s="10" customFormat="1" customHeight="1" spans="1:25">
      <c r="A6785" s="61" t="s">
        <v>399</v>
      </c>
      <c r="B6785" s="459" t="s">
        <v>8834</v>
      </c>
      <c r="C6785" s="135" t="s">
        <v>39</v>
      </c>
      <c r="D6785" s="62" t="s">
        <v>881</v>
      </c>
      <c r="E6785" s="160" t="s">
        <v>8965</v>
      </c>
      <c r="F6785" s="61" t="s">
        <v>8966</v>
      </c>
      <c r="G6785" s="424" t="s">
        <v>88</v>
      </c>
      <c r="H6785" s="45" t="s">
        <v>8967</v>
      </c>
      <c r="I6785" s="47" t="e">
        <f>VLOOKUP(H6785,'合同综合查询数据（3月返）'!$A:$A,1,FALSE)</f>
        <v>#N/A</v>
      </c>
      <c r="J6785" s="424" t="s">
        <v>126</v>
      </c>
      <c r="K6785" s="427" t="s">
        <v>8968</v>
      </c>
      <c r="L6785" s="428"/>
      <c r="M6785" s="429" t="s">
        <v>8969</v>
      </c>
      <c r="N6785" s="430">
        <v>43984</v>
      </c>
      <c r="O6785" s="430" t="s">
        <v>92</v>
      </c>
      <c r="P6785" s="514">
        <v>4300</v>
      </c>
      <c r="Q6785" s="140">
        <v>2</v>
      </c>
      <c r="R6785" s="69">
        <f t="shared" si="156"/>
        <v>8600</v>
      </c>
      <c r="S6785" s="434">
        <v>202303</v>
      </c>
      <c r="T6785" s="517" t="s">
        <v>8971</v>
      </c>
      <c r="U6785" s="436"/>
      <c r="V6785" s="518"/>
      <c r="W6785" s="518"/>
      <c r="X6785" s="163">
        <v>44927</v>
      </c>
      <c r="Y6785" s="468"/>
    </row>
    <row r="6786" s="10" customFormat="1" customHeight="1" spans="1:25">
      <c r="A6786" s="61" t="s">
        <v>399</v>
      </c>
      <c r="B6786" s="459" t="s">
        <v>8834</v>
      </c>
      <c r="C6786" s="135" t="s">
        <v>39</v>
      </c>
      <c r="D6786" s="62" t="s">
        <v>881</v>
      </c>
      <c r="E6786" s="160" t="s">
        <v>8965</v>
      </c>
      <c r="F6786" s="61" t="s">
        <v>8966</v>
      </c>
      <c r="G6786" s="424" t="s">
        <v>88</v>
      </c>
      <c r="H6786" s="45" t="s">
        <v>8967</v>
      </c>
      <c r="I6786" s="47" t="e">
        <f>VLOOKUP(H6786,'合同综合查询数据（3月返）'!$A:$A,1,FALSE)</f>
        <v>#N/A</v>
      </c>
      <c r="J6786" s="424" t="s">
        <v>126</v>
      </c>
      <c r="K6786" s="427" t="s">
        <v>8968</v>
      </c>
      <c r="L6786" s="428"/>
      <c r="M6786" s="429" t="s">
        <v>8969</v>
      </c>
      <c r="N6786" s="430">
        <v>44256</v>
      </c>
      <c r="O6786" s="430" t="s">
        <v>92</v>
      </c>
      <c r="P6786" s="514">
        <v>4300</v>
      </c>
      <c r="Q6786" s="140">
        <v>5</v>
      </c>
      <c r="R6786" s="69">
        <f t="shared" si="156"/>
        <v>21500</v>
      </c>
      <c r="S6786" s="434">
        <v>202303</v>
      </c>
      <c r="T6786" s="517" t="s">
        <v>8972</v>
      </c>
      <c r="U6786" s="436"/>
      <c r="V6786" s="518"/>
      <c r="W6786" s="518"/>
      <c r="X6786" s="163">
        <v>44927</v>
      </c>
      <c r="Y6786" s="468"/>
    </row>
    <row r="6787" s="10" customFormat="1" customHeight="1" spans="1:25">
      <c r="A6787" s="61" t="s">
        <v>399</v>
      </c>
      <c r="B6787" s="459" t="s">
        <v>8834</v>
      </c>
      <c r="C6787" s="135" t="s">
        <v>39</v>
      </c>
      <c r="D6787" s="62" t="s">
        <v>881</v>
      </c>
      <c r="E6787" s="160" t="s">
        <v>8965</v>
      </c>
      <c r="F6787" s="61" t="s">
        <v>8966</v>
      </c>
      <c r="G6787" s="424" t="s">
        <v>88</v>
      </c>
      <c r="H6787" s="45" t="s">
        <v>8967</v>
      </c>
      <c r="I6787" s="47" t="e">
        <f>VLOOKUP(H6787,'合同综合查询数据（3月返）'!$A:$A,1,FALSE)</f>
        <v>#N/A</v>
      </c>
      <c r="J6787" s="424" t="s">
        <v>126</v>
      </c>
      <c r="K6787" s="427" t="s">
        <v>8968</v>
      </c>
      <c r="L6787" s="428"/>
      <c r="M6787" s="429" t="s">
        <v>8973</v>
      </c>
      <c r="N6787" s="430">
        <v>44317</v>
      </c>
      <c r="O6787" s="430" t="s">
        <v>92</v>
      </c>
      <c r="P6787" s="514">
        <v>4300</v>
      </c>
      <c r="Q6787" s="140">
        <v>1</v>
      </c>
      <c r="R6787" s="69">
        <f t="shared" si="156"/>
        <v>4300</v>
      </c>
      <c r="S6787" s="434">
        <v>202303</v>
      </c>
      <c r="T6787" s="517" t="s">
        <v>8974</v>
      </c>
      <c r="U6787" s="436"/>
      <c r="V6787" s="518"/>
      <c r="W6787" s="518"/>
      <c r="X6787" s="163">
        <v>44927</v>
      </c>
      <c r="Y6787" s="468"/>
    </row>
    <row r="6788" s="10" customFormat="1" customHeight="1" spans="1:25">
      <c r="A6788" s="61" t="s">
        <v>399</v>
      </c>
      <c r="B6788" s="459" t="s">
        <v>8834</v>
      </c>
      <c r="C6788" s="135" t="s">
        <v>39</v>
      </c>
      <c r="D6788" s="60" t="s">
        <v>881</v>
      </c>
      <c r="E6788" s="160" t="s">
        <v>8965</v>
      </c>
      <c r="F6788" s="61" t="s">
        <v>8966</v>
      </c>
      <c r="G6788" s="424" t="s">
        <v>31</v>
      </c>
      <c r="H6788" s="45" t="s">
        <v>8967</v>
      </c>
      <c r="I6788" s="47" t="e">
        <f>VLOOKUP(H6788,'合同综合查询数据（3月返）'!$A:$A,1,FALSE)</f>
        <v>#N/A</v>
      </c>
      <c r="J6788" s="424" t="s">
        <v>7564</v>
      </c>
      <c r="K6788" s="427" t="s">
        <v>8975</v>
      </c>
      <c r="L6788" s="428" t="s">
        <v>8968</v>
      </c>
      <c r="M6788" s="429"/>
      <c r="N6788" s="430">
        <v>43596</v>
      </c>
      <c r="O6788" s="430"/>
      <c r="P6788" s="485">
        <v>0</v>
      </c>
      <c r="Q6788" s="140">
        <v>544</v>
      </c>
      <c r="R6788" s="69">
        <f t="shared" si="156"/>
        <v>0</v>
      </c>
      <c r="S6788" s="434">
        <v>202303</v>
      </c>
      <c r="T6788" s="517" t="s">
        <v>8976</v>
      </c>
      <c r="U6788" s="436"/>
      <c r="V6788" s="509"/>
      <c r="W6788" s="437"/>
      <c r="X6788" s="163">
        <v>44927</v>
      </c>
      <c r="Y6788" s="468"/>
    </row>
    <row r="6789" s="10" customFormat="1" customHeight="1" spans="1:25">
      <c r="A6789" s="61" t="s">
        <v>399</v>
      </c>
      <c r="B6789" s="459" t="s">
        <v>8834</v>
      </c>
      <c r="C6789" s="135" t="s">
        <v>39</v>
      </c>
      <c r="D6789" s="60" t="s">
        <v>881</v>
      </c>
      <c r="E6789" s="160" t="s">
        <v>8965</v>
      </c>
      <c r="F6789" s="61" t="s">
        <v>8966</v>
      </c>
      <c r="G6789" s="424" t="s">
        <v>31</v>
      </c>
      <c r="H6789" s="45" t="s">
        <v>8967</v>
      </c>
      <c r="I6789" s="47" t="e">
        <f>VLOOKUP(H6789,'合同综合查询数据（3月返）'!$A:$A,1,FALSE)</f>
        <v>#N/A</v>
      </c>
      <c r="J6789" s="424" t="s">
        <v>7564</v>
      </c>
      <c r="K6789" s="427" t="s">
        <v>8977</v>
      </c>
      <c r="L6789" s="428" t="s">
        <v>8978</v>
      </c>
      <c r="M6789" s="429"/>
      <c r="N6789" s="430">
        <v>43617</v>
      </c>
      <c r="O6789" s="430"/>
      <c r="P6789" s="485">
        <v>0</v>
      </c>
      <c r="Q6789" s="140">
        <v>288</v>
      </c>
      <c r="R6789" s="69">
        <f t="shared" si="156"/>
        <v>0</v>
      </c>
      <c r="S6789" s="434">
        <v>202303</v>
      </c>
      <c r="T6789" s="517" t="s">
        <v>8979</v>
      </c>
      <c r="U6789" s="436"/>
      <c r="V6789" s="509"/>
      <c r="W6789" s="437"/>
      <c r="X6789" s="163">
        <v>44927</v>
      </c>
      <c r="Y6789" s="468"/>
    </row>
    <row r="6790" s="10" customFormat="1" customHeight="1" spans="1:25">
      <c r="A6790" s="61" t="s">
        <v>399</v>
      </c>
      <c r="B6790" s="459" t="s">
        <v>8834</v>
      </c>
      <c r="C6790" s="135" t="s">
        <v>39</v>
      </c>
      <c r="D6790" s="60" t="s">
        <v>881</v>
      </c>
      <c r="E6790" s="160" t="s">
        <v>8965</v>
      </c>
      <c r="F6790" s="61" t="s">
        <v>8966</v>
      </c>
      <c r="G6790" s="424" t="s">
        <v>31</v>
      </c>
      <c r="H6790" s="45" t="s">
        <v>8967</v>
      </c>
      <c r="I6790" s="47" t="e">
        <f>VLOOKUP(H6790,'合同综合查询数据（3月返）'!$A:$A,1,FALSE)</f>
        <v>#N/A</v>
      </c>
      <c r="J6790" s="424" t="s">
        <v>7564</v>
      </c>
      <c r="K6790" s="427" t="s">
        <v>8968</v>
      </c>
      <c r="L6790" s="428"/>
      <c r="M6790" s="429"/>
      <c r="N6790" s="430">
        <v>43984</v>
      </c>
      <c r="O6790" s="430"/>
      <c r="P6790" s="485">
        <v>0</v>
      </c>
      <c r="Q6790" s="140">
        <v>128</v>
      </c>
      <c r="R6790" s="69">
        <f t="shared" si="156"/>
        <v>0</v>
      </c>
      <c r="S6790" s="434">
        <v>202303</v>
      </c>
      <c r="T6790" s="517" t="s">
        <v>8980</v>
      </c>
      <c r="U6790" s="436"/>
      <c r="V6790" s="509"/>
      <c r="W6790" s="437"/>
      <c r="X6790" s="163">
        <v>44927</v>
      </c>
      <c r="Y6790" s="468"/>
    </row>
    <row r="6791" s="10" customFormat="1" customHeight="1" spans="1:25">
      <c r="A6791" s="61" t="s">
        <v>399</v>
      </c>
      <c r="B6791" s="459" t="s">
        <v>8834</v>
      </c>
      <c r="C6791" s="135" t="s">
        <v>39</v>
      </c>
      <c r="D6791" s="60" t="s">
        <v>881</v>
      </c>
      <c r="E6791" s="160" t="s">
        <v>8965</v>
      </c>
      <c r="F6791" s="61" t="s">
        <v>8966</v>
      </c>
      <c r="G6791" s="424" t="s">
        <v>31</v>
      </c>
      <c r="H6791" s="45" t="s">
        <v>8967</v>
      </c>
      <c r="I6791" s="47" t="e">
        <f>VLOOKUP(H6791,'合同综合查询数据（3月返）'!$A:$A,1,FALSE)</f>
        <v>#N/A</v>
      </c>
      <c r="J6791" s="424" t="s">
        <v>7564</v>
      </c>
      <c r="K6791" s="427" t="s">
        <v>8968</v>
      </c>
      <c r="L6791" s="428"/>
      <c r="M6791" s="429" t="s">
        <v>8969</v>
      </c>
      <c r="N6791" s="430">
        <v>44256</v>
      </c>
      <c r="O6791" s="430"/>
      <c r="P6791" s="485">
        <v>0</v>
      </c>
      <c r="Q6791" s="140">
        <v>256</v>
      </c>
      <c r="R6791" s="69">
        <f t="shared" si="156"/>
        <v>0</v>
      </c>
      <c r="S6791" s="434">
        <v>202303</v>
      </c>
      <c r="T6791" s="517" t="s">
        <v>8981</v>
      </c>
      <c r="U6791" s="436"/>
      <c r="V6791" s="509"/>
      <c r="W6791" s="437"/>
      <c r="X6791" s="163">
        <v>44927</v>
      </c>
      <c r="Y6791" s="468"/>
    </row>
    <row r="6792" s="10" customFormat="1" customHeight="1" spans="1:25">
      <c r="A6792" s="61" t="s">
        <v>399</v>
      </c>
      <c r="B6792" s="459" t="s">
        <v>8834</v>
      </c>
      <c r="C6792" s="135" t="s">
        <v>39</v>
      </c>
      <c r="D6792" s="60" t="s">
        <v>881</v>
      </c>
      <c r="E6792" s="160" t="s">
        <v>8965</v>
      </c>
      <c r="F6792" s="61" t="s">
        <v>8966</v>
      </c>
      <c r="G6792" s="424" t="s">
        <v>88</v>
      </c>
      <c r="H6792" s="45" t="s">
        <v>8967</v>
      </c>
      <c r="I6792" s="47" t="e">
        <f>VLOOKUP(H6792,'合同综合查询数据（3月返）'!$A:$A,1,FALSE)</f>
        <v>#N/A</v>
      </c>
      <c r="J6792" s="424" t="s">
        <v>126</v>
      </c>
      <c r="K6792" s="427" t="s">
        <v>8982</v>
      </c>
      <c r="L6792" s="428"/>
      <c r="M6792" s="429" t="s">
        <v>8969</v>
      </c>
      <c r="N6792" s="430">
        <v>44470</v>
      </c>
      <c r="O6792" s="430" t="s">
        <v>92</v>
      </c>
      <c r="P6792" s="485">
        <v>4300</v>
      </c>
      <c r="Q6792" s="140">
        <v>2</v>
      </c>
      <c r="R6792" s="144">
        <f t="shared" si="156"/>
        <v>8600</v>
      </c>
      <c r="S6792" s="434">
        <v>202303</v>
      </c>
      <c r="T6792" s="517" t="s">
        <v>8983</v>
      </c>
      <c r="U6792" s="436"/>
      <c r="V6792" s="509"/>
      <c r="W6792" s="437"/>
      <c r="X6792" s="163">
        <v>44927</v>
      </c>
      <c r="Y6792" s="468"/>
    </row>
    <row r="6793" s="10" customFormat="1" customHeight="1" spans="1:25">
      <c r="A6793" s="61" t="s">
        <v>399</v>
      </c>
      <c r="B6793" s="459" t="s">
        <v>8834</v>
      </c>
      <c r="C6793" s="135" t="s">
        <v>39</v>
      </c>
      <c r="D6793" s="60" t="s">
        <v>881</v>
      </c>
      <c r="E6793" s="160" t="s">
        <v>8965</v>
      </c>
      <c r="F6793" s="61" t="s">
        <v>8966</v>
      </c>
      <c r="G6793" s="424" t="s">
        <v>88</v>
      </c>
      <c r="H6793" s="45" t="s">
        <v>8967</v>
      </c>
      <c r="I6793" s="47" t="e">
        <f>VLOOKUP(H6793,'合同综合查询数据（3月返）'!$A:$A,1,FALSE)</f>
        <v>#N/A</v>
      </c>
      <c r="J6793" s="424" t="s">
        <v>126</v>
      </c>
      <c r="K6793" s="427" t="s">
        <v>8982</v>
      </c>
      <c r="L6793" s="428"/>
      <c r="M6793" s="429" t="s">
        <v>8969</v>
      </c>
      <c r="N6793" s="430">
        <v>44926</v>
      </c>
      <c r="O6793" s="430" t="s">
        <v>92</v>
      </c>
      <c r="P6793" s="485">
        <v>4300</v>
      </c>
      <c r="Q6793" s="140">
        <v>-2</v>
      </c>
      <c r="R6793" s="144">
        <f t="shared" si="156"/>
        <v>-8600</v>
      </c>
      <c r="S6793" s="434">
        <v>202303</v>
      </c>
      <c r="T6793" s="517" t="s">
        <v>8984</v>
      </c>
      <c r="U6793" s="436"/>
      <c r="V6793" s="509"/>
      <c r="W6793" s="437"/>
      <c r="X6793" s="163">
        <v>44927</v>
      </c>
      <c r="Y6793" s="468"/>
    </row>
    <row r="6794" s="10" customFormat="1" customHeight="1" spans="1:25">
      <c r="A6794" s="61" t="s">
        <v>399</v>
      </c>
      <c r="B6794" s="459" t="s">
        <v>8834</v>
      </c>
      <c r="C6794" s="135" t="s">
        <v>39</v>
      </c>
      <c r="D6794" s="60" t="s">
        <v>881</v>
      </c>
      <c r="E6794" s="160" t="s">
        <v>8965</v>
      </c>
      <c r="F6794" s="61" t="s">
        <v>8966</v>
      </c>
      <c r="G6794" s="424" t="s">
        <v>31</v>
      </c>
      <c r="H6794" s="45" t="s">
        <v>8967</v>
      </c>
      <c r="I6794" s="47" t="e">
        <f>VLOOKUP(H6794,'合同综合查询数据（3月返）'!$A:$A,1,FALSE)</f>
        <v>#N/A</v>
      </c>
      <c r="J6794" s="424" t="s">
        <v>7564</v>
      </c>
      <c r="K6794" s="427" t="s">
        <v>8982</v>
      </c>
      <c r="L6794" s="428"/>
      <c r="M6794" s="429" t="s">
        <v>8969</v>
      </c>
      <c r="N6794" s="430">
        <v>44470</v>
      </c>
      <c r="O6794" s="430" t="s">
        <v>37</v>
      </c>
      <c r="P6794" s="485">
        <v>0</v>
      </c>
      <c r="Q6794" s="140">
        <v>128</v>
      </c>
      <c r="R6794" s="69">
        <f t="shared" si="156"/>
        <v>0</v>
      </c>
      <c r="S6794" s="434">
        <v>202303</v>
      </c>
      <c r="T6794" s="517" t="s">
        <v>8985</v>
      </c>
      <c r="U6794" s="436"/>
      <c r="V6794" s="509"/>
      <c r="W6794" s="437"/>
      <c r="X6794" s="163">
        <v>44927</v>
      </c>
      <c r="Y6794" s="468"/>
    </row>
    <row r="6795" s="10" customFormat="1" customHeight="1" spans="1:25">
      <c r="A6795" s="61" t="s">
        <v>399</v>
      </c>
      <c r="B6795" s="459" t="s">
        <v>8834</v>
      </c>
      <c r="C6795" s="135" t="s">
        <v>39</v>
      </c>
      <c r="D6795" s="60" t="s">
        <v>881</v>
      </c>
      <c r="E6795" s="160" t="s">
        <v>8965</v>
      </c>
      <c r="F6795" s="61" t="s">
        <v>8966</v>
      </c>
      <c r="G6795" s="424" t="s">
        <v>31</v>
      </c>
      <c r="H6795" s="45" t="s">
        <v>8967</v>
      </c>
      <c r="I6795" s="47" t="e">
        <f>VLOOKUP(H6795,'合同综合查询数据（3月返）'!$A:$A,1,FALSE)</f>
        <v>#N/A</v>
      </c>
      <c r="J6795" s="424" t="s">
        <v>7564</v>
      </c>
      <c r="K6795" s="427" t="s">
        <v>8982</v>
      </c>
      <c r="L6795" s="428"/>
      <c r="M6795" s="429" t="s">
        <v>8969</v>
      </c>
      <c r="N6795" s="430">
        <v>44926</v>
      </c>
      <c r="O6795" s="430" t="s">
        <v>37</v>
      </c>
      <c r="P6795" s="485">
        <v>0</v>
      </c>
      <c r="Q6795" s="140">
        <v>-128</v>
      </c>
      <c r="R6795" s="69">
        <f t="shared" si="156"/>
        <v>0</v>
      </c>
      <c r="S6795" s="434">
        <v>202303</v>
      </c>
      <c r="T6795" s="517" t="s">
        <v>8986</v>
      </c>
      <c r="U6795" s="436"/>
      <c r="V6795" s="509"/>
      <c r="W6795" s="437"/>
      <c r="X6795" s="163">
        <v>44927</v>
      </c>
      <c r="Y6795" s="468"/>
    </row>
    <row r="6796" s="10" customFormat="1" customHeight="1" spans="1:25">
      <c r="A6796" s="61" t="s">
        <v>399</v>
      </c>
      <c r="B6796" s="459" t="s">
        <v>8834</v>
      </c>
      <c r="C6796" s="135" t="s">
        <v>39</v>
      </c>
      <c r="D6796" s="60" t="s">
        <v>881</v>
      </c>
      <c r="E6796" s="160" t="s">
        <v>8965</v>
      </c>
      <c r="F6796" s="61" t="s">
        <v>8966</v>
      </c>
      <c r="G6796" s="424" t="s">
        <v>31</v>
      </c>
      <c r="H6796" s="45" t="s">
        <v>8967</v>
      </c>
      <c r="I6796" s="47" t="e">
        <f>VLOOKUP(H6796,'合同综合查询数据（3月返）'!$A:$A,1,FALSE)</f>
        <v>#N/A</v>
      </c>
      <c r="J6796" s="424" t="s">
        <v>7564</v>
      </c>
      <c r="K6796" s="427" t="s">
        <v>8968</v>
      </c>
      <c r="L6796" s="428"/>
      <c r="M6796" s="429" t="s">
        <v>8969</v>
      </c>
      <c r="N6796" s="430" t="s">
        <v>1225</v>
      </c>
      <c r="O6796" s="430" t="s">
        <v>152</v>
      </c>
      <c r="P6796" s="485">
        <v>0</v>
      </c>
      <c r="Q6796" s="140">
        <v>2</v>
      </c>
      <c r="R6796" s="69">
        <f t="shared" si="156"/>
        <v>0</v>
      </c>
      <c r="S6796" s="434">
        <v>202303</v>
      </c>
      <c r="T6796" s="517" t="s">
        <v>8987</v>
      </c>
      <c r="U6796" s="436"/>
      <c r="V6796" s="509"/>
      <c r="W6796" s="437"/>
      <c r="X6796" s="163">
        <v>44927</v>
      </c>
      <c r="Y6796" s="468"/>
    </row>
    <row r="6797" s="10" customFormat="1" customHeight="1" spans="1:25">
      <c r="A6797" s="61" t="s">
        <v>399</v>
      </c>
      <c r="B6797" s="459" t="s">
        <v>8834</v>
      </c>
      <c r="C6797" s="135" t="s">
        <v>39</v>
      </c>
      <c r="D6797" s="60" t="s">
        <v>881</v>
      </c>
      <c r="E6797" s="160" t="s">
        <v>8965</v>
      </c>
      <c r="F6797" s="61" t="s">
        <v>8966</v>
      </c>
      <c r="G6797" s="424" t="s">
        <v>88</v>
      </c>
      <c r="H6797" s="45" t="s">
        <v>8967</v>
      </c>
      <c r="I6797" s="47" t="e">
        <f>VLOOKUP(H6797,'合同综合查询数据（3月返）'!$A:$A,1,FALSE)</f>
        <v>#N/A</v>
      </c>
      <c r="J6797" s="424" t="s">
        <v>126</v>
      </c>
      <c r="K6797" s="427" t="s">
        <v>8988</v>
      </c>
      <c r="L6797" s="428"/>
      <c r="M6797" s="429" t="s">
        <v>8969</v>
      </c>
      <c r="N6797" s="430">
        <v>44540</v>
      </c>
      <c r="O6797" s="430" t="s">
        <v>92</v>
      </c>
      <c r="P6797" s="485">
        <v>4300</v>
      </c>
      <c r="Q6797" s="140">
        <v>1</v>
      </c>
      <c r="R6797" s="69">
        <f t="shared" si="156"/>
        <v>4300</v>
      </c>
      <c r="S6797" s="434">
        <v>202303</v>
      </c>
      <c r="T6797" s="517" t="s">
        <v>8989</v>
      </c>
      <c r="U6797" s="436"/>
      <c r="V6797" s="509"/>
      <c r="W6797" s="437"/>
      <c r="X6797" s="163">
        <v>44927</v>
      </c>
      <c r="Y6797" s="468"/>
    </row>
    <row r="6798" s="10" customFormat="1" customHeight="1" spans="1:25">
      <c r="A6798" s="61" t="s">
        <v>399</v>
      </c>
      <c r="B6798" s="459" t="s">
        <v>8834</v>
      </c>
      <c r="C6798" s="135" t="s">
        <v>39</v>
      </c>
      <c r="D6798" s="60" t="s">
        <v>881</v>
      </c>
      <c r="E6798" s="160" t="s">
        <v>8965</v>
      </c>
      <c r="F6798" s="61" t="s">
        <v>8966</v>
      </c>
      <c r="G6798" s="424" t="s">
        <v>31</v>
      </c>
      <c r="H6798" s="45" t="s">
        <v>8967</v>
      </c>
      <c r="I6798" s="47" t="e">
        <f>VLOOKUP(H6798,'合同综合查询数据（3月返）'!$A:$A,1,FALSE)</f>
        <v>#N/A</v>
      </c>
      <c r="J6798" s="424" t="s">
        <v>7564</v>
      </c>
      <c r="K6798" s="427" t="s">
        <v>8988</v>
      </c>
      <c r="L6798" s="428"/>
      <c r="M6798" s="429" t="s">
        <v>8969</v>
      </c>
      <c r="N6798" s="430">
        <v>44540</v>
      </c>
      <c r="O6798" s="430" t="s">
        <v>37</v>
      </c>
      <c r="P6798" s="485">
        <v>0</v>
      </c>
      <c r="Q6798" s="140">
        <v>128</v>
      </c>
      <c r="R6798" s="69">
        <f t="shared" si="156"/>
        <v>0</v>
      </c>
      <c r="S6798" s="434">
        <v>202303</v>
      </c>
      <c r="T6798" s="517" t="s">
        <v>8990</v>
      </c>
      <c r="U6798" s="436"/>
      <c r="V6798" s="509"/>
      <c r="W6798" s="437"/>
      <c r="X6798" s="163"/>
      <c r="Y6798" s="163"/>
    </row>
    <row r="6799" s="10" customFormat="1" customHeight="1" spans="1:25">
      <c r="A6799" s="61" t="s">
        <v>399</v>
      </c>
      <c r="B6799" s="459" t="s">
        <v>8834</v>
      </c>
      <c r="C6799" s="135" t="s">
        <v>39</v>
      </c>
      <c r="D6799" s="60" t="s">
        <v>881</v>
      </c>
      <c r="E6799" s="160" t="s">
        <v>8965</v>
      </c>
      <c r="F6799" s="61" t="s">
        <v>8966</v>
      </c>
      <c r="G6799" s="424" t="s">
        <v>31</v>
      </c>
      <c r="H6799" s="45" t="s">
        <v>8967</v>
      </c>
      <c r="I6799" s="47" t="e">
        <f>VLOOKUP(H6799,'合同综合查询数据（3月返）'!$A:$A,1,FALSE)</f>
        <v>#N/A</v>
      </c>
      <c r="J6799" s="424" t="s">
        <v>7564</v>
      </c>
      <c r="K6799" s="427" t="s">
        <v>8982</v>
      </c>
      <c r="L6799" s="428"/>
      <c r="M6799" s="429" t="s">
        <v>8969</v>
      </c>
      <c r="N6799" s="430">
        <v>44531</v>
      </c>
      <c r="O6799" s="430" t="s">
        <v>152</v>
      </c>
      <c r="P6799" s="485">
        <v>0</v>
      </c>
      <c r="Q6799" s="140">
        <v>1</v>
      </c>
      <c r="R6799" s="69">
        <f t="shared" si="156"/>
        <v>0</v>
      </c>
      <c r="S6799" s="434">
        <v>202303</v>
      </c>
      <c r="T6799" s="517" t="s">
        <v>8991</v>
      </c>
      <c r="U6799" s="436"/>
      <c r="V6799" s="509"/>
      <c r="W6799" s="437"/>
      <c r="X6799" s="163">
        <v>44927</v>
      </c>
      <c r="Y6799" s="468"/>
    </row>
    <row r="6800" s="10" customFormat="1" customHeight="1" spans="1:25">
      <c r="A6800" s="61" t="s">
        <v>399</v>
      </c>
      <c r="B6800" s="459" t="s">
        <v>8834</v>
      </c>
      <c r="C6800" s="135" t="s">
        <v>39</v>
      </c>
      <c r="D6800" s="60" t="s">
        <v>881</v>
      </c>
      <c r="E6800" s="160" t="s">
        <v>8965</v>
      </c>
      <c r="F6800" s="61" t="s">
        <v>8966</v>
      </c>
      <c r="G6800" s="424" t="s">
        <v>31</v>
      </c>
      <c r="H6800" s="45" t="s">
        <v>8967</v>
      </c>
      <c r="I6800" s="47" t="e">
        <f>VLOOKUP(H6800,'合同综合查询数据（3月返）'!$A:$A,1,FALSE)</f>
        <v>#N/A</v>
      </c>
      <c r="J6800" s="424" t="s">
        <v>7564</v>
      </c>
      <c r="K6800" s="427" t="s">
        <v>8982</v>
      </c>
      <c r="L6800" s="428"/>
      <c r="M6800" s="429" t="s">
        <v>8969</v>
      </c>
      <c r="N6800" s="430">
        <v>44926</v>
      </c>
      <c r="O6800" s="430" t="s">
        <v>152</v>
      </c>
      <c r="P6800" s="485">
        <v>0</v>
      </c>
      <c r="Q6800" s="140">
        <v>-1</v>
      </c>
      <c r="R6800" s="69">
        <f t="shared" si="156"/>
        <v>0</v>
      </c>
      <c r="S6800" s="434">
        <v>202303</v>
      </c>
      <c r="T6800" s="517" t="s">
        <v>8992</v>
      </c>
      <c r="U6800" s="436"/>
      <c r="V6800" s="509"/>
      <c r="W6800" s="437"/>
      <c r="X6800" s="163">
        <v>44927</v>
      </c>
      <c r="Y6800" s="468"/>
    </row>
    <row r="6801" s="10" customFormat="1" customHeight="1" spans="1:25">
      <c r="A6801" s="61" t="s">
        <v>399</v>
      </c>
      <c r="B6801" s="459" t="s">
        <v>8834</v>
      </c>
      <c r="C6801" s="135" t="s">
        <v>39</v>
      </c>
      <c r="D6801" s="60" t="s">
        <v>881</v>
      </c>
      <c r="E6801" s="160" t="s">
        <v>8965</v>
      </c>
      <c r="F6801" s="61" t="s">
        <v>8966</v>
      </c>
      <c r="G6801" s="424" t="s">
        <v>88</v>
      </c>
      <c r="H6801" s="45" t="s">
        <v>8967</v>
      </c>
      <c r="I6801" s="47" t="e">
        <f>VLOOKUP(H6801,'合同综合查询数据（3月返）'!$A:$A,1,FALSE)</f>
        <v>#N/A</v>
      </c>
      <c r="J6801" s="424" t="s">
        <v>126</v>
      </c>
      <c r="K6801" s="427" t="s">
        <v>8968</v>
      </c>
      <c r="L6801" s="428"/>
      <c r="M6801" s="429" t="s">
        <v>8969</v>
      </c>
      <c r="N6801" s="430">
        <v>44768</v>
      </c>
      <c r="O6801" s="430" t="s">
        <v>92</v>
      </c>
      <c r="P6801" s="485">
        <v>4300</v>
      </c>
      <c r="Q6801" s="140">
        <v>-4</v>
      </c>
      <c r="R6801" s="69">
        <f t="shared" si="156"/>
        <v>-17200</v>
      </c>
      <c r="S6801" s="434">
        <v>202303</v>
      </c>
      <c r="T6801" s="517" t="s">
        <v>8993</v>
      </c>
      <c r="U6801" s="436"/>
      <c r="V6801" s="509"/>
      <c r="W6801" s="437"/>
      <c r="X6801" s="163">
        <v>44927</v>
      </c>
      <c r="Y6801" s="468"/>
    </row>
    <row r="6802" s="10" customFormat="1" customHeight="1" spans="1:25">
      <c r="A6802" s="61" t="s">
        <v>399</v>
      </c>
      <c r="B6802" s="459" t="s">
        <v>8834</v>
      </c>
      <c r="C6802" s="135" t="s">
        <v>39</v>
      </c>
      <c r="D6802" s="60" t="s">
        <v>881</v>
      </c>
      <c r="E6802" s="160" t="s">
        <v>8965</v>
      </c>
      <c r="F6802" s="61" t="s">
        <v>8966</v>
      </c>
      <c r="G6802" s="424" t="s">
        <v>31</v>
      </c>
      <c r="H6802" s="45" t="s">
        <v>8967</v>
      </c>
      <c r="I6802" s="47" t="e">
        <f>VLOOKUP(H6802,'合同综合查询数据（3月返）'!$A:$A,1,FALSE)</f>
        <v>#N/A</v>
      </c>
      <c r="J6802" s="424" t="s">
        <v>7564</v>
      </c>
      <c r="K6802" s="427" t="s">
        <v>8968</v>
      </c>
      <c r="L6802" s="428"/>
      <c r="M6802" s="429" t="s">
        <v>8969</v>
      </c>
      <c r="N6802" s="430">
        <v>44768</v>
      </c>
      <c r="O6802" s="430" t="s">
        <v>37</v>
      </c>
      <c r="P6802" s="485">
        <v>0</v>
      </c>
      <c r="Q6802" s="140">
        <v>-384</v>
      </c>
      <c r="R6802" s="69">
        <f t="shared" si="156"/>
        <v>0</v>
      </c>
      <c r="S6802" s="434">
        <v>202303</v>
      </c>
      <c r="T6802" s="517" t="s">
        <v>8994</v>
      </c>
      <c r="U6802" s="436"/>
      <c r="V6802" s="509"/>
      <c r="W6802" s="437"/>
      <c r="X6802" s="163"/>
      <c r="Y6802" s="163"/>
    </row>
    <row r="6803" s="10" customFormat="1" customHeight="1" spans="1:25">
      <c r="A6803" s="61" t="s">
        <v>399</v>
      </c>
      <c r="B6803" s="459" t="s">
        <v>8834</v>
      </c>
      <c r="C6803" s="135" t="s">
        <v>39</v>
      </c>
      <c r="D6803" s="60" t="s">
        <v>881</v>
      </c>
      <c r="E6803" s="160" t="s">
        <v>8965</v>
      </c>
      <c r="F6803" s="61" t="s">
        <v>8966</v>
      </c>
      <c r="G6803" s="424" t="s">
        <v>88</v>
      </c>
      <c r="H6803" s="45" t="s">
        <v>8967</v>
      </c>
      <c r="I6803" s="47" t="e">
        <f>VLOOKUP(H6803,'合同综合查询数据（3月返）'!$A:$A,1,FALSE)</f>
        <v>#N/A</v>
      </c>
      <c r="J6803" s="424" t="s">
        <v>126</v>
      </c>
      <c r="K6803" s="427" t="s">
        <v>8968</v>
      </c>
      <c r="L6803" s="428"/>
      <c r="M6803" s="429" t="s">
        <v>8969</v>
      </c>
      <c r="N6803" s="430">
        <v>44927</v>
      </c>
      <c r="O6803" s="430" t="s">
        <v>92</v>
      </c>
      <c r="P6803" s="485">
        <v>4300</v>
      </c>
      <c r="Q6803" s="140">
        <v>1</v>
      </c>
      <c r="R6803" s="69">
        <f t="shared" si="156"/>
        <v>4300</v>
      </c>
      <c r="S6803" s="434">
        <v>202303</v>
      </c>
      <c r="T6803" s="517" t="s">
        <v>8995</v>
      </c>
      <c r="U6803" s="436"/>
      <c r="V6803" s="509"/>
      <c r="W6803" s="437"/>
      <c r="X6803" s="163">
        <v>44927</v>
      </c>
      <c r="Y6803" s="468"/>
    </row>
    <row r="6804" s="10" customFormat="1" customHeight="1" spans="1:25">
      <c r="A6804" s="61" t="s">
        <v>399</v>
      </c>
      <c r="B6804" s="459" t="s">
        <v>8834</v>
      </c>
      <c r="C6804" s="135" t="s">
        <v>39</v>
      </c>
      <c r="D6804" s="60" t="s">
        <v>881</v>
      </c>
      <c r="E6804" s="160" t="s">
        <v>8965</v>
      </c>
      <c r="F6804" s="61" t="s">
        <v>8966</v>
      </c>
      <c r="G6804" s="424" t="s">
        <v>88</v>
      </c>
      <c r="H6804" s="45" t="s">
        <v>8967</v>
      </c>
      <c r="I6804" s="47" t="e">
        <f>VLOOKUP(H6804,'合同综合查询数据（3月返）'!$A:$A,1,FALSE)</f>
        <v>#N/A</v>
      </c>
      <c r="J6804" s="424" t="s">
        <v>126</v>
      </c>
      <c r="K6804" s="427" t="s">
        <v>8968</v>
      </c>
      <c r="L6804" s="428"/>
      <c r="M6804" s="429" t="s">
        <v>8969</v>
      </c>
      <c r="N6804" s="430">
        <v>44983</v>
      </c>
      <c r="O6804" s="430" t="s">
        <v>92</v>
      </c>
      <c r="P6804" s="485">
        <v>4300</v>
      </c>
      <c r="Q6804" s="140">
        <v>2</v>
      </c>
      <c r="R6804" s="69">
        <f t="shared" si="156"/>
        <v>8600</v>
      </c>
      <c r="S6804" s="434">
        <v>202303</v>
      </c>
      <c r="T6804" s="517" t="s">
        <v>8996</v>
      </c>
      <c r="U6804" s="436"/>
      <c r="V6804" s="509"/>
      <c r="W6804" s="437"/>
      <c r="X6804" s="163">
        <v>44927</v>
      </c>
      <c r="Y6804" s="468"/>
    </row>
    <row r="6805" s="10" customFormat="1" customHeight="1" spans="1:25">
      <c r="A6805" s="61" t="s">
        <v>399</v>
      </c>
      <c r="B6805" s="459" t="s">
        <v>8834</v>
      </c>
      <c r="C6805" s="135" t="s">
        <v>39</v>
      </c>
      <c r="D6805" s="60" t="s">
        <v>881</v>
      </c>
      <c r="E6805" s="160" t="s">
        <v>8965</v>
      </c>
      <c r="F6805" s="61" t="s">
        <v>8966</v>
      </c>
      <c r="G6805" s="424" t="s">
        <v>31</v>
      </c>
      <c r="H6805" s="45" t="s">
        <v>8967</v>
      </c>
      <c r="I6805" s="47" t="e">
        <f>VLOOKUP(H6805,'合同综合查询数据（3月返）'!$A:$A,1,FALSE)</f>
        <v>#N/A</v>
      </c>
      <c r="J6805" s="424" t="s">
        <v>7564</v>
      </c>
      <c r="K6805" s="427" t="s">
        <v>8968</v>
      </c>
      <c r="L6805" s="428"/>
      <c r="M6805" s="429" t="s">
        <v>8969</v>
      </c>
      <c r="N6805" s="430">
        <v>44983</v>
      </c>
      <c r="O6805" s="430" t="s">
        <v>37</v>
      </c>
      <c r="P6805" s="485">
        <v>0</v>
      </c>
      <c r="Q6805" s="140">
        <v>128</v>
      </c>
      <c r="R6805" s="69">
        <f t="shared" si="156"/>
        <v>0</v>
      </c>
      <c r="S6805" s="434">
        <v>202303</v>
      </c>
      <c r="T6805" s="517" t="s">
        <v>8997</v>
      </c>
      <c r="U6805" s="436"/>
      <c r="V6805" s="509"/>
      <c r="W6805" s="437"/>
      <c r="X6805" s="163">
        <v>44927</v>
      </c>
      <c r="Y6805" s="163"/>
    </row>
    <row r="6806" s="9" customFormat="1" customHeight="1" spans="1:25">
      <c r="A6806" s="446" t="s">
        <v>403</v>
      </c>
      <c r="B6806" s="446" t="s">
        <v>8192</v>
      </c>
      <c r="C6806" s="94" t="s">
        <v>161</v>
      </c>
      <c r="D6806" s="446" t="s">
        <v>6237</v>
      </c>
      <c r="E6806" s="147" t="s">
        <v>8998</v>
      </c>
      <c r="F6806" s="98" t="s">
        <v>8999</v>
      </c>
      <c r="G6806" s="448" t="s">
        <v>31</v>
      </c>
      <c r="H6806" s="19" t="s">
        <v>9000</v>
      </c>
      <c r="I6806" s="23" t="e">
        <f>VLOOKUP(H6806,'合同综合查询数据（3月返）'!$A:$A,1,FALSE)</f>
        <v>#N/A</v>
      </c>
      <c r="J6806" s="448" t="s">
        <v>7564</v>
      </c>
      <c r="K6806" s="511" t="s">
        <v>8999</v>
      </c>
      <c r="L6806" s="512"/>
      <c r="M6806" s="449"/>
      <c r="N6806" s="252">
        <v>43688</v>
      </c>
      <c r="O6806" s="252" t="s">
        <v>37</v>
      </c>
      <c r="P6806" s="513">
        <v>0</v>
      </c>
      <c r="Q6806" s="131">
        <v>160</v>
      </c>
      <c r="R6806" s="119">
        <f t="shared" si="156"/>
        <v>0</v>
      </c>
      <c r="S6806" s="456">
        <v>202303</v>
      </c>
      <c r="T6806" s="134" t="s">
        <v>9001</v>
      </c>
      <c r="U6806" s="488"/>
      <c r="V6806" s="516"/>
      <c r="W6806" s="516"/>
      <c r="X6806" s="190">
        <v>43678</v>
      </c>
      <c r="Y6806" s="190">
        <v>45138</v>
      </c>
    </row>
    <row r="6807" s="9" customFormat="1" customHeight="1" spans="1:25">
      <c r="A6807" s="446" t="s">
        <v>403</v>
      </c>
      <c r="B6807" s="446" t="s">
        <v>8192</v>
      </c>
      <c r="C6807" s="94" t="s">
        <v>161</v>
      </c>
      <c r="D6807" s="446" t="s">
        <v>6237</v>
      </c>
      <c r="E6807" s="147" t="s">
        <v>8998</v>
      </c>
      <c r="F6807" s="98" t="s">
        <v>8999</v>
      </c>
      <c r="G6807" s="448" t="s">
        <v>88</v>
      </c>
      <c r="H6807" s="19" t="s">
        <v>9000</v>
      </c>
      <c r="I6807" s="23" t="e">
        <f>VLOOKUP(H6807,'合同综合查询数据（3月返）'!$A:$A,1,FALSE)</f>
        <v>#N/A</v>
      </c>
      <c r="J6807" s="448" t="s">
        <v>126</v>
      </c>
      <c r="K6807" s="511" t="s">
        <v>8999</v>
      </c>
      <c r="L6807" s="512" t="s">
        <v>9002</v>
      </c>
      <c r="M6807" s="449" t="s">
        <v>9003</v>
      </c>
      <c r="N6807" s="252">
        <v>43688</v>
      </c>
      <c r="O6807" s="252" t="s">
        <v>624</v>
      </c>
      <c r="P6807" s="513">
        <v>0</v>
      </c>
      <c r="Q6807" s="131">
        <v>2</v>
      </c>
      <c r="R6807" s="119">
        <f t="shared" si="156"/>
        <v>0</v>
      </c>
      <c r="S6807" s="456">
        <v>202303</v>
      </c>
      <c r="T6807" s="134" t="s">
        <v>9004</v>
      </c>
      <c r="U6807" s="488"/>
      <c r="V6807" s="516"/>
      <c r="W6807" s="516"/>
      <c r="X6807" s="190">
        <v>43678</v>
      </c>
      <c r="Y6807" s="190">
        <v>45138</v>
      </c>
    </row>
    <row r="6808" s="9" customFormat="1" customHeight="1" spans="1:25">
      <c r="A6808" s="446" t="s">
        <v>403</v>
      </c>
      <c r="B6808" s="446" t="s">
        <v>8192</v>
      </c>
      <c r="C6808" s="94" t="s">
        <v>161</v>
      </c>
      <c r="D6808" s="446" t="s">
        <v>6237</v>
      </c>
      <c r="E6808" s="147" t="s">
        <v>9005</v>
      </c>
      <c r="F6808" s="98" t="s">
        <v>9006</v>
      </c>
      <c r="G6808" s="448" t="s">
        <v>88</v>
      </c>
      <c r="H6808" s="19" t="s">
        <v>9007</v>
      </c>
      <c r="I6808" s="23" t="e">
        <f>VLOOKUP(H6808,'合同综合查询数据（3月返）'!$A:$A,1,FALSE)</f>
        <v>#N/A</v>
      </c>
      <c r="J6808" s="448" t="s">
        <v>126</v>
      </c>
      <c r="K6808" s="511" t="s">
        <v>9006</v>
      </c>
      <c r="L6808" s="512"/>
      <c r="M6808" s="449" t="s">
        <v>9008</v>
      </c>
      <c r="N6808" s="252" t="s">
        <v>1225</v>
      </c>
      <c r="O6808" s="252" t="s">
        <v>92</v>
      </c>
      <c r="P6808" s="513">
        <v>0</v>
      </c>
      <c r="Q6808" s="131">
        <v>4</v>
      </c>
      <c r="R6808" s="119">
        <f t="shared" si="156"/>
        <v>0</v>
      </c>
      <c r="S6808" s="456">
        <v>202303</v>
      </c>
      <c r="T6808" s="134" t="s">
        <v>9009</v>
      </c>
      <c r="U6808" s="488"/>
      <c r="V6808" s="516"/>
      <c r="W6808" s="516"/>
      <c r="X6808" s="466">
        <v>44652</v>
      </c>
      <c r="Y6808" s="467">
        <v>45016</v>
      </c>
    </row>
    <row r="6809" s="9" customFormat="1" customHeight="1" spans="1:25">
      <c r="A6809" s="446" t="s">
        <v>403</v>
      </c>
      <c r="B6809" s="446" t="s">
        <v>8192</v>
      </c>
      <c r="C6809" s="94" t="s">
        <v>161</v>
      </c>
      <c r="D6809" s="446" t="s">
        <v>6237</v>
      </c>
      <c r="E6809" s="147" t="s">
        <v>9005</v>
      </c>
      <c r="F6809" s="98" t="s">
        <v>9006</v>
      </c>
      <c r="G6809" s="448" t="s">
        <v>31</v>
      </c>
      <c r="H6809" s="19" t="s">
        <v>9007</v>
      </c>
      <c r="I6809" s="23" t="e">
        <f>VLOOKUP(H6809,'合同综合查询数据（3月返）'!$A:$A,1,FALSE)</f>
        <v>#N/A</v>
      </c>
      <c r="J6809" s="448" t="s">
        <v>7564</v>
      </c>
      <c r="K6809" s="511" t="s">
        <v>9006</v>
      </c>
      <c r="L6809" s="512"/>
      <c r="M6809" s="449"/>
      <c r="N6809" s="252" t="s">
        <v>1225</v>
      </c>
      <c r="O6809" s="252" t="s">
        <v>37</v>
      </c>
      <c r="P6809" s="513">
        <v>0</v>
      </c>
      <c r="Q6809" s="131">
        <v>288</v>
      </c>
      <c r="R6809" s="119">
        <f t="shared" si="156"/>
        <v>0</v>
      </c>
      <c r="S6809" s="456">
        <v>202303</v>
      </c>
      <c r="T6809" s="134" t="s">
        <v>9010</v>
      </c>
      <c r="U6809" s="488"/>
      <c r="V6809" s="516"/>
      <c r="W6809" s="516"/>
      <c r="X6809" s="466">
        <v>44652</v>
      </c>
      <c r="Y6809" s="467">
        <v>45016</v>
      </c>
    </row>
    <row r="6810" s="9" customFormat="1" customHeight="1" spans="1:25">
      <c r="A6810" s="446" t="s">
        <v>403</v>
      </c>
      <c r="B6810" s="446" t="s">
        <v>8192</v>
      </c>
      <c r="C6810" s="94" t="s">
        <v>161</v>
      </c>
      <c r="D6810" s="446" t="s">
        <v>6237</v>
      </c>
      <c r="E6810" s="147" t="s">
        <v>9005</v>
      </c>
      <c r="F6810" s="98" t="s">
        <v>9006</v>
      </c>
      <c r="G6810" s="448" t="s">
        <v>31</v>
      </c>
      <c r="H6810" s="19" t="s">
        <v>9007</v>
      </c>
      <c r="I6810" s="23" t="e">
        <f>VLOOKUP(H6810,'合同综合查询数据（3月返）'!$A:$A,1,FALSE)</f>
        <v>#N/A</v>
      </c>
      <c r="J6810" s="448" t="s">
        <v>7564</v>
      </c>
      <c r="K6810" s="511" t="s">
        <v>9006</v>
      </c>
      <c r="L6810" s="512"/>
      <c r="M6810" s="449"/>
      <c r="N6810" s="252" t="s">
        <v>1225</v>
      </c>
      <c r="O6810" s="252" t="s">
        <v>37</v>
      </c>
      <c r="P6810" s="513">
        <v>0</v>
      </c>
      <c r="Q6810" s="131">
        <v>128</v>
      </c>
      <c r="R6810" s="119">
        <f t="shared" si="156"/>
        <v>0</v>
      </c>
      <c r="S6810" s="456">
        <v>202303</v>
      </c>
      <c r="T6810" s="134" t="s">
        <v>9011</v>
      </c>
      <c r="U6810" s="488"/>
      <c r="V6810" s="516"/>
      <c r="W6810" s="516"/>
      <c r="X6810" s="466">
        <v>44652</v>
      </c>
      <c r="Y6810" s="467">
        <v>45016</v>
      </c>
    </row>
    <row r="6811" s="9" customFormat="1" customHeight="1" spans="1:25">
      <c r="A6811" s="446" t="s">
        <v>403</v>
      </c>
      <c r="B6811" s="446" t="s">
        <v>8192</v>
      </c>
      <c r="C6811" s="94" t="s">
        <v>161</v>
      </c>
      <c r="D6811" s="446" t="s">
        <v>6237</v>
      </c>
      <c r="E6811" s="147" t="s">
        <v>9005</v>
      </c>
      <c r="F6811" s="98" t="s">
        <v>9006</v>
      </c>
      <c r="G6811" s="448" t="s">
        <v>88</v>
      </c>
      <c r="H6811" s="19" t="s">
        <v>9007</v>
      </c>
      <c r="I6811" s="23" t="e">
        <f>VLOOKUP(H6811,'合同综合查询数据（3月返）'!$A:$A,1,FALSE)</f>
        <v>#N/A</v>
      </c>
      <c r="J6811" s="448" t="s">
        <v>126</v>
      </c>
      <c r="K6811" s="511" t="s">
        <v>9006</v>
      </c>
      <c r="L6811" s="512"/>
      <c r="M6811" s="449" t="s">
        <v>9012</v>
      </c>
      <c r="N6811" s="252" t="s">
        <v>1225</v>
      </c>
      <c r="O6811" s="252" t="s">
        <v>92</v>
      </c>
      <c r="P6811" s="513">
        <v>0</v>
      </c>
      <c r="Q6811" s="131">
        <v>2</v>
      </c>
      <c r="R6811" s="119">
        <f t="shared" si="156"/>
        <v>0</v>
      </c>
      <c r="S6811" s="456">
        <v>202303</v>
      </c>
      <c r="T6811" s="134" t="s">
        <v>9013</v>
      </c>
      <c r="U6811" s="488"/>
      <c r="V6811" s="516"/>
      <c r="W6811" s="516"/>
      <c r="X6811" s="466">
        <v>44652</v>
      </c>
      <c r="Y6811" s="467">
        <v>45016</v>
      </c>
    </row>
    <row r="6812" s="10" customFormat="1" customHeight="1" spans="1:25">
      <c r="A6812" s="459" t="s">
        <v>403</v>
      </c>
      <c r="B6812" s="459" t="s">
        <v>8192</v>
      </c>
      <c r="C6812" s="62" t="s">
        <v>161</v>
      </c>
      <c r="D6812" s="459" t="s">
        <v>6237</v>
      </c>
      <c r="E6812" s="160" t="s">
        <v>9005</v>
      </c>
      <c r="F6812" s="61" t="s">
        <v>9006</v>
      </c>
      <c r="G6812" s="424" t="s">
        <v>88</v>
      </c>
      <c r="H6812" s="45" t="s">
        <v>9014</v>
      </c>
      <c r="I6812" s="47" t="e">
        <f>VLOOKUP(H6812,'合同综合查询数据（3月返）'!$A:$A,1,FALSE)</f>
        <v>#N/A</v>
      </c>
      <c r="J6812" s="424" t="s">
        <v>126</v>
      </c>
      <c r="K6812" s="427" t="s">
        <v>9015</v>
      </c>
      <c r="L6812" s="428"/>
      <c r="M6812" s="429" t="s">
        <v>9012</v>
      </c>
      <c r="N6812" s="430">
        <v>44682</v>
      </c>
      <c r="O6812" s="430" t="s">
        <v>127</v>
      </c>
      <c r="P6812" s="514">
        <v>0</v>
      </c>
      <c r="Q6812" s="140">
        <v>1</v>
      </c>
      <c r="R6812" s="69">
        <f t="shared" si="156"/>
        <v>0</v>
      </c>
      <c r="S6812" s="434">
        <v>202303</v>
      </c>
      <c r="T6812" s="519" t="s">
        <v>9016</v>
      </c>
      <c r="U6812" s="436"/>
      <c r="V6812" s="518"/>
      <c r="W6812" s="518"/>
      <c r="X6812" s="442">
        <v>44652</v>
      </c>
      <c r="Y6812" s="468"/>
    </row>
    <row r="6813" s="10" customFormat="1" customHeight="1" spans="1:25">
      <c r="A6813" s="459" t="s">
        <v>403</v>
      </c>
      <c r="B6813" s="459" t="s">
        <v>8192</v>
      </c>
      <c r="C6813" s="62" t="s">
        <v>161</v>
      </c>
      <c r="D6813" s="459" t="s">
        <v>6237</v>
      </c>
      <c r="E6813" s="160" t="s">
        <v>9005</v>
      </c>
      <c r="F6813" s="61" t="s">
        <v>9006</v>
      </c>
      <c r="G6813" s="424" t="s">
        <v>88</v>
      </c>
      <c r="H6813" s="45" t="s">
        <v>9014</v>
      </c>
      <c r="I6813" s="47" t="e">
        <f>VLOOKUP(H6813,'合同综合查询数据（3月返）'!$A:$A,1,FALSE)</f>
        <v>#N/A</v>
      </c>
      <c r="J6813" s="424" t="s">
        <v>126</v>
      </c>
      <c r="K6813" s="427" t="s">
        <v>9015</v>
      </c>
      <c r="L6813" s="428"/>
      <c r="M6813" s="429" t="s">
        <v>9012</v>
      </c>
      <c r="N6813" s="430">
        <v>44712</v>
      </c>
      <c r="O6813" s="430" t="s">
        <v>127</v>
      </c>
      <c r="P6813" s="514">
        <v>0</v>
      </c>
      <c r="Q6813" s="140">
        <v>-1</v>
      </c>
      <c r="R6813" s="69">
        <f t="shared" si="156"/>
        <v>0</v>
      </c>
      <c r="S6813" s="434">
        <v>202303</v>
      </c>
      <c r="T6813" s="519" t="s">
        <v>9017</v>
      </c>
      <c r="U6813" s="436"/>
      <c r="V6813" s="518"/>
      <c r="W6813" s="518"/>
      <c r="X6813" s="442">
        <v>44652</v>
      </c>
      <c r="Y6813" s="468"/>
    </row>
    <row r="6814" s="9" customFormat="1" customHeight="1" spans="1:25">
      <c r="A6814" s="446" t="s">
        <v>403</v>
      </c>
      <c r="B6814" s="446" t="s">
        <v>8192</v>
      </c>
      <c r="C6814" s="94" t="s">
        <v>161</v>
      </c>
      <c r="D6814" s="446" t="s">
        <v>6237</v>
      </c>
      <c r="E6814" s="147" t="s">
        <v>9005</v>
      </c>
      <c r="F6814" s="98" t="s">
        <v>9006</v>
      </c>
      <c r="G6814" s="448" t="s">
        <v>88</v>
      </c>
      <c r="H6814" s="19" t="s">
        <v>9007</v>
      </c>
      <c r="I6814" s="23" t="e">
        <f>VLOOKUP(H6814,'合同综合查询数据（3月返）'!$A:$A,1,FALSE)</f>
        <v>#N/A</v>
      </c>
      <c r="J6814" s="448" t="s">
        <v>126</v>
      </c>
      <c r="K6814" s="511" t="s">
        <v>9006</v>
      </c>
      <c r="L6814" s="512"/>
      <c r="M6814" s="449" t="s">
        <v>9012</v>
      </c>
      <c r="N6814" s="252">
        <v>44732</v>
      </c>
      <c r="O6814" s="252" t="s">
        <v>127</v>
      </c>
      <c r="P6814" s="513">
        <v>0</v>
      </c>
      <c r="Q6814" s="131">
        <v>-3</v>
      </c>
      <c r="R6814" s="119">
        <f t="shared" si="156"/>
        <v>0</v>
      </c>
      <c r="S6814" s="456">
        <v>202303</v>
      </c>
      <c r="T6814" s="520" t="s">
        <v>9018</v>
      </c>
      <c r="U6814" s="488"/>
      <c r="V6814" s="516"/>
      <c r="W6814" s="516"/>
      <c r="X6814" s="466">
        <v>44652</v>
      </c>
      <c r="Y6814" s="467">
        <v>45016</v>
      </c>
    </row>
    <row r="6815" s="10" customFormat="1" customHeight="1" spans="1:25">
      <c r="A6815" s="459" t="s">
        <v>403</v>
      </c>
      <c r="B6815" s="459" t="s">
        <v>8192</v>
      </c>
      <c r="C6815" s="62" t="s">
        <v>161</v>
      </c>
      <c r="D6815" s="459" t="s">
        <v>6237</v>
      </c>
      <c r="E6815" s="160" t="s">
        <v>9005</v>
      </c>
      <c r="F6815" s="61" t="s">
        <v>9006</v>
      </c>
      <c r="G6815" s="424" t="s">
        <v>31</v>
      </c>
      <c r="H6815" s="45" t="s">
        <v>9014</v>
      </c>
      <c r="I6815" s="47" t="e">
        <f>VLOOKUP(H6815,'合同综合查询数据（3月返）'!$A:$A,1,FALSE)</f>
        <v>#N/A</v>
      </c>
      <c r="J6815" s="424" t="s">
        <v>7564</v>
      </c>
      <c r="K6815" s="427" t="s">
        <v>9015</v>
      </c>
      <c r="L6815" s="428"/>
      <c r="M6815" s="429" t="s">
        <v>9012</v>
      </c>
      <c r="N6815" s="430">
        <v>44682</v>
      </c>
      <c r="O6815" s="430" t="s">
        <v>37</v>
      </c>
      <c r="P6815" s="514">
        <v>0</v>
      </c>
      <c r="Q6815" s="140">
        <v>128</v>
      </c>
      <c r="R6815" s="69">
        <f t="shared" si="156"/>
        <v>0</v>
      </c>
      <c r="S6815" s="434">
        <v>202303</v>
      </c>
      <c r="T6815" s="519" t="s">
        <v>9019</v>
      </c>
      <c r="U6815" s="436"/>
      <c r="V6815" s="518"/>
      <c r="W6815" s="518"/>
      <c r="X6815" s="442">
        <v>44652</v>
      </c>
      <c r="Y6815" s="468"/>
    </row>
    <row r="6816" s="10" customFormat="1" customHeight="1" spans="1:25">
      <c r="A6816" s="459" t="s">
        <v>403</v>
      </c>
      <c r="B6816" s="459" t="s">
        <v>8192</v>
      </c>
      <c r="C6816" s="62" t="s">
        <v>161</v>
      </c>
      <c r="D6816" s="459" t="s">
        <v>6237</v>
      </c>
      <c r="E6816" s="160" t="s">
        <v>9005</v>
      </c>
      <c r="F6816" s="61" t="s">
        <v>9006</v>
      </c>
      <c r="G6816" s="424" t="s">
        <v>31</v>
      </c>
      <c r="H6816" s="45" t="s">
        <v>9014</v>
      </c>
      <c r="I6816" s="47" t="e">
        <f>VLOOKUP(H6816,'合同综合查询数据（3月返）'!$A:$A,1,FALSE)</f>
        <v>#N/A</v>
      </c>
      <c r="J6816" s="424" t="s">
        <v>7564</v>
      </c>
      <c r="K6816" s="427" t="s">
        <v>9015</v>
      </c>
      <c r="L6816" s="428"/>
      <c r="M6816" s="429" t="s">
        <v>9012</v>
      </c>
      <c r="N6816" s="430">
        <v>44712</v>
      </c>
      <c r="O6816" s="430" t="s">
        <v>37</v>
      </c>
      <c r="P6816" s="514">
        <v>0</v>
      </c>
      <c r="Q6816" s="140">
        <v>-128</v>
      </c>
      <c r="R6816" s="69">
        <f t="shared" si="156"/>
        <v>0</v>
      </c>
      <c r="S6816" s="434">
        <v>202303</v>
      </c>
      <c r="T6816" s="519" t="s">
        <v>9020</v>
      </c>
      <c r="U6816" s="436"/>
      <c r="V6816" s="518"/>
      <c r="W6816" s="518"/>
      <c r="X6816" s="442">
        <v>44652</v>
      </c>
      <c r="Y6816" s="468"/>
    </row>
    <row r="6817" s="10" customFormat="1" customHeight="1" spans="1:25">
      <c r="A6817" s="459" t="s">
        <v>403</v>
      </c>
      <c r="B6817" s="459" t="s">
        <v>8192</v>
      </c>
      <c r="C6817" s="62" t="s">
        <v>161</v>
      </c>
      <c r="D6817" s="459" t="s">
        <v>6237</v>
      </c>
      <c r="E6817" s="160" t="s">
        <v>9021</v>
      </c>
      <c r="F6817" s="61" t="s">
        <v>9022</v>
      </c>
      <c r="G6817" s="424" t="s">
        <v>88</v>
      </c>
      <c r="H6817" s="45" t="s">
        <v>9023</v>
      </c>
      <c r="I6817" s="47" t="e">
        <f>VLOOKUP(H6817,'合同综合查询数据（3月返）'!$A:$A,1,FALSE)</f>
        <v>#N/A</v>
      </c>
      <c r="J6817" s="424" t="s">
        <v>126</v>
      </c>
      <c r="K6817" s="427" t="s">
        <v>4868</v>
      </c>
      <c r="L6817" s="428"/>
      <c r="M6817" s="429" t="s">
        <v>9024</v>
      </c>
      <c r="N6817" s="430"/>
      <c r="O6817" s="430" t="s">
        <v>92</v>
      </c>
      <c r="P6817" s="514">
        <v>0</v>
      </c>
      <c r="Q6817" s="140">
        <v>2</v>
      </c>
      <c r="R6817" s="69">
        <f t="shared" si="156"/>
        <v>0</v>
      </c>
      <c r="S6817" s="434">
        <v>202303</v>
      </c>
      <c r="T6817" s="517" t="s">
        <v>9025</v>
      </c>
      <c r="U6817" s="436"/>
      <c r="V6817" s="518"/>
      <c r="W6817" s="518"/>
      <c r="X6817" s="163">
        <v>44927</v>
      </c>
      <c r="Y6817" s="468"/>
    </row>
    <row r="6818" s="10" customFormat="1" customHeight="1" spans="1:25">
      <c r="A6818" s="459" t="s">
        <v>403</v>
      </c>
      <c r="B6818" s="459" t="s">
        <v>8192</v>
      </c>
      <c r="C6818" s="62" t="s">
        <v>161</v>
      </c>
      <c r="D6818" s="459" t="s">
        <v>6237</v>
      </c>
      <c r="E6818" s="160" t="s">
        <v>9021</v>
      </c>
      <c r="F6818" s="61" t="s">
        <v>9022</v>
      </c>
      <c r="G6818" s="424" t="s">
        <v>88</v>
      </c>
      <c r="H6818" s="45" t="s">
        <v>9023</v>
      </c>
      <c r="I6818" s="47" t="e">
        <f>VLOOKUP(H6818,'合同综合查询数据（3月返）'!$A:$A,1,FALSE)</f>
        <v>#N/A</v>
      </c>
      <c r="J6818" s="424" t="s">
        <v>126</v>
      </c>
      <c r="K6818" s="427" t="s">
        <v>4868</v>
      </c>
      <c r="L6818" s="428" t="s">
        <v>9026</v>
      </c>
      <c r="M6818" s="429" t="s">
        <v>9024</v>
      </c>
      <c r="N6818" s="430">
        <v>44287</v>
      </c>
      <c r="O6818" s="430" t="s">
        <v>92</v>
      </c>
      <c r="P6818" s="514">
        <v>0</v>
      </c>
      <c r="Q6818" s="140">
        <v>2</v>
      </c>
      <c r="R6818" s="69">
        <f t="shared" si="156"/>
        <v>0</v>
      </c>
      <c r="S6818" s="434">
        <v>202303</v>
      </c>
      <c r="T6818" s="517" t="s">
        <v>9027</v>
      </c>
      <c r="U6818" s="436"/>
      <c r="V6818" s="518"/>
      <c r="W6818" s="518"/>
      <c r="X6818" s="163">
        <v>44927</v>
      </c>
      <c r="Y6818" s="468"/>
    </row>
    <row r="6819" s="10" customFormat="1" customHeight="1" spans="1:25">
      <c r="A6819" s="459" t="s">
        <v>403</v>
      </c>
      <c r="B6819" s="459" t="s">
        <v>8192</v>
      </c>
      <c r="C6819" s="62" t="s">
        <v>161</v>
      </c>
      <c r="D6819" s="459" t="s">
        <v>6237</v>
      </c>
      <c r="E6819" s="160" t="s">
        <v>9021</v>
      </c>
      <c r="F6819" s="61" t="s">
        <v>9022</v>
      </c>
      <c r="G6819" s="424" t="s">
        <v>31</v>
      </c>
      <c r="H6819" s="45" t="s">
        <v>9023</v>
      </c>
      <c r="I6819" s="47" t="e">
        <f>VLOOKUP(H6819,'合同综合查询数据（3月返）'!$A:$A,1,FALSE)</f>
        <v>#N/A</v>
      </c>
      <c r="J6819" s="424" t="s">
        <v>7564</v>
      </c>
      <c r="K6819" s="427" t="s">
        <v>4868</v>
      </c>
      <c r="L6819" s="428"/>
      <c r="M6819" s="429"/>
      <c r="N6819" s="430" t="s">
        <v>1225</v>
      </c>
      <c r="O6819" s="430" t="s">
        <v>37</v>
      </c>
      <c r="P6819" s="514">
        <v>0</v>
      </c>
      <c r="Q6819" s="140">
        <v>256</v>
      </c>
      <c r="R6819" s="69">
        <f t="shared" si="156"/>
        <v>0</v>
      </c>
      <c r="S6819" s="434">
        <v>202303</v>
      </c>
      <c r="T6819" s="517" t="s">
        <v>9028</v>
      </c>
      <c r="U6819" s="436"/>
      <c r="V6819" s="518"/>
      <c r="W6819" s="518"/>
      <c r="X6819" s="163">
        <v>44927</v>
      </c>
      <c r="Y6819" s="468"/>
    </row>
    <row r="6820" s="9" customFormat="1" customHeight="1" spans="1:25">
      <c r="A6820" s="446" t="s">
        <v>403</v>
      </c>
      <c r="B6820" s="446" t="s">
        <v>8192</v>
      </c>
      <c r="C6820" s="94" t="s">
        <v>161</v>
      </c>
      <c r="D6820" s="446" t="s">
        <v>6237</v>
      </c>
      <c r="E6820" s="147" t="s">
        <v>9021</v>
      </c>
      <c r="F6820" s="98" t="s">
        <v>9022</v>
      </c>
      <c r="G6820" s="448" t="s">
        <v>31</v>
      </c>
      <c r="H6820" s="19" t="s">
        <v>9029</v>
      </c>
      <c r="I6820" s="23" t="e">
        <f>VLOOKUP(H6820,'合同综合查询数据（3月返）'!$A:$A,1,FALSE)</f>
        <v>#N/A</v>
      </c>
      <c r="J6820" s="448" t="s">
        <v>7564</v>
      </c>
      <c r="K6820" s="511" t="s">
        <v>9030</v>
      </c>
      <c r="L6820" s="512"/>
      <c r="M6820" s="449"/>
      <c r="N6820" s="252">
        <v>44287</v>
      </c>
      <c r="O6820" s="252" t="s">
        <v>37</v>
      </c>
      <c r="P6820" s="513">
        <v>0</v>
      </c>
      <c r="Q6820" s="131">
        <v>288</v>
      </c>
      <c r="R6820" s="119">
        <f t="shared" si="156"/>
        <v>0</v>
      </c>
      <c r="S6820" s="456">
        <v>202303</v>
      </c>
      <c r="T6820" s="134" t="s">
        <v>9031</v>
      </c>
      <c r="U6820" s="488"/>
      <c r="V6820" s="516"/>
      <c r="W6820" s="516"/>
      <c r="X6820" s="190">
        <v>44562</v>
      </c>
      <c r="Y6820" s="467"/>
    </row>
    <row r="6821" s="10" customFormat="1" customHeight="1" spans="1:25">
      <c r="A6821" s="459" t="s">
        <v>403</v>
      </c>
      <c r="B6821" s="459" t="s">
        <v>8192</v>
      </c>
      <c r="C6821" s="62" t="s">
        <v>5200</v>
      </c>
      <c r="D6821" s="62" t="s">
        <v>6905</v>
      </c>
      <c r="E6821" s="160" t="s">
        <v>9032</v>
      </c>
      <c r="F6821" s="61" t="s">
        <v>9033</v>
      </c>
      <c r="G6821" s="424" t="s">
        <v>31</v>
      </c>
      <c r="H6821" s="137" t="s">
        <v>9034</v>
      </c>
      <c r="I6821" s="47" t="e">
        <f>VLOOKUP(H6821,'合同综合查询数据（3月返）'!$A:$A,1,FALSE)</f>
        <v>#N/A</v>
      </c>
      <c r="J6821" s="424" t="s">
        <v>7564</v>
      </c>
      <c r="K6821" s="427" t="s">
        <v>5215</v>
      </c>
      <c r="L6821" s="428"/>
      <c r="M6821" s="429"/>
      <c r="N6821" s="430">
        <v>43398</v>
      </c>
      <c r="O6821" s="430" t="s">
        <v>37</v>
      </c>
      <c r="P6821" s="514">
        <v>0</v>
      </c>
      <c r="Q6821" s="140">
        <v>160</v>
      </c>
      <c r="R6821" s="69">
        <f t="shared" si="156"/>
        <v>0</v>
      </c>
      <c r="S6821" s="434">
        <v>202303</v>
      </c>
      <c r="T6821" s="517" t="s">
        <v>9035</v>
      </c>
      <c r="U6821" s="436"/>
      <c r="V6821" s="518"/>
      <c r="W6821" s="518"/>
      <c r="X6821" s="163">
        <v>44805</v>
      </c>
      <c r="Y6821" s="468"/>
    </row>
    <row r="6822" s="10" customFormat="1" customHeight="1" spans="1:25">
      <c r="A6822" s="459" t="s">
        <v>403</v>
      </c>
      <c r="B6822" s="459" t="s">
        <v>8192</v>
      </c>
      <c r="C6822" s="62" t="s">
        <v>5200</v>
      </c>
      <c r="D6822" s="62" t="s">
        <v>6905</v>
      </c>
      <c r="E6822" s="160" t="s">
        <v>9032</v>
      </c>
      <c r="F6822" s="61" t="s">
        <v>9033</v>
      </c>
      <c r="G6822" s="424" t="s">
        <v>31</v>
      </c>
      <c r="H6822" s="137" t="s">
        <v>9034</v>
      </c>
      <c r="I6822" s="47" t="e">
        <f>VLOOKUP(H6822,'合同综合查询数据（3月返）'!$A:$A,1,FALSE)</f>
        <v>#N/A</v>
      </c>
      <c r="J6822" s="424" t="s">
        <v>7564</v>
      </c>
      <c r="K6822" s="427" t="s">
        <v>9036</v>
      </c>
      <c r="L6822" s="428"/>
      <c r="M6822" s="429"/>
      <c r="N6822" s="430">
        <v>43709</v>
      </c>
      <c r="O6822" s="430" t="s">
        <v>37</v>
      </c>
      <c r="P6822" s="514">
        <v>0</v>
      </c>
      <c r="Q6822" s="140">
        <v>160</v>
      </c>
      <c r="R6822" s="69">
        <f t="shared" si="156"/>
        <v>0</v>
      </c>
      <c r="S6822" s="434">
        <v>202303</v>
      </c>
      <c r="T6822" s="517" t="s">
        <v>9037</v>
      </c>
      <c r="U6822" s="436"/>
      <c r="V6822" s="518"/>
      <c r="W6822" s="518"/>
      <c r="X6822" s="163">
        <v>44805</v>
      </c>
      <c r="Y6822" s="468"/>
    </row>
    <row r="6823" s="10" customFormat="1" customHeight="1" spans="1:25">
      <c r="A6823" s="459" t="s">
        <v>403</v>
      </c>
      <c r="B6823" s="459" t="s">
        <v>8192</v>
      </c>
      <c r="C6823" s="62" t="s">
        <v>5200</v>
      </c>
      <c r="D6823" s="62" t="s">
        <v>6905</v>
      </c>
      <c r="E6823" s="160" t="s">
        <v>9032</v>
      </c>
      <c r="F6823" s="61" t="s">
        <v>9033</v>
      </c>
      <c r="G6823" s="424" t="s">
        <v>31</v>
      </c>
      <c r="H6823" s="137" t="s">
        <v>9034</v>
      </c>
      <c r="I6823" s="47" t="e">
        <f>VLOOKUP(H6823,'合同综合查询数据（3月返）'!$A:$A,1,FALSE)</f>
        <v>#N/A</v>
      </c>
      <c r="J6823" s="424" t="s">
        <v>7564</v>
      </c>
      <c r="K6823" s="427" t="s">
        <v>9036</v>
      </c>
      <c r="L6823" s="428"/>
      <c r="M6823" s="429"/>
      <c r="N6823" s="430">
        <v>44681</v>
      </c>
      <c r="O6823" s="430" t="s">
        <v>37</v>
      </c>
      <c r="P6823" s="514">
        <v>0</v>
      </c>
      <c r="Q6823" s="140">
        <v>-160</v>
      </c>
      <c r="R6823" s="69">
        <f t="shared" ref="R6823:R6886" si="157">ROUND(P6823*Q6823,2)</f>
        <v>0</v>
      </c>
      <c r="S6823" s="434">
        <v>202303</v>
      </c>
      <c r="T6823" s="517" t="s">
        <v>9038</v>
      </c>
      <c r="U6823" s="436"/>
      <c r="V6823" s="518"/>
      <c r="W6823" s="518"/>
      <c r="X6823" s="163">
        <v>44805</v>
      </c>
      <c r="Y6823" s="468"/>
    </row>
    <row r="6824" s="10" customFormat="1" customHeight="1" spans="1:25">
      <c r="A6824" s="459" t="s">
        <v>403</v>
      </c>
      <c r="B6824" s="459" t="s">
        <v>8192</v>
      </c>
      <c r="C6824" s="62" t="s">
        <v>5200</v>
      </c>
      <c r="D6824" s="62" t="s">
        <v>6905</v>
      </c>
      <c r="E6824" s="160" t="s">
        <v>9032</v>
      </c>
      <c r="F6824" s="61" t="s">
        <v>9033</v>
      </c>
      <c r="G6824" s="424" t="s">
        <v>88</v>
      </c>
      <c r="H6824" s="137" t="s">
        <v>9034</v>
      </c>
      <c r="I6824" s="47" t="e">
        <f>VLOOKUP(H6824,'合同综合查询数据（3月返）'!$A:$A,1,FALSE)</f>
        <v>#N/A</v>
      </c>
      <c r="J6824" s="424" t="s">
        <v>126</v>
      </c>
      <c r="K6824" s="427" t="s">
        <v>5215</v>
      </c>
      <c r="L6824" s="428"/>
      <c r="M6824" s="429" t="s">
        <v>9039</v>
      </c>
      <c r="N6824" s="430">
        <v>43398</v>
      </c>
      <c r="O6824" s="430" t="s">
        <v>624</v>
      </c>
      <c r="P6824" s="514">
        <v>3500</v>
      </c>
      <c r="Q6824" s="140">
        <v>2</v>
      </c>
      <c r="R6824" s="69">
        <f t="shared" si="157"/>
        <v>7000</v>
      </c>
      <c r="S6824" s="434">
        <v>202303</v>
      </c>
      <c r="T6824" s="517"/>
      <c r="U6824" s="436"/>
      <c r="V6824" s="518"/>
      <c r="W6824" s="518"/>
      <c r="X6824" s="163">
        <v>44805</v>
      </c>
      <c r="Y6824" s="468"/>
    </row>
    <row r="6825" s="10" customFormat="1" customHeight="1" spans="1:25">
      <c r="A6825" s="459" t="s">
        <v>403</v>
      </c>
      <c r="B6825" s="459" t="s">
        <v>8192</v>
      </c>
      <c r="C6825" s="62" t="s">
        <v>5200</v>
      </c>
      <c r="D6825" s="62" t="s">
        <v>6905</v>
      </c>
      <c r="E6825" s="160" t="s">
        <v>9032</v>
      </c>
      <c r="F6825" s="61" t="s">
        <v>9033</v>
      </c>
      <c r="G6825" s="424" t="s">
        <v>88</v>
      </c>
      <c r="H6825" s="137" t="s">
        <v>9034</v>
      </c>
      <c r="I6825" s="47" t="e">
        <f>VLOOKUP(H6825,'合同综合查询数据（3月返）'!$A:$A,1,FALSE)</f>
        <v>#N/A</v>
      </c>
      <c r="J6825" s="424" t="s">
        <v>126</v>
      </c>
      <c r="K6825" s="427" t="s">
        <v>9036</v>
      </c>
      <c r="L6825" s="428"/>
      <c r="M6825" s="429" t="s">
        <v>9040</v>
      </c>
      <c r="N6825" s="430">
        <v>43709</v>
      </c>
      <c r="O6825" s="430" t="s">
        <v>624</v>
      </c>
      <c r="P6825" s="514">
        <v>3500</v>
      </c>
      <c r="Q6825" s="140">
        <v>3</v>
      </c>
      <c r="R6825" s="69">
        <f t="shared" si="157"/>
        <v>10500</v>
      </c>
      <c r="S6825" s="434">
        <v>202303</v>
      </c>
      <c r="T6825" s="517"/>
      <c r="U6825" s="436"/>
      <c r="V6825" s="518"/>
      <c r="W6825" s="518"/>
      <c r="X6825" s="163">
        <v>44805</v>
      </c>
      <c r="Y6825" s="468"/>
    </row>
    <row r="6826" s="10" customFormat="1" customHeight="1" spans="1:25">
      <c r="A6826" s="459" t="s">
        <v>403</v>
      </c>
      <c r="B6826" s="459" t="s">
        <v>8192</v>
      </c>
      <c r="C6826" s="62" t="s">
        <v>5200</v>
      </c>
      <c r="D6826" s="62" t="s">
        <v>6905</v>
      </c>
      <c r="E6826" s="160" t="s">
        <v>9032</v>
      </c>
      <c r="F6826" s="61" t="s">
        <v>9033</v>
      </c>
      <c r="G6826" s="424" t="s">
        <v>88</v>
      </c>
      <c r="H6826" s="137" t="s">
        <v>9034</v>
      </c>
      <c r="I6826" s="47" t="e">
        <f>VLOOKUP(H6826,'合同综合查询数据（3月返）'!$A:$A,1,FALSE)</f>
        <v>#N/A</v>
      </c>
      <c r="J6826" s="424" t="s">
        <v>126</v>
      </c>
      <c r="K6826" s="427" t="s">
        <v>9036</v>
      </c>
      <c r="L6826" s="428"/>
      <c r="M6826" s="429" t="s">
        <v>9040</v>
      </c>
      <c r="N6826" s="430">
        <v>44681</v>
      </c>
      <c r="O6826" s="430" t="s">
        <v>624</v>
      </c>
      <c r="P6826" s="514">
        <v>3500</v>
      </c>
      <c r="Q6826" s="140">
        <v>-3</v>
      </c>
      <c r="R6826" s="69">
        <f t="shared" si="157"/>
        <v>-10500</v>
      </c>
      <c r="S6826" s="434">
        <v>202303</v>
      </c>
      <c r="T6826" s="517" t="s">
        <v>9041</v>
      </c>
      <c r="U6826" s="436"/>
      <c r="V6826" s="518"/>
      <c r="W6826" s="518"/>
      <c r="X6826" s="163">
        <v>44805</v>
      </c>
      <c r="Y6826" s="468"/>
    </row>
    <row r="6827" s="9" customFormat="1" customHeight="1" spans="1:25">
      <c r="A6827" s="446" t="s">
        <v>403</v>
      </c>
      <c r="B6827" s="446" t="s">
        <v>8192</v>
      </c>
      <c r="C6827" s="94" t="s">
        <v>4743</v>
      </c>
      <c r="D6827" s="446" t="s">
        <v>6237</v>
      </c>
      <c r="E6827" s="147" t="s">
        <v>9042</v>
      </c>
      <c r="F6827" s="98" t="s">
        <v>9043</v>
      </c>
      <c r="G6827" s="448" t="s">
        <v>88</v>
      </c>
      <c r="H6827" s="19" t="s">
        <v>9044</v>
      </c>
      <c r="I6827" s="23" t="e">
        <f>VLOOKUP(H6827,'合同综合查询数据（3月返）'!$A:$A,1,FALSE)</f>
        <v>#N/A</v>
      </c>
      <c r="J6827" s="448" t="s">
        <v>126</v>
      </c>
      <c r="K6827" s="511" t="s">
        <v>9045</v>
      </c>
      <c r="L6827" s="512" t="s">
        <v>9046</v>
      </c>
      <c r="M6827" s="449" t="s">
        <v>9047</v>
      </c>
      <c r="N6827" s="252">
        <v>42370</v>
      </c>
      <c r="O6827" s="252" t="s">
        <v>92</v>
      </c>
      <c r="P6827" s="513">
        <v>0</v>
      </c>
      <c r="Q6827" s="131">
        <v>9</v>
      </c>
      <c r="R6827" s="119">
        <f t="shared" si="157"/>
        <v>0</v>
      </c>
      <c r="S6827" s="456">
        <v>202303</v>
      </c>
      <c r="T6827" s="134" t="s">
        <v>9048</v>
      </c>
      <c r="U6827" s="488"/>
      <c r="V6827" s="516"/>
      <c r="W6827" s="516"/>
      <c r="X6827" s="190">
        <v>44440</v>
      </c>
      <c r="Y6827" s="467">
        <v>45169</v>
      </c>
    </row>
    <row r="6828" s="9" customFormat="1" customHeight="1" spans="1:25">
      <c r="A6828" s="446" t="s">
        <v>403</v>
      </c>
      <c r="B6828" s="446" t="s">
        <v>8192</v>
      </c>
      <c r="C6828" s="94" t="s">
        <v>4743</v>
      </c>
      <c r="D6828" s="446" t="s">
        <v>6237</v>
      </c>
      <c r="E6828" s="147" t="s">
        <v>9042</v>
      </c>
      <c r="F6828" s="98" t="s">
        <v>9043</v>
      </c>
      <c r="G6828" s="448" t="s">
        <v>88</v>
      </c>
      <c r="H6828" s="19" t="s">
        <v>9044</v>
      </c>
      <c r="I6828" s="23" t="e">
        <f>VLOOKUP(H6828,'合同综合查询数据（3月返）'!$A:$A,1,FALSE)</f>
        <v>#N/A</v>
      </c>
      <c r="J6828" s="448" t="s">
        <v>126</v>
      </c>
      <c r="K6828" s="511" t="s">
        <v>9049</v>
      </c>
      <c r="L6828" s="512"/>
      <c r="M6828" s="449" t="s">
        <v>9050</v>
      </c>
      <c r="N6828" s="252">
        <v>43483</v>
      </c>
      <c r="O6828" s="252" t="s">
        <v>92</v>
      </c>
      <c r="P6828" s="513">
        <v>0</v>
      </c>
      <c r="Q6828" s="131">
        <v>2</v>
      </c>
      <c r="R6828" s="119">
        <f t="shared" si="157"/>
        <v>0</v>
      </c>
      <c r="S6828" s="456">
        <v>202303</v>
      </c>
      <c r="T6828" s="134" t="s">
        <v>9051</v>
      </c>
      <c r="U6828" s="488"/>
      <c r="V6828" s="516"/>
      <c r="W6828" s="516"/>
      <c r="X6828" s="190">
        <v>44440</v>
      </c>
      <c r="Y6828" s="467">
        <v>45169</v>
      </c>
    </row>
    <row r="6829" s="9" customFormat="1" customHeight="1" spans="1:25">
      <c r="A6829" s="446" t="s">
        <v>403</v>
      </c>
      <c r="B6829" s="446" t="s">
        <v>8192</v>
      </c>
      <c r="C6829" s="94" t="s">
        <v>4743</v>
      </c>
      <c r="D6829" s="446" t="s">
        <v>6237</v>
      </c>
      <c r="E6829" s="147" t="s">
        <v>9042</v>
      </c>
      <c r="F6829" s="98" t="s">
        <v>9043</v>
      </c>
      <c r="G6829" s="448" t="s">
        <v>88</v>
      </c>
      <c r="H6829" s="19" t="s">
        <v>9044</v>
      </c>
      <c r="I6829" s="23" t="e">
        <f>VLOOKUP(H6829,'合同综合查询数据（3月返）'!$A:$A,1,FALSE)</f>
        <v>#N/A</v>
      </c>
      <c r="J6829" s="448" t="s">
        <v>126</v>
      </c>
      <c r="K6829" s="511" t="s">
        <v>9049</v>
      </c>
      <c r="L6829" s="512"/>
      <c r="M6829" s="449" t="s">
        <v>9050</v>
      </c>
      <c r="N6829" s="252">
        <v>43483</v>
      </c>
      <c r="O6829" s="252" t="s">
        <v>92</v>
      </c>
      <c r="P6829" s="513">
        <v>0</v>
      </c>
      <c r="Q6829" s="131">
        <v>2</v>
      </c>
      <c r="R6829" s="119">
        <f t="shared" si="157"/>
        <v>0</v>
      </c>
      <c r="S6829" s="456">
        <v>202303</v>
      </c>
      <c r="T6829" s="134" t="s">
        <v>9051</v>
      </c>
      <c r="U6829" s="488"/>
      <c r="V6829" s="516"/>
      <c r="W6829" s="516"/>
      <c r="X6829" s="190">
        <v>44440</v>
      </c>
      <c r="Y6829" s="467">
        <v>45169</v>
      </c>
    </row>
    <row r="6830" s="9" customFormat="1" customHeight="1" spans="1:25">
      <c r="A6830" s="446" t="s">
        <v>403</v>
      </c>
      <c r="B6830" s="446" t="s">
        <v>8192</v>
      </c>
      <c r="C6830" s="94" t="s">
        <v>4743</v>
      </c>
      <c r="D6830" s="446" t="s">
        <v>6237</v>
      </c>
      <c r="E6830" s="147" t="s">
        <v>9042</v>
      </c>
      <c r="F6830" s="98" t="s">
        <v>9043</v>
      </c>
      <c r="G6830" s="448" t="s">
        <v>88</v>
      </c>
      <c r="H6830" s="19" t="s">
        <v>9044</v>
      </c>
      <c r="I6830" s="23" t="e">
        <f>VLOOKUP(H6830,'合同综合查询数据（3月返）'!$A:$A,1,FALSE)</f>
        <v>#N/A</v>
      </c>
      <c r="J6830" s="448" t="s">
        <v>126</v>
      </c>
      <c r="K6830" s="511" t="s">
        <v>9049</v>
      </c>
      <c r="L6830" s="512"/>
      <c r="M6830" s="449" t="s">
        <v>9050</v>
      </c>
      <c r="N6830" s="252">
        <v>44712</v>
      </c>
      <c r="O6830" s="252" t="s">
        <v>92</v>
      </c>
      <c r="P6830" s="513">
        <v>0</v>
      </c>
      <c r="Q6830" s="131">
        <v>-4</v>
      </c>
      <c r="R6830" s="119">
        <f t="shared" si="157"/>
        <v>0</v>
      </c>
      <c r="S6830" s="456">
        <v>202303</v>
      </c>
      <c r="T6830" s="134" t="s">
        <v>9052</v>
      </c>
      <c r="U6830" s="488"/>
      <c r="V6830" s="516"/>
      <c r="W6830" s="516"/>
      <c r="X6830" s="190">
        <v>44440</v>
      </c>
      <c r="Y6830" s="467">
        <v>45169</v>
      </c>
    </row>
    <row r="6831" s="9" customFormat="1" customHeight="1" spans="1:25">
      <c r="A6831" s="446" t="s">
        <v>403</v>
      </c>
      <c r="B6831" s="446" t="s">
        <v>8192</v>
      </c>
      <c r="C6831" s="94" t="s">
        <v>4743</v>
      </c>
      <c r="D6831" s="446" t="s">
        <v>6237</v>
      </c>
      <c r="E6831" s="147" t="s">
        <v>9042</v>
      </c>
      <c r="F6831" s="98" t="s">
        <v>9043</v>
      </c>
      <c r="G6831" s="448" t="s">
        <v>88</v>
      </c>
      <c r="H6831" s="19" t="s">
        <v>9044</v>
      </c>
      <c r="I6831" s="23" t="e">
        <f>VLOOKUP(H6831,'合同综合查询数据（3月返）'!$A:$A,1,FALSE)</f>
        <v>#N/A</v>
      </c>
      <c r="J6831" s="448" t="s">
        <v>126</v>
      </c>
      <c r="K6831" s="511"/>
      <c r="L6831" s="512" t="s">
        <v>9053</v>
      </c>
      <c r="M6831" s="449" t="s">
        <v>9047</v>
      </c>
      <c r="N6831" s="252">
        <v>43753</v>
      </c>
      <c r="O6831" s="252" t="s">
        <v>92</v>
      </c>
      <c r="P6831" s="513">
        <v>0</v>
      </c>
      <c r="Q6831" s="131">
        <v>5</v>
      </c>
      <c r="R6831" s="119">
        <f t="shared" si="157"/>
        <v>0</v>
      </c>
      <c r="S6831" s="456">
        <v>202303</v>
      </c>
      <c r="T6831" s="134" t="s">
        <v>9054</v>
      </c>
      <c r="U6831" s="488"/>
      <c r="V6831" s="516"/>
      <c r="W6831" s="516"/>
      <c r="X6831" s="190">
        <v>44440</v>
      </c>
      <c r="Y6831" s="467">
        <v>45169</v>
      </c>
    </row>
    <row r="6832" s="9" customFormat="1" customHeight="1" spans="1:25">
      <c r="A6832" s="446" t="s">
        <v>403</v>
      </c>
      <c r="B6832" s="446" t="s">
        <v>8192</v>
      </c>
      <c r="C6832" s="94" t="s">
        <v>4743</v>
      </c>
      <c r="D6832" s="446" t="s">
        <v>6237</v>
      </c>
      <c r="E6832" s="147" t="s">
        <v>9042</v>
      </c>
      <c r="F6832" s="98" t="s">
        <v>9043</v>
      </c>
      <c r="G6832" s="448" t="s">
        <v>88</v>
      </c>
      <c r="H6832" s="19" t="s">
        <v>9044</v>
      </c>
      <c r="I6832" s="23" t="e">
        <f>VLOOKUP(H6832,'合同综合查询数据（3月返）'!$A:$A,1,FALSE)</f>
        <v>#N/A</v>
      </c>
      <c r="J6832" s="448" t="s">
        <v>126</v>
      </c>
      <c r="K6832" s="511"/>
      <c r="L6832" s="512" t="s">
        <v>9053</v>
      </c>
      <c r="M6832" s="449" t="s">
        <v>9047</v>
      </c>
      <c r="N6832" s="252">
        <v>44712</v>
      </c>
      <c r="O6832" s="252" t="s">
        <v>92</v>
      </c>
      <c r="P6832" s="513">
        <v>0</v>
      </c>
      <c r="Q6832" s="131">
        <v>-5</v>
      </c>
      <c r="R6832" s="119">
        <f t="shared" si="157"/>
        <v>0</v>
      </c>
      <c r="S6832" s="456">
        <v>202303</v>
      </c>
      <c r="T6832" s="134" t="s">
        <v>9055</v>
      </c>
      <c r="U6832" s="488"/>
      <c r="V6832" s="516"/>
      <c r="W6832" s="516"/>
      <c r="X6832" s="190">
        <v>44440</v>
      </c>
      <c r="Y6832" s="467">
        <v>45169</v>
      </c>
    </row>
    <row r="6833" s="9" customFormat="1" customHeight="1" spans="1:25">
      <c r="A6833" s="446" t="s">
        <v>403</v>
      </c>
      <c r="B6833" s="446" t="s">
        <v>8192</v>
      </c>
      <c r="C6833" s="94" t="s">
        <v>4743</v>
      </c>
      <c r="D6833" s="446" t="s">
        <v>6237</v>
      </c>
      <c r="E6833" s="147" t="s">
        <v>9042</v>
      </c>
      <c r="F6833" s="98" t="s">
        <v>9043</v>
      </c>
      <c r="G6833" s="448" t="s">
        <v>88</v>
      </c>
      <c r="H6833" s="19" t="s">
        <v>9044</v>
      </c>
      <c r="I6833" s="23" t="e">
        <f>VLOOKUP(H6833,'合同综合查询数据（3月返）'!$A:$A,1,FALSE)</f>
        <v>#N/A</v>
      </c>
      <c r="J6833" s="448" t="s">
        <v>126</v>
      </c>
      <c r="K6833" s="511"/>
      <c r="L6833" s="512" t="s">
        <v>9046</v>
      </c>
      <c r="M6833" s="449" t="s">
        <v>9047</v>
      </c>
      <c r="N6833" s="252">
        <v>44620</v>
      </c>
      <c r="O6833" s="252" t="s">
        <v>92</v>
      </c>
      <c r="P6833" s="513">
        <v>0</v>
      </c>
      <c r="Q6833" s="131">
        <v>-6</v>
      </c>
      <c r="R6833" s="119">
        <f t="shared" si="157"/>
        <v>0</v>
      </c>
      <c r="S6833" s="456">
        <v>202303</v>
      </c>
      <c r="T6833" s="134" t="s">
        <v>9056</v>
      </c>
      <c r="U6833" s="488"/>
      <c r="V6833" s="516"/>
      <c r="W6833" s="516"/>
      <c r="X6833" s="190">
        <v>44440</v>
      </c>
      <c r="Y6833" s="467">
        <v>45169</v>
      </c>
    </row>
    <row r="6834" s="9" customFormat="1" customHeight="1" spans="1:25">
      <c r="A6834" s="446" t="s">
        <v>403</v>
      </c>
      <c r="B6834" s="446" t="s">
        <v>8192</v>
      </c>
      <c r="C6834" s="94" t="s">
        <v>4743</v>
      </c>
      <c r="D6834" s="446" t="s">
        <v>6237</v>
      </c>
      <c r="E6834" s="147" t="s">
        <v>9042</v>
      </c>
      <c r="F6834" s="98" t="s">
        <v>9043</v>
      </c>
      <c r="G6834" s="448" t="s">
        <v>88</v>
      </c>
      <c r="H6834" s="19" t="s">
        <v>9044</v>
      </c>
      <c r="I6834" s="23" t="e">
        <f>VLOOKUP(H6834,'合同综合查询数据（3月返）'!$A:$A,1,FALSE)</f>
        <v>#N/A</v>
      </c>
      <c r="J6834" s="448" t="s">
        <v>1033</v>
      </c>
      <c r="K6834" s="511" t="s">
        <v>4743</v>
      </c>
      <c r="L6834" s="512"/>
      <c r="M6834" s="449" t="s">
        <v>9057</v>
      </c>
      <c r="N6834" s="252">
        <v>43753</v>
      </c>
      <c r="O6834" s="252" t="s">
        <v>92</v>
      </c>
      <c r="P6834" s="513">
        <v>0</v>
      </c>
      <c r="Q6834" s="131">
        <v>2</v>
      </c>
      <c r="R6834" s="119">
        <f t="shared" si="157"/>
        <v>0</v>
      </c>
      <c r="S6834" s="456">
        <v>202303</v>
      </c>
      <c r="T6834" s="134" t="s">
        <v>9058</v>
      </c>
      <c r="U6834" s="488"/>
      <c r="V6834" s="516"/>
      <c r="W6834" s="516"/>
      <c r="X6834" s="190">
        <v>44440</v>
      </c>
      <c r="Y6834" s="467">
        <v>45169</v>
      </c>
    </row>
    <row r="6835" s="9" customFormat="1" customHeight="1" spans="1:25">
      <c r="A6835" s="446" t="s">
        <v>403</v>
      </c>
      <c r="B6835" s="446" t="s">
        <v>8192</v>
      </c>
      <c r="C6835" s="94" t="s">
        <v>4743</v>
      </c>
      <c r="D6835" s="446" t="s">
        <v>6237</v>
      </c>
      <c r="E6835" s="147" t="s">
        <v>9042</v>
      </c>
      <c r="F6835" s="98" t="s">
        <v>9043</v>
      </c>
      <c r="G6835" s="448" t="s">
        <v>88</v>
      </c>
      <c r="H6835" s="19" t="s">
        <v>9044</v>
      </c>
      <c r="I6835" s="23" t="e">
        <f>VLOOKUP(H6835,'合同综合查询数据（3月返）'!$A:$A,1,FALSE)</f>
        <v>#N/A</v>
      </c>
      <c r="J6835" s="448" t="s">
        <v>1033</v>
      </c>
      <c r="K6835" s="511" t="s">
        <v>4743</v>
      </c>
      <c r="L6835" s="512"/>
      <c r="M6835" s="449" t="s">
        <v>9057</v>
      </c>
      <c r="N6835" s="252">
        <v>43753</v>
      </c>
      <c r="O6835" s="252" t="s">
        <v>92</v>
      </c>
      <c r="P6835" s="513">
        <v>0</v>
      </c>
      <c r="Q6835" s="131">
        <v>2</v>
      </c>
      <c r="R6835" s="119">
        <f t="shared" si="157"/>
        <v>0</v>
      </c>
      <c r="S6835" s="456">
        <v>202303</v>
      </c>
      <c r="T6835" s="134" t="s">
        <v>9059</v>
      </c>
      <c r="U6835" s="488"/>
      <c r="V6835" s="516"/>
      <c r="W6835" s="516"/>
      <c r="X6835" s="190">
        <v>44440</v>
      </c>
      <c r="Y6835" s="467">
        <v>45169</v>
      </c>
    </row>
    <row r="6836" s="9" customFormat="1" customHeight="1" spans="1:25">
      <c r="A6836" s="446" t="s">
        <v>403</v>
      </c>
      <c r="B6836" s="446" t="s">
        <v>8192</v>
      </c>
      <c r="C6836" s="94" t="s">
        <v>4743</v>
      </c>
      <c r="D6836" s="446" t="s">
        <v>6237</v>
      </c>
      <c r="E6836" s="147" t="s">
        <v>9042</v>
      </c>
      <c r="F6836" s="98" t="s">
        <v>9043</v>
      </c>
      <c r="G6836" s="448" t="s">
        <v>31</v>
      </c>
      <c r="H6836" s="19" t="s">
        <v>9044</v>
      </c>
      <c r="I6836" s="23" t="e">
        <f>VLOOKUP(H6836,'合同综合查询数据（3月返）'!$A:$A,1,FALSE)</f>
        <v>#N/A</v>
      </c>
      <c r="J6836" s="448" t="s">
        <v>8541</v>
      </c>
      <c r="K6836" s="511"/>
      <c r="L6836" s="512"/>
      <c r="M6836" s="449"/>
      <c r="N6836" s="252"/>
      <c r="O6836" s="252" t="s">
        <v>37</v>
      </c>
      <c r="P6836" s="513">
        <v>0</v>
      </c>
      <c r="Q6836" s="131">
        <v>480</v>
      </c>
      <c r="R6836" s="119">
        <f t="shared" si="157"/>
        <v>0</v>
      </c>
      <c r="S6836" s="456">
        <v>202303</v>
      </c>
      <c r="T6836" s="134" t="s">
        <v>9060</v>
      </c>
      <c r="U6836" s="488"/>
      <c r="V6836" s="516"/>
      <c r="W6836" s="516"/>
      <c r="X6836" s="190">
        <v>44440</v>
      </c>
      <c r="Y6836" s="467">
        <v>45169</v>
      </c>
    </row>
    <row r="6837" s="9" customFormat="1" customHeight="1" spans="1:25">
      <c r="A6837" s="446" t="s">
        <v>403</v>
      </c>
      <c r="B6837" s="446" t="s">
        <v>8192</v>
      </c>
      <c r="C6837" s="94" t="s">
        <v>4743</v>
      </c>
      <c r="D6837" s="446" t="s">
        <v>6237</v>
      </c>
      <c r="E6837" s="147" t="s">
        <v>9042</v>
      </c>
      <c r="F6837" s="98" t="s">
        <v>9043</v>
      </c>
      <c r="G6837" s="448" t="s">
        <v>31</v>
      </c>
      <c r="H6837" s="19" t="s">
        <v>9044</v>
      </c>
      <c r="I6837" s="23" t="e">
        <f>VLOOKUP(H6837,'合同综合查询数据（3月返）'!$A:$A,1,FALSE)</f>
        <v>#N/A</v>
      </c>
      <c r="J6837" s="448" t="s">
        <v>8541</v>
      </c>
      <c r="K6837" s="511"/>
      <c r="L6837" s="512"/>
      <c r="M6837" s="449"/>
      <c r="N6837" s="252"/>
      <c r="O6837" s="252" t="s">
        <v>37</v>
      </c>
      <c r="P6837" s="513">
        <v>0</v>
      </c>
      <c r="Q6837" s="131">
        <v>32</v>
      </c>
      <c r="R6837" s="119">
        <f t="shared" si="157"/>
        <v>0</v>
      </c>
      <c r="S6837" s="456">
        <v>202303</v>
      </c>
      <c r="T6837" s="134" t="s">
        <v>9061</v>
      </c>
      <c r="U6837" s="488"/>
      <c r="V6837" s="516"/>
      <c r="W6837" s="516"/>
      <c r="X6837" s="190">
        <v>44440</v>
      </c>
      <c r="Y6837" s="467">
        <v>45169</v>
      </c>
    </row>
    <row r="6838" s="9" customFormat="1" customHeight="1" spans="1:25">
      <c r="A6838" s="446" t="s">
        <v>403</v>
      </c>
      <c r="B6838" s="446" t="s">
        <v>8192</v>
      </c>
      <c r="C6838" s="94" t="s">
        <v>4743</v>
      </c>
      <c r="D6838" s="446" t="s">
        <v>6237</v>
      </c>
      <c r="E6838" s="147" t="s">
        <v>9042</v>
      </c>
      <c r="F6838" s="98" t="s">
        <v>9043</v>
      </c>
      <c r="G6838" s="448" t="s">
        <v>31</v>
      </c>
      <c r="H6838" s="19" t="s">
        <v>9044</v>
      </c>
      <c r="I6838" s="23" t="e">
        <f>VLOOKUP(H6838,'合同综合查询数据（3月返）'!$A:$A,1,FALSE)</f>
        <v>#N/A</v>
      </c>
      <c r="J6838" s="448" t="s">
        <v>7564</v>
      </c>
      <c r="K6838" s="511"/>
      <c r="L6838" s="512"/>
      <c r="M6838" s="449"/>
      <c r="N6838" s="252"/>
      <c r="O6838" s="252" t="s">
        <v>37</v>
      </c>
      <c r="P6838" s="513">
        <v>0</v>
      </c>
      <c r="Q6838" s="131">
        <v>800</v>
      </c>
      <c r="R6838" s="119">
        <f t="shared" si="157"/>
        <v>0</v>
      </c>
      <c r="S6838" s="456">
        <v>202303</v>
      </c>
      <c r="T6838" s="134" t="s">
        <v>9062</v>
      </c>
      <c r="U6838" s="488"/>
      <c r="V6838" s="516"/>
      <c r="W6838" s="516"/>
      <c r="X6838" s="190">
        <v>44440</v>
      </c>
      <c r="Y6838" s="467">
        <v>45169</v>
      </c>
    </row>
    <row r="6839" s="9" customFormat="1" customHeight="1" spans="1:25">
      <c r="A6839" s="446" t="s">
        <v>403</v>
      </c>
      <c r="B6839" s="446" t="s">
        <v>8192</v>
      </c>
      <c r="C6839" s="94" t="s">
        <v>4743</v>
      </c>
      <c r="D6839" s="446" t="s">
        <v>6237</v>
      </c>
      <c r="E6839" s="147" t="s">
        <v>9042</v>
      </c>
      <c r="F6839" s="98" t="s">
        <v>9043</v>
      </c>
      <c r="G6839" s="448" t="s">
        <v>31</v>
      </c>
      <c r="H6839" s="19" t="s">
        <v>9044</v>
      </c>
      <c r="I6839" s="23" t="e">
        <f>VLOOKUP(H6839,'合同综合查询数据（3月返）'!$A:$A,1,FALSE)</f>
        <v>#N/A</v>
      </c>
      <c r="J6839" s="448" t="s">
        <v>7564</v>
      </c>
      <c r="K6839" s="511" t="s">
        <v>9049</v>
      </c>
      <c r="L6839" s="512"/>
      <c r="M6839" s="449"/>
      <c r="N6839" s="252">
        <v>44712</v>
      </c>
      <c r="O6839" s="252" t="s">
        <v>37</v>
      </c>
      <c r="P6839" s="513">
        <v>0</v>
      </c>
      <c r="Q6839" s="131">
        <v>-288</v>
      </c>
      <c r="R6839" s="119">
        <f t="shared" si="157"/>
        <v>0</v>
      </c>
      <c r="S6839" s="456">
        <v>202303</v>
      </c>
      <c r="T6839" s="134" t="s">
        <v>9063</v>
      </c>
      <c r="U6839" s="488"/>
      <c r="V6839" s="516"/>
      <c r="W6839" s="516"/>
      <c r="X6839" s="190">
        <v>44440</v>
      </c>
      <c r="Y6839" s="467">
        <v>45169</v>
      </c>
    </row>
    <row r="6840" s="9" customFormat="1" customHeight="1" spans="1:25">
      <c r="A6840" s="446" t="s">
        <v>403</v>
      </c>
      <c r="B6840" s="446" t="s">
        <v>8192</v>
      </c>
      <c r="C6840" s="94" t="s">
        <v>4743</v>
      </c>
      <c r="D6840" s="446" t="s">
        <v>6237</v>
      </c>
      <c r="E6840" s="147" t="s">
        <v>9042</v>
      </c>
      <c r="F6840" s="98" t="s">
        <v>9043</v>
      </c>
      <c r="G6840" s="448" t="s">
        <v>31</v>
      </c>
      <c r="H6840" s="19" t="s">
        <v>9044</v>
      </c>
      <c r="I6840" s="23" t="e">
        <f>VLOOKUP(H6840,'合同综合查询数据（3月返）'!$A:$A,1,FALSE)</f>
        <v>#N/A</v>
      </c>
      <c r="J6840" s="448" t="s">
        <v>7564</v>
      </c>
      <c r="K6840" s="511"/>
      <c r="L6840" s="512" t="s">
        <v>9053</v>
      </c>
      <c r="M6840" s="449"/>
      <c r="N6840" s="252">
        <v>44712</v>
      </c>
      <c r="O6840" s="252" t="s">
        <v>37</v>
      </c>
      <c r="P6840" s="513">
        <v>0</v>
      </c>
      <c r="Q6840" s="131">
        <v>-256</v>
      </c>
      <c r="R6840" s="119">
        <f t="shared" si="157"/>
        <v>0</v>
      </c>
      <c r="S6840" s="456">
        <v>202303</v>
      </c>
      <c r="T6840" s="134" t="s">
        <v>9064</v>
      </c>
      <c r="U6840" s="488"/>
      <c r="V6840" s="516"/>
      <c r="W6840" s="516"/>
      <c r="X6840" s="190">
        <v>44440</v>
      </c>
      <c r="Y6840" s="467">
        <v>45169</v>
      </c>
    </row>
    <row r="6841" s="10" customFormat="1" customHeight="1" spans="1:25">
      <c r="A6841" s="459" t="s">
        <v>403</v>
      </c>
      <c r="B6841" s="459" t="s">
        <v>8192</v>
      </c>
      <c r="C6841" s="62" t="s">
        <v>210</v>
      </c>
      <c r="D6841" s="459" t="s">
        <v>6237</v>
      </c>
      <c r="E6841" s="500" t="s">
        <v>9065</v>
      </c>
      <c r="F6841" s="62" t="s">
        <v>9066</v>
      </c>
      <c r="G6841" s="424" t="s">
        <v>88</v>
      </c>
      <c r="H6841" s="45" t="s">
        <v>9067</v>
      </c>
      <c r="I6841" s="47" t="e">
        <f>VLOOKUP(H6841,'合同综合查询数据（3月返）'!$A:$A,1,FALSE)</f>
        <v>#N/A</v>
      </c>
      <c r="J6841" s="424" t="s">
        <v>126</v>
      </c>
      <c r="K6841" s="427" t="s">
        <v>9068</v>
      </c>
      <c r="L6841" s="428"/>
      <c r="M6841" s="429" t="s">
        <v>9069</v>
      </c>
      <c r="N6841" s="430">
        <v>43101</v>
      </c>
      <c r="O6841" s="430" t="s">
        <v>624</v>
      </c>
      <c r="P6841" s="514">
        <v>0</v>
      </c>
      <c r="Q6841" s="140">
        <v>2</v>
      </c>
      <c r="R6841" s="69">
        <f t="shared" si="157"/>
        <v>0</v>
      </c>
      <c r="S6841" s="434">
        <v>202303</v>
      </c>
      <c r="T6841" s="517"/>
      <c r="U6841" s="436"/>
      <c r="V6841" s="518"/>
      <c r="W6841" s="518"/>
      <c r="X6841" s="163">
        <v>44774</v>
      </c>
      <c r="Y6841" s="163"/>
    </row>
    <row r="6842" s="10" customFormat="1" customHeight="1" spans="1:25">
      <c r="A6842" s="459" t="s">
        <v>403</v>
      </c>
      <c r="B6842" s="459" t="s">
        <v>8192</v>
      </c>
      <c r="C6842" s="62" t="s">
        <v>210</v>
      </c>
      <c r="D6842" s="459" t="s">
        <v>6237</v>
      </c>
      <c r="E6842" s="500" t="s">
        <v>9065</v>
      </c>
      <c r="F6842" s="62" t="s">
        <v>9066</v>
      </c>
      <c r="G6842" s="424" t="s">
        <v>88</v>
      </c>
      <c r="H6842" s="45" t="s">
        <v>9067</v>
      </c>
      <c r="I6842" s="47" t="e">
        <f>VLOOKUP(H6842,'合同综合查询数据（3月返）'!$A:$A,1,FALSE)</f>
        <v>#N/A</v>
      </c>
      <c r="J6842" s="424" t="s">
        <v>126</v>
      </c>
      <c r="K6842" s="427" t="s">
        <v>9070</v>
      </c>
      <c r="L6842" s="428"/>
      <c r="M6842" s="429" t="s">
        <v>9069</v>
      </c>
      <c r="N6842" s="430">
        <v>43703</v>
      </c>
      <c r="O6842" s="430" t="s">
        <v>624</v>
      </c>
      <c r="P6842" s="514">
        <v>0</v>
      </c>
      <c r="Q6842" s="140">
        <v>2</v>
      </c>
      <c r="R6842" s="69">
        <f t="shared" si="157"/>
        <v>0</v>
      </c>
      <c r="S6842" s="434">
        <v>202303</v>
      </c>
      <c r="T6842" s="517" t="s">
        <v>9071</v>
      </c>
      <c r="U6842" s="436"/>
      <c r="V6842" s="518"/>
      <c r="W6842" s="518"/>
      <c r="X6842" s="163">
        <v>44774</v>
      </c>
      <c r="Y6842" s="163"/>
    </row>
    <row r="6843" s="10" customFormat="1" customHeight="1" spans="1:25">
      <c r="A6843" s="459" t="s">
        <v>403</v>
      </c>
      <c r="B6843" s="459" t="s">
        <v>8192</v>
      </c>
      <c r="C6843" s="62" t="s">
        <v>210</v>
      </c>
      <c r="D6843" s="459" t="s">
        <v>6237</v>
      </c>
      <c r="E6843" s="500" t="s">
        <v>9065</v>
      </c>
      <c r="F6843" s="62" t="s">
        <v>9066</v>
      </c>
      <c r="G6843" s="424" t="s">
        <v>88</v>
      </c>
      <c r="H6843" s="45" t="s">
        <v>9067</v>
      </c>
      <c r="I6843" s="47" t="e">
        <f>VLOOKUP(H6843,'合同综合查询数据（3月返）'!$A:$A,1,FALSE)</f>
        <v>#N/A</v>
      </c>
      <c r="J6843" s="424" t="s">
        <v>126</v>
      </c>
      <c r="K6843" s="427" t="s">
        <v>9068</v>
      </c>
      <c r="L6843" s="428" t="s">
        <v>9068</v>
      </c>
      <c r="M6843" s="429" t="s">
        <v>9069</v>
      </c>
      <c r="N6843" s="430">
        <v>44097</v>
      </c>
      <c r="O6843" s="430" t="s">
        <v>624</v>
      </c>
      <c r="P6843" s="514">
        <v>0</v>
      </c>
      <c r="Q6843" s="140">
        <v>-1</v>
      </c>
      <c r="R6843" s="69">
        <f t="shared" si="157"/>
        <v>0</v>
      </c>
      <c r="S6843" s="434">
        <v>202303</v>
      </c>
      <c r="T6843" s="517" t="s">
        <v>9072</v>
      </c>
      <c r="U6843" s="436"/>
      <c r="V6843" s="518"/>
      <c r="W6843" s="518"/>
      <c r="X6843" s="163">
        <v>44774</v>
      </c>
      <c r="Y6843" s="163"/>
    </row>
    <row r="6844" s="10" customFormat="1" customHeight="1" spans="1:25">
      <c r="A6844" s="459" t="s">
        <v>403</v>
      </c>
      <c r="B6844" s="459" t="s">
        <v>8192</v>
      </c>
      <c r="C6844" s="62" t="s">
        <v>210</v>
      </c>
      <c r="D6844" s="459" t="s">
        <v>6237</v>
      </c>
      <c r="E6844" s="500" t="s">
        <v>9065</v>
      </c>
      <c r="F6844" s="62" t="s">
        <v>9066</v>
      </c>
      <c r="G6844" s="424" t="s">
        <v>88</v>
      </c>
      <c r="H6844" s="45" t="s">
        <v>9067</v>
      </c>
      <c r="I6844" s="47" t="e">
        <f>VLOOKUP(H6844,'合同综合查询数据（3月返）'!$A:$A,1,FALSE)</f>
        <v>#N/A</v>
      </c>
      <c r="J6844" s="424" t="s">
        <v>126</v>
      </c>
      <c r="K6844" s="427" t="s">
        <v>9070</v>
      </c>
      <c r="L6844" s="428" t="s">
        <v>9070</v>
      </c>
      <c r="M6844" s="429" t="s">
        <v>9069</v>
      </c>
      <c r="N6844" s="430">
        <v>44098</v>
      </c>
      <c r="O6844" s="430" t="s">
        <v>624</v>
      </c>
      <c r="P6844" s="514">
        <v>0</v>
      </c>
      <c r="Q6844" s="140">
        <v>1</v>
      </c>
      <c r="R6844" s="69">
        <f t="shared" si="157"/>
        <v>0</v>
      </c>
      <c r="S6844" s="434">
        <v>202303</v>
      </c>
      <c r="T6844" s="517" t="s">
        <v>9073</v>
      </c>
      <c r="U6844" s="436"/>
      <c r="V6844" s="518"/>
      <c r="W6844" s="518"/>
      <c r="X6844" s="163">
        <v>44774</v>
      </c>
      <c r="Y6844" s="163"/>
    </row>
    <row r="6845" s="10" customFormat="1" customHeight="1" spans="1:25">
      <c r="A6845" s="459" t="s">
        <v>403</v>
      </c>
      <c r="B6845" s="459" t="s">
        <v>8192</v>
      </c>
      <c r="C6845" s="62" t="s">
        <v>210</v>
      </c>
      <c r="D6845" s="459" t="s">
        <v>6237</v>
      </c>
      <c r="E6845" s="500" t="s">
        <v>9065</v>
      </c>
      <c r="F6845" s="62" t="s">
        <v>9066</v>
      </c>
      <c r="G6845" s="424" t="s">
        <v>88</v>
      </c>
      <c r="H6845" s="45" t="s">
        <v>9067</v>
      </c>
      <c r="I6845" s="47" t="e">
        <f>VLOOKUP(H6845,'合同综合查询数据（3月返）'!$A:$A,1,FALSE)</f>
        <v>#N/A</v>
      </c>
      <c r="J6845" s="424" t="s">
        <v>126</v>
      </c>
      <c r="K6845" s="427" t="s">
        <v>9068</v>
      </c>
      <c r="L6845" s="428" t="s">
        <v>9068</v>
      </c>
      <c r="M6845" s="429" t="s">
        <v>9069</v>
      </c>
      <c r="N6845" s="430">
        <v>44097</v>
      </c>
      <c r="O6845" s="430" t="s">
        <v>624</v>
      </c>
      <c r="P6845" s="514">
        <v>0</v>
      </c>
      <c r="Q6845" s="140">
        <v>-1</v>
      </c>
      <c r="R6845" s="69">
        <f t="shared" si="157"/>
        <v>0</v>
      </c>
      <c r="S6845" s="434">
        <v>202303</v>
      </c>
      <c r="T6845" s="517" t="s">
        <v>9074</v>
      </c>
      <c r="U6845" s="436"/>
      <c r="V6845" s="518"/>
      <c r="W6845" s="518"/>
      <c r="X6845" s="163">
        <v>44774</v>
      </c>
      <c r="Y6845" s="163"/>
    </row>
    <row r="6846" s="10" customFormat="1" customHeight="1" spans="1:25">
      <c r="A6846" s="459" t="s">
        <v>403</v>
      </c>
      <c r="B6846" s="459" t="s">
        <v>8192</v>
      </c>
      <c r="C6846" s="62" t="s">
        <v>210</v>
      </c>
      <c r="D6846" s="459" t="s">
        <v>6237</v>
      </c>
      <c r="E6846" s="500" t="s">
        <v>9065</v>
      </c>
      <c r="F6846" s="62" t="s">
        <v>9066</v>
      </c>
      <c r="G6846" s="424" t="s">
        <v>31</v>
      </c>
      <c r="H6846" s="45" t="s">
        <v>9067</v>
      </c>
      <c r="I6846" s="47" t="e">
        <f>VLOOKUP(H6846,'合同综合查询数据（3月返）'!$A:$A,1,FALSE)</f>
        <v>#N/A</v>
      </c>
      <c r="J6846" s="424" t="s">
        <v>7564</v>
      </c>
      <c r="K6846" s="427"/>
      <c r="L6846" s="428"/>
      <c r="M6846" s="429"/>
      <c r="N6846" s="430" t="s">
        <v>1225</v>
      </c>
      <c r="O6846" s="430" t="s">
        <v>37</v>
      </c>
      <c r="P6846" s="514">
        <v>0</v>
      </c>
      <c r="Q6846" s="140">
        <v>512</v>
      </c>
      <c r="R6846" s="69">
        <f t="shared" si="157"/>
        <v>0</v>
      </c>
      <c r="S6846" s="434">
        <v>202303</v>
      </c>
      <c r="T6846" s="517" t="s">
        <v>9075</v>
      </c>
      <c r="U6846" s="436"/>
      <c r="V6846" s="518"/>
      <c r="W6846" s="518"/>
      <c r="X6846" s="163">
        <v>44774</v>
      </c>
      <c r="Y6846" s="163"/>
    </row>
    <row r="6847" s="10" customFormat="1" customHeight="1" spans="1:25">
      <c r="A6847" s="459" t="s">
        <v>403</v>
      </c>
      <c r="B6847" s="459" t="s">
        <v>8192</v>
      </c>
      <c r="C6847" s="62" t="s">
        <v>210</v>
      </c>
      <c r="D6847" s="459" t="s">
        <v>6237</v>
      </c>
      <c r="E6847" s="500" t="s">
        <v>9065</v>
      </c>
      <c r="F6847" s="62" t="s">
        <v>9066</v>
      </c>
      <c r="G6847" s="424" t="s">
        <v>31</v>
      </c>
      <c r="H6847" s="45" t="s">
        <v>9067</v>
      </c>
      <c r="I6847" s="47" t="e">
        <f>VLOOKUP(H6847,'合同综合查询数据（3月返）'!$A:$A,1,FALSE)</f>
        <v>#N/A</v>
      </c>
      <c r="J6847" s="424" t="s">
        <v>7564</v>
      </c>
      <c r="K6847" s="427"/>
      <c r="L6847" s="428"/>
      <c r="M6847" s="429"/>
      <c r="N6847" s="430">
        <v>44097</v>
      </c>
      <c r="O6847" s="430" t="s">
        <v>37</v>
      </c>
      <c r="P6847" s="514">
        <v>0</v>
      </c>
      <c r="Q6847" s="140">
        <v>-256</v>
      </c>
      <c r="R6847" s="69">
        <f t="shared" si="157"/>
        <v>0</v>
      </c>
      <c r="S6847" s="434">
        <v>202303</v>
      </c>
      <c r="T6847" s="517" t="s">
        <v>9076</v>
      </c>
      <c r="U6847" s="436"/>
      <c r="V6847" s="518"/>
      <c r="W6847" s="518"/>
      <c r="X6847" s="163">
        <v>44774</v>
      </c>
      <c r="Y6847" s="163"/>
    </row>
    <row r="6848" s="10" customFormat="1" customHeight="1" spans="1:25">
      <c r="A6848" s="459" t="s">
        <v>403</v>
      </c>
      <c r="B6848" s="459" t="s">
        <v>8192</v>
      </c>
      <c r="C6848" s="62" t="s">
        <v>210</v>
      </c>
      <c r="D6848" s="459" t="s">
        <v>6237</v>
      </c>
      <c r="E6848" s="500" t="s">
        <v>9065</v>
      </c>
      <c r="F6848" s="62" t="s">
        <v>9066</v>
      </c>
      <c r="G6848" s="424" t="s">
        <v>31</v>
      </c>
      <c r="H6848" s="45" t="s">
        <v>9067</v>
      </c>
      <c r="I6848" s="47" t="e">
        <f>VLOOKUP(H6848,'合同综合查询数据（3月返）'!$A:$A,1,FALSE)</f>
        <v>#N/A</v>
      </c>
      <c r="J6848" s="424" t="s">
        <v>7564</v>
      </c>
      <c r="K6848" s="427"/>
      <c r="L6848" s="428" t="s">
        <v>9070</v>
      </c>
      <c r="M6848" s="429"/>
      <c r="N6848" s="430">
        <v>44097</v>
      </c>
      <c r="O6848" s="430" t="s">
        <v>152</v>
      </c>
      <c r="P6848" s="514">
        <v>0</v>
      </c>
      <c r="Q6848" s="140">
        <v>-1</v>
      </c>
      <c r="R6848" s="69">
        <f t="shared" si="157"/>
        <v>0</v>
      </c>
      <c r="S6848" s="434">
        <v>202303</v>
      </c>
      <c r="T6848" s="517" t="s">
        <v>9077</v>
      </c>
      <c r="U6848" s="436"/>
      <c r="V6848" s="518"/>
      <c r="W6848" s="518"/>
      <c r="X6848" s="163">
        <v>44774</v>
      </c>
      <c r="Y6848" s="163"/>
    </row>
    <row r="6849" s="10" customFormat="1" customHeight="1" spans="1:25">
      <c r="A6849" s="459" t="s">
        <v>403</v>
      </c>
      <c r="B6849" s="459" t="s">
        <v>8192</v>
      </c>
      <c r="C6849" s="62" t="s">
        <v>210</v>
      </c>
      <c r="D6849" s="459" t="s">
        <v>6237</v>
      </c>
      <c r="E6849" s="500" t="s">
        <v>9065</v>
      </c>
      <c r="F6849" s="62" t="s">
        <v>9066</v>
      </c>
      <c r="G6849" s="424" t="s">
        <v>88</v>
      </c>
      <c r="H6849" s="45" t="s">
        <v>9067</v>
      </c>
      <c r="I6849" s="47" t="e">
        <f>VLOOKUP(H6849,'合同综合查询数据（3月返）'!$A:$A,1,FALSE)</f>
        <v>#N/A</v>
      </c>
      <c r="J6849" s="424" t="s">
        <v>126</v>
      </c>
      <c r="K6849" s="427" t="s">
        <v>9078</v>
      </c>
      <c r="L6849" s="427" t="s">
        <v>9078</v>
      </c>
      <c r="M6849" s="429" t="s">
        <v>9069</v>
      </c>
      <c r="N6849" s="430">
        <v>44411</v>
      </c>
      <c r="O6849" s="430" t="s">
        <v>624</v>
      </c>
      <c r="P6849" s="514">
        <v>0</v>
      </c>
      <c r="Q6849" s="140">
        <v>2</v>
      </c>
      <c r="R6849" s="69">
        <f t="shared" si="157"/>
        <v>0</v>
      </c>
      <c r="S6849" s="434">
        <v>202303</v>
      </c>
      <c r="T6849" s="517" t="s">
        <v>9079</v>
      </c>
      <c r="U6849" s="436"/>
      <c r="V6849" s="518"/>
      <c r="W6849" s="518"/>
      <c r="X6849" s="163">
        <v>44774</v>
      </c>
      <c r="Y6849" s="163"/>
    </row>
    <row r="6850" s="10" customFormat="1" customHeight="1" spans="1:25">
      <c r="A6850" s="459" t="s">
        <v>403</v>
      </c>
      <c r="B6850" s="459" t="s">
        <v>8192</v>
      </c>
      <c r="C6850" s="62" t="s">
        <v>210</v>
      </c>
      <c r="D6850" s="459" t="s">
        <v>6237</v>
      </c>
      <c r="E6850" s="500" t="s">
        <v>9065</v>
      </c>
      <c r="F6850" s="62" t="s">
        <v>9066</v>
      </c>
      <c r="G6850" s="424" t="s">
        <v>88</v>
      </c>
      <c r="H6850" s="45" t="s">
        <v>9067</v>
      </c>
      <c r="I6850" s="47" t="e">
        <f>VLOOKUP(H6850,'合同综合查询数据（3月返）'!$A:$A,1,FALSE)</f>
        <v>#N/A</v>
      </c>
      <c r="J6850" s="424" t="s">
        <v>126</v>
      </c>
      <c r="K6850" s="427" t="s">
        <v>9078</v>
      </c>
      <c r="L6850" s="427" t="s">
        <v>9078</v>
      </c>
      <c r="M6850" s="429" t="s">
        <v>9069</v>
      </c>
      <c r="N6850" s="430">
        <v>44469</v>
      </c>
      <c r="O6850" s="430" t="s">
        <v>624</v>
      </c>
      <c r="P6850" s="514">
        <v>0</v>
      </c>
      <c r="Q6850" s="140">
        <v>-2</v>
      </c>
      <c r="R6850" s="69">
        <f t="shared" si="157"/>
        <v>0</v>
      </c>
      <c r="S6850" s="434">
        <v>202303</v>
      </c>
      <c r="T6850" s="517" t="s">
        <v>9080</v>
      </c>
      <c r="U6850" s="436"/>
      <c r="V6850" s="518"/>
      <c r="W6850" s="518"/>
      <c r="X6850" s="163">
        <v>44774</v>
      </c>
      <c r="Y6850" s="163"/>
    </row>
    <row r="6851" s="10" customFormat="1" customHeight="1" spans="1:25">
      <c r="A6851" s="459" t="s">
        <v>403</v>
      </c>
      <c r="B6851" s="459" t="s">
        <v>8192</v>
      </c>
      <c r="C6851" s="62" t="s">
        <v>210</v>
      </c>
      <c r="D6851" s="459" t="s">
        <v>6237</v>
      </c>
      <c r="E6851" s="500" t="s">
        <v>9065</v>
      </c>
      <c r="F6851" s="62" t="s">
        <v>9066</v>
      </c>
      <c r="G6851" s="424" t="s">
        <v>31</v>
      </c>
      <c r="H6851" s="45" t="s">
        <v>9067</v>
      </c>
      <c r="I6851" s="47" t="e">
        <f>VLOOKUP(H6851,'合同综合查询数据（3月返）'!$A:$A,1,FALSE)</f>
        <v>#N/A</v>
      </c>
      <c r="J6851" s="424" t="s">
        <v>7564</v>
      </c>
      <c r="K6851" s="427" t="s">
        <v>9078</v>
      </c>
      <c r="L6851" s="427" t="s">
        <v>9078</v>
      </c>
      <c r="M6851" s="429" t="s">
        <v>9069</v>
      </c>
      <c r="N6851" s="430">
        <v>44411</v>
      </c>
      <c r="O6851" s="430" t="s">
        <v>37</v>
      </c>
      <c r="P6851" s="514">
        <v>0</v>
      </c>
      <c r="Q6851" s="140">
        <v>160</v>
      </c>
      <c r="R6851" s="69">
        <f t="shared" si="157"/>
        <v>0</v>
      </c>
      <c r="S6851" s="434">
        <v>202303</v>
      </c>
      <c r="T6851" s="517" t="s">
        <v>9081</v>
      </c>
      <c r="U6851" s="436"/>
      <c r="V6851" s="518"/>
      <c r="W6851" s="518"/>
      <c r="X6851" s="163">
        <v>44774</v>
      </c>
      <c r="Y6851" s="163"/>
    </row>
    <row r="6852" s="10" customFormat="1" customHeight="1" spans="1:25">
      <c r="A6852" s="459" t="s">
        <v>403</v>
      </c>
      <c r="B6852" s="459" t="s">
        <v>8192</v>
      </c>
      <c r="C6852" s="62" t="s">
        <v>210</v>
      </c>
      <c r="D6852" s="459" t="s">
        <v>6237</v>
      </c>
      <c r="E6852" s="500" t="s">
        <v>9065</v>
      </c>
      <c r="F6852" s="62" t="s">
        <v>9066</v>
      </c>
      <c r="G6852" s="424" t="s">
        <v>31</v>
      </c>
      <c r="H6852" s="45" t="s">
        <v>9067</v>
      </c>
      <c r="I6852" s="47" t="e">
        <f>VLOOKUP(H6852,'合同综合查询数据（3月返）'!$A:$A,1,FALSE)</f>
        <v>#N/A</v>
      </c>
      <c r="J6852" s="424" t="s">
        <v>7564</v>
      </c>
      <c r="K6852" s="427" t="s">
        <v>9078</v>
      </c>
      <c r="L6852" s="427" t="s">
        <v>9078</v>
      </c>
      <c r="M6852" s="429" t="s">
        <v>9069</v>
      </c>
      <c r="N6852" s="430">
        <v>44469</v>
      </c>
      <c r="O6852" s="430" t="s">
        <v>37</v>
      </c>
      <c r="P6852" s="514">
        <v>0</v>
      </c>
      <c r="Q6852" s="140">
        <v>-160</v>
      </c>
      <c r="R6852" s="69">
        <f t="shared" si="157"/>
        <v>0</v>
      </c>
      <c r="S6852" s="434">
        <v>202303</v>
      </c>
      <c r="T6852" s="517" t="s">
        <v>9080</v>
      </c>
      <c r="U6852" s="436"/>
      <c r="V6852" s="518"/>
      <c r="W6852" s="518"/>
      <c r="X6852" s="163">
        <v>44774</v>
      </c>
      <c r="Y6852" s="163"/>
    </row>
    <row r="6853" s="10" customFormat="1" customHeight="1" spans="1:25">
      <c r="A6853" s="459" t="s">
        <v>401</v>
      </c>
      <c r="B6853" s="459" t="s">
        <v>8192</v>
      </c>
      <c r="C6853" s="62" t="s">
        <v>9082</v>
      </c>
      <c r="D6853" s="62" t="s">
        <v>6905</v>
      </c>
      <c r="E6853" s="160" t="s">
        <v>9083</v>
      </c>
      <c r="F6853" s="61" t="s">
        <v>9084</v>
      </c>
      <c r="G6853" s="424" t="s">
        <v>88</v>
      </c>
      <c r="H6853" s="45" t="s">
        <v>9085</v>
      </c>
      <c r="I6853" s="47" t="e">
        <f>VLOOKUP(H6853,'合同综合查询数据（3月返）'!$A:$A,1,FALSE)</f>
        <v>#N/A</v>
      </c>
      <c r="J6853" s="424" t="s">
        <v>126</v>
      </c>
      <c r="K6853" s="427" t="s">
        <v>9086</v>
      </c>
      <c r="L6853" s="428" t="s">
        <v>9087</v>
      </c>
      <c r="M6853" s="429" t="s">
        <v>9088</v>
      </c>
      <c r="N6853" s="430">
        <v>43459</v>
      </c>
      <c r="O6853" s="430" t="s">
        <v>3534</v>
      </c>
      <c r="P6853" s="514">
        <v>1640</v>
      </c>
      <c r="Q6853" s="140">
        <v>5</v>
      </c>
      <c r="R6853" s="69">
        <f t="shared" si="157"/>
        <v>8200</v>
      </c>
      <c r="S6853" s="434">
        <v>202303</v>
      </c>
      <c r="T6853" s="517" t="s">
        <v>9089</v>
      </c>
      <c r="U6853" s="436"/>
      <c r="V6853" s="518"/>
      <c r="W6853" s="518"/>
      <c r="X6853" s="111">
        <v>44986</v>
      </c>
      <c r="Y6853" s="111"/>
    </row>
    <row r="6854" s="10" customFormat="1" customHeight="1" spans="1:25">
      <c r="A6854" s="459" t="s">
        <v>401</v>
      </c>
      <c r="B6854" s="459" t="s">
        <v>8192</v>
      </c>
      <c r="C6854" s="62" t="s">
        <v>9082</v>
      </c>
      <c r="D6854" s="62" t="s">
        <v>6905</v>
      </c>
      <c r="E6854" s="160" t="s">
        <v>9083</v>
      </c>
      <c r="F6854" s="61" t="s">
        <v>9084</v>
      </c>
      <c r="G6854" s="424" t="s">
        <v>88</v>
      </c>
      <c r="H6854" s="45" t="s">
        <v>9085</v>
      </c>
      <c r="I6854" s="47" t="e">
        <f>VLOOKUP(H6854,'合同综合查询数据（3月返）'!$A:$A,1,FALSE)</f>
        <v>#N/A</v>
      </c>
      <c r="J6854" s="424" t="s">
        <v>126</v>
      </c>
      <c r="K6854" s="427" t="s">
        <v>9090</v>
      </c>
      <c r="L6854" s="428"/>
      <c r="M6854" s="429" t="s">
        <v>9088</v>
      </c>
      <c r="N6854" s="430">
        <v>43003</v>
      </c>
      <c r="O6854" s="430" t="s">
        <v>3534</v>
      </c>
      <c r="P6854" s="514">
        <v>2050</v>
      </c>
      <c r="Q6854" s="140">
        <v>2</v>
      </c>
      <c r="R6854" s="69">
        <f t="shared" si="157"/>
        <v>4100</v>
      </c>
      <c r="S6854" s="434">
        <v>202303</v>
      </c>
      <c r="T6854" s="517" t="s">
        <v>9091</v>
      </c>
      <c r="U6854" s="436"/>
      <c r="V6854" s="518"/>
      <c r="W6854" s="518"/>
      <c r="X6854" s="111">
        <v>44986</v>
      </c>
      <c r="Y6854" s="111"/>
    </row>
    <row r="6855" s="10" customFormat="1" customHeight="1" spans="1:25">
      <c r="A6855" s="459" t="s">
        <v>401</v>
      </c>
      <c r="B6855" s="459" t="s">
        <v>8192</v>
      </c>
      <c r="C6855" s="62" t="s">
        <v>9082</v>
      </c>
      <c r="D6855" s="62" t="s">
        <v>6905</v>
      </c>
      <c r="E6855" s="160" t="s">
        <v>9083</v>
      </c>
      <c r="F6855" s="61" t="s">
        <v>9084</v>
      </c>
      <c r="G6855" s="424" t="s">
        <v>88</v>
      </c>
      <c r="H6855" s="45" t="s">
        <v>9085</v>
      </c>
      <c r="I6855" s="47" t="e">
        <f>VLOOKUP(H6855,'合同综合查询数据（3月返）'!$A:$A,1,FALSE)</f>
        <v>#N/A</v>
      </c>
      <c r="J6855" s="424" t="s">
        <v>126</v>
      </c>
      <c r="K6855" s="427" t="s">
        <v>9092</v>
      </c>
      <c r="L6855" s="428"/>
      <c r="M6855" s="429" t="s">
        <v>9088</v>
      </c>
      <c r="N6855" s="430">
        <v>43047</v>
      </c>
      <c r="O6855" s="430" t="s">
        <v>3534</v>
      </c>
      <c r="P6855" s="514">
        <v>2050</v>
      </c>
      <c r="Q6855" s="140">
        <v>2</v>
      </c>
      <c r="R6855" s="69">
        <f t="shared" si="157"/>
        <v>4100</v>
      </c>
      <c r="S6855" s="434">
        <v>202303</v>
      </c>
      <c r="T6855" s="517" t="s">
        <v>9093</v>
      </c>
      <c r="U6855" s="436"/>
      <c r="V6855" s="518"/>
      <c r="W6855" s="518"/>
      <c r="X6855" s="111">
        <v>44986</v>
      </c>
      <c r="Y6855" s="111"/>
    </row>
    <row r="6856" s="10" customFormat="1" customHeight="1" spans="1:25">
      <c r="A6856" s="459" t="s">
        <v>401</v>
      </c>
      <c r="B6856" s="459" t="s">
        <v>8192</v>
      </c>
      <c r="C6856" s="62" t="s">
        <v>9082</v>
      </c>
      <c r="D6856" s="62" t="s">
        <v>6905</v>
      </c>
      <c r="E6856" s="160" t="s">
        <v>9083</v>
      </c>
      <c r="F6856" s="61" t="s">
        <v>9084</v>
      </c>
      <c r="G6856" s="424" t="s">
        <v>88</v>
      </c>
      <c r="H6856" s="45" t="s">
        <v>9085</v>
      </c>
      <c r="I6856" s="47" t="e">
        <f>VLOOKUP(H6856,'合同综合查询数据（3月返）'!$A:$A,1,FALSE)</f>
        <v>#N/A</v>
      </c>
      <c r="J6856" s="424" t="s">
        <v>126</v>
      </c>
      <c r="K6856" s="427" t="s">
        <v>9092</v>
      </c>
      <c r="L6856" s="428"/>
      <c r="M6856" s="429" t="s">
        <v>9088</v>
      </c>
      <c r="N6856" s="430">
        <v>44104</v>
      </c>
      <c r="O6856" s="430" t="s">
        <v>3534</v>
      </c>
      <c r="P6856" s="514">
        <v>2050</v>
      </c>
      <c r="Q6856" s="140">
        <v>-2</v>
      </c>
      <c r="R6856" s="69">
        <f t="shared" si="157"/>
        <v>-4100</v>
      </c>
      <c r="S6856" s="434">
        <v>202303</v>
      </c>
      <c r="T6856" s="517" t="s">
        <v>9093</v>
      </c>
      <c r="U6856" s="436"/>
      <c r="V6856" s="518"/>
      <c r="W6856" s="518"/>
      <c r="X6856" s="111">
        <v>44986</v>
      </c>
      <c r="Y6856" s="111"/>
    </row>
    <row r="6857" s="10" customFormat="1" customHeight="1" spans="1:25">
      <c r="A6857" s="459" t="s">
        <v>401</v>
      </c>
      <c r="B6857" s="459" t="s">
        <v>8192</v>
      </c>
      <c r="C6857" s="62" t="s">
        <v>9082</v>
      </c>
      <c r="D6857" s="62" t="s">
        <v>6905</v>
      </c>
      <c r="E6857" s="160" t="s">
        <v>9083</v>
      </c>
      <c r="F6857" s="61" t="s">
        <v>9084</v>
      </c>
      <c r="G6857" s="424" t="s">
        <v>31</v>
      </c>
      <c r="H6857" s="45" t="s">
        <v>9085</v>
      </c>
      <c r="I6857" s="47" t="e">
        <f>VLOOKUP(H6857,'合同综合查询数据（3月返）'!$A:$A,1,FALSE)</f>
        <v>#N/A</v>
      </c>
      <c r="J6857" s="424" t="s">
        <v>7564</v>
      </c>
      <c r="K6857" s="427" t="s">
        <v>9092</v>
      </c>
      <c r="L6857" s="428" t="s">
        <v>9084</v>
      </c>
      <c r="M6857" s="429"/>
      <c r="N6857" s="430">
        <v>43047</v>
      </c>
      <c r="O6857" s="430" t="s">
        <v>37</v>
      </c>
      <c r="P6857" s="514">
        <v>0</v>
      </c>
      <c r="Q6857" s="140">
        <v>256</v>
      </c>
      <c r="R6857" s="69">
        <f t="shared" si="157"/>
        <v>0</v>
      </c>
      <c r="S6857" s="434">
        <v>202303</v>
      </c>
      <c r="T6857" s="517" t="s">
        <v>9094</v>
      </c>
      <c r="U6857" s="436"/>
      <c r="V6857" s="518"/>
      <c r="W6857" s="518"/>
      <c r="X6857" s="111">
        <v>44986</v>
      </c>
      <c r="Y6857" s="111"/>
    </row>
    <row r="6858" s="10" customFormat="1" customHeight="1" spans="1:25">
      <c r="A6858" s="459" t="s">
        <v>401</v>
      </c>
      <c r="B6858" s="459" t="s">
        <v>8192</v>
      </c>
      <c r="C6858" s="62" t="s">
        <v>9082</v>
      </c>
      <c r="D6858" s="62" t="s">
        <v>6905</v>
      </c>
      <c r="E6858" s="160" t="s">
        <v>9083</v>
      </c>
      <c r="F6858" s="61" t="s">
        <v>9084</v>
      </c>
      <c r="G6858" s="424" t="s">
        <v>31</v>
      </c>
      <c r="H6858" s="45" t="s">
        <v>9085</v>
      </c>
      <c r="I6858" s="47" t="e">
        <f>VLOOKUP(H6858,'合同综合查询数据（3月返）'!$A:$A,1,FALSE)</f>
        <v>#N/A</v>
      </c>
      <c r="J6858" s="424" t="s">
        <v>7564</v>
      </c>
      <c r="K6858" s="427" t="s">
        <v>9092</v>
      </c>
      <c r="L6858" s="428" t="s">
        <v>9084</v>
      </c>
      <c r="M6858" s="429"/>
      <c r="N6858" s="430">
        <v>44104</v>
      </c>
      <c r="O6858" s="430" t="s">
        <v>37</v>
      </c>
      <c r="P6858" s="514">
        <v>0</v>
      </c>
      <c r="Q6858" s="140">
        <v>-256</v>
      </c>
      <c r="R6858" s="69">
        <f t="shared" si="157"/>
        <v>0</v>
      </c>
      <c r="S6858" s="434">
        <v>202303</v>
      </c>
      <c r="T6858" s="517" t="s">
        <v>9095</v>
      </c>
      <c r="U6858" s="436"/>
      <c r="V6858" s="518"/>
      <c r="W6858" s="518"/>
      <c r="X6858" s="111">
        <v>44986</v>
      </c>
      <c r="Y6858" s="111"/>
    </row>
    <row r="6859" s="10" customFormat="1" customHeight="1" spans="1:25">
      <c r="A6859" s="459" t="s">
        <v>401</v>
      </c>
      <c r="B6859" s="459" t="s">
        <v>8192</v>
      </c>
      <c r="C6859" s="62" t="s">
        <v>9082</v>
      </c>
      <c r="D6859" s="62" t="s">
        <v>6905</v>
      </c>
      <c r="E6859" s="160" t="s">
        <v>9083</v>
      </c>
      <c r="F6859" s="61" t="s">
        <v>9084</v>
      </c>
      <c r="G6859" s="424" t="s">
        <v>31</v>
      </c>
      <c r="H6859" s="45" t="s">
        <v>9085</v>
      </c>
      <c r="I6859" s="47" t="e">
        <f>VLOOKUP(H6859,'合同综合查询数据（3月返）'!$A:$A,1,FALSE)</f>
        <v>#N/A</v>
      </c>
      <c r="J6859" s="424" t="s">
        <v>7564</v>
      </c>
      <c r="K6859" s="427" t="s">
        <v>9086</v>
      </c>
      <c r="L6859" s="428" t="s">
        <v>9096</v>
      </c>
      <c r="M6859" s="429" t="s">
        <v>9088</v>
      </c>
      <c r="N6859" s="430">
        <v>43459</v>
      </c>
      <c r="O6859" s="430" t="s">
        <v>37</v>
      </c>
      <c r="P6859" s="514">
        <v>0</v>
      </c>
      <c r="Q6859" s="140">
        <v>288</v>
      </c>
      <c r="R6859" s="69">
        <f t="shared" si="157"/>
        <v>0</v>
      </c>
      <c r="S6859" s="434">
        <v>202303</v>
      </c>
      <c r="T6859" s="517" t="s">
        <v>9097</v>
      </c>
      <c r="U6859" s="436"/>
      <c r="V6859" s="518"/>
      <c r="W6859" s="518"/>
      <c r="X6859" s="111">
        <v>44986</v>
      </c>
      <c r="Y6859" s="111"/>
    </row>
    <row r="6860" s="10" customFormat="1" customHeight="1" spans="1:25">
      <c r="A6860" s="459" t="s">
        <v>401</v>
      </c>
      <c r="B6860" s="459" t="s">
        <v>8192</v>
      </c>
      <c r="C6860" s="62" t="s">
        <v>9082</v>
      </c>
      <c r="D6860" s="62" t="s">
        <v>6905</v>
      </c>
      <c r="E6860" s="160" t="s">
        <v>9083</v>
      </c>
      <c r="F6860" s="61" t="s">
        <v>9084</v>
      </c>
      <c r="G6860" s="424" t="s">
        <v>31</v>
      </c>
      <c r="H6860" s="45" t="s">
        <v>9098</v>
      </c>
      <c r="I6860" s="47" t="e">
        <f>VLOOKUP(H6860,'合同综合查询数据（3月返）'!$A:$A,1,FALSE)</f>
        <v>#N/A</v>
      </c>
      <c r="J6860" s="424" t="s">
        <v>7564</v>
      </c>
      <c r="K6860" s="427" t="s">
        <v>9099</v>
      </c>
      <c r="L6860" s="428" t="s">
        <v>9100</v>
      </c>
      <c r="M6860" s="429" t="s">
        <v>9088</v>
      </c>
      <c r="N6860" s="430">
        <v>44378</v>
      </c>
      <c r="O6860" s="430" t="s">
        <v>37</v>
      </c>
      <c r="P6860" s="514">
        <v>0</v>
      </c>
      <c r="Q6860" s="140">
        <v>256</v>
      </c>
      <c r="R6860" s="69">
        <f t="shared" si="157"/>
        <v>0</v>
      </c>
      <c r="S6860" s="434">
        <v>202303</v>
      </c>
      <c r="T6860" s="517" t="s">
        <v>9101</v>
      </c>
      <c r="U6860" s="436"/>
      <c r="V6860" s="518"/>
      <c r="W6860" s="518"/>
      <c r="X6860" s="111">
        <v>44378</v>
      </c>
      <c r="Y6860" s="111"/>
    </row>
    <row r="6861" s="10" customFormat="1" customHeight="1" spans="1:25">
      <c r="A6861" s="459" t="s">
        <v>401</v>
      </c>
      <c r="B6861" s="459" t="s">
        <v>8192</v>
      </c>
      <c r="C6861" s="62" t="s">
        <v>9082</v>
      </c>
      <c r="D6861" s="62" t="s">
        <v>6905</v>
      </c>
      <c r="E6861" s="160" t="s">
        <v>9083</v>
      </c>
      <c r="F6861" s="61" t="s">
        <v>9084</v>
      </c>
      <c r="G6861" s="424" t="s">
        <v>31</v>
      </c>
      <c r="H6861" s="45" t="s">
        <v>9085</v>
      </c>
      <c r="I6861" s="47" t="e">
        <f>VLOOKUP(H6861,'合同综合查询数据（3月返）'!$A:$A,1,FALSE)</f>
        <v>#N/A</v>
      </c>
      <c r="J6861" s="424" t="s">
        <v>7564</v>
      </c>
      <c r="K6861" s="427" t="s">
        <v>9090</v>
      </c>
      <c r="L6861" s="428" t="s">
        <v>9102</v>
      </c>
      <c r="M6861" s="429" t="s">
        <v>9103</v>
      </c>
      <c r="N6861" s="430">
        <v>43003</v>
      </c>
      <c r="O6861" s="430" t="s">
        <v>37</v>
      </c>
      <c r="P6861" s="514">
        <v>0</v>
      </c>
      <c r="Q6861" s="140">
        <v>256</v>
      </c>
      <c r="R6861" s="69">
        <f t="shared" si="157"/>
        <v>0</v>
      </c>
      <c r="S6861" s="434">
        <v>202303</v>
      </c>
      <c r="T6861" s="517" t="s">
        <v>9104</v>
      </c>
      <c r="U6861" s="436"/>
      <c r="V6861" s="518"/>
      <c r="W6861" s="518"/>
      <c r="X6861" s="111">
        <v>44986</v>
      </c>
      <c r="Y6861" s="111"/>
    </row>
    <row r="6862" s="9" customFormat="1" customHeight="1" spans="1:25">
      <c r="A6862" s="446" t="s">
        <v>401</v>
      </c>
      <c r="B6862" s="446" t="s">
        <v>8192</v>
      </c>
      <c r="C6862" s="94" t="s">
        <v>9082</v>
      </c>
      <c r="D6862" s="94" t="s">
        <v>6905</v>
      </c>
      <c r="E6862" s="147" t="s">
        <v>9083</v>
      </c>
      <c r="F6862" s="98" t="s">
        <v>9084</v>
      </c>
      <c r="G6862" s="448" t="s">
        <v>88</v>
      </c>
      <c r="H6862" s="19" t="s">
        <v>9105</v>
      </c>
      <c r="I6862" s="23" t="e">
        <f>VLOOKUP(H6862,'合同综合查询数据（3月返）'!$A:$A,1,FALSE)</f>
        <v>#N/A</v>
      </c>
      <c r="J6862" s="448" t="s">
        <v>126</v>
      </c>
      <c r="K6862" s="511" t="s">
        <v>9090</v>
      </c>
      <c r="L6862" s="512" t="s">
        <v>9102</v>
      </c>
      <c r="M6862" s="449" t="s">
        <v>9103</v>
      </c>
      <c r="N6862" s="252">
        <v>44774</v>
      </c>
      <c r="O6862" s="252" t="s">
        <v>3534</v>
      </c>
      <c r="P6862" s="513">
        <v>2050</v>
      </c>
      <c r="Q6862" s="131">
        <v>2</v>
      </c>
      <c r="R6862" s="119">
        <f t="shared" si="157"/>
        <v>4100</v>
      </c>
      <c r="S6862" s="456">
        <v>202303</v>
      </c>
      <c r="T6862" s="134" t="s">
        <v>9106</v>
      </c>
      <c r="U6862" s="488"/>
      <c r="V6862" s="516"/>
      <c r="W6862" s="516"/>
      <c r="X6862" s="252">
        <v>44774</v>
      </c>
      <c r="Y6862" s="106"/>
    </row>
    <row r="6863" s="10" customFormat="1" customHeight="1" spans="1:25">
      <c r="A6863" s="459" t="s">
        <v>401</v>
      </c>
      <c r="B6863" s="459" t="s">
        <v>8192</v>
      </c>
      <c r="C6863" s="62" t="s">
        <v>9082</v>
      </c>
      <c r="D6863" s="62" t="s">
        <v>6905</v>
      </c>
      <c r="E6863" s="160" t="s">
        <v>9083</v>
      </c>
      <c r="F6863" s="61" t="s">
        <v>9084</v>
      </c>
      <c r="G6863" s="424" t="s">
        <v>31</v>
      </c>
      <c r="H6863" s="45" t="s">
        <v>9085</v>
      </c>
      <c r="I6863" s="47" t="e">
        <f>VLOOKUP(H6863,'合同综合查询数据（3月返）'!$A:$A,1,FALSE)</f>
        <v>#N/A</v>
      </c>
      <c r="J6863" s="424" t="s">
        <v>7564</v>
      </c>
      <c r="K6863" s="427" t="s">
        <v>9107</v>
      </c>
      <c r="L6863" s="428"/>
      <c r="M6863" s="429"/>
      <c r="N6863" s="430"/>
      <c r="O6863" s="430" t="s">
        <v>152</v>
      </c>
      <c r="P6863" s="514">
        <v>0</v>
      </c>
      <c r="Q6863" s="140">
        <v>1</v>
      </c>
      <c r="R6863" s="69">
        <f t="shared" si="157"/>
        <v>0</v>
      </c>
      <c r="S6863" s="434">
        <v>202303</v>
      </c>
      <c r="T6863" s="517" t="s">
        <v>9108</v>
      </c>
      <c r="U6863" s="436"/>
      <c r="V6863" s="518"/>
      <c r="W6863" s="518"/>
      <c r="X6863" s="111">
        <v>44986</v>
      </c>
      <c r="Y6863" s="111"/>
    </row>
    <row r="6864" s="10" customFormat="1" customHeight="1" spans="1:25">
      <c r="A6864" s="459" t="s">
        <v>401</v>
      </c>
      <c r="B6864" s="459" t="s">
        <v>8192</v>
      </c>
      <c r="C6864" s="62" t="s">
        <v>9082</v>
      </c>
      <c r="D6864" s="62" t="s">
        <v>6905</v>
      </c>
      <c r="E6864" s="160" t="s">
        <v>9083</v>
      </c>
      <c r="F6864" s="61" t="s">
        <v>9084</v>
      </c>
      <c r="G6864" s="424" t="s">
        <v>31</v>
      </c>
      <c r="H6864" s="45" t="s">
        <v>9085</v>
      </c>
      <c r="I6864" s="47" t="e">
        <f>VLOOKUP(H6864,'合同综合查询数据（3月返）'!$A:$A,1,FALSE)</f>
        <v>#N/A</v>
      </c>
      <c r="J6864" s="424" t="s">
        <v>7564</v>
      </c>
      <c r="K6864" s="427" t="s">
        <v>9090</v>
      </c>
      <c r="L6864" s="428"/>
      <c r="M6864" s="429"/>
      <c r="N6864" s="430"/>
      <c r="O6864" s="430" t="s">
        <v>152</v>
      </c>
      <c r="P6864" s="514">
        <v>0</v>
      </c>
      <c r="Q6864" s="140">
        <v>1</v>
      </c>
      <c r="R6864" s="69">
        <f t="shared" si="157"/>
        <v>0</v>
      </c>
      <c r="S6864" s="434">
        <v>202303</v>
      </c>
      <c r="T6864" s="517" t="s">
        <v>9109</v>
      </c>
      <c r="U6864" s="436"/>
      <c r="V6864" s="518"/>
      <c r="W6864" s="518"/>
      <c r="X6864" s="111">
        <v>44986</v>
      </c>
      <c r="Y6864" s="111"/>
    </row>
    <row r="6865" s="10" customFormat="1" customHeight="1" spans="1:25">
      <c r="A6865" s="459" t="s">
        <v>401</v>
      </c>
      <c r="B6865" s="459" t="s">
        <v>8192</v>
      </c>
      <c r="C6865" s="62" t="s">
        <v>253</v>
      </c>
      <c r="D6865" s="459" t="s">
        <v>6237</v>
      </c>
      <c r="E6865" s="160" t="s">
        <v>9110</v>
      </c>
      <c r="F6865" s="61" t="s">
        <v>9111</v>
      </c>
      <c r="G6865" s="424" t="s">
        <v>88</v>
      </c>
      <c r="H6865" s="45" t="s">
        <v>9112</v>
      </c>
      <c r="I6865" s="47" t="e">
        <f>VLOOKUP(H6865,'合同综合查询数据（3月返）'!$A:$A,1,FALSE)</f>
        <v>#N/A</v>
      </c>
      <c r="J6865" s="424" t="s">
        <v>126</v>
      </c>
      <c r="K6865" s="427" t="s">
        <v>255</v>
      </c>
      <c r="L6865" s="428"/>
      <c r="M6865" s="429" t="s">
        <v>9113</v>
      </c>
      <c r="N6865" s="430" t="s">
        <v>9114</v>
      </c>
      <c r="O6865" s="430" t="s">
        <v>127</v>
      </c>
      <c r="P6865" s="514">
        <v>4167</v>
      </c>
      <c r="Q6865" s="140">
        <v>4</v>
      </c>
      <c r="R6865" s="69">
        <f t="shared" si="157"/>
        <v>16668</v>
      </c>
      <c r="S6865" s="434">
        <v>202303</v>
      </c>
      <c r="T6865" s="517" t="s">
        <v>9115</v>
      </c>
      <c r="U6865" s="436"/>
      <c r="V6865" s="518"/>
      <c r="W6865" s="518"/>
      <c r="X6865" s="111">
        <v>44986</v>
      </c>
      <c r="Y6865" s="111"/>
    </row>
    <row r="6866" s="10" customFormat="1" customHeight="1" spans="1:25">
      <c r="A6866" s="459" t="s">
        <v>401</v>
      </c>
      <c r="B6866" s="459" t="s">
        <v>8192</v>
      </c>
      <c r="C6866" s="62" t="s">
        <v>253</v>
      </c>
      <c r="D6866" s="459" t="s">
        <v>6237</v>
      </c>
      <c r="E6866" s="160" t="s">
        <v>9110</v>
      </c>
      <c r="F6866" s="61" t="s">
        <v>9111</v>
      </c>
      <c r="G6866" s="424" t="s">
        <v>31</v>
      </c>
      <c r="H6866" s="45" t="s">
        <v>9112</v>
      </c>
      <c r="I6866" s="47" t="e">
        <f>VLOOKUP(H6866,'合同综合查询数据（3月返）'!$A:$A,1,FALSE)</f>
        <v>#N/A</v>
      </c>
      <c r="J6866" s="424" t="s">
        <v>7564</v>
      </c>
      <c r="K6866" s="427" t="s">
        <v>255</v>
      </c>
      <c r="L6866" s="428"/>
      <c r="M6866" s="429"/>
      <c r="N6866" s="430"/>
      <c r="O6866" s="430" t="s">
        <v>37</v>
      </c>
      <c r="P6866" s="514">
        <v>0</v>
      </c>
      <c r="Q6866" s="140">
        <v>288</v>
      </c>
      <c r="R6866" s="69">
        <f t="shared" si="157"/>
        <v>0</v>
      </c>
      <c r="S6866" s="434">
        <v>202303</v>
      </c>
      <c r="T6866" s="517" t="s">
        <v>9116</v>
      </c>
      <c r="U6866" s="436"/>
      <c r="V6866" s="518"/>
      <c r="W6866" s="518"/>
      <c r="X6866" s="111">
        <v>44986</v>
      </c>
      <c r="Y6866" s="111"/>
    </row>
    <row r="6867" s="10" customFormat="1" customHeight="1" spans="1:25">
      <c r="A6867" s="459" t="s">
        <v>401</v>
      </c>
      <c r="B6867" s="459" t="s">
        <v>8192</v>
      </c>
      <c r="C6867" s="62" t="s">
        <v>253</v>
      </c>
      <c r="D6867" s="459" t="s">
        <v>6237</v>
      </c>
      <c r="E6867" s="160" t="s">
        <v>9110</v>
      </c>
      <c r="F6867" s="61" t="s">
        <v>9111</v>
      </c>
      <c r="G6867" s="424" t="s">
        <v>31</v>
      </c>
      <c r="H6867" s="45" t="s">
        <v>9112</v>
      </c>
      <c r="I6867" s="47" t="e">
        <f>VLOOKUP(H6867,'合同综合查询数据（3月返）'!$A:$A,1,FALSE)</f>
        <v>#N/A</v>
      </c>
      <c r="J6867" s="424" t="s">
        <v>7564</v>
      </c>
      <c r="K6867" s="427" t="s">
        <v>255</v>
      </c>
      <c r="L6867" s="428"/>
      <c r="M6867" s="429"/>
      <c r="N6867" s="430"/>
      <c r="O6867" s="430" t="s">
        <v>152</v>
      </c>
      <c r="P6867" s="514">
        <v>0</v>
      </c>
      <c r="Q6867" s="140">
        <v>2</v>
      </c>
      <c r="R6867" s="69">
        <f t="shared" si="157"/>
        <v>0</v>
      </c>
      <c r="S6867" s="434">
        <v>202303</v>
      </c>
      <c r="T6867" s="517" t="s">
        <v>9117</v>
      </c>
      <c r="U6867" s="436"/>
      <c r="V6867" s="518"/>
      <c r="W6867" s="518"/>
      <c r="X6867" s="111">
        <v>44986</v>
      </c>
      <c r="Y6867" s="111"/>
    </row>
    <row r="6868" s="10" customFormat="1" customHeight="1" spans="1:25">
      <c r="A6868" s="459" t="s">
        <v>401</v>
      </c>
      <c r="B6868" s="459" t="s">
        <v>8192</v>
      </c>
      <c r="C6868" s="62" t="s">
        <v>253</v>
      </c>
      <c r="D6868" s="459" t="s">
        <v>6237</v>
      </c>
      <c r="E6868" s="160" t="s">
        <v>9110</v>
      </c>
      <c r="F6868" s="61" t="s">
        <v>9111</v>
      </c>
      <c r="G6868" s="424" t="s">
        <v>88</v>
      </c>
      <c r="H6868" s="45" t="s">
        <v>9118</v>
      </c>
      <c r="I6868" s="47" t="e">
        <f>VLOOKUP(H6868,'合同综合查询数据（3月返）'!$A:$A,1,FALSE)</f>
        <v>#N/A</v>
      </c>
      <c r="J6868" s="424" t="s">
        <v>126</v>
      </c>
      <c r="K6868" s="427" t="s">
        <v>255</v>
      </c>
      <c r="L6868" s="428" t="s">
        <v>9119</v>
      </c>
      <c r="M6868" s="429" t="s">
        <v>9113</v>
      </c>
      <c r="N6868" s="430">
        <v>44593</v>
      </c>
      <c r="O6868" s="430" t="s">
        <v>127</v>
      </c>
      <c r="P6868" s="514">
        <v>0</v>
      </c>
      <c r="Q6868" s="140">
        <v>3</v>
      </c>
      <c r="R6868" s="69">
        <f t="shared" si="157"/>
        <v>0</v>
      </c>
      <c r="S6868" s="434">
        <v>202303</v>
      </c>
      <c r="T6868" s="519" t="s">
        <v>9120</v>
      </c>
      <c r="U6868" s="436"/>
      <c r="V6868" s="518"/>
      <c r="W6868" s="518"/>
      <c r="X6868" s="163">
        <v>44593</v>
      </c>
      <c r="Y6868" s="111"/>
    </row>
    <row r="6869" s="10" customFormat="1" customHeight="1" spans="1:25">
      <c r="A6869" s="459" t="s">
        <v>401</v>
      </c>
      <c r="B6869" s="459" t="s">
        <v>8192</v>
      </c>
      <c r="C6869" s="62" t="s">
        <v>253</v>
      </c>
      <c r="D6869" s="459" t="s">
        <v>6237</v>
      </c>
      <c r="E6869" s="160" t="s">
        <v>9110</v>
      </c>
      <c r="F6869" s="61" t="s">
        <v>9111</v>
      </c>
      <c r="G6869" s="424" t="s">
        <v>88</v>
      </c>
      <c r="H6869" s="45" t="s">
        <v>9118</v>
      </c>
      <c r="I6869" s="47" t="e">
        <f>VLOOKUP(H6869,'合同综合查询数据（3月返）'!$A:$A,1,FALSE)</f>
        <v>#N/A</v>
      </c>
      <c r="J6869" s="424" t="s">
        <v>126</v>
      </c>
      <c r="K6869" s="427" t="s">
        <v>255</v>
      </c>
      <c r="L6869" s="428" t="s">
        <v>9119</v>
      </c>
      <c r="M6869" s="429" t="s">
        <v>9113</v>
      </c>
      <c r="N6869" s="430">
        <v>44681</v>
      </c>
      <c r="O6869" s="430" t="s">
        <v>127</v>
      </c>
      <c r="P6869" s="514">
        <v>0</v>
      </c>
      <c r="Q6869" s="140">
        <v>-3</v>
      </c>
      <c r="R6869" s="69">
        <f t="shared" si="157"/>
        <v>0</v>
      </c>
      <c r="S6869" s="434">
        <v>202303</v>
      </c>
      <c r="T6869" s="519" t="s">
        <v>9121</v>
      </c>
      <c r="U6869" s="436"/>
      <c r="V6869" s="518"/>
      <c r="W6869" s="518"/>
      <c r="X6869" s="163">
        <v>44593</v>
      </c>
      <c r="Y6869" s="111"/>
    </row>
    <row r="6870" s="10" customFormat="1" customHeight="1" spans="1:25">
      <c r="A6870" s="459" t="s">
        <v>401</v>
      </c>
      <c r="B6870" s="459" t="s">
        <v>8192</v>
      </c>
      <c r="C6870" s="62" t="s">
        <v>253</v>
      </c>
      <c r="D6870" s="459" t="s">
        <v>6237</v>
      </c>
      <c r="E6870" s="160" t="s">
        <v>9110</v>
      </c>
      <c r="F6870" s="61" t="s">
        <v>9111</v>
      </c>
      <c r="G6870" s="424" t="s">
        <v>31</v>
      </c>
      <c r="H6870" s="45" t="s">
        <v>9118</v>
      </c>
      <c r="I6870" s="47" t="e">
        <f>VLOOKUP(H6870,'合同综合查询数据（3月返）'!$A:$A,1,FALSE)</f>
        <v>#N/A</v>
      </c>
      <c r="J6870" s="424" t="s">
        <v>7564</v>
      </c>
      <c r="K6870" s="427" t="s">
        <v>255</v>
      </c>
      <c r="L6870" s="428" t="s">
        <v>9119</v>
      </c>
      <c r="M6870" s="429"/>
      <c r="N6870" s="430">
        <v>44593</v>
      </c>
      <c r="O6870" s="430" t="s">
        <v>37</v>
      </c>
      <c r="P6870" s="514">
        <v>0</v>
      </c>
      <c r="Q6870" s="140">
        <v>288</v>
      </c>
      <c r="R6870" s="69">
        <f t="shared" si="157"/>
        <v>0</v>
      </c>
      <c r="S6870" s="434">
        <v>202303</v>
      </c>
      <c r="T6870" s="519" t="s">
        <v>9122</v>
      </c>
      <c r="U6870" s="436"/>
      <c r="V6870" s="518"/>
      <c r="W6870" s="518"/>
      <c r="X6870" s="163">
        <v>44593</v>
      </c>
      <c r="Y6870" s="111"/>
    </row>
    <row r="6871" s="10" customFormat="1" customHeight="1" spans="1:25">
      <c r="A6871" s="459" t="s">
        <v>401</v>
      </c>
      <c r="B6871" s="459" t="s">
        <v>8192</v>
      </c>
      <c r="C6871" s="62" t="s">
        <v>253</v>
      </c>
      <c r="D6871" s="459" t="s">
        <v>6237</v>
      </c>
      <c r="E6871" s="160" t="s">
        <v>9110</v>
      </c>
      <c r="F6871" s="61" t="s">
        <v>9111</v>
      </c>
      <c r="G6871" s="424" t="s">
        <v>31</v>
      </c>
      <c r="H6871" s="45" t="s">
        <v>9118</v>
      </c>
      <c r="I6871" s="47" t="e">
        <f>VLOOKUP(H6871,'合同综合查询数据（3月返）'!$A:$A,1,FALSE)</f>
        <v>#N/A</v>
      </c>
      <c r="J6871" s="424" t="s">
        <v>7564</v>
      </c>
      <c r="K6871" s="427" t="s">
        <v>255</v>
      </c>
      <c r="L6871" s="428" t="s">
        <v>9119</v>
      </c>
      <c r="M6871" s="429"/>
      <c r="N6871" s="430">
        <v>44681</v>
      </c>
      <c r="O6871" s="430" t="s">
        <v>37</v>
      </c>
      <c r="P6871" s="514">
        <v>0</v>
      </c>
      <c r="Q6871" s="140">
        <v>-288</v>
      </c>
      <c r="R6871" s="69">
        <f t="shared" si="157"/>
        <v>0</v>
      </c>
      <c r="S6871" s="434">
        <v>202303</v>
      </c>
      <c r="T6871" s="519" t="s">
        <v>9123</v>
      </c>
      <c r="U6871" s="436"/>
      <c r="V6871" s="518"/>
      <c r="W6871" s="518"/>
      <c r="X6871" s="163">
        <v>44593</v>
      </c>
      <c r="Y6871" s="111"/>
    </row>
    <row r="6872" s="9" customFormat="1" customHeight="1" spans="1:25">
      <c r="A6872" s="446" t="s">
        <v>401</v>
      </c>
      <c r="B6872" s="446" t="s">
        <v>8192</v>
      </c>
      <c r="C6872" s="94" t="s">
        <v>9082</v>
      </c>
      <c r="D6872" s="94" t="s">
        <v>6905</v>
      </c>
      <c r="E6872" s="147" t="s">
        <v>9124</v>
      </c>
      <c r="F6872" s="98" t="s">
        <v>9125</v>
      </c>
      <c r="G6872" s="448" t="s">
        <v>31</v>
      </c>
      <c r="H6872" s="19" t="s">
        <v>9126</v>
      </c>
      <c r="I6872" s="23" t="e">
        <f>VLOOKUP(H6872,'合同综合查询数据（3月返）'!$A:$A,1,FALSE)</f>
        <v>#N/A</v>
      </c>
      <c r="J6872" s="448" t="s">
        <v>7564</v>
      </c>
      <c r="K6872" s="511" t="s">
        <v>122</v>
      </c>
      <c r="L6872" s="512"/>
      <c r="M6872" s="449"/>
      <c r="N6872" s="252">
        <v>43344</v>
      </c>
      <c r="O6872" s="252" t="s">
        <v>37</v>
      </c>
      <c r="P6872" s="513">
        <v>0</v>
      </c>
      <c r="Q6872" s="131">
        <v>416</v>
      </c>
      <c r="R6872" s="119">
        <f t="shared" si="157"/>
        <v>0</v>
      </c>
      <c r="S6872" s="456">
        <v>202303</v>
      </c>
      <c r="T6872" s="134" t="s">
        <v>9127</v>
      </c>
      <c r="U6872" s="488"/>
      <c r="V6872" s="516"/>
      <c r="W6872" s="516"/>
      <c r="X6872" s="190"/>
      <c r="Y6872" s="106"/>
    </row>
    <row r="6873" s="9" customFormat="1" customHeight="1" spans="1:25">
      <c r="A6873" s="446" t="s">
        <v>401</v>
      </c>
      <c r="B6873" s="446" t="s">
        <v>8192</v>
      </c>
      <c r="C6873" s="94" t="s">
        <v>9082</v>
      </c>
      <c r="D6873" s="94" t="s">
        <v>6905</v>
      </c>
      <c r="E6873" s="147" t="s">
        <v>9124</v>
      </c>
      <c r="F6873" s="98" t="s">
        <v>9125</v>
      </c>
      <c r="G6873" s="448" t="s">
        <v>31</v>
      </c>
      <c r="H6873" s="19" t="s">
        <v>9126</v>
      </c>
      <c r="I6873" s="23" t="e">
        <f>VLOOKUP(H6873,'合同综合查询数据（3月返）'!$A:$A,1,FALSE)</f>
        <v>#N/A</v>
      </c>
      <c r="J6873" s="448" t="s">
        <v>7564</v>
      </c>
      <c r="K6873" s="511" t="s">
        <v>122</v>
      </c>
      <c r="L6873" s="512"/>
      <c r="M6873" s="449"/>
      <c r="N6873" s="252"/>
      <c r="O6873" s="252" t="s">
        <v>152</v>
      </c>
      <c r="P6873" s="513">
        <v>0</v>
      </c>
      <c r="Q6873" s="131">
        <v>1</v>
      </c>
      <c r="R6873" s="119">
        <f t="shared" si="157"/>
        <v>0</v>
      </c>
      <c r="S6873" s="456">
        <v>202303</v>
      </c>
      <c r="T6873" s="134" t="s">
        <v>9128</v>
      </c>
      <c r="U6873" s="488"/>
      <c r="V6873" s="516"/>
      <c r="W6873" s="516"/>
      <c r="X6873" s="190"/>
      <c r="Y6873" s="106"/>
    </row>
    <row r="6874" s="9" customFormat="1" customHeight="1" spans="1:25">
      <c r="A6874" s="446" t="s">
        <v>401</v>
      </c>
      <c r="B6874" s="446" t="s">
        <v>8192</v>
      </c>
      <c r="C6874" s="94" t="s">
        <v>9082</v>
      </c>
      <c r="D6874" s="94" t="s">
        <v>6905</v>
      </c>
      <c r="E6874" s="147" t="s">
        <v>9124</v>
      </c>
      <c r="F6874" s="98" t="s">
        <v>9125</v>
      </c>
      <c r="G6874" s="448" t="s">
        <v>88</v>
      </c>
      <c r="H6874" s="19" t="s">
        <v>9126</v>
      </c>
      <c r="I6874" s="23" t="e">
        <f>VLOOKUP(H6874,'合同综合查询数据（3月返）'!$A:$A,1,FALSE)</f>
        <v>#N/A</v>
      </c>
      <c r="J6874" s="448" t="s">
        <v>126</v>
      </c>
      <c r="K6874" s="511" t="s">
        <v>122</v>
      </c>
      <c r="L6874" s="512"/>
      <c r="M6874" s="449" t="s">
        <v>9103</v>
      </c>
      <c r="N6874" s="252">
        <v>43344</v>
      </c>
      <c r="O6874" s="252" t="s">
        <v>3534</v>
      </c>
      <c r="P6874" s="513">
        <v>0</v>
      </c>
      <c r="Q6874" s="131">
        <v>4</v>
      </c>
      <c r="R6874" s="119">
        <f t="shared" si="157"/>
        <v>0</v>
      </c>
      <c r="S6874" s="456">
        <v>202303</v>
      </c>
      <c r="T6874" s="134" t="s">
        <v>9129</v>
      </c>
      <c r="U6874" s="488"/>
      <c r="V6874" s="516"/>
      <c r="W6874" s="516"/>
      <c r="X6874" s="190"/>
      <c r="Y6874" s="106"/>
    </row>
    <row r="6875" s="9" customFormat="1" customHeight="1" spans="1:25">
      <c r="A6875" s="446" t="s">
        <v>401</v>
      </c>
      <c r="B6875" s="446" t="s">
        <v>8192</v>
      </c>
      <c r="C6875" s="94" t="s">
        <v>9082</v>
      </c>
      <c r="D6875" s="94" t="s">
        <v>6905</v>
      </c>
      <c r="E6875" s="147" t="s">
        <v>9124</v>
      </c>
      <c r="F6875" s="98" t="s">
        <v>9125</v>
      </c>
      <c r="G6875" s="448" t="s">
        <v>88</v>
      </c>
      <c r="H6875" s="19" t="s">
        <v>9126</v>
      </c>
      <c r="I6875" s="23" t="e">
        <f>VLOOKUP(H6875,'合同综合查询数据（3月返）'!$A:$A,1,FALSE)</f>
        <v>#N/A</v>
      </c>
      <c r="J6875" s="448" t="s">
        <v>126</v>
      </c>
      <c r="K6875" s="511" t="s">
        <v>122</v>
      </c>
      <c r="L6875" s="512"/>
      <c r="M6875" s="449" t="s">
        <v>9103</v>
      </c>
      <c r="N6875" s="252">
        <v>44681</v>
      </c>
      <c r="O6875" s="252" t="s">
        <v>3534</v>
      </c>
      <c r="P6875" s="513">
        <v>0</v>
      </c>
      <c r="Q6875" s="131">
        <v>-1</v>
      </c>
      <c r="R6875" s="119">
        <f t="shared" si="157"/>
        <v>0</v>
      </c>
      <c r="S6875" s="456">
        <v>202303</v>
      </c>
      <c r="T6875" s="134" t="s">
        <v>9130</v>
      </c>
      <c r="U6875" s="488"/>
      <c r="V6875" s="516"/>
      <c r="W6875" s="516"/>
      <c r="X6875" s="190"/>
      <c r="Y6875" s="106"/>
    </row>
    <row r="6876" s="9" customFormat="1" customHeight="1" spans="1:25">
      <c r="A6876" s="446" t="s">
        <v>401</v>
      </c>
      <c r="B6876" s="446" t="s">
        <v>8192</v>
      </c>
      <c r="C6876" s="94" t="s">
        <v>9082</v>
      </c>
      <c r="D6876" s="94" t="s">
        <v>6905</v>
      </c>
      <c r="E6876" s="147" t="s">
        <v>9124</v>
      </c>
      <c r="F6876" s="98" t="s">
        <v>9125</v>
      </c>
      <c r="G6876" s="448" t="s">
        <v>88</v>
      </c>
      <c r="H6876" s="19" t="s">
        <v>9126</v>
      </c>
      <c r="I6876" s="23" t="e">
        <f>VLOOKUP(H6876,'合同综合查询数据（3月返）'!$A:$A,1,FALSE)</f>
        <v>#N/A</v>
      </c>
      <c r="J6876" s="448" t="s">
        <v>126</v>
      </c>
      <c r="K6876" s="511" t="s">
        <v>122</v>
      </c>
      <c r="L6876" s="512"/>
      <c r="M6876" s="449" t="s">
        <v>9103</v>
      </c>
      <c r="N6876" s="252">
        <v>43947</v>
      </c>
      <c r="O6876" s="252" t="s">
        <v>3534</v>
      </c>
      <c r="P6876" s="513">
        <v>0</v>
      </c>
      <c r="Q6876" s="131">
        <v>2</v>
      </c>
      <c r="R6876" s="119">
        <f t="shared" si="157"/>
        <v>0</v>
      </c>
      <c r="S6876" s="456">
        <v>202303</v>
      </c>
      <c r="T6876" s="134" t="s">
        <v>9131</v>
      </c>
      <c r="U6876" s="488"/>
      <c r="V6876" s="516"/>
      <c r="W6876" s="516"/>
      <c r="X6876" s="190"/>
      <c r="Y6876" s="106"/>
    </row>
    <row r="6877" s="10" customFormat="1" customHeight="1" spans="1:25">
      <c r="A6877" s="459" t="s">
        <v>401</v>
      </c>
      <c r="B6877" s="459" t="s">
        <v>8192</v>
      </c>
      <c r="C6877" s="62" t="s">
        <v>9082</v>
      </c>
      <c r="D6877" s="62" t="s">
        <v>6905</v>
      </c>
      <c r="E6877" s="160" t="s">
        <v>9124</v>
      </c>
      <c r="F6877" s="61" t="s">
        <v>9125</v>
      </c>
      <c r="G6877" s="424" t="s">
        <v>88</v>
      </c>
      <c r="H6877" s="45" t="s">
        <v>9132</v>
      </c>
      <c r="I6877" s="47" t="e">
        <f>VLOOKUP(H6877,'合同综合查询数据（3月返）'!$A:$A,1,FALSE)</f>
        <v>#N/A</v>
      </c>
      <c r="J6877" s="424" t="s">
        <v>126</v>
      </c>
      <c r="K6877" s="427" t="s">
        <v>122</v>
      </c>
      <c r="L6877" s="428" t="s">
        <v>9133</v>
      </c>
      <c r="M6877" s="429" t="s">
        <v>9103</v>
      </c>
      <c r="N6877" s="430">
        <v>44682</v>
      </c>
      <c r="O6877" s="430" t="s">
        <v>3534</v>
      </c>
      <c r="P6877" s="514">
        <v>0</v>
      </c>
      <c r="Q6877" s="140">
        <v>1</v>
      </c>
      <c r="R6877" s="69">
        <f t="shared" si="157"/>
        <v>0</v>
      </c>
      <c r="S6877" s="434">
        <v>202303</v>
      </c>
      <c r="T6877" s="517" t="s">
        <v>9134</v>
      </c>
      <c r="U6877" s="436"/>
      <c r="V6877" s="518"/>
      <c r="W6877" s="518"/>
      <c r="X6877" s="163"/>
      <c r="Y6877" s="111"/>
    </row>
    <row r="6878" s="10" customFormat="1" customHeight="1" spans="1:25">
      <c r="A6878" s="459" t="s">
        <v>401</v>
      </c>
      <c r="B6878" s="459" t="s">
        <v>8192</v>
      </c>
      <c r="C6878" s="62" t="s">
        <v>9082</v>
      </c>
      <c r="D6878" s="62" t="s">
        <v>6905</v>
      </c>
      <c r="E6878" s="160" t="s">
        <v>9124</v>
      </c>
      <c r="F6878" s="61" t="s">
        <v>9125</v>
      </c>
      <c r="G6878" s="424" t="s">
        <v>88</v>
      </c>
      <c r="H6878" s="45" t="s">
        <v>9132</v>
      </c>
      <c r="I6878" s="47" t="e">
        <f>VLOOKUP(H6878,'合同综合查询数据（3月返）'!$A:$A,1,FALSE)</f>
        <v>#N/A</v>
      </c>
      <c r="J6878" s="424" t="s">
        <v>126</v>
      </c>
      <c r="K6878" s="427" t="s">
        <v>122</v>
      </c>
      <c r="L6878" s="428" t="s">
        <v>9133</v>
      </c>
      <c r="M6878" s="429" t="s">
        <v>9103</v>
      </c>
      <c r="N6878" s="430">
        <v>44773</v>
      </c>
      <c r="O6878" s="430" t="s">
        <v>3534</v>
      </c>
      <c r="P6878" s="514">
        <v>0</v>
      </c>
      <c r="Q6878" s="140">
        <v>-1</v>
      </c>
      <c r="R6878" s="69">
        <f t="shared" si="157"/>
        <v>0</v>
      </c>
      <c r="S6878" s="434">
        <v>202303</v>
      </c>
      <c r="T6878" s="517" t="s">
        <v>9135</v>
      </c>
      <c r="U6878" s="436"/>
      <c r="V6878" s="518"/>
      <c r="W6878" s="518"/>
      <c r="X6878" s="163"/>
      <c r="Y6878" s="111"/>
    </row>
    <row r="6879" s="9" customFormat="1" customHeight="1" spans="1:25">
      <c r="A6879" s="446" t="s">
        <v>401</v>
      </c>
      <c r="B6879" s="446" t="s">
        <v>8192</v>
      </c>
      <c r="C6879" s="94" t="s">
        <v>9082</v>
      </c>
      <c r="D6879" s="94" t="s">
        <v>6905</v>
      </c>
      <c r="E6879" s="147" t="s">
        <v>9124</v>
      </c>
      <c r="F6879" s="98" t="s">
        <v>9125</v>
      </c>
      <c r="G6879" s="448" t="s">
        <v>88</v>
      </c>
      <c r="H6879" s="19" t="s">
        <v>9126</v>
      </c>
      <c r="I6879" s="23" t="e">
        <f>VLOOKUP(H6879,'合同综合查询数据（3月返）'!$A:$A,1,FALSE)</f>
        <v>#N/A</v>
      </c>
      <c r="J6879" s="448" t="s">
        <v>126</v>
      </c>
      <c r="K6879" s="511" t="s">
        <v>122</v>
      </c>
      <c r="L6879" s="512"/>
      <c r="M6879" s="449" t="s">
        <v>9103</v>
      </c>
      <c r="N6879" s="252">
        <v>44739</v>
      </c>
      <c r="O6879" s="252" t="s">
        <v>3534</v>
      </c>
      <c r="P6879" s="513">
        <v>0</v>
      </c>
      <c r="Q6879" s="131">
        <v>-2</v>
      </c>
      <c r="R6879" s="119">
        <f t="shared" si="157"/>
        <v>0</v>
      </c>
      <c r="S6879" s="456">
        <v>202303</v>
      </c>
      <c r="T6879" s="134" t="s">
        <v>9136</v>
      </c>
      <c r="U6879" s="488"/>
      <c r="V6879" s="516"/>
      <c r="W6879" s="516"/>
      <c r="X6879" s="190"/>
      <c r="Y6879" s="106"/>
    </row>
    <row r="6880" s="9" customFormat="1" customHeight="1" spans="1:25">
      <c r="A6880" s="446" t="s">
        <v>401</v>
      </c>
      <c r="B6880" s="446" t="s">
        <v>8192</v>
      </c>
      <c r="C6880" s="94" t="s">
        <v>9082</v>
      </c>
      <c r="D6880" s="94" t="s">
        <v>6905</v>
      </c>
      <c r="E6880" s="147" t="s">
        <v>9124</v>
      </c>
      <c r="F6880" s="98" t="s">
        <v>9125</v>
      </c>
      <c r="G6880" s="448" t="s">
        <v>88</v>
      </c>
      <c r="H6880" s="19" t="s">
        <v>9126</v>
      </c>
      <c r="I6880" s="23" t="e">
        <f>VLOOKUP(H6880,'合同综合查询数据（3月返）'!$A:$A,1,FALSE)</f>
        <v>#N/A</v>
      </c>
      <c r="J6880" s="448" t="s">
        <v>126</v>
      </c>
      <c r="K6880" s="511" t="s">
        <v>122</v>
      </c>
      <c r="L6880" s="512"/>
      <c r="M6880" s="449" t="s">
        <v>9103</v>
      </c>
      <c r="N6880" s="252">
        <v>44773</v>
      </c>
      <c r="O6880" s="252" t="s">
        <v>3534</v>
      </c>
      <c r="P6880" s="513">
        <v>0</v>
      </c>
      <c r="Q6880" s="131">
        <v>-3</v>
      </c>
      <c r="R6880" s="119">
        <f t="shared" si="157"/>
        <v>0</v>
      </c>
      <c r="S6880" s="456">
        <v>202303</v>
      </c>
      <c r="T6880" s="134" t="s">
        <v>9137</v>
      </c>
      <c r="U6880" s="488"/>
      <c r="V6880" s="516"/>
      <c r="W6880" s="516"/>
      <c r="X6880" s="190"/>
      <c r="Y6880" s="106"/>
    </row>
    <row r="6881" s="9" customFormat="1" customHeight="1" spans="1:25">
      <c r="A6881" s="446" t="s">
        <v>401</v>
      </c>
      <c r="B6881" s="446" t="s">
        <v>8192</v>
      </c>
      <c r="C6881" s="94" t="s">
        <v>9082</v>
      </c>
      <c r="D6881" s="94" t="s">
        <v>6905</v>
      </c>
      <c r="E6881" s="147" t="s">
        <v>9124</v>
      </c>
      <c r="F6881" s="98" t="s">
        <v>9125</v>
      </c>
      <c r="G6881" s="448" t="s">
        <v>31</v>
      </c>
      <c r="H6881" s="19" t="s">
        <v>9126</v>
      </c>
      <c r="I6881" s="23" t="e">
        <f>VLOOKUP(H6881,'合同综合查询数据（3月返）'!$A:$A,1,FALSE)</f>
        <v>#N/A</v>
      </c>
      <c r="J6881" s="448" t="s">
        <v>7564</v>
      </c>
      <c r="K6881" s="511" t="s">
        <v>122</v>
      </c>
      <c r="L6881" s="512"/>
      <c r="M6881" s="449"/>
      <c r="N6881" s="252">
        <v>44773</v>
      </c>
      <c r="O6881" s="252" t="s">
        <v>37</v>
      </c>
      <c r="P6881" s="513">
        <v>0</v>
      </c>
      <c r="Q6881" s="131">
        <v>-416</v>
      </c>
      <c r="R6881" s="119">
        <f t="shared" si="157"/>
        <v>0</v>
      </c>
      <c r="S6881" s="456">
        <v>202303</v>
      </c>
      <c r="T6881" s="134" t="s">
        <v>9138</v>
      </c>
      <c r="U6881" s="488"/>
      <c r="V6881" s="516"/>
      <c r="W6881" s="516"/>
      <c r="X6881" s="190"/>
      <c r="Y6881" s="106"/>
    </row>
    <row r="6882" s="10" customFormat="1" customHeight="1" spans="1:25">
      <c r="A6882" s="459" t="s">
        <v>401</v>
      </c>
      <c r="B6882" s="459" t="s">
        <v>8192</v>
      </c>
      <c r="C6882" s="62" t="s">
        <v>9082</v>
      </c>
      <c r="D6882" s="62" t="s">
        <v>6905</v>
      </c>
      <c r="E6882" s="160" t="s">
        <v>9124</v>
      </c>
      <c r="F6882" s="61" t="s">
        <v>9125</v>
      </c>
      <c r="G6882" s="424" t="s">
        <v>31</v>
      </c>
      <c r="H6882" s="45" t="s">
        <v>9132</v>
      </c>
      <c r="I6882" s="47" t="e">
        <f>VLOOKUP(H6882,'合同综合查询数据（3月返）'!$A:$A,1,FALSE)</f>
        <v>#N/A</v>
      </c>
      <c r="J6882" s="424" t="s">
        <v>7564</v>
      </c>
      <c r="K6882" s="427" t="s">
        <v>122</v>
      </c>
      <c r="L6882" s="428" t="s">
        <v>9133</v>
      </c>
      <c r="M6882" s="429" t="s">
        <v>9103</v>
      </c>
      <c r="N6882" s="430">
        <v>44682</v>
      </c>
      <c r="O6882" s="430" t="s">
        <v>37</v>
      </c>
      <c r="P6882" s="514">
        <v>0</v>
      </c>
      <c r="Q6882" s="140">
        <v>128</v>
      </c>
      <c r="R6882" s="69">
        <f t="shared" si="157"/>
        <v>0</v>
      </c>
      <c r="S6882" s="434">
        <v>202303</v>
      </c>
      <c r="T6882" s="517" t="s">
        <v>9139</v>
      </c>
      <c r="U6882" s="436"/>
      <c r="V6882" s="518"/>
      <c r="W6882" s="518"/>
      <c r="X6882" s="163"/>
      <c r="Y6882" s="111"/>
    </row>
    <row r="6883" s="10" customFormat="1" customHeight="1" spans="1:25">
      <c r="A6883" s="459" t="s">
        <v>401</v>
      </c>
      <c r="B6883" s="459" t="s">
        <v>8192</v>
      </c>
      <c r="C6883" s="62" t="s">
        <v>9082</v>
      </c>
      <c r="D6883" s="62" t="s">
        <v>6905</v>
      </c>
      <c r="E6883" s="160" t="s">
        <v>9124</v>
      </c>
      <c r="F6883" s="61" t="s">
        <v>9125</v>
      </c>
      <c r="G6883" s="424" t="s">
        <v>31</v>
      </c>
      <c r="H6883" s="45" t="s">
        <v>9132</v>
      </c>
      <c r="I6883" s="47" t="e">
        <f>VLOOKUP(H6883,'合同综合查询数据（3月返）'!$A:$A,1,FALSE)</f>
        <v>#N/A</v>
      </c>
      <c r="J6883" s="424" t="s">
        <v>7564</v>
      </c>
      <c r="K6883" s="427" t="s">
        <v>122</v>
      </c>
      <c r="L6883" s="428" t="s">
        <v>9133</v>
      </c>
      <c r="M6883" s="429" t="s">
        <v>9103</v>
      </c>
      <c r="N6883" s="430">
        <v>44773</v>
      </c>
      <c r="O6883" s="430" t="s">
        <v>37</v>
      </c>
      <c r="P6883" s="514">
        <v>0</v>
      </c>
      <c r="Q6883" s="140">
        <v>-128</v>
      </c>
      <c r="R6883" s="69">
        <f t="shared" si="157"/>
        <v>0</v>
      </c>
      <c r="S6883" s="434">
        <v>202303</v>
      </c>
      <c r="T6883" s="517" t="s">
        <v>9140</v>
      </c>
      <c r="U6883" s="436"/>
      <c r="V6883" s="518"/>
      <c r="W6883" s="518"/>
      <c r="X6883" s="163"/>
      <c r="Y6883" s="111"/>
    </row>
    <row r="6884" s="10" customFormat="1" customHeight="1" spans="1:25">
      <c r="A6884" s="459" t="s">
        <v>401</v>
      </c>
      <c r="B6884" s="459" t="s">
        <v>8192</v>
      </c>
      <c r="C6884" s="62" t="s">
        <v>253</v>
      </c>
      <c r="D6884" s="459" t="s">
        <v>6237</v>
      </c>
      <c r="E6884" s="160" t="s">
        <v>9141</v>
      </c>
      <c r="F6884" s="61" t="s">
        <v>9142</v>
      </c>
      <c r="G6884" s="424" t="s">
        <v>88</v>
      </c>
      <c r="H6884" s="45" t="s">
        <v>9143</v>
      </c>
      <c r="I6884" s="47" t="e">
        <f>VLOOKUP(H6884,'合同综合查询数据（3月返）'!$A:$A,1,FALSE)</f>
        <v>#N/A</v>
      </c>
      <c r="J6884" s="424" t="s">
        <v>126</v>
      </c>
      <c r="K6884" s="427" t="s">
        <v>9144</v>
      </c>
      <c r="L6884" s="428"/>
      <c r="M6884" s="429" t="s">
        <v>9145</v>
      </c>
      <c r="N6884" s="430">
        <v>43276</v>
      </c>
      <c r="O6884" s="430" t="s">
        <v>127</v>
      </c>
      <c r="P6884" s="514">
        <v>4167</v>
      </c>
      <c r="Q6884" s="140">
        <v>4</v>
      </c>
      <c r="R6884" s="69">
        <f t="shared" si="157"/>
        <v>16668</v>
      </c>
      <c r="S6884" s="434">
        <v>202303</v>
      </c>
      <c r="T6884" s="517" t="s">
        <v>9146</v>
      </c>
      <c r="U6884" s="436"/>
      <c r="V6884" s="518"/>
      <c r="W6884" s="518"/>
      <c r="X6884" s="111">
        <v>44986</v>
      </c>
      <c r="Y6884" s="111"/>
    </row>
    <row r="6885" s="10" customFormat="1" customHeight="1" spans="1:25">
      <c r="A6885" s="459" t="s">
        <v>401</v>
      </c>
      <c r="B6885" s="459" t="s">
        <v>8192</v>
      </c>
      <c r="C6885" s="62" t="s">
        <v>253</v>
      </c>
      <c r="D6885" s="459" t="s">
        <v>6237</v>
      </c>
      <c r="E6885" s="160" t="s">
        <v>9141</v>
      </c>
      <c r="F6885" s="61" t="s">
        <v>9142</v>
      </c>
      <c r="G6885" s="424" t="s">
        <v>31</v>
      </c>
      <c r="H6885" s="45" t="s">
        <v>9143</v>
      </c>
      <c r="I6885" s="47" t="e">
        <f>VLOOKUP(H6885,'合同综合查询数据（3月返）'!$A:$A,1,FALSE)</f>
        <v>#N/A</v>
      </c>
      <c r="J6885" s="424" t="s">
        <v>7564</v>
      </c>
      <c r="K6885" s="427" t="s">
        <v>9144</v>
      </c>
      <c r="L6885" s="428"/>
      <c r="M6885" s="429" t="s">
        <v>9142</v>
      </c>
      <c r="N6885" s="430" t="s">
        <v>1225</v>
      </c>
      <c r="O6885" s="430" t="s">
        <v>37</v>
      </c>
      <c r="P6885" s="514">
        <v>0</v>
      </c>
      <c r="Q6885" s="140">
        <v>288</v>
      </c>
      <c r="R6885" s="69">
        <f t="shared" si="157"/>
        <v>0</v>
      </c>
      <c r="S6885" s="434">
        <v>202303</v>
      </c>
      <c r="T6885" s="517" t="s">
        <v>9147</v>
      </c>
      <c r="U6885" s="436"/>
      <c r="V6885" s="518"/>
      <c r="W6885" s="518"/>
      <c r="X6885" s="111">
        <v>44986</v>
      </c>
      <c r="Y6885" s="111"/>
    </row>
    <row r="6886" s="10" customFormat="1" customHeight="1" spans="1:25">
      <c r="A6886" s="459" t="s">
        <v>401</v>
      </c>
      <c r="B6886" s="459" t="s">
        <v>8192</v>
      </c>
      <c r="C6886" s="62" t="s">
        <v>253</v>
      </c>
      <c r="D6886" s="459" t="s">
        <v>6237</v>
      </c>
      <c r="E6886" s="160" t="s">
        <v>9141</v>
      </c>
      <c r="F6886" s="61" t="s">
        <v>9142</v>
      </c>
      <c r="G6886" s="424" t="s">
        <v>88</v>
      </c>
      <c r="H6886" s="137" t="s">
        <v>9148</v>
      </c>
      <c r="I6886" s="47" t="e">
        <f>VLOOKUP(H6886,'合同综合查询数据（3月返）'!$A:$A,1,FALSE)</f>
        <v>#N/A</v>
      </c>
      <c r="J6886" s="424" t="s">
        <v>126</v>
      </c>
      <c r="K6886" s="427" t="s">
        <v>9149</v>
      </c>
      <c r="L6886" s="428"/>
      <c r="M6886" s="429" t="s">
        <v>9150</v>
      </c>
      <c r="N6886" s="430">
        <v>44562</v>
      </c>
      <c r="O6886" s="430" t="s">
        <v>624</v>
      </c>
      <c r="P6886" s="514">
        <v>0</v>
      </c>
      <c r="Q6886" s="140">
        <v>2</v>
      </c>
      <c r="R6886" s="69">
        <f t="shared" si="157"/>
        <v>0</v>
      </c>
      <c r="S6886" s="434">
        <v>202303</v>
      </c>
      <c r="T6886" s="519" t="s">
        <v>9151</v>
      </c>
      <c r="U6886" s="436"/>
      <c r="V6886" s="518"/>
      <c r="W6886" s="518"/>
      <c r="X6886" s="442">
        <v>44562</v>
      </c>
      <c r="Y6886" s="111"/>
    </row>
    <row r="6887" s="10" customFormat="1" customHeight="1" spans="1:25">
      <c r="A6887" s="459" t="s">
        <v>401</v>
      </c>
      <c r="B6887" s="459" t="s">
        <v>8192</v>
      </c>
      <c r="C6887" s="62" t="s">
        <v>253</v>
      </c>
      <c r="D6887" s="459" t="s">
        <v>6237</v>
      </c>
      <c r="E6887" s="160" t="s">
        <v>9141</v>
      </c>
      <c r="F6887" s="61" t="s">
        <v>9142</v>
      </c>
      <c r="G6887" s="424" t="s">
        <v>88</v>
      </c>
      <c r="H6887" s="137" t="s">
        <v>9148</v>
      </c>
      <c r="I6887" s="47" t="e">
        <f>VLOOKUP(H6887,'合同综合查询数据（3月返）'!$A:$A,1,FALSE)</f>
        <v>#N/A</v>
      </c>
      <c r="J6887" s="424" t="s">
        <v>126</v>
      </c>
      <c r="K6887" s="427" t="s">
        <v>9149</v>
      </c>
      <c r="L6887" s="428"/>
      <c r="M6887" s="429" t="s">
        <v>9150</v>
      </c>
      <c r="N6887" s="430">
        <v>44651</v>
      </c>
      <c r="O6887" s="430" t="s">
        <v>624</v>
      </c>
      <c r="P6887" s="514">
        <v>0</v>
      </c>
      <c r="Q6887" s="140">
        <v>-2</v>
      </c>
      <c r="R6887" s="69">
        <f t="shared" ref="R6887:R6915" si="158">ROUND(P6887*Q6887,2)</f>
        <v>0</v>
      </c>
      <c r="S6887" s="434">
        <v>202303</v>
      </c>
      <c r="T6887" s="72" t="s">
        <v>9152</v>
      </c>
      <c r="U6887" s="436"/>
      <c r="V6887" s="518"/>
      <c r="W6887" s="518"/>
      <c r="X6887" s="442">
        <v>44562</v>
      </c>
      <c r="Y6887" s="111"/>
    </row>
    <row r="6888" s="10" customFormat="1" customHeight="1" spans="1:25">
      <c r="A6888" s="459" t="s">
        <v>401</v>
      </c>
      <c r="B6888" s="459" t="s">
        <v>8192</v>
      </c>
      <c r="C6888" s="62" t="s">
        <v>253</v>
      </c>
      <c r="D6888" s="459" t="s">
        <v>6237</v>
      </c>
      <c r="E6888" s="160" t="s">
        <v>9141</v>
      </c>
      <c r="F6888" s="61" t="s">
        <v>9142</v>
      </c>
      <c r="G6888" s="424" t="s">
        <v>31</v>
      </c>
      <c r="H6888" s="137" t="s">
        <v>9148</v>
      </c>
      <c r="I6888" s="47" t="e">
        <f>VLOOKUP(H6888,'合同综合查询数据（3月返）'!$A:$A,1,FALSE)</f>
        <v>#N/A</v>
      </c>
      <c r="J6888" s="424" t="s">
        <v>7564</v>
      </c>
      <c r="K6888" s="427" t="s">
        <v>9149</v>
      </c>
      <c r="L6888" s="428"/>
      <c r="M6888" s="429" t="s">
        <v>9150</v>
      </c>
      <c r="N6888" s="430">
        <v>44562</v>
      </c>
      <c r="O6888" s="430" t="s">
        <v>37</v>
      </c>
      <c r="P6888" s="514">
        <v>0</v>
      </c>
      <c r="Q6888" s="140">
        <v>288</v>
      </c>
      <c r="R6888" s="69">
        <f t="shared" si="158"/>
        <v>0</v>
      </c>
      <c r="S6888" s="434">
        <v>202303</v>
      </c>
      <c r="T6888" s="519" t="s">
        <v>9153</v>
      </c>
      <c r="U6888" s="436"/>
      <c r="V6888" s="518"/>
      <c r="W6888" s="518"/>
      <c r="X6888" s="442">
        <v>44562</v>
      </c>
      <c r="Y6888" s="111"/>
    </row>
    <row r="6889" s="10" customFormat="1" customHeight="1" spans="1:25">
      <c r="A6889" s="459" t="s">
        <v>401</v>
      </c>
      <c r="B6889" s="459" t="s">
        <v>8192</v>
      </c>
      <c r="C6889" s="62" t="s">
        <v>253</v>
      </c>
      <c r="D6889" s="459" t="s">
        <v>6237</v>
      </c>
      <c r="E6889" s="160" t="s">
        <v>9141</v>
      </c>
      <c r="F6889" s="61" t="s">
        <v>9142</v>
      </c>
      <c r="G6889" s="424" t="s">
        <v>31</v>
      </c>
      <c r="H6889" s="137" t="s">
        <v>9148</v>
      </c>
      <c r="I6889" s="47" t="e">
        <f>VLOOKUP(H6889,'合同综合查询数据（3月返）'!$A:$A,1,FALSE)</f>
        <v>#N/A</v>
      </c>
      <c r="J6889" s="424" t="s">
        <v>7564</v>
      </c>
      <c r="K6889" s="427" t="s">
        <v>9149</v>
      </c>
      <c r="L6889" s="428"/>
      <c r="M6889" s="429" t="s">
        <v>9150</v>
      </c>
      <c r="N6889" s="430">
        <v>44651</v>
      </c>
      <c r="O6889" s="430" t="s">
        <v>37</v>
      </c>
      <c r="P6889" s="514">
        <v>0</v>
      </c>
      <c r="Q6889" s="140">
        <v>-288</v>
      </c>
      <c r="R6889" s="69">
        <f t="shared" si="158"/>
        <v>0</v>
      </c>
      <c r="S6889" s="434">
        <v>202303</v>
      </c>
      <c r="T6889" s="72" t="s">
        <v>9152</v>
      </c>
      <c r="U6889" s="436"/>
      <c r="V6889" s="518"/>
      <c r="W6889" s="518"/>
      <c r="X6889" s="442">
        <v>44562</v>
      </c>
      <c r="Y6889" s="111"/>
    </row>
    <row r="6890" s="10" customFormat="1" customHeight="1" spans="1:25">
      <c r="A6890" s="459" t="s">
        <v>401</v>
      </c>
      <c r="B6890" s="459" t="s">
        <v>8192</v>
      </c>
      <c r="C6890" s="62" t="s">
        <v>253</v>
      </c>
      <c r="D6890" s="459" t="s">
        <v>6237</v>
      </c>
      <c r="E6890" s="160" t="s">
        <v>9141</v>
      </c>
      <c r="F6890" s="61" t="s">
        <v>9142</v>
      </c>
      <c r="G6890" s="424" t="s">
        <v>31</v>
      </c>
      <c r="H6890" s="45" t="s">
        <v>9143</v>
      </c>
      <c r="I6890" s="47" t="e">
        <f>VLOOKUP(H6890,'合同综合查询数据（3月返）'!$A:$A,1,FALSE)</f>
        <v>#N/A</v>
      </c>
      <c r="J6890" s="424" t="s">
        <v>7564</v>
      </c>
      <c r="K6890" s="427" t="s">
        <v>9144</v>
      </c>
      <c r="L6890" s="428"/>
      <c r="M6890" s="429"/>
      <c r="N6890" s="430"/>
      <c r="O6890" s="430" t="s">
        <v>152</v>
      </c>
      <c r="P6890" s="514">
        <v>0</v>
      </c>
      <c r="Q6890" s="140">
        <v>1</v>
      </c>
      <c r="R6890" s="69">
        <f t="shared" si="158"/>
        <v>0</v>
      </c>
      <c r="S6890" s="434">
        <v>202303</v>
      </c>
      <c r="T6890" s="517" t="s">
        <v>9154</v>
      </c>
      <c r="U6890" s="436"/>
      <c r="V6890" s="518"/>
      <c r="W6890" s="518"/>
      <c r="X6890" s="111">
        <v>44986</v>
      </c>
      <c r="Y6890" s="111"/>
    </row>
    <row r="6891" s="9" customFormat="1" customHeight="1" spans="1:25">
      <c r="A6891" s="446" t="s">
        <v>401</v>
      </c>
      <c r="B6891" s="446" t="s">
        <v>8192</v>
      </c>
      <c r="C6891" s="94" t="s">
        <v>210</v>
      </c>
      <c r="D6891" s="446" t="s">
        <v>6237</v>
      </c>
      <c r="E6891" s="147" t="s">
        <v>9155</v>
      </c>
      <c r="F6891" s="98" t="s">
        <v>9156</v>
      </c>
      <c r="G6891" s="448" t="s">
        <v>31</v>
      </c>
      <c r="H6891" s="19" t="s">
        <v>9157</v>
      </c>
      <c r="I6891" s="23" t="e">
        <f>VLOOKUP(H6891,'合同综合查询数据（3月返）'!$A:$A,1,FALSE)</f>
        <v>#N/A</v>
      </c>
      <c r="J6891" s="448" t="s">
        <v>7564</v>
      </c>
      <c r="K6891" s="511" t="s">
        <v>4839</v>
      </c>
      <c r="L6891" s="493" t="s">
        <v>9158</v>
      </c>
      <c r="M6891" s="449"/>
      <c r="N6891" s="252">
        <v>43337</v>
      </c>
      <c r="O6891" s="252" t="s">
        <v>37</v>
      </c>
      <c r="P6891" s="513">
        <v>0</v>
      </c>
      <c r="Q6891" s="131">
        <v>416</v>
      </c>
      <c r="R6891" s="119">
        <f t="shared" si="158"/>
        <v>0</v>
      </c>
      <c r="S6891" s="456">
        <v>202303</v>
      </c>
      <c r="T6891" s="134" t="s">
        <v>9159</v>
      </c>
      <c r="U6891" s="488"/>
      <c r="V6891" s="516"/>
      <c r="W6891" s="516"/>
      <c r="X6891" s="190"/>
      <c r="Y6891" s="467"/>
    </row>
    <row r="6892" s="9" customFormat="1" customHeight="1" spans="1:25">
      <c r="A6892" s="446" t="s">
        <v>401</v>
      </c>
      <c r="B6892" s="446" t="s">
        <v>8192</v>
      </c>
      <c r="C6892" s="94" t="s">
        <v>210</v>
      </c>
      <c r="D6892" s="446" t="s">
        <v>6237</v>
      </c>
      <c r="E6892" s="147" t="s">
        <v>9155</v>
      </c>
      <c r="F6892" s="98" t="s">
        <v>9156</v>
      </c>
      <c r="G6892" s="448" t="s">
        <v>31</v>
      </c>
      <c r="H6892" s="19" t="s">
        <v>9157</v>
      </c>
      <c r="I6892" s="23" t="e">
        <f>VLOOKUP(H6892,'合同综合查询数据（3月返）'!$A:$A,1,FALSE)</f>
        <v>#N/A</v>
      </c>
      <c r="J6892" s="448" t="s">
        <v>7564</v>
      </c>
      <c r="K6892" s="511" t="s">
        <v>4839</v>
      </c>
      <c r="L6892" s="512"/>
      <c r="M6892" s="449"/>
      <c r="N6892" s="252"/>
      <c r="O6892" s="252" t="s">
        <v>152</v>
      </c>
      <c r="P6892" s="513">
        <v>0</v>
      </c>
      <c r="Q6892" s="131">
        <v>2</v>
      </c>
      <c r="R6892" s="119">
        <f t="shared" si="158"/>
        <v>0</v>
      </c>
      <c r="S6892" s="456">
        <v>202303</v>
      </c>
      <c r="T6892" s="134" t="s">
        <v>9160</v>
      </c>
      <c r="U6892" s="488"/>
      <c r="V6892" s="516"/>
      <c r="W6892" s="516"/>
      <c r="X6892" s="190"/>
      <c r="Y6892" s="467"/>
    </row>
    <row r="6893" s="9" customFormat="1" customHeight="1" spans="1:25">
      <c r="A6893" s="446" t="s">
        <v>401</v>
      </c>
      <c r="B6893" s="446" t="s">
        <v>8192</v>
      </c>
      <c r="C6893" s="94" t="s">
        <v>210</v>
      </c>
      <c r="D6893" s="446" t="s">
        <v>6237</v>
      </c>
      <c r="E6893" s="147" t="s">
        <v>9155</v>
      </c>
      <c r="F6893" s="98" t="s">
        <v>9156</v>
      </c>
      <c r="G6893" s="448" t="s">
        <v>88</v>
      </c>
      <c r="H6893" s="19" t="s">
        <v>9157</v>
      </c>
      <c r="I6893" s="23" t="e">
        <f>VLOOKUP(H6893,'合同综合查询数据（3月返）'!$A:$A,1,FALSE)</f>
        <v>#N/A</v>
      </c>
      <c r="J6893" s="448" t="s">
        <v>126</v>
      </c>
      <c r="K6893" s="511" t="s">
        <v>4839</v>
      </c>
      <c r="L6893" s="512"/>
      <c r="M6893" s="449" t="s">
        <v>9161</v>
      </c>
      <c r="N6893" s="252"/>
      <c r="O6893" s="252" t="s">
        <v>127</v>
      </c>
      <c r="P6893" s="513">
        <v>0</v>
      </c>
      <c r="Q6893" s="131">
        <v>2</v>
      </c>
      <c r="R6893" s="119">
        <f t="shared" si="158"/>
        <v>0</v>
      </c>
      <c r="S6893" s="456">
        <v>202303</v>
      </c>
      <c r="T6893" s="134" t="s">
        <v>9162</v>
      </c>
      <c r="U6893" s="488"/>
      <c r="V6893" s="516"/>
      <c r="W6893" s="516"/>
      <c r="X6893" s="190"/>
      <c r="Y6893" s="467"/>
    </row>
    <row r="6894" s="9" customFormat="1" customHeight="1" spans="1:25">
      <c r="A6894" s="446" t="s">
        <v>401</v>
      </c>
      <c r="B6894" s="446" t="s">
        <v>8192</v>
      </c>
      <c r="C6894" s="94" t="s">
        <v>210</v>
      </c>
      <c r="D6894" s="446" t="s">
        <v>6237</v>
      </c>
      <c r="E6894" s="147" t="s">
        <v>9155</v>
      </c>
      <c r="F6894" s="98" t="s">
        <v>9156</v>
      </c>
      <c r="G6894" s="448" t="s">
        <v>88</v>
      </c>
      <c r="H6894" s="19" t="s">
        <v>9157</v>
      </c>
      <c r="I6894" s="23" t="e">
        <f>VLOOKUP(H6894,'合同综合查询数据（3月返）'!$A:$A,1,FALSE)</f>
        <v>#N/A</v>
      </c>
      <c r="J6894" s="448" t="s">
        <v>126</v>
      </c>
      <c r="K6894" s="511" t="s">
        <v>4839</v>
      </c>
      <c r="L6894" s="512"/>
      <c r="M6894" s="449" t="s">
        <v>9161</v>
      </c>
      <c r="N6894" s="252">
        <v>43337</v>
      </c>
      <c r="O6894" s="252" t="s">
        <v>127</v>
      </c>
      <c r="P6894" s="513">
        <v>0</v>
      </c>
      <c r="Q6894" s="131">
        <v>7</v>
      </c>
      <c r="R6894" s="119">
        <f t="shared" si="158"/>
        <v>0</v>
      </c>
      <c r="S6894" s="456">
        <v>202303</v>
      </c>
      <c r="T6894" s="134" t="s">
        <v>9163</v>
      </c>
      <c r="U6894" s="488"/>
      <c r="V6894" s="516"/>
      <c r="W6894" s="516"/>
      <c r="X6894" s="190"/>
      <c r="Y6894" s="467"/>
    </row>
    <row r="6895" s="9" customFormat="1" customHeight="1" spans="1:25">
      <c r="A6895" s="446" t="s">
        <v>401</v>
      </c>
      <c r="B6895" s="446" t="s">
        <v>8192</v>
      </c>
      <c r="C6895" s="94" t="s">
        <v>210</v>
      </c>
      <c r="D6895" s="446" t="s">
        <v>6237</v>
      </c>
      <c r="E6895" s="147" t="s">
        <v>9155</v>
      </c>
      <c r="F6895" s="98" t="s">
        <v>9156</v>
      </c>
      <c r="G6895" s="448" t="s">
        <v>88</v>
      </c>
      <c r="H6895" s="19" t="s">
        <v>9157</v>
      </c>
      <c r="I6895" s="23" t="e">
        <f>VLOOKUP(H6895,'合同综合查询数据（3月返）'!$A:$A,1,FALSE)</f>
        <v>#N/A</v>
      </c>
      <c r="J6895" s="448" t="s">
        <v>126</v>
      </c>
      <c r="K6895" s="511" t="s">
        <v>4839</v>
      </c>
      <c r="L6895" s="512"/>
      <c r="M6895" s="449" t="s">
        <v>9161</v>
      </c>
      <c r="N6895" s="252">
        <v>44193</v>
      </c>
      <c r="O6895" s="252" t="s">
        <v>127</v>
      </c>
      <c r="P6895" s="513">
        <v>0</v>
      </c>
      <c r="Q6895" s="131">
        <v>-4</v>
      </c>
      <c r="R6895" s="119">
        <f t="shared" si="158"/>
        <v>0</v>
      </c>
      <c r="S6895" s="456">
        <v>202303</v>
      </c>
      <c r="T6895" s="134" t="s">
        <v>9164</v>
      </c>
      <c r="U6895" s="488"/>
      <c r="V6895" s="516"/>
      <c r="W6895" s="516"/>
      <c r="X6895" s="190"/>
      <c r="Y6895" s="467"/>
    </row>
    <row r="6896" s="9" customFormat="1" customHeight="1" spans="1:25">
      <c r="A6896" s="446" t="s">
        <v>401</v>
      </c>
      <c r="B6896" s="446" t="s">
        <v>8192</v>
      </c>
      <c r="C6896" s="94" t="s">
        <v>210</v>
      </c>
      <c r="D6896" s="446" t="s">
        <v>6237</v>
      </c>
      <c r="E6896" s="147" t="s">
        <v>9155</v>
      </c>
      <c r="F6896" s="98" t="s">
        <v>9156</v>
      </c>
      <c r="G6896" s="448" t="s">
        <v>88</v>
      </c>
      <c r="H6896" s="19" t="s">
        <v>9157</v>
      </c>
      <c r="I6896" s="23" t="e">
        <f>VLOOKUP(H6896,'合同综合查询数据（3月返）'!$A:$A,1,FALSE)</f>
        <v>#N/A</v>
      </c>
      <c r="J6896" s="448" t="s">
        <v>126</v>
      </c>
      <c r="K6896" s="511" t="s">
        <v>4839</v>
      </c>
      <c r="L6896" s="512"/>
      <c r="M6896" s="449" t="s">
        <v>9161</v>
      </c>
      <c r="N6896" s="252">
        <v>44742</v>
      </c>
      <c r="O6896" s="252" t="s">
        <v>127</v>
      </c>
      <c r="P6896" s="513">
        <v>0</v>
      </c>
      <c r="Q6896" s="131">
        <v>-5</v>
      </c>
      <c r="R6896" s="119">
        <f t="shared" si="158"/>
        <v>0</v>
      </c>
      <c r="S6896" s="456">
        <v>202303</v>
      </c>
      <c r="T6896" s="134" t="s">
        <v>9165</v>
      </c>
      <c r="U6896" s="488"/>
      <c r="V6896" s="516"/>
      <c r="W6896" s="516"/>
      <c r="X6896" s="190"/>
      <c r="Y6896" s="467"/>
    </row>
    <row r="6897" s="9" customFormat="1" customHeight="1" spans="1:25">
      <c r="A6897" s="446" t="s">
        <v>401</v>
      </c>
      <c r="B6897" s="446" t="s">
        <v>8192</v>
      </c>
      <c r="C6897" s="94" t="s">
        <v>210</v>
      </c>
      <c r="D6897" s="446" t="s">
        <v>6237</v>
      </c>
      <c r="E6897" s="147" t="s">
        <v>9155</v>
      </c>
      <c r="F6897" s="98" t="s">
        <v>9156</v>
      </c>
      <c r="G6897" s="448" t="s">
        <v>31</v>
      </c>
      <c r="H6897" s="19" t="s">
        <v>9157</v>
      </c>
      <c r="I6897" s="23" t="e">
        <f>VLOOKUP(H6897,'合同综合查询数据（3月返）'!$A:$A,1,FALSE)</f>
        <v>#N/A</v>
      </c>
      <c r="J6897" s="448" t="s">
        <v>7564</v>
      </c>
      <c r="K6897" s="511" t="s">
        <v>4839</v>
      </c>
      <c r="L6897" s="512"/>
      <c r="M6897" s="449"/>
      <c r="N6897" s="252">
        <v>44742</v>
      </c>
      <c r="O6897" s="252" t="s">
        <v>37</v>
      </c>
      <c r="P6897" s="513">
        <v>0</v>
      </c>
      <c r="Q6897" s="131">
        <v>-416</v>
      </c>
      <c r="R6897" s="119">
        <f t="shared" si="158"/>
        <v>0</v>
      </c>
      <c r="S6897" s="456">
        <v>202303</v>
      </c>
      <c r="T6897" s="134" t="s">
        <v>9166</v>
      </c>
      <c r="U6897" s="488"/>
      <c r="V6897" s="516"/>
      <c r="W6897" s="516"/>
      <c r="X6897" s="190"/>
      <c r="Y6897" s="467"/>
    </row>
    <row r="6898" s="10" customFormat="1" customHeight="1" spans="1:25">
      <c r="A6898" s="459" t="s">
        <v>401</v>
      </c>
      <c r="B6898" s="459" t="s">
        <v>8192</v>
      </c>
      <c r="C6898" s="62" t="s">
        <v>161</v>
      </c>
      <c r="D6898" s="459" t="s">
        <v>6237</v>
      </c>
      <c r="E6898" s="160" t="s">
        <v>9167</v>
      </c>
      <c r="F6898" s="61" t="s">
        <v>9168</v>
      </c>
      <c r="G6898" s="424" t="s">
        <v>31</v>
      </c>
      <c r="H6898" s="137" t="s">
        <v>9169</v>
      </c>
      <c r="I6898" s="47" t="e">
        <f>VLOOKUP(H6898,'合同综合查询数据（3月返）'!$A:$A,1,FALSE)</f>
        <v>#N/A</v>
      </c>
      <c r="J6898" s="424" t="s">
        <v>7564</v>
      </c>
      <c r="K6898" s="427" t="s">
        <v>4868</v>
      </c>
      <c r="L6898" s="428" t="s">
        <v>9170</v>
      </c>
      <c r="M6898" s="429"/>
      <c r="N6898" s="430" t="s">
        <v>1225</v>
      </c>
      <c r="O6898" s="430" t="s">
        <v>37</v>
      </c>
      <c r="P6898" s="514">
        <v>0</v>
      </c>
      <c r="Q6898" s="140">
        <v>512</v>
      </c>
      <c r="R6898" s="69">
        <f t="shared" si="158"/>
        <v>0</v>
      </c>
      <c r="S6898" s="434">
        <v>202303</v>
      </c>
      <c r="T6898" s="517" t="s">
        <v>9171</v>
      </c>
      <c r="U6898" s="436"/>
      <c r="V6898" s="518"/>
      <c r="W6898" s="518"/>
      <c r="X6898" s="163">
        <v>44743</v>
      </c>
      <c r="Y6898" s="468"/>
    </row>
    <row r="6899" s="10" customFormat="1" customHeight="1" spans="1:25">
      <c r="A6899" s="459" t="s">
        <v>401</v>
      </c>
      <c r="B6899" s="459" t="s">
        <v>8192</v>
      </c>
      <c r="C6899" s="62" t="s">
        <v>161</v>
      </c>
      <c r="D6899" s="459" t="s">
        <v>6237</v>
      </c>
      <c r="E6899" s="160" t="s">
        <v>9167</v>
      </c>
      <c r="F6899" s="61" t="s">
        <v>9168</v>
      </c>
      <c r="G6899" s="424" t="s">
        <v>31</v>
      </c>
      <c r="H6899" s="137" t="s">
        <v>9169</v>
      </c>
      <c r="I6899" s="47" t="e">
        <f>VLOOKUP(H6899,'合同综合查询数据（3月返）'!$A:$A,1,FALSE)</f>
        <v>#N/A</v>
      </c>
      <c r="J6899" s="424" t="s">
        <v>7564</v>
      </c>
      <c r="K6899" s="427" t="s">
        <v>4868</v>
      </c>
      <c r="L6899" s="428" t="s">
        <v>9170</v>
      </c>
      <c r="M6899" s="429"/>
      <c r="N6899" s="430">
        <v>44712</v>
      </c>
      <c r="O6899" s="430" t="s">
        <v>37</v>
      </c>
      <c r="P6899" s="514">
        <v>0</v>
      </c>
      <c r="Q6899" s="140">
        <v>-512</v>
      </c>
      <c r="R6899" s="69">
        <f t="shared" si="158"/>
        <v>0</v>
      </c>
      <c r="S6899" s="434">
        <v>202303</v>
      </c>
      <c r="T6899" s="517" t="s">
        <v>9172</v>
      </c>
      <c r="U6899" s="436"/>
      <c r="V6899" s="518"/>
      <c r="W6899" s="518"/>
      <c r="X6899" s="163">
        <v>44743</v>
      </c>
      <c r="Y6899" s="468"/>
    </row>
    <row r="6900" s="10" customFormat="1" customHeight="1" spans="1:25">
      <c r="A6900" s="459" t="s">
        <v>401</v>
      </c>
      <c r="B6900" s="459" t="s">
        <v>8192</v>
      </c>
      <c r="C6900" s="62" t="s">
        <v>161</v>
      </c>
      <c r="D6900" s="459" t="s">
        <v>6237</v>
      </c>
      <c r="E6900" s="160" t="s">
        <v>9167</v>
      </c>
      <c r="F6900" s="61" t="s">
        <v>9168</v>
      </c>
      <c r="G6900" s="424" t="s">
        <v>31</v>
      </c>
      <c r="H6900" s="137" t="s">
        <v>9169</v>
      </c>
      <c r="I6900" s="47" t="e">
        <f>VLOOKUP(H6900,'合同综合查询数据（3月返）'!$A:$A,1,FALSE)</f>
        <v>#N/A</v>
      </c>
      <c r="J6900" s="424" t="s">
        <v>7564</v>
      </c>
      <c r="K6900" s="427" t="s">
        <v>4868</v>
      </c>
      <c r="L6900" s="428" t="s">
        <v>9173</v>
      </c>
      <c r="M6900" s="429"/>
      <c r="N6900" s="430" t="s">
        <v>1225</v>
      </c>
      <c r="O6900" s="430" t="s">
        <v>37</v>
      </c>
      <c r="P6900" s="514">
        <v>0</v>
      </c>
      <c r="Q6900" s="140">
        <v>256</v>
      </c>
      <c r="R6900" s="69">
        <f t="shared" si="158"/>
        <v>0</v>
      </c>
      <c r="S6900" s="434">
        <v>202303</v>
      </c>
      <c r="T6900" s="517" t="s">
        <v>9171</v>
      </c>
      <c r="U6900" s="436"/>
      <c r="V6900" s="518"/>
      <c r="W6900" s="518"/>
      <c r="X6900" s="163">
        <v>44743</v>
      </c>
      <c r="Y6900" s="468"/>
    </row>
    <row r="6901" s="10" customFormat="1" customHeight="1" spans="1:25">
      <c r="A6901" s="459" t="s">
        <v>401</v>
      </c>
      <c r="B6901" s="459" t="s">
        <v>8192</v>
      </c>
      <c r="C6901" s="62" t="s">
        <v>161</v>
      </c>
      <c r="D6901" s="459" t="s">
        <v>6237</v>
      </c>
      <c r="E6901" s="160" t="s">
        <v>9167</v>
      </c>
      <c r="F6901" s="61" t="s">
        <v>9168</v>
      </c>
      <c r="G6901" s="424" t="s">
        <v>31</v>
      </c>
      <c r="H6901" s="137" t="s">
        <v>9169</v>
      </c>
      <c r="I6901" s="47" t="e">
        <f>VLOOKUP(H6901,'合同综合查询数据（3月返）'!$A:$A,1,FALSE)</f>
        <v>#N/A</v>
      </c>
      <c r="J6901" s="424" t="s">
        <v>7564</v>
      </c>
      <c r="K6901" s="427" t="s">
        <v>4868</v>
      </c>
      <c r="L6901" s="428" t="s">
        <v>9173</v>
      </c>
      <c r="M6901" s="429"/>
      <c r="N6901" s="430">
        <v>44712</v>
      </c>
      <c r="O6901" s="430" t="s">
        <v>37</v>
      </c>
      <c r="P6901" s="514">
        <v>0</v>
      </c>
      <c r="Q6901" s="140">
        <v>-256</v>
      </c>
      <c r="R6901" s="69">
        <f t="shared" si="158"/>
        <v>0</v>
      </c>
      <c r="S6901" s="434">
        <v>202303</v>
      </c>
      <c r="T6901" s="517" t="s">
        <v>9174</v>
      </c>
      <c r="U6901" s="436"/>
      <c r="V6901" s="518"/>
      <c r="W6901" s="518"/>
      <c r="X6901" s="163">
        <v>44743</v>
      </c>
      <c r="Y6901" s="468"/>
    </row>
    <row r="6902" s="10" customFormat="1" customHeight="1" spans="1:25">
      <c r="A6902" s="459" t="s">
        <v>401</v>
      </c>
      <c r="B6902" s="459" t="s">
        <v>8192</v>
      </c>
      <c r="C6902" s="62" t="s">
        <v>161</v>
      </c>
      <c r="D6902" s="459" t="s">
        <v>6237</v>
      </c>
      <c r="E6902" s="160" t="s">
        <v>9167</v>
      </c>
      <c r="F6902" s="61" t="s">
        <v>9168</v>
      </c>
      <c r="G6902" s="424" t="s">
        <v>31</v>
      </c>
      <c r="H6902" s="137" t="s">
        <v>9169</v>
      </c>
      <c r="I6902" s="47" t="e">
        <f>VLOOKUP(H6902,'合同综合查询数据（3月返）'!$A:$A,1,FALSE)</f>
        <v>#N/A</v>
      </c>
      <c r="J6902" s="424" t="s">
        <v>8541</v>
      </c>
      <c r="K6902" s="427" t="s">
        <v>4868</v>
      </c>
      <c r="L6902" s="441" t="s">
        <v>9175</v>
      </c>
      <c r="M6902" s="429"/>
      <c r="N6902" s="430" t="s">
        <v>1225</v>
      </c>
      <c r="O6902" s="430" t="s">
        <v>37</v>
      </c>
      <c r="P6902" s="514">
        <v>0</v>
      </c>
      <c r="Q6902" s="140">
        <v>64</v>
      </c>
      <c r="R6902" s="69">
        <f t="shared" si="158"/>
        <v>0</v>
      </c>
      <c r="S6902" s="434">
        <v>202303</v>
      </c>
      <c r="T6902" s="517" t="s">
        <v>9176</v>
      </c>
      <c r="U6902" s="436"/>
      <c r="V6902" s="518"/>
      <c r="W6902" s="518"/>
      <c r="X6902" s="163">
        <v>44743</v>
      </c>
      <c r="Y6902" s="468"/>
    </row>
    <row r="6903" s="10" customFormat="1" customHeight="1" spans="1:25">
      <c r="A6903" s="459" t="s">
        <v>401</v>
      </c>
      <c r="B6903" s="459" t="s">
        <v>8192</v>
      </c>
      <c r="C6903" s="62" t="s">
        <v>161</v>
      </c>
      <c r="D6903" s="459" t="s">
        <v>6237</v>
      </c>
      <c r="E6903" s="160" t="s">
        <v>9167</v>
      </c>
      <c r="F6903" s="61" t="s">
        <v>9168</v>
      </c>
      <c r="G6903" s="424" t="s">
        <v>31</v>
      </c>
      <c r="H6903" s="137" t="s">
        <v>9169</v>
      </c>
      <c r="I6903" s="47" t="e">
        <f>VLOOKUP(H6903,'合同综合查询数据（3月返）'!$A:$A,1,FALSE)</f>
        <v>#N/A</v>
      </c>
      <c r="J6903" s="424" t="s">
        <v>8541</v>
      </c>
      <c r="K6903" s="427" t="s">
        <v>4868</v>
      </c>
      <c r="L6903" s="441" t="s">
        <v>9175</v>
      </c>
      <c r="M6903" s="429"/>
      <c r="N6903" s="430" t="s">
        <v>1225</v>
      </c>
      <c r="O6903" s="430" t="s">
        <v>37</v>
      </c>
      <c r="P6903" s="514">
        <v>35</v>
      </c>
      <c r="Q6903" s="140">
        <v>576</v>
      </c>
      <c r="R6903" s="69">
        <f t="shared" si="158"/>
        <v>20160</v>
      </c>
      <c r="S6903" s="434">
        <v>202303</v>
      </c>
      <c r="T6903" s="517" t="s">
        <v>9176</v>
      </c>
      <c r="U6903" s="436"/>
      <c r="V6903" s="518"/>
      <c r="W6903" s="518"/>
      <c r="X6903" s="163">
        <v>44743</v>
      </c>
      <c r="Y6903" s="468"/>
    </row>
    <row r="6904" s="10" customFormat="1" customHeight="1" spans="1:25">
      <c r="A6904" s="459" t="s">
        <v>401</v>
      </c>
      <c r="B6904" s="459" t="s">
        <v>8192</v>
      </c>
      <c r="C6904" s="62" t="s">
        <v>161</v>
      </c>
      <c r="D6904" s="459" t="s">
        <v>6237</v>
      </c>
      <c r="E6904" s="160" t="s">
        <v>9167</v>
      </c>
      <c r="F6904" s="61" t="s">
        <v>9168</v>
      </c>
      <c r="G6904" s="424" t="s">
        <v>88</v>
      </c>
      <c r="H6904" s="137" t="s">
        <v>9169</v>
      </c>
      <c r="I6904" s="47" t="e">
        <f>VLOOKUP(H6904,'合同综合查询数据（3月返）'!$A:$A,1,FALSE)</f>
        <v>#N/A</v>
      </c>
      <c r="J6904" s="424" t="s">
        <v>126</v>
      </c>
      <c r="K6904" s="427" t="s">
        <v>9030</v>
      </c>
      <c r="L6904" s="428" t="s">
        <v>9170</v>
      </c>
      <c r="M6904" s="429" t="s">
        <v>9177</v>
      </c>
      <c r="N6904" s="430">
        <v>41178</v>
      </c>
      <c r="O6904" s="430" t="s">
        <v>92</v>
      </c>
      <c r="P6904" s="514">
        <v>2400</v>
      </c>
      <c r="Q6904" s="140">
        <v>12</v>
      </c>
      <c r="R6904" s="69">
        <f t="shared" si="158"/>
        <v>28800</v>
      </c>
      <c r="S6904" s="434">
        <v>202303</v>
      </c>
      <c r="T6904" s="517" t="s">
        <v>9178</v>
      </c>
      <c r="U6904" s="436"/>
      <c r="V6904" s="518"/>
      <c r="W6904" s="518"/>
      <c r="X6904" s="163">
        <v>44743</v>
      </c>
      <c r="Y6904" s="468"/>
    </row>
    <row r="6905" s="10" customFormat="1" customHeight="1" spans="1:25">
      <c r="A6905" s="459" t="s">
        <v>401</v>
      </c>
      <c r="B6905" s="459" t="s">
        <v>8192</v>
      </c>
      <c r="C6905" s="62" t="s">
        <v>161</v>
      </c>
      <c r="D6905" s="459" t="s">
        <v>6237</v>
      </c>
      <c r="E6905" s="160" t="s">
        <v>9167</v>
      </c>
      <c r="F6905" s="61" t="s">
        <v>9168</v>
      </c>
      <c r="G6905" s="424" t="s">
        <v>88</v>
      </c>
      <c r="H6905" s="137" t="s">
        <v>9169</v>
      </c>
      <c r="I6905" s="47" t="e">
        <f>VLOOKUP(H6905,'合同综合查询数据（3月返）'!$A:$A,1,FALSE)</f>
        <v>#N/A</v>
      </c>
      <c r="J6905" s="424" t="s">
        <v>126</v>
      </c>
      <c r="K6905" s="427" t="s">
        <v>9179</v>
      </c>
      <c r="L6905" s="428" t="s">
        <v>9173</v>
      </c>
      <c r="M6905" s="429" t="s">
        <v>9177</v>
      </c>
      <c r="N6905" s="430">
        <v>43160</v>
      </c>
      <c r="O6905" s="430" t="s">
        <v>92</v>
      </c>
      <c r="P6905" s="514">
        <v>2400</v>
      </c>
      <c r="Q6905" s="140">
        <v>3</v>
      </c>
      <c r="R6905" s="69">
        <f t="shared" si="158"/>
        <v>7200</v>
      </c>
      <c r="S6905" s="434">
        <v>202303</v>
      </c>
      <c r="T6905" s="517" t="s">
        <v>9180</v>
      </c>
      <c r="U6905" s="436"/>
      <c r="V6905" s="518"/>
      <c r="W6905" s="518"/>
      <c r="X6905" s="163">
        <v>44743</v>
      </c>
      <c r="Y6905" s="468"/>
    </row>
    <row r="6906" s="10" customFormat="1" customHeight="1" spans="1:25">
      <c r="A6906" s="459" t="s">
        <v>401</v>
      </c>
      <c r="B6906" s="459" t="s">
        <v>8192</v>
      </c>
      <c r="C6906" s="62" t="s">
        <v>161</v>
      </c>
      <c r="D6906" s="459" t="s">
        <v>6237</v>
      </c>
      <c r="E6906" s="160" t="s">
        <v>9167</v>
      </c>
      <c r="F6906" s="61" t="s">
        <v>9168</v>
      </c>
      <c r="G6906" s="424" t="s">
        <v>88</v>
      </c>
      <c r="H6906" s="137" t="s">
        <v>9169</v>
      </c>
      <c r="I6906" s="47" t="e">
        <f>VLOOKUP(H6906,'合同综合查询数据（3月返）'!$A:$A,1,FALSE)</f>
        <v>#N/A</v>
      </c>
      <c r="J6906" s="424" t="s">
        <v>126</v>
      </c>
      <c r="K6906" s="427" t="s">
        <v>9179</v>
      </c>
      <c r="L6906" s="428" t="s">
        <v>9173</v>
      </c>
      <c r="M6906" s="429" t="s">
        <v>9177</v>
      </c>
      <c r="N6906" s="430" t="s">
        <v>1225</v>
      </c>
      <c r="O6906" s="430" t="s">
        <v>92</v>
      </c>
      <c r="P6906" s="514">
        <v>2400</v>
      </c>
      <c r="Q6906" s="140">
        <v>4</v>
      </c>
      <c r="R6906" s="69">
        <f t="shared" si="158"/>
        <v>9600</v>
      </c>
      <c r="S6906" s="434">
        <v>202303</v>
      </c>
      <c r="T6906" s="517" t="s">
        <v>9181</v>
      </c>
      <c r="U6906" s="436"/>
      <c r="V6906" s="518"/>
      <c r="W6906" s="518"/>
      <c r="X6906" s="163">
        <v>44743</v>
      </c>
      <c r="Y6906" s="468"/>
    </row>
    <row r="6907" s="10" customFormat="1" customHeight="1" spans="1:25">
      <c r="A6907" s="459" t="s">
        <v>401</v>
      </c>
      <c r="B6907" s="459" t="s">
        <v>8192</v>
      </c>
      <c r="C6907" s="62" t="s">
        <v>161</v>
      </c>
      <c r="D6907" s="459" t="s">
        <v>6237</v>
      </c>
      <c r="E6907" s="160" t="s">
        <v>9167</v>
      </c>
      <c r="F6907" s="61" t="s">
        <v>9168</v>
      </c>
      <c r="G6907" s="424" t="s">
        <v>88</v>
      </c>
      <c r="H6907" s="137" t="s">
        <v>9169</v>
      </c>
      <c r="I6907" s="47" t="e">
        <f>VLOOKUP(H6907,'合同综合查询数据（3月返）'!$A:$A,1,FALSE)</f>
        <v>#N/A</v>
      </c>
      <c r="J6907" s="424" t="s">
        <v>126</v>
      </c>
      <c r="K6907" s="427" t="s">
        <v>9179</v>
      </c>
      <c r="L6907" s="428" t="s">
        <v>9173</v>
      </c>
      <c r="M6907" s="429" t="s">
        <v>9177</v>
      </c>
      <c r="N6907" s="430">
        <v>44712</v>
      </c>
      <c r="O6907" s="430" t="s">
        <v>92</v>
      </c>
      <c r="P6907" s="514">
        <v>2400</v>
      </c>
      <c r="Q6907" s="140">
        <v>-7</v>
      </c>
      <c r="R6907" s="69">
        <f t="shared" si="158"/>
        <v>-16800</v>
      </c>
      <c r="S6907" s="434">
        <v>202303</v>
      </c>
      <c r="T6907" s="517" t="s">
        <v>9182</v>
      </c>
      <c r="U6907" s="436"/>
      <c r="V6907" s="518"/>
      <c r="W6907" s="518"/>
      <c r="X6907" s="163">
        <v>44743</v>
      </c>
      <c r="Y6907" s="468"/>
    </row>
    <row r="6908" s="10" customFormat="1" customHeight="1" spans="1:25">
      <c r="A6908" s="459" t="s">
        <v>401</v>
      </c>
      <c r="B6908" s="459" t="s">
        <v>8192</v>
      </c>
      <c r="C6908" s="62" t="s">
        <v>161</v>
      </c>
      <c r="D6908" s="459" t="s">
        <v>6237</v>
      </c>
      <c r="E6908" s="160" t="s">
        <v>9167</v>
      </c>
      <c r="F6908" s="61" t="s">
        <v>9168</v>
      </c>
      <c r="G6908" s="424" t="s">
        <v>88</v>
      </c>
      <c r="H6908" s="137" t="s">
        <v>9169</v>
      </c>
      <c r="I6908" s="47" t="e">
        <f>VLOOKUP(H6908,'合同综合查询数据（3月返）'!$A:$A,1,FALSE)</f>
        <v>#N/A</v>
      </c>
      <c r="J6908" s="424" t="s">
        <v>1033</v>
      </c>
      <c r="K6908" s="427" t="s">
        <v>4868</v>
      </c>
      <c r="L6908" s="428"/>
      <c r="M6908" s="429" t="s">
        <v>9177</v>
      </c>
      <c r="N6908" s="430">
        <v>41178</v>
      </c>
      <c r="O6908" s="430" t="s">
        <v>92</v>
      </c>
      <c r="P6908" s="514">
        <v>2400</v>
      </c>
      <c r="Q6908" s="140">
        <v>4</v>
      </c>
      <c r="R6908" s="69">
        <f t="shared" si="158"/>
        <v>9600</v>
      </c>
      <c r="S6908" s="434">
        <v>202303</v>
      </c>
      <c r="T6908" s="517"/>
      <c r="U6908" s="436"/>
      <c r="V6908" s="518"/>
      <c r="W6908" s="518"/>
      <c r="X6908" s="163">
        <v>44743</v>
      </c>
      <c r="Y6908" s="468"/>
    </row>
    <row r="6909" s="10" customFormat="1" customHeight="1" spans="1:25">
      <c r="A6909" s="459" t="s">
        <v>401</v>
      </c>
      <c r="B6909" s="459" t="s">
        <v>8192</v>
      </c>
      <c r="C6909" s="62" t="s">
        <v>161</v>
      </c>
      <c r="D6909" s="459" t="s">
        <v>6237</v>
      </c>
      <c r="E6909" s="160" t="s">
        <v>9167</v>
      </c>
      <c r="F6909" s="61" t="s">
        <v>9168</v>
      </c>
      <c r="G6909" s="424" t="s">
        <v>88</v>
      </c>
      <c r="H6909" s="137" t="s">
        <v>9169</v>
      </c>
      <c r="I6909" s="47" t="e">
        <f>VLOOKUP(H6909,'合同综合查询数据（3月返）'!$A:$A,1,FALSE)</f>
        <v>#N/A</v>
      </c>
      <c r="J6909" s="424" t="s">
        <v>126</v>
      </c>
      <c r="K6909" s="427" t="s">
        <v>4868</v>
      </c>
      <c r="L6909" s="428" t="s">
        <v>9183</v>
      </c>
      <c r="M6909" s="429" t="s">
        <v>9184</v>
      </c>
      <c r="N6909" s="430">
        <v>44105</v>
      </c>
      <c r="O6909" s="430" t="s">
        <v>92</v>
      </c>
      <c r="P6909" s="514">
        <v>2400</v>
      </c>
      <c r="Q6909" s="140">
        <v>6</v>
      </c>
      <c r="R6909" s="69">
        <f t="shared" si="158"/>
        <v>14400</v>
      </c>
      <c r="S6909" s="434">
        <v>202303</v>
      </c>
      <c r="T6909" s="517" t="s">
        <v>9185</v>
      </c>
      <c r="U6909" s="436"/>
      <c r="V6909" s="518"/>
      <c r="W6909" s="518"/>
      <c r="X6909" s="163">
        <v>44743</v>
      </c>
      <c r="Y6909" s="468"/>
    </row>
    <row r="6910" s="10" customFormat="1" customHeight="1" spans="1:25">
      <c r="A6910" s="459" t="s">
        <v>401</v>
      </c>
      <c r="B6910" s="459" t="s">
        <v>8192</v>
      </c>
      <c r="C6910" s="62" t="s">
        <v>161</v>
      </c>
      <c r="D6910" s="459" t="s">
        <v>6237</v>
      </c>
      <c r="E6910" s="160" t="s">
        <v>9167</v>
      </c>
      <c r="F6910" s="61" t="s">
        <v>9168</v>
      </c>
      <c r="G6910" s="424" t="s">
        <v>31</v>
      </c>
      <c r="H6910" s="137" t="s">
        <v>9169</v>
      </c>
      <c r="I6910" s="47" t="e">
        <f>VLOOKUP(H6910,'合同综合查询数据（3月返）'!$A:$A,1,FALSE)</f>
        <v>#N/A</v>
      </c>
      <c r="J6910" s="424" t="s">
        <v>7564</v>
      </c>
      <c r="K6910" s="427" t="s">
        <v>4868</v>
      </c>
      <c r="L6910" s="428" t="s">
        <v>9183</v>
      </c>
      <c r="M6910" s="429" t="s">
        <v>9184</v>
      </c>
      <c r="N6910" s="430">
        <v>44105</v>
      </c>
      <c r="O6910" s="430" t="s">
        <v>37</v>
      </c>
      <c r="P6910" s="514">
        <v>0</v>
      </c>
      <c r="Q6910" s="140">
        <v>288</v>
      </c>
      <c r="R6910" s="69">
        <f t="shared" si="158"/>
        <v>0</v>
      </c>
      <c r="S6910" s="434">
        <v>202303</v>
      </c>
      <c r="T6910" s="517" t="s">
        <v>9186</v>
      </c>
      <c r="U6910" s="436"/>
      <c r="V6910" s="518"/>
      <c r="W6910" s="518"/>
      <c r="X6910" s="163">
        <v>44743</v>
      </c>
      <c r="Y6910" s="468"/>
    </row>
    <row r="6911" s="10" customFormat="1" customHeight="1" spans="1:25">
      <c r="A6911" s="459" t="s">
        <v>401</v>
      </c>
      <c r="B6911" s="459" t="s">
        <v>8192</v>
      </c>
      <c r="C6911" s="62" t="s">
        <v>161</v>
      </c>
      <c r="D6911" s="459" t="s">
        <v>6237</v>
      </c>
      <c r="E6911" s="160" t="s">
        <v>9167</v>
      </c>
      <c r="F6911" s="61" t="s">
        <v>9168</v>
      </c>
      <c r="G6911" s="424" t="s">
        <v>88</v>
      </c>
      <c r="H6911" s="137" t="s">
        <v>9169</v>
      </c>
      <c r="I6911" s="47" t="e">
        <f>VLOOKUP(H6911,'合同综合查询数据（3月返）'!$A:$A,1,FALSE)</f>
        <v>#N/A</v>
      </c>
      <c r="J6911" s="424" t="s">
        <v>126</v>
      </c>
      <c r="K6911" s="427" t="s">
        <v>4868</v>
      </c>
      <c r="L6911" s="428" t="s">
        <v>9183</v>
      </c>
      <c r="M6911" s="429" t="s">
        <v>9184</v>
      </c>
      <c r="N6911" s="430">
        <v>44773</v>
      </c>
      <c r="O6911" s="430" t="s">
        <v>92</v>
      </c>
      <c r="P6911" s="514">
        <v>2400</v>
      </c>
      <c r="Q6911" s="140">
        <v>-6</v>
      </c>
      <c r="R6911" s="69">
        <f t="shared" si="158"/>
        <v>-14400</v>
      </c>
      <c r="S6911" s="434">
        <v>202303</v>
      </c>
      <c r="T6911" s="517" t="s">
        <v>9187</v>
      </c>
      <c r="U6911" s="436"/>
      <c r="V6911" s="518"/>
      <c r="W6911" s="518"/>
      <c r="X6911" s="163">
        <v>44743</v>
      </c>
      <c r="Y6911" s="468"/>
    </row>
    <row r="6912" s="10" customFormat="1" customHeight="1" spans="1:25">
      <c r="A6912" s="459" t="s">
        <v>401</v>
      </c>
      <c r="B6912" s="459" t="s">
        <v>8192</v>
      </c>
      <c r="C6912" s="62" t="s">
        <v>161</v>
      </c>
      <c r="D6912" s="459" t="s">
        <v>6237</v>
      </c>
      <c r="E6912" s="160" t="s">
        <v>9167</v>
      </c>
      <c r="F6912" s="61" t="s">
        <v>9168</v>
      </c>
      <c r="G6912" s="424" t="s">
        <v>31</v>
      </c>
      <c r="H6912" s="137" t="s">
        <v>9169</v>
      </c>
      <c r="I6912" s="47" t="e">
        <f>VLOOKUP(H6912,'合同综合查询数据（3月返）'!$A:$A,1,FALSE)</f>
        <v>#N/A</v>
      </c>
      <c r="J6912" s="424" t="s">
        <v>7564</v>
      </c>
      <c r="K6912" s="427" t="s">
        <v>4868</v>
      </c>
      <c r="L6912" s="428" t="s">
        <v>9183</v>
      </c>
      <c r="M6912" s="429" t="s">
        <v>9184</v>
      </c>
      <c r="N6912" s="430">
        <v>44773</v>
      </c>
      <c r="O6912" s="430" t="s">
        <v>37</v>
      </c>
      <c r="P6912" s="514">
        <v>0</v>
      </c>
      <c r="Q6912" s="140">
        <v>-288</v>
      </c>
      <c r="R6912" s="69">
        <f t="shared" si="158"/>
        <v>0</v>
      </c>
      <c r="S6912" s="434">
        <v>202303</v>
      </c>
      <c r="T6912" s="517" t="s">
        <v>9188</v>
      </c>
      <c r="U6912" s="436"/>
      <c r="V6912" s="518"/>
      <c r="W6912" s="518"/>
      <c r="X6912" s="163">
        <v>44743</v>
      </c>
      <c r="Y6912" s="468"/>
    </row>
    <row r="6913" s="10" customFormat="1" customHeight="1" spans="1:25">
      <c r="A6913" s="459" t="s">
        <v>401</v>
      </c>
      <c r="B6913" s="459" t="s">
        <v>8192</v>
      </c>
      <c r="C6913" s="62" t="s">
        <v>161</v>
      </c>
      <c r="D6913" s="459" t="s">
        <v>6237</v>
      </c>
      <c r="E6913" s="160" t="s">
        <v>9167</v>
      </c>
      <c r="F6913" s="61" t="s">
        <v>9168</v>
      </c>
      <c r="G6913" s="424" t="s">
        <v>31</v>
      </c>
      <c r="H6913" s="137" t="s">
        <v>9169</v>
      </c>
      <c r="I6913" s="47" t="e">
        <f>VLOOKUP(H6913,'合同综合查询数据（3月返）'!$A:$A,1,FALSE)</f>
        <v>#N/A</v>
      </c>
      <c r="J6913" s="424" t="s">
        <v>7564</v>
      </c>
      <c r="K6913" s="427" t="s">
        <v>4868</v>
      </c>
      <c r="L6913" s="428"/>
      <c r="M6913" s="429"/>
      <c r="N6913" s="430">
        <v>44105</v>
      </c>
      <c r="O6913" s="430" t="s">
        <v>152</v>
      </c>
      <c r="P6913" s="514">
        <v>0</v>
      </c>
      <c r="Q6913" s="140">
        <v>1</v>
      </c>
      <c r="R6913" s="69">
        <f t="shared" si="158"/>
        <v>0</v>
      </c>
      <c r="S6913" s="434">
        <v>202303</v>
      </c>
      <c r="T6913" s="517" t="s">
        <v>9189</v>
      </c>
      <c r="U6913" s="436"/>
      <c r="V6913" s="518"/>
      <c r="W6913" s="518"/>
      <c r="X6913" s="163">
        <v>44743</v>
      </c>
      <c r="Y6913" s="468"/>
    </row>
    <row r="6914" s="10" customFormat="1" customHeight="1" spans="1:25">
      <c r="A6914" s="459" t="s">
        <v>401</v>
      </c>
      <c r="B6914" s="459" t="s">
        <v>8192</v>
      </c>
      <c r="C6914" s="62" t="s">
        <v>161</v>
      </c>
      <c r="D6914" s="459" t="s">
        <v>6237</v>
      </c>
      <c r="E6914" s="160" t="s">
        <v>9167</v>
      </c>
      <c r="F6914" s="61" t="s">
        <v>9168</v>
      </c>
      <c r="G6914" s="424" t="s">
        <v>31</v>
      </c>
      <c r="H6914" s="137" t="s">
        <v>9169</v>
      </c>
      <c r="I6914" s="47" t="e">
        <f>VLOOKUP(H6914,'合同综合查询数据（3月返）'!$A:$A,1,FALSE)</f>
        <v>#N/A</v>
      </c>
      <c r="J6914" s="424" t="s">
        <v>7564</v>
      </c>
      <c r="K6914" s="427" t="s">
        <v>4868</v>
      </c>
      <c r="L6914" s="428"/>
      <c r="M6914" s="429"/>
      <c r="N6914" s="430">
        <v>44105</v>
      </c>
      <c r="O6914" s="430" t="s">
        <v>152</v>
      </c>
      <c r="P6914" s="514">
        <v>0</v>
      </c>
      <c r="Q6914" s="140">
        <v>1</v>
      </c>
      <c r="R6914" s="69">
        <f t="shared" si="158"/>
        <v>0</v>
      </c>
      <c r="S6914" s="434">
        <v>202303</v>
      </c>
      <c r="T6914" s="517" t="s">
        <v>9190</v>
      </c>
      <c r="U6914" s="436"/>
      <c r="V6914" s="518"/>
      <c r="W6914" s="518"/>
      <c r="X6914" s="163">
        <v>44743</v>
      </c>
      <c r="Y6914" s="468"/>
    </row>
    <row r="6915" s="10" customFormat="1" customHeight="1" spans="1:25">
      <c r="A6915" s="459" t="s">
        <v>401</v>
      </c>
      <c r="B6915" s="459" t="s">
        <v>8192</v>
      </c>
      <c r="C6915" s="62" t="s">
        <v>161</v>
      </c>
      <c r="D6915" s="459" t="s">
        <v>6237</v>
      </c>
      <c r="E6915" s="160" t="s">
        <v>9167</v>
      </c>
      <c r="F6915" s="61" t="s">
        <v>9168</v>
      </c>
      <c r="G6915" s="424" t="s">
        <v>31</v>
      </c>
      <c r="H6915" s="137" t="s">
        <v>9169</v>
      </c>
      <c r="I6915" s="47" t="e">
        <f>VLOOKUP(H6915,'合同综合查询数据（3月返）'!$A:$A,1,FALSE)</f>
        <v>#N/A</v>
      </c>
      <c r="J6915" s="424" t="s">
        <v>7564</v>
      </c>
      <c r="K6915" s="427" t="s">
        <v>4868</v>
      </c>
      <c r="L6915" s="428"/>
      <c r="M6915" s="429"/>
      <c r="N6915" s="430">
        <v>44105</v>
      </c>
      <c r="O6915" s="430" t="s">
        <v>152</v>
      </c>
      <c r="P6915" s="514">
        <v>0</v>
      </c>
      <c r="Q6915" s="140">
        <v>1</v>
      </c>
      <c r="R6915" s="69">
        <f t="shared" si="158"/>
        <v>0</v>
      </c>
      <c r="S6915" s="434">
        <v>202303</v>
      </c>
      <c r="T6915" s="517" t="s">
        <v>9191</v>
      </c>
      <c r="U6915" s="436"/>
      <c r="V6915" s="518"/>
      <c r="W6915" s="518"/>
      <c r="X6915" s="163">
        <v>44743</v>
      </c>
      <c r="Y6915" s="468"/>
    </row>
    <row r="6916" s="10" customFormat="1" customHeight="1" spans="1:25">
      <c r="A6916" s="459" t="s">
        <v>401</v>
      </c>
      <c r="B6916" s="459" t="s">
        <v>8192</v>
      </c>
      <c r="C6916" s="62" t="s">
        <v>161</v>
      </c>
      <c r="D6916" s="459" t="s">
        <v>6237</v>
      </c>
      <c r="E6916" s="160" t="s">
        <v>9167</v>
      </c>
      <c r="F6916" s="61" t="s">
        <v>9168</v>
      </c>
      <c r="G6916" s="424" t="s">
        <v>88</v>
      </c>
      <c r="H6916" s="137" t="s">
        <v>9169</v>
      </c>
      <c r="I6916" s="47" t="e">
        <f>VLOOKUP(H6916,'合同综合查询数据（3月返）'!$A:$A,1,FALSE)</f>
        <v>#N/A</v>
      </c>
      <c r="J6916" s="424" t="s">
        <v>126</v>
      </c>
      <c r="K6916" s="427" t="s">
        <v>9030</v>
      </c>
      <c r="L6916" s="428" t="s">
        <v>9170</v>
      </c>
      <c r="M6916" s="429" t="s">
        <v>9177</v>
      </c>
      <c r="N6916" s="430">
        <v>44181</v>
      </c>
      <c r="O6916" s="430" t="s">
        <v>92</v>
      </c>
      <c r="P6916" s="514">
        <v>2400</v>
      </c>
      <c r="Q6916" s="140">
        <v>-9</v>
      </c>
      <c r="R6916" s="69">
        <f>ROUND(Q6916*P6916,2)</f>
        <v>-21600</v>
      </c>
      <c r="S6916" s="434">
        <v>202303</v>
      </c>
      <c r="T6916" s="517" t="s">
        <v>9192</v>
      </c>
      <c r="U6916" s="436"/>
      <c r="V6916" s="518"/>
      <c r="W6916" s="518"/>
      <c r="X6916" s="163">
        <v>44743</v>
      </c>
      <c r="Y6916" s="468"/>
    </row>
    <row r="6917" s="10" customFormat="1" customHeight="1" spans="1:25">
      <c r="A6917" s="459" t="s">
        <v>401</v>
      </c>
      <c r="B6917" s="459" t="s">
        <v>8192</v>
      </c>
      <c r="C6917" s="62" t="s">
        <v>161</v>
      </c>
      <c r="D6917" s="459" t="s">
        <v>6237</v>
      </c>
      <c r="E6917" s="160" t="s">
        <v>9167</v>
      </c>
      <c r="F6917" s="61" t="s">
        <v>9168</v>
      </c>
      <c r="G6917" s="424" t="s">
        <v>88</v>
      </c>
      <c r="H6917" s="137" t="s">
        <v>9169</v>
      </c>
      <c r="I6917" s="47" t="e">
        <f>VLOOKUP(H6917,'合同综合查询数据（3月返）'!$A:$A,1,FALSE)</f>
        <v>#N/A</v>
      </c>
      <c r="J6917" s="424" t="s">
        <v>126</v>
      </c>
      <c r="K6917" s="427" t="s">
        <v>9030</v>
      </c>
      <c r="L6917" s="428" t="s">
        <v>9170</v>
      </c>
      <c r="M6917" s="429" t="s">
        <v>9177</v>
      </c>
      <c r="N6917" s="430">
        <v>44712</v>
      </c>
      <c r="O6917" s="430" t="s">
        <v>92</v>
      </c>
      <c r="P6917" s="514">
        <v>2400</v>
      </c>
      <c r="Q6917" s="140">
        <v>-3</v>
      </c>
      <c r="R6917" s="69">
        <f>ROUND(Q6917*P6917,2)</f>
        <v>-7200</v>
      </c>
      <c r="S6917" s="434">
        <v>202303</v>
      </c>
      <c r="T6917" s="517" t="s">
        <v>9193</v>
      </c>
      <c r="U6917" s="436"/>
      <c r="V6917" s="518"/>
      <c r="W6917" s="518"/>
      <c r="X6917" s="163">
        <v>44743</v>
      </c>
      <c r="Y6917" s="468"/>
    </row>
    <row r="6918" s="10" customFormat="1" customHeight="1" spans="1:25">
      <c r="A6918" s="459" t="s">
        <v>401</v>
      </c>
      <c r="B6918" s="459" t="s">
        <v>8192</v>
      </c>
      <c r="C6918" s="62" t="s">
        <v>4743</v>
      </c>
      <c r="D6918" s="459" t="s">
        <v>6237</v>
      </c>
      <c r="E6918" s="160" t="s">
        <v>9194</v>
      </c>
      <c r="F6918" s="61" t="s">
        <v>9195</v>
      </c>
      <c r="G6918" s="424" t="s">
        <v>31</v>
      </c>
      <c r="H6918" s="45" t="s">
        <v>9196</v>
      </c>
      <c r="I6918" s="47" t="e">
        <f>VLOOKUP(H6918,'合同综合查询数据（3月返）'!$A:$A,1,FALSE)</f>
        <v>#N/A</v>
      </c>
      <c r="J6918" s="424" t="s">
        <v>7564</v>
      </c>
      <c r="K6918" s="427" t="s">
        <v>4743</v>
      </c>
      <c r="L6918" s="428" t="s">
        <v>9197</v>
      </c>
      <c r="M6918" s="429"/>
      <c r="N6918" s="430" t="s">
        <v>9198</v>
      </c>
      <c r="O6918" s="430" t="s">
        <v>37</v>
      </c>
      <c r="P6918" s="514">
        <v>0</v>
      </c>
      <c r="Q6918" s="140">
        <f>832-256</f>
        <v>576</v>
      </c>
      <c r="R6918" s="69">
        <f t="shared" ref="R6918:R6951" si="159">ROUND(P6918*Q6918,2)</f>
        <v>0</v>
      </c>
      <c r="S6918" s="434">
        <v>202303</v>
      </c>
      <c r="T6918" s="517" t="s">
        <v>9199</v>
      </c>
      <c r="U6918" s="436"/>
      <c r="V6918" s="518"/>
      <c r="W6918" s="518"/>
      <c r="X6918" s="163">
        <v>44927</v>
      </c>
      <c r="Y6918" s="468"/>
    </row>
    <row r="6919" s="10" customFormat="1" customHeight="1" spans="1:25">
      <c r="A6919" s="459" t="s">
        <v>401</v>
      </c>
      <c r="B6919" s="459" t="s">
        <v>8192</v>
      </c>
      <c r="C6919" s="62" t="s">
        <v>4743</v>
      </c>
      <c r="D6919" s="459" t="s">
        <v>6237</v>
      </c>
      <c r="E6919" s="160" t="s">
        <v>9194</v>
      </c>
      <c r="F6919" s="61" t="s">
        <v>9195</v>
      </c>
      <c r="G6919" s="424" t="s">
        <v>31</v>
      </c>
      <c r="H6919" s="45" t="s">
        <v>9196</v>
      </c>
      <c r="I6919" s="47" t="e">
        <f>VLOOKUP(H6919,'合同综合查询数据（3月返）'!$A:$A,1,FALSE)</f>
        <v>#N/A</v>
      </c>
      <c r="J6919" s="424" t="s">
        <v>7564</v>
      </c>
      <c r="K6919" s="427" t="s">
        <v>4743</v>
      </c>
      <c r="L6919" s="428"/>
      <c r="M6919" s="429"/>
      <c r="N6919" s="430">
        <v>44316</v>
      </c>
      <c r="O6919" s="430" t="s">
        <v>37</v>
      </c>
      <c r="P6919" s="514">
        <v>0</v>
      </c>
      <c r="Q6919" s="140">
        <v>-288</v>
      </c>
      <c r="R6919" s="69">
        <f t="shared" si="159"/>
        <v>0</v>
      </c>
      <c r="S6919" s="434">
        <v>202303</v>
      </c>
      <c r="T6919" s="517" t="s">
        <v>9200</v>
      </c>
      <c r="U6919" s="436"/>
      <c r="V6919" s="518"/>
      <c r="W6919" s="518"/>
      <c r="X6919" s="163">
        <v>44927</v>
      </c>
      <c r="Y6919" s="468"/>
    </row>
    <row r="6920" s="10" customFormat="1" customHeight="1" spans="1:25">
      <c r="A6920" s="459" t="s">
        <v>401</v>
      </c>
      <c r="B6920" s="459" t="s">
        <v>8192</v>
      </c>
      <c r="C6920" s="62" t="s">
        <v>4743</v>
      </c>
      <c r="D6920" s="459" t="s">
        <v>6237</v>
      </c>
      <c r="E6920" s="160" t="s">
        <v>9194</v>
      </c>
      <c r="F6920" s="61" t="s">
        <v>9195</v>
      </c>
      <c r="G6920" s="424" t="s">
        <v>31</v>
      </c>
      <c r="H6920" s="45" t="s">
        <v>9196</v>
      </c>
      <c r="I6920" s="47" t="e">
        <f>VLOOKUP(H6920,'合同综合查询数据（3月返）'!$A:$A,1,FALSE)</f>
        <v>#N/A</v>
      </c>
      <c r="J6920" s="424" t="s">
        <v>7564</v>
      </c>
      <c r="K6920" s="427" t="s">
        <v>4743</v>
      </c>
      <c r="L6920" s="428"/>
      <c r="M6920" s="429"/>
      <c r="N6920" s="430"/>
      <c r="O6920" s="430" t="s">
        <v>152</v>
      </c>
      <c r="P6920" s="514">
        <v>0</v>
      </c>
      <c r="Q6920" s="140">
        <v>2</v>
      </c>
      <c r="R6920" s="69">
        <f t="shared" si="159"/>
        <v>0</v>
      </c>
      <c r="S6920" s="434">
        <v>202303</v>
      </c>
      <c r="T6920" s="517" t="s">
        <v>9201</v>
      </c>
      <c r="U6920" s="436"/>
      <c r="V6920" s="518"/>
      <c r="W6920" s="518"/>
      <c r="X6920" s="163">
        <v>44927</v>
      </c>
      <c r="Y6920" s="468"/>
    </row>
    <row r="6921" s="10" customFormat="1" customHeight="1" spans="1:25">
      <c r="A6921" s="459" t="s">
        <v>401</v>
      </c>
      <c r="B6921" s="459" t="s">
        <v>8192</v>
      </c>
      <c r="C6921" s="62" t="s">
        <v>4743</v>
      </c>
      <c r="D6921" s="459" t="s">
        <v>6237</v>
      </c>
      <c r="E6921" s="160" t="s">
        <v>9194</v>
      </c>
      <c r="F6921" s="61" t="s">
        <v>9195</v>
      </c>
      <c r="G6921" s="424" t="s">
        <v>88</v>
      </c>
      <c r="H6921" s="45" t="s">
        <v>9196</v>
      </c>
      <c r="I6921" s="47" t="e">
        <f>VLOOKUP(H6921,'合同综合查询数据（3月返）'!$A:$A,1,FALSE)</f>
        <v>#N/A</v>
      </c>
      <c r="J6921" s="424" t="s">
        <v>126</v>
      </c>
      <c r="K6921" s="427" t="s">
        <v>9202</v>
      </c>
      <c r="L6921" s="428"/>
      <c r="M6921" s="429" t="s">
        <v>9203</v>
      </c>
      <c r="N6921" s="430" t="s">
        <v>9198</v>
      </c>
      <c r="O6921" s="430" t="s">
        <v>624</v>
      </c>
      <c r="P6921" s="514">
        <v>3900</v>
      </c>
      <c r="Q6921" s="140">
        <v>11</v>
      </c>
      <c r="R6921" s="69">
        <f t="shared" si="159"/>
        <v>42900</v>
      </c>
      <c r="S6921" s="434">
        <v>202303</v>
      </c>
      <c r="T6921" s="517"/>
      <c r="U6921" s="436"/>
      <c r="V6921" s="518"/>
      <c r="W6921" s="518"/>
      <c r="X6921" s="163">
        <v>44927</v>
      </c>
      <c r="Y6921" s="468"/>
    </row>
    <row r="6922" s="10" customFormat="1" customHeight="1" spans="1:25">
      <c r="A6922" s="459" t="s">
        <v>401</v>
      </c>
      <c r="B6922" s="459" t="s">
        <v>8192</v>
      </c>
      <c r="C6922" s="62" t="s">
        <v>4743</v>
      </c>
      <c r="D6922" s="459" t="s">
        <v>6237</v>
      </c>
      <c r="E6922" s="160" t="s">
        <v>9194</v>
      </c>
      <c r="F6922" s="61" t="s">
        <v>9195</v>
      </c>
      <c r="G6922" s="424" t="s">
        <v>88</v>
      </c>
      <c r="H6922" s="45" t="s">
        <v>9196</v>
      </c>
      <c r="I6922" s="47" t="e">
        <f>VLOOKUP(H6922,'合同综合查询数据（3月返）'!$A:$A,1,FALSE)</f>
        <v>#N/A</v>
      </c>
      <c r="J6922" s="424" t="s">
        <v>126</v>
      </c>
      <c r="K6922" s="427" t="s">
        <v>9202</v>
      </c>
      <c r="L6922" s="428"/>
      <c r="M6922" s="429" t="s">
        <v>9203</v>
      </c>
      <c r="N6922" s="430">
        <v>44316</v>
      </c>
      <c r="O6922" s="430" t="s">
        <v>624</v>
      </c>
      <c r="P6922" s="514">
        <v>3900</v>
      </c>
      <c r="Q6922" s="140">
        <v>-4</v>
      </c>
      <c r="R6922" s="69">
        <f t="shared" si="159"/>
        <v>-15600</v>
      </c>
      <c r="S6922" s="434">
        <v>202303</v>
      </c>
      <c r="T6922" s="517" t="s">
        <v>9204</v>
      </c>
      <c r="U6922" s="436"/>
      <c r="V6922" s="518"/>
      <c r="W6922" s="518"/>
      <c r="X6922" s="163">
        <v>44927</v>
      </c>
      <c r="Y6922" s="468"/>
    </row>
    <row r="6923" s="10" customFormat="1" customHeight="1" spans="1:25">
      <c r="A6923" s="459" t="s">
        <v>401</v>
      </c>
      <c r="B6923" s="459" t="s">
        <v>8192</v>
      </c>
      <c r="C6923" s="62" t="s">
        <v>4743</v>
      </c>
      <c r="D6923" s="459" t="s">
        <v>6237</v>
      </c>
      <c r="E6923" s="160" t="s">
        <v>9194</v>
      </c>
      <c r="F6923" s="61" t="s">
        <v>9195</v>
      </c>
      <c r="G6923" s="424" t="s">
        <v>88</v>
      </c>
      <c r="H6923" s="45" t="s">
        <v>9196</v>
      </c>
      <c r="I6923" s="47" t="e">
        <f>VLOOKUP(H6923,'合同综合查询数据（3月返）'!$A:$A,1,FALSE)</f>
        <v>#N/A</v>
      </c>
      <c r="J6923" s="424" t="s">
        <v>126</v>
      </c>
      <c r="K6923" s="427" t="s">
        <v>9205</v>
      </c>
      <c r="L6923" s="428"/>
      <c r="M6923" s="429" t="s">
        <v>9203</v>
      </c>
      <c r="N6923" s="430">
        <v>44681</v>
      </c>
      <c r="O6923" s="430" t="s">
        <v>624</v>
      </c>
      <c r="P6923" s="514">
        <v>3900</v>
      </c>
      <c r="Q6923" s="140">
        <v>-5</v>
      </c>
      <c r="R6923" s="69">
        <f t="shared" si="159"/>
        <v>-19500</v>
      </c>
      <c r="S6923" s="434">
        <v>202303</v>
      </c>
      <c r="T6923" s="517" t="s">
        <v>9206</v>
      </c>
      <c r="U6923" s="436"/>
      <c r="V6923" s="518"/>
      <c r="W6923" s="518"/>
      <c r="X6923" s="163">
        <v>44927</v>
      </c>
      <c r="Y6923" s="468"/>
    </row>
    <row r="6924" s="9" customFormat="1" customHeight="1" spans="1:25">
      <c r="A6924" s="446" t="s">
        <v>401</v>
      </c>
      <c r="B6924" s="446" t="s">
        <v>8192</v>
      </c>
      <c r="C6924" s="94" t="s">
        <v>4743</v>
      </c>
      <c r="D6924" s="446" t="s">
        <v>6237</v>
      </c>
      <c r="E6924" s="147" t="s">
        <v>9194</v>
      </c>
      <c r="F6924" s="98" t="s">
        <v>9195</v>
      </c>
      <c r="G6924" s="448" t="s">
        <v>88</v>
      </c>
      <c r="H6924" s="19" t="s">
        <v>9207</v>
      </c>
      <c r="I6924" s="23" t="e">
        <f>VLOOKUP(H6924,'合同综合查询数据（3月返）'!$A:$A,1,FALSE)</f>
        <v>#N/A</v>
      </c>
      <c r="J6924" s="448" t="s">
        <v>126</v>
      </c>
      <c r="K6924" s="511" t="s">
        <v>9208</v>
      </c>
      <c r="L6924" s="512" t="s">
        <v>9209</v>
      </c>
      <c r="M6924" s="449" t="s">
        <v>9210</v>
      </c>
      <c r="N6924" s="252">
        <v>44927</v>
      </c>
      <c r="O6924" s="252" t="s">
        <v>3267</v>
      </c>
      <c r="P6924" s="513">
        <v>4600</v>
      </c>
      <c r="Q6924" s="131">
        <v>43</v>
      </c>
      <c r="R6924" s="119">
        <f t="shared" si="159"/>
        <v>197800</v>
      </c>
      <c r="S6924" s="456">
        <v>202303</v>
      </c>
      <c r="T6924" s="134" t="s">
        <v>9211</v>
      </c>
      <c r="U6924" s="488"/>
      <c r="V6924" s="516"/>
      <c r="W6924" s="516"/>
      <c r="X6924" s="190">
        <v>44927</v>
      </c>
      <c r="Y6924" s="190">
        <v>45291</v>
      </c>
    </row>
    <row r="6925" s="9" customFormat="1" customHeight="1" spans="1:25">
      <c r="A6925" s="446" t="s">
        <v>401</v>
      </c>
      <c r="B6925" s="446" t="s">
        <v>8192</v>
      </c>
      <c r="C6925" s="94" t="s">
        <v>4743</v>
      </c>
      <c r="D6925" s="446" t="s">
        <v>6237</v>
      </c>
      <c r="E6925" s="147" t="s">
        <v>9194</v>
      </c>
      <c r="F6925" s="98" t="s">
        <v>9195</v>
      </c>
      <c r="G6925" s="448" t="s">
        <v>88</v>
      </c>
      <c r="H6925" s="19" t="s">
        <v>9207</v>
      </c>
      <c r="I6925" s="23" t="e">
        <f>VLOOKUP(H6925,'合同综合查询数据（3月返）'!$A:$A,1,FALSE)</f>
        <v>#N/A</v>
      </c>
      <c r="J6925" s="448" t="s">
        <v>126</v>
      </c>
      <c r="K6925" s="511" t="s">
        <v>9208</v>
      </c>
      <c r="L6925" s="512" t="s">
        <v>9209</v>
      </c>
      <c r="M6925" s="449" t="s">
        <v>9210</v>
      </c>
      <c r="N6925" s="252">
        <v>44927</v>
      </c>
      <c r="O6925" s="252" t="s">
        <v>3267</v>
      </c>
      <c r="P6925" s="513">
        <v>4600</v>
      </c>
      <c r="Q6925" s="131">
        <v>-6</v>
      </c>
      <c r="R6925" s="119">
        <f t="shared" si="159"/>
        <v>-27600</v>
      </c>
      <c r="S6925" s="456">
        <v>202303</v>
      </c>
      <c r="T6925" s="134" t="s">
        <v>9212</v>
      </c>
      <c r="U6925" s="488"/>
      <c r="V6925" s="516"/>
      <c r="W6925" s="516"/>
      <c r="X6925" s="190">
        <v>44927</v>
      </c>
      <c r="Y6925" s="190">
        <v>45291</v>
      </c>
    </row>
    <row r="6926" s="9" customFormat="1" customHeight="1" spans="1:25">
      <c r="A6926" s="446" t="s">
        <v>401</v>
      </c>
      <c r="B6926" s="446" t="s">
        <v>8192</v>
      </c>
      <c r="C6926" s="94" t="s">
        <v>4743</v>
      </c>
      <c r="D6926" s="446" t="s">
        <v>6237</v>
      </c>
      <c r="E6926" s="147" t="s">
        <v>9194</v>
      </c>
      <c r="F6926" s="98" t="s">
        <v>9195</v>
      </c>
      <c r="G6926" s="448" t="s">
        <v>31</v>
      </c>
      <c r="H6926" s="19" t="s">
        <v>9207</v>
      </c>
      <c r="I6926" s="23" t="e">
        <f>VLOOKUP(H6926,'合同综合查询数据（3月返）'!$A:$A,1,FALSE)</f>
        <v>#N/A</v>
      </c>
      <c r="J6926" s="448" t="s">
        <v>7564</v>
      </c>
      <c r="K6926" s="511" t="s">
        <v>9208</v>
      </c>
      <c r="L6926" s="512" t="s">
        <v>9209</v>
      </c>
      <c r="M6926" s="449" t="s">
        <v>9210</v>
      </c>
      <c r="N6926" s="252">
        <v>44927</v>
      </c>
      <c r="O6926" s="252" t="s">
        <v>37</v>
      </c>
      <c r="P6926" s="513">
        <v>0</v>
      </c>
      <c r="Q6926" s="131">
        <v>1984</v>
      </c>
      <c r="R6926" s="119">
        <f t="shared" si="159"/>
        <v>0</v>
      </c>
      <c r="S6926" s="456">
        <v>202303</v>
      </c>
      <c r="T6926" s="134" t="s">
        <v>9213</v>
      </c>
      <c r="U6926" s="488"/>
      <c r="V6926" s="516"/>
      <c r="W6926" s="516"/>
      <c r="X6926" s="190">
        <v>44927</v>
      </c>
      <c r="Y6926" s="190">
        <v>45291</v>
      </c>
    </row>
    <row r="6927" s="10" customFormat="1" customHeight="1" spans="1:25">
      <c r="A6927" s="459" t="s">
        <v>401</v>
      </c>
      <c r="B6927" s="459" t="s">
        <v>8192</v>
      </c>
      <c r="C6927" s="62" t="s">
        <v>4743</v>
      </c>
      <c r="D6927" s="459" t="s">
        <v>6237</v>
      </c>
      <c r="E6927" s="160" t="s">
        <v>9194</v>
      </c>
      <c r="F6927" s="61" t="s">
        <v>9195</v>
      </c>
      <c r="G6927" s="424" t="s">
        <v>88</v>
      </c>
      <c r="H6927" s="45" t="s">
        <v>9196</v>
      </c>
      <c r="I6927" s="47" t="e">
        <f>VLOOKUP(H6927,'合同综合查询数据（3月返）'!$A:$A,1,FALSE)</f>
        <v>#N/A</v>
      </c>
      <c r="J6927" s="424" t="s">
        <v>1033</v>
      </c>
      <c r="K6927" s="427" t="s">
        <v>4743</v>
      </c>
      <c r="L6927" s="428" t="s">
        <v>9214</v>
      </c>
      <c r="M6927" s="429" t="s">
        <v>9203</v>
      </c>
      <c r="N6927" s="430">
        <v>44391</v>
      </c>
      <c r="O6927" s="430" t="s">
        <v>624</v>
      </c>
      <c r="P6927" s="514">
        <v>3900</v>
      </c>
      <c r="Q6927" s="140">
        <v>3</v>
      </c>
      <c r="R6927" s="69">
        <f t="shared" si="159"/>
        <v>11700</v>
      </c>
      <c r="S6927" s="434">
        <v>202303</v>
      </c>
      <c r="T6927" s="517" t="s">
        <v>9215</v>
      </c>
      <c r="U6927" s="436"/>
      <c r="V6927" s="518"/>
      <c r="W6927" s="518"/>
      <c r="X6927" s="163">
        <v>44927</v>
      </c>
      <c r="Y6927" s="468"/>
    </row>
    <row r="6928" s="10" customFormat="1" customHeight="1" spans="1:25">
      <c r="A6928" s="459" t="s">
        <v>401</v>
      </c>
      <c r="B6928" s="459" t="s">
        <v>8192</v>
      </c>
      <c r="C6928" s="62" t="s">
        <v>4743</v>
      </c>
      <c r="D6928" s="459" t="s">
        <v>6237</v>
      </c>
      <c r="E6928" s="160" t="s">
        <v>9194</v>
      </c>
      <c r="F6928" s="61" t="s">
        <v>9195</v>
      </c>
      <c r="G6928" s="424" t="s">
        <v>31</v>
      </c>
      <c r="H6928" s="45" t="s">
        <v>9196</v>
      </c>
      <c r="I6928" s="47" t="e">
        <f>VLOOKUP(H6928,'合同综合查询数据（3月返）'!$A:$A,1,FALSE)</f>
        <v>#N/A</v>
      </c>
      <c r="J6928" s="424" t="s">
        <v>8541</v>
      </c>
      <c r="K6928" s="427" t="s">
        <v>4743</v>
      </c>
      <c r="L6928" s="428" t="s">
        <v>9214</v>
      </c>
      <c r="M6928" s="429"/>
      <c r="N6928" s="430">
        <v>42662</v>
      </c>
      <c r="O6928" s="430" t="s">
        <v>37</v>
      </c>
      <c r="P6928" s="514">
        <v>0</v>
      </c>
      <c r="Q6928" s="140">
        <v>768</v>
      </c>
      <c r="R6928" s="69">
        <f t="shared" si="159"/>
        <v>0</v>
      </c>
      <c r="S6928" s="434">
        <v>202303</v>
      </c>
      <c r="T6928" s="517" t="s">
        <v>9216</v>
      </c>
      <c r="U6928" s="436"/>
      <c r="V6928" s="518"/>
      <c r="W6928" s="518"/>
      <c r="X6928" s="163">
        <v>44927</v>
      </c>
      <c r="Y6928" s="468"/>
    </row>
    <row r="6929" s="10" customFormat="1" customHeight="1" spans="1:25">
      <c r="A6929" s="459" t="s">
        <v>401</v>
      </c>
      <c r="B6929" s="459" t="s">
        <v>8192</v>
      </c>
      <c r="C6929" s="62" t="s">
        <v>4743</v>
      </c>
      <c r="D6929" s="459" t="s">
        <v>6237</v>
      </c>
      <c r="E6929" s="160" t="s">
        <v>9194</v>
      </c>
      <c r="F6929" s="61" t="s">
        <v>9195</v>
      </c>
      <c r="G6929" s="424" t="s">
        <v>88</v>
      </c>
      <c r="H6929" s="45" t="s">
        <v>9196</v>
      </c>
      <c r="I6929" s="47" t="e">
        <f>VLOOKUP(H6929,'合同综合查询数据（3月返）'!$A:$A,1,FALSE)</f>
        <v>#N/A</v>
      </c>
      <c r="J6929" s="424" t="s">
        <v>1033</v>
      </c>
      <c r="K6929" s="427" t="s">
        <v>4743</v>
      </c>
      <c r="L6929" s="428" t="s">
        <v>9214</v>
      </c>
      <c r="M6929" s="429" t="s">
        <v>9217</v>
      </c>
      <c r="N6929" s="430">
        <v>42662</v>
      </c>
      <c r="O6929" s="430" t="s">
        <v>457</v>
      </c>
      <c r="P6929" s="514">
        <v>5500</v>
      </c>
      <c r="Q6929" s="140">
        <v>3</v>
      </c>
      <c r="R6929" s="69">
        <f t="shared" si="159"/>
        <v>16500</v>
      </c>
      <c r="S6929" s="434">
        <v>202303</v>
      </c>
      <c r="T6929" s="517" t="s">
        <v>9218</v>
      </c>
      <c r="U6929" s="436"/>
      <c r="V6929" s="518"/>
      <c r="W6929" s="518"/>
      <c r="X6929" s="163">
        <v>44927</v>
      </c>
      <c r="Y6929" s="468"/>
    </row>
    <row r="6930" s="10" customFormat="1" customHeight="1" spans="1:25">
      <c r="A6930" s="459" t="s">
        <v>401</v>
      </c>
      <c r="B6930" s="459" t="s">
        <v>8192</v>
      </c>
      <c r="C6930" s="62" t="s">
        <v>4743</v>
      </c>
      <c r="D6930" s="459" t="s">
        <v>6237</v>
      </c>
      <c r="E6930" s="160" t="s">
        <v>9194</v>
      </c>
      <c r="F6930" s="61" t="s">
        <v>9195</v>
      </c>
      <c r="G6930" s="424" t="s">
        <v>88</v>
      </c>
      <c r="H6930" s="45" t="s">
        <v>9196</v>
      </c>
      <c r="I6930" s="47" t="e">
        <f>VLOOKUP(H6930,'合同综合查询数据（3月返）'!$A:$A,1,FALSE)</f>
        <v>#N/A</v>
      </c>
      <c r="J6930" s="424" t="s">
        <v>1033</v>
      </c>
      <c r="K6930" s="427" t="s">
        <v>4743</v>
      </c>
      <c r="L6930" s="428" t="s">
        <v>9214</v>
      </c>
      <c r="M6930" s="429" t="s">
        <v>9217</v>
      </c>
      <c r="N6930" s="430">
        <v>44377</v>
      </c>
      <c r="O6930" s="430" t="s">
        <v>457</v>
      </c>
      <c r="P6930" s="514">
        <v>5500</v>
      </c>
      <c r="Q6930" s="140">
        <v>-3</v>
      </c>
      <c r="R6930" s="69">
        <f t="shared" si="159"/>
        <v>-16500</v>
      </c>
      <c r="S6930" s="434">
        <v>202303</v>
      </c>
      <c r="T6930" s="517" t="s">
        <v>9219</v>
      </c>
      <c r="U6930" s="436"/>
      <c r="V6930" s="518"/>
      <c r="W6930" s="518"/>
      <c r="X6930" s="163">
        <v>44927</v>
      </c>
      <c r="Y6930" s="468"/>
    </row>
    <row r="6931" s="10" customFormat="1" customHeight="1" spans="1:25">
      <c r="A6931" s="459" t="s">
        <v>401</v>
      </c>
      <c r="B6931" s="459" t="s">
        <v>8192</v>
      </c>
      <c r="C6931" s="62" t="s">
        <v>5200</v>
      </c>
      <c r="D6931" s="62" t="s">
        <v>6905</v>
      </c>
      <c r="E6931" s="160" t="s">
        <v>9220</v>
      </c>
      <c r="F6931" s="61" t="s">
        <v>9221</v>
      </c>
      <c r="G6931" s="424" t="s">
        <v>31</v>
      </c>
      <c r="H6931" s="45" t="s">
        <v>9222</v>
      </c>
      <c r="I6931" s="47" t="e">
        <f>VLOOKUP(H6931,'合同综合查询数据（3月返）'!$A:$A,1,FALSE)</f>
        <v>#N/A</v>
      </c>
      <c r="J6931" s="424" t="s">
        <v>7564</v>
      </c>
      <c r="K6931" s="427"/>
      <c r="L6931" s="428" t="s">
        <v>9223</v>
      </c>
      <c r="M6931" s="429"/>
      <c r="N6931" s="430">
        <v>43626</v>
      </c>
      <c r="O6931" s="430" t="s">
        <v>37</v>
      </c>
      <c r="P6931" s="514">
        <v>60</v>
      </c>
      <c r="Q6931" s="140">
        <v>96</v>
      </c>
      <c r="R6931" s="69">
        <f t="shared" si="159"/>
        <v>5760</v>
      </c>
      <c r="S6931" s="434">
        <v>202303</v>
      </c>
      <c r="T6931" s="517" t="s">
        <v>9224</v>
      </c>
      <c r="U6931" s="436"/>
      <c r="V6931" s="518"/>
      <c r="W6931" s="518"/>
      <c r="X6931" s="163">
        <v>44896</v>
      </c>
      <c r="Y6931" s="468"/>
    </row>
    <row r="6932" s="10" customFormat="1" customHeight="1" spans="1:25">
      <c r="A6932" s="459" t="s">
        <v>401</v>
      </c>
      <c r="B6932" s="459" t="s">
        <v>8192</v>
      </c>
      <c r="C6932" s="62" t="s">
        <v>5200</v>
      </c>
      <c r="D6932" s="62" t="s">
        <v>6905</v>
      </c>
      <c r="E6932" s="160" t="s">
        <v>9220</v>
      </c>
      <c r="F6932" s="61" t="s">
        <v>9221</v>
      </c>
      <c r="G6932" s="424" t="s">
        <v>31</v>
      </c>
      <c r="H6932" s="45" t="s">
        <v>9222</v>
      </c>
      <c r="I6932" s="47" t="e">
        <f>VLOOKUP(H6932,'合同综合查询数据（3月返）'!$A:$A,1,FALSE)</f>
        <v>#N/A</v>
      </c>
      <c r="J6932" s="424" t="s">
        <v>7564</v>
      </c>
      <c r="K6932" s="427"/>
      <c r="L6932" s="428" t="s">
        <v>9223</v>
      </c>
      <c r="M6932" s="429"/>
      <c r="N6932" s="430">
        <v>43626</v>
      </c>
      <c r="O6932" s="430" t="s">
        <v>37</v>
      </c>
      <c r="P6932" s="514">
        <v>0</v>
      </c>
      <c r="Q6932" s="140">
        <v>64</v>
      </c>
      <c r="R6932" s="69">
        <f t="shared" si="159"/>
        <v>0</v>
      </c>
      <c r="S6932" s="434">
        <v>202303</v>
      </c>
      <c r="T6932" s="517" t="s">
        <v>9224</v>
      </c>
      <c r="U6932" s="436"/>
      <c r="V6932" s="518"/>
      <c r="W6932" s="518"/>
      <c r="X6932" s="163">
        <v>44896</v>
      </c>
      <c r="Y6932" s="468"/>
    </row>
    <row r="6933" s="10" customFormat="1" customHeight="1" spans="1:25">
      <c r="A6933" s="459" t="s">
        <v>401</v>
      </c>
      <c r="B6933" s="459" t="s">
        <v>8192</v>
      </c>
      <c r="C6933" s="62" t="s">
        <v>5200</v>
      </c>
      <c r="D6933" s="62" t="s">
        <v>6905</v>
      </c>
      <c r="E6933" s="160" t="s">
        <v>9220</v>
      </c>
      <c r="F6933" s="61" t="s">
        <v>9221</v>
      </c>
      <c r="G6933" s="424" t="s">
        <v>88</v>
      </c>
      <c r="H6933" s="45" t="s">
        <v>9222</v>
      </c>
      <c r="I6933" s="47" t="e">
        <f>VLOOKUP(H6933,'合同综合查询数据（3月返）'!$A:$A,1,FALSE)</f>
        <v>#N/A</v>
      </c>
      <c r="J6933" s="424" t="s">
        <v>126</v>
      </c>
      <c r="K6933" s="427" t="s">
        <v>5215</v>
      </c>
      <c r="L6933" s="428"/>
      <c r="M6933" s="429" t="s">
        <v>9225</v>
      </c>
      <c r="N6933" s="430">
        <v>43626</v>
      </c>
      <c r="O6933" s="430" t="s">
        <v>1459</v>
      </c>
      <c r="P6933" s="514">
        <v>4500</v>
      </c>
      <c r="Q6933" s="140">
        <v>2</v>
      </c>
      <c r="R6933" s="69">
        <f t="shared" si="159"/>
        <v>9000</v>
      </c>
      <c r="S6933" s="434">
        <v>202303</v>
      </c>
      <c r="T6933" s="517" t="s">
        <v>9226</v>
      </c>
      <c r="U6933" s="436"/>
      <c r="V6933" s="518"/>
      <c r="W6933" s="518"/>
      <c r="X6933" s="163">
        <v>44896</v>
      </c>
      <c r="Y6933" s="468"/>
    </row>
    <row r="6934" s="10" customFormat="1" customHeight="1" spans="1:25">
      <c r="A6934" s="459" t="s">
        <v>401</v>
      </c>
      <c r="B6934" s="459" t="s">
        <v>8192</v>
      </c>
      <c r="C6934" s="62" t="s">
        <v>5200</v>
      </c>
      <c r="D6934" s="62" t="s">
        <v>6905</v>
      </c>
      <c r="E6934" s="160" t="s">
        <v>9220</v>
      </c>
      <c r="F6934" s="61" t="s">
        <v>9221</v>
      </c>
      <c r="G6934" s="424" t="s">
        <v>31</v>
      </c>
      <c r="H6934" s="45" t="s">
        <v>9222</v>
      </c>
      <c r="I6934" s="47" t="e">
        <f>VLOOKUP(H6934,'合同综合查询数据（3月返）'!$A:$A,1,FALSE)</f>
        <v>#N/A</v>
      </c>
      <c r="J6934" s="424" t="s">
        <v>7564</v>
      </c>
      <c r="K6934" s="427"/>
      <c r="L6934" s="428" t="s">
        <v>9223</v>
      </c>
      <c r="M6934" s="429"/>
      <c r="N6934" s="430">
        <v>44593</v>
      </c>
      <c r="O6934" s="430" t="s">
        <v>37</v>
      </c>
      <c r="P6934" s="514">
        <v>60</v>
      </c>
      <c r="Q6934" s="140">
        <v>128</v>
      </c>
      <c r="R6934" s="69">
        <f t="shared" si="159"/>
        <v>7680</v>
      </c>
      <c r="S6934" s="434">
        <v>202303</v>
      </c>
      <c r="T6934" s="517" t="s">
        <v>9227</v>
      </c>
      <c r="U6934" s="436"/>
      <c r="V6934" s="518"/>
      <c r="W6934" s="518"/>
      <c r="X6934" s="163">
        <v>44896</v>
      </c>
      <c r="Y6934" s="468"/>
    </row>
    <row r="6935" s="10" customFormat="1" customHeight="1" spans="1:25">
      <c r="A6935" s="459" t="s">
        <v>401</v>
      </c>
      <c r="B6935" s="459" t="s">
        <v>8192</v>
      </c>
      <c r="C6935" s="62" t="s">
        <v>5200</v>
      </c>
      <c r="D6935" s="62" t="s">
        <v>6905</v>
      </c>
      <c r="E6935" s="160" t="s">
        <v>9220</v>
      </c>
      <c r="F6935" s="61" t="s">
        <v>9221</v>
      </c>
      <c r="G6935" s="424" t="s">
        <v>88</v>
      </c>
      <c r="H6935" s="45" t="s">
        <v>9222</v>
      </c>
      <c r="I6935" s="47" t="e">
        <f>VLOOKUP(H6935,'合同综合查询数据（3月返）'!$A:$A,1,FALSE)</f>
        <v>#N/A</v>
      </c>
      <c r="J6935" s="424" t="s">
        <v>126</v>
      </c>
      <c r="K6935" s="427" t="s">
        <v>5215</v>
      </c>
      <c r="L6935" s="428"/>
      <c r="M6935" s="429" t="s">
        <v>9225</v>
      </c>
      <c r="N6935" s="430">
        <v>44593</v>
      </c>
      <c r="O6935" s="430" t="s">
        <v>1459</v>
      </c>
      <c r="P6935" s="514">
        <v>4500</v>
      </c>
      <c r="Q6935" s="140">
        <v>1</v>
      </c>
      <c r="R6935" s="69">
        <f t="shared" si="159"/>
        <v>4500</v>
      </c>
      <c r="S6935" s="434">
        <v>202303</v>
      </c>
      <c r="T6935" s="517" t="s">
        <v>9228</v>
      </c>
      <c r="U6935" s="436"/>
      <c r="V6935" s="518"/>
      <c r="W6935" s="518"/>
      <c r="X6935" s="163">
        <v>44896</v>
      </c>
      <c r="Y6935" s="468"/>
    </row>
    <row r="6936" s="10" customFormat="1" customHeight="1" spans="1:25">
      <c r="A6936" s="459" t="s">
        <v>399</v>
      </c>
      <c r="B6936" s="459" t="s">
        <v>8192</v>
      </c>
      <c r="C6936" s="62" t="s">
        <v>253</v>
      </c>
      <c r="D6936" s="459" t="s">
        <v>6237</v>
      </c>
      <c r="E6936" s="160" t="s">
        <v>9229</v>
      </c>
      <c r="F6936" s="61" t="s">
        <v>9230</v>
      </c>
      <c r="G6936" s="424" t="s">
        <v>31</v>
      </c>
      <c r="H6936" s="45" t="s">
        <v>9231</v>
      </c>
      <c r="I6936" s="47" t="e">
        <f>VLOOKUP(H6936,'合同综合查询数据（3月返）'!$A:$A,1,FALSE)</f>
        <v>#N/A</v>
      </c>
      <c r="J6936" s="424" t="s">
        <v>7564</v>
      </c>
      <c r="K6936" s="427" t="s">
        <v>4674</v>
      </c>
      <c r="L6936" s="428" t="s">
        <v>9232</v>
      </c>
      <c r="M6936" s="429"/>
      <c r="N6936" s="430">
        <v>43026</v>
      </c>
      <c r="O6936" s="430" t="s">
        <v>37</v>
      </c>
      <c r="P6936" s="514">
        <v>0</v>
      </c>
      <c r="Q6936" s="140">
        <v>288</v>
      </c>
      <c r="R6936" s="69">
        <f t="shared" si="159"/>
        <v>0</v>
      </c>
      <c r="S6936" s="434">
        <v>202303</v>
      </c>
      <c r="T6936" s="517" t="s">
        <v>9233</v>
      </c>
      <c r="U6936" s="436"/>
      <c r="V6936" s="518"/>
      <c r="W6936" s="518"/>
      <c r="X6936" s="163">
        <v>44927</v>
      </c>
      <c r="Y6936" s="468"/>
    </row>
    <row r="6937" s="10" customFormat="1" customHeight="1" spans="1:25">
      <c r="A6937" s="459" t="s">
        <v>399</v>
      </c>
      <c r="B6937" s="459" t="s">
        <v>8192</v>
      </c>
      <c r="C6937" s="62" t="s">
        <v>253</v>
      </c>
      <c r="D6937" s="459" t="s">
        <v>6237</v>
      </c>
      <c r="E6937" s="160" t="s">
        <v>9229</v>
      </c>
      <c r="F6937" s="61" t="s">
        <v>9230</v>
      </c>
      <c r="G6937" s="424" t="s">
        <v>31</v>
      </c>
      <c r="H6937" s="45" t="s">
        <v>9231</v>
      </c>
      <c r="I6937" s="47" t="e">
        <f>VLOOKUP(H6937,'合同综合查询数据（3月返）'!$A:$A,1,FALSE)</f>
        <v>#N/A</v>
      </c>
      <c r="J6937" s="424" t="s">
        <v>7564</v>
      </c>
      <c r="K6937" s="427" t="s">
        <v>4674</v>
      </c>
      <c r="L6937" s="428" t="s">
        <v>9232</v>
      </c>
      <c r="M6937" s="429"/>
      <c r="N6937" s="430">
        <v>44531</v>
      </c>
      <c r="O6937" s="430" t="s">
        <v>152</v>
      </c>
      <c r="P6937" s="514">
        <v>0</v>
      </c>
      <c r="Q6937" s="140">
        <v>1</v>
      </c>
      <c r="R6937" s="69">
        <f t="shared" si="159"/>
        <v>0</v>
      </c>
      <c r="S6937" s="434">
        <v>202303</v>
      </c>
      <c r="T6937" s="517" t="s">
        <v>9234</v>
      </c>
      <c r="U6937" s="436"/>
      <c r="V6937" s="518"/>
      <c r="W6937" s="518"/>
      <c r="X6937" s="163">
        <v>44927</v>
      </c>
      <c r="Y6937" s="468"/>
    </row>
    <row r="6938" s="10" customFormat="1" customHeight="1" spans="1:25">
      <c r="A6938" s="459" t="s">
        <v>399</v>
      </c>
      <c r="B6938" s="459" t="s">
        <v>8192</v>
      </c>
      <c r="C6938" s="62" t="s">
        <v>253</v>
      </c>
      <c r="D6938" s="459" t="s">
        <v>6237</v>
      </c>
      <c r="E6938" s="160" t="s">
        <v>9229</v>
      </c>
      <c r="F6938" s="61" t="s">
        <v>9230</v>
      </c>
      <c r="G6938" s="424" t="s">
        <v>88</v>
      </c>
      <c r="H6938" s="45" t="s">
        <v>9231</v>
      </c>
      <c r="I6938" s="47" t="e">
        <f>VLOOKUP(H6938,'合同综合查询数据（3月返）'!$A:$A,1,FALSE)</f>
        <v>#N/A</v>
      </c>
      <c r="J6938" s="424" t="s">
        <v>126</v>
      </c>
      <c r="K6938" s="427" t="s">
        <v>4674</v>
      </c>
      <c r="L6938" s="428"/>
      <c r="M6938" s="429" t="s">
        <v>9235</v>
      </c>
      <c r="N6938" s="430">
        <v>43026</v>
      </c>
      <c r="O6938" s="430" t="s">
        <v>457</v>
      </c>
      <c r="P6938" s="514">
        <v>5500</v>
      </c>
      <c r="Q6938" s="140">
        <v>3</v>
      </c>
      <c r="R6938" s="69">
        <f t="shared" si="159"/>
        <v>16500</v>
      </c>
      <c r="S6938" s="434">
        <v>202303</v>
      </c>
      <c r="T6938" s="517"/>
      <c r="U6938" s="436"/>
      <c r="V6938" s="518"/>
      <c r="W6938" s="518"/>
      <c r="X6938" s="163">
        <v>44927</v>
      </c>
      <c r="Y6938" s="468"/>
    </row>
    <row r="6939" s="10" customFormat="1" customHeight="1" spans="1:25">
      <c r="A6939" s="459" t="s">
        <v>399</v>
      </c>
      <c r="B6939" s="459" t="s">
        <v>8192</v>
      </c>
      <c r="C6939" s="62" t="s">
        <v>253</v>
      </c>
      <c r="D6939" s="459" t="s">
        <v>6237</v>
      </c>
      <c r="E6939" s="160" t="s">
        <v>9229</v>
      </c>
      <c r="F6939" s="61" t="s">
        <v>9230</v>
      </c>
      <c r="G6939" s="424" t="s">
        <v>88</v>
      </c>
      <c r="H6939" s="45" t="s">
        <v>9231</v>
      </c>
      <c r="I6939" s="47" t="e">
        <f>VLOOKUP(H6939,'合同综合查询数据（3月返）'!$A:$A,1,FALSE)</f>
        <v>#N/A</v>
      </c>
      <c r="J6939" s="424" t="s">
        <v>126</v>
      </c>
      <c r="K6939" s="427" t="s">
        <v>4674</v>
      </c>
      <c r="L6939" s="428"/>
      <c r="M6939" s="429" t="s">
        <v>9236</v>
      </c>
      <c r="N6939" s="430">
        <v>43413</v>
      </c>
      <c r="O6939" s="430" t="s">
        <v>457</v>
      </c>
      <c r="P6939" s="514">
        <v>5500</v>
      </c>
      <c r="Q6939" s="140">
        <v>4</v>
      </c>
      <c r="R6939" s="69">
        <f t="shared" si="159"/>
        <v>22000</v>
      </c>
      <c r="S6939" s="434">
        <v>202303</v>
      </c>
      <c r="T6939" s="517"/>
      <c r="U6939" s="436"/>
      <c r="V6939" s="518"/>
      <c r="W6939" s="518"/>
      <c r="X6939" s="163">
        <v>44927</v>
      </c>
      <c r="Y6939" s="468"/>
    </row>
    <row r="6940" s="10" customFormat="1" customHeight="1" spans="1:25">
      <c r="A6940" s="459" t="s">
        <v>399</v>
      </c>
      <c r="B6940" s="459" t="s">
        <v>8192</v>
      </c>
      <c r="C6940" s="62" t="s">
        <v>253</v>
      </c>
      <c r="D6940" s="459" t="s">
        <v>6237</v>
      </c>
      <c r="E6940" s="160" t="s">
        <v>9229</v>
      </c>
      <c r="F6940" s="61" t="s">
        <v>9230</v>
      </c>
      <c r="G6940" s="424" t="s">
        <v>88</v>
      </c>
      <c r="H6940" s="45" t="s">
        <v>9231</v>
      </c>
      <c r="I6940" s="47" t="e">
        <f>VLOOKUP(H6940,'合同综合查询数据（3月返）'!$A:$A,1,FALSE)</f>
        <v>#N/A</v>
      </c>
      <c r="J6940" s="424" t="s">
        <v>126</v>
      </c>
      <c r="K6940" s="427" t="s">
        <v>4674</v>
      </c>
      <c r="L6940" s="428"/>
      <c r="M6940" s="429" t="s">
        <v>9236</v>
      </c>
      <c r="N6940" s="430">
        <v>44013</v>
      </c>
      <c r="O6940" s="430" t="s">
        <v>457</v>
      </c>
      <c r="P6940" s="514">
        <v>5500</v>
      </c>
      <c r="Q6940" s="140">
        <v>1</v>
      </c>
      <c r="R6940" s="69">
        <f t="shared" si="159"/>
        <v>5500</v>
      </c>
      <c r="S6940" s="434">
        <v>202303</v>
      </c>
      <c r="T6940" s="517" t="s">
        <v>9237</v>
      </c>
      <c r="U6940" s="436"/>
      <c r="V6940" s="518"/>
      <c r="W6940" s="518"/>
      <c r="X6940" s="163">
        <v>44927</v>
      </c>
      <c r="Y6940" s="468"/>
    </row>
    <row r="6941" s="10" customFormat="1" customHeight="1" spans="1:25">
      <c r="A6941" s="459" t="s">
        <v>399</v>
      </c>
      <c r="B6941" s="459" t="s">
        <v>8192</v>
      </c>
      <c r="C6941" s="62" t="s">
        <v>253</v>
      </c>
      <c r="D6941" s="459" t="s">
        <v>6237</v>
      </c>
      <c r="E6941" s="160" t="s">
        <v>9229</v>
      </c>
      <c r="F6941" s="61" t="s">
        <v>9230</v>
      </c>
      <c r="G6941" s="424" t="s">
        <v>88</v>
      </c>
      <c r="H6941" s="45" t="s">
        <v>9231</v>
      </c>
      <c r="I6941" s="47" t="e">
        <f>VLOOKUP(H6941,'合同综合查询数据（3月返）'!$A:$A,1,FALSE)</f>
        <v>#N/A</v>
      </c>
      <c r="J6941" s="424" t="s">
        <v>126</v>
      </c>
      <c r="K6941" s="427" t="s">
        <v>4674</v>
      </c>
      <c r="L6941" s="428"/>
      <c r="M6941" s="429" t="s">
        <v>9238</v>
      </c>
      <c r="N6941" s="430">
        <v>44101</v>
      </c>
      <c r="O6941" s="430" t="s">
        <v>457</v>
      </c>
      <c r="P6941" s="514">
        <v>5500</v>
      </c>
      <c r="Q6941" s="140">
        <v>2</v>
      </c>
      <c r="R6941" s="69">
        <f t="shared" si="159"/>
        <v>11000</v>
      </c>
      <c r="S6941" s="434">
        <v>202303</v>
      </c>
      <c r="T6941" s="517" t="s">
        <v>9239</v>
      </c>
      <c r="U6941" s="436"/>
      <c r="V6941" s="518"/>
      <c r="W6941" s="518"/>
      <c r="X6941" s="163">
        <v>44927</v>
      </c>
      <c r="Y6941" s="468"/>
    </row>
    <row r="6942" s="10" customFormat="1" customHeight="1" spans="1:25">
      <c r="A6942" s="459" t="s">
        <v>399</v>
      </c>
      <c r="B6942" s="459" t="s">
        <v>8192</v>
      </c>
      <c r="C6942" s="62" t="s">
        <v>253</v>
      </c>
      <c r="D6942" s="459" t="s">
        <v>6237</v>
      </c>
      <c r="E6942" s="160" t="s">
        <v>9229</v>
      </c>
      <c r="F6942" s="61" t="s">
        <v>9230</v>
      </c>
      <c r="G6942" s="424" t="s">
        <v>88</v>
      </c>
      <c r="H6942" s="45" t="s">
        <v>9231</v>
      </c>
      <c r="I6942" s="47" t="e">
        <f>VLOOKUP(H6942,'合同综合查询数据（3月返）'!$A:$A,1,FALSE)</f>
        <v>#N/A</v>
      </c>
      <c r="J6942" s="424" t="s">
        <v>126</v>
      </c>
      <c r="K6942" s="427" t="s">
        <v>4674</v>
      </c>
      <c r="L6942" s="428"/>
      <c r="M6942" s="429" t="s">
        <v>9235</v>
      </c>
      <c r="N6942" s="430">
        <v>44091</v>
      </c>
      <c r="O6942" s="430" t="s">
        <v>457</v>
      </c>
      <c r="P6942" s="514">
        <v>5500</v>
      </c>
      <c r="Q6942" s="140">
        <v>-2</v>
      </c>
      <c r="R6942" s="69">
        <f t="shared" si="159"/>
        <v>-11000</v>
      </c>
      <c r="S6942" s="434">
        <v>202303</v>
      </c>
      <c r="T6942" s="517"/>
      <c r="U6942" s="436"/>
      <c r="V6942" s="518"/>
      <c r="W6942" s="518"/>
      <c r="X6942" s="163">
        <v>44927</v>
      </c>
      <c r="Y6942" s="468"/>
    </row>
    <row r="6943" s="10" customFormat="1" customHeight="1" spans="1:25">
      <c r="A6943" s="459" t="s">
        <v>399</v>
      </c>
      <c r="B6943" s="459" t="s">
        <v>8192</v>
      </c>
      <c r="C6943" s="62" t="s">
        <v>253</v>
      </c>
      <c r="D6943" s="459" t="s">
        <v>6237</v>
      </c>
      <c r="E6943" s="160" t="s">
        <v>9229</v>
      </c>
      <c r="F6943" s="61" t="s">
        <v>9230</v>
      </c>
      <c r="G6943" s="424" t="s">
        <v>88</v>
      </c>
      <c r="H6943" s="45" t="s">
        <v>9231</v>
      </c>
      <c r="I6943" s="47" t="e">
        <f>VLOOKUP(H6943,'合同综合查询数据（3月返）'!$A:$A,1,FALSE)</f>
        <v>#N/A</v>
      </c>
      <c r="J6943" s="424" t="s">
        <v>126</v>
      </c>
      <c r="K6943" s="427" t="s">
        <v>4674</v>
      </c>
      <c r="L6943" s="428"/>
      <c r="M6943" s="429" t="s">
        <v>9235</v>
      </c>
      <c r="N6943" s="430">
        <v>44104</v>
      </c>
      <c r="O6943" s="430" t="s">
        <v>457</v>
      </c>
      <c r="P6943" s="514">
        <v>5500</v>
      </c>
      <c r="Q6943" s="140">
        <v>-1</v>
      </c>
      <c r="R6943" s="69">
        <f t="shared" si="159"/>
        <v>-5500</v>
      </c>
      <c r="S6943" s="434">
        <v>202303</v>
      </c>
      <c r="T6943" s="517"/>
      <c r="U6943" s="436"/>
      <c r="V6943" s="518"/>
      <c r="W6943" s="518"/>
      <c r="X6943" s="163">
        <v>44927</v>
      </c>
      <c r="Y6943" s="468"/>
    </row>
    <row r="6944" s="10" customFormat="1" customHeight="1" spans="1:25">
      <c r="A6944" s="459" t="s">
        <v>399</v>
      </c>
      <c r="B6944" s="459" t="s">
        <v>8192</v>
      </c>
      <c r="C6944" s="62" t="s">
        <v>253</v>
      </c>
      <c r="D6944" s="459" t="s">
        <v>6237</v>
      </c>
      <c r="E6944" s="160" t="s">
        <v>9229</v>
      </c>
      <c r="F6944" s="61" t="s">
        <v>9230</v>
      </c>
      <c r="G6944" s="424" t="s">
        <v>88</v>
      </c>
      <c r="H6944" s="45" t="s">
        <v>9231</v>
      </c>
      <c r="I6944" s="47" t="e">
        <f>VLOOKUP(H6944,'合同综合查询数据（3月返）'!$A:$A,1,FALSE)</f>
        <v>#N/A</v>
      </c>
      <c r="J6944" s="424" t="s">
        <v>126</v>
      </c>
      <c r="K6944" s="427" t="s">
        <v>4674</v>
      </c>
      <c r="L6944" s="428"/>
      <c r="M6944" s="429" t="s">
        <v>9235</v>
      </c>
      <c r="N6944" s="430">
        <v>44256</v>
      </c>
      <c r="O6944" s="430" t="s">
        <v>457</v>
      </c>
      <c r="P6944" s="514">
        <v>5500</v>
      </c>
      <c r="Q6944" s="140">
        <v>2</v>
      </c>
      <c r="R6944" s="69">
        <f t="shared" si="159"/>
        <v>11000</v>
      </c>
      <c r="S6944" s="434">
        <v>202303</v>
      </c>
      <c r="T6944" s="517" t="s">
        <v>9240</v>
      </c>
      <c r="U6944" s="436"/>
      <c r="V6944" s="518"/>
      <c r="W6944" s="518"/>
      <c r="X6944" s="163">
        <v>44927</v>
      </c>
      <c r="Y6944" s="468"/>
    </row>
    <row r="6945" s="10" customFormat="1" customHeight="1" spans="1:25">
      <c r="A6945" s="459" t="s">
        <v>399</v>
      </c>
      <c r="B6945" s="459" t="s">
        <v>8192</v>
      </c>
      <c r="C6945" s="62" t="s">
        <v>253</v>
      </c>
      <c r="D6945" s="459" t="s">
        <v>6237</v>
      </c>
      <c r="E6945" s="160" t="s">
        <v>9229</v>
      </c>
      <c r="F6945" s="61" t="s">
        <v>9230</v>
      </c>
      <c r="G6945" s="424" t="s">
        <v>31</v>
      </c>
      <c r="H6945" s="45" t="s">
        <v>9231</v>
      </c>
      <c r="I6945" s="47" t="e">
        <f>VLOOKUP(H6945,'合同综合查询数据（3月返）'!$A:$A,1,FALSE)</f>
        <v>#N/A</v>
      </c>
      <c r="J6945" s="424" t="s">
        <v>7564</v>
      </c>
      <c r="K6945" s="427" t="s">
        <v>4674</v>
      </c>
      <c r="L6945" s="428" t="s">
        <v>9232</v>
      </c>
      <c r="M6945" s="429" t="s">
        <v>9235</v>
      </c>
      <c r="N6945" s="430">
        <v>44256</v>
      </c>
      <c r="O6945" s="430" t="s">
        <v>37</v>
      </c>
      <c r="P6945" s="514">
        <v>0</v>
      </c>
      <c r="Q6945" s="140">
        <v>128</v>
      </c>
      <c r="R6945" s="69">
        <f t="shared" si="159"/>
        <v>0</v>
      </c>
      <c r="S6945" s="434">
        <v>202303</v>
      </c>
      <c r="T6945" s="517" t="s">
        <v>9241</v>
      </c>
      <c r="U6945" s="436"/>
      <c r="V6945" s="518"/>
      <c r="W6945" s="518"/>
      <c r="X6945" s="163">
        <v>44927</v>
      </c>
      <c r="Y6945" s="468"/>
    </row>
    <row r="6946" s="10" customFormat="1" customHeight="1" spans="1:25">
      <c r="A6946" s="459" t="s">
        <v>399</v>
      </c>
      <c r="B6946" s="459" t="s">
        <v>8192</v>
      </c>
      <c r="C6946" s="62" t="s">
        <v>253</v>
      </c>
      <c r="D6946" s="459" t="s">
        <v>6237</v>
      </c>
      <c r="E6946" s="160" t="s">
        <v>9229</v>
      </c>
      <c r="F6946" s="61" t="s">
        <v>9230</v>
      </c>
      <c r="G6946" s="424" t="s">
        <v>88</v>
      </c>
      <c r="H6946" s="45" t="s">
        <v>9231</v>
      </c>
      <c r="I6946" s="47" t="e">
        <f>VLOOKUP(H6946,'合同综合查询数据（3月返）'!$A:$A,1,FALSE)</f>
        <v>#N/A</v>
      </c>
      <c r="J6946" s="424" t="s">
        <v>126</v>
      </c>
      <c r="K6946" s="427" t="s">
        <v>4674</v>
      </c>
      <c r="L6946" s="428"/>
      <c r="M6946" s="429" t="s">
        <v>9235</v>
      </c>
      <c r="N6946" s="430">
        <v>44391</v>
      </c>
      <c r="O6946" s="430" t="s">
        <v>457</v>
      </c>
      <c r="P6946" s="514">
        <v>5500</v>
      </c>
      <c r="Q6946" s="140">
        <v>-1</v>
      </c>
      <c r="R6946" s="69">
        <f t="shared" si="159"/>
        <v>-5500</v>
      </c>
      <c r="S6946" s="434">
        <v>202303</v>
      </c>
      <c r="T6946" s="517" t="s">
        <v>9242</v>
      </c>
      <c r="U6946" s="436"/>
      <c r="V6946" s="518"/>
      <c r="W6946" s="518"/>
      <c r="X6946" s="163">
        <v>44927</v>
      </c>
      <c r="Y6946" s="468"/>
    </row>
    <row r="6947" s="10" customFormat="1" customHeight="1" spans="1:25">
      <c r="A6947" s="459" t="s">
        <v>399</v>
      </c>
      <c r="B6947" s="459" t="s">
        <v>8192</v>
      </c>
      <c r="C6947" s="62" t="s">
        <v>253</v>
      </c>
      <c r="D6947" s="459" t="s">
        <v>6237</v>
      </c>
      <c r="E6947" s="160" t="s">
        <v>9229</v>
      </c>
      <c r="F6947" s="61" t="s">
        <v>9230</v>
      </c>
      <c r="G6947" s="424" t="s">
        <v>31</v>
      </c>
      <c r="H6947" s="45" t="s">
        <v>9231</v>
      </c>
      <c r="I6947" s="47" t="e">
        <f>VLOOKUP(H6947,'合同综合查询数据（3月返）'!$A:$A,1,FALSE)</f>
        <v>#N/A</v>
      </c>
      <c r="J6947" s="424" t="s">
        <v>7564</v>
      </c>
      <c r="K6947" s="427" t="s">
        <v>4674</v>
      </c>
      <c r="L6947" s="428" t="s">
        <v>9232</v>
      </c>
      <c r="M6947" s="429" t="s">
        <v>9238</v>
      </c>
      <c r="N6947" s="430">
        <v>44428</v>
      </c>
      <c r="O6947" s="430" t="s">
        <v>37</v>
      </c>
      <c r="P6947" s="514">
        <v>0</v>
      </c>
      <c r="Q6947" s="140">
        <v>128</v>
      </c>
      <c r="R6947" s="69">
        <f t="shared" si="159"/>
        <v>0</v>
      </c>
      <c r="S6947" s="434">
        <v>202303</v>
      </c>
      <c r="T6947" s="517" t="s">
        <v>9243</v>
      </c>
      <c r="U6947" s="436"/>
      <c r="V6947" s="518"/>
      <c r="W6947" s="518"/>
      <c r="X6947" s="163">
        <v>44927</v>
      </c>
      <c r="Y6947" s="468"/>
    </row>
    <row r="6948" s="10" customFormat="1" customHeight="1" spans="1:25">
      <c r="A6948" s="459" t="s">
        <v>399</v>
      </c>
      <c r="B6948" s="459" t="s">
        <v>8192</v>
      </c>
      <c r="C6948" s="62" t="s">
        <v>253</v>
      </c>
      <c r="D6948" s="459" t="s">
        <v>6237</v>
      </c>
      <c r="E6948" s="160" t="s">
        <v>9229</v>
      </c>
      <c r="F6948" s="61" t="s">
        <v>9230</v>
      </c>
      <c r="G6948" s="424" t="s">
        <v>88</v>
      </c>
      <c r="H6948" s="45" t="s">
        <v>9231</v>
      </c>
      <c r="I6948" s="47" t="e">
        <f>VLOOKUP(H6948,'合同综合查询数据（3月返）'!$A:$A,1,FALSE)</f>
        <v>#N/A</v>
      </c>
      <c r="J6948" s="424" t="s">
        <v>126</v>
      </c>
      <c r="K6948" s="427" t="s">
        <v>4674</v>
      </c>
      <c r="L6948" s="428" t="s">
        <v>9232</v>
      </c>
      <c r="M6948" s="429" t="s">
        <v>9238</v>
      </c>
      <c r="N6948" s="430">
        <v>44470</v>
      </c>
      <c r="O6948" s="430" t="s">
        <v>457</v>
      </c>
      <c r="P6948" s="514">
        <v>5500</v>
      </c>
      <c r="Q6948" s="140">
        <v>1</v>
      </c>
      <c r="R6948" s="69">
        <f t="shared" si="159"/>
        <v>5500</v>
      </c>
      <c r="S6948" s="434">
        <v>202303</v>
      </c>
      <c r="T6948" s="517" t="s">
        <v>9244</v>
      </c>
      <c r="U6948" s="436"/>
      <c r="V6948" s="518"/>
      <c r="W6948" s="518"/>
      <c r="X6948" s="163">
        <v>44927</v>
      </c>
      <c r="Y6948" s="468"/>
    </row>
    <row r="6949" s="10" customFormat="1" customHeight="1" spans="1:25">
      <c r="A6949" s="459" t="s">
        <v>399</v>
      </c>
      <c r="B6949" s="459" t="s">
        <v>8192</v>
      </c>
      <c r="C6949" s="62" t="s">
        <v>253</v>
      </c>
      <c r="D6949" s="459" t="s">
        <v>6237</v>
      </c>
      <c r="E6949" s="160" t="s">
        <v>9229</v>
      </c>
      <c r="F6949" s="61" t="s">
        <v>9230</v>
      </c>
      <c r="G6949" s="424" t="s">
        <v>31</v>
      </c>
      <c r="H6949" s="45" t="s">
        <v>9231</v>
      </c>
      <c r="I6949" s="47" t="e">
        <f>VLOOKUP(H6949,'合同综合查询数据（3月返）'!$A:$A,1,FALSE)</f>
        <v>#N/A</v>
      </c>
      <c r="J6949" s="424" t="s">
        <v>7564</v>
      </c>
      <c r="K6949" s="427" t="s">
        <v>9245</v>
      </c>
      <c r="L6949" s="428" t="s">
        <v>9232</v>
      </c>
      <c r="M6949" s="429" t="s">
        <v>9238</v>
      </c>
      <c r="N6949" s="430">
        <v>44470</v>
      </c>
      <c r="O6949" s="430" t="s">
        <v>37</v>
      </c>
      <c r="P6949" s="514">
        <v>0</v>
      </c>
      <c r="Q6949" s="140">
        <v>128</v>
      </c>
      <c r="R6949" s="69">
        <f t="shared" si="159"/>
        <v>0</v>
      </c>
      <c r="S6949" s="434">
        <v>202303</v>
      </c>
      <c r="T6949" s="517" t="s">
        <v>9246</v>
      </c>
      <c r="U6949" s="436"/>
      <c r="V6949" s="518"/>
      <c r="W6949" s="518"/>
      <c r="X6949" s="163">
        <v>44927</v>
      </c>
      <c r="Y6949" s="468"/>
    </row>
    <row r="6950" s="10" customFormat="1" customHeight="1" spans="1:25">
      <c r="A6950" s="459" t="s">
        <v>399</v>
      </c>
      <c r="B6950" s="459" t="s">
        <v>8192</v>
      </c>
      <c r="C6950" s="62" t="s">
        <v>253</v>
      </c>
      <c r="D6950" s="459" t="s">
        <v>6237</v>
      </c>
      <c r="E6950" s="160" t="s">
        <v>9229</v>
      </c>
      <c r="F6950" s="61" t="s">
        <v>9230</v>
      </c>
      <c r="G6950" s="424" t="s">
        <v>31</v>
      </c>
      <c r="H6950" s="45" t="s">
        <v>9231</v>
      </c>
      <c r="I6950" s="47" t="e">
        <f>VLOOKUP(H6950,'合同综合查询数据（3月返）'!$A:$A,1,FALSE)</f>
        <v>#N/A</v>
      </c>
      <c r="J6950" s="424" t="s">
        <v>7564</v>
      </c>
      <c r="K6950" s="427" t="s">
        <v>9245</v>
      </c>
      <c r="L6950" s="428" t="s">
        <v>9232</v>
      </c>
      <c r="M6950" s="429" t="s">
        <v>9238</v>
      </c>
      <c r="N6950" s="430">
        <v>44926</v>
      </c>
      <c r="O6950" s="430" t="s">
        <v>37</v>
      </c>
      <c r="P6950" s="514">
        <v>0</v>
      </c>
      <c r="Q6950" s="140">
        <v>-128</v>
      </c>
      <c r="R6950" s="69">
        <f t="shared" si="159"/>
        <v>0</v>
      </c>
      <c r="S6950" s="434">
        <v>202303</v>
      </c>
      <c r="T6950" s="517" t="s">
        <v>9247</v>
      </c>
      <c r="U6950" s="436"/>
      <c r="V6950" s="518"/>
      <c r="W6950" s="518"/>
      <c r="X6950" s="163">
        <v>44927</v>
      </c>
      <c r="Y6950" s="468"/>
    </row>
    <row r="6951" s="10" customFormat="1" customHeight="1" spans="1:25">
      <c r="A6951" s="459" t="s">
        <v>399</v>
      </c>
      <c r="B6951" s="459" t="s">
        <v>8192</v>
      </c>
      <c r="C6951" s="62" t="s">
        <v>253</v>
      </c>
      <c r="D6951" s="459" t="s">
        <v>6237</v>
      </c>
      <c r="E6951" s="160" t="s">
        <v>9229</v>
      </c>
      <c r="F6951" s="61" t="s">
        <v>9230</v>
      </c>
      <c r="G6951" s="424" t="s">
        <v>88</v>
      </c>
      <c r="H6951" s="45" t="s">
        <v>9231</v>
      </c>
      <c r="I6951" s="47" t="e">
        <f>VLOOKUP(H6951,'合同综合查询数据（3月返）'!$A:$A,1,FALSE)</f>
        <v>#N/A</v>
      </c>
      <c r="J6951" s="424" t="s">
        <v>126</v>
      </c>
      <c r="K6951" s="427" t="s">
        <v>4674</v>
      </c>
      <c r="L6951" s="428" t="s">
        <v>9232</v>
      </c>
      <c r="M6951" s="429" t="s">
        <v>9238</v>
      </c>
      <c r="N6951" s="430">
        <v>44562</v>
      </c>
      <c r="O6951" s="430" t="s">
        <v>457</v>
      </c>
      <c r="P6951" s="514">
        <v>5500</v>
      </c>
      <c r="Q6951" s="140">
        <v>2</v>
      </c>
      <c r="R6951" s="69">
        <f t="shared" si="159"/>
        <v>11000</v>
      </c>
      <c r="S6951" s="434">
        <v>202303</v>
      </c>
      <c r="T6951" s="517" t="s">
        <v>9248</v>
      </c>
      <c r="U6951" s="436"/>
      <c r="V6951" s="518"/>
      <c r="W6951" s="518"/>
      <c r="X6951" s="163">
        <v>44927</v>
      </c>
      <c r="Y6951" s="468"/>
    </row>
    <row r="6952" s="10" customFormat="1" customHeight="1" spans="1:25">
      <c r="A6952" s="459" t="s">
        <v>399</v>
      </c>
      <c r="B6952" s="459" t="s">
        <v>8192</v>
      </c>
      <c r="C6952" s="62" t="s">
        <v>253</v>
      </c>
      <c r="D6952" s="459" t="s">
        <v>6237</v>
      </c>
      <c r="E6952" s="160" t="s">
        <v>9229</v>
      </c>
      <c r="F6952" s="61" t="s">
        <v>9230</v>
      </c>
      <c r="G6952" s="424" t="s">
        <v>31</v>
      </c>
      <c r="H6952" s="45" t="s">
        <v>9231</v>
      </c>
      <c r="I6952" s="47" t="e">
        <f>VLOOKUP(H6952,'合同综合查询数据（3月返）'!$A:$A,1,FALSE)</f>
        <v>#N/A</v>
      </c>
      <c r="J6952" s="424" t="s">
        <v>7564</v>
      </c>
      <c r="K6952" s="427" t="s">
        <v>9245</v>
      </c>
      <c r="L6952" s="428" t="s">
        <v>9232</v>
      </c>
      <c r="M6952" s="429" t="s">
        <v>9238</v>
      </c>
      <c r="N6952" s="430">
        <v>44562</v>
      </c>
      <c r="O6952" s="430" t="s">
        <v>37</v>
      </c>
      <c r="P6952" s="514">
        <v>0</v>
      </c>
      <c r="Q6952" s="140">
        <v>128</v>
      </c>
      <c r="R6952" s="69"/>
      <c r="S6952" s="434">
        <v>202303</v>
      </c>
      <c r="T6952" s="517" t="s">
        <v>9249</v>
      </c>
      <c r="U6952" s="436"/>
      <c r="V6952" s="518"/>
      <c r="W6952" s="518"/>
      <c r="X6952" s="163">
        <v>44927</v>
      </c>
      <c r="Y6952" s="468"/>
    </row>
    <row r="6953" s="10" customFormat="1" customHeight="1" spans="1:25">
      <c r="A6953" s="459" t="s">
        <v>399</v>
      </c>
      <c r="B6953" s="459" t="s">
        <v>8192</v>
      </c>
      <c r="C6953" s="62" t="s">
        <v>253</v>
      </c>
      <c r="D6953" s="459" t="s">
        <v>6237</v>
      </c>
      <c r="E6953" s="160" t="s">
        <v>9229</v>
      </c>
      <c r="F6953" s="61" t="s">
        <v>9230</v>
      </c>
      <c r="G6953" s="424" t="s">
        <v>31</v>
      </c>
      <c r="H6953" s="45" t="s">
        <v>9231</v>
      </c>
      <c r="I6953" s="47" t="e">
        <f>VLOOKUP(H6953,'合同综合查询数据（3月返）'!$A:$A,1,FALSE)</f>
        <v>#N/A</v>
      </c>
      <c r="J6953" s="424" t="s">
        <v>7564</v>
      </c>
      <c r="K6953" s="427" t="s">
        <v>9245</v>
      </c>
      <c r="L6953" s="428" t="s">
        <v>9232</v>
      </c>
      <c r="M6953" s="429" t="s">
        <v>9238</v>
      </c>
      <c r="N6953" s="430">
        <v>44926</v>
      </c>
      <c r="O6953" s="430" t="s">
        <v>37</v>
      </c>
      <c r="P6953" s="514">
        <v>0</v>
      </c>
      <c r="Q6953" s="140">
        <v>-128</v>
      </c>
      <c r="R6953" s="69"/>
      <c r="S6953" s="434">
        <v>202303</v>
      </c>
      <c r="T6953" s="517" t="s">
        <v>9250</v>
      </c>
      <c r="U6953" s="436"/>
      <c r="V6953" s="518"/>
      <c r="W6953" s="518"/>
      <c r="X6953" s="163">
        <v>44927</v>
      </c>
      <c r="Y6953" s="468"/>
    </row>
    <row r="6954" s="10" customFormat="1" customHeight="1" spans="1:25">
      <c r="A6954" s="459" t="s">
        <v>399</v>
      </c>
      <c r="B6954" s="459" t="s">
        <v>8192</v>
      </c>
      <c r="C6954" s="62" t="s">
        <v>253</v>
      </c>
      <c r="D6954" s="459" t="s">
        <v>6237</v>
      </c>
      <c r="E6954" s="160" t="s">
        <v>9229</v>
      </c>
      <c r="F6954" s="61" t="s">
        <v>9230</v>
      </c>
      <c r="G6954" s="424" t="s">
        <v>31</v>
      </c>
      <c r="H6954" s="45" t="s">
        <v>9231</v>
      </c>
      <c r="I6954" s="47" t="e">
        <f>VLOOKUP(H6954,'合同综合查询数据（3月返）'!$A:$A,1,FALSE)</f>
        <v>#N/A</v>
      </c>
      <c r="J6954" s="424" t="s">
        <v>7564</v>
      </c>
      <c r="K6954" s="427" t="s">
        <v>4674</v>
      </c>
      <c r="L6954" s="428" t="s">
        <v>9232</v>
      </c>
      <c r="M6954" s="429" t="s">
        <v>9238</v>
      </c>
      <c r="N6954" s="430">
        <v>44562</v>
      </c>
      <c r="O6954" s="430" t="s">
        <v>152</v>
      </c>
      <c r="P6954" s="514">
        <v>0</v>
      </c>
      <c r="Q6954" s="140">
        <v>1</v>
      </c>
      <c r="R6954" s="69">
        <f t="shared" ref="R6954:R7017" si="160">ROUND(P6954*Q6954,2)</f>
        <v>0</v>
      </c>
      <c r="S6954" s="434">
        <v>202303</v>
      </c>
      <c r="T6954" s="517" t="s">
        <v>9251</v>
      </c>
      <c r="U6954" s="436"/>
      <c r="V6954" s="518"/>
      <c r="W6954" s="518"/>
      <c r="X6954" s="163">
        <v>44927</v>
      </c>
      <c r="Y6954" s="468"/>
    </row>
    <row r="6955" s="10" customFormat="1" customHeight="1" spans="1:25">
      <c r="A6955" s="459" t="s">
        <v>399</v>
      </c>
      <c r="B6955" s="459" t="s">
        <v>8192</v>
      </c>
      <c r="C6955" s="62" t="s">
        <v>253</v>
      </c>
      <c r="D6955" s="459" t="s">
        <v>6237</v>
      </c>
      <c r="E6955" s="160" t="s">
        <v>9229</v>
      </c>
      <c r="F6955" s="61" t="s">
        <v>9230</v>
      </c>
      <c r="G6955" s="424" t="s">
        <v>31</v>
      </c>
      <c r="H6955" s="45" t="s">
        <v>9231</v>
      </c>
      <c r="I6955" s="47" t="e">
        <f>VLOOKUP(H6955,'合同综合查询数据（3月返）'!$A:$A,1,FALSE)</f>
        <v>#N/A</v>
      </c>
      <c r="J6955" s="424" t="s">
        <v>7564</v>
      </c>
      <c r="K6955" s="427" t="s">
        <v>9245</v>
      </c>
      <c r="L6955" s="428" t="s">
        <v>9232</v>
      </c>
      <c r="M6955" s="429" t="s">
        <v>9238</v>
      </c>
      <c r="N6955" s="430">
        <v>44651</v>
      </c>
      <c r="O6955" s="430" t="s">
        <v>37</v>
      </c>
      <c r="P6955" s="514">
        <v>0</v>
      </c>
      <c r="Q6955" s="140">
        <v>128</v>
      </c>
      <c r="R6955" s="69">
        <f t="shared" si="160"/>
        <v>0</v>
      </c>
      <c r="S6955" s="434">
        <v>202303</v>
      </c>
      <c r="T6955" s="517" t="s">
        <v>9252</v>
      </c>
      <c r="U6955" s="436"/>
      <c r="V6955" s="518"/>
      <c r="W6955" s="518"/>
      <c r="X6955" s="163">
        <v>44927</v>
      </c>
      <c r="Y6955" s="468"/>
    </row>
    <row r="6956" s="10" customFormat="1" customHeight="1" spans="1:25">
      <c r="A6956" s="459" t="s">
        <v>399</v>
      </c>
      <c r="B6956" s="459" t="s">
        <v>8192</v>
      </c>
      <c r="C6956" s="62" t="s">
        <v>253</v>
      </c>
      <c r="D6956" s="459" t="s">
        <v>6237</v>
      </c>
      <c r="E6956" s="160" t="s">
        <v>9229</v>
      </c>
      <c r="F6956" s="61" t="s">
        <v>9230</v>
      </c>
      <c r="G6956" s="424" t="s">
        <v>88</v>
      </c>
      <c r="H6956" s="45" t="s">
        <v>9231</v>
      </c>
      <c r="I6956" s="47" t="e">
        <f>VLOOKUP(H6956,'合同综合查询数据（3月返）'!$A:$A,1,FALSE)</f>
        <v>#N/A</v>
      </c>
      <c r="J6956" s="424" t="s">
        <v>126</v>
      </c>
      <c r="K6956" s="427" t="s">
        <v>4674</v>
      </c>
      <c r="L6956" s="428" t="s">
        <v>9232</v>
      </c>
      <c r="M6956" s="429" t="s">
        <v>9238</v>
      </c>
      <c r="N6956" s="430">
        <v>44777</v>
      </c>
      <c r="O6956" s="430" t="s">
        <v>457</v>
      </c>
      <c r="P6956" s="514">
        <v>5500</v>
      </c>
      <c r="Q6956" s="140">
        <v>-4</v>
      </c>
      <c r="R6956" s="69">
        <f t="shared" si="160"/>
        <v>-22000</v>
      </c>
      <c r="S6956" s="434">
        <v>202303</v>
      </c>
      <c r="T6956" s="517" t="s">
        <v>9253</v>
      </c>
      <c r="U6956" s="436"/>
      <c r="V6956" s="518"/>
      <c r="W6956" s="518"/>
      <c r="X6956" s="163">
        <v>44927</v>
      </c>
      <c r="Y6956" s="468"/>
    </row>
    <row r="6957" s="10" customFormat="1" customHeight="1" spans="1:25">
      <c r="A6957" s="459" t="s">
        <v>399</v>
      </c>
      <c r="B6957" s="459" t="s">
        <v>8192</v>
      </c>
      <c r="C6957" s="62" t="s">
        <v>253</v>
      </c>
      <c r="D6957" s="459" t="s">
        <v>6237</v>
      </c>
      <c r="E6957" s="160" t="s">
        <v>9229</v>
      </c>
      <c r="F6957" s="61" t="s">
        <v>9230</v>
      </c>
      <c r="G6957" s="424" t="s">
        <v>88</v>
      </c>
      <c r="H6957" s="45" t="s">
        <v>9231</v>
      </c>
      <c r="I6957" s="47" t="e">
        <f>VLOOKUP(H6957,'合同综合查询数据（3月返）'!$A:$A,1,FALSE)</f>
        <v>#N/A</v>
      </c>
      <c r="J6957" s="424" t="s">
        <v>126</v>
      </c>
      <c r="K6957" s="427" t="s">
        <v>4674</v>
      </c>
      <c r="L6957" s="428" t="s">
        <v>9232</v>
      </c>
      <c r="M6957" s="429" t="s">
        <v>9238</v>
      </c>
      <c r="N6957" s="430">
        <v>44904</v>
      </c>
      <c r="O6957" s="430" t="s">
        <v>457</v>
      </c>
      <c r="P6957" s="514">
        <v>5500</v>
      </c>
      <c r="Q6957" s="140">
        <v>1</v>
      </c>
      <c r="R6957" s="69">
        <f t="shared" si="160"/>
        <v>5500</v>
      </c>
      <c r="S6957" s="434">
        <v>202303</v>
      </c>
      <c r="T6957" s="517" t="s">
        <v>9254</v>
      </c>
      <c r="U6957" s="436"/>
      <c r="V6957" s="518"/>
      <c r="W6957" s="518"/>
      <c r="X6957" s="163">
        <v>44927</v>
      </c>
      <c r="Y6957" s="468"/>
    </row>
    <row r="6958" s="10" customFormat="1" customHeight="1" spans="1:25">
      <c r="A6958" s="459" t="s">
        <v>399</v>
      </c>
      <c r="B6958" s="459" t="s">
        <v>8192</v>
      </c>
      <c r="C6958" s="62" t="s">
        <v>253</v>
      </c>
      <c r="D6958" s="459" t="s">
        <v>6237</v>
      </c>
      <c r="E6958" s="160" t="s">
        <v>9229</v>
      </c>
      <c r="F6958" s="61" t="s">
        <v>9230</v>
      </c>
      <c r="G6958" s="424" t="s">
        <v>88</v>
      </c>
      <c r="H6958" s="45" t="s">
        <v>9231</v>
      </c>
      <c r="I6958" s="47" t="e">
        <f>VLOOKUP(H6958,'合同综合查询数据（3月返）'!$A:$A,1,FALSE)</f>
        <v>#N/A</v>
      </c>
      <c r="J6958" s="424" t="s">
        <v>126</v>
      </c>
      <c r="K6958" s="427" t="s">
        <v>4674</v>
      </c>
      <c r="L6958" s="428" t="s">
        <v>9232</v>
      </c>
      <c r="M6958" s="429" t="s">
        <v>9238</v>
      </c>
      <c r="N6958" s="430">
        <v>44922</v>
      </c>
      <c r="O6958" s="430" t="s">
        <v>457</v>
      </c>
      <c r="P6958" s="514">
        <v>5500</v>
      </c>
      <c r="Q6958" s="140">
        <v>1</v>
      </c>
      <c r="R6958" s="69">
        <f t="shared" si="160"/>
        <v>5500</v>
      </c>
      <c r="S6958" s="434">
        <v>202303</v>
      </c>
      <c r="T6958" s="517" t="s">
        <v>9255</v>
      </c>
      <c r="U6958" s="436"/>
      <c r="V6958" s="518"/>
      <c r="W6958" s="518"/>
      <c r="X6958" s="163">
        <v>44927</v>
      </c>
      <c r="Y6958" s="468"/>
    </row>
    <row r="6959" s="10" customFormat="1" customHeight="1" spans="1:25">
      <c r="A6959" s="459" t="s">
        <v>399</v>
      </c>
      <c r="B6959" s="459" t="s">
        <v>8192</v>
      </c>
      <c r="C6959" s="62" t="s">
        <v>210</v>
      </c>
      <c r="D6959" s="459" t="s">
        <v>6237</v>
      </c>
      <c r="E6959" s="160" t="s">
        <v>9256</v>
      </c>
      <c r="F6959" s="61" t="s">
        <v>9257</v>
      </c>
      <c r="G6959" s="424" t="s">
        <v>88</v>
      </c>
      <c r="H6959" s="521" t="s">
        <v>9258</v>
      </c>
      <c r="I6959" s="47" t="e">
        <f>VLOOKUP(H6959,'合同综合查询数据（3月返）'!$A:$A,1,FALSE)</f>
        <v>#N/A</v>
      </c>
      <c r="J6959" s="424" t="s">
        <v>126</v>
      </c>
      <c r="K6959" s="427" t="s">
        <v>9259</v>
      </c>
      <c r="L6959" s="428"/>
      <c r="M6959" s="429" t="s">
        <v>9260</v>
      </c>
      <c r="N6959" s="430">
        <v>43647</v>
      </c>
      <c r="O6959" s="430" t="s">
        <v>127</v>
      </c>
      <c r="P6959" s="514">
        <v>5000</v>
      </c>
      <c r="Q6959" s="140">
        <v>2</v>
      </c>
      <c r="R6959" s="69">
        <f t="shared" si="160"/>
        <v>10000</v>
      </c>
      <c r="S6959" s="434">
        <v>202303</v>
      </c>
      <c r="T6959" s="517"/>
      <c r="U6959" s="436"/>
      <c r="V6959" s="518"/>
      <c r="W6959" s="518"/>
      <c r="X6959" s="163">
        <v>44927</v>
      </c>
      <c r="Y6959" s="468"/>
    </row>
    <row r="6960" s="10" customFormat="1" customHeight="1" spans="1:25">
      <c r="A6960" s="459" t="s">
        <v>399</v>
      </c>
      <c r="B6960" s="459" t="s">
        <v>8192</v>
      </c>
      <c r="C6960" s="62" t="s">
        <v>210</v>
      </c>
      <c r="D6960" s="459" t="s">
        <v>6237</v>
      </c>
      <c r="E6960" s="160" t="s">
        <v>9256</v>
      </c>
      <c r="F6960" s="61" t="s">
        <v>9257</v>
      </c>
      <c r="G6960" s="424" t="s">
        <v>88</v>
      </c>
      <c r="H6960" s="521" t="s">
        <v>9258</v>
      </c>
      <c r="I6960" s="47" t="e">
        <f>VLOOKUP(H6960,'合同综合查询数据（3月返）'!$A:$A,1,FALSE)</f>
        <v>#N/A</v>
      </c>
      <c r="J6960" s="424" t="s">
        <v>126</v>
      </c>
      <c r="K6960" s="427" t="s">
        <v>9259</v>
      </c>
      <c r="L6960" s="428"/>
      <c r="M6960" s="429" t="s">
        <v>9261</v>
      </c>
      <c r="N6960" s="430">
        <v>43497</v>
      </c>
      <c r="O6960" s="430" t="s">
        <v>127</v>
      </c>
      <c r="P6960" s="514">
        <v>5000</v>
      </c>
      <c r="Q6960" s="140">
        <v>4</v>
      </c>
      <c r="R6960" s="69">
        <f t="shared" si="160"/>
        <v>20000</v>
      </c>
      <c r="S6960" s="434">
        <v>202303</v>
      </c>
      <c r="T6960" s="517" t="s">
        <v>9262</v>
      </c>
      <c r="U6960" s="436"/>
      <c r="V6960" s="518"/>
      <c r="W6960" s="518"/>
      <c r="X6960" s="163">
        <v>44927</v>
      </c>
      <c r="Y6960" s="468"/>
    </row>
    <row r="6961" s="10" customFormat="1" customHeight="1" spans="1:25">
      <c r="A6961" s="459" t="s">
        <v>399</v>
      </c>
      <c r="B6961" s="459" t="s">
        <v>8192</v>
      </c>
      <c r="C6961" s="62" t="s">
        <v>210</v>
      </c>
      <c r="D6961" s="459" t="s">
        <v>6237</v>
      </c>
      <c r="E6961" s="160" t="s">
        <v>9256</v>
      </c>
      <c r="F6961" s="61" t="s">
        <v>9257</v>
      </c>
      <c r="G6961" s="424" t="s">
        <v>88</v>
      </c>
      <c r="H6961" s="45" t="s">
        <v>9263</v>
      </c>
      <c r="I6961" s="47" t="e">
        <f>VLOOKUP(H6961,'合同综合查询数据（3月返）'!$A:$A,1,FALSE)</f>
        <v>#N/A</v>
      </c>
      <c r="J6961" s="424" t="s">
        <v>126</v>
      </c>
      <c r="K6961" s="427" t="s">
        <v>9264</v>
      </c>
      <c r="L6961" s="428" t="s">
        <v>9265</v>
      </c>
      <c r="M6961" s="429" t="s">
        <v>9266</v>
      </c>
      <c r="N6961" s="430">
        <v>44562</v>
      </c>
      <c r="O6961" s="430" t="s">
        <v>127</v>
      </c>
      <c r="P6961" s="514">
        <v>5000</v>
      </c>
      <c r="Q6961" s="140">
        <v>2</v>
      </c>
      <c r="R6961" s="69">
        <f t="shared" si="160"/>
        <v>10000</v>
      </c>
      <c r="S6961" s="434">
        <v>202303</v>
      </c>
      <c r="T6961" s="517" t="s">
        <v>9267</v>
      </c>
      <c r="U6961" s="436"/>
      <c r="V6961" s="518"/>
      <c r="W6961" s="518"/>
      <c r="X6961" s="163">
        <v>44562</v>
      </c>
      <c r="Y6961" s="468"/>
    </row>
    <row r="6962" s="10" customFormat="1" customHeight="1" spans="1:25">
      <c r="A6962" s="459" t="s">
        <v>399</v>
      </c>
      <c r="B6962" s="459" t="s">
        <v>8192</v>
      </c>
      <c r="C6962" s="62" t="s">
        <v>210</v>
      </c>
      <c r="D6962" s="459" t="s">
        <v>6237</v>
      </c>
      <c r="E6962" s="160" t="s">
        <v>9256</v>
      </c>
      <c r="F6962" s="61" t="s">
        <v>9257</v>
      </c>
      <c r="G6962" s="424" t="s">
        <v>88</v>
      </c>
      <c r="H6962" s="521" t="s">
        <v>9258</v>
      </c>
      <c r="I6962" s="47" t="e">
        <f>VLOOKUP(H6962,'合同综合查询数据（3月返）'!$A:$A,1,FALSE)</f>
        <v>#N/A</v>
      </c>
      <c r="J6962" s="424" t="s">
        <v>126</v>
      </c>
      <c r="K6962" s="427" t="s">
        <v>9259</v>
      </c>
      <c r="L6962" s="428"/>
      <c r="M6962" s="429" t="s">
        <v>9260</v>
      </c>
      <c r="N6962" s="430">
        <v>44712</v>
      </c>
      <c r="O6962" s="430" t="s">
        <v>127</v>
      </c>
      <c r="P6962" s="514">
        <v>5000</v>
      </c>
      <c r="Q6962" s="140">
        <v>-2</v>
      </c>
      <c r="R6962" s="69">
        <f t="shared" si="160"/>
        <v>-10000</v>
      </c>
      <c r="S6962" s="434">
        <v>202303</v>
      </c>
      <c r="T6962" s="517" t="s">
        <v>9268</v>
      </c>
      <c r="U6962" s="436"/>
      <c r="V6962" s="518"/>
      <c r="W6962" s="518"/>
      <c r="X6962" s="163">
        <v>44927</v>
      </c>
      <c r="Y6962" s="468"/>
    </row>
    <row r="6963" s="10" customFormat="1" customHeight="1" spans="1:25">
      <c r="A6963" s="459" t="s">
        <v>399</v>
      </c>
      <c r="B6963" s="459" t="s">
        <v>8192</v>
      </c>
      <c r="C6963" s="62" t="s">
        <v>210</v>
      </c>
      <c r="D6963" s="459" t="s">
        <v>6237</v>
      </c>
      <c r="E6963" s="160" t="s">
        <v>9256</v>
      </c>
      <c r="F6963" s="61" t="s">
        <v>9257</v>
      </c>
      <c r="G6963" s="424" t="s">
        <v>31</v>
      </c>
      <c r="H6963" s="521" t="s">
        <v>9258</v>
      </c>
      <c r="I6963" s="47" t="e">
        <f>VLOOKUP(H6963,'合同综合查询数据（3月返）'!$A:$A,1,FALSE)</f>
        <v>#N/A</v>
      </c>
      <c r="J6963" s="424" t="s">
        <v>7564</v>
      </c>
      <c r="K6963" s="427" t="s">
        <v>9259</v>
      </c>
      <c r="L6963" s="428"/>
      <c r="M6963" s="429"/>
      <c r="N6963" s="430">
        <v>43709</v>
      </c>
      <c r="O6963" s="430" t="s">
        <v>37</v>
      </c>
      <c r="P6963" s="514">
        <v>0</v>
      </c>
      <c r="Q6963" s="140">
        <v>160</v>
      </c>
      <c r="R6963" s="69">
        <f t="shared" si="160"/>
        <v>0</v>
      </c>
      <c r="S6963" s="434">
        <v>202303</v>
      </c>
      <c r="T6963" s="517" t="s">
        <v>9269</v>
      </c>
      <c r="U6963" s="436"/>
      <c r="V6963" s="518"/>
      <c r="W6963" s="518"/>
      <c r="X6963" s="163">
        <v>44927</v>
      </c>
      <c r="Y6963" s="468"/>
    </row>
    <row r="6964" s="10" customFormat="1" customHeight="1" spans="1:25">
      <c r="A6964" s="459" t="s">
        <v>399</v>
      </c>
      <c r="B6964" s="459" t="s">
        <v>8192</v>
      </c>
      <c r="C6964" s="62" t="s">
        <v>210</v>
      </c>
      <c r="D6964" s="459" t="s">
        <v>6237</v>
      </c>
      <c r="E6964" s="160" t="s">
        <v>9256</v>
      </c>
      <c r="F6964" s="61" t="s">
        <v>9257</v>
      </c>
      <c r="G6964" s="424" t="s">
        <v>31</v>
      </c>
      <c r="H6964" s="521" t="s">
        <v>9258</v>
      </c>
      <c r="I6964" s="47" t="e">
        <f>VLOOKUP(H6964,'合同综合查询数据（3月返）'!$A:$A,1,FALSE)</f>
        <v>#N/A</v>
      </c>
      <c r="J6964" s="424" t="s">
        <v>7564</v>
      </c>
      <c r="K6964" s="427" t="s">
        <v>9259</v>
      </c>
      <c r="L6964" s="428"/>
      <c r="M6964" s="429"/>
      <c r="N6964" s="430">
        <v>43497</v>
      </c>
      <c r="O6964" s="430" t="s">
        <v>37</v>
      </c>
      <c r="P6964" s="514">
        <v>0</v>
      </c>
      <c r="Q6964" s="140">
        <v>288</v>
      </c>
      <c r="R6964" s="69">
        <f t="shared" si="160"/>
        <v>0</v>
      </c>
      <c r="S6964" s="434">
        <v>202303</v>
      </c>
      <c r="T6964" s="517" t="s">
        <v>9270</v>
      </c>
      <c r="U6964" s="436"/>
      <c r="V6964" s="518"/>
      <c r="W6964" s="518"/>
      <c r="X6964" s="163">
        <v>44927</v>
      </c>
      <c r="Y6964" s="468"/>
    </row>
    <row r="6965" s="10" customFormat="1" customHeight="1" spans="1:25">
      <c r="A6965" s="459" t="s">
        <v>399</v>
      </c>
      <c r="B6965" s="459" t="s">
        <v>8192</v>
      </c>
      <c r="C6965" s="62" t="s">
        <v>210</v>
      </c>
      <c r="D6965" s="459" t="s">
        <v>6237</v>
      </c>
      <c r="E6965" s="160" t="s">
        <v>9256</v>
      </c>
      <c r="F6965" s="61" t="s">
        <v>9257</v>
      </c>
      <c r="G6965" s="424" t="s">
        <v>31</v>
      </c>
      <c r="H6965" s="521" t="s">
        <v>9258</v>
      </c>
      <c r="I6965" s="47" t="e">
        <f>VLOOKUP(H6965,'合同综合查询数据（3月返）'!$A:$A,1,FALSE)</f>
        <v>#N/A</v>
      </c>
      <c r="J6965" s="424" t="s">
        <v>7564</v>
      </c>
      <c r="K6965" s="427" t="s">
        <v>9259</v>
      </c>
      <c r="L6965" s="428"/>
      <c r="M6965" s="429"/>
      <c r="N6965" s="430">
        <v>44712</v>
      </c>
      <c r="O6965" s="430" t="s">
        <v>37</v>
      </c>
      <c r="P6965" s="514">
        <v>0</v>
      </c>
      <c r="Q6965" s="140">
        <v>-160</v>
      </c>
      <c r="R6965" s="69">
        <f t="shared" si="160"/>
        <v>0</v>
      </c>
      <c r="S6965" s="434">
        <v>202303</v>
      </c>
      <c r="T6965" s="517" t="s">
        <v>9271</v>
      </c>
      <c r="U6965" s="436"/>
      <c r="V6965" s="518"/>
      <c r="W6965" s="518"/>
      <c r="X6965" s="163">
        <v>44927</v>
      </c>
      <c r="Y6965" s="468"/>
    </row>
    <row r="6966" s="10" customFormat="1" customHeight="1" spans="1:25">
      <c r="A6966" s="459" t="s">
        <v>399</v>
      </c>
      <c r="B6966" s="459" t="s">
        <v>8192</v>
      </c>
      <c r="C6966" s="62" t="s">
        <v>210</v>
      </c>
      <c r="D6966" s="459" t="s">
        <v>6237</v>
      </c>
      <c r="E6966" s="160" t="s">
        <v>9256</v>
      </c>
      <c r="F6966" s="61" t="s">
        <v>9257</v>
      </c>
      <c r="G6966" s="424" t="s">
        <v>31</v>
      </c>
      <c r="H6966" s="45" t="s">
        <v>9263</v>
      </c>
      <c r="I6966" s="47" t="e">
        <f>VLOOKUP(H6966,'合同综合查询数据（3月返）'!$A:$A,1,FALSE)</f>
        <v>#N/A</v>
      </c>
      <c r="J6966" s="424" t="s">
        <v>7564</v>
      </c>
      <c r="K6966" s="427" t="s">
        <v>9264</v>
      </c>
      <c r="L6966" s="428" t="s">
        <v>9265</v>
      </c>
      <c r="M6966" s="429" t="s">
        <v>9266</v>
      </c>
      <c r="N6966" s="430">
        <v>44562</v>
      </c>
      <c r="O6966" s="430" t="s">
        <v>37</v>
      </c>
      <c r="P6966" s="514">
        <v>0</v>
      </c>
      <c r="Q6966" s="140">
        <v>128</v>
      </c>
      <c r="R6966" s="69">
        <f t="shared" si="160"/>
        <v>0</v>
      </c>
      <c r="S6966" s="434">
        <v>202303</v>
      </c>
      <c r="T6966" s="517" t="s">
        <v>9272</v>
      </c>
      <c r="U6966" s="436"/>
      <c r="V6966" s="518"/>
      <c r="W6966" s="518"/>
      <c r="X6966" s="163">
        <v>44562</v>
      </c>
      <c r="Y6966" s="468"/>
    </row>
    <row r="6967" s="10" customFormat="1" customHeight="1" spans="1:25">
      <c r="A6967" s="459" t="s">
        <v>399</v>
      </c>
      <c r="B6967" s="459" t="s">
        <v>8192</v>
      </c>
      <c r="C6967" s="62" t="s">
        <v>210</v>
      </c>
      <c r="D6967" s="459" t="s">
        <v>6237</v>
      </c>
      <c r="E6967" s="160" t="s">
        <v>9256</v>
      </c>
      <c r="F6967" s="61" t="s">
        <v>9257</v>
      </c>
      <c r="G6967" s="424" t="s">
        <v>31</v>
      </c>
      <c r="H6967" s="45" t="s">
        <v>9263</v>
      </c>
      <c r="I6967" s="47" t="e">
        <f>VLOOKUP(H6967,'合同综合查询数据（3月返）'!$A:$A,1,FALSE)</f>
        <v>#N/A</v>
      </c>
      <c r="J6967" s="424" t="s">
        <v>7564</v>
      </c>
      <c r="K6967" s="427" t="s">
        <v>9259</v>
      </c>
      <c r="L6967" s="428" t="s">
        <v>9265</v>
      </c>
      <c r="M6967" s="429" t="s">
        <v>9266</v>
      </c>
      <c r="N6967" s="430">
        <v>44562</v>
      </c>
      <c r="O6967" s="430" t="s">
        <v>152</v>
      </c>
      <c r="P6967" s="514">
        <v>0</v>
      </c>
      <c r="Q6967" s="140">
        <v>1</v>
      </c>
      <c r="R6967" s="69">
        <f t="shared" si="160"/>
        <v>0</v>
      </c>
      <c r="S6967" s="434">
        <v>202303</v>
      </c>
      <c r="T6967" s="517" t="s">
        <v>9273</v>
      </c>
      <c r="U6967" s="436"/>
      <c r="V6967" s="518"/>
      <c r="W6967" s="518"/>
      <c r="X6967" s="163">
        <v>44927</v>
      </c>
      <c r="Y6967" s="468"/>
    </row>
    <row r="6968" s="10" customFormat="1" customHeight="1" spans="1:25">
      <c r="A6968" s="459" t="s">
        <v>399</v>
      </c>
      <c r="B6968" s="459" t="s">
        <v>8192</v>
      </c>
      <c r="C6968" s="62" t="s">
        <v>210</v>
      </c>
      <c r="D6968" s="459" t="s">
        <v>6237</v>
      </c>
      <c r="E6968" s="160" t="s">
        <v>9256</v>
      </c>
      <c r="F6968" s="61" t="s">
        <v>9257</v>
      </c>
      <c r="G6968" s="424" t="s">
        <v>88</v>
      </c>
      <c r="H6968" s="521" t="s">
        <v>9258</v>
      </c>
      <c r="I6968" s="47" t="e">
        <f>VLOOKUP(H6968,'合同综合查询数据（3月返）'!$A:$A,1,FALSE)</f>
        <v>#N/A</v>
      </c>
      <c r="J6968" s="424" t="s">
        <v>126</v>
      </c>
      <c r="K6968" s="427" t="s">
        <v>9259</v>
      </c>
      <c r="L6968" s="428" t="s">
        <v>9265</v>
      </c>
      <c r="M6968" s="429" t="s">
        <v>9260</v>
      </c>
      <c r="N6968" s="430">
        <v>44776</v>
      </c>
      <c r="O6968" s="430" t="s">
        <v>127</v>
      </c>
      <c r="P6968" s="514">
        <v>5000</v>
      </c>
      <c r="Q6968" s="140">
        <v>-1</v>
      </c>
      <c r="R6968" s="69">
        <f t="shared" si="160"/>
        <v>-5000</v>
      </c>
      <c r="S6968" s="434">
        <v>202303</v>
      </c>
      <c r="T6968" s="517" t="s">
        <v>9274</v>
      </c>
      <c r="U6968" s="436"/>
      <c r="V6968" s="518"/>
      <c r="W6968" s="518"/>
      <c r="X6968" s="163">
        <v>44927</v>
      </c>
      <c r="Y6968" s="468"/>
    </row>
    <row r="6969" s="10" customFormat="1" customHeight="1" spans="1:25">
      <c r="A6969" s="459" t="s">
        <v>399</v>
      </c>
      <c r="B6969" s="459" t="s">
        <v>8192</v>
      </c>
      <c r="C6969" s="62" t="s">
        <v>210</v>
      </c>
      <c r="D6969" s="459" t="s">
        <v>6237</v>
      </c>
      <c r="E6969" s="160" t="s">
        <v>9256</v>
      </c>
      <c r="F6969" s="61" t="s">
        <v>9257</v>
      </c>
      <c r="G6969" s="424" t="s">
        <v>31</v>
      </c>
      <c r="H6969" s="521" t="s">
        <v>9258</v>
      </c>
      <c r="I6969" s="47" t="e">
        <f>VLOOKUP(H6969,'合同综合查询数据（3月返）'!$A:$A,1,FALSE)</f>
        <v>#N/A</v>
      </c>
      <c r="J6969" s="424" t="s">
        <v>7564</v>
      </c>
      <c r="K6969" s="427" t="s">
        <v>9259</v>
      </c>
      <c r="L6969" s="428" t="s">
        <v>9265</v>
      </c>
      <c r="M6969" s="429" t="s">
        <v>9266</v>
      </c>
      <c r="N6969" s="430">
        <v>44783</v>
      </c>
      <c r="O6969" s="430" t="s">
        <v>37</v>
      </c>
      <c r="P6969" s="514">
        <v>0</v>
      </c>
      <c r="Q6969" s="140">
        <v>-128</v>
      </c>
      <c r="R6969" s="69">
        <f t="shared" si="160"/>
        <v>0</v>
      </c>
      <c r="S6969" s="434">
        <v>202303</v>
      </c>
      <c r="T6969" s="517" t="s">
        <v>9275</v>
      </c>
      <c r="U6969" s="436"/>
      <c r="V6969" s="518"/>
      <c r="W6969" s="518"/>
      <c r="X6969" s="163">
        <v>44562</v>
      </c>
      <c r="Y6969" s="468"/>
    </row>
    <row r="6970" s="10" customFormat="1" customHeight="1" spans="1:25">
      <c r="A6970" s="459" t="s">
        <v>399</v>
      </c>
      <c r="B6970" s="459" t="s">
        <v>8192</v>
      </c>
      <c r="C6970" s="62" t="s">
        <v>161</v>
      </c>
      <c r="D6970" s="459" t="s">
        <v>6237</v>
      </c>
      <c r="E6970" s="160" t="s">
        <v>9276</v>
      </c>
      <c r="F6970" s="61" t="s">
        <v>9277</v>
      </c>
      <c r="G6970" s="424" t="s">
        <v>31</v>
      </c>
      <c r="H6970" s="45" t="s">
        <v>9278</v>
      </c>
      <c r="I6970" s="47" t="e">
        <f>VLOOKUP(H6970,'合同综合查询数据（3月返）'!$A:$A,1,FALSE)</f>
        <v>#N/A</v>
      </c>
      <c r="J6970" s="424" t="s">
        <v>7564</v>
      </c>
      <c r="K6970" s="427" t="s">
        <v>9179</v>
      </c>
      <c r="L6970" s="428" t="s">
        <v>9279</v>
      </c>
      <c r="M6970" s="429"/>
      <c r="N6970" s="430">
        <v>43506</v>
      </c>
      <c r="O6970" s="430" t="s">
        <v>37</v>
      </c>
      <c r="P6970" s="514">
        <v>0</v>
      </c>
      <c r="Q6970" s="140">
        <v>544</v>
      </c>
      <c r="R6970" s="69">
        <f t="shared" si="160"/>
        <v>0</v>
      </c>
      <c r="S6970" s="434">
        <v>202303</v>
      </c>
      <c r="T6970" s="517" t="s">
        <v>9280</v>
      </c>
      <c r="U6970" s="436"/>
      <c r="V6970" s="518"/>
      <c r="W6970" s="518"/>
      <c r="X6970" s="163">
        <v>44927</v>
      </c>
      <c r="Y6970" s="468"/>
    </row>
    <row r="6971" s="10" customFormat="1" customHeight="1" spans="1:25">
      <c r="A6971" s="459" t="s">
        <v>399</v>
      </c>
      <c r="B6971" s="459" t="s">
        <v>8192</v>
      </c>
      <c r="C6971" s="62" t="s">
        <v>161</v>
      </c>
      <c r="D6971" s="459" t="s">
        <v>6237</v>
      </c>
      <c r="E6971" s="160" t="s">
        <v>9276</v>
      </c>
      <c r="F6971" s="61" t="s">
        <v>9277</v>
      </c>
      <c r="G6971" s="424" t="s">
        <v>31</v>
      </c>
      <c r="H6971" s="45" t="s">
        <v>9278</v>
      </c>
      <c r="I6971" s="47" t="e">
        <f>VLOOKUP(H6971,'合同综合查询数据（3月返）'!$A:$A,1,FALSE)</f>
        <v>#N/A</v>
      </c>
      <c r="J6971" s="424" t="s">
        <v>7564</v>
      </c>
      <c r="K6971" s="427" t="s">
        <v>9179</v>
      </c>
      <c r="L6971" s="428" t="s">
        <v>9279</v>
      </c>
      <c r="M6971" s="429"/>
      <c r="N6971" s="430">
        <v>44773</v>
      </c>
      <c r="O6971" s="430" t="s">
        <v>37</v>
      </c>
      <c r="P6971" s="514">
        <v>0</v>
      </c>
      <c r="Q6971" s="140">
        <v>-544</v>
      </c>
      <c r="R6971" s="69">
        <f t="shared" si="160"/>
        <v>0</v>
      </c>
      <c r="S6971" s="434">
        <v>202303</v>
      </c>
      <c r="T6971" s="517" t="s">
        <v>9281</v>
      </c>
      <c r="U6971" s="436"/>
      <c r="V6971" s="518"/>
      <c r="W6971" s="518"/>
      <c r="X6971" s="163">
        <v>44927</v>
      </c>
      <c r="Y6971" s="468"/>
    </row>
    <row r="6972" s="10" customFormat="1" customHeight="1" spans="1:25">
      <c r="A6972" s="459" t="s">
        <v>399</v>
      </c>
      <c r="B6972" s="459" t="s">
        <v>8192</v>
      </c>
      <c r="C6972" s="62" t="s">
        <v>161</v>
      </c>
      <c r="D6972" s="459" t="s">
        <v>6237</v>
      </c>
      <c r="E6972" s="160" t="s">
        <v>9276</v>
      </c>
      <c r="F6972" s="61" t="s">
        <v>9277</v>
      </c>
      <c r="G6972" s="424" t="s">
        <v>88</v>
      </c>
      <c r="H6972" s="45" t="s">
        <v>9278</v>
      </c>
      <c r="I6972" s="47" t="e">
        <f>VLOOKUP(H6972,'合同综合查询数据（3月返）'!$A:$A,1,FALSE)</f>
        <v>#N/A</v>
      </c>
      <c r="J6972" s="424" t="s">
        <v>126</v>
      </c>
      <c r="K6972" s="427" t="s">
        <v>4868</v>
      </c>
      <c r="L6972" s="428"/>
      <c r="M6972" s="429" t="s">
        <v>9282</v>
      </c>
      <c r="N6972" s="430">
        <v>43354</v>
      </c>
      <c r="O6972" s="430" t="s">
        <v>92</v>
      </c>
      <c r="P6972" s="514">
        <v>4722</v>
      </c>
      <c r="Q6972" s="140">
        <v>5</v>
      </c>
      <c r="R6972" s="69">
        <f t="shared" si="160"/>
        <v>23610</v>
      </c>
      <c r="S6972" s="434">
        <v>202303</v>
      </c>
      <c r="T6972" s="517" t="s">
        <v>9283</v>
      </c>
      <c r="U6972" s="436"/>
      <c r="V6972" s="518"/>
      <c r="W6972" s="518"/>
      <c r="X6972" s="163">
        <v>44927</v>
      </c>
      <c r="Y6972" s="468"/>
    </row>
    <row r="6973" s="10" customFormat="1" customHeight="1" spans="1:25">
      <c r="A6973" s="459" t="s">
        <v>399</v>
      </c>
      <c r="B6973" s="459" t="s">
        <v>8192</v>
      </c>
      <c r="C6973" s="62" t="s">
        <v>161</v>
      </c>
      <c r="D6973" s="459" t="s">
        <v>6237</v>
      </c>
      <c r="E6973" s="160" t="s">
        <v>9276</v>
      </c>
      <c r="F6973" s="61" t="s">
        <v>9277</v>
      </c>
      <c r="G6973" s="424" t="s">
        <v>88</v>
      </c>
      <c r="H6973" s="45" t="s">
        <v>9278</v>
      </c>
      <c r="I6973" s="47" t="e">
        <f>VLOOKUP(H6973,'合同综合查询数据（3月返）'!$A:$A,1,FALSE)</f>
        <v>#N/A</v>
      </c>
      <c r="J6973" s="424" t="s">
        <v>126</v>
      </c>
      <c r="K6973" s="427" t="s">
        <v>4868</v>
      </c>
      <c r="L6973" s="428"/>
      <c r="M6973" s="429" t="s">
        <v>9282</v>
      </c>
      <c r="N6973" s="430">
        <v>44681</v>
      </c>
      <c r="O6973" s="430" t="s">
        <v>92</v>
      </c>
      <c r="P6973" s="514">
        <v>4722</v>
      </c>
      <c r="Q6973" s="140">
        <v>-5</v>
      </c>
      <c r="R6973" s="69">
        <f t="shared" si="160"/>
        <v>-23610</v>
      </c>
      <c r="S6973" s="434">
        <v>202303</v>
      </c>
      <c r="T6973" s="517" t="s">
        <v>9284</v>
      </c>
      <c r="U6973" s="436"/>
      <c r="V6973" s="518"/>
      <c r="W6973" s="518"/>
      <c r="X6973" s="163">
        <v>44927</v>
      </c>
      <c r="Y6973" s="468"/>
    </row>
    <row r="6974" s="10" customFormat="1" customHeight="1" spans="1:25">
      <c r="A6974" s="459" t="s">
        <v>399</v>
      </c>
      <c r="B6974" s="459" t="s">
        <v>8192</v>
      </c>
      <c r="C6974" s="62" t="s">
        <v>161</v>
      </c>
      <c r="D6974" s="459" t="s">
        <v>6237</v>
      </c>
      <c r="E6974" s="160" t="s">
        <v>9276</v>
      </c>
      <c r="F6974" s="61" t="s">
        <v>9277</v>
      </c>
      <c r="G6974" s="424" t="s">
        <v>88</v>
      </c>
      <c r="H6974" s="45" t="s">
        <v>9278</v>
      </c>
      <c r="I6974" s="47" t="e">
        <f>VLOOKUP(H6974,'合同综合查询数据（3月返）'!$A:$A,1,FALSE)</f>
        <v>#N/A</v>
      </c>
      <c r="J6974" s="424" t="s">
        <v>126</v>
      </c>
      <c r="K6974" s="427" t="s">
        <v>9030</v>
      </c>
      <c r="L6974" s="428"/>
      <c r="M6974" s="429" t="s">
        <v>9282</v>
      </c>
      <c r="N6974" s="430">
        <v>43354</v>
      </c>
      <c r="O6974" s="430" t="s">
        <v>92</v>
      </c>
      <c r="P6974" s="514">
        <v>4722</v>
      </c>
      <c r="Q6974" s="140">
        <v>10</v>
      </c>
      <c r="R6974" s="69">
        <f t="shared" si="160"/>
        <v>47220</v>
      </c>
      <c r="S6974" s="434">
        <v>202303</v>
      </c>
      <c r="T6974" s="517" t="s">
        <v>9285</v>
      </c>
      <c r="U6974" s="436"/>
      <c r="V6974" s="518"/>
      <c r="W6974" s="518"/>
      <c r="X6974" s="163">
        <v>44927</v>
      </c>
      <c r="Y6974" s="468"/>
    </row>
    <row r="6975" s="10" customFormat="1" customHeight="1" spans="1:25">
      <c r="A6975" s="459" t="s">
        <v>399</v>
      </c>
      <c r="B6975" s="459" t="s">
        <v>8192</v>
      </c>
      <c r="C6975" s="62" t="s">
        <v>161</v>
      </c>
      <c r="D6975" s="459" t="s">
        <v>6237</v>
      </c>
      <c r="E6975" s="160" t="s">
        <v>9276</v>
      </c>
      <c r="F6975" s="61" t="s">
        <v>9277</v>
      </c>
      <c r="G6975" s="424" t="s">
        <v>88</v>
      </c>
      <c r="H6975" s="45" t="s">
        <v>9278</v>
      </c>
      <c r="I6975" s="47" t="e">
        <f>VLOOKUP(H6975,'合同综合查询数据（3月返）'!$A:$A,1,FALSE)</f>
        <v>#N/A</v>
      </c>
      <c r="J6975" s="424" t="s">
        <v>126</v>
      </c>
      <c r="K6975" s="427" t="s">
        <v>9179</v>
      </c>
      <c r="L6975" s="428"/>
      <c r="M6975" s="429" t="s">
        <v>9286</v>
      </c>
      <c r="N6975" s="430">
        <v>43490</v>
      </c>
      <c r="O6975" s="430" t="s">
        <v>92</v>
      </c>
      <c r="P6975" s="514">
        <v>4722</v>
      </c>
      <c r="Q6975" s="140">
        <v>9</v>
      </c>
      <c r="R6975" s="69">
        <f t="shared" si="160"/>
        <v>42498</v>
      </c>
      <c r="S6975" s="434">
        <v>202303</v>
      </c>
      <c r="T6975" s="517" t="s">
        <v>9287</v>
      </c>
      <c r="U6975" s="436"/>
      <c r="V6975" s="518"/>
      <c r="W6975" s="518"/>
      <c r="X6975" s="163">
        <v>44927</v>
      </c>
      <c r="Y6975" s="468"/>
    </row>
    <row r="6976" s="10" customFormat="1" customHeight="1" spans="1:25">
      <c r="A6976" s="459" t="s">
        <v>399</v>
      </c>
      <c r="B6976" s="459" t="s">
        <v>8192</v>
      </c>
      <c r="C6976" s="62" t="s">
        <v>161</v>
      </c>
      <c r="D6976" s="459" t="s">
        <v>6237</v>
      </c>
      <c r="E6976" s="160" t="s">
        <v>9276</v>
      </c>
      <c r="F6976" s="61" t="s">
        <v>9277</v>
      </c>
      <c r="G6976" s="424" t="s">
        <v>88</v>
      </c>
      <c r="H6976" s="45" t="s">
        <v>9278</v>
      </c>
      <c r="I6976" s="47" t="e">
        <f>VLOOKUP(H6976,'合同综合查询数据（3月返）'!$A:$A,1,FALSE)</f>
        <v>#N/A</v>
      </c>
      <c r="J6976" s="424" t="s">
        <v>126</v>
      </c>
      <c r="K6976" s="427" t="s">
        <v>9030</v>
      </c>
      <c r="L6976" s="428"/>
      <c r="M6976" s="429" t="s">
        <v>9286</v>
      </c>
      <c r="N6976" s="430">
        <v>44197</v>
      </c>
      <c r="O6976" s="430" t="s">
        <v>92</v>
      </c>
      <c r="P6976" s="514">
        <v>4722</v>
      </c>
      <c r="Q6976" s="140">
        <v>1</v>
      </c>
      <c r="R6976" s="69">
        <f t="shared" si="160"/>
        <v>4722</v>
      </c>
      <c r="S6976" s="434">
        <v>202303</v>
      </c>
      <c r="T6976" s="517" t="s">
        <v>9288</v>
      </c>
      <c r="U6976" s="436"/>
      <c r="V6976" s="518"/>
      <c r="W6976" s="518"/>
      <c r="X6976" s="163">
        <v>44927</v>
      </c>
      <c r="Y6976" s="468"/>
    </row>
    <row r="6977" s="10" customFormat="1" customHeight="1" spans="1:25">
      <c r="A6977" s="459" t="s">
        <v>399</v>
      </c>
      <c r="B6977" s="459" t="s">
        <v>8192</v>
      </c>
      <c r="C6977" s="62" t="s">
        <v>161</v>
      </c>
      <c r="D6977" s="459" t="s">
        <v>6237</v>
      </c>
      <c r="E6977" s="160" t="s">
        <v>9276</v>
      </c>
      <c r="F6977" s="61" t="s">
        <v>9277</v>
      </c>
      <c r="G6977" s="424" t="s">
        <v>88</v>
      </c>
      <c r="H6977" s="45" t="s">
        <v>9278</v>
      </c>
      <c r="I6977" s="47" t="e">
        <f>VLOOKUP(H6977,'合同综合查询数据（3月返）'!$A:$A,1,FALSE)</f>
        <v>#N/A</v>
      </c>
      <c r="J6977" s="424" t="s">
        <v>126</v>
      </c>
      <c r="K6977" s="427" t="s">
        <v>9179</v>
      </c>
      <c r="L6977" s="428"/>
      <c r="M6977" s="429" t="s">
        <v>9286</v>
      </c>
      <c r="N6977" s="430">
        <v>44387</v>
      </c>
      <c r="O6977" s="430" t="s">
        <v>92</v>
      </c>
      <c r="P6977" s="514">
        <v>4722</v>
      </c>
      <c r="Q6977" s="140">
        <v>-1</v>
      </c>
      <c r="R6977" s="69">
        <f t="shared" si="160"/>
        <v>-4722</v>
      </c>
      <c r="S6977" s="434">
        <v>202303</v>
      </c>
      <c r="T6977" s="517" t="s">
        <v>9289</v>
      </c>
      <c r="U6977" s="436"/>
      <c r="V6977" s="518"/>
      <c r="W6977" s="518"/>
      <c r="X6977" s="163">
        <v>44927</v>
      </c>
      <c r="Y6977" s="468"/>
    </row>
    <row r="6978" s="10" customFormat="1" customHeight="1" spans="1:25">
      <c r="A6978" s="459" t="s">
        <v>399</v>
      </c>
      <c r="B6978" s="459" t="s">
        <v>8192</v>
      </c>
      <c r="C6978" s="62" t="s">
        <v>161</v>
      </c>
      <c r="D6978" s="459" t="s">
        <v>6237</v>
      </c>
      <c r="E6978" s="160" t="s">
        <v>9276</v>
      </c>
      <c r="F6978" s="61" t="s">
        <v>9277</v>
      </c>
      <c r="G6978" s="424" t="s">
        <v>88</v>
      </c>
      <c r="H6978" s="45" t="s">
        <v>9278</v>
      </c>
      <c r="I6978" s="47" t="e">
        <f>VLOOKUP(H6978,'合同综合查询数据（3月返）'!$A:$A,1,FALSE)</f>
        <v>#N/A</v>
      </c>
      <c r="J6978" s="424" t="s">
        <v>126</v>
      </c>
      <c r="K6978" s="427" t="s">
        <v>9179</v>
      </c>
      <c r="L6978" s="428"/>
      <c r="M6978" s="429" t="s">
        <v>9286</v>
      </c>
      <c r="N6978" s="430">
        <v>44712</v>
      </c>
      <c r="O6978" s="430" t="s">
        <v>92</v>
      </c>
      <c r="P6978" s="514">
        <v>4722</v>
      </c>
      <c r="Q6978" s="140">
        <v>-3</v>
      </c>
      <c r="R6978" s="69">
        <f t="shared" si="160"/>
        <v>-14166</v>
      </c>
      <c r="S6978" s="434">
        <v>202303</v>
      </c>
      <c r="T6978" s="517" t="s">
        <v>9290</v>
      </c>
      <c r="U6978" s="436"/>
      <c r="V6978" s="518"/>
      <c r="W6978" s="518"/>
      <c r="X6978" s="163">
        <v>44927</v>
      </c>
      <c r="Y6978" s="468"/>
    </row>
    <row r="6979" s="10" customFormat="1" customHeight="1" spans="1:25">
      <c r="A6979" s="459" t="s">
        <v>399</v>
      </c>
      <c r="B6979" s="459" t="s">
        <v>8192</v>
      </c>
      <c r="C6979" s="62" t="s">
        <v>161</v>
      </c>
      <c r="D6979" s="459" t="s">
        <v>6237</v>
      </c>
      <c r="E6979" s="160" t="s">
        <v>9276</v>
      </c>
      <c r="F6979" s="61" t="s">
        <v>9277</v>
      </c>
      <c r="G6979" s="424" t="s">
        <v>88</v>
      </c>
      <c r="H6979" s="45" t="s">
        <v>9278</v>
      </c>
      <c r="I6979" s="47" t="e">
        <f>VLOOKUP(H6979,'合同综合查询数据（3月返）'!$A:$A,1,FALSE)</f>
        <v>#N/A</v>
      </c>
      <c r="J6979" s="424" t="s">
        <v>126</v>
      </c>
      <c r="K6979" s="427" t="s">
        <v>9179</v>
      </c>
      <c r="L6979" s="428"/>
      <c r="M6979" s="429" t="s">
        <v>9286</v>
      </c>
      <c r="N6979" s="430">
        <v>44708</v>
      </c>
      <c r="O6979" s="430" t="s">
        <v>92</v>
      </c>
      <c r="P6979" s="514">
        <v>4722</v>
      </c>
      <c r="Q6979" s="140">
        <v>-2</v>
      </c>
      <c r="R6979" s="69">
        <f t="shared" si="160"/>
        <v>-9444</v>
      </c>
      <c r="S6979" s="434">
        <v>202303</v>
      </c>
      <c r="T6979" s="517" t="s">
        <v>9291</v>
      </c>
      <c r="U6979" s="436"/>
      <c r="V6979" s="518"/>
      <c r="W6979" s="518"/>
      <c r="X6979" s="163">
        <v>44927</v>
      </c>
      <c r="Y6979" s="468"/>
    </row>
    <row r="6980" s="10" customFormat="1" customHeight="1" spans="1:25">
      <c r="A6980" s="459" t="s">
        <v>399</v>
      </c>
      <c r="B6980" s="459" t="s">
        <v>8192</v>
      </c>
      <c r="C6980" s="62" t="s">
        <v>161</v>
      </c>
      <c r="D6980" s="459" t="s">
        <v>6237</v>
      </c>
      <c r="E6980" s="160" t="s">
        <v>9276</v>
      </c>
      <c r="F6980" s="61" t="s">
        <v>9277</v>
      </c>
      <c r="G6980" s="424" t="s">
        <v>88</v>
      </c>
      <c r="H6980" s="45" t="s">
        <v>9278</v>
      </c>
      <c r="I6980" s="47" t="e">
        <f>VLOOKUP(H6980,'合同综合查询数据（3月返）'!$A:$A,1,FALSE)</f>
        <v>#N/A</v>
      </c>
      <c r="J6980" s="424" t="s">
        <v>126</v>
      </c>
      <c r="K6980" s="427" t="s">
        <v>9030</v>
      </c>
      <c r="L6980" s="428"/>
      <c r="M6980" s="429" t="s">
        <v>9286</v>
      </c>
      <c r="N6980" s="430">
        <v>44709</v>
      </c>
      <c r="O6980" s="430" t="s">
        <v>92</v>
      </c>
      <c r="P6980" s="514">
        <v>4722</v>
      </c>
      <c r="Q6980" s="140">
        <v>2</v>
      </c>
      <c r="R6980" s="69">
        <f t="shared" si="160"/>
        <v>9444</v>
      </c>
      <c r="S6980" s="434">
        <v>202303</v>
      </c>
      <c r="T6980" s="517" t="s">
        <v>9292</v>
      </c>
      <c r="U6980" s="436"/>
      <c r="V6980" s="518"/>
      <c r="W6980" s="518"/>
      <c r="X6980" s="163">
        <v>44927</v>
      </c>
      <c r="Y6980" s="468"/>
    </row>
    <row r="6981" s="10" customFormat="1" customHeight="1" spans="1:25">
      <c r="A6981" s="459" t="s">
        <v>399</v>
      </c>
      <c r="B6981" s="459" t="s">
        <v>8192</v>
      </c>
      <c r="C6981" s="62" t="s">
        <v>161</v>
      </c>
      <c r="D6981" s="459" t="s">
        <v>6237</v>
      </c>
      <c r="E6981" s="160" t="s">
        <v>9276</v>
      </c>
      <c r="F6981" s="61" t="s">
        <v>9277</v>
      </c>
      <c r="G6981" s="424" t="s">
        <v>88</v>
      </c>
      <c r="H6981" s="45" t="s">
        <v>9278</v>
      </c>
      <c r="I6981" s="47" t="e">
        <f>VLOOKUP(H6981,'合同综合查询数据（3月返）'!$A:$A,1,FALSE)</f>
        <v>#N/A</v>
      </c>
      <c r="J6981" s="424" t="s">
        <v>126</v>
      </c>
      <c r="K6981" s="427" t="s">
        <v>9179</v>
      </c>
      <c r="L6981" s="428"/>
      <c r="M6981" s="429" t="s">
        <v>9286</v>
      </c>
      <c r="N6981" s="430">
        <v>44773</v>
      </c>
      <c r="O6981" s="430" t="s">
        <v>92</v>
      </c>
      <c r="P6981" s="514">
        <v>4722</v>
      </c>
      <c r="Q6981" s="140">
        <v>-3</v>
      </c>
      <c r="R6981" s="69">
        <f t="shared" si="160"/>
        <v>-14166</v>
      </c>
      <c r="S6981" s="434">
        <v>202303</v>
      </c>
      <c r="T6981" s="517" t="s">
        <v>9293</v>
      </c>
      <c r="U6981" s="436"/>
      <c r="V6981" s="518"/>
      <c r="W6981" s="518"/>
      <c r="X6981" s="163">
        <v>44927</v>
      </c>
      <c r="Y6981" s="468"/>
    </row>
    <row r="6982" s="10" customFormat="1" customHeight="1" spans="1:25">
      <c r="A6982" s="459" t="s">
        <v>399</v>
      </c>
      <c r="B6982" s="459" t="s">
        <v>8192</v>
      </c>
      <c r="C6982" s="62" t="s">
        <v>161</v>
      </c>
      <c r="D6982" s="459" t="s">
        <v>6237</v>
      </c>
      <c r="E6982" s="160" t="s">
        <v>9276</v>
      </c>
      <c r="F6982" s="61" t="s">
        <v>9277</v>
      </c>
      <c r="G6982" s="424" t="s">
        <v>88</v>
      </c>
      <c r="H6982" s="45" t="s">
        <v>9278</v>
      </c>
      <c r="I6982" s="47" t="e">
        <f>VLOOKUP(H6982,'合同综合查询数据（3月返）'!$A:$A,1,FALSE)</f>
        <v>#N/A</v>
      </c>
      <c r="J6982" s="424" t="s">
        <v>126</v>
      </c>
      <c r="K6982" s="427" t="s">
        <v>9030</v>
      </c>
      <c r="L6982" s="428" t="s">
        <v>9294</v>
      </c>
      <c r="M6982" s="429" t="s">
        <v>9286</v>
      </c>
      <c r="N6982" s="430">
        <v>44418</v>
      </c>
      <c r="O6982" s="430" t="s">
        <v>92</v>
      </c>
      <c r="P6982" s="514">
        <v>4722</v>
      </c>
      <c r="Q6982" s="140">
        <v>-3</v>
      </c>
      <c r="R6982" s="69">
        <f t="shared" si="160"/>
        <v>-14166</v>
      </c>
      <c r="S6982" s="434">
        <v>202303</v>
      </c>
      <c r="T6982" s="517" t="s">
        <v>9295</v>
      </c>
      <c r="U6982" s="436"/>
      <c r="V6982" s="518"/>
      <c r="W6982" s="518"/>
      <c r="X6982" s="163">
        <v>44927</v>
      </c>
      <c r="Y6982" s="468"/>
    </row>
    <row r="6983" s="10" customFormat="1" customHeight="1" spans="1:25">
      <c r="A6983" s="459" t="s">
        <v>399</v>
      </c>
      <c r="B6983" s="459" t="s">
        <v>8192</v>
      </c>
      <c r="C6983" s="62" t="s">
        <v>161</v>
      </c>
      <c r="D6983" s="459" t="s">
        <v>6237</v>
      </c>
      <c r="E6983" s="160" t="s">
        <v>9276</v>
      </c>
      <c r="F6983" s="61" t="s">
        <v>9277</v>
      </c>
      <c r="G6983" s="424" t="s">
        <v>31</v>
      </c>
      <c r="H6983" s="45" t="s">
        <v>9278</v>
      </c>
      <c r="I6983" s="47" t="e">
        <f>VLOOKUP(H6983,'合同综合查询数据（3月返）'!$A:$A,1,FALSE)</f>
        <v>#N/A</v>
      </c>
      <c r="J6983" s="424" t="s">
        <v>7564</v>
      </c>
      <c r="K6983" s="427" t="s">
        <v>4868</v>
      </c>
      <c r="L6983" s="428" t="s">
        <v>9296</v>
      </c>
      <c r="M6983" s="429"/>
      <c r="N6983" s="430" t="s">
        <v>1225</v>
      </c>
      <c r="O6983" s="430" t="s">
        <v>37</v>
      </c>
      <c r="P6983" s="514">
        <v>0</v>
      </c>
      <c r="Q6983" s="140">
        <v>288</v>
      </c>
      <c r="R6983" s="69">
        <f t="shared" si="160"/>
        <v>0</v>
      </c>
      <c r="S6983" s="434">
        <v>202303</v>
      </c>
      <c r="T6983" s="517" t="s">
        <v>9297</v>
      </c>
      <c r="U6983" s="436"/>
      <c r="V6983" s="518"/>
      <c r="W6983" s="518"/>
      <c r="X6983" s="163">
        <v>44927</v>
      </c>
      <c r="Y6983" s="468"/>
    </row>
    <row r="6984" s="10" customFormat="1" customHeight="1" spans="1:25">
      <c r="A6984" s="459" t="s">
        <v>399</v>
      </c>
      <c r="B6984" s="459" t="s">
        <v>8192</v>
      </c>
      <c r="C6984" s="62" t="s">
        <v>161</v>
      </c>
      <c r="D6984" s="459" t="s">
        <v>6237</v>
      </c>
      <c r="E6984" s="160" t="s">
        <v>9276</v>
      </c>
      <c r="F6984" s="61" t="s">
        <v>9277</v>
      </c>
      <c r="G6984" s="424" t="s">
        <v>31</v>
      </c>
      <c r="H6984" s="45" t="s">
        <v>9278</v>
      </c>
      <c r="I6984" s="47" t="e">
        <f>VLOOKUP(H6984,'合同综合查询数据（3月返）'!$A:$A,1,FALSE)</f>
        <v>#N/A</v>
      </c>
      <c r="J6984" s="424" t="s">
        <v>7564</v>
      </c>
      <c r="K6984" s="427" t="s">
        <v>4868</v>
      </c>
      <c r="L6984" s="428" t="s">
        <v>9296</v>
      </c>
      <c r="M6984" s="429"/>
      <c r="N6984" s="430">
        <v>44681</v>
      </c>
      <c r="O6984" s="430" t="s">
        <v>37</v>
      </c>
      <c r="P6984" s="514">
        <v>0</v>
      </c>
      <c r="Q6984" s="140">
        <v>-288</v>
      </c>
      <c r="R6984" s="69">
        <f t="shared" si="160"/>
        <v>0</v>
      </c>
      <c r="S6984" s="434">
        <v>202303</v>
      </c>
      <c r="T6984" s="517" t="s">
        <v>9298</v>
      </c>
      <c r="U6984" s="436"/>
      <c r="V6984" s="518"/>
      <c r="W6984" s="518"/>
      <c r="X6984" s="163">
        <v>44927</v>
      </c>
      <c r="Y6984" s="468"/>
    </row>
    <row r="6985" s="10" customFormat="1" customHeight="1" spans="1:25">
      <c r="A6985" s="459" t="s">
        <v>399</v>
      </c>
      <c r="B6985" s="459" t="s">
        <v>8192</v>
      </c>
      <c r="C6985" s="62" t="s">
        <v>161</v>
      </c>
      <c r="D6985" s="459" t="s">
        <v>6237</v>
      </c>
      <c r="E6985" s="160" t="s">
        <v>9276</v>
      </c>
      <c r="F6985" s="61" t="s">
        <v>9277</v>
      </c>
      <c r="G6985" s="424" t="s">
        <v>31</v>
      </c>
      <c r="H6985" s="45" t="s">
        <v>9278</v>
      </c>
      <c r="I6985" s="47" t="e">
        <f>VLOOKUP(H6985,'合同综合查询数据（3月返）'!$A:$A,1,FALSE)</f>
        <v>#N/A</v>
      </c>
      <c r="J6985" s="424" t="s">
        <v>7564</v>
      </c>
      <c r="K6985" s="427" t="s">
        <v>9030</v>
      </c>
      <c r="L6985" s="428" t="s">
        <v>9299</v>
      </c>
      <c r="M6985" s="429"/>
      <c r="N6985" s="430" t="s">
        <v>1225</v>
      </c>
      <c r="O6985" s="430" t="s">
        <v>37</v>
      </c>
      <c r="P6985" s="514">
        <v>0</v>
      </c>
      <c r="Q6985" s="140">
        <v>672</v>
      </c>
      <c r="R6985" s="69">
        <f t="shared" si="160"/>
        <v>0</v>
      </c>
      <c r="S6985" s="434">
        <v>202303</v>
      </c>
      <c r="T6985" s="517" t="s">
        <v>9300</v>
      </c>
      <c r="U6985" s="436"/>
      <c r="V6985" s="518"/>
      <c r="W6985" s="518"/>
      <c r="X6985" s="163">
        <v>44927</v>
      </c>
      <c r="Y6985" s="468"/>
    </row>
    <row r="6986" s="10" customFormat="1" customHeight="1" spans="1:25">
      <c r="A6986" s="459" t="s">
        <v>399</v>
      </c>
      <c r="B6986" s="459" t="s">
        <v>8192</v>
      </c>
      <c r="C6986" s="62" t="s">
        <v>161</v>
      </c>
      <c r="D6986" s="459" t="s">
        <v>6237</v>
      </c>
      <c r="E6986" s="160" t="s">
        <v>9276</v>
      </c>
      <c r="F6986" s="61" t="s">
        <v>9277</v>
      </c>
      <c r="G6986" s="424" t="s">
        <v>31</v>
      </c>
      <c r="H6986" s="45" t="s">
        <v>9278</v>
      </c>
      <c r="I6986" s="47" t="e">
        <f>VLOOKUP(H6986,'合同综合查询数据（3月返）'!$A:$A,1,FALSE)</f>
        <v>#N/A</v>
      </c>
      <c r="J6986" s="424" t="s">
        <v>7564</v>
      </c>
      <c r="K6986" s="427" t="s">
        <v>4868</v>
      </c>
      <c r="L6986" s="428"/>
      <c r="M6986" s="429"/>
      <c r="N6986" s="430"/>
      <c r="O6986" s="430" t="s">
        <v>152</v>
      </c>
      <c r="P6986" s="514">
        <v>0</v>
      </c>
      <c r="Q6986" s="140">
        <v>0</v>
      </c>
      <c r="R6986" s="69">
        <f t="shared" si="160"/>
        <v>0</v>
      </c>
      <c r="S6986" s="434">
        <v>202303</v>
      </c>
      <c r="T6986" s="517" t="s">
        <v>9301</v>
      </c>
      <c r="U6986" s="436"/>
      <c r="V6986" s="518"/>
      <c r="W6986" s="518"/>
      <c r="X6986" s="163">
        <v>44927</v>
      </c>
      <c r="Y6986" s="468"/>
    </row>
    <row r="6987" s="10" customFormat="1" customHeight="1" spans="1:25">
      <c r="A6987" s="459" t="s">
        <v>399</v>
      </c>
      <c r="B6987" s="459" t="s">
        <v>8192</v>
      </c>
      <c r="C6987" s="62" t="s">
        <v>161</v>
      </c>
      <c r="D6987" s="459" t="s">
        <v>6237</v>
      </c>
      <c r="E6987" s="160" t="s">
        <v>9276</v>
      </c>
      <c r="F6987" s="61" t="s">
        <v>9277</v>
      </c>
      <c r="G6987" s="424" t="s">
        <v>88</v>
      </c>
      <c r="H6987" s="45" t="s">
        <v>9278</v>
      </c>
      <c r="I6987" s="47" t="e">
        <f>VLOOKUP(H6987,'合同综合查询数据（3月返）'!$A:$A,1,FALSE)</f>
        <v>#N/A</v>
      </c>
      <c r="J6987" s="424" t="s">
        <v>126</v>
      </c>
      <c r="K6987" s="427" t="s">
        <v>9302</v>
      </c>
      <c r="L6987" s="428" t="s">
        <v>9303</v>
      </c>
      <c r="M6987" s="429" t="s">
        <v>9286</v>
      </c>
      <c r="N6987" s="430">
        <v>44958</v>
      </c>
      <c r="O6987" s="430" t="s">
        <v>92</v>
      </c>
      <c r="P6987" s="514">
        <v>5833</v>
      </c>
      <c r="Q6987" s="140">
        <v>8</v>
      </c>
      <c r="R6987" s="69">
        <f t="shared" si="160"/>
        <v>46664</v>
      </c>
      <c r="S6987" s="434">
        <v>202303</v>
      </c>
      <c r="T6987" s="517" t="s">
        <v>9304</v>
      </c>
      <c r="U6987" s="436"/>
      <c r="V6987" s="518"/>
      <c r="W6987" s="518"/>
      <c r="X6987" s="163">
        <v>44927</v>
      </c>
      <c r="Y6987" s="468"/>
    </row>
    <row r="6988" s="10" customFormat="1" customHeight="1" spans="1:25">
      <c r="A6988" s="459" t="s">
        <v>399</v>
      </c>
      <c r="B6988" s="459" t="s">
        <v>8192</v>
      </c>
      <c r="C6988" s="62" t="s">
        <v>161</v>
      </c>
      <c r="D6988" s="459" t="s">
        <v>6237</v>
      </c>
      <c r="E6988" s="160" t="s">
        <v>9276</v>
      </c>
      <c r="F6988" s="61" t="s">
        <v>9277</v>
      </c>
      <c r="G6988" s="424" t="s">
        <v>31</v>
      </c>
      <c r="H6988" s="45" t="s">
        <v>9278</v>
      </c>
      <c r="I6988" s="47" t="e">
        <f>VLOOKUP(H6988,'合同综合查询数据（3月返）'!$A:$A,1,FALSE)</f>
        <v>#N/A</v>
      </c>
      <c r="J6988" s="424" t="s">
        <v>7564</v>
      </c>
      <c r="K6988" s="427" t="s">
        <v>9302</v>
      </c>
      <c r="L6988" s="428" t="s">
        <v>9303</v>
      </c>
      <c r="M6988" s="429" t="s">
        <v>9286</v>
      </c>
      <c r="N6988" s="430">
        <v>44958</v>
      </c>
      <c r="O6988" s="430" t="s">
        <v>37</v>
      </c>
      <c r="P6988" s="514">
        <v>0</v>
      </c>
      <c r="Q6988" s="140">
        <v>832</v>
      </c>
      <c r="R6988" s="69">
        <f t="shared" si="160"/>
        <v>0</v>
      </c>
      <c r="S6988" s="434">
        <v>202303</v>
      </c>
      <c r="T6988" s="517" t="s">
        <v>9305</v>
      </c>
      <c r="U6988" s="436"/>
      <c r="V6988" s="518"/>
      <c r="W6988" s="518"/>
      <c r="X6988" s="163">
        <v>44927</v>
      </c>
      <c r="Y6988" s="468"/>
    </row>
    <row r="6989" s="10" customFormat="1" customHeight="1" spans="1:25">
      <c r="A6989" s="459" t="s">
        <v>399</v>
      </c>
      <c r="B6989" s="459" t="s">
        <v>8192</v>
      </c>
      <c r="C6989" s="62" t="s">
        <v>161</v>
      </c>
      <c r="D6989" s="459" t="s">
        <v>6237</v>
      </c>
      <c r="E6989" s="160" t="s">
        <v>9276</v>
      </c>
      <c r="F6989" s="61" t="s">
        <v>9277</v>
      </c>
      <c r="G6989" s="424" t="s">
        <v>31</v>
      </c>
      <c r="H6989" s="45" t="s">
        <v>9278</v>
      </c>
      <c r="I6989" s="47" t="e">
        <f>VLOOKUP(H6989,'合同综合查询数据（3月返）'!$A:$A,1,FALSE)</f>
        <v>#N/A</v>
      </c>
      <c r="J6989" s="424" t="s">
        <v>7564</v>
      </c>
      <c r="K6989" s="427" t="s">
        <v>9302</v>
      </c>
      <c r="L6989" s="428" t="s">
        <v>9303</v>
      </c>
      <c r="M6989" s="429" t="s">
        <v>9286</v>
      </c>
      <c r="N6989" s="430">
        <v>44958</v>
      </c>
      <c r="O6989" s="430" t="s">
        <v>37</v>
      </c>
      <c r="P6989" s="514">
        <v>0</v>
      </c>
      <c r="Q6989" s="140">
        <v>3</v>
      </c>
      <c r="R6989" s="69">
        <f t="shared" si="160"/>
        <v>0</v>
      </c>
      <c r="S6989" s="434">
        <v>202303</v>
      </c>
      <c r="T6989" s="517" t="s">
        <v>9306</v>
      </c>
      <c r="U6989" s="436"/>
      <c r="V6989" s="518"/>
      <c r="W6989" s="518"/>
      <c r="X6989" s="163">
        <v>44927</v>
      </c>
      <c r="Y6989" s="468"/>
    </row>
    <row r="6990" s="10" customFormat="1" customHeight="1" spans="1:25">
      <c r="A6990" s="459" t="s">
        <v>399</v>
      </c>
      <c r="B6990" s="459" t="s">
        <v>8192</v>
      </c>
      <c r="C6990" s="62" t="s">
        <v>9082</v>
      </c>
      <c r="D6990" s="62" t="s">
        <v>6905</v>
      </c>
      <c r="E6990" s="160" t="s">
        <v>9307</v>
      </c>
      <c r="F6990" s="61" t="s">
        <v>9308</v>
      </c>
      <c r="G6990" s="424" t="s">
        <v>88</v>
      </c>
      <c r="H6990" s="137" t="s">
        <v>9309</v>
      </c>
      <c r="I6990" s="47" t="e">
        <f>VLOOKUP(H6990,'合同综合查询数据（3月返）'!$A:$A,1,FALSE)</f>
        <v>#N/A</v>
      </c>
      <c r="J6990" s="424" t="s">
        <v>126</v>
      </c>
      <c r="K6990" s="427" t="s">
        <v>122</v>
      </c>
      <c r="L6990" s="428" t="s">
        <v>9310</v>
      </c>
      <c r="M6990" s="429" t="s">
        <v>9311</v>
      </c>
      <c r="N6990" s="430">
        <v>43459</v>
      </c>
      <c r="O6990" s="430" t="s">
        <v>7210</v>
      </c>
      <c r="P6990" s="514">
        <v>5000</v>
      </c>
      <c r="Q6990" s="140">
        <v>4</v>
      </c>
      <c r="R6990" s="69">
        <f t="shared" si="160"/>
        <v>20000</v>
      </c>
      <c r="S6990" s="434">
        <v>202303</v>
      </c>
      <c r="T6990" s="517" t="s">
        <v>9312</v>
      </c>
      <c r="U6990" s="436"/>
      <c r="V6990" s="518"/>
      <c r="W6990" s="518"/>
      <c r="X6990" s="163">
        <v>44927</v>
      </c>
      <c r="Y6990" s="468"/>
    </row>
    <row r="6991" s="10" customFormat="1" customHeight="1" spans="1:25">
      <c r="A6991" s="459" t="s">
        <v>399</v>
      </c>
      <c r="B6991" s="459" t="s">
        <v>8192</v>
      </c>
      <c r="C6991" s="62" t="s">
        <v>9082</v>
      </c>
      <c r="D6991" s="62" t="s">
        <v>6905</v>
      </c>
      <c r="E6991" s="160" t="s">
        <v>9307</v>
      </c>
      <c r="F6991" s="61" t="s">
        <v>9308</v>
      </c>
      <c r="G6991" s="424" t="s">
        <v>31</v>
      </c>
      <c r="H6991" s="137" t="s">
        <v>9309</v>
      </c>
      <c r="I6991" s="47" t="e">
        <f>VLOOKUP(H6991,'合同综合查询数据（3月返）'!$A:$A,1,FALSE)</f>
        <v>#N/A</v>
      </c>
      <c r="J6991" s="424" t="s">
        <v>7564</v>
      </c>
      <c r="K6991" s="427" t="s">
        <v>9313</v>
      </c>
      <c r="L6991" s="428" t="s">
        <v>9310</v>
      </c>
      <c r="M6991" s="429"/>
      <c r="N6991" s="442" t="s">
        <v>9314</v>
      </c>
      <c r="O6991" s="430" t="s">
        <v>37</v>
      </c>
      <c r="P6991" s="514">
        <v>0</v>
      </c>
      <c r="Q6991" s="140">
        <v>288</v>
      </c>
      <c r="R6991" s="69">
        <f t="shared" si="160"/>
        <v>0</v>
      </c>
      <c r="S6991" s="434">
        <v>202303</v>
      </c>
      <c r="T6991" s="517" t="s">
        <v>9315</v>
      </c>
      <c r="U6991" s="436"/>
      <c r="V6991" s="518"/>
      <c r="W6991" s="518"/>
      <c r="X6991" s="163">
        <v>44927</v>
      </c>
      <c r="Y6991" s="468"/>
    </row>
    <row r="6992" s="10" customFormat="1" customHeight="1" spans="1:25">
      <c r="A6992" s="459" t="s">
        <v>399</v>
      </c>
      <c r="B6992" s="459" t="s">
        <v>8192</v>
      </c>
      <c r="C6992" s="62" t="s">
        <v>9082</v>
      </c>
      <c r="D6992" s="62" t="s">
        <v>6905</v>
      </c>
      <c r="E6992" s="160" t="s">
        <v>9307</v>
      </c>
      <c r="F6992" s="61" t="s">
        <v>9308</v>
      </c>
      <c r="G6992" s="424" t="s">
        <v>31</v>
      </c>
      <c r="H6992" s="137" t="s">
        <v>9309</v>
      </c>
      <c r="I6992" s="47" t="e">
        <f>VLOOKUP(H6992,'合同综合查询数据（3月返）'!$A:$A,1,FALSE)</f>
        <v>#N/A</v>
      </c>
      <c r="J6992" s="424" t="s">
        <v>7564</v>
      </c>
      <c r="K6992" s="427" t="s">
        <v>9316</v>
      </c>
      <c r="L6992" s="428" t="s">
        <v>9317</v>
      </c>
      <c r="M6992" s="429"/>
      <c r="N6992" s="430">
        <v>43490</v>
      </c>
      <c r="O6992" s="430" t="s">
        <v>37</v>
      </c>
      <c r="P6992" s="514">
        <v>0</v>
      </c>
      <c r="Q6992" s="140">
        <v>288</v>
      </c>
      <c r="R6992" s="69">
        <f t="shared" si="160"/>
        <v>0</v>
      </c>
      <c r="S6992" s="434">
        <v>202303</v>
      </c>
      <c r="T6992" s="517" t="s">
        <v>9318</v>
      </c>
      <c r="U6992" s="436"/>
      <c r="V6992" s="518"/>
      <c r="W6992" s="518"/>
      <c r="X6992" s="163">
        <v>44927</v>
      </c>
      <c r="Y6992" s="468"/>
    </row>
    <row r="6993" s="10" customFormat="1" customHeight="1" spans="1:25">
      <c r="A6993" s="459" t="s">
        <v>399</v>
      </c>
      <c r="B6993" s="459" t="s">
        <v>8192</v>
      </c>
      <c r="C6993" s="62" t="s">
        <v>9082</v>
      </c>
      <c r="D6993" s="62" t="s">
        <v>6905</v>
      </c>
      <c r="E6993" s="160" t="s">
        <v>9307</v>
      </c>
      <c r="F6993" s="61" t="s">
        <v>9308</v>
      </c>
      <c r="G6993" s="424" t="s">
        <v>31</v>
      </c>
      <c r="H6993" s="137" t="s">
        <v>9309</v>
      </c>
      <c r="I6993" s="47" t="e">
        <f>VLOOKUP(H6993,'合同综合查询数据（3月返）'!$A:$A,1,FALSE)</f>
        <v>#N/A</v>
      </c>
      <c r="J6993" s="424" t="s">
        <v>7564</v>
      </c>
      <c r="K6993" s="427" t="s">
        <v>9316</v>
      </c>
      <c r="L6993" s="428" t="s">
        <v>9317</v>
      </c>
      <c r="M6993" s="429"/>
      <c r="N6993" s="430">
        <v>43769</v>
      </c>
      <c r="O6993" s="430" t="s">
        <v>37</v>
      </c>
      <c r="P6993" s="514">
        <v>0</v>
      </c>
      <c r="Q6993" s="140">
        <v>-288</v>
      </c>
      <c r="R6993" s="69">
        <f t="shared" si="160"/>
        <v>0</v>
      </c>
      <c r="S6993" s="434">
        <v>202303</v>
      </c>
      <c r="T6993" s="517" t="s">
        <v>9319</v>
      </c>
      <c r="U6993" s="436"/>
      <c r="V6993" s="518"/>
      <c r="W6993" s="518"/>
      <c r="X6993" s="163">
        <v>44927</v>
      </c>
      <c r="Y6993" s="468"/>
    </row>
    <row r="6994" s="9" customFormat="1" customHeight="1" spans="1:25">
      <c r="A6994" s="446" t="s">
        <v>399</v>
      </c>
      <c r="B6994" s="446" t="s">
        <v>8192</v>
      </c>
      <c r="C6994" s="94" t="s">
        <v>9082</v>
      </c>
      <c r="D6994" s="94" t="s">
        <v>6905</v>
      </c>
      <c r="E6994" s="147" t="s">
        <v>9320</v>
      </c>
      <c r="F6994" s="98" t="s">
        <v>9321</v>
      </c>
      <c r="G6994" s="448" t="s">
        <v>31</v>
      </c>
      <c r="H6994" s="19" t="s">
        <v>9322</v>
      </c>
      <c r="I6994" s="23" t="e">
        <f>VLOOKUP(H6994,'合同综合查询数据（3月返）'!$A:$A,1,FALSE)</f>
        <v>#N/A</v>
      </c>
      <c r="J6994" s="448" t="s">
        <v>7564</v>
      </c>
      <c r="K6994" s="511" t="s">
        <v>9323</v>
      </c>
      <c r="L6994" s="512" t="s">
        <v>9324</v>
      </c>
      <c r="M6994" s="449"/>
      <c r="N6994" s="252">
        <v>43008</v>
      </c>
      <c r="O6994" s="252" t="s">
        <v>37</v>
      </c>
      <c r="P6994" s="513">
        <v>0</v>
      </c>
      <c r="Q6994" s="131">
        <v>128</v>
      </c>
      <c r="R6994" s="119">
        <f t="shared" si="160"/>
        <v>0</v>
      </c>
      <c r="S6994" s="456">
        <v>202303</v>
      </c>
      <c r="T6994" s="134" t="s">
        <v>9325</v>
      </c>
      <c r="U6994" s="488"/>
      <c r="V6994" s="516"/>
      <c r="W6994" s="516"/>
      <c r="X6994" s="190"/>
      <c r="Y6994" s="190"/>
    </row>
    <row r="6995" s="9" customFormat="1" customHeight="1" spans="1:25">
      <c r="A6995" s="446" t="s">
        <v>399</v>
      </c>
      <c r="B6995" s="446" t="s">
        <v>8192</v>
      </c>
      <c r="C6995" s="94" t="s">
        <v>9082</v>
      </c>
      <c r="D6995" s="94" t="s">
        <v>6905</v>
      </c>
      <c r="E6995" s="147" t="s">
        <v>9320</v>
      </c>
      <c r="F6995" s="98" t="s">
        <v>9321</v>
      </c>
      <c r="G6995" s="448" t="s">
        <v>88</v>
      </c>
      <c r="H6995" s="19" t="s">
        <v>9322</v>
      </c>
      <c r="I6995" s="23" t="e">
        <f>VLOOKUP(H6995,'合同综合查询数据（3月返）'!$A:$A,1,FALSE)</f>
        <v>#N/A</v>
      </c>
      <c r="J6995" s="448" t="s">
        <v>126</v>
      </c>
      <c r="K6995" s="511" t="s">
        <v>122</v>
      </c>
      <c r="L6995" s="512"/>
      <c r="M6995" s="449" t="s">
        <v>9311</v>
      </c>
      <c r="N6995" s="252">
        <v>43008</v>
      </c>
      <c r="O6995" s="252" t="s">
        <v>127</v>
      </c>
      <c r="P6995" s="513">
        <v>5000</v>
      </c>
      <c r="Q6995" s="131">
        <v>2</v>
      </c>
      <c r="R6995" s="119">
        <f t="shared" si="160"/>
        <v>10000</v>
      </c>
      <c r="S6995" s="456">
        <v>202303</v>
      </c>
      <c r="T6995" s="134" t="s">
        <v>9326</v>
      </c>
      <c r="U6995" s="488"/>
      <c r="V6995" s="516"/>
      <c r="W6995" s="516"/>
      <c r="X6995" s="190"/>
      <c r="Y6995" s="190"/>
    </row>
    <row r="6996" s="9" customFormat="1" customHeight="1" spans="1:25">
      <c r="A6996" s="446" t="s">
        <v>399</v>
      </c>
      <c r="B6996" s="446" t="s">
        <v>8192</v>
      </c>
      <c r="C6996" s="94" t="s">
        <v>9082</v>
      </c>
      <c r="D6996" s="94" t="s">
        <v>6905</v>
      </c>
      <c r="E6996" s="147" t="s">
        <v>9320</v>
      </c>
      <c r="F6996" s="98" t="s">
        <v>9321</v>
      </c>
      <c r="G6996" s="448" t="s">
        <v>88</v>
      </c>
      <c r="H6996" s="19" t="s">
        <v>9322</v>
      </c>
      <c r="I6996" s="23" t="e">
        <f>VLOOKUP(H6996,'合同综合查询数据（3月返）'!$A:$A,1,FALSE)</f>
        <v>#N/A</v>
      </c>
      <c r="J6996" s="448" t="s">
        <v>126</v>
      </c>
      <c r="K6996" s="511" t="s">
        <v>122</v>
      </c>
      <c r="L6996" s="512"/>
      <c r="M6996" s="449" t="s">
        <v>9311</v>
      </c>
      <c r="N6996" s="252">
        <v>43947</v>
      </c>
      <c r="O6996" s="252" t="s">
        <v>127</v>
      </c>
      <c r="P6996" s="513">
        <v>5000</v>
      </c>
      <c r="Q6996" s="131">
        <v>2</v>
      </c>
      <c r="R6996" s="119">
        <f t="shared" si="160"/>
        <v>10000</v>
      </c>
      <c r="S6996" s="456">
        <v>202303</v>
      </c>
      <c r="T6996" s="134" t="s">
        <v>9327</v>
      </c>
      <c r="U6996" s="488"/>
      <c r="V6996" s="516"/>
      <c r="W6996" s="516"/>
      <c r="X6996" s="190"/>
      <c r="Y6996" s="190"/>
    </row>
    <row r="6997" s="9" customFormat="1" customHeight="1" spans="1:25">
      <c r="A6997" s="446" t="s">
        <v>399</v>
      </c>
      <c r="B6997" s="446" t="s">
        <v>8192</v>
      </c>
      <c r="C6997" s="94" t="s">
        <v>9082</v>
      </c>
      <c r="D6997" s="94" t="s">
        <v>6905</v>
      </c>
      <c r="E6997" s="147" t="s">
        <v>9320</v>
      </c>
      <c r="F6997" s="98" t="s">
        <v>9321</v>
      </c>
      <c r="G6997" s="448" t="s">
        <v>88</v>
      </c>
      <c r="H6997" s="19" t="s">
        <v>9322</v>
      </c>
      <c r="I6997" s="23" t="e">
        <f>VLOOKUP(H6997,'合同综合查询数据（3月返）'!$A:$A,1,FALSE)</f>
        <v>#N/A</v>
      </c>
      <c r="J6997" s="448" t="s">
        <v>126</v>
      </c>
      <c r="K6997" s="511" t="s">
        <v>122</v>
      </c>
      <c r="L6997" s="512"/>
      <c r="M6997" s="449" t="s">
        <v>9311</v>
      </c>
      <c r="N6997" s="252">
        <v>44681</v>
      </c>
      <c r="O6997" s="252" t="s">
        <v>127</v>
      </c>
      <c r="P6997" s="513">
        <v>5000</v>
      </c>
      <c r="Q6997" s="131">
        <v>-4</v>
      </c>
      <c r="R6997" s="119">
        <f t="shared" si="160"/>
        <v>-20000</v>
      </c>
      <c r="S6997" s="456">
        <v>202303</v>
      </c>
      <c r="T6997" s="134" t="s">
        <v>9328</v>
      </c>
      <c r="U6997" s="488"/>
      <c r="V6997" s="516"/>
      <c r="W6997" s="516"/>
      <c r="X6997" s="190"/>
      <c r="Y6997" s="190"/>
    </row>
    <row r="6998" s="9" customFormat="1" customHeight="1" spans="1:25">
      <c r="A6998" s="446" t="s">
        <v>399</v>
      </c>
      <c r="B6998" s="446" t="s">
        <v>8192</v>
      </c>
      <c r="C6998" s="94" t="s">
        <v>9082</v>
      </c>
      <c r="D6998" s="94" t="s">
        <v>6905</v>
      </c>
      <c r="E6998" s="147" t="s">
        <v>9320</v>
      </c>
      <c r="F6998" s="98" t="s">
        <v>9321</v>
      </c>
      <c r="G6998" s="448" t="s">
        <v>31</v>
      </c>
      <c r="H6998" s="19" t="s">
        <v>9322</v>
      </c>
      <c r="I6998" s="23" t="e">
        <f>VLOOKUP(H6998,'合同综合查询数据（3月返）'!$A:$A,1,FALSE)</f>
        <v>#N/A</v>
      </c>
      <c r="J6998" s="448" t="s">
        <v>7564</v>
      </c>
      <c r="K6998" s="511" t="s">
        <v>122</v>
      </c>
      <c r="L6998" s="512"/>
      <c r="M6998" s="449" t="s">
        <v>9311</v>
      </c>
      <c r="N6998" s="252">
        <v>43947</v>
      </c>
      <c r="O6998" s="252" t="s">
        <v>37</v>
      </c>
      <c r="P6998" s="513">
        <v>0</v>
      </c>
      <c r="Q6998" s="131">
        <v>128</v>
      </c>
      <c r="R6998" s="119">
        <f t="shared" si="160"/>
        <v>0</v>
      </c>
      <c r="S6998" s="456">
        <v>202303</v>
      </c>
      <c r="T6998" s="134" t="s">
        <v>9329</v>
      </c>
      <c r="U6998" s="488"/>
      <c r="V6998" s="516"/>
      <c r="W6998" s="516"/>
      <c r="X6998" s="190"/>
      <c r="Y6998" s="190"/>
    </row>
    <row r="6999" s="9" customFormat="1" customHeight="1" spans="1:25">
      <c r="A6999" s="446" t="s">
        <v>399</v>
      </c>
      <c r="B6999" s="446" t="s">
        <v>8192</v>
      </c>
      <c r="C6999" s="94" t="s">
        <v>9082</v>
      </c>
      <c r="D6999" s="94" t="s">
        <v>6905</v>
      </c>
      <c r="E6999" s="147" t="s">
        <v>9320</v>
      </c>
      <c r="F6999" s="98" t="s">
        <v>9321</v>
      </c>
      <c r="G6999" s="448" t="s">
        <v>31</v>
      </c>
      <c r="H6999" s="19" t="s">
        <v>9322</v>
      </c>
      <c r="I6999" s="23" t="e">
        <f>VLOOKUP(H6999,'合同综合查询数据（3月返）'!$A:$A,1,FALSE)</f>
        <v>#N/A</v>
      </c>
      <c r="J6999" s="448" t="s">
        <v>7564</v>
      </c>
      <c r="K6999" s="511" t="s">
        <v>122</v>
      </c>
      <c r="L6999" s="512"/>
      <c r="M6999" s="449" t="s">
        <v>9311</v>
      </c>
      <c r="N6999" s="252">
        <v>44681</v>
      </c>
      <c r="O6999" s="252" t="s">
        <v>37</v>
      </c>
      <c r="P6999" s="513">
        <v>0</v>
      </c>
      <c r="Q6999" s="131">
        <v>-256</v>
      </c>
      <c r="R6999" s="119">
        <f t="shared" si="160"/>
        <v>0</v>
      </c>
      <c r="S6999" s="456">
        <v>202303</v>
      </c>
      <c r="T6999" s="134" t="s">
        <v>9330</v>
      </c>
      <c r="U6999" s="488"/>
      <c r="V6999" s="516"/>
      <c r="W6999" s="516"/>
      <c r="X6999" s="190"/>
      <c r="Y6999" s="190"/>
    </row>
    <row r="7000" s="10" customFormat="1" customHeight="1" spans="1:25">
      <c r="A7000" s="459" t="s">
        <v>399</v>
      </c>
      <c r="B7000" s="459" t="s">
        <v>8192</v>
      </c>
      <c r="C7000" s="62" t="s">
        <v>4743</v>
      </c>
      <c r="D7000" s="459" t="s">
        <v>6237</v>
      </c>
      <c r="E7000" s="160" t="s">
        <v>9331</v>
      </c>
      <c r="F7000" s="61" t="s">
        <v>9332</v>
      </c>
      <c r="G7000" s="424" t="s">
        <v>31</v>
      </c>
      <c r="H7000" s="45" t="s">
        <v>9333</v>
      </c>
      <c r="I7000" s="47" t="e">
        <f>VLOOKUP(H7000,'合同综合查询数据（3月返）'!$A:$A,1,FALSE)</f>
        <v>#N/A</v>
      </c>
      <c r="J7000" s="424" t="s">
        <v>7564</v>
      </c>
      <c r="K7000" s="427" t="s">
        <v>4743</v>
      </c>
      <c r="L7000" s="428" t="s">
        <v>9332</v>
      </c>
      <c r="M7000" s="429"/>
      <c r="N7000" s="430">
        <v>42659</v>
      </c>
      <c r="O7000" s="430" t="s">
        <v>37</v>
      </c>
      <c r="P7000" s="514">
        <v>0</v>
      </c>
      <c r="Q7000" s="140">
        <v>224</v>
      </c>
      <c r="R7000" s="69">
        <f t="shared" si="160"/>
        <v>0</v>
      </c>
      <c r="S7000" s="434">
        <v>202303</v>
      </c>
      <c r="T7000" s="517" t="s">
        <v>9334</v>
      </c>
      <c r="U7000" s="436"/>
      <c r="V7000" s="518"/>
      <c r="W7000" s="518"/>
      <c r="X7000" s="163">
        <v>44927</v>
      </c>
      <c r="Y7000" s="468"/>
    </row>
    <row r="7001" s="10" customFormat="1" customHeight="1" spans="1:25">
      <c r="A7001" s="459" t="s">
        <v>399</v>
      </c>
      <c r="B7001" s="459" t="s">
        <v>8192</v>
      </c>
      <c r="C7001" s="62" t="s">
        <v>4743</v>
      </c>
      <c r="D7001" s="459" t="s">
        <v>6237</v>
      </c>
      <c r="E7001" s="160" t="s">
        <v>9331</v>
      </c>
      <c r="F7001" s="61" t="s">
        <v>9332</v>
      </c>
      <c r="G7001" s="424" t="s">
        <v>31</v>
      </c>
      <c r="H7001" s="45" t="s">
        <v>9333</v>
      </c>
      <c r="I7001" s="47" t="e">
        <f>VLOOKUP(H7001,'合同综合查询数据（3月返）'!$A:$A,1,FALSE)</f>
        <v>#N/A</v>
      </c>
      <c r="J7001" s="424" t="s">
        <v>7564</v>
      </c>
      <c r="K7001" s="427" t="s">
        <v>4743</v>
      </c>
      <c r="L7001" s="428" t="s">
        <v>9332</v>
      </c>
      <c r="M7001" s="429"/>
      <c r="N7001" s="430">
        <v>42659</v>
      </c>
      <c r="O7001" s="430" t="s">
        <v>37</v>
      </c>
      <c r="P7001" s="514">
        <v>40</v>
      </c>
      <c r="Q7001" s="140">
        <f>128+160-224</f>
        <v>64</v>
      </c>
      <c r="R7001" s="69">
        <f t="shared" si="160"/>
        <v>2560</v>
      </c>
      <c r="S7001" s="434">
        <v>202303</v>
      </c>
      <c r="T7001" s="517" t="s">
        <v>9334</v>
      </c>
      <c r="U7001" s="436"/>
      <c r="V7001" s="518"/>
      <c r="W7001" s="518"/>
      <c r="X7001" s="163">
        <v>44927</v>
      </c>
      <c r="Y7001" s="468"/>
    </row>
    <row r="7002" s="10" customFormat="1" customHeight="1" spans="1:25">
      <c r="A7002" s="459" t="s">
        <v>399</v>
      </c>
      <c r="B7002" s="459" t="s">
        <v>8192</v>
      </c>
      <c r="C7002" s="62" t="s">
        <v>4743</v>
      </c>
      <c r="D7002" s="459" t="s">
        <v>6237</v>
      </c>
      <c r="E7002" s="160" t="s">
        <v>9331</v>
      </c>
      <c r="F7002" s="61" t="s">
        <v>9332</v>
      </c>
      <c r="G7002" s="424" t="s">
        <v>31</v>
      </c>
      <c r="H7002" s="45" t="s">
        <v>9333</v>
      </c>
      <c r="I7002" s="47" t="e">
        <f>VLOOKUP(H7002,'合同综合查询数据（3月返）'!$A:$A,1,FALSE)</f>
        <v>#N/A</v>
      </c>
      <c r="J7002" s="424" t="s">
        <v>7564</v>
      </c>
      <c r="K7002" s="427" t="s">
        <v>4743</v>
      </c>
      <c r="L7002" s="428" t="s">
        <v>9332</v>
      </c>
      <c r="M7002" s="429"/>
      <c r="N7002" s="430">
        <v>44712</v>
      </c>
      <c r="O7002" s="430" t="s">
        <v>37</v>
      </c>
      <c r="P7002" s="514">
        <v>0</v>
      </c>
      <c r="Q7002" s="140">
        <v>-224</v>
      </c>
      <c r="R7002" s="69">
        <f t="shared" si="160"/>
        <v>0</v>
      </c>
      <c r="S7002" s="434">
        <v>202303</v>
      </c>
      <c r="T7002" s="517" t="s">
        <v>9335</v>
      </c>
      <c r="U7002" s="436"/>
      <c r="V7002" s="518"/>
      <c r="W7002" s="518"/>
      <c r="X7002" s="163">
        <v>44927</v>
      </c>
      <c r="Y7002" s="468"/>
    </row>
    <row r="7003" s="10" customFormat="1" customHeight="1" spans="1:25">
      <c r="A7003" s="459" t="s">
        <v>399</v>
      </c>
      <c r="B7003" s="459" t="s">
        <v>8192</v>
      </c>
      <c r="C7003" s="62" t="s">
        <v>4743</v>
      </c>
      <c r="D7003" s="459" t="s">
        <v>6237</v>
      </c>
      <c r="E7003" s="160" t="s">
        <v>9331</v>
      </c>
      <c r="F7003" s="61" t="s">
        <v>9332</v>
      </c>
      <c r="G7003" s="424" t="s">
        <v>31</v>
      </c>
      <c r="H7003" s="45" t="s">
        <v>9333</v>
      </c>
      <c r="I7003" s="47" t="e">
        <f>VLOOKUP(H7003,'合同综合查询数据（3月返）'!$A:$A,1,FALSE)</f>
        <v>#N/A</v>
      </c>
      <c r="J7003" s="424" t="s">
        <v>7564</v>
      </c>
      <c r="K7003" s="427" t="s">
        <v>4743</v>
      </c>
      <c r="L7003" s="428" t="s">
        <v>9332</v>
      </c>
      <c r="M7003" s="429"/>
      <c r="N7003" s="430">
        <v>44712</v>
      </c>
      <c r="O7003" s="430" t="s">
        <v>37</v>
      </c>
      <c r="P7003" s="514">
        <v>40</v>
      </c>
      <c r="Q7003" s="140">
        <v>-64</v>
      </c>
      <c r="R7003" s="69">
        <f t="shared" si="160"/>
        <v>-2560</v>
      </c>
      <c r="S7003" s="434">
        <v>202303</v>
      </c>
      <c r="T7003" s="517" t="s">
        <v>9335</v>
      </c>
      <c r="U7003" s="436"/>
      <c r="V7003" s="518"/>
      <c r="W7003" s="518"/>
      <c r="X7003" s="163">
        <v>44927</v>
      </c>
      <c r="Y7003" s="468"/>
    </row>
    <row r="7004" s="10" customFormat="1" customHeight="1" spans="1:25">
      <c r="A7004" s="459" t="s">
        <v>399</v>
      </c>
      <c r="B7004" s="459" t="s">
        <v>8192</v>
      </c>
      <c r="C7004" s="62" t="s">
        <v>4743</v>
      </c>
      <c r="D7004" s="459" t="s">
        <v>6237</v>
      </c>
      <c r="E7004" s="160" t="s">
        <v>9331</v>
      </c>
      <c r="F7004" s="61" t="s">
        <v>9332</v>
      </c>
      <c r="G7004" s="424" t="s">
        <v>31</v>
      </c>
      <c r="H7004" s="45" t="s">
        <v>9333</v>
      </c>
      <c r="I7004" s="47" t="e">
        <f>VLOOKUP(H7004,'合同综合查询数据（3月返）'!$A:$A,1,FALSE)</f>
        <v>#N/A</v>
      </c>
      <c r="J7004" s="424" t="s">
        <v>8541</v>
      </c>
      <c r="K7004" s="427" t="s">
        <v>4743</v>
      </c>
      <c r="L7004" s="428" t="s">
        <v>9336</v>
      </c>
      <c r="M7004" s="429"/>
      <c r="N7004" s="430">
        <v>42733</v>
      </c>
      <c r="O7004" s="430" t="s">
        <v>37</v>
      </c>
      <c r="P7004" s="514">
        <v>40</v>
      </c>
      <c r="Q7004" s="140">
        <v>768</v>
      </c>
      <c r="R7004" s="69">
        <f t="shared" si="160"/>
        <v>30720</v>
      </c>
      <c r="S7004" s="434">
        <v>202303</v>
      </c>
      <c r="T7004" s="517" t="s">
        <v>9337</v>
      </c>
      <c r="U7004" s="436"/>
      <c r="V7004" s="518"/>
      <c r="W7004" s="518"/>
      <c r="X7004" s="163">
        <v>44927</v>
      </c>
      <c r="Y7004" s="468"/>
    </row>
    <row r="7005" s="10" customFormat="1" customHeight="1" spans="1:25">
      <c r="A7005" s="459" t="s">
        <v>399</v>
      </c>
      <c r="B7005" s="459" t="s">
        <v>8192</v>
      </c>
      <c r="C7005" s="62" t="s">
        <v>4743</v>
      </c>
      <c r="D7005" s="459" t="s">
        <v>6237</v>
      </c>
      <c r="E7005" s="160" t="s">
        <v>9331</v>
      </c>
      <c r="F7005" s="61" t="s">
        <v>9332</v>
      </c>
      <c r="G7005" s="424" t="s">
        <v>88</v>
      </c>
      <c r="H7005" s="45" t="s">
        <v>9333</v>
      </c>
      <c r="I7005" s="47" t="e">
        <f>VLOOKUP(H7005,'合同综合查询数据（3月返）'!$A:$A,1,FALSE)</f>
        <v>#N/A</v>
      </c>
      <c r="J7005" s="424" t="s">
        <v>2256</v>
      </c>
      <c r="K7005" s="427" t="s">
        <v>4743</v>
      </c>
      <c r="L7005" s="428"/>
      <c r="M7005" s="429" t="s">
        <v>9338</v>
      </c>
      <c r="N7005" s="430">
        <v>42659</v>
      </c>
      <c r="O7005" s="430" t="s">
        <v>127</v>
      </c>
      <c r="P7005" s="514">
        <v>5000</v>
      </c>
      <c r="Q7005" s="140">
        <v>4</v>
      </c>
      <c r="R7005" s="69">
        <f t="shared" si="160"/>
        <v>20000</v>
      </c>
      <c r="S7005" s="434">
        <v>202303</v>
      </c>
      <c r="T7005" s="517"/>
      <c r="U7005" s="436"/>
      <c r="V7005" s="518"/>
      <c r="W7005" s="518"/>
      <c r="X7005" s="163">
        <v>44927</v>
      </c>
      <c r="Y7005" s="468"/>
    </row>
    <row r="7006" s="10" customFormat="1" customHeight="1" spans="1:25">
      <c r="A7006" s="459" t="s">
        <v>399</v>
      </c>
      <c r="B7006" s="459" t="s">
        <v>8192</v>
      </c>
      <c r="C7006" s="62" t="s">
        <v>4743</v>
      </c>
      <c r="D7006" s="459" t="s">
        <v>6237</v>
      </c>
      <c r="E7006" s="160" t="s">
        <v>9331</v>
      </c>
      <c r="F7006" s="61" t="s">
        <v>9332</v>
      </c>
      <c r="G7006" s="424" t="s">
        <v>88</v>
      </c>
      <c r="H7006" s="45" t="s">
        <v>9333</v>
      </c>
      <c r="I7006" s="47" t="e">
        <f>VLOOKUP(H7006,'合同综合查询数据（3月返）'!$A:$A,1,FALSE)</f>
        <v>#N/A</v>
      </c>
      <c r="J7006" s="424" t="s">
        <v>1033</v>
      </c>
      <c r="K7006" s="427" t="s">
        <v>4743</v>
      </c>
      <c r="L7006" s="428"/>
      <c r="M7006" s="429" t="s">
        <v>9338</v>
      </c>
      <c r="N7006" s="430">
        <v>44470</v>
      </c>
      <c r="O7006" s="430" t="s">
        <v>127</v>
      </c>
      <c r="P7006" s="514">
        <v>5000</v>
      </c>
      <c r="Q7006" s="140">
        <v>2</v>
      </c>
      <c r="R7006" s="69">
        <f t="shared" si="160"/>
        <v>10000</v>
      </c>
      <c r="S7006" s="434">
        <v>202303</v>
      </c>
      <c r="T7006" s="517" t="s">
        <v>9339</v>
      </c>
      <c r="U7006" s="436"/>
      <c r="V7006" s="518"/>
      <c r="W7006" s="518"/>
      <c r="X7006" s="163">
        <v>44927</v>
      </c>
      <c r="Y7006" s="468"/>
    </row>
    <row r="7007" s="10" customFormat="1" customHeight="1" spans="1:25">
      <c r="A7007" s="459" t="s">
        <v>399</v>
      </c>
      <c r="B7007" s="459" t="s">
        <v>8192</v>
      </c>
      <c r="C7007" s="62" t="s">
        <v>4743</v>
      </c>
      <c r="D7007" s="459" t="s">
        <v>6237</v>
      </c>
      <c r="E7007" s="160" t="s">
        <v>9331</v>
      </c>
      <c r="F7007" s="61" t="s">
        <v>9332</v>
      </c>
      <c r="G7007" s="424" t="s">
        <v>88</v>
      </c>
      <c r="H7007" s="45" t="s">
        <v>9333</v>
      </c>
      <c r="I7007" s="47" t="e">
        <f>VLOOKUP(H7007,'合同综合查询数据（3月返）'!$A:$A,1,FALSE)</f>
        <v>#N/A</v>
      </c>
      <c r="J7007" s="424" t="s">
        <v>1033</v>
      </c>
      <c r="K7007" s="427" t="s">
        <v>4743</v>
      </c>
      <c r="L7007" s="428"/>
      <c r="M7007" s="429" t="s">
        <v>9338</v>
      </c>
      <c r="N7007" s="430">
        <v>44470</v>
      </c>
      <c r="O7007" s="430" t="s">
        <v>127</v>
      </c>
      <c r="P7007" s="514">
        <v>5000</v>
      </c>
      <c r="Q7007" s="140">
        <v>1</v>
      </c>
      <c r="R7007" s="69">
        <f t="shared" si="160"/>
        <v>5000</v>
      </c>
      <c r="S7007" s="434">
        <v>202303</v>
      </c>
      <c r="T7007" s="517" t="s">
        <v>9340</v>
      </c>
      <c r="U7007" s="436"/>
      <c r="V7007" s="518"/>
      <c r="W7007" s="518"/>
      <c r="X7007" s="163">
        <v>44927</v>
      </c>
      <c r="Y7007" s="468"/>
    </row>
    <row r="7008" s="10" customFormat="1" customHeight="1" spans="1:25">
      <c r="A7008" s="459" t="s">
        <v>399</v>
      </c>
      <c r="B7008" s="459" t="s">
        <v>8192</v>
      </c>
      <c r="C7008" s="62" t="s">
        <v>4743</v>
      </c>
      <c r="D7008" s="459" t="s">
        <v>6237</v>
      </c>
      <c r="E7008" s="160" t="s">
        <v>9331</v>
      </c>
      <c r="F7008" s="61" t="s">
        <v>9332</v>
      </c>
      <c r="G7008" s="424" t="s">
        <v>88</v>
      </c>
      <c r="H7008" s="45" t="s">
        <v>9333</v>
      </c>
      <c r="I7008" s="47" t="e">
        <f>VLOOKUP(H7008,'合同综合查询数据（3月返）'!$A:$A,1,FALSE)</f>
        <v>#N/A</v>
      </c>
      <c r="J7008" s="424" t="s">
        <v>2256</v>
      </c>
      <c r="K7008" s="427" t="s">
        <v>4743</v>
      </c>
      <c r="L7008" s="428"/>
      <c r="M7008" s="429" t="s">
        <v>9338</v>
      </c>
      <c r="N7008" s="430">
        <v>43949</v>
      </c>
      <c r="O7008" s="430" t="s">
        <v>127</v>
      </c>
      <c r="P7008" s="514">
        <v>5000</v>
      </c>
      <c r="Q7008" s="140">
        <v>-2</v>
      </c>
      <c r="R7008" s="69">
        <f t="shared" si="160"/>
        <v>-10000</v>
      </c>
      <c r="S7008" s="434">
        <v>202303</v>
      </c>
      <c r="T7008" s="517" t="s">
        <v>9341</v>
      </c>
      <c r="U7008" s="436"/>
      <c r="V7008" s="518"/>
      <c r="W7008" s="518"/>
      <c r="X7008" s="163">
        <v>44927</v>
      </c>
      <c r="Y7008" s="468"/>
    </row>
    <row r="7009" s="10" customFormat="1" customHeight="1" spans="1:25">
      <c r="A7009" s="459" t="s">
        <v>399</v>
      </c>
      <c r="B7009" s="459" t="s">
        <v>8192</v>
      </c>
      <c r="C7009" s="62" t="s">
        <v>4743</v>
      </c>
      <c r="D7009" s="459" t="s">
        <v>6237</v>
      </c>
      <c r="E7009" s="160" t="s">
        <v>9331</v>
      </c>
      <c r="F7009" s="61" t="s">
        <v>9332</v>
      </c>
      <c r="G7009" s="424" t="s">
        <v>88</v>
      </c>
      <c r="H7009" s="45" t="s">
        <v>9333</v>
      </c>
      <c r="I7009" s="47" t="e">
        <f>VLOOKUP(H7009,'合同综合查询数据（3月返）'!$A:$A,1,FALSE)</f>
        <v>#N/A</v>
      </c>
      <c r="J7009" s="424" t="s">
        <v>2256</v>
      </c>
      <c r="K7009" s="427" t="s">
        <v>4743</v>
      </c>
      <c r="L7009" s="428"/>
      <c r="M7009" s="429" t="s">
        <v>9338</v>
      </c>
      <c r="N7009" s="430">
        <v>43950</v>
      </c>
      <c r="O7009" s="430" t="s">
        <v>127</v>
      </c>
      <c r="P7009" s="514">
        <v>5000</v>
      </c>
      <c r="Q7009" s="140">
        <v>2</v>
      </c>
      <c r="R7009" s="69">
        <f t="shared" si="160"/>
        <v>10000</v>
      </c>
      <c r="S7009" s="434">
        <v>202303</v>
      </c>
      <c r="T7009" s="517" t="s">
        <v>9342</v>
      </c>
      <c r="U7009" s="436"/>
      <c r="V7009" s="518"/>
      <c r="W7009" s="518"/>
      <c r="X7009" s="163">
        <v>44927</v>
      </c>
      <c r="Y7009" s="468"/>
    </row>
    <row r="7010" s="10" customFormat="1" customHeight="1" spans="1:25">
      <c r="A7010" s="459" t="s">
        <v>399</v>
      </c>
      <c r="B7010" s="459" t="s">
        <v>8192</v>
      </c>
      <c r="C7010" s="62" t="s">
        <v>4743</v>
      </c>
      <c r="D7010" s="459" t="s">
        <v>6237</v>
      </c>
      <c r="E7010" s="160" t="s">
        <v>9331</v>
      </c>
      <c r="F7010" s="61" t="s">
        <v>9332</v>
      </c>
      <c r="G7010" s="424" t="s">
        <v>88</v>
      </c>
      <c r="H7010" s="45" t="s">
        <v>9333</v>
      </c>
      <c r="I7010" s="47" t="e">
        <f>VLOOKUP(H7010,'合同综合查询数据（3月返）'!$A:$A,1,FALSE)</f>
        <v>#N/A</v>
      </c>
      <c r="J7010" s="424" t="s">
        <v>2256</v>
      </c>
      <c r="K7010" s="427" t="s">
        <v>4743</v>
      </c>
      <c r="L7010" s="428" t="s">
        <v>9343</v>
      </c>
      <c r="M7010" s="429" t="s">
        <v>9338</v>
      </c>
      <c r="N7010" s="430">
        <v>44501</v>
      </c>
      <c r="O7010" s="430" t="s">
        <v>127</v>
      </c>
      <c r="P7010" s="514">
        <v>5000</v>
      </c>
      <c r="Q7010" s="140">
        <v>1</v>
      </c>
      <c r="R7010" s="69">
        <f t="shared" si="160"/>
        <v>5000</v>
      </c>
      <c r="S7010" s="434">
        <v>202303</v>
      </c>
      <c r="T7010" s="517" t="s">
        <v>9344</v>
      </c>
      <c r="U7010" s="436"/>
      <c r="V7010" s="518"/>
      <c r="W7010" s="518"/>
      <c r="X7010" s="163">
        <v>44927</v>
      </c>
      <c r="Y7010" s="468"/>
    </row>
    <row r="7011" s="10" customFormat="1" customHeight="1" spans="1:25">
      <c r="A7011" s="459" t="s">
        <v>399</v>
      </c>
      <c r="B7011" s="459" t="s">
        <v>8192</v>
      </c>
      <c r="C7011" s="62" t="s">
        <v>4743</v>
      </c>
      <c r="D7011" s="459" t="s">
        <v>6237</v>
      </c>
      <c r="E7011" s="160" t="s">
        <v>9331</v>
      </c>
      <c r="F7011" s="61" t="s">
        <v>9332</v>
      </c>
      <c r="G7011" s="424" t="s">
        <v>88</v>
      </c>
      <c r="H7011" s="45" t="s">
        <v>9333</v>
      </c>
      <c r="I7011" s="47" t="e">
        <f>VLOOKUP(H7011,'合同综合查询数据（3月返）'!$A:$A,1,FALSE)</f>
        <v>#N/A</v>
      </c>
      <c r="J7011" s="424" t="s">
        <v>2256</v>
      </c>
      <c r="K7011" s="427" t="s">
        <v>4743</v>
      </c>
      <c r="L7011" s="428" t="s">
        <v>9343</v>
      </c>
      <c r="M7011" s="429" t="s">
        <v>9338</v>
      </c>
      <c r="N7011" s="430">
        <v>44712</v>
      </c>
      <c r="O7011" s="430" t="s">
        <v>127</v>
      </c>
      <c r="P7011" s="514">
        <v>5000</v>
      </c>
      <c r="Q7011" s="140">
        <v>-4</v>
      </c>
      <c r="R7011" s="69">
        <f t="shared" si="160"/>
        <v>-20000</v>
      </c>
      <c r="S7011" s="434">
        <v>202303</v>
      </c>
      <c r="T7011" s="517" t="s">
        <v>9345</v>
      </c>
      <c r="U7011" s="436"/>
      <c r="V7011" s="518"/>
      <c r="W7011" s="518"/>
      <c r="X7011" s="163">
        <v>44927</v>
      </c>
      <c r="Y7011" s="468"/>
    </row>
    <row r="7012" s="10" customFormat="1" customHeight="1" spans="1:25">
      <c r="A7012" s="459" t="s">
        <v>399</v>
      </c>
      <c r="B7012" s="459" t="s">
        <v>8192</v>
      </c>
      <c r="C7012" s="62" t="s">
        <v>4743</v>
      </c>
      <c r="D7012" s="459" t="s">
        <v>6237</v>
      </c>
      <c r="E7012" s="160" t="s">
        <v>9331</v>
      </c>
      <c r="F7012" s="61" t="s">
        <v>9332</v>
      </c>
      <c r="G7012" s="424" t="s">
        <v>88</v>
      </c>
      <c r="H7012" s="45" t="s">
        <v>9333</v>
      </c>
      <c r="I7012" s="47" t="e">
        <f>VLOOKUP(H7012,'合同综合查询数据（3月返）'!$A:$A,1,FALSE)</f>
        <v>#N/A</v>
      </c>
      <c r="J7012" s="424" t="s">
        <v>126</v>
      </c>
      <c r="K7012" s="427" t="s">
        <v>9346</v>
      </c>
      <c r="L7012" s="428" t="s">
        <v>9343</v>
      </c>
      <c r="M7012" s="429" t="s">
        <v>9338</v>
      </c>
      <c r="N7012" s="430">
        <v>44713</v>
      </c>
      <c r="O7012" s="430" t="s">
        <v>127</v>
      </c>
      <c r="P7012" s="514">
        <v>5000</v>
      </c>
      <c r="Q7012" s="140">
        <v>2</v>
      </c>
      <c r="R7012" s="69">
        <f t="shared" si="160"/>
        <v>10000</v>
      </c>
      <c r="S7012" s="434">
        <v>202303</v>
      </c>
      <c r="T7012" s="517" t="s">
        <v>9347</v>
      </c>
      <c r="U7012" s="436"/>
      <c r="V7012" s="518"/>
      <c r="W7012" s="518"/>
      <c r="X7012" s="163">
        <v>44927</v>
      </c>
      <c r="Y7012" s="468"/>
    </row>
    <row r="7013" s="10" customFormat="1" customHeight="1" spans="1:25">
      <c r="A7013" s="459" t="s">
        <v>399</v>
      </c>
      <c r="B7013" s="459" t="s">
        <v>8192</v>
      </c>
      <c r="C7013" s="62" t="s">
        <v>4743</v>
      </c>
      <c r="D7013" s="459" t="s">
        <v>6237</v>
      </c>
      <c r="E7013" s="160" t="s">
        <v>9331</v>
      </c>
      <c r="F7013" s="61" t="s">
        <v>9332</v>
      </c>
      <c r="G7013" s="424" t="s">
        <v>31</v>
      </c>
      <c r="H7013" s="45" t="s">
        <v>9333</v>
      </c>
      <c r="I7013" s="47" t="e">
        <f>VLOOKUP(H7013,'合同综合查询数据（3月返）'!$A:$A,1,FALSE)</f>
        <v>#N/A</v>
      </c>
      <c r="J7013" s="424" t="s">
        <v>7564</v>
      </c>
      <c r="K7013" s="427" t="s">
        <v>9346</v>
      </c>
      <c r="L7013" s="428" t="s">
        <v>9343</v>
      </c>
      <c r="M7013" s="429" t="s">
        <v>9338</v>
      </c>
      <c r="N7013" s="430">
        <v>44713</v>
      </c>
      <c r="O7013" s="430" t="s">
        <v>127</v>
      </c>
      <c r="P7013" s="514">
        <v>0</v>
      </c>
      <c r="Q7013" s="140">
        <v>128</v>
      </c>
      <c r="R7013" s="69">
        <f t="shared" si="160"/>
        <v>0</v>
      </c>
      <c r="S7013" s="434">
        <v>202303</v>
      </c>
      <c r="T7013" s="517" t="s">
        <v>9348</v>
      </c>
      <c r="U7013" s="436"/>
      <c r="V7013" s="518"/>
      <c r="W7013" s="518"/>
      <c r="X7013" s="163">
        <v>44927</v>
      </c>
      <c r="Y7013" s="468"/>
    </row>
    <row r="7014" s="10" customFormat="1" customHeight="1" spans="1:25">
      <c r="A7014" s="459" t="s">
        <v>399</v>
      </c>
      <c r="B7014" s="459" t="s">
        <v>8192</v>
      </c>
      <c r="C7014" s="62" t="s">
        <v>5200</v>
      </c>
      <c r="D7014" s="62" t="s">
        <v>6905</v>
      </c>
      <c r="E7014" s="160" t="s">
        <v>9349</v>
      </c>
      <c r="F7014" s="61" t="s">
        <v>9350</v>
      </c>
      <c r="G7014" s="424" t="s">
        <v>31</v>
      </c>
      <c r="H7014" s="45" t="s">
        <v>9351</v>
      </c>
      <c r="I7014" s="47" t="e">
        <f>VLOOKUP(H7014,'合同综合查询数据（3月返）'!$A:$A,1,FALSE)</f>
        <v>#N/A</v>
      </c>
      <c r="J7014" s="424" t="s">
        <v>7564</v>
      </c>
      <c r="K7014" s="427" t="s">
        <v>9350</v>
      </c>
      <c r="L7014" s="428"/>
      <c r="M7014" s="429"/>
      <c r="N7014" s="430">
        <v>43891</v>
      </c>
      <c r="O7014" s="430" t="s">
        <v>37</v>
      </c>
      <c r="P7014" s="514">
        <v>0</v>
      </c>
      <c r="Q7014" s="140">
        <v>160</v>
      </c>
      <c r="R7014" s="69">
        <f t="shared" si="160"/>
        <v>0</v>
      </c>
      <c r="S7014" s="434">
        <v>202303</v>
      </c>
      <c r="T7014" s="517" t="s">
        <v>9352</v>
      </c>
      <c r="U7014" s="436"/>
      <c r="V7014" s="518"/>
      <c r="W7014" s="518"/>
      <c r="X7014" s="163">
        <v>44927</v>
      </c>
      <c r="Y7014" s="468"/>
    </row>
    <row r="7015" s="10" customFormat="1" customHeight="1" spans="1:25">
      <c r="A7015" s="459" t="s">
        <v>399</v>
      </c>
      <c r="B7015" s="459" t="s">
        <v>8192</v>
      </c>
      <c r="C7015" s="62" t="s">
        <v>5200</v>
      </c>
      <c r="D7015" s="62" t="s">
        <v>6905</v>
      </c>
      <c r="E7015" s="160" t="s">
        <v>9349</v>
      </c>
      <c r="F7015" s="61" t="s">
        <v>9350</v>
      </c>
      <c r="G7015" s="424" t="s">
        <v>31</v>
      </c>
      <c r="H7015" s="45" t="s">
        <v>9351</v>
      </c>
      <c r="I7015" s="47" t="e">
        <f>VLOOKUP(H7015,'合同综合查询数据（3月返）'!$A:$A,1,FALSE)</f>
        <v>#N/A</v>
      </c>
      <c r="J7015" s="424" t="s">
        <v>7564</v>
      </c>
      <c r="K7015" s="427" t="s">
        <v>9350</v>
      </c>
      <c r="L7015" s="428" t="s">
        <v>9353</v>
      </c>
      <c r="M7015" s="429"/>
      <c r="N7015" s="430">
        <v>44562</v>
      </c>
      <c r="O7015" s="430" t="s">
        <v>37</v>
      </c>
      <c r="P7015" s="514">
        <v>0</v>
      </c>
      <c r="Q7015" s="140">
        <v>96</v>
      </c>
      <c r="R7015" s="69">
        <f t="shared" si="160"/>
        <v>0</v>
      </c>
      <c r="S7015" s="434">
        <v>202303</v>
      </c>
      <c r="T7015" s="517" t="s">
        <v>9354</v>
      </c>
      <c r="U7015" s="436"/>
      <c r="V7015" s="518"/>
      <c r="W7015" s="518"/>
      <c r="X7015" s="163">
        <v>44927</v>
      </c>
      <c r="Y7015" s="468"/>
    </row>
    <row r="7016" s="10" customFormat="1" customHeight="1" spans="1:25">
      <c r="A7016" s="459" t="s">
        <v>399</v>
      </c>
      <c r="B7016" s="459" t="s">
        <v>8192</v>
      </c>
      <c r="C7016" s="62" t="s">
        <v>5200</v>
      </c>
      <c r="D7016" s="62" t="s">
        <v>6905</v>
      </c>
      <c r="E7016" s="160" t="s">
        <v>9349</v>
      </c>
      <c r="F7016" s="61" t="s">
        <v>9350</v>
      </c>
      <c r="G7016" s="424" t="s">
        <v>31</v>
      </c>
      <c r="H7016" s="45" t="s">
        <v>9351</v>
      </c>
      <c r="I7016" s="47" t="e">
        <f>VLOOKUP(H7016,'合同综合查询数据（3月返）'!$A:$A,1,FALSE)</f>
        <v>#N/A</v>
      </c>
      <c r="J7016" s="424" t="s">
        <v>7564</v>
      </c>
      <c r="K7016" s="427" t="s">
        <v>9350</v>
      </c>
      <c r="L7016" s="428"/>
      <c r="M7016" s="429"/>
      <c r="N7016" s="430">
        <v>44651</v>
      </c>
      <c r="O7016" s="430" t="s">
        <v>37</v>
      </c>
      <c r="P7016" s="514">
        <v>0</v>
      </c>
      <c r="Q7016" s="140">
        <v>-96</v>
      </c>
      <c r="R7016" s="69">
        <f t="shared" si="160"/>
        <v>0</v>
      </c>
      <c r="S7016" s="434">
        <v>202303</v>
      </c>
      <c r="T7016" s="517" t="s">
        <v>9355</v>
      </c>
      <c r="U7016" s="436"/>
      <c r="V7016" s="518"/>
      <c r="W7016" s="518"/>
      <c r="X7016" s="163">
        <v>44927</v>
      </c>
      <c r="Y7016" s="468"/>
    </row>
    <row r="7017" s="10" customFormat="1" customHeight="1" spans="1:25">
      <c r="A7017" s="459" t="s">
        <v>399</v>
      </c>
      <c r="B7017" s="459" t="s">
        <v>8192</v>
      </c>
      <c r="C7017" s="62" t="s">
        <v>5200</v>
      </c>
      <c r="D7017" s="62" t="s">
        <v>6905</v>
      </c>
      <c r="E7017" s="160" t="s">
        <v>9349</v>
      </c>
      <c r="F7017" s="61" t="s">
        <v>9350</v>
      </c>
      <c r="G7017" s="424" t="s">
        <v>31</v>
      </c>
      <c r="H7017" s="45" t="s">
        <v>9351</v>
      </c>
      <c r="I7017" s="47" t="e">
        <f>VLOOKUP(H7017,'合同综合查询数据（3月返）'!$A:$A,1,FALSE)</f>
        <v>#N/A</v>
      </c>
      <c r="J7017" s="424" t="s">
        <v>7564</v>
      </c>
      <c r="K7017" s="427" t="s">
        <v>9350</v>
      </c>
      <c r="L7017" s="428" t="s">
        <v>9353</v>
      </c>
      <c r="M7017" s="429"/>
      <c r="N7017" s="430">
        <v>44562</v>
      </c>
      <c r="O7017" s="430" t="s">
        <v>37</v>
      </c>
      <c r="P7017" s="514">
        <v>55</v>
      </c>
      <c r="Q7017" s="140">
        <v>32</v>
      </c>
      <c r="R7017" s="69">
        <f t="shared" si="160"/>
        <v>1760</v>
      </c>
      <c r="S7017" s="434">
        <v>202303</v>
      </c>
      <c r="T7017" s="517" t="s">
        <v>9354</v>
      </c>
      <c r="U7017" s="436"/>
      <c r="V7017" s="518"/>
      <c r="W7017" s="518"/>
      <c r="X7017" s="163">
        <v>44927</v>
      </c>
      <c r="Y7017" s="468"/>
    </row>
    <row r="7018" s="10" customFormat="1" customHeight="1" spans="1:25">
      <c r="A7018" s="459" t="s">
        <v>399</v>
      </c>
      <c r="B7018" s="459" t="s">
        <v>8192</v>
      </c>
      <c r="C7018" s="62" t="s">
        <v>5200</v>
      </c>
      <c r="D7018" s="62" t="s">
        <v>6905</v>
      </c>
      <c r="E7018" s="160" t="s">
        <v>9349</v>
      </c>
      <c r="F7018" s="61" t="s">
        <v>9350</v>
      </c>
      <c r="G7018" s="424" t="s">
        <v>31</v>
      </c>
      <c r="H7018" s="45" t="s">
        <v>9351</v>
      </c>
      <c r="I7018" s="47" t="e">
        <f>VLOOKUP(H7018,'合同综合查询数据（3月返）'!$A:$A,1,FALSE)</f>
        <v>#N/A</v>
      </c>
      <c r="J7018" s="424" t="s">
        <v>7564</v>
      </c>
      <c r="K7018" s="427" t="s">
        <v>9350</v>
      </c>
      <c r="L7018" s="428"/>
      <c r="M7018" s="429"/>
      <c r="N7018" s="430">
        <v>44651</v>
      </c>
      <c r="O7018" s="430" t="s">
        <v>37</v>
      </c>
      <c r="P7018" s="514">
        <v>55</v>
      </c>
      <c r="Q7018" s="140">
        <v>-32</v>
      </c>
      <c r="R7018" s="69">
        <f>ROUND(P7018*Q7018,2)</f>
        <v>-1760</v>
      </c>
      <c r="S7018" s="434">
        <v>202303</v>
      </c>
      <c r="T7018" s="517" t="s">
        <v>9355</v>
      </c>
      <c r="U7018" s="436"/>
      <c r="V7018" s="518"/>
      <c r="W7018" s="518"/>
      <c r="X7018" s="163">
        <v>44927</v>
      </c>
      <c r="Y7018" s="468"/>
    </row>
    <row r="7019" s="10" customFormat="1" customHeight="1" spans="1:25">
      <c r="A7019" s="459" t="s">
        <v>399</v>
      </c>
      <c r="B7019" s="459" t="s">
        <v>8192</v>
      </c>
      <c r="C7019" s="62" t="s">
        <v>5200</v>
      </c>
      <c r="D7019" s="62" t="s">
        <v>6905</v>
      </c>
      <c r="E7019" s="160" t="s">
        <v>9349</v>
      </c>
      <c r="F7019" s="61" t="s">
        <v>9350</v>
      </c>
      <c r="G7019" s="424" t="s">
        <v>88</v>
      </c>
      <c r="H7019" s="45" t="s">
        <v>9351</v>
      </c>
      <c r="I7019" s="47" t="e">
        <f>VLOOKUP(H7019,'合同综合查询数据（3月返）'!$A:$A,1,FALSE)</f>
        <v>#N/A</v>
      </c>
      <c r="J7019" s="424" t="s">
        <v>126</v>
      </c>
      <c r="K7019" s="427"/>
      <c r="L7019" s="428"/>
      <c r="M7019" s="429" t="s">
        <v>9356</v>
      </c>
      <c r="N7019" s="430">
        <v>43891</v>
      </c>
      <c r="O7019" s="430" t="s">
        <v>457</v>
      </c>
      <c r="P7019" s="514">
        <v>5556</v>
      </c>
      <c r="Q7019" s="140">
        <v>1</v>
      </c>
      <c r="R7019" s="69">
        <f>ROUND(P7019*Q7019,2)</f>
        <v>5556</v>
      </c>
      <c r="S7019" s="434">
        <v>202303</v>
      </c>
      <c r="T7019" s="517" t="s">
        <v>9357</v>
      </c>
      <c r="U7019" s="436"/>
      <c r="V7019" s="518"/>
      <c r="W7019" s="518"/>
      <c r="X7019" s="163">
        <v>44927</v>
      </c>
      <c r="Y7019" s="468"/>
    </row>
    <row r="7020" s="10" customFormat="1" customHeight="1" spans="1:25">
      <c r="A7020" s="459" t="s">
        <v>399</v>
      </c>
      <c r="B7020" s="459" t="s">
        <v>8192</v>
      </c>
      <c r="C7020" s="62" t="s">
        <v>5200</v>
      </c>
      <c r="D7020" s="62" t="s">
        <v>6905</v>
      </c>
      <c r="E7020" s="160" t="s">
        <v>9349</v>
      </c>
      <c r="F7020" s="61" t="s">
        <v>9350</v>
      </c>
      <c r="G7020" s="424" t="s">
        <v>88</v>
      </c>
      <c r="H7020" s="45" t="s">
        <v>9351</v>
      </c>
      <c r="I7020" s="47" t="e">
        <f>VLOOKUP(H7020,'合同综合查询数据（3月返）'!$A:$A,1,FALSE)</f>
        <v>#N/A</v>
      </c>
      <c r="J7020" s="424" t="s">
        <v>126</v>
      </c>
      <c r="K7020" s="427"/>
      <c r="L7020" s="428"/>
      <c r="M7020" s="429" t="s">
        <v>9356</v>
      </c>
      <c r="N7020" s="430">
        <v>44011</v>
      </c>
      <c r="O7020" s="430" t="s">
        <v>457</v>
      </c>
      <c r="P7020" s="514">
        <v>5556</v>
      </c>
      <c r="Q7020" s="140">
        <v>1</v>
      </c>
      <c r="R7020" s="69">
        <f>ROUND(P7020*Q7020,2)</f>
        <v>5556</v>
      </c>
      <c r="S7020" s="434">
        <v>202303</v>
      </c>
      <c r="T7020" s="517" t="s">
        <v>9358</v>
      </c>
      <c r="U7020" s="436"/>
      <c r="V7020" s="518"/>
      <c r="W7020" s="518"/>
      <c r="X7020" s="163">
        <v>44927</v>
      </c>
      <c r="Y7020" s="468"/>
    </row>
    <row r="7021" s="10" customFormat="1" customHeight="1" spans="1:25">
      <c r="A7021" s="459" t="s">
        <v>399</v>
      </c>
      <c r="B7021" s="459" t="s">
        <v>8192</v>
      </c>
      <c r="C7021" s="62" t="s">
        <v>5200</v>
      </c>
      <c r="D7021" s="62" t="s">
        <v>6905</v>
      </c>
      <c r="E7021" s="160" t="s">
        <v>9349</v>
      </c>
      <c r="F7021" s="61" t="s">
        <v>9350</v>
      </c>
      <c r="G7021" s="424" t="s">
        <v>88</v>
      </c>
      <c r="H7021" s="45" t="s">
        <v>9351</v>
      </c>
      <c r="I7021" s="47" t="e">
        <f>VLOOKUP(H7021,'合同综合查询数据（3月返）'!$A:$A,1,FALSE)</f>
        <v>#N/A</v>
      </c>
      <c r="J7021" s="424" t="s">
        <v>126</v>
      </c>
      <c r="K7021" s="427"/>
      <c r="L7021" s="428" t="s">
        <v>9353</v>
      </c>
      <c r="M7021" s="429" t="s">
        <v>9356</v>
      </c>
      <c r="N7021" s="430">
        <v>44562</v>
      </c>
      <c r="O7021" s="430" t="s">
        <v>457</v>
      </c>
      <c r="P7021" s="514">
        <v>5556</v>
      </c>
      <c r="Q7021" s="140">
        <v>1</v>
      </c>
      <c r="R7021" s="69">
        <f>ROUND(P7021*Q7021,2)</f>
        <v>5556</v>
      </c>
      <c r="S7021" s="434">
        <v>202303</v>
      </c>
      <c r="T7021" s="517" t="s">
        <v>9359</v>
      </c>
      <c r="U7021" s="436"/>
      <c r="V7021" s="518"/>
      <c r="W7021" s="518"/>
      <c r="X7021" s="163">
        <v>44927</v>
      </c>
      <c r="Y7021" s="468"/>
    </row>
    <row r="7022" s="10" customFormat="1" customHeight="1" spans="1:25">
      <c r="A7022" s="459" t="s">
        <v>399</v>
      </c>
      <c r="B7022" s="459" t="s">
        <v>8192</v>
      </c>
      <c r="C7022" s="62" t="s">
        <v>5200</v>
      </c>
      <c r="D7022" s="62" t="s">
        <v>6905</v>
      </c>
      <c r="E7022" s="160" t="s">
        <v>9349</v>
      </c>
      <c r="F7022" s="61" t="s">
        <v>9350</v>
      </c>
      <c r="G7022" s="424" t="s">
        <v>88</v>
      </c>
      <c r="H7022" s="45" t="s">
        <v>9351</v>
      </c>
      <c r="I7022" s="47" t="e">
        <f>VLOOKUP(H7022,'合同综合查询数据（3月返）'!$A:$A,1,FALSE)</f>
        <v>#N/A</v>
      </c>
      <c r="J7022" s="424" t="s">
        <v>126</v>
      </c>
      <c r="K7022" s="427"/>
      <c r="L7022" s="428" t="s">
        <v>9353</v>
      </c>
      <c r="M7022" s="429" t="s">
        <v>9356</v>
      </c>
      <c r="N7022" s="430">
        <v>44651</v>
      </c>
      <c r="O7022" s="430" t="s">
        <v>457</v>
      </c>
      <c r="P7022" s="514">
        <v>5556</v>
      </c>
      <c r="Q7022" s="140">
        <v>-1</v>
      </c>
      <c r="R7022" s="69">
        <f>ROUND(P7022*Q7022,2)</f>
        <v>-5556</v>
      </c>
      <c r="S7022" s="434">
        <v>202303</v>
      </c>
      <c r="T7022" s="517" t="s">
        <v>9360</v>
      </c>
      <c r="U7022" s="436"/>
      <c r="V7022" s="518"/>
      <c r="W7022" s="518"/>
      <c r="X7022" s="163">
        <v>44927</v>
      </c>
      <c r="Y7022" s="468"/>
    </row>
    <row r="7023" s="9" customFormat="1" customHeight="1" spans="1:25">
      <c r="A7023" s="96" t="s">
        <v>109</v>
      </c>
      <c r="B7023" s="94" t="s">
        <v>4074</v>
      </c>
      <c r="C7023" s="94" t="s">
        <v>4500</v>
      </c>
      <c r="D7023" s="94" t="s">
        <v>4178</v>
      </c>
      <c r="E7023" s="105" t="s">
        <v>5337</v>
      </c>
      <c r="F7023" s="96" t="s">
        <v>5338</v>
      </c>
      <c r="G7023" s="96" t="s">
        <v>31</v>
      </c>
      <c r="H7023" s="19" t="s">
        <v>5339</v>
      </c>
      <c r="I7023" s="23" t="e">
        <f>VLOOKUP(H7023,'合同综合查询数据（3月返）'!$A:$A,1,FALSE)</f>
        <v>#N/A</v>
      </c>
      <c r="J7023" s="24" t="s">
        <v>33</v>
      </c>
      <c r="K7023" s="98" t="s">
        <v>5340</v>
      </c>
      <c r="L7023" s="98" t="s">
        <v>5341</v>
      </c>
      <c r="M7023" s="26" t="s">
        <v>5342</v>
      </c>
      <c r="N7023" s="106">
        <v>44317</v>
      </c>
      <c r="O7023" s="129" t="s">
        <v>37</v>
      </c>
      <c r="P7023" s="268">
        <v>0</v>
      </c>
      <c r="Q7023" s="273">
        <v>288</v>
      </c>
      <c r="R7023" s="268">
        <v>0</v>
      </c>
      <c r="S7023" s="24">
        <v>202303</v>
      </c>
      <c r="T7023" s="327" t="s">
        <v>5343</v>
      </c>
      <c r="U7023" s="97"/>
      <c r="V7023" s="128"/>
      <c r="W7023" s="128"/>
      <c r="X7023" s="106">
        <v>44805</v>
      </c>
      <c r="Y7023" s="106">
        <v>45169</v>
      </c>
    </row>
    <row r="7024" s="10" customFormat="1" customHeight="1" spans="1:25">
      <c r="A7024" s="60" t="s">
        <v>109</v>
      </c>
      <c r="B7024" s="62" t="s">
        <v>4074</v>
      </c>
      <c r="C7024" s="62" t="s">
        <v>4500</v>
      </c>
      <c r="D7024" s="62" t="s">
        <v>4178</v>
      </c>
      <c r="E7024" s="63" t="s">
        <v>5337</v>
      </c>
      <c r="F7024" s="60" t="s">
        <v>5338</v>
      </c>
      <c r="G7024" s="60" t="s">
        <v>31</v>
      </c>
      <c r="H7024" s="45" t="s">
        <v>5348</v>
      </c>
      <c r="I7024" s="47" t="e">
        <f>VLOOKUP(H7024,'合同综合查询数据（3月返）'!$A:$A,1,FALSE)</f>
        <v>#N/A</v>
      </c>
      <c r="J7024" s="48" t="s">
        <v>33</v>
      </c>
      <c r="K7024" s="61" t="s">
        <v>5340</v>
      </c>
      <c r="L7024" s="61" t="s">
        <v>5341</v>
      </c>
      <c r="M7024" s="50" t="s">
        <v>5342</v>
      </c>
      <c r="N7024" s="111">
        <v>45006</v>
      </c>
      <c r="O7024" s="135" t="s">
        <v>37</v>
      </c>
      <c r="P7024" s="266">
        <v>0</v>
      </c>
      <c r="Q7024" s="270">
        <v>256</v>
      </c>
      <c r="R7024" s="266">
        <v>0</v>
      </c>
      <c r="S7024" s="48">
        <v>202303</v>
      </c>
      <c r="T7024" s="339" t="s">
        <v>9361</v>
      </c>
      <c r="U7024" s="102"/>
      <c r="V7024" s="126"/>
      <c r="W7024" s="126"/>
      <c r="X7024" s="111"/>
      <c r="Y7024" s="111"/>
    </row>
    <row r="7025" s="10" customFormat="1" customHeight="1" spans="1:25">
      <c r="A7025" s="60" t="s">
        <v>109</v>
      </c>
      <c r="B7025" s="62" t="s">
        <v>4074</v>
      </c>
      <c r="C7025" s="62" t="s">
        <v>4500</v>
      </c>
      <c r="D7025" s="62" t="s">
        <v>4178</v>
      </c>
      <c r="E7025" s="63" t="s">
        <v>5337</v>
      </c>
      <c r="F7025" s="60" t="s">
        <v>5338</v>
      </c>
      <c r="G7025" s="60" t="s">
        <v>31</v>
      </c>
      <c r="H7025" s="45" t="s">
        <v>5348</v>
      </c>
      <c r="I7025" s="47" t="e">
        <f>VLOOKUP(H7025,'合同综合查询数据（3月返）'!$A:$A,1,FALSE)</f>
        <v>#N/A</v>
      </c>
      <c r="J7025" s="48" t="s">
        <v>33</v>
      </c>
      <c r="K7025" s="61" t="s">
        <v>5340</v>
      </c>
      <c r="L7025" s="61" t="s">
        <v>5341</v>
      </c>
      <c r="M7025" s="50" t="s">
        <v>5342</v>
      </c>
      <c r="N7025" s="111">
        <v>45006</v>
      </c>
      <c r="O7025" s="135" t="s">
        <v>152</v>
      </c>
      <c r="P7025" s="266">
        <v>0</v>
      </c>
      <c r="Q7025" s="270">
        <v>0</v>
      </c>
      <c r="R7025" s="266">
        <v>0</v>
      </c>
      <c r="S7025" s="48">
        <v>202303</v>
      </c>
      <c r="T7025" s="339" t="s">
        <v>9362</v>
      </c>
      <c r="U7025" s="102"/>
      <c r="V7025" s="126"/>
      <c r="W7025" s="126"/>
      <c r="X7025" s="111"/>
      <c r="Y7025" s="111"/>
    </row>
    <row r="7026" s="9" customFormat="1" customHeight="1" spans="1:25">
      <c r="A7026" s="96" t="s">
        <v>109</v>
      </c>
      <c r="B7026" s="94" t="s">
        <v>4074</v>
      </c>
      <c r="C7026" s="94" t="s">
        <v>1854</v>
      </c>
      <c r="D7026" s="94" t="s">
        <v>4178</v>
      </c>
      <c r="E7026" s="105" t="s">
        <v>5337</v>
      </c>
      <c r="F7026" s="96" t="s">
        <v>5338</v>
      </c>
      <c r="G7026" s="96" t="s">
        <v>31</v>
      </c>
      <c r="H7026" s="19" t="s">
        <v>5350</v>
      </c>
      <c r="I7026" s="23" t="e">
        <f>VLOOKUP(H7026,'合同综合查询数据（3月返）'!$A:$A,1,FALSE)</f>
        <v>#N/A</v>
      </c>
      <c r="J7026" s="24" t="s">
        <v>33</v>
      </c>
      <c r="K7026" s="98" t="s">
        <v>5351</v>
      </c>
      <c r="L7026" s="98" t="s">
        <v>5352</v>
      </c>
      <c r="M7026" s="26" t="s">
        <v>5353</v>
      </c>
      <c r="N7026" s="106">
        <v>45006</v>
      </c>
      <c r="O7026" s="129" t="s">
        <v>37</v>
      </c>
      <c r="P7026" s="268">
        <v>0</v>
      </c>
      <c r="Q7026" s="273">
        <v>-128</v>
      </c>
      <c r="R7026" s="268">
        <v>0</v>
      </c>
      <c r="S7026" s="24">
        <v>202303</v>
      </c>
      <c r="T7026" s="327" t="s">
        <v>9363</v>
      </c>
      <c r="U7026" s="97"/>
      <c r="V7026" s="128"/>
      <c r="W7026" s="128"/>
      <c r="X7026" s="106">
        <v>44866</v>
      </c>
      <c r="Y7026" s="106">
        <v>45230</v>
      </c>
    </row>
    <row r="7027" s="9" customFormat="1" customHeight="1" spans="1:25">
      <c r="A7027" s="96" t="s">
        <v>109</v>
      </c>
      <c r="B7027" s="94" t="s">
        <v>4074</v>
      </c>
      <c r="C7027" s="94" t="s">
        <v>1854</v>
      </c>
      <c r="D7027" s="94" t="s">
        <v>4178</v>
      </c>
      <c r="E7027" s="105" t="s">
        <v>5337</v>
      </c>
      <c r="F7027" s="96" t="s">
        <v>5338</v>
      </c>
      <c r="G7027" s="96" t="s">
        <v>31</v>
      </c>
      <c r="H7027" s="19" t="s">
        <v>5350</v>
      </c>
      <c r="I7027" s="23" t="e">
        <f>VLOOKUP(H7027,'合同综合查询数据（3月返）'!$A:$A,1,FALSE)</f>
        <v>#N/A</v>
      </c>
      <c r="J7027" s="24" t="s">
        <v>33</v>
      </c>
      <c r="K7027" s="98" t="s">
        <v>5351</v>
      </c>
      <c r="L7027" s="98" t="s">
        <v>5352</v>
      </c>
      <c r="M7027" s="26" t="s">
        <v>5353</v>
      </c>
      <c r="N7027" s="106">
        <v>45007</v>
      </c>
      <c r="O7027" s="129" t="s">
        <v>37</v>
      </c>
      <c r="P7027" s="268">
        <v>0</v>
      </c>
      <c r="Q7027" s="273">
        <v>128</v>
      </c>
      <c r="R7027" s="268">
        <v>0</v>
      </c>
      <c r="S7027" s="24">
        <v>202303</v>
      </c>
      <c r="T7027" s="327" t="s">
        <v>9364</v>
      </c>
      <c r="U7027" s="97"/>
      <c r="V7027" s="128"/>
      <c r="W7027" s="128"/>
      <c r="X7027" s="106">
        <v>44866</v>
      </c>
      <c r="Y7027" s="106">
        <v>45230</v>
      </c>
    </row>
    <row r="7028" s="9" customFormat="1" customHeight="1" spans="1:25">
      <c r="A7028" s="96" t="s">
        <v>109</v>
      </c>
      <c r="B7028" s="94" t="s">
        <v>4074</v>
      </c>
      <c r="C7028" s="94" t="s">
        <v>1854</v>
      </c>
      <c r="D7028" s="94" t="s">
        <v>4178</v>
      </c>
      <c r="E7028" s="105" t="s">
        <v>5337</v>
      </c>
      <c r="F7028" s="96" t="s">
        <v>5338</v>
      </c>
      <c r="G7028" s="96" t="s">
        <v>31</v>
      </c>
      <c r="H7028" s="19" t="s">
        <v>5350</v>
      </c>
      <c r="I7028" s="23" t="e">
        <f>VLOOKUP(H7028,'合同综合查询数据（3月返）'!$A:$A,1,FALSE)</f>
        <v>#N/A</v>
      </c>
      <c r="J7028" s="24" t="s">
        <v>33</v>
      </c>
      <c r="K7028" s="98" t="s">
        <v>5351</v>
      </c>
      <c r="L7028" s="98" t="s">
        <v>5352</v>
      </c>
      <c r="M7028" s="26" t="s">
        <v>5353</v>
      </c>
      <c r="N7028" s="106">
        <v>45007</v>
      </c>
      <c r="O7028" s="129" t="s">
        <v>152</v>
      </c>
      <c r="P7028" s="268">
        <v>0</v>
      </c>
      <c r="Q7028" s="273">
        <v>0</v>
      </c>
      <c r="R7028" s="268">
        <v>0</v>
      </c>
      <c r="S7028" s="24">
        <v>202303</v>
      </c>
      <c r="T7028" s="327" t="s">
        <v>9365</v>
      </c>
      <c r="U7028" s="97"/>
      <c r="V7028" s="128"/>
      <c r="W7028" s="128"/>
      <c r="X7028" s="106">
        <v>44866</v>
      </c>
      <c r="Y7028" s="106">
        <v>45230</v>
      </c>
    </row>
    <row r="7029" s="9" customFormat="1" customHeight="1" spans="1:25">
      <c r="A7029" s="96" t="s">
        <v>25</v>
      </c>
      <c r="B7029" s="94" t="s">
        <v>4074</v>
      </c>
      <c r="C7029" s="94" t="s">
        <v>44</v>
      </c>
      <c r="D7029" s="94" t="s">
        <v>4178</v>
      </c>
      <c r="E7029" s="105" t="s">
        <v>4733</v>
      </c>
      <c r="F7029" s="96" t="s">
        <v>4734</v>
      </c>
      <c r="G7029" s="96" t="s">
        <v>31</v>
      </c>
      <c r="H7029" s="19" t="s">
        <v>4758</v>
      </c>
      <c r="I7029" s="23" t="e">
        <f>VLOOKUP(H7029,'合同综合查询数据（3月返）'!$A:$A,1,FALSE)</f>
        <v>#N/A</v>
      </c>
      <c r="J7029" s="24" t="s">
        <v>33</v>
      </c>
      <c r="K7029" s="98" t="s">
        <v>264</v>
      </c>
      <c r="L7029" s="98" t="s">
        <v>4759</v>
      </c>
      <c r="M7029" s="26" t="s">
        <v>4760</v>
      </c>
      <c r="N7029" s="106">
        <v>45009</v>
      </c>
      <c r="O7029" s="129" t="s">
        <v>152</v>
      </c>
      <c r="P7029" s="268">
        <v>0</v>
      </c>
      <c r="Q7029" s="273">
        <v>0</v>
      </c>
      <c r="R7029" s="268">
        <f>ROUND(P7029*Q7029,2)</f>
        <v>0</v>
      </c>
      <c r="S7029" s="24">
        <v>202303</v>
      </c>
      <c r="T7029" s="327" t="s">
        <v>9366</v>
      </c>
      <c r="U7029" s="97" t="s">
        <v>9366</v>
      </c>
      <c r="V7029" s="128"/>
      <c r="W7029" s="128"/>
      <c r="X7029" s="106"/>
      <c r="Y7029" s="106"/>
    </row>
    <row r="7030" s="10" customFormat="1" customHeight="1" spans="1:25">
      <c r="A7030" s="60" t="s">
        <v>399</v>
      </c>
      <c r="B7030" s="62" t="s">
        <v>6236</v>
      </c>
      <c r="C7030" s="62" t="s">
        <v>6947</v>
      </c>
      <c r="D7030" s="62" t="s">
        <v>6905</v>
      </c>
      <c r="E7030" s="63" t="s">
        <v>7335</v>
      </c>
      <c r="F7030" s="60" t="s">
        <v>7336</v>
      </c>
      <c r="G7030" s="60" t="s">
        <v>31</v>
      </c>
      <c r="H7030" s="45" t="s">
        <v>9367</v>
      </c>
      <c r="I7030" s="47" t="e">
        <f>VLOOKUP(H7030,'合同综合查询数据（3月返）'!$A:$A,1,FALSE)</f>
        <v>#N/A</v>
      </c>
      <c r="J7030" s="48" t="s">
        <v>9368</v>
      </c>
      <c r="K7030" s="61" t="s">
        <v>9369</v>
      </c>
      <c r="L7030" s="61" t="s">
        <v>9370</v>
      </c>
      <c r="M7030" s="50" t="s">
        <v>7339</v>
      </c>
      <c r="N7030" s="111">
        <v>44986</v>
      </c>
      <c r="O7030" s="135" t="s">
        <v>9371</v>
      </c>
      <c r="P7030" s="266">
        <v>0</v>
      </c>
      <c r="Q7030" s="270">
        <v>0</v>
      </c>
      <c r="R7030" s="266">
        <v>0</v>
      </c>
      <c r="S7030" s="48">
        <v>202303</v>
      </c>
      <c r="T7030" s="339" t="s">
        <v>9372</v>
      </c>
      <c r="U7030" s="102"/>
      <c r="V7030" s="126"/>
      <c r="W7030" s="126"/>
      <c r="X7030" s="111"/>
      <c r="Y7030" s="111"/>
    </row>
    <row r="7031" s="10" customFormat="1" customHeight="1" spans="1:25">
      <c r="A7031" s="60" t="s">
        <v>399</v>
      </c>
      <c r="B7031" s="62" t="s">
        <v>6236</v>
      </c>
      <c r="C7031" s="62" t="s">
        <v>6947</v>
      </c>
      <c r="D7031" s="62" t="s">
        <v>6905</v>
      </c>
      <c r="E7031" s="63" t="s">
        <v>7335</v>
      </c>
      <c r="F7031" s="60" t="s">
        <v>7336</v>
      </c>
      <c r="G7031" s="60" t="s">
        <v>88</v>
      </c>
      <c r="H7031" s="45" t="s">
        <v>9367</v>
      </c>
      <c r="I7031" s="47" t="e">
        <f>VLOOKUP(H7031,'合同综合查询数据（3月返）'!$A:$A,1,FALSE)</f>
        <v>#N/A</v>
      </c>
      <c r="J7031" s="48" t="s">
        <v>2256</v>
      </c>
      <c r="K7031" s="61" t="s">
        <v>9369</v>
      </c>
      <c r="L7031" s="61" t="s">
        <v>9370</v>
      </c>
      <c r="M7031" s="50" t="s">
        <v>7339</v>
      </c>
      <c r="N7031" s="111">
        <v>44986</v>
      </c>
      <c r="O7031" s="135" t="s">
        <v>624</v>
      </c>
      <c r="P7031" s="266">
        <v>0</v>
      </c>
      <c r="Q7031" s="270">
        <v>4</v>
      </c>
      <c r="R7031" s="266">
        <v>0</v>
      </c>
      <c r="S7031" s="48">
        <v>202303</v>
      </c>
      <c r="T7031" s="339" t="s">
        <v>9373</v>
      </c>
      <c r="U7031" s="102"/>
      <c r="V7031" s="126"/>
      <c r="W7031" s="126"/>
      <c r="X7031" s="111"/>
      <c r="Y7031" s="111"/>
    </row>
    <row r="7032" s="10" customFormat="1" customHeight="1" spans="1:25">
      <c r="A7032" s="60" t="s">
        <v>399</v>
      </c>
      <c r="B7032" s="62" t="s">
        <v>6236</v>
      </c>
      <c r="C7032" s="62" t="s">
        <v>6947</v>
      </c>
      <c r="D7032" s="62" t="s">
        <v>6905</v>
      </c>
      <c r="E7032" s="63" t="s">
        <v>7335</v>
      </c>
      <c r="F7032" s="60" t="s">
        <v>7336</v>
      </c>
      <c r="G7032" s="60" t="s">
        <v>31</v>
      </c>
      <c r="H7032" s="45" t="s">
        <v>9367</v>
      </c>
      <c r="I7032" s="47" t="e">
        <f>VLOOKUP(H7032,'合同综合查询数据（3月返）'!$A:$A,1,FALSE)</f>
        <v>#N/A</v>
      </c>
      <c r="J7032" s="48" t="s">
        <v>33</v>
      </c>
      <c r="K7032" s="61" t="s">
        <v>9369</v>
      </c>
      <c r="L7032" s="61" t="s">
        <v>9370</v>
      </c>
      <c r="M7032" s="50" t="s">
        <v>7339</v>
      </c>
      <c r="N7032" s="111">
        <v>44986</v>
      </c>
      <c r="O7032" s="135" t="s">
        <v>37</v>
      </c>
      <c r="P7032" s="266">
        <v>0</v>
      </c>
      <c r="Q7032" s="270">
        <v>160</v>
      </c>
      <c r="R7032" s="266">
        <v>0</v>
      </c>
      <c r="S7032" s="48">
        <v>202303</v>
      </c>
      <c r="T7032" s="339" t="s">
        <v>9374</v>
      </c>
      <c r="U7032" s="102"/>
      <c r="V7032" s="126"/>
      <c r="W7032" s="126"/>
      <c r="X7032" s="111"/>
      <c r="Y7032" s="111"/>
    </row>
    <row r="7033" s="10" customFormat="1" customHeight="1" spans="1:25">
      <c r="A7033" s="60" t="s">
        <v>399</v>
      </c>
      <c r="B7033" s="62" t="s">
        <v>6236</v>
      </c>
      <c r="C7033" s="62" t="s">
        <v>6947</v>
      </c>
      <c r="D7033" s="62" t="s">
        <v>6905</v>
      </c>
      <c r="E7033" s="63" t="s">
        <v>7335</v>
      </c>
      <c r="F7033" s="60" t="s">
        <v>7336</v>
      </c>
      <c r="G7033" s="60" t="s">
        <v>31</v>
      </c>
      <c r="H7033" s="45" t="s">
        <v>9367</v>
      </c>
      <c r="I7033" s="47" t="e">
        <f>VLOOKUP(H7033,'合同综合查询数据（3月返）'!$A:$A,1,FALSE)</f>
        <v>#N/A</v>
      </c>
      <c r="J7033" s="48" t="s">
        <v>9368</v>
      </c>
      <c r="K7033" s="61" t="s">
        <v>9375</v>
      </c>
      <c r="L7033" s="61" t="s">
        <v>9376</v>
      </c>
      <c r="M7033" s="50" t="s">
        <v>7343</v>
      </c>
      <c r="N7033" s="111">
        <v>44993</v>
      </c>
      <c r="O7033" s="135" t="s">
        <v>1366</v>
      </c>
      <c r="P7033" s="266">
        <v>6740</v>
      </c>
      <c r="Q7033" s="270"/>
      <c r="R7033" s="266">
        <v>0</v>
      </c>
      <c r="S7033" s="48">
        <v>202303</v>
      </c>
      <c r="T7033" s="339" t="s">
        <v>9377</v>
      </c>
      <c r="U7033" s="102"/>
      <c r="V7033" s="126"/>
      <c r="W7033" s="126"/>
      <c r="X7033" s="111"/>
      <c r="Y7033" s="111"/>
    </row>
    <row r="7034" s="10" customFormat="1" customHeight="1" spans="1:25">
      <c r="A7034" s="60" t="s">
        <v>399</v>
      </c>
      <c r="B7034" s="62" t="s">
        <v>6236</v>
      </c>
      <c r="C7034" s="62" t="s">
        <v>6947</v>
      </c>
      <c r="D7034" s="62" t="s">
        <v>6905</v>
      </c>
      <c r="E7034" s="63" t="s">
        <v>7335</v>
      </c>
      <c r="F7034" s="60" t="s">
        <v>7336</v>
      </c>
      <c r="G7034" s="60" t="s">
        <v>88</v>
      </c>
      <c r="H7034" s="45" t="s">
        <v>9367</v>
      </c>
      <c r="I7034" s="47" t="e">
        <f>VLOOKUP(H7034,'合同综合查询数据（3月返）'!$A:$A,1,FALSE)</f>
        <v>#N/A</v>
      </c>
      <c r="J7034" s="48" t="s">
        <v>2256</v>
      </c>
      <c r="K7034" s="61" t="s">
        <v>9375</v>
      </c>
      <c r="L7034" s="61" t="s">
        <v>9376</v>
      </c>
      <c r="M7034" s="50" t="s">
        <v>7343</v>
      </c>
      <c r="N7034" s="111">
        <v>44993</v>
      </c>
      <c r="O7034" s="135" t="s">
        <v>624</v>
      </c>
      <c r="P7034" s="266">
        <v>5000</v>
      </c>
      <c r="Q7034" s="270">
        <v>5</v>
      </c>
      <c r="R7034" s="266">
        <f>ROUND(P7034*Q7034*24/31,2)</f>
        <v>19354.84</v>
      </c>
      <c r="S7034" s="48">
        <v>202303</v>
      </c>
      <c r="T7034" s="339" t="s">
        <v>9378</v>
      </c>
      <c r="U7034" s="102"/>
      <c r="V7034" s="126"/>
      <c r="W7034" s="126"/>
      <c r="X7034" s="111"/>
      <c r="Y7034" s="111"/>
    </row>
    <row r="7035" s="10" customFormat="1" customHeight="1" spans="1:25">
      <c r="A7035" s="60" t="s">
        <v>399</v>
      </c>
      <c r="B7035" s="62" t="s">
        <v>6236</v>
      </c>
      <c r="C7035" s="62" t="s">
        <v>6947</v>
      </c>
      <c r="D7035" s="62" t="s">
        <v>6905</v>
      </c>
      <c r="E7035" s="63" t="s">
        <v>7335</v>
      </c>
      <c r="F7035" s="60" t="s">
        <v>7336</v>
      </c>
      <c r="G7035" s="60" t="s">
        <v>31</v>
      </c>
      <c r="H7035" s="45" t="s">
        <v>9367</v>
      </c>
      <c r="I7035" s="47" t="e">
        <f>VLOOKUP(H7035,'合同综合查询数据（3月返）'!$A:$A,1,FALSE)</f>
        <v>#N/A</v>
      </c>
      <c r="J7035" s="48" t="s">
        <v>33</v>
      </c>
      <c r="K7035" s="61" t="s">
        <v>9375</v>
      </c>
      <c r="L7035" s="61" t="s">
        <v>9376</v>
      </c>
      <c r="M7035" s="50" t="s">
        <v>7343</v>
      </c>
      <c r="N7035" s="111">
        <v>44993</v>
      </c>
      <c r="O7035" s="135" t="s">
        <v>37</v>
      </c>
      <c r="P7035" s="266">
        <v>0</v>
      </c>
      <c r="Q7035" s="270">
        <v>160</v>
      </c>
      <c r="R7035" s="266">
        <v>0</v>
      </c>
      <c r="S7035" s="48">
        <v>202303</v>
      </c>
      <c r="T7035" s="339" t="s">
        <v>9379</v>
      </c>
      <c r="U7035" s="102"/>
      <c r="V7035" s="126"/>
      <c r="W7035" s="126"/>
      <c r="X7035" s="111"/>
      <c r="Y7035" s="111"/>
    </row>
    <row r="7036" s="10" customFormat="1" customHeight="1" spans="1:25">
      <c r="A7036" s="60" t="s">
        <v>399</v>
      </c>
      <c r="B7036" s="62" t="s">
        <v>6236</v>
      </c>
      <c r="C7036" s="62" t="s">
        <v>2035</v>
      </c>
      <c r="D7036" s="62" t="s">
        <v>6905</v>
      </c>
      <c r="E7036" s="63" t="s">
        <v>7371</v>
      </c>
      <c r="F7036" s="60" t="s">
        <v>7372</v>
      </c>
      <c r="G7036" s="60" t="s">
        <v>88</v>
      </c>
      <c r="H7036" s="45" t="s">
        <v>7399</v>
      </c>
      <c r="I7036" s="47" t="e">
        <f>VLOOKUP(H7036,'合同综合查询数据（3月返）'!$A:$A,1,FALSE)</f>
        <v>#N/A</v>
      </c>
      <c r="J7036" s="48" t="s">
        <v>2256</v>
      </c>
      <c r="K7036" s="61" t="s">
        <v>4980</v>
      </c>
      <c r="L7036" s="61" t="s">
        <v>7400</v>
      </c>
      <c r="M7036" s="50" t="s">
        <v>7375</v>
      </c>
      <c r="N7036" s="111">
        <v>44927</v>
      </c>
      <c r="O7036" s="135" t="s">
        <v>2283</v>
      </c>
      <c r="P7036" s="266">
        <v>5000</v>
      </c>
      <c r="Q7036" s="270">
        <v>6</v>
      </c>
      <c r="R7036" s="266">
        <v>5806.45</v>
      </c>
      <c r="S7036" s="48">
        <v>202301</v>
      </c>
      <c r="T7036" s="339" t="s">
        <v>9380</v>
      </c>
      <c r="U7036" s="102"/>
      <c r="V7036" s="126"/>
      <c r="W7036" s="126"/>
      <c r="X7036" s="111"/>
      <c r="Y7036" s="111"/>
    </row>
    <row r="7037" s="10" customFormat="1" customHeight="1" spans="1:25">
      <c r="A7037" s="62" t="s">
        <v>61</v>
      </c>
      <c r="B7037" s="60" t="s">
        <v>83</v>
      </c>
      <c r="C7037" s="60" t="s">
        <v>63</v>
      </c>
      <c r="D7037" s="60" t="s">
        <v>85</v>
      </c>
      <c r="E7037" s="47" t="s">
        <v>9381</v>
      </c>
      <c r="F7037" s="62" t="s">
        <v>3585</v>
      </c>
      <c r="G7037" s="66" t="s">
        <v>88</v>
      </c>
      <c r="H7037" s="522" t="s">
        <v>9382</v>
      </c>
      <c r="I7037" s="47" t="e">
        <f>VLOOKUP(H7037,'合同综合查询数据（3月返）'!$A:$A,1,FALSE)</f>
        <v>#N/A</v>
      </c>
      <c r="J7037" s="66" t="s">
        <v>90</v>
      </c>
      <c r="K7037" s="139" t="s">
        <v>3155</v>
      </c>
      <c r="L7037" s="138" t="s">
        <v>9383</v>
      </c>
      <c r="M7037" s="50" t="s">
        <v>9384</v>
      </c>
      <c r="N7037" s="178">
        <v>45010</v>
      </c>
      <c r="O7037" s="138" t="s">
        <v>461</v>
      </c>
      <c r="P7037" s="141">
        <v>6500</v>
      </c>
      <c r="Q7037" s="524">
        <v>4</v>
      </c>
      <c r="R7037" s="525">
        <f>ROUND(P7037*Q7037*7/31,2)</f>
        <v>5870.97</v>
      </c>
      <c r="S7037" s="70">
        <v>202303</v>
      </c>
      <c r="T7037" s="526" t="s">
        <v>9385</v>
      </c>
      <c r="U7037" s="102"/>
      <c r="V7037" s="126"/>
      <c r="W7037" s="126"/>
      <c r="X7037" s="111"/>
      <c r="Y7037" s="111"/>
    </row>
    <row r="7038" s="9" customFormat="1" customHeight="1" spans="1:25">
      <c r="A7038" s="96" t="s">
        <v>401</v>
      </c>
      <c r="B7038" s="94" t="s">
        <v>2950</v>
      </c>
      <c r="C7038" s="94" t="s">
        <v>2998</v>
      </c>
      <c r="D7038" s="94" t="s">
        <v>2951</v>
      </c>
      <c r="E7038" s="105" t="s">
        <v>3328</v>
      </c>
      <c r="F7038" s="96" t="s">
        <v>3342</v>
      </c>
      <c r="G7038" s="96" t="s">
        <v>88</v>
      </c>
      <c r="H7038" s="19" t="s">
        <v>3391</v>
      </c>
      <c r="I7038" s="23" t="e">
        <f>VLOOKUP(H7038,'合同综合查询数据（3月返）'!$A:$A,1,FALSE)</f>
        <v>#N/A</v>
      </c>
      <c r="J7038" s="24" t="s">
        <v>90</v>
      </c>
      <c r="K7038" s="98" t="s">
        <v>3392</v>
      </c>
      <c r="L7038" s="98"/>
      <c r="M7038" s="26" t="s">
        <v>3344</v>
      </c>
      <c r="N7038" s="106">
        <v>45015</v>
      </c>
      <c r="O7038" s="129" t="s">
        <v>457</v>
      </c>
      <c r="P7038" s="268">
        <v>5980</v>
      </c>
      <c r="Q7038" s="273">
        <v>-5</v>
      </c>
      <c r="R7038" s="268">
        <f>ROUND(P7038*Q7038*1/31,2)</f>
        <v>-964.52</v>
      </c>
      <c r="S7038" s="24">
        <v>202303</v>
      </c>
      <c r="T7038" s="327">
        <v>202303</v>
      </c>
      <c r="U7038" s="527" t="s">
        <v>9386</v>
      </c>
      <c r="V7038" s="128"/>
      <c r="W7038" s="128"/>
      <c r="X7038" s="106">
        <v>43830</v>
      </c>
      <c r="Y7038" s="106">
        <v>46022</v>
      </c>
    </row>
    <row r="7039" s="9" customFormat="1" customHeight="1" spans="1:25">
      <c r="A7039" s="96" t="s">
        <v>61</v>
      </c>
      <c r="B7039" s="94" t="s">
        <v>4074</v>
      </c>
      <c r="C7039" s="94" t="s">
        <v>2998</v>
      </c>
      <c r="D7039" s="94" t="s">
        <v>85</v>
      </c>
      <c r="E7039" s="105" t="s">
        <v>4128</v>
      </c>
      <c r="F7039" s="96" t="s">
        <v>4129</v>
      </c>
      <c r="G7039" s="96" t="s">
        <v>88</v>
      </c>
      <c r="H7039" s="19" t="s">
        <v>4130</v>
      </c>
      <c r="I7039" s="23" t="str">
        <f>VLOOKUP(H7039,'合同综合查询数据（3月返）'!$A:$A,1,FALSE)</f>
        <v>182315IDC00057</v>
      </c>
      <c r="J7039" s="24" t="s">
        <v>90</v>
      </c>
      <c r="K7039" s="98" t="s">
        <v>4131</v>
      </c>
      <c r="L7039" s="98"/>
      <c r="M7039" s="523" t="s">
        <v>4132</v>
      </c>
      <c r="N7039" s="106">
        <v>45015</v>
      </c>
      <c r="O7039" s="129" t="s">
        <v>457</v>
      </c>
      <c r="P7039" s="268">
        <v>4900</v>
      </c>
      <c r="Q7039" s="273">
        <v>1</v>
      </c>
      <c r="R7039" s="268">
        <f>ROUND(P7039*Q7039*2/31,2)</f>
        <v>316.13</v>
      </c>
      <c r="S7039" s="24">
        <v>202303</v>
      </c>
      <c r="T7039" s="528" t="s">
        <v>9387</v>
      </c>
      <c r="U7039" s="97"/>
      <c r="V7039" s="128"/>
      <c r="W7039" s="128"/>
      <c r="X7039" s="106">
        <v>44805</v>
      </c>
      <c r="Y7039" s="106">
        <v>46630</v>
      </c>
    </row>
    <row r="7040" s="9" customFormat="1" customHeight="1" spans="1:25">
      <c r="A7040" s="96" t="s">
        <v>61</v>
      </c>
      <c r="B7040" s="94" t="s">
        <v>4074</v>
      </c>
      <c r="C7040" s="94" t="s">
        <v>2998</v>
      </c>
      <c r="D7040" s="94" t="s">
        <v>85</v>
      </c>
      <c r="E7040" s="105" t="s">
        <v>4128</v>
      </c>
      <c r="F7040" s="96" t="s">
        <v>4129</v>
      </c>
      <c r="G7040" s="96" t="s">
        <v>88</v>
      </c>
      <c r="H7040" s="19" t="s">
        <v>4130</v>
      </c>
      <c r="I7040" s="23" t="str">
        <f>VLOOKUP(H7040,'合同综合查询数据（3月返）'!$A:$A,1,FALSE)</f>
        <v>182315IDC00057</v>
      </c>
      <c r="J7040" s="24" t="s">
        <v>90</v>
      </c>
      <c r="K7040" s="98" t="s">
        <v>4131</v>
      </c>
      <c r="L7040" s="98"/>
      <c r="M7040" s="523" t="s">
        <v>4132</v>
      </c>
      <c r="N7040" s="106">
        <v>45015</v>
      </c>
      <c r="O7040" s="129" t="s">
        <v>461</v>
      </c>
      <c r="P7040" s="268">
        <v>9825</v>
      </c>
      <c r="Q7040" s="273">
        <v>2</v>
      </c>
      <c r="R7040" s="268">
        <f>ROUND(P7040*Q7040*2/31,2)</f>
        <v>1267.74</v>
      </c>
      <c r="S7040" s="24">
        <v>202303</v>
      </c>
      <c r="T7040" s="528" t="s">
        <v>9388</v>
      </c>
      <c r="U7040" s="97"/>
      <c r="V7040" s="128"/>
      <c r="W7040" s="128"/>
      <c r="X7040" s="106">
        <v>44805</v>
      </c>
      <c r="Y7040" s="106">
        <v>46630</v>
      </c>
    </row>
    <row r="7041" s="9" customFormat="1" customHeight="1" spans="1:25">
      <c r="A7041" s="96" t="s">
        <v>401</v>
      </c>
      <c r="B7041" s="94" t="s">
        <v>6236</v>
      </c>
      <c r="C7041" s="94" t="s">
        <v>63</v>
      </c>
      <c r="D7041" s="94" t="s">
        <v>6237</v>
      </c>
      <c r="E7041" s="105" t="s">
        <v>6238</v>
      </c>
      <c r="F7041" s="96" t="s">
        <v>6239</v>
      </c>
      <c r="G7041" s="96" t="s">
        <v>88</v>
      </c>
      <c r="H7041" s="19" t="s">
        <v>6400</v>
      </c>
      <c r="I7041" s="23" t="e">
        <f>VLOOKUP(H7041,'合同综合查询数据（3月返）'!$A:$A,1,FALSE)</f>
        <v>#N/A</v>
      </c>
      <c r="J7041" s="24" t="s">
        <v>3074</v>
      </c>
      <c r="K7041" s="98" t="s">
        <v>6401</v>
      </c>
      <c r="L7041" s="98"/>
      <c r="M7041" s="26" t="s">
        <v>6323</v>
      </c>
      <c r="N7041" s="106">
        <v>45015</v>
      </c>
      <c r="O7041" s="129" t="s">
        <v>457</v>
      </c>
      <c r="P7041" s="268">
        <v>6300</v>
      </c>
      <c r="Q7041" s="273">
        <v>-1</v>
      </c>
      <c r="R7041" s="268">
        <f>ROUND(P7041*Q7041*1/31,2)</f>
        <v>-203.23</v>
      </c>
      <c r="S7041" s="24">
        <v>202303</v>
      </c>
      <c r="T7041" s="528" t="s">
        <v>9389</v>
      </c>
      <c r="U7041" s="97"/>
      <c r="V7041" s="128"/>
      <c r="W7041" s="128"/>
      <c r="X7041" s="106">
        <v>44256</v>
      </c>
      <c r="Y7041" s="106">
        <v>46387</v>
      </c>
    </row>
    <row r="7042" s="9" customFormat="1" customHeight="1" spans="1:25">
      <c r="A7042" s="96" t="s">
        <v>401</v>
      </c>
      <c r="B7042" s="94" t="s">
        <v>6236</v>
      </c>
      <c r="C7042" s="94" t="s">
        <v>63</v>
      </c>
      <c r="D7042" s="94" t="s">
        <v>6237</v>
      </c>
      <c r="E7042" s="105" t="s">
        <v>6238</v>
      </c>
      <c r="F7042" s="96" t="s">
        <v>6239</v>
      </c>
      <c r="G7042" s="96" t="s">
        <v>88</v>
      </c>
      <c r="H7042" s="19" t="s">
        <v>6465</v>
      </c>
      <c r="I7042" s="23" t="e">
        <f>VLOOKUP(H7042,'合同综合查询数据（3月返）'!$A:$A,1,FALSE)</f>
        <v>#N/A</v>
      </c>
      <c r="J7042" s="24" t="s">
        <v>3074</v>
      </c>
      <c r="K7042" s="98" t="s">
        <v>6466</v>
      </c>
      <c r="L7042" s="98"/>
      <c r="M7042" s="26" t="s">
        <v>6323</v>
      </c>
      <c r="N7042" s="106">
        <v>45015</v>
      </c>
      <c r="O7042" s="129" t="s">
        <v>457</v>
      </c>
      <c r="P7042" s="268">
        <v>6300</v>
      </c>
      <c r="Q7042" s="273">
        <v>-4</v>
      </c>
      <c r="R7042" s="268">
        <f>ROUND(P7042*Q7042*1/31,2)</f>
        <v>-812.9</v>
      </c>
      <c r="S7042" s="24">
        <v>202303</v>
      </c>
      <c r="T7042" s="528" t="s">
        <v>9390</v>
      </c>
      <c r="U7042" s="97"/>
      <c r="V7042" s="128"/>
      <c r="W7042" s="128"/>
      <c r="X7042" s="106">
        <v>44470</v>
      </c>
      <c r="Y7042" s="106">
        <v>46660</v>
      </c>
    </row>
    <row r="7043" s="9" customFormat="1" customHeight="1" spans="1:25">
      <c r="A7043" s="96" t="s">
        <v>401</v>
      </c>
      <c r="B7043" s="94" t="s">
        <v>6236</v>
      </c>
      <c r="C7043" s="94" t="s">
        <v>63</v>
      </c>
      <c r="D7043" s="94" t="s">
        <v>6237</v>
      </c>
      <c r="E7043" s="105" t="s">
        <v>6238</v>
      </c>
      <c r="F7043" s="96" t="s">
        <v>6239</v>
      </c>
      <c r="G7043" s="96" t="s">
        <v>88</v>
      </c>
      <c r="H7043" s="19" t="s">
        <v>6483</v>
      </c>
      <c r="I7043" s="23" t="e">
        <f>VLOOKUP(H7043,'合同综合查询数据（3月返）'!$A:$A,1,FALSE)</f>
        <v>#N/A</v>
      </c>
      <c r="J7043" s="24" t="s">
        <v>3074</v>
      </c>
      <c r="K7043" s="98" t="s">
        <v>6484</v>
      </c>
      <c r="L7043" s="98"/>
      <c r="M7043" s="26" t="s">
        <v>6323</v>
      </c>
      <c r="N7043" s="106">
        <v>45015</v>
      </c>
      <c r="O7043" s="129" t="s">
        <v>457</v>
      </c>
      <c r="P7043" s="268">
        <v>6300</v>
      </c>
      <c r="Q7043" s="273">
        <v>-4</v>
      </c>
      <c r="R7043" s="268">
        <f>ROUND(P7043*Q7043*1/31,2)</f>
        <v>-812.9</v>
      </c>
      <c r="S7043" s="24">
        <v>202303</v>
      </c>
      <c r="T7043" s="528" t="s">
        <v>9391</v>
      </c>
      <c r="U7043" s="97"/>
      <c r="V7043" s="128"/>
      <c r="W7043" s="128"/>
      <c r="X7043" s="106">
        <v>44531</v>
      </c>
      <c r="Y7043" s="106">
        <v>46721</v>
      </c>
    </row>
    <row r="7044" s="9" customFormat="1" customHeight="1" spans="1:25">
      <c r="A7044" s="96" t="s">
        <v>401</v>
      </c>
      <c r="B7044" s="94" t="s">
        <v>6236</v>
      </c>
      <c r="C7044" s="94" t="s">
        <v>63</v>
      </c>
      <c r="D7044" s="94" t="s">
        <v>6237</v>
      </c>
      <c r="E7044" s="105" t="s">
        <v>6238</v>
      </c>
      <c r="F7044" s="96" t="s">
        <v>6239</v>
      </c>
      <c r="G7044" s="96" t="s">
        <v>88</v>
      </c>
      <c r="H7044" s="19" t="s">
        <v>6518</v>
      </c>
      <c r="I7044" s="23" t="e">
        <f>VLOOKUP(H7044,'合同综合查询数据（3月返）'!$A:$A,1,FALSE)</f>
        <v>#N/A</v>
      </c>
      <c r="J7044" s="24" t="s">
        <v>3074</v>
      </c>
      <c r="K7044" s="98" t="s">
        <v>6519</v>
      </c>
      <c r="L7044" s="98"/>
      <c r="M7044" s="26" t="s">
        <v>6323</v>
      </c>
      <c r="N7044" s="106">
        <v>45015</v>
      </c>
      <c r="O7044" s="129" t="s">
        <v>457</v>
      </c>
      <c r="P7044" s="268">
        <v>6300</v>
      </c>
      <c r="Q7044" s="273">
        <v>-5</v>
      </c>
      <c r="R7044" s="268">
        <f>ROUND(P7044*Q7044*1/31,2)</f>
        <v>-1016.13</v>
      </c>
      <c r="S7044" s="24">
        <v>202303</v>
      </c>
      <c r="T7044" s="528" t="s">
        <v>9392</v>
      </c>
      <c r="U7044" s="97"/>
      <c r="V7044" s="128"/>
      <c r="W7044" s="128"/>
      <c r="X7044" s="106">
        <v>44593</v>
      </c>
      <c r="Y7044" s="106">
        <v>46783</v>
      </c>
    </row>
    <row r="7045" s="9" customFormat="1" customHeight="1" spans="1:25">
      <c r="A7045" s="96" t="s">
        <v>401</v>
      </c>
      <c r="B7045" s="94" t="s">
        <v>6236</v>
      </c>
      <c r="C7045" s="94" t="s">
        <v>63</v>
      </c>
      <c r="D7045" s="94" t="s">
        <v>6237</v>
      </c>
      <c r="E7045" s="105" t="s">
        <v>6238</v>
      </c>
      <c r="F7045" s="96" t="s">
        <v>6239</v>
      </c>
      <c r="G7045" s="96" t="s">
        <v>88</v>
      </c>
      <c r="H7045" s="19" t="s">
        <v>6545</v>
      </c>
      <c r="I7045" s="23" t="e">
        <f>VLOOKUP(H7045,'合同综合查询数据（3月返）'!$A:$A,1,FALSE)</f>
        <v>#N/A</v>
      </c>
      <c r="J7045" s="24" t="s">
        <v>3074</v>
      </c>
      <c r="K7045" s="98" t="s">
        <v>6546</v>
      </c>
      <c r="L7045" s="98"/>
      <c r="M7045" s="26" t="s">
        <v>6323</v>
      </c>
      <c r="N7045" s="106">
        <v>45013.731875</v>
      </c>
      <c r="O7045" s="129" t="s">
        <v>461</v>
      </c>
      <c r="P7045" s="268">
        <v>11500</v>
      </c>
      <c r="Q7045" s="273">
        <v>1</v>
      </c>
      <c r="R7045" s="268">
        <f>ROUND(P7045*Q7045*4/31,2)</f>
        <v>1483.87</v>
      </c>
      <c r="S7045" s="24">
        <v>202303</v>
      </c>
      <c r="T7045" s="528" t="s">
        <v>9393</v>
      </c>
      <c r="U7045" s="97"/>
      <c r="V7045" s="128"/>
      <c r="W7045" s="128"/>
      <c r="X7045" s="106">
        <v>44743</v>
      </c>
      <c r="Y7045" s="106">
        <v>46934</v>
      </c>
    </row>
    <row r="7046" s="9" customFormat="1" customHeight="1" spans="1:25">
      <c r="A7046" s="96" t="s">
        <v>401</v>
      </c>
      <c r="B7046" s="94" t="s">
        <v>6236</v>
      </c>
      <c r="C7046" s="94" t="s">
        <v>63</v>
      </c>
      <c r="D7046" s="94" t="s">
        <v>6237</v>
      </c>
      <c r="E7046" s="105" t="s">
        <v>6238</v>
      </c>
      <c r="F7046" s="96" t="s">
        <v>6239</v>
      </c>
      <c r="G7046" s="96" t="s">
        <v>88</v>
      </c>
      <c r="H7046" s="19" t="s">
        <v>6545</v>
      </c>
      <c r="I7046" s="23" t="e">
        <f>VLOOKUP(H7046,'合同综合查询数据（3月返）'!$A:$A,1,FALSE)</f>
        <v>#N/A</v>
      </c>
      <c r="J7046" s="24" t="s">
        <v>3074</v>
      </c>
      <c r="K7046" s="98" t="s">
        <v>6546</v>
      </c>
      <c r="L7046" s="98"/>
      <c r="M7046" s="26" t="s">
        <v>6323</v>
      </c>
      <c r="N7046" s="106">
        <v>45015</v>
      </c>
      <c r="O7046" s="129" t="s">
        <v>461</v>
      </c>
      <c r="P7046" s="268">
        <v>11500</v>
      </c>
      <c r="Q7046" s="273">
        <v>-3</v>
      </c>
      <c r="R7046" s="268">
        <f>ROUND(P7046*Q7046*1/31,2)</f>
        <v>-1112.9</v>
      </c>
      <c r="S7046" s="24">
        <v>202303</v>
      </c>
      <c r="T7046" s="528" t="s">
        <v>9394</v>
      </c>
      <c r="U7046" s="97"/>
      <c r="V7046" s="128"/>
      <c r="W7046" s="128"/>
      <c r="X7046" s="106">
        <v>44743</v>
      </c>
      <c r="Y7046" s="106">
        <v>46934</v>
      </c>
    </row>
    <row r="7047" s="9" customFormat="1" customHeight="1" spans="1:25">
      <c r="A7047" s="96" t="s">
        <v>399</v>
      </c>
      <c r="B7047" s="94" t="s">
        <v>7432</v>
      </c>
      <c r="C7047" s="94" t="s">
        <v>2833</v>
      </c>
      <c r="D7047" s="94" t="s">
        <v>6905</v>
      </c>
      <c r="E7047" s="105" t="s">
        <v>7735</v>
      </c>
      <c r="F7047" s="96" t="s">
        <v>7736</v>
      </c>
      <c r="G7047" s="96" t="s">
        <v>88</v>
      </c>
      <c r="H7047" s="19" t="s">
        <v>7752</v>
      </c>
      <c r="I7047" s="23" t="e">
        <f>VLOOKUP(H7047,'合同综合查询数据（3月返）'!$A:$A,1,FALSE)</f>
        <v>#N/A</v>
      </c>
      <c r="J7047" s="24" t="s">
        <v>90</v>
      </c>
      <c r="K7047" s="98" t="s">
        <v>7753</v>
      </c>
      <c r="L7047" s="98"/>
      <c r="M7047" s="26" t="s">
        <v>7608</v>
      </c>
      <c r="N7047" s="106">
        <v>45013</v>
      </c>
      <c r="O7047" s="129" t="s">
        <v>461</v>
      </c>
      <c r="P7047" s="268">
        <v>9580</v>
      </c>
      <c r="Q7047" s="273">
        <v>-3</v>
      </c>
      <c r="R7047" s="268">
        <f>ROUND(P7047*3*28/30-9580*3,2)</f>
        <v>-1916</v>
      </c>
      <c r="S7047" s="24">
        <v>202303</v>
      </c>
      <c r="T7047" s="528" t="s">
        <v>9395</v>
      </c>
      <c r="U7047" s="97"/>
      <c r="V7047" s="128"/>
      <c r="W7047" s="128"/>
      <c r="X7047" s="106">
        <v>43815</v>
      </c>
      <c r="Y7047" s="106">
        <v>46006</v>
      </c>
    </row>
    <row r="7048" s="10" customFormat="1" customHeight="1" spans="1:25">
      <c r="A7048" s="60" t="s">
        <v>61</v>
      </c>
      <c r="B7048" s="62" t="s">
        <v>8399</v>
      </c>
      <c r="C7048" s="62" t="s">
        <v>2998</v>
      </c>
      <c r="D7048" s="62" t="s">
        <v>85</v>
      </c>
      <c r="E7048" s="63" t="s">
        <v>4128</v>
      </c>
      <c r="F7048" s="60" t="s">
        <v>8400</v>
      </c>
      <c r="G7048" s="60" t="s">
        <v>88</v>
      </c>
      <c r="H7048" s="45" t="s">
        <v>8406</v>
      </c>
      <c r="I7048" s="47" t="e">
        <f>VLOOKUP(H7048,'合同综合查询数据（3月返）'!$A:$A,1,FALSE)</f>
        <v>#N/A</v>
      </c>
      <c r="J7048" s="48" t="s">
        <v>90</v>
      </c>
      <c r="K7048" s="61" t="s">
        <v>8407</v>
      </c>
      <c r="L7048" s="61"/>
      <c r="M7048" s="50" t="s">
        <v>8408</v>
      </c>
      <c r="N7048" s="111">
        <v>44995</v>
      </c>
      <c r="O7048" s="135" t="s">
        <v>461</v>
      </c>
      <c r="P7048" s="266">
        <v>7950</v>
      </c>
      <c r="Q7048" s="270">
        <v>3</v>
      </c>
      <c r="R7048" s="266">
        <f>ROUND(P7048*Q7048*22/31,2)</f>
        <v>16925.81</v>
      </c>
      <c r="S7048" s="48">
        <v>202303</v>
      </c>
      <c r="T7048" s="558" t="s">
        <v>9396</v>
      </c>
      <c r="U7048" s="102"/>
      <c r="V7048" s="126"/>
      <c r="W7048" s="126">
        <v>44792</v>
      </c>
      <c r="X7048" s="111"/>
      <c r="Y7048" s="111"/>
    </row>
    <row r="7049" s="10" customFormat="1" customHeight="1" spans="1:25">
      <c r="A7049" s="60" t="s">
        <v>61</v>
      </c>
      <c r="B7049" s="62" t="s">
        <v>8399</v>
      </c>
      <c r="C7049" s="62" t="s">
        <v>2998</v>
      </c>
      <c r="D7049" s="62" t="s">
        <v>85</v>
      </c>
      <c r="E7049" s="63" t="s">
        <v>4128</v>
      </c>
      <c r="F7049" s="60" t="s">
        <v>8400</v>
      </c>
      <c r="G7049" s="60" t="s">
        <v>88</v>
      </c>
      <c r="H7049" s="45" t="s">
        <v>8406</v>
      </c>
      <c r="I7049" s="47" t="e">
        <f>VLOOKUP(H7049,'合同综合查询数据（3月返）'!$A:$A,1,FALSE)</f>
        <v>#N/A</v>
      </c>
      <c r="J7049" s="48" t="s">
        <v>90</v>
      </c>
      <c r="K7049" s="61" t="s">
        <v>8407</v>
      </c>
      <c r="L7049" s="61"/>
      <c r="M7049" s="50" t="s">
        <v>8408</v>
      </c>
      <c r="N7049" s="111">
        <v>45003</v>
      </c>
      <c r="O7049" s="135" t="s">
        <v>461</v>
      </c>
      <c r="P7049" s="266">
        <v>7950</v>
      </c>
      <c r="Q7049" s="270">
        <v>13</v>
      </c>
      <c r="R7049" s="266">
        <f>ROUND(P7049*Q7049*14/31,2)</f>
        <v>46674.19</v>
      </c>
      <c r="S7049" s="48">
        <v>202303</v>
      </c>
      <c r="T7049" s="558" t="s">
        <v>9397</v>
      </c>
      <c r="U7049" s="102"/>
      <c r="V7049" s="126"/>
      <c r="W7049" s="126">
        <v>44792</v>
      </c>
      <c r="X7049" s="111"/>
      <c r="Y7049" s="111"/>
    </row>
    <row r="7050" s="10" customFormat="1" customHeight="1" spans="1:25">
      <c r="A7050" s="60" t="s">
        <v>61</v>
      </c>
      <c r="B7050" s="62" t="s">
        <v>8399</v>
      </c>
      <c r="C7050" s="62" t="s">
        <v>2998</v>
      </c>
      <c r="D7050" s="62" t="s">
        <v>85</v>
      </c>
      <c r="E7050" s="63" t="s">
        <v>4128</v>
      </c>
      <c r="F7050" s="60" t="s">
        <v>8400</v>
      </c>
      <c r="G7050" s="60" t="s">
        <v>88</v>
      </c>
      <c r="H7050" s="45" t="s">
        <v>8406</v>
      </c>
      <c r="I7050" s="47" t="e">
        <f>VLOOKUP(H7050,'合同综合查询数据（3月返）'!$A:$A,1,FALSE)</f>
        <v>#N/A</v>
      </c>
      <c r="J7050" s="48" t="s">
        <v>90</v>
      </c>
      <c r="K7050" s="61" t="s">
        <v>8407</v>
      </c>
      <c r="L7050" s="61"/>
      <c r="M7050" s="50" t="s">
        <v>8408</v>
      </c>
      <c r="N7050" s="111">
        <v>45005</v>
      </c>
      <c r="O7050" s="135" t="s">
        <v>461</v>
      </c>
      <c r="P7050" s="266">
        <v>7950</v>
      </c>
      <c r="Q7050" s="270">
        <v>3</v>
      </c>
      <c r="R7050" s="266">
        <f>ROUND(P7050*Q7050*12/31,2)</f>
        <v>9232.26</v>
      </c>
      <c r="S7050" s="48">
        <v>202303</v>
      </c>
      <c r="T7050" s="558" t="s">
        <v>9398</v>
      </c>
      <c r="U7050" s="102"/>
      <c r="V7050" s="126"/>
      <c r="W7050" s="126">
        <v>44792</v>
      </c>
      <c r="X7050" s="111"/>
      <c r="Y7050" s="111"/>
    </row>
    <row r="7051" s="10" customFormat="1" customHeight="1" spans="1:25">
      <c r="A7051" s="60" t="s">
        <v>61</v>
      </c>
      <c r="B7051" s="62" t="s">
        <v>8399</v>
      </c>
      <c r="C7051" s="62" t="s">
        <v>2998</v>
      </c>
      <c r="D7051" s="62" t="s">
        <v>85</v>
      </c>
      <c r="E7051" s="63" t="s">
        <v>4128</v>
      </c>
      <c r="F7051" s="60" t="s">
        <v>8400</v>
      </c>
      <c r="G7051" s="60" t="s">
        <v>88</v>
      </c>
      <c r="H7051" s="45" t="s">
        <v>8406</v>
      </c>
      <c r="I7051" s="47" t="e">
        <f>VLOOKUP(H7051,'合同综合查询数据（3月返）'!$A:$A,1,FALSE)</f>
        <v>#N/A</v>
      </c>
      <c r="J7051" s="48" t="s">
        <v>90</v>
      </c>
      <c r="K7051" s="61" t="s">
        <v>8407</v>
      </c>
      <c r="L7051" s="61"/>
      <c r="M7051" s="50" t="s">
        <v>8408</v>
      </c>
      <c r="N7051" s="111">
        <v>45006</v>
      </c>
      <c r="O7051" s="135" t="s">
        <v>461</v>
      </c>
      <c r="P7051" s="266">
        <v>7950</v>
      </c>
      <c r="Q7051" s="270">
        <v>1</v>
      </c>
      <c r="R7051" s="266">
        <f>ROUND(P7051*Q7051*11/31,2)</f>
        <v>2820.97</v>
      </c>
      <c r="S7051" s="48">
        <v>202303</v>
      </c>
      <c r="T7051" s="558" t="s">
        <v>9399</v>
      </c>
      <c r="U7051" s="102"/>
      <c r="V7051" s="126"/>
      <c r="W7051" s="126">
        <v>44792</v>
      </c>
      <c r="X7051" s="111"/>
      <c r="Y7051" s="111"/>
    </row>
    <row r="7052" s="10" customFormat="1" customHeight="1" spans="1:25">
      <c r="A7052" s="60" t="s">
        <v>61</v>
      </c>
      <c r="B7052" s="62" t="s">
        <v>8399</v>
      </c>
      <c r="C7052" s="62" t="s">
        <v>2998</v>
      </c>
      <c r="D7052" s="62" t="s">
        <v>85</v>
      </c>
      <c r="E7052" s="63" t="s">
        <v>4128</v>
      </c>
      <c r="F7052" s="60" t="s">
        <v>8400</v>
      </c>
      <c r="G7052" s="60" t="s">
        <v>88</v>
      </c>
      <c r="H7052" s="45" t="s">
        <v>8406</v>
      </c>
      <c r="I7052" s="47" t="e">
        <f>VLOOKUP(H7052,'合同综合查询数据（3月返）'!$A:$A,1,FALSE)</f>
        <v>#N/A</v>
      </c>
      <c r="J7052" s="48" t="s">
        <v>90</v>
      </c>
      <c r="K7052" s="61" t="s">
        <v>8407</v>
      </c>
      <c r="L7052" s="61"/>
      <c r="M7052" s="50" t="s">
        <v>8408</v>
      </c>
      <c r="N7052" s="111">
        <v>45011</v>
      </c>
      <c r="O7052" s="135" t="s">
        <v>457</v>
      </c>
      <c r="P7052" s="266">
        <v>3975</v>
      </c>
      <c r="Q7052" s="270">
        <v>1</v>
      </c>
      <c r="R7052" s="266">
        <f>ROUND(P7052*Q7052*6/31,2)</f>
        <v>769.35</v>
      </c>
      <c r="S7052" s="48">
        <v>202303</v>
      </c>
      <c r="T7052" s="559" t="s">
        <v>9400</v>
      </c>
      <c r="U7052" s="102"/>
      <c r="V7052" s="126"/>
      <c r="W7052" s="126">
        <v>44792</v>
      </c>
      <c r="X7052" s="111"/>
      <c r="Y7052" s="111"/>
    </row>
    <row r="7053" s="10" customFormat="1" customHeight="1" spans="1:25">
      <c r="A7053" s="60" t="s">
        <v>61</v>
      </c>
      <c r="B7053" s="62" t="s">
        <v>8399</v>
      </c>
      <c r="C7053" s="62" t="s">
        <v>2998</v>
      </c>
      <c r="D7053" s="62" t="s">
        <v>85</v>
      </c>
      <c r="E7053" s="63" t="s">
        <v>4128</v>
      </c>
      <c r="F7053" s="60" t="s">
        <v>8400</v>
      </c>
      <c r="G7053" s="60" t="s">
        <v>88</v>
      </c>
      <c r="H7053" s="45" t="s">
        <v>8406</v>
      </c>
      <c r="I7053" s="47" t="e">
        <f>VLOOKUP(H7053,'合同综合查询数据（3月返）'!$A:$A,1,FALSE)</f>
        <v>#N/A</v>
      </c>
      <c r="J7053" s="48" t="s">
        <v>90</v>
      </c>
      <c r="K7053" s="61" t="s">
        <v>8407</v>
      </c>
      <c r="L7053" s="61"/>
      <c r="M7053" s="50" t="s">
        <v>8408</v>
      </c>
      <c r="N7053" s="111">
        <v>45012</v>
      </c>
      <c r="O7053" s="135" t="s">
        <v>461</v>
      </c>
      <c r="P7053" s="266">
        <v>7950</v>
      </c>
      <c r="Q7053" s="270">
        <v>19</v>
      </c>
      <c r="R7053" s="266">
        <f>ROUND(P7053*Q7053*5/31,2)</f>
        <v>24362.9</v>
      </c>
      <c r="S7053" s="48">
        <v>202303</v>
      </c>
      <c r="T7053" s="558" t="s">
        <v>9401</v>
      </c>
      <c r="U7053" s="102"/>
      <c r="V7053" s="126"/>
      <c r="W7053" s="126">
        <v>44792</v>
      </c>
      <c r="X7053" s="111"/>
      <c r="Y7053" s="111"/>
    </row>
    <row r="7054" s="10" customFormat="1" customHeight="1" spans="1:25">
      <c r="A7054" s="60" t="s">
        <v>61</v>
      </c>
      <c r="B7054" s="62" t="s">
        <v>8399</v>
      </c>
      <c r="C7054" s="62" t="s">
        <v>2998</v>
      </c>
      <c r="D7054" s="62" t="s">
        <v>85</v>
      </c>
      <c r="E7054" s="63" t="s">
        <v>4128</v>
      </c>
      <c r="F7054" s="60" t="s">
        <v>8400</v>
      </c>
      <c r="G7054" s="60" t="s">
        <v>88</v>
      </c>
      <c r="H7054" s="45" t="s">
        <v>8406</v>
      </c>
      <c r="I7054" s="47" t="e">
        <f>VLOOKUP(H7054,'合同综合查询数据（3月返）'!$A:$A,1,FALSE)</f>
        <v>#N/A</v>
      </c>
      <c r="J7054" s="48" t="s">
        <v>90</v>
      </c>
      <c r="K7054" s="61" t="s">
        <v>8407</v>
      </c>
      <c r="L7054" s="61"/>
      <c r="M7054" s="50" t="s">
        <v>8408</v>
      </c>
      <c r="N7054" s="111">
        <v>45013</v>
      </c>
      <c r="O7054" s="135" t="s">
        <v>461</v>
      </c>
      <c r="P7054" s="266">
        <v>7950</v>
      </c>
      <c r="Q7054" s="270">
        <v>22</v>
      </c>
      <c r="R7054" s="266">
        <f>ROUND(P7054*Q7054*4/31,2)</f>
        <v>22567.74</v>
      </c>
      <c r="S7054" s="48">
        <v>202303</v>
      </c>
      <c r="T7054" s="558" t="s">
        <v>9402</v>
      </c>
      <c r="U7054" s="102"/>
      <c r="V7054" s="126"/>
      <c r="W7054" s="126">
        <v>44792</v>
      </c>
      <c r="X7054" s="111"/>
      <c r="Y7054" s="111"/>
    </row>
    <row r="7055" s="10" customFormat="1" customHeight="1" spans="1:25">
      <c r="A7055" s="60" t="s">
        <v>61</v>
      </c>
      <c r="B7055" s="62" t="s">
        <v>8399</v>
      </c>
      <c r="C7055" s="62" t="s">
        <v>2998</v>
      </c>
      <c r="D7055" s="62" t="s">
        <v>85</v>
      </c>
      <c r="E7055" s="63" t="s">
        <v>4128</v>
      </c>
      <c r="F7055" s="60" t="s">
        <v>8400</v>
      </c>
      <c r="G7055" s="60" t="s">
        <v>88</v>
      </c>
      <c r="H7055" s="45" t="s">
        <v>8406</v>
      </c>
      <c r="I7055" s="47" t="e">
        <f>VLOOKUP(H7055,'合同综合查询数据（3月返）'!$A:$A,1,FALSE)</f>
        <v>#N/A</v>
      </c>
      <c r="J7055" s="48" t="s">
        <v>90</v>
      </c>
      <c r="K7055" s="61" t="s">
        <v>8407</v>
      </c>
      <c r="L7055" s="61"/>
      <c r="M7055" s="50" t="s">
        <v>8408</v>
      </c>
      <c r="N7055" s="111">
        <v>45015</v>
      </c>
      <c r="O7055" s="135" t="s">
        <v>461</v>
      </c>
      <c r="P7055" s="266">
        <v>7950</v>
      </c>
      <c r="Q7055" s="270">
        <v>29</v>
      </c>
      <c r="R7055" s="266">
        <f>ROUND(P7055*Q7055*2/31,2)</f>
        <v>14874.19</v>
      </c>
      <c r="S7055" s="48">
        <v>202303</v>
      </c>
      <c r="T7055" s="558" t="s">
        <v>9403</v>
      </c>
      <c r="U7055" s="102"/>
      <c r="V7055" s="126"/>
      <c r="W7055" s="126">
        <v>44792</v>
      </c>
      <c r="X7055" s="111"/>
      <c r="Y7055" s="111"/>
    </row>
    <row r="7056" s="10" customFormat="1" customHeight="1" spans="1:25">
      <c r="A7056" s="60" t="s">
        <v>61</v>
      </c>
      <c r="B7056" s="62" t="s">
        <v>8399</v>
      </c>
      <c r="C7056" s="62" t="s">
        <v>2998</v>
      </c>
      <c r="D7056" s="62" t="s">
        <v>85</v>
      </c>
      <c r="E7056" s="63" t="s">
        <v>4128</v>
      </c>
      <c r="F7056" s="60" t="s">
        <v>8400</v>
      </c>
      <c r="G7056" s="60" t="s">
        <v>88</v>
      </c>
      <c r="H7056" s="45" t="s">
        <v>8406</v>
      </c>
      <c r="I7056" s="47" t="e">
        <f>VLOOKUP(H7056,'合同综合查询数据（3月返）'!$A:$A,1,FALSE)</f>
        <v>#N/A</v>
      </c>
      <c r="J7056" s="48" t="s">
        <v>90</v>
      </c>
      <c r="K7056" s="61" t="s">
        <v>8466</v>
      </c>
      <c r="L7056" s="61"/>
      <c r="M7056" s="541" t="s">
        <v>8467</v>
      </c>
      <c r="N7056" s="111">
        <v>45002</v>
      </c>
      <c r="O7056" s="135" t="s">
        <v>461</v>
      </c>
      <c r="P7056" s="266">
        <v>7950</v>
      </c>
      <c r="Q7056" s="270">
        <v>-32</v>
      </c>
      <c r="R7056" s="266">
        <f>ROUND(P7056*Q7056*14/31,2)</f>
        <v>-114890.32</v>
      </c>
      <c r="S7056" s="48">
        <v>202303</v>
      </c>
      <c r="T7056" s="558" t="s">
        <v>9404</v>
      </c>
      <c r="U7056" s="102"/>
      <c r="V7056" s="126"/>
      <c r="W7056" s="126">
        <v>44792</v>
      </c>
      <c r="X7056" s="111"/>
      <c r="Y7056" s="111"/>
    </row>
    <row r="7057" s="9" customFormat="1" customHeight="1" spans="1:25">
      <c r="A7057" s="96" t="s">
        <v>399</v>
      </c>
      <c r="B7057" s="94" t="s">
        <v>8192</v>
      </c>
      <c r="C7057" s="94" t="s">
        <v>110</v>
      </c>
      <c r="D7057" s="94" t="s">
        <v>6237</v>
      </c>
      <c r="E7057" s="105" t="s">
        <v>8600</v>
      </c>
      <c r="F7057" s="96" t="s">
        <v>8704</v>
      </c>
      <c r="G7057" s="96" t="s">
        <v>88</v>
      </c>
      <c r="H7057" s="19" t="s">
        <v>8615</v>
      </c>
      <c r="I7057" s="23" t="e">
        <f>VLOOKUP(H7057,'合同综合查询数据（3月返）'!$A:$A,1,FALSE)</f>
        <v>#N/A</v>
      </c>
      <c r="J7057" s="24" t="s">
        <v>90</v>
      </c>
      <c r="K7057" s="98" t="s">
        <v>5515</v>
      </c>
      <c r="L7057" s="98"/>
      <c r="M7057" s="26" t="s">
        <v>8629</v>
      </c>
      <c r="N7057" s="106">
        <v>45015</v>
      </c>
      <c r="O7057" s="129" t="s">
        <v>457</v>
      </c>
      <c r="P7057" s="268">
        <v>5600</v>
      </c>
      <c r="Q7057" s="273">
        <v>-21</v>
      </c>
      <c r="R7057" s="268">
        <f>ROUND(P7057*Q7057*1/31,2)</f>
        <v>-3793.55</v>
      </c>
      <c r="S7057" s="24">
        <v>202303</v>
      </c>
      <c r="T7057" s="560" t="s">
        <v>9405</v>
      </c>
      <c r="U7057" s="97"/>
      <c r="V7057" s="128"/>
      <c r="W7057" s="128">
        <v>44866</v>
      </c>
      <c r="X7057" s="106">
        <v>45230</v>
      </c>
      <c r="Y7057" s="106"/>
    </row>
    <row r="7058" s="9" customFormat="1" customHeight="1" spans="1:25">
      <c r="A7058" s="96" t="s">
        <v>401</v>
      </c>
      <c r="B7058" s="94" t="s">
        <v>8192</v>
      </c>
      <c r="C7058" s="94" t="s">
        <v>110</v>
      </c>
      <c r="D7058" s="94" t="s">
        <v>6237</v>
      </c>
      <c r="E7058" s="105" t="s">
        <v>8532</v>
      </c>
      <c r="F7058" s="96" t="s">
        <v>8533</v>
      </c>
      <c r="G7058" s="96" t="s">
        <v>88</v>
      </c>
      <c r="H7058" s="19" t="s">
        <v>8779</v>
      </c>
      <c r="I7058" s="23" t="e">
        <f>VLOOKUP(H7058,'合同综合查询数据（3月返）'!$A:$A,1,FALSE)</f>
        <v>#N/A</v>
      </c>
      <c r="J7058" s="24" t="s">
        <v>90</v>
      </c>
      <c r="K7058" s="98"/>
      <c r="L7058" s="98"/>
      <c r="M7058" s="26" t="s">
        <v>8780</v>
      </c>
      <c r="N7058" s="106">
        <v>45014</v>
      </c>
      <c r="O7058" s="129" t="s">
        <v>461</v>
      </c>
      <c r="P7058" s="268">
        <v>5150</v>
      </c>
      <c r="Q7058" s="273">
        <v>2</v>
      </c>
      <c r="R7058" s="268">
        <f>ROUND(P7058*Q7058*3/31,2)</f>
        <v>996.77</v>
      </c>
      <c r="S7058" s="24">
        <v>202303</v>
      </c>
      <c r="T7058" s="561" t="s">
        <v>9406</v>
      </c>
      <c r="U7058" s="97"/>
      <c r="V7058" s="128"/>
      <c r="W7058" s="128">
        <v>44136</v>
      </c>
      <c r="X7058" s="106">
        <v>45230</v>
      </c>
      <c r="Y7058" s="106"/>
    </row>
    <row r="7059" s="85" customFormat="1" ht="14.5" spans="1:25">
      <c r="A7059" s="62" t="s">
        <v>403</v>
      </c>
      <c r="B7059" s="529" t="s">
        <v>62</v>
      </c>
      <c r="C7059" s="529" t="s">
        <v>217</v>
      </c>
      <c r="D7059" s="529" t="s">
        <v>566</v>
      </c>
      <c r="E7059" s="529" t="s">
        <v>1043</v>
      </c>
      <c r="F7059" s="530" t="s">
        <v>906</v>
      </c>
      <c r="G7059" s="529" t="s">
        <v>88</v>
      </c>
      <c r="H7059" s="531" t="s">
        <v>1457</v>
      </c>
      <c r="I7059" s="47" t="e">
        <f>VLOOKUP(H7059,'合同综合查询数据（3月返）'!$A:$A,1,FALSE)</f>
        <v>#N/A</v>
      </c>
      <c r="J7059" s="542" t="s">
        <v>90</v>
      </c>
      <c r="K7059" s="543" t="s">
        <v>1458</v>
      </c>
      <c r="L7059" s="544"/>
      <c r="M7059" s="545" t="s">
        <v>909</v>
      </c>
      <c r="N7059" s="546">
        <v>45014</v>
      </c>
      <c r="O7059" s="547" t="s">
        <v>1459</v>
      </c>
      <c r="P7059" s="525">
        <v>9600</v>
      </c>
      <c r="Q7059" s="525">
        <v>-149</v>
      </c>
      <c r="R7059" s="524">
        <f>ROUND(P7059*Q7059*2/31,2)</f>
        <v>-92283.87</v>
      </c>
      <c r="S7059" s="562">
        <v>202303</v>
      </c>
      <c r="T7059" s="563" t="s">
        <v>9407</v>
      </c>
      <c r="U7059" s="564"/>
      <c r="V7059" s="564"/>
      <c r="W7059" s="564"/>
      <c r="X7059" s="565"/>
      <c r="Y7059" s="565"/>
    </row>
    <row r="7060" s="86" customFormat="1" ht="14.5" spans="1:25">
      <c r="A7060" s="94" t="s">
        <v>403</v>
      </c>
      <c r="B7060" s="532" t="s">
        <v>62</v>
      </c>
      <c r="C7060" s="532" t="s">
        <v>217</v>
      </c>
      <c r="D7060" s="532" t="s">
        <v>566</v>
      </c>
      <c r="E7060" s="532" t="s">
        <v>905</v>
      </c>
      <c r="F7060" s="533" t="s">
        <v>906</v>
      </c>
      <c r="G7060" s="532" t="s">
        <v>88</v>
      </c>
      <c r="H7060" s="534" t="s">
        <v>1201</v>
      </c>
      <c r="I7060" s="23" t="e">
        <f>VLOOKUP(H7060,'合同综合查询数据（3月返）'!$A:$A,1,FALSE)</f>
        <v>#N/A</v>
      </c>
      <c r="J7060" s="548" t="s">
        <v>90</v>
      </c>
      <c r="K7060" s="536" t="s">
        <v>1202</v>
      </c>
      <c r="L7060" s="549"/>
      <c r="M7060" s="550" t="s">
        <v>909</v>
      </c>
      <c r="N7060" s="551">
        <v>45016</v>
      </c>
      <c r="O7060" s="552" t="s">
        <v>461</v>
      </c>
      <c r="P7060" s="553">
        <v>8595</v>
      </c>
      <c r="Q7060" s="553">
        <v>3</v>
      </c>
      <c r="R7060" s="566">
        <f>ROUND(P7060*Q7060*1/31,2)</f>
        <v>831.77</v>
      </c>
      <c r="S7060" s="567">
        <v>202303</v>
      </c>
      <c r="T7060" s="568" t="s">
        <v>9408</v>
      </c>
      <c r="U7060" s="569"/>
      <c r="V7060" s="569"/>
      <c r="W7060" s="569"/>
      <c r="X7060" s="570">
        <v>44844</v>
      </c>
      <c r="Y7060" s="570">
        <v>47036</v>
      </c>
    </row>
    <row r="7061" s="86" customFormat="1" ht="14.5" spans="1:25">
      <c r="A7061" s="94" t="s">
        <v>61</v>
      </c>
      <c r="B7061" s="532" t="s">
        <v>62</v>
      </c>
      <c r="C7061" s="532" t="s">
        <v>217</v>
      </c>
      <c r="D7061" s="532" t="s">
        <v>64</v>
      </c>
      <c r="E7061" s="535" t="s">
        <v>771</v>
      </c>
      <c r="F7061" s="533" t="s">
        <v>772</v>
      </c>
      <c r="G7061" s="536" t="s">
        <v>88</v>
      </c>
      <c r="H7061" s="534" t="s">
        <v>773</v>
      </c>
      <c r="I7061" s="23" t="e">
        <f>VLOOKUP(H7061,'合同综合查询数据（3月返）'!$A:$A,1,FALSE)</f>
        <v>#N/A</v>
      </c>
      <c r="J7061" s="554" t="s">
        <v>781</v>
      </c>
      <c r="K7061" s="540" t="s">
        <v>775</v>
      </c>
      <c r="L7061" s="549"/>
      <c r="M7061" s="550" t="s">
        <v>776</v>
      </c>
      <c r="N7061" s="551">
        <v>45014</v>
      </c>
      <c r="O7061" s="555" t="s">
        <v>457</v>
      </c>
      <c r="P7061" s="229">
        <v>5216.57</v>
      </c>
      <c r="Q7061" s="553">
        <v>2</v>
      </c>
      <c r="R7061" s="566">
        <f>ROUND(P7061*Q7061*3/31,2)</f>
        <v>1009.66</v>
      </c>
      <c r="S7061" s="567">
        <v>202303</v>
      </c>
      <c r="T7061" s="571" t="s">
        <v>9409</v>
      </c>
      <c r="U7061" s="572"/>
      <c r="V7061" s="569"/>
      <c r="W7061" s="569"/>
      <c r="X7061" s="570">
        <v>43647</v>
      </c>
      <c r="Y7061" s="570">
        <v>45229</v>
      </c>
    </row>
    <row r="7062" s="86" customFormat="1" ht="14.5" spans="1:25">
      <c r="A7062" s="94" t="s">
        <v>61</v>
      </c>
      <c r="B7062" s="532" t="s">
        <v>62</v>
      </c>
      <c r="C7062" s="532" t="s">
        <v>217</v>
      </c>
      <c r="D7062" s="532" t="s">
        <v>64</v>
      </c>
      <c r="E7062" s="535" t="s">
        <v>771</v>
      </c>
      <c r="F7062" s="533" t="s">
        <v>772</v>
      </c>
      <c r="G7062" s="536" t="s">
        <v>88</v>
      </c>
      <c r="H7062" s="534" t="s">
        <v>773</v>
      </c>
      <c r="I7062" s="23" t="e">
        <f>VLOOKUP(H7062,'合同综合查询数据（3月返）'!$A:$A,1,FALSE)</f>
        <v>#N/A</v>
      </c>
      <c r="J7062" s="554" t="s">
        <v>781</v>
      </c>
      <c r="K7062" s="540" t="s">
        <v>775</v>
      </c>
      <c r="L7062" s="549"/>
      <c r="M7062" s="550" t="s">
        <v>776</v>
      </c>
      <c r="N7062" s="551">
        <v>45015</v>
      </c>
      <c r="O7062" s="555" t="s">
        <v>457</v>
      </c>
      <c r="P7062" s="229">
        <v>5216.57</v>
      </c>
      <c r="Q7062" s="553">
        <v>-1</v>
      </c>
      <c r="R7062" s="566">
        <f>ROUND(P7062*Q7062*1/31,2)</f>
        <v>-168.28</v>
      </c>
      <c r="S7062" s="567">
        <v>202303</v>
      </c>
      <c r="T7062" s="571" t="s">
        <v>842</v>
      </c>
      <c r="U7062" s="572"/>
      <c r="V7062" s="569"/>
      <c r="W7062" s="569"/>
      <c r="X7062" s="570">
        <v>43647</v>
      </c>
      <c r="Y7062" s="570">
        <v>45229</v>
      </c>
    </row>
    <row r="7063" s="87" customFormat="1" ht="14.5" spans="1:25">
      <c r="A7063" s="94" t="s">
        <v>61</v>
      </c>
      <c r="B7063" s="532" t="s">
        <v>62</v>
      </c>
      <c r="C7063" s="532" t="s">
        <v>217</v>
      </c>
      <c r="D7063" s="532" t="s">
        <v>64</v>
      </c>
      <c r="E7063" s="535" t="s">
        <v>2440</v>
      </c>
      <c r="F7063" s="533" t="s">
        <v>2566</v>
      </c>
      <c r="G7063" s="536" t="s">
        <v>88</v>
      </c>
      <c r="H7063" s="534" t="s">
        <v>2563</v>
      </c>
      <c r="I7063" s="23" t="e">
        <f>VLOOKUP(H7063,'合同综合查询数据（3月返）'!$A:$A,1,FALSE)</f>
        <v>#N/A</v>
      </c>
      <c r="J7063" s="554" t="s">
        <v>90</v>
      </c>
      <c r="K7063" s="540" t="s">
        <v>775</v>
      </c>
      <c r="L7063" s="549"/>
      <c r="M7063" s="550" t="s">
        <v>776</v>
      </c>
      <c r="N7063" s="551">
        <v>45015</v>
      </c>
      <c r="O7063" s="555" t="s">
        <v>457</v>
      </c>
      <c r="P7063" s="229">
        <v>3998</v>
      </c>
      <c r="Q7063" s="553">
        <v>-2</v>
      </c>
      <c r="R7063" s="566">
        <f>ROUND(P7063*Q7063*1/31,2)</f>
        <v>-257.94</v>
      </c>
      <c r="S7063" s="567">
        <v>202303</v>
      </c>
      <c r="T7063" s="571" t="s">
        <v>2576</v>
      </c>
      <c r="U7063" s="572"/>
      <c r="V7063" s="569"/>
      <c r="W7063" s="569"/>
      <c r="X7063" s="570"/>
      <c r="Y7063" s="570"/>
    </row>
    <row r="7064" s="87" customFormat="1" ht="14.5" spans="1:25">
      <c r="A7064" s="94" t="s">
        <v>61</v>
      </c>
      <c r="B7064" s="537" t="s">
        <v>62</v>
      </c>
      <c r="C7064" s="532" t="s">
        <v>110</v>
      </c>
      <c r="D7064" s="537" t="s">
        <v>85</v>
      </c>
      <c r="E7064" s="535" t="s">
        <v>2710</v>
      </c>
      <c r="F7064" s="538" t="s">
        <v>2711</v>
      </c>
      <c r="G7064" s="539" t="s">
        <v>88</v>
      </c>
      <c r="H7064" s="540" t="s">
        <v>2712</v>
      </c>
      <c r="I7064" s="23" t="str">
        <f>VLOOKUP(H7064,'合同综合查询数据（3月返）'!$A:$A,1,FALSE)</f>
        <v>182315IDC00074</v>
      </c>
      <c r="J7064" s="556" t="s">
        <v>90</v>
      </c>
      <c r="K7064" s="540" t="s">
        <v>2713</v>
      </c>
      <c r="L7064" s="540"/>
      <c r="M7064" s="550" t="s">
        <v>2714</v>
      </c>
      <c r="N7064" s="555">
        <v>45006</v>
      </c>
      <c r="O7064" s="540" t="s">
        <v>461</v>
      </c>
      <c r="P7064" s="557">
        <v>8200</v>
      </c>
      <c r="Q7064" s="557">
        <v>2</v>
      </c>
      <c r="R7064" s="566">
        <f>ROUND(P7064*Q7064*11/31,2)</f>
        <v>5819.35</v>
      </c>
      <c r="S7064" s="573">
        <v>202303</v>
      </c>
      <c r="T7064" s="571" t="s">
        <v>9410</v>
      </c>
      <c r="U7064" s="574"/>
      <c r="V7064" s="575"/>
      <c r="W7064" s="575"/>
      <c r="X7064" s="570">
        <v>44774</v>
      </c>
      <c r="Y7064" s="570">
        <v>46599</v>
      </c>
    </row>
    <row r="7065" s="87" customFormat="1" ht="14.5" spans="1:25">
      <c r="A7065" s="94" t="s">
        <v>61</v>
      </c>
      <c r="B7065" s="537" t="s">
        <v>62</v>
      </c>
      <c r="C7065" s="532" t="s">
        <v>110</v>
      </c>
      <c r="D7065" s="537" t="s">
        <v>85</v>
      </c>
      <c r="E7065" s="535" t="s">
        <v>2710</v>
      </c>
      <c r="F7065" s="538" t="s">
        <v>2711</v>
      </c>
      <c r="G7065" s="539" t="s">
        <v>88</v>
      </c>
      <c r="H7065" s="540" t="s">
        <v>2712</v>
      </c>
      <c r="I7065" s="23" t="str">
        <f>VLOOKUP(H7065,'合同综合查询数据（3月返）'!$A:$A,1,FALSE)</f>
        <v>182315IDC00074</v>
      </c>
      <c r="J7065" s="556" t="s">
        <v>90</v>
      </c>
      <c r="K7065" s="540" t="s">
        <v>2713</v>
      </c>
      <c r="L7065" s="540"/>
      <c r="M7065" s="550" t="s">
        <v>2714</v>
      </c>
      <c r="N7065" s="555">
        <v>45012</v>
      </c>
      <c r="O7065" s="540" t="s">
        <v>461</v>
      </c>
      <c r="P7065" s="557">
        <v>8200</v>
      </c>
      <c r="Q7065" s="557">
        <v>10</v>
      </c>
      <c r="R7065" s="566">
        <f>ROUND(P7065*Q7065*5/31,2)</f>
        <v>13225.81</v>
      </c>
      <c r="S7065" s="573">
        <v>202303</v>
      </c>
      <c r="T7065" s="571" t="s">
        <v>9411</v>
      </c>
      <c r="U7065" s="574"/>
      <c r="V7065" s="575"/>
      <c r="W7065" s="575"/>
      <c r="X7065" s="570">
        <v>44774</v>
      </c>
      <c r="Y7065" s="570">
        <v>46599</v>
      </c>
    </row>
    <row r="7066" s="87" customFormat="1" ht="14.5" spans="1:25">
      <c r="A7066" s="94" t="s">
        <v>61</v>
      </c>
      <c r="B7066" s="537" t="s">
        <v>62</v>
      </c>
      <c r="C7066" s="532" t="s">
        <v>110</v>
      </c>
      <c r="D7066" s="537" t="s">
        <v>85</v>
      </c>
      <c r="E7066" s="535" t="s">
        <v>2710</v>
      </c>
      <c r="F7066" s="538" t="s">
        <v>2711</v>
      </c>
      <c r="G7066" s="539" t="s">
        <v>88</v>
      </c>
      <c r="H7066" s="540" t="s">
        <v>2712</v>
      </c>
      <c r="I7066" s="23" t="str">
        <f>VLOOKUP(H7066,'合同综合查询数据（3月返）'!$A:$A,1,FALSE)</f>
        <v>182315IDC00074</v>
      </c>
      <c r="J7066" s="556" t="s">
        <v>90</v>
      </c>
      <c r="K7066" s="540" t="s">
        <v>2713</v>
      </c>
      <c r="L7066" s="540"/>
      <c r="M7066" s="550" t="s">
        <v>2714</v>
      </c>
      <c r="N7066" s="555">
        <v>45016</v>
      </c>
      <c r="O7066" s="540" t="s">
        <v>461</v>
      </c>
      <c r="P7066" s="557">
        <v>8200</v>
      </c>
      <c r="Q7066" s="557">
        <v>2</v>
      </c>
      <c r="R7066" s="566">
        <f>ROUND(P7066*Q7066*1/31,2)</f>
        <v>529.03</v>
      </c>
      <c r="S7066" s="573">
        <v>202303</v>
      </c>
      <c r="T7066" s="571" t="s">
        <v>9412</v>
      </c>
      <c r="U7066" s="574"/>
      <c r="V7066" s="575"/>
      <c r="W7066" s="575"/>
      <c r="X7066" s="570">
        <v>44774</v>
      </c>
      <c r="Y7066" s="570">
        <v>46599</v>
      </c>
    </row>
  </sheetData>
  <autoFilter ref="A1:AE7066">
    <extLst/>
  </autoFilter>
  <conditionalFormatting sqref="M25">
    <cfRule type="expression" dxfId="0" priority="3625">
      <formula>(#REF!&lt;&gt;"")*(#REF!&lt;&gt;"")</formula>
    </cfRule>
  </conditionalFormatting>
  <conditionalFormatting sqref="M26">
    <cfRule type="expression" dxfId="0" priority="3524">
      <formula>(#REF!&lt;&gt;"")*(#REF!&lt;&gt;"")</formula>
    </cfRule>
  </conditionalFormatting>
  <conditionalFormatting sqref="P74">
    <cfRule type="expression" dxfId="1" priority="3446">
      <formula>(#REF!&lt;&gt;"")*(P$1&lt;&gt;"")</formula>
    </cfRule>
  </conditionalFormatting>
  <conditionalFormatting sqref="P75">
    <cfRule type="expression" dxfId="1" priority="4497">
      <formula>(#REF!&lt;&gt;"")*(P$1&lt;&gt;"")</formula>
    </cfRule>
  </conditionalFormatting>
  <conditionalFormatting sqref="Q91">
    <cfRule type="expression" dxfId="1" priority="4500">
      <formula>(#REF!&lt;&gt;"")*(#REF!&lt;&gt;"")</formula>
    </cfRule>
  </conditionalFormatting>
  <conditionalFormatting sqref="P97:Q97">
    <cfRule type="expression" dxfId="1" priority="4501">
      <formula>(#REF!&lt;&gt;"")*(#REF!&lt;&gt;"")</formula>
    </cfRule>
  </conditionalFormatting>
  <conditionalFormatting sqref="P98:Q98">
    <cfRule type="expression" dxfId="1" priority="3435">
      <formula>(#REF!&lt;&gt;"")*(#REF!&lt;&gt;"")</formula>
    </cfRule>
  </conditionalFormatting>
  <conditionalFormatting sqref="P99:Q99">
    <cfRule type="expression" dxfId="1" priority="4499">
      <formula>(#REF!&lt;&gt;"")*(#REF!&lt;&gt;"")</formula>
    </cfRule>
  </conditionalFormatting>
  <conditionalFormatting sqref="P100:Q100">
    <cfRule type="expression" dxfId="1" priority="4498">
      <formula>(#REF!&lt;&gt;"")*(#REF!&lt;&gt;"")</formula>
    </cfRule>
  </conditionalFormatting>
  <conditionalFormatting sqref="P101:Q101">
    <cfRule type="expression" dxfId="1" priority="3469">
      <formula>(#REF!&lt;&gt;"")*(#REF!&lt;&gt;"")</formula>
    </cfRule>
  </conditionalFormatting>
  <conditionalFormatting sqref="P102">
    <cfRule type="expression" dxfId="1" priority="4397">
      <formula>(#REF!&lt;&gt;"")*(#REF!&lt;&gt;"")</formula>
    </cfRule>
  </conditionalFormatting>
  <conditionalFormatting sqref="Q102">
    <cfRule type="expression" dxfId="1" priority="4398">
      <formula>(#REF!&lt;&gt;"")*(#REF!&lt;&gt;"")</formula>
    </cfRule>
  </conditionalFormatting>
  <conditionalFormatting sqref="P104:Q104">
    <cfRule type="expression" dxfId="1" priority="4305">
      <formula>(#REF!&lt;&gt;"")*(#REF!&lt;&gt;"")</formula>
    </cfRule>
  </conditionalFormatting>
  <conditionalFormatting sqref="P106:Q106">
    <cfRule type="expression" dxfId="1" priority="4467">
      <formula>(#REF!&lt;&gt;"")*(#REF!&lt;&gt;"")</formula>
    </cfRule>
  </conditionalFormatting>
  <conditionalFormatting sqref="P107:Q107">
    <cfRule type="expression" dxfId="1" priority="4468">
      <formula>(#REF!&lt;&gt;"")*(#REF!&lt;&gt;"")</formula>
    </cfRule>
  </conditionalFormatting>
  <conditionalFormatting sqref="P108:Q108">
    <cfRule type="expression" dxfId="1" priority="4304">
      <formula>(#REF!&lt;&gt;"")*(#REF!&lt;&gt;"")</formula>
    </cfRule>
  </conditionalFormatting>
  <conditionalFormatting sqref="P109:Q109">
    <cfRule type="expression" dxfId="1" priority="3618">
      <formula>(#REF!&lt;&gt;"")*(#REF!&lt;&gt;"")</formula>
    </cfRule>
  </conditionalFormatting>
  <conditionalFormatting sqref="P111:Q111">
    <cfRule type="expression" dxfId="1" priority="4303">
      <formula>(#REF!&lt;&gt;"")*(#REF!&lt;&gt;"")</formula>
    </cfRule>
  </conditionalFormatting>
  <conditionalFormatting sqref="P112:Q112">
    <cfRule type="expression" dxfId="1" priority="4202">
      <formula>(#REF!&lt;&gt;"")*(#REF!&lt;&gt;"")</formula>
    </cfRule>
  </conditionalFormatting>
  <conditionalFormatting sqref="P113:Q113">
    <cfRule type="expression" dxfId="1" priority="4302">
      <formula>(#REF!&lt;&gt;"")*(#REF!&lt;&gt;"")</formula>
    </cfRule>
  </conditionalFormatting>
  <conditionalFormatting sqref="P117:Q117">
    <cfRule type="expression" dxfId="1" priority="4089">
      <formula>(#REF!&lt;&gt;"")*(#REF!&lt;&gt;"")</formula>
    </cfRule>
  </conditionalFormatting>
  <conditionalFormatting sqref="P118:Q118">
    <cfRule type="expression" dxfId="1" priority="4054">
      <formula>(#REF!&lt;&gt;"")*(#REF!&lt;&gt;"")</formula>
    </cfRule>
  </conditionalFormatting>
  <conditionalFormatting sqref="P120:Q120">
    <cfRule type="expression" dxfId="1" priority="3624">
      <formula>(#REF!&lt;&gt;"")*(#REF!&lt;&gt;"")</formula>
    </cfRule>
  </conditionalFormatting>
  <conditionalFormatting sqref="P122:Q122">
    <cfRule type="expression" dxfId="1" priority="4087">
      <formula>(#REF!&lt;&gt;"")*(#REF!&lt;&gt;"")</formula>
    </cfRule>
  </conditionalFormatting>
  <conditionalFormatting sqref="P192:Q192">
    <cfRule type="expression" dxfId="1" priority="4494">
      <formula>(#REF!&lt;&gt;"")*(#REF!&lt;&gt;"")</formula>
    </cfRule>
  </conditionalFormatting>
  <conditionalFormatting sqref="P200">
    <cfRule type="expression" dxfId="1" priority="4480">
      <formula>(#REF!&lt;&gt;"")*(#REF!&lt;&gt;"")</formula>
    </cfRule>
  </conditionalFormatting>
  <conditionalFormatting sqref="Q200">
    <cfRule type="expression" dxfId="1" priority="4481">
      <formula>(#REF!&lt;&gt;"")*(#REF!&lt;&gt;"")</formula>
    </cfRule>
  </conditionalFormatting>
  <conditionalFormatting sqref="P201">
    <cfRule type="expression" dxfId="1" priority="4478">
      <formula>(#REF!&lt;&gt;"")*(#REF!&lt;&gt;"")</formula>
    </cfRule>
  </conditionalFormatting>
  <conditionalFormatting sqref="Q201">
    <cfRule type="expression" dxfId="1" priority="4479">
      <formula>(#REF!&lt;&gt;"")*(#REF!&lt;&gt;"")</formula>
    </cfRule>
  </conditionalFormatting>
  <conditionalFormatting sqref="P202">
    <cfRule type="expression" dxfId="1" priority="4482">
      <formula>(#REF!&lt;&gt;"")*(#REF!&lt;&gt;"")</formula>
    </cfRule>
  </conditionalFormatting>
  <conditionalFormatting sqref="Q202">
    <cfRule type="expression" dxfId="1" priority="4483">
      <formula>(#REF!&lt;&gt;"")*(#REF!&lt;&gt;"")</formula>
    </cfRule>
  </conditionalFormatting>
  <conditionalFormatting sqref="P203:Q203">
    <cfRule type="expression" dxfId="1" priority="4484">
      <formula>(#REF!&lt;&gt;"")*(#REF!&lt;&gt;"")</formula>
    </cfRule>
  </conditionalFormatting>
  <conditionalFormatting sqref="P204:Q204">
    <cfRule type="expression" dxfId="1" priority="4485">
      <formula>(#REF!&lt;&gt;"")*(#REF!&lt;&gt;"")</formula>
    </cfRule>
  </conditionalFormatting>
  <conditionalFormatting sqref="P205">
    <cfRule type="expression" dxfId="1" priority="4492">
      <formula>(#REF!&lt;&gt;"")*(#REF!&lt;&gt;"")</formula>
    </cfRule>
  </conditionalFormatting>
  <conditionalFormatting sqref="Q205">
    <cfRule type="expression" dxfId="1" priority="4493">
      <formula>(#REF!&lt;&gt;"")*(#REF!&lt;&gt;"")</formula>
    </cfRule>
  </conditionalFormatting>
  <conditionalFormatting sqref="P206">
    <cfRule type="expression" dxfId="1" priority="4490">
      <formula>(#REF!&lt;&gt;"")*(#REF!&lt;&gt;"")</formula>
    </cfRule>
  </conditionalFormatting>
  <conditionalFormatting sqref="Q206">
    <cfRule type="expression" dxfId="1" priority="4491">
      <formula>(#REF!&lt;&gt;"")*(#REF!&lt;&gt;"")</formula>
    </cfRule>
  </conditionalFormatting>
  <conditionalFormatting sqref="P207">
    <cfRule type="expression" dxfId="1" priority="4488">
      <formula>(#REF!&lt;&gt;"")*(#REF!&lt;&gt;"")</formula>
    </cfRule>
  </conditionalFormatting>
  <conditionalFormatting sqref="Q207">
    <cfRule type="expression" dxfId="1" priority="4489">
      <formula>(#REF!&lt;&gt;"")*(#REF!&lt;&gt;"")</formula>
    </cfRule>
  </conditionalFormatting>
  <conditionalFormatting sqref="P208">
    <cfRule type="expression" dxfId="1" priority="4486">
      <formula>(#REF!&lt;&gt;"")*(#REF!&lt;&gt;"")</formula>
    </cfRule>
  </conditionalFormatting>
  <conditionalFormatting sqref="Q208">
    <cfRule type="expression" dxfId="1" priority="4487">
      <formula>(#REF!&lt;&gt;"")*(#REF!&lt;&gt;"")</formula>
    </cfRule>
  </conditionalFormatting>
  <conditionalFormatting sqref="P209">
    <cfRule type="expression" dxfId="1" priority="4420">
      <formula>(#REF!&lt;&gt;"")*(#REF!&lt;&gt;"")</formula>
    </cfRule>
  </conditionalFormatting>
  <conditionalFormatting sqref="Q209">
    <cfRule type="expression" dxfId="1" priority="4421">
      <formula>(#REF!&lt;&gt;"")*(#REF!&lt;&gt;"")</formula>
    </cfRule>
  </conditionalFormatting>
  <conditionalFormatting sqref="P210">
    <cfRule type="expression" dxfId="1" priority="4422">
      <formula>(#REF!&lt;&gt;"")*(#REF!&lt;&gt;"")</formula>
    </cfRule>
  </conditionalFormatting>
  <conditionalFormatting sqref="Q210">
    <cfRule type="expression" dxfId="1" priority="4423">
      <formula>(#REF!&lt;&gt;"")*(#REF!&lt;&gt;"")</formula>
    </cfRule>
  </conditionalFormatting>
  <conditionalFormatting sqref="P211">
    <cfRule type="expression" dxfId="1" priority="4418">
      <formula>(#REF!&lt;&gt;"")*(#REF!&lt;&gt;"")</formula>
    </cfRule>
  </conditionalFormatting>
  <conditionalFormatting sqref="Q211">
    <cfRule type="expression" dxfId="1" priority="4419">
      <formula>(#REF!&lt;&gt;"")*(#REF!&lt;&gt;"")</formula>
    </cfRule>
  </conditionalFormatting>
  <conditionalFormatting sqref="Q262">
    <cfRule type="expression" dxfId="1" priority="4477">
      <formula>(#REF!&lt;&gt;"")*(#REF!&lt;&gt;"")</formula>
    </cfRule>
  </conditionalFormatting>
  <conditionalFormatting sqref="P286:Q286">
    <cfRule type="expression" dxfId="1" priority="4476">
      <formula>(#REF!&lt;&gt;"")*(#REF!&lt;&gt;"")</formula>
    </cfRule>
  </conditionalFormatting>
  <conditionalFormatting sqref="P295">
    <cfRule type="expression" dxfId="1" priority="4475">
      <formula>(#REF!&lt;&gt;"")*(#REF!&lt;&gt;"")</formula>
    </cfRule>
  </conditionalFormatting>
  <conditionalFormatting sqref="Q295">
    <cfRule type="expression" dxfId="1" priority="4474">
      <formula>(#REF!&lt;&gt;"")*(#REF!&lt;&gt;"")</formula>
    </cfRule>
  </conditionalFormatting>
  <conditionalFormatting sqref="O296:P296">
    <cfRule type="expression" dxfId="1" priority="4473">
      <formula>(#REF!&lt;&gt;"")*(O$1&lt;&gt;"")</formula>
    </cfRule>
  </conditionalFormatting>
  <conditionalFormatting sqref="P297">
    <cfRule type="expression" dxfId="1" priority="3550">
      <formula>(#REF!&lt;&gt;"")*(#REF!&lt;&gt;"")</formula>
    </cfRule>
  </conditionalFormatting>
  <conditionalFormatting sqref="Q297">
    <cfRule type="expression" dxfId="1" priority="3549">
      <formula>(#REF!&lt;&gt;"")*(#REF!&lt;&gt;"")</formula>
    </cfRule>
  </conditionalFormatting>
  <conditionalFormatting sqref="O298:P298">
    <cfRule type="expression" dxfId="1" priority="3548">
      <formula>(#REF!&lt;&gt;"")*(O$1&lt;&gt;"")</formula>
    </cfRule>
  </conditionalFormatting>
  <conditionalFormatting sqref="P400">
    <cfRule type="expression" dxfId="1" priority="4471">
      <formula>(#REF!&lt;&gt;"")*(#REF!&lt;&gt;"")</formula>
    </cfRule>
  </conditionalFormatting>
  <conditionalFormatting sqref="Q400">
    <cfRule type="expression" dxfId="1" priority="4472">
      <formula>(#REF!&lt;&gt;"")*(#REF!&lt;&gt;"")</formula>
    </cfRule>
  </conditionalFormatting>
  <conditionalFormatting sqref="J453">
    <cfRule type="expression" dxfId="1" priority="4213">
      <formula>(#REF!&lt;&gt;"")*(J$1&lt;&gt;"")</formula>
    </cfRule>
  </conditionalFormatting>
  <conditionalFormatting sqref="M453">
    <cfRule type="expression" dxfId="0" priority="4214">
      <formula>(#REF!&lt;&gt;"")*(#REF!&lt;&gt;"")</formula>
    </cfRule>
  </conditionalFormatting>
  <conditionalFormatting sqref="J456">
    <cfRule type="expression" dxfId="1" priority="4470">
      <formula>(#REF!&lt;&gt;"")*(J$1&lt;&gt;"")</formula>
    </cfRule>
  </conditionalFormatting>
  <conditionalFormatting sqref="J470">
    <cfRule type="expression" dxfId="1" priority="4208">
      <formula>(#REF!&lt;&gt;"")*(J$1&lt;&gt;"")</formula>
    </cfRule>
  </conditionalFormatting>
  <conditionalFormatting sqref="M470">
    <cfRule type="expression" dxfId="0" priority="4209">
      <formula>(#REF!&lt;&gt;"")*(#REF!&lt;&gt;"")</formula>
    </cfRule>
  </conditionalFormatting>
  <conditionalFormatting sqref="J473">
    <cfRule type="expression" dxfId="1" priority="4469">
      <formula>(#REF!&lt;&gt;"")*(J$1&lt;&gt;"")</formula>
    </cfRule>
  </conditionalFormatting>
  <conditionalFormatting sqref="P523:Q523">
    <cfRule type="expression" dxfId="1" priority="4463">
      <formula>(#REF!&lt;&gt;"")*(#REF!&lt;&gt;"")</formula>
    </cfRule>
  </conditionalFormatting>
  <conditionalFormatting sqref="P524:Q524">
    <cfRule type="expression" dxfId="1" priority="4462">
      <formula>(#REF!&lt;&gt;"")*(#REF!&lt;&gt;"")</formula>
    </cfRule>
  </conditionalFormatting>
  <conditionalFormatting sqref="P525:Q525">
    <cfRule type="expression" dxfId="1" priority="4461">
      <formula>(#REF!&lt;&gt;"")*(#REF!&lt;&gt;"")</formula>
    </cfRule>
  </conditionalFormatting>
  <conditionalFormatting sqref="P526:Q526">
    <cfRule type="expression" dxfId="1" priority="4120">
      <formula>(#REF!&lt;&gt;"")*(#REF!&lt;&gt;"")</formula>
    </cfRule>
  </conditionalFormatting>
  <conditionalFormatting sqref="P529:Q529">
    <cfRule type="expression" dxfId="1" priority="4456">
      <formula>(#REF!&lt;&gt;"")*(#REF!&lt;&gt;"")</formula>
    </cfRule>
  </conditionalFormatting>
  <conditionalFormatting sqref="P530">
    <cfRule type="expression" dxfId="1" priority="3765">
      <formula>(#REF!&lt;&gt;"")*(#REF!&lt;&gt;"")</formula>
    </cfRule>
  </conditionalFormatting>
  <conditionalFormatting sqref="Q530">
    <cfRule type="expression" dxfId="1" priority="3766">
      <formula>(#REF!&lt;&gt;"")*(#REF!&lt;&gt;"")</formula>
    </cfRule>
  </conditionalFormatting>
  <conditionalFormatting sqref="P531:Q531">
    <cfRule type="expression" dxfId="1" priority="4455">
      <formula>(#REF!&lt;&gt;"")*(#REF!&lt;&gt;"")</formula>
    </cfRule>
  </conditionalFormatting>
  <conditionalFormatting sqref="J536">
    <cfRule type="expression" dxfId="1" priority="4460">
      <formula>(#REF!&lt;&gt;"")*(J$1&lt;&gt;"")</formula>
    </cfRule>
  </conditionalFormatting>
  <conditionalFormatting sqref="P536:Q536">
    <cfRule type="expression" dxfId="1" priority="4457">
      <formula>(#REF!&lt;&gt;"")*(#REF!&lt;&gt;"")</formula>
    </cfRule>
  </conditionalFormatting>
  <conditionalFormatting sqref="P537:Q537">
    <cfRule type="expression" dxfId="1" priority="4458">
      <formula>(#REF!&lt;&gt;"")*(#REF!&lt;&gt;"")</formula>
    </cfRule>
  </conditionalFormatting>
  <conditionalFormatting sqref="P554:Q554">
    <cfRule type="expression" dxfId="1" priority="4464">
      <formula>(#REF!&lt;&gt;"")*(#REF!&lt;&gt;"")</formula>
    </cfRule>
  </conditionalFormatting>
  <conditionalFormatting sqref="J610">
    <cfRule type="expression" dxfId="1" priority="3434">
      <formula>(#REF!&lt;&gt;"")*(J$1&lt;&gt;"")</formula>
    </cfRule>
  </conditionalFormatting>
  <conditionalFormatting sqref="J611">
    <cfRule type="expression" dxfId="1" priority="3433">
      <formula>(#REF!&lt;&gt;"")*(J$1&lt;&gt;"")</formula>
    </cfRule>
  </conditionalFormatting>
  <conditionalFormatting sqref="J612">
    <cfRule type="expression" dxfId="1" priority="3432">
      <formula>(#REF!&lt;&gt;"")*(J$1&lt;&gt;"")</formula>
    </cfRule>
  </conditionalFormatting>
  <conditionalFormatting sqref="M656">
    <cfRule type="expression" dxfId="0" priority="4428">
      <formula>(#REF!&lt;&gt;"")*(#REF!&lt;&gt;"")</formula>
    </cfRule>
  </conditionalFormatting>
  <conditionalFormatting sqref="J727">
    <cfRule type="expression" dxfId="1" priority="3599">
      <formula>(#REF!&lt;&gt;"")*(J$1&lt;&gt;"")</formula>
    </cfRule>
  </conditionalFormatting>
  <conditionalFormatting sqref="M727">
    <cfRule type="expression" dxfId="0" priority="3600">
      <formula>(#REF!&lt;&gt;"")*(#REF!&lt;&gt;"")</formula>
    </cfRule>
  </conditionalFormatting>
  <conditionalFormatting sqref="J733">
    <cfRule type="expression" dxfId="1" priority="3470">
      <formula>(#REF!&lt;&gt;"")*(J$1&lt;&gt;"")</formula>
    </cfRule>
  </conditionalFormatting>
  <conditionalFormatting sqref="M733">
    <cfRule type="expression" dxfId="0" priority="3471">
      <formula>(#REF!&lt;&gt;"")*(#REF!&lt;&gt;"")</formula>
    </cfRule>
  </conditionalFormatting>
  <conditionalFormatting sqref="J744">
    <cfRule type="expression" dxfId="1" priority="3472">
      <formula>(#REF!&lt;&gt;"")*(J$1&lt;&gt;"")</formula>
    </cfRule>
  </conditionalFormatting>
  <conditionalFormatting sqref="M744">
    <cfRule type="expression" dxfId="0" priority="3473">
      <formula>(#REF!&lt;&gt;"")*(#REF!&lt;&gt;"")</formula>
    </cfRule>
  </conditionalFormatting>
  <conditionalFormatting sqref="J748">
    <cfRule type="expression" dxfId="1" priority="4382">
      <formula>(#REF!&lt;&gt;"")*(J$1&lt;&gt;"")</formula>
    </cfRule>
  </conditionalFormatting>
  <conditionalFormatting sqref="M748">
    <cfRule type="expression" dxfId="0" priority="4383">
      <formula>(#REF!&lt;&gt;"")*(#REF!&lt;&gt;"")</formula>
    </cfRule>
  </conditionalFormatting>
  <conditionalFormatting sqref="J749">
    <cfRule type="expression" dxfId="1" priority="3467">
      <formula>(#REF!&lt;&gt;"")*(J$1&lt;&gt;"")</formula>
    </cfRule>
    <cfRule type="expression" dxfId="1" priority="3465">
      <formula>(#REF!&lt;&gt;"")*(J$1&lt;&gt;"")</formula>
    </cfRule>
  </conditionalFormatting>
  <conditionalFormatting sqref="M749">
    <cfRule type="expression" dxfId="0" priority="3468">
      <formula>(#REF!&lt;&gt;"")*(#REF!&lt;&gt;"")</formula>
    </cfRule>
    <cfRule type="expression" dxfId="0" priority="3466">
      <formula>(#REF!&lt;&gt;"")*(#REF!&lt;&gt;"")</formula>
    </cfRule>
  </conditionalFormatting>
  <conditionalFormatting sqref="J750">
    <cfRule type="expression" dxfId="1" priority="4389">
      <formula>(#REF!&lt;&gt;"")*(J$1&lt;&gt;"")</formula>
    </cfRule>
  </conditionalFormatting>
  <conditionalFormatting sqref="M750">
    <cfRule type="expression" dxfId="0" priority="4390">
      <formula>(#REF!&lt;&gt;"")*(#REF!&lt;&gt;"")</formula>
    </cfRule>
  </conditionalFormatting>
  <conditionalFormatting sqref="J751">
    <cfRule type="expression" dxfId="1" priority="4380">
      <formula>(#REF!&lt;&gt;"")*(J$1&lt;&gt;"")</formula>
    </cfRule>
  </conditionalFormatting>
  <conditionalFormatting sqref="M751">
    <cfRule type="expression" dxfId="0" priority="4381">
      <formula>(#REF!&lt;&gt;"")*(#REF!&lt;&gt;"")</formula>
    </cfRule>
  </conditionalFormatting>
  <conditionalFormatting sqref="J757">
    <cfRule type="expression" dxfId="1" priority="3619">
      <formula>(#REF!&lt;&gt;"")*(J$1&lt;&gt;"")</formula>
    </cfRule>
  </conditionalFormatting>
  <conditionalFormatting sqref="M757">
    <cfRule type="expression" dxfId="0" priority="3620">
      <formula>(#REF!&lt;&gt;"")*(#REF!&lt;&gt;"")</formula>
    </cfRule>
  </conditionalFormatting>
  <conditionalFormatting sqref="H792">
    <cfRule type="expression" dxfId="0" priority="4386">
      <formula>(#REF!&lt;&gt;"")*(H$1&lt;&gt;"")</formula>
    </cfRule>
  </conditionalFormatting>
  <conditionalFormatting sqref="N792">
    <cfRule type="expression" dxfId="0" priority="4387">
      <formula>(#REF!&lt;&gt;"")*(N$1&lt;&gt;"")</formula>
    </cfRule>
  </conditionalFormatting>
  <conditionalFormatting sqref="H793">
    <cfRule type="expression" dxfId="0" priority="3628">
      <formula>(#REF!&lt;&gt;"")*(H$1&lt;&gt;"")</formula>
    </cfRule>
  </conditionalFormatting>
  <conditionalFormatting sqref="N793">
    <cfRule type="expression" dxfId="0" priority="3629">
      <formula>(#REF!&lt;&gt;"")*(N$1&lt;&gt;"")</formula>
    </cfRule>
  </conditionalFormatting>
  <conditionalFormatting sqref="O793:P793">
    <cfRule type="expression" dxfId="0" priority="3627">
      <formula>(#REF!&lt;&gt;"")*(O$1&lt;&gt;"")</formula>
    </cfRule>
  </conditionalFormatting>
  <conditionalFormatting sqref="Q793:R793">
    <cfRule type="expression" dxfId="0" priority="3631">
      <formula>(#REF!&lt;&gt;"")*(Q$1&lt;&gt;"")</formula>
    </cfRule>
  </conditionalFormatting>
  <conditionalFormatting sqref="H794">
    <cfRule type="expression" dxfId="0" priority="3596">
      <formula>(#REF!&lt;&gt;"")*(H$1&lt;&gt;"")</formula>
    </cfRule>
  </conditionalFormatting>
  <conditionalFormatting sqref="O794:P794">
    <cfRule type="expression" dxfId="0" priority="3595">
      <formula>(#REF!&lt;&gt;"")*(O$1&lt;&gt;"")</formula>
    </cfRule>
  </conditionalFormatting>
  <conditionalFormatting sqref="Q794:R794">
    <cfRule type="expression" dxfId="0" priority="3598">
      <formula>(#REF!&lt;&gt;"")*(Q$1&lt;&gt;"")</formula>
    </cfRule>
  </conditionalFormatting>
  <conditionalFormatting sqref="M795">
    <cfRule type="expression" dxfId="0" priority="4440">
      <formula>(#REF!&lt;&gt;"")*(#REF!&lt;&gt;"")</formula>
    </cfRule>
  </conditionalFormatting>
  <conditionalFormatting sqref="Q795">
    <cfRule type="expression" dxfId="0" priority="4439">
      <formula>(#REF!&lt;&gt;"")*(#REF!&lt;&gt;"")</formula>
    </cfRule>
  </conditionalFormatting>
  <conditionalFormatting sqref="Q796">
    <cfRule type="expression" dxfId="0" priority="4437">
      <formula>(#REF!&lt;&gt;"")*(#REF!&lt;&gt;"")</formula>
    </cfRule>
  </conditionalFormatting>
  <conditionalFormatting sqref="Q797">
    <cfRule type="expression" dxfId="0" priority="4441">
      <formula>(#REF!&lt;&gt;"")*(#REF!&lt;&gt;"")</formula>
    </cfRule>
  </conditionalFormatting>
  <conditionalFormatting sqref="H798">
    <cfRule type="expression" dxfId="0" priority="3594">
      <formula>(#REF!&lt;&gt;"")*(H$1&lt;&gt;"")</formula>
    </cfRule>
  </conditionalFormatting>
  <conditionalFormatting sqref="M798">
    <cfRule type="expression" dxfId="0" priority="3592">
      <formula>(#REF!&lt;&gt;"")*(#REF!&lt;&gt;"")</formula>
    </cfRule>
  </conditionalFormatting>
  <conditionalFormatting sqref="Q798">
    <cfRule type="expression" dxfId="0" priority="3593">
      <formula>(#REF!&lt;&gt;"")*(#REF!&lt;&gt;"")</formula>
    </cfRule>
  </conditionalFormatting>
  <conditionalFormatting sqref="H802">
    <cfRule type="expression" dxfId="0" priority="3589">
      <formula>(#REF!&lt;&gt;"")*(H$1&lt;&gt;"")</formula>
    </cfRule>
  </conditionalFormatting>
  <conditionalFormatting sqref="Q803">
    <cfRule type="expression" dxfId="0" priority="3525">
      <formula>(#REF!&lt;&gt;"")*(#REF!&lt;&gt;"")</formula>
    </cfRule>
  </conditionalFormatting>
  <conditionalFormatting sqref="T803">
    <cfRule type="expression" dxfId="0" priority="4205">
      <formula>(#REF!&lt;&gt;"")*(#REF!&lt;&gt;"")</formula>
    </cfRule>
  </conditionalFormatting>
  <conditionalFormatting sqref="M811">
    <cfRule type="expression" dxfId="0" priority="4391">
      <formula>(#REF!&lt;&gt;"")*(#REF!&lt;&gt;"")</formula>
    </cfRule>
  </conditionalFormatting>
  <conditionalFormatting sqref="M812">
    <cfRule type="expression" dxfId="0" priority="4433">
      <formula>(#REF!&lt;&gt;"")*(#REF!&lt;&gt;"")</formula>
    </cfRule>
  </conditionalFormatting>
  <conditionalFormatting sqref="M813">
    <cfRule type="expression" dxfId="0" priority="4432">
      <formula>(#REF!&lt;&gt;"")*(#REF!&lt;&gt;"")</formula>
    </cfRule>
  </conditionalFormatting>
  <conditionalFormatting sqref="M814">
    <cfRule type="expression" dxfId="0" priority="4218">
      <formula>(#REF!&lt;&gt;"")*(#REF!&lt;&gt;"")</formula>
    </cfRule>
  </conditionalFormatting>
  <conditionalFormatting sqref="M815">
    <cfRule type="expression" dxfId="0" priority="4217">
      <formula>(#REF!&lt;&gt;"")*(#REF!&lt;&gt;"")</formula>
    </cfRule>
  </conditionalFormatting>
  <conditionalFormatting sqref="M816">
    <cfRule type="expression" dxfId="0" priority="4431">
      <formula>(#REF!&lt;&gt;"")*(#REF!&lt;&gt;"")</formula>
    </cfRule>
  </conditionalFormatting>
  <conditionalFormatting sqref="H817">
    <cfRule type="expression" dxfId="0" priority="3588">
      <formula>(#REF!&lt;&gt;"")*(H$1&lt;&gt;"")</formula>
    </cfRule>
  </conditionalFormatting>
  <conditionalFormatting sqref="K817">
    <cfRule type="expression" dxfId="0" priority="3586">
      <formula>(#REF!&lt;&gt;"")*(#REF!&lt;&gt;"")</formula>
    </cfRule>
    <cfRule type="expression" dxfId="1" priority="3587">
      <formula>(#REF!&lt;&gt;"")*(K$1&lt;&gt;"")</formula>
    </cfRule>
  </conditionalFormatting>
  <conditionalFormatting sqref="M817">
    <cfRule type="expression" dxfId="0" priority="3585">
      <formula>(#REF!&lt;&gt;"")*(#REF!&lt;&gt;"")</formula>
    </cfRule>
  </conditionalFormatting>
  <conditionalFormatting sqref="H818">
    <cfRule type="expression" dxfId="0" priority="3556">
      <formula>(#REF!&lt;&gt;"")*(H$1&lt;&gt;"")</formula>
    </cfRule>
  </conditionalFormatting>
  <conditionalFormatting sqref="K818">
    <cfRule type="expression" dxfId="1" priority="3555">
      <formula>(#REF!&lt;&gt;"")*(K$1&lt;&gt;"")</formula>
    </cfRule>
    <cfRule type="expression" dxfId="0" priority="3554">
      <formula>(#REF!&lt;&gt;"")*(#REF!&lt;&gt;"")</formula>
    </cfRule>
  </conditionalFormatting>
  <conditionalFormatting sqref="M818">
    <cfRule type="expression" dxfId="0" priority="3553">
      <formula>(#REF!&lt;&gt;"")*(#REF!&lt;&gt;"")</formula>
    </cfRule>
  </conditionalFormatting>
  <conditionalFormatting sqref="M819">
    <cfRule type="expression" dxfId="0" priority="4429">
      <formula>(#REF!&lt;&gt;"")*(#REF!&lt;&gt;"")</formula>
    </cfRule>
  </conditionalFormatting>
  <conditionalFormatting sqref="M820">
    <cfRule type="expression" dxfId="0" priority="4427">
      <formula>(#REF!&lt;&gt;"")*(#REF!&lt;&gt;"")</formula>
    </cfRule>
  </conditionalFormatting>
  <conditionalFormatting sqref="M821">
    <cfRule type="expression" dxfId="0" priority="4426">
      <formula>(#REF!&lt;&gt;"")*(#REF!&lt;&gt;"")</formula>
    </cfRule>
  </conditionalFormatting>
  <conditionalFormatting sqref="M822">
    <cfRule type="expression" dxfId="0" priority="4425">
      <formula>(#REF!&lt;&gt;"")*(#REF!&lt;&gt;"")</formula>
    </cfRule>
  </conditionalFormatting>
  <conditionalFormatting sqref="M823">
    <cfRule type="expression" dxfId="0" priority="4424">
      <formula>(#REF!&lt;&gt;"")*(#REF!&lt;&gt;"")</formula>
    </cfRule>
  </conditionalFormatting>
  <conditionalFormatting sqref="M826">
    <cfRule type="expression" dxfId="0" priority="4434">
      <formula>(#REF!&lt;&gt;"")*(#REF!&lt;&gt;"")</formula>
    </cfRule>
  </conditionalFormatting>
  <conditionalFormatting sqref="M834">
    <cfRule type="expression" dxfId="1" priority="4411">
      <formula>(#REF!&lt;&gt;"")*(M$1&lt;&gt;"")</formula>
    </cfRule>
    <cfRule type="expression" dxfId="0" priority="4410">
      <formula>(#REF!&lt;&gt;"")*(#REF!&lt;&gt;"")</formula>
    </cfRule>
  </conditionalFormatting>
  <conditionalFormatting sqref="O834:P834">
    <cfRule type="expression" dxfId="1" priority="4409">
      <formula>(#REF!&lt;&gt;"")*(O$1&lt;&gt;"")</formula>
    </cfRule>
  </conditionalFormatting>
  <conditionalFormatting sqref="Q834">
    <cfRule type="expression" dxfId="1" priority="4413">
      <formula>(#REF!&lt;&gt;"")*(#REF!&lt;&gt;"")</formula>
    </cfRule>
  </conditionalFormatting>
  <conditionalFormatting sqref="H835">
    <cfRule type="expression" dxfId="0" priority="3576">
      <formula>(#REF!&lt;&gt;"")*(H$1&lt;&gt;"")</formula>
    </cfRule>
  </conditionalFormatting>
  <conditionalFormatting sqref="M835">
    <cfRule type="expression" dxfId="1" priority="3572">
      <formula>(#REF!&lt;&gt;"")*(M$1&lt;&gt;"")</formula>
    </cfRule>
    <cfRule type="expression" dxfId="0" priority="3571">
      <formula>(#REF!&lt;&gt;"")*(#REF!&lt;&gt;"")</formula>
    </cfRule>
  </conditionalFormatting>
  <conditionalFormatting sqref="Q835">
    <cfRule type="expression" dxfId="1" priority="3578">
      <formula>(#REF!&lt;&gt;"")*(#REF!&lt;&gt;"")</formula>
    </cfRule>
    <cfRule type="expression" dxfId="1" priority="3574">
      <formula>(#REF!&lt;&gt;"")*(#REF!&lt;&gt;"")</formula>
    </cfRule>
  </conditionalFormatting>
  <conditionalFormatting sqref="H836">
    <cfRule type="expression" dxfId="0" priority="3568">
      <formula>(#REF!&lt;&gt;"")*(H$1&lt;&gt;"")</formula>
    </cfRule>
  </conditionalFormatting>
  <conditionalFormatting sqref="K836">
    <cfRule type="expression" dxfId="0" priority="3566">
      <formula>(#REF!&lt;&gt;"")*(#REF!&lt;&gt;"")</formula>
    </cfRule>
  </conditionalFormatting>
  <conditionalFormatting sqref="M836">
    <cfRule type="expression" dxfId="1" priority="3565">
      <formula>(#REF!&lt;&gt;"")*(M$1&lt;&gt;"")</formula>
    </cfRule>
    <cfRule type="expression" dxfId="0" priority="3564">
      <formula>(#REF!&lt;&gt;"")*(#REF!&lt;&gt;"")</formula>
    </cfRule>
  </conditionalFormatting>
  <conditionalFormatting sqref="H837">
    <cfRule type="expression" dxfId="0" priority="3561">
      <formula>(#REF!&lt;&gt;"")*(H$1&lt;&gt;"")</formula>
    </cfRule>
  </conditionalFormatting>
  <conditionalFormatting sqref="K837">
    <cfRule type="expression" dxfId="0" priority="3559">
      <formula>(#REF!&lt;&gt;"")*(#REF!&lt;&gt;"")</formula>
    </cfRule>
  </conditionalFormatting>
  <conditionalFormatting sqref="M837">
    <cfRule type="expression" dxfId="1" priority="3558">
      <formula>(#REF!&lt;&gt;"")*(M$1&lt;&gt;"")</formula>
    </cfRule>
    <cfRule type="expression" dxfId="0" priority="3557">
      <formula>(#REF!&lt;&gt;"")*(#REF!&lt;&gt;"")</formula>
    </cfRule>
  </conditionalFormatting>
  <conditionalFormatting sqref="H838">
    <cfRule type="expression" dxfId="0" priority="3521">
      <formula>(#REF!&lt;&gt;"")*(H$1&lt;&gt;"")</formula>
    </cfRule>
  </conditionalFormatting>
  <conditionalFormatting sqref="K838">
    <cfRule type="expression" dxfId="0" priority="3519">
      <formula>(#REF!&lt;&gt;"")*(#REF!&lt;&gt;"")</formula>
    </cfRule>
  </conditionalFormatting>
  <conditionalFormatting sqref="M838">
    <cfRule type="expression" dxfId="1" priority="3518">
      <formula>(#REF!&lt;&gt;"")*(M$1&lt;&gt;"")</formula>
    </cfRule>
    <cfRule type="expression" dxfId="0" priority="3517">
      <formula>(#REF!&lt;&gt;"")*(#REF!&lt;&gt;"")</formula>
    </cfRule>
  </conditionalFormatting>
  <conditionalFormatting sqref="H839">
    <cfRule type="expression" dxfId="0" priority="3514">
      <formula>(#REF!&lt;&gt;"")*(H$1&lt;&gt;"")</formula>
    </cfRule>
  </conditionalFormatting>
  <conditionalFormatting sqref="K839">
    <cfRule type="expression" dxfId="1" priority="3497">
      <formula>(#REF!&lt;&gt;"")*(K$1&lt;&gt;"")</formula>
    </cfRule>
    <cfRule type="expression" dxfId="0" priority="3496">
      <formula>(#REF!&lt;&gt;"")*(#REF!&lt;&gt;"")</formula>
    </cfRule>
    <cfRule type="expression" dxfId="1" priority="3495">
      <formula>(#REF!&lt;&gt;"")*(K$1&lt;&gt;"")</formula>
    </cfRule>
    <cfRule type="expression" dxfId="0" priority="3494">
      <formula>(#REF!&lt;&gt;"")*(#REF!&lt;&gt;"")</formula>
    </cfRule>
  </conditionalFormatting>
  <conditionalFormatting sqref="M839">
    <cfRule type="expression" dxfId="0" priority="3515">
      <formula>(#REF!&lt;&gt;"")*(#REF!&lt;&gt;"")</formula>
    </cfRule>
    <cfRule type="expression" dxfId="1" priority="3512">
      <formula>(#REF!&lt;&gt;"")*(M$1&lt;&gt;"")</formula>
    </cfRule>
    <cfRule type="expression" dxfId="0" priority="3511">
      <formula>(#REF!&lt;&gt;"")*(#REF!&lt;&gt;"")</formula>
    </cfRule>
  </conditionalFormatting>
  <conditionalFormatting sqref="O839:P839">
    <cfRule type="expression" dxfId="1" priority="3510">
      <formula>(#REF!&lt;&gt;"")*(O$1&lt;&gt;"")</formula>
    </cfRule>
    <cfRule type="expression" dxfId="1" priority="3509">
      <formula>(#REF!&lt;&gt;"")*(O$1&lt;&gt;"")</formula>
    </cfRule>
  </conditionalFormatting>
  <conditionalFormatting sqref="H840">
    <cfRule type="expression" dxfId="0" priority="3429">
      <formula>(#REF!&lt;&gt;"")*(H$1&lt;&gt;"")</formula>
    </cfRule>
  </conditionalFormatting>
  <conditionalFormatting sqref="K840">
    <cfRule type="expression" dxfId="1" priority="3423">
      <formula>(#REF!&lt;&gt;"")*(K$1&lt;&gt;"")</formula>
    </cfRule>
    <cfRule type="expression" dxfId="0" priority="3422">
      <formula>(#REF!&lt;&gt;"")*(#REF!&lt;&gt;"")</formula>
    </cfRule>
    <cfRule type="expression" dxfId="1" priority="3421">
      <formula>(#REF!&lt;&gt;"")*(K$1&lt;&gt;"")</formula>
    </cfRule>
    <cfRule type="expression" dxfId="0" priority="3420">
      <formula>(#REF!&lt;&gt;"")*(#REF!&lt;&gt;"")</formula>
    </cfRule>
  </conditionalFormatting>
  <conditionalFormatting sqref="M840">
    <cfRule type="expression" dxfId="0" priority="3430">
      <formula>(#REF!&lt;&gt;"")*(#REF!&lt;&gt;"")</formula>
    </cfRule>
    <cfRule type="expression" dxfId="1" priority="3427">
      <formula>(#REF!&lt;&gt;"")*(M$1&lt;&gt;"")</formula>
    </cfRule>
    <cfRule type="expression" dxfId="0" priority="3426">
      <formula>(#REF!&lt;&gt;"")*(#REF!&lt;&gt;"")</formula>
    </cfRule>
  </conditionalFormatting>
  <conditionalFormatting sqref="O840:P840">
    <cfRule type="expression" dxfId="1" priority="3425">
      <formula>(#REF!&lt;&gt;"")*(O$1&lt;&gt;"")</formula>
    </cfRule>
    <cfRule type="expression" dxfId="1" priority="3424">
      <formula>(#REF!&lt;&gt;"")*(O$1&lt;&gt;"")</formula>
    </cfRule>
  </conditionalFormatting>
  <conditionalFormatting sqref="M841">
    <cfRule type="expression" dxfId="1" priority="4402">
      <formula>(#REF!&lt;&gt;"")*(M$1&lt;&gt;"")</formula>
    </cfRule>
    <cfRule type="expression" dxfId="0" priority="4401">
      <formula>(#REF!&lt;&gt;"")*(#REF!&lt;&gt;"")</formula>
    </cfRule>
  </conditionalFormatting>
  <conditionalFormatting sqref="O841:P841">
    <cfRule type="expression" dxfId="1" priority="4400">
      <formula>(#REF!&lt;&gt;"")*(O$1&lt;&gt;"")</formula>
    </cfRule>
  </conditionalFormatting>
  <conditionalFormatting sqref="Q841">
    <cfRule type="expression" dxfId="1" priority="4407">
      <formula>(#REF!&lt;&gt;"")*(#REF!&lt;&gt;"")</formula>
    </cfRule>
    <cfRule type="expression" dxfId="1" priority="4404">
      <formula>(#REF!&lt;&gt;"")*(#REF!&lt;&gt;"")</formula>
    </cfRule>
  </conditionalFormatting>
  <conditionalFormatting sqref="Q851">
    <cfRule type="expression" dxfId="0" priority="3543">
      <formula>(#REF!&lt;&gt;"")*(#REF!&lt;&gt;"")</formula>
    </cfRule>
    <cfRule type="expression" dxfId="1" priority="3542">
      <formula>(#REF!&lt;&gt;"")*(#REF!&lt;&gt;"")</formula>
    </cfRule>
  </conditionalFormatting>
  <conditionalFormatting sqref="Q853">
    <cfRule type="expression" dxfId="0" priority="3475">
      <formula>(#REF!&lt;&gt;"")*(#REF!&lt;&gt;"")</formula>
    </cfRule>
    <cfRule type="expression" dxfId="1" priority="3474">
      <formula>(#REF!&lt;&gt;"")*(#REF!&lt;&gt;"")</formula>
    </cfRule>
  </conditionalFormatting>
  <conditionalFormatting sqref="Q854">
    <cfRule type="expression" dxfId="0" priority="3951">
      <formula>(#REF!&lt;&gt;"")*(#REF!&lt;&gt;"")</formula>
    </cfRule>
    <cfRule type="expression" dxfId="1" priority="3950">
      <formula>(#REF!&lt;&gt;"")*(#REF!&lt;&gt;"")</formula>
    </cfRule>
  </conditionalFormatting>
  <conditionalFormatting sqref="Q856">
    <cfRule type="expression" dxfId="0" priority="3541">
      <formula>(#REF!&lt;&gt;"")*(#REF!&lt;&gt;"")</formula>
    </cfRule>
    <cfRule type="expression" dxfId="1" priority="3540">
      <formula>(#REF!&lt;&gt;"")*(#REF!&lt;&gt;"")</formula>
    </cfRule>
  </conditionalFormatting>
  <conditionalFormatting sqref="Q859">
    <cfRule type="expression" dxfId="1" priority="4416">
      <formula>(#REF!&lt;&gt;"")*(#REF!&lt;&gt;"")</formula>
    </cfRule>
  </conditionalFormatting>
  <conditionalFormatting sqref="M860">
    <cfRule type="expression" dxfId="0" priority="4417">
      <formula>(#REF!&lt;&gt;"")*(#REF!&lt;&gt;"")</formula>
    </cfRule>
  </conditionalFormatting>
  <conditionalFormatting sqref="M869">
    <cfRule type="expression" dxfId="0" priority="4216">
      <formula>(#REF!&lt;&gt;"")*(#REF!&lt;&gt;"")</formula>
    </cfRule>
  </conditionalFormatting>
  <conditionalFormatting sqref="M884">
    <cfRule type="expression" dxfId="0" priority="4136">
      <formula>(#REF!&lt;&gt;"")*(#REF!&lt;&gt;"")</formula>
    </cfRule>
  </conditionalFormatting>
  <conditionalFormatting sqref="M887">
    <cfRule type="expression" dxfId="0" priority="4135">
      <formula>(#REF!&lt;&gt;"")*(#REF!&lt;&gt;"")</formula>
    </cfRule>
  </conditionalFormatting>
  <conditionalFormatting sqref="M895">
    <cfRule type="expression" dxfId="0" priority="4215">
      <formula>(#REF!&lt;&gt;"")*(#REF!&lt;&gt;"")</formula>
    </cfRule>
  </conditionalFormatting>
  <conditionalFormatting sqref="M897">
    <cfRule type="expression" dxfId="0" priority="4207">
      <formula>(#REF!&lt;&gt;"")*(#REF!&lt;&gt;"")</formula>
    </cfRule>
  </conditionalFormatting>
  <conditionalFormatting sqref="M898">
    <cfRule type="expression" dxfId="0" priority="4206">
      <formula>(#REF!&lt;&gt;"")*(#REF!&lt;&gt;"")</formula>
    </cfRule>
  </conditionalFormatting>
  <conditionalFormatting sqref="M900">
    <cfRule type="expression" dxfId="0" priority="3582">
      <formula>(#REF!&lt;&gt;"")*(#REF!&lt;&gt;"")</formula>
    </cfRule>
  </conditionalFormatting>
  <conditionalFormatting sqref="M907">
    <cfRule type="expression" dxfId="0" priority="3985">
      <formula>(#REF!&lt;&gt;"")*(#REF!&lt;&gt;"")</formula>
    </cfRule>
  </conditionalFormatting>
  <conditionalFormatting sqref="M909">
    <cfRule type="expression" dxfId="0" priority="3986">
      <formula>(#REF!&lt;&gt;"")*(#REF!&lt;&gt;"")</formula>
    </cfRule>
  </conditionalFormatting>
  <conditionalFormatting sqref="M911">
    <cfRule type="expression" dxfId="0" priority="4211">
      <formula>(#REF!&lt;&gt;"")*(#REF!&lt;&gt;"")</formula>
    </cfRule>
  </conditionalFormatting>
  <conditionalFormatting sqref="M913">
    <cfRule type="expression" dxfId="0" priority="4210">
      <formula>(#REF!&lt;&gt;"")*(#REF!&lt;&gt;"")</formula>
    </cfRule>
  </conditionalFormatting>
  <conditionalFormatting sqref="M967">
    <cfRule type="expression" dxfId="0" priority="4379">
      <formula>(#REF!&lt;&gt;"")*(#REF!&lt;&gt;"")</formula>
    </cfRule>
  </conditionalFormatting>
  <conditionalFormatting sqref="M968">
    <cfRule type="expression" dxfId="0" priority="3581">
      <formula>(#REF!&lt;&gt;"")*(#REF!&lt;&gt;"")</formula>
    </cfRule>
  </conditionalFormatting>
  <conditionalFormatting sqref="M969">
    <cfRule type="expression" dxfId="0" priority="3580">
      <formula>(#REF!&lt;&gt;"")*(#REF!&lt;&gt;"")</formula>
    </cfRule>
  </conditionalFormatting>
  <conditionalFormatting sqref="M970">
    <cfRule type="expression" dxfId="0" priority="4378">
      <formula>(#REF!&lt;&gt;"")*(#REF!&lt;&gt;"")</formula>
    </cfRule>
  </conditionalFormatting>
  <conditionalFormatting sqref="A980">
    <cfRule type="expression" dxfId="0" priority="4134">
      <formula>(#REF!&lt;&gt;"")*(#REF!&lt;&gt;"")</formula>
    </cfRule>
  </conditionalFormatting>
  <conditionalFormatting sqref="M980">
    <cfRule type="expression" dxfId="0" priority="4132">
      <formula>(#REF!&lt;&gt;"")*(#REF!&lt;&gt;"")</formula>
    </cfRule>
  </conditionalFormatting>
  <conditionalFormatting sqref="N980">
    <cfRule type="expression" dxfId="0" priority="4128">
      <formula>(#REF!&lt;&gt;"")*(#REF!&lt;&gt;"")</formula>
    </cfRule>
    <cfRule type="expression" dxfId="0" priority="4127">
      <formula>(#REF!&lt;&gt;"")*(#REF!&lt;&gt;"")</formula>
    </cfRule>
  </conditionalFormatting>
  <conditionalFormatting sqref="O980">
    <cfRule type="expression" dxfId="0" priority="4129">
      <formula>(#REF!&lt;&gt;"")*(#REF!&lt;&gt;"")</formula>
    </cfRule>
  </conditionalFormatting>
  <conditionalFormatting sqref="P980:Q980">
    <cfRule type="expression" dxfId="1" priority="4131">
      <formula>(#REF!&lt;&gt;"")*(#REF!&lt;&gt;"")</formula>
    </cfRule>
  </conditionalFormatting>
  <conditionalFormatting sqref="A982">
    <cfRule type="expression" dxfId="0" priority="4126">
      <formula>(#REF!&lt;&gt;"")*(#REF!&lt;&gt;"")</formula>
    </cfRule>
  </conditionalFormatting>
  <conditionalFormatting sqref="M982">
    <cfRule type="expression" dxfId="0" priority="4124">
      <formula>(#REF!&lt;&gt;"")*(#REF!&lt;&gt;"")</formula>
    </cfRule>
  </conditionalFormatting>
  <conditionalFormatting sqref="N982">
    <cfRule type="expression" dxfId="0" priority="4094">
      <formula>(#REF!&lt;&gt;"")*(#REF!&lt;&gt;"")</formula>
    </cfRule>
    <cfRule type="expression" dxfId="0" priority="4093">
      <formula>(#REF!&lt;&gt;"")*(#REF!&lt;&gt;"")</formula>
    </cfRule>
  </conditionalFormatting>
  <conditionalFormatting sqref="O982">
    <cfRule type="expression" dxfId="0" priority="4121">
      <formula>(#REF!&lt;&gt;"")*(#REF!&lt;&gt;"")</formula>
    </cfRule>
  </conditionalFormatting>
  <conditionalFormatting sqref="P982:Q982">
    <cfRule type="expression" dxfId="1" priority="4123">
      <formula>(#REF!&lt;&gt;"")*(#REF!&lt;&gt;"")</formula>
    </cfRule>
  </conditionalFormatting>
  <conditionalFormatting sqref="A984">
    <cfRule type="expression" dxfId="0" priority="3996">
      <formula>(#REF!&lt;&gt;"")*(#REF!&lt;&gt;"")</formula>
    </cfRule>
  </conditionalFormatting>
  <conditionalFormatting sqref="M984">
    <cfRule type="expression" dxfId="0" priority="3994">
      <formula>(#REF!&lt;&gt;"")*(#REF!&lt;&gt;"")</formula>
    </cfRule>
  </conditionalFormatting>
  <conditionalFormatting sqref="N984">
    <cfRule type="expression" dxfId="0" priority="3990">
      <formula>(#REF!&lt;&gt;"")*(#REF!&lt;&gt;"")</formula>
    </cfRule>
    <cfRule type="expression" dxfId="0" priority="3989">
      <formula>(#REF!&lt;&gt;"")*(#REF!&lt;&gt;"")</formula>
    </cfRule>
  </conditionalFormatting>
  <conditionalFormatting sqref="O984">
    <cfRule type="expression" dxfId="0" priority="3991">
      <formula>(#REF!&lt;&gt;"")*(#REF!&lt;&gt;"")</formula>
    </cfRule>
  </conditionalFormatting>
  <conditionalFormatting sqref="P984:Q984">
    <cfRule type="expression" dxfId="1" priority="3993">
      <formula>(#REF!&lt;&gt;"")*(#REF!&lt;&gt;"")</formula>
    </cfRule>
  </conditionalFormatting>
  <conditionalFormatting sqref="N985">
    <cfRule type="expression" dxfId="0" priority="3988">
      <formula>(#REF!&lt;&gt;"")*(#REF!&lt;&gt;"")</formula>
    </cfRule>
    <cfRule type="expression" dxfId="0" priority="3987">
      <formula>(#REF!&lt;&gt;"")*(#REF!&lt;&gt;"")</formula>
    </cfRule>
  </conditionalFormatting>
  <conditionalFormatting sqref="P985:Q985">
    <cfRule type="expression" dxfId="1" priority="3997">
      <formula>(#REF!&lt;&gt;"")*(#REF!&lt;&gt;"")</formula>
    </cfRule>
  </conditionalFormatting>
  <conditionalFormatting sqref="N986">
    <cfRule type="expression" dxfId="0" priority="4366">
      <formula>(#REF!&lt;&gt;"")*(#REF!&lt;&gt;"")</formula>
    </cfRule>
  </conditionalFormatting>
  <conditionalFormatting sqref="P986:Q986">
    <cfRule type="expression" dxfId="0" priority="4367">
      <formula>(#REF!&lt;&gt;"")*(#REF!&lt;&gt;"")</formula>
    </cfRule>
  </conditionalFormatting>
  <conditionalFormatting sqref="M989">
    <cfRule type="expression" dxfId="0" priority="4324">
      <formula>(#REF!&lt;&gt;"")*(#REF!&lt;&gt;"")</formula>
    </cfRule>
  </conditionalFormatting>
  <conditionalFormatting sqref="N989">
    <cfRule type="expression" dxfId="0" priority="4325">
      <formula>(#REF!&lt;&gt;"")*(#REF!&lt;&gt;"")</formula>
    </cfRule>
  </conditionalFormatting>
  <conditionalFormatting sqref="O989">
    <cfRule type="expression" dxfId="0" priority="4316">
      <formula>(#REF!&lt;&gt;"")*(#REF!&lt;&gt;"")</formula>
    </cfRule>
    <cfRule type="expression" dxfId="0" priority="4315">
      <formula>(#REF!&lt;&gt;"")*(#REF!&lt;&gt;"")</formula>
    </cfRule>
  </conditionalFormatting>
  <conditionalFormatting sqref="P989:Q989">
    <cfRule type="expression" dxfId="1" priority="4327">
      <formula>(#REF!&lt;&gt;"")*(#REF!&lt;&gt;"")</formula>
    </cfRule>
    <cfRule type="expression" dxfId="0" priority="4323">
      <formula>(#REF!&lt;&gt;"")*(#REF!&lt;&gt;"")</formula>
    </cfRule>
  </conditionalFormatting>
  <conditionalFormatting sqref="R989">
    <cfRule type="expression" dxfId="0" priority="4328">
      <formula>(#REF!&lt;&gt;"")*(#REF!&lt;&gt;"")</formula>
    </cfRule>
  </conditionalFormatting>
  <conditionalFormatting sqref="M990">
    <cfRule type="expression" dxfId="0" priority="4318">
      <formula>(#REF!&lt;&gt;"")*(#REF!&lt;&gt;"")</formula>
    </cfRule>
  </conditionalFormatting>
  <conditionalFormatting sqref="N990:O990">
    <cfRule type="expression" dxfId="0" priority="4319">
      <formula>(#REF!&lt;&gt;"")*(#REF!&lt;&gt;"")</formula>
    </cfRule>
  </conditionalFormatting>
  <conditionalFormatting sqref="P990:Q990">
    <cfRule type="expression" dxfId="1" priority="4321">
      <formula>(#REF!&lt;&gt;"")*(#REF!&lt;&gt;"")</formula>
    </cfRule>
    <cfRule type="expression" dxfId="0" priority="4317">
      <formula>(#REF!&lt;&gt;"")*(#REF!&lt;&gt;"")</formula>
    </cfRule>
  </conditionalFormatting>
  <conditionalFormatting sqref="R990">
    <cfRule type="expression" dxfId="0" priority="4322">
      <formula>(#REF!&lt;&gt;"")*(#REF!&lt;&gt;"")</formula>
    </cfRule>
  </conditionalFormatting>
  <conditionalFormatting sqref="C994">
    <cfRule type="expression" dxfId="0" priority="4358">
      <formula>(#REF!&lt;&gt;"")*(#REF!&lt;&gt;"")</formula>
    </cfRule>
  </conditionalFormatting>
  <conditionalFormatting sqref="O994">
    <cfRule type="expression" dxfId="0" priority="4355">
      <formula>(#REF!&lt;&gt;"")*(#REF!&lt;&gt;"")</formula>
    </cfRule>
  </conditionalFormatting>
  <conditionalFormatting sqref="P994">
    <cfRule type="expression" dxfId="0" priority="4356">
      <formula>(#REF!&lt;&gt;"")*(#REF!&lt;&gt;"")</formula>
    </cfRule>
  </conditionalFormatting>
  <conditionalFormatting sqref="C995">
    <cfRule type="expression" dxfId="0" priority="3969">
      <formula>(#REF!&lt;&gt;"")*(#REF!&lt;&gt;"")</formula>
    </cfRule>
  </conditionalFormatting>
  <conditionalFormatting sqref="G995">
    <cfRule type="expression" dxfId="0" priority="3970">
      <formula>(#REF!&lt;&gt;"")*(#REF!&lt;&gt;"")</formula>
    </cfRule>
  </conditionalFormatting>
  <conditionalFormatting sqref="N995">
    <cfRule type="expression" dxfId="0" priority="3973">
      <formula>(#REF!&lt;&gt;"")*(#REF!&lt;&gt;"")</formula>
    </cfRule>
  </conditionalFormatting>
  <conditionalFormatting sqref="O995">
    <cfRule type="expression" dxfId="0" priority="3967">
      <formula>(#REF!&lt;&gt;"")*(#REF!&lt;&gt;"")</formula>
    </cfRule>
  </conditionalFormatting>
  <conditionalFormatting sqref="P995:Q995">
    <cfRule type="expression" dxfId="1" priority="3975">
      <formula>(#REF!&lt;&gt;"")*(#REF!&lt;&gt;"")</formula>
    </cfRule>
  </conditionalFormatting>
  <conditionalFormatting sqref="P995">
    <cfRule type="expression" dxfId="0" priority="3968">
      <formula>(#REF!&lt;&gt;"")*(#REF!&lt;&gt;"")</formula>
    </cfRule>
  </conditionalFormatting>
  <conditionalFormatting sqref="Q995">
    <cfRule type="expression" dxfId="0" priority="3972">
      <formula>(#REF!&lt;&gt;"")*(#REF!&lt;&gt;"")</formula>
    </cfRule>
  </conditionalFormatting>
  <conditionalFormatting sqref="R995">
    <cfRule type="expression" dxfId="0" priority="3966">
      <formula>(#REF!&lt;&gt;"")*(#REF!&lt;&gt;"")</formula>
    </cfRule>
  </conditionalFormatting>
  <conditionalFormatting sqref="C996">
    <cfRule type="expression" dxfId="0" priority="4357">
      <formula>(#REF!&lt;&gt;"")*(#REF!&lt;&gt;"")</formula>
    </cfRule>
  </conditionalFormatting>
  <conditionalFormatting sqref="O996">
    <cfRule type="expression" dxfId="0" priority="4353">
      <formula>(#REF!&lt;&gt;"")*(#REF!&lt;&gt;"")</formula>
    </cfRule>
  </conditionalFormatting>
  <conditionalFormatting sqref="P996">
    <cfRule type="expression" dxfId="0" priority="4354">
      <formula>(#REF!&lt;&gt;"")*(#REF!&lt;&gt;"")</formula>
    </cfRule>
  </conditionalFormatting>
  <conditionalFormatting sqref="A997">
    <cfRule type="expression" dxfId="0" priority="3965">
      <formula>(#REF!&lt;&gt;"")*(#REF!&lt;&gt;"")</formula>
    </cfRule>
  </conditionalFormatting>
  <conditionalFormatting sqref="C997">
    <cfRule type="expression" dxfId="0" priority="3957">
      <formula>(#REF!&lt;&gt;"")*(#REF!&lt;&gt;"")</formula>
    </cfRule>
  </conditionalFormatting>
  <conditionalFormatting sqref="G997">
    <cfRule type="expression" dxfId="0" priority="3960">
      <formula>(#REF!&lt;&gt;"")*(#REF!&lt;&gt;"")</formula>
    </cfRule>
  </conditionalFormatting>
  <conditionalFormatting sqref="H997">
    <cfRule type="expression" dxfId="0" priority="3958">
      <formula>(#REF!&lt;&gt;"")*(#REF!&lt;&gt;"")</formula>
    </cfRule>
  </conditionalFormatting>
  <conditionalFormatting sqref="N997">
    <cfRule type="expression" dxfId="0" priority="3962">
      <formula>(#REF!&lt;&gt;"")*(#REF!&lt;&gt;"")</formula>
    </cfRule>
  </conditionalFormatting>
  <conditionalFormatting sqref="O997">
    <cfRule type="expression" dxfId="0" priority="3955">
      <formula>(#REF!&lt;&gt;"")*(#REF!&lt;&gt;"")</formula>
    </cfRule>
  </conditionalFormatting>
  <conditionalFormatting sqref="P997:Q997">
    <cfRule type="expression" dxfId="1" priority="3964">
      <formula>(#REF!&lt;&gt;"")*(#REF!&lt;&gt;"")</formula>
    </cfRule>
  </conditionalFormatting>
  <conditionalFormatting sqref="P997">
    <cfRule type="expression" dxfId="0" priority="3956">
      <formula>(#REF!&lt;&gt;"")*(#REF!&lt;&gt;"")</formula>
    </cfRule>
  </conditionalFormatting>
  <conditionalFormatting sqref="Q997">
    <cfRule type="expression" dxfId="0" priority="3961">
      <formula>(#REF!&lt;&gt;"")*(#REF!&lt;&gt;"")</formula>
    </cfRule>
  </conditionalFormatting>
  <conditionalFormatting sqref="R997">
    <cfRule type="expression" dxfId="0" priority="3954">
      <formula>(#REF!&lt;&gt;"")*(#REF!&lt;&gt;"")</formula>
    </cfRule>
  </conditionalFormatting>
  <conditionalFormatting sqref="H998">
    <cfRule type="expression" dxfId="0" priority="4362">
      <formula>(#REF!&lt;&gt;"")*(#REF!&lt;&gt;"")</formula>
    </cfRule>
  </conditionalFormatting>
  <conditionalFormatting sqref="C999">
    <cfRule type="expression" dxfId="0" priority="4359">
      <formula>(#REF!&lt;&gt;"")*(#REF!&lt;&gt;"")</formula>
    </cfRule>
  </conditionalFormatting>
  <conditionalFormatting sqref="H1000">
    <cfRule type="expression" dxfId="0" priority="3941">
      <formula>(#REF!&lt;&gt;"")*(#REF!&lt;&gt;"")</formula>
    </cfRule>
  </conditionalFormatting>
  <conditionalFormatting sqref="C1005">
    <cfRule type="expression" dxfId="0" priority="4350">
      <formula>(#REF!&lt;&gt;"")*(#REF!&lt;&gt;"")</formula>
    </cfRule>
  </conditionalFormatting>
  <conditionalFormatting sqref="M1005">
    <cfRule type="expression" dxfId="0" priority="4349">
      <formula>(#REF!&lt;&gt;"")*(#REF!&lt;&gt;"")</formula>
    </cfRule>
  </conditionalFormatting>
  <conditionalFormatting sqref="N1005">
    <cfRule type="expression" dxfId="0" priority="4348">
      <formula>(#REF!&lt;&gt;"")*(#REF!&lt;&gt;"")</formula>
    </cfRule>
  </conditionalFormatting>
  <conditionalFormatting sqref="P1008:Q1008">
    <cfRule type="expression" dxfId="1" priority="4312">
      <formula>(#REF!&lt;&gt;"")*(#REF!&lt;&gt;"")</formula>
    </cfRule>
  </conditionalFormatting>
  <conditionalFormatting sqref="M1009">
    <cfRule type="expression" dxfId="0" priority="3981">
      <formula>(#REF!&lt;&gt;"")*(#REF!&lt;&gt;"")</formula>
    </cfRule>
  </conditionalFormatting>
  <conditionalFormatting sqref="P1009:Q1009">
    <cfRule type="expression" dxfId="1" priority="3982">
      <formula>(#REF!&lt;&gt;"")*(#REF!&lt;&gt;"")</formula>
    </cfRule>
  </conditionalFormatting>
  <conditionalFormatting sqref="N1011">
    <cfRule type="expression" dxfId="0" priority="3978">
      <formula>(#REF!&lt;&gt;"")*(#REF!&lt;&gt;"")</formula>
    </cfRule>
    <cfRule type="expression" dxfId="0" priority="3977">
      <formula>(#REF!&lt;&gt;"")*(#REF!&lt;&gt;"")</formula>
    </cfRule>
  </conditionalFormatting>
  <conditionalFormatting sqref="P1011:Q1011">
    <cfRule type="expression" dxfId="1" priority="3979">
      <formula>(#REF!&lt;&gt;"")*(#REF!&lt;&gt;"")</formula>
    </cfRule>
  </conditionalFormatting>
  <conditionalFormatting sqref="H1012">
    <cfRule type="expression" dxfId="0" priority="3636">
      <formula>(#REF!&lt;&gt;"")*(#REF!&lt;&gt;"")</formula>
    </cfRule>
  </conditionalFormatting>
  <conditionalFormatting sqref="N1012">
    <cfRule type="expression" dxfId="0" priority="3633">
      <formula>(#REF!&lt;&gt;"")*(#REF!&lt;&gt;"")</formula>
    </cfRule>
    <cfRule type="expression" dxfId="0" priority="3632">
      <formula>(#REF!&lt;&gt;"")*(#REF!&lt;&gt;"")</formula>
    </cfRule>
  </conditionalFormatting>
  <conditionalFormatting sqref="P1012:Q1012">
    <cfRule type="expression" dxfId="1" priority="3634">
      <formula>(#REF!&lt;&gt;"")*(#REF!&lt;&gt;"")</formula>
    </cfRule>
  </conditionalFormatting>
  <conditionalFormatting sqref="H1013">
    <cfRule type="expression" dxfId="0" priority="3615">
      <formula>(#REF!&lt;&gt;"")*(#REF!&lt;&gt;"")</formula>
    </cfRule>
  </conditionalFormatting>
  <conditionalFormatting sqref="N1013">
    <cfRule type="expression" dxfId="0" priority="3612">
      <formula>(#REF!&lt;&gt;"")*(#REF!&lt;&gt;"")</formula>
    </cfRule>
    <cfRule type="expression" dxfId="0" priority="3611">
      <formula>(#REF!&lt;&gt;"")*(#REF!&lt;&gt;"")</formula>
    </cfRule>
  </conditionalFormatting>
  <conditionalFormatting sqref="P1013:Q1013">
    <cfRule type="expression" dxfId="1" priority="3613">
      <formula>(#REF!&lt;&gt;"")*(#REF!&lt;&gt;"")</formula>
    </cfRule>
  </conditionalFormatting>
  <conditionalFormatting sqref="H1014">
    <cfRule type="expression" dxfId="0" priority="3608">
      <formula>(#REF!&lt;&gt;"")*(#REF!&lt;&gt;"")</formula>
    </cfRule>
  </conditionalFormatting>
  <conditionalFormatting sqref="N1014">
    <cfRule type="expression" dxfId="0" priority="3605">
      <formula>(#REF!&lt;&gt;"")*(#REF!&lt;&gt;"")</formula>
    </cfRule>
    <cfRule type="expression" dxfId="0" priority="3604">
      <formula>(#REF!&lt;&gt;"")*(#REF!&lt;&gt;"")</formula>
    </cfRule>
  </conditionalFormatting>
  <conditionalFormatting sqref="P1014:Q1014">
    <cfRule type="expression" dxfId="1" priority="3606">
      <formula>(#REF!&lt;&gt;"")*(#REF!&lt;&gt;"")</formula>
    </cfRule>
  </conditionalFormatting>
  <conditionalFormatting sqref="T1014">
    <cfRule type="expression" dxfId="0" priority="3609">
      <formula>(#REF!&lt;&gt;"")*(#REF!&lt;&gt;"")</formula>
    </cfRule>
  </conditionalFormatting>
  <conditionalFormatting sqref="A1015">
    <cfRule type="expression" dxfId="0" priority="4351">
      <formula>(#REF!&lt;&gt;"")*(#REF!&lt;&gt;"")</formula>
    </cfRule>
  </conditionalFormatting>
  <conditionalFormatting sqref="Q1015">
    <cfRule type="expression" dxfId="0" priority="4347">
      <formula>(#REF!&lt;&gt;"")*(#REF!&lt;&gt;"")</formula>
    </cfRule>
  </conditionalFormatting>
  <conditionalFormatting sqref="R1018">
    <cfRule type="expression" dxfId="0" priority="4346">
      <formula>(#REF!&lt;&gt;"")*(#REF!&lt;&gt;"")</formula>
    </cfRule>
  </conditionalFormatting>
  <conditionalFormatting sqref="R1019">
    <cfRule type="expression" dxfId="0" priority="4341">
      <formula>(#REF!&lt;&gt;"")*(#REF!&lt;&gt;"")</formula>
    </cfRule>
  </conditionalFormatting>
  <conditionalFormatting sqref="M1020">
    <cfRule type="expression" dxfId="0" priority="4309">
      <formula>($A1020&lt;&gt;"")*(#REF!&lt;&gt;"")</formula>
    </cfRule>
  </conditionalFormatting>
  <conditionalFormatting sqref="R1020">
    <cfRule type="expression" dxfId="0" priority="4310">
      <formula>($A1020&lt;&gt;"")*(#REF!&lt;&gt;"")</formula>
    </cfRule>
  </conditionalFormatting>
  <conditionalFormatting sqref="M1021">
    <cfRule type="expression" dxfId="0" priority="4342">
      <formula>($A1021&lt;&gt;"")*(#REF!&lt;&gt;"")</formula>
    </cfRule>
  </conditionalFormatting>
  <conditionalFormatting sqref="M1022">
    <cfRule type="expression" dxfId="0" priority="4334">
      <formula>($A1022&lt;&gt;"")*(#REF!&lt;&gt;"")</formula>
    </cfRule>
  </conditionalFormatting>
  <conditionalFormatting sqref="M1023">
    <cfRule type="expression" dxfId="0" priority="4333">
      <formula>($A1023&lt;&gt;"")*(#REF!&lt;&gt;"")</formula>
    </cfRule>
  </conditionalFormatting>
  <conditionalFormatting sqref="M1024">
    <cfRule type="expression" dxfId="0" priority="4336">
      <formula>($A1024&lt;&gt;"")*(#REF!&lt;&gt;"")</formula>
    </cfRule>
  </conditionalFormatting>
  <conditionalFormatting sqref="M1025">
    <cfRule type="expression" dxfId="0" priority="4332">
      <formula>($A1025&lt;&gt;"")*(#REF!&lt;&gt;"")</formula>
    </cfRule>
  </conditionalFormatting>
  <conditionalFormatting sqref="P1029:R1029">
    <cfRule type="expression" dxfId="0" priority="4337">
      <formula>($A1029&lt;&gt;"")*(#REF!&lt;&gt;"")</formula>
    </cfRule>
  </conditionalFormatting>
  <conditionalFormatting sqref="Q1030">
    <cfRule type="expression" dxfId="0" priority="4116">
      <formula>($A1030&lt;&gt;"")*(#REF!&lt;&gt;"")</formula>
    </cfRule>
  </conditionalFormatting>
  <conditionalFormatting sqref="M1031">
    <cfRule type="expression" dxfId="0" priority="4339">
      <formula>($A1031&lt;&gt;"")*(#REF!&lt;&gt;"")</formula>
    </cfRule>
  </conditionalFormatting>
  <conditionalFormatting sqref="P1031:R1031">
    <cfRule type="expression" dxfId="0" priority="4338">
      <formula>($A1031&lt;&gt;"")*(#REF!&lt;&gt;"")</formula>
    </cfRule>
  </conditionalFormatting>
  <conditionalFormatting sqref="P1033:Q1033">
    <cfRule type="expression" dxfId="1" priority="3456">
      <formula>($A1033&lt;&gt;"")*(#REF!&lt;&gt;"")</formula>
    </cfRule>
  </conditionalFormatting>
  <conditionalFormatting sqref="R1033">
    <cfRule type="expression" dxfId="0" priority="3454">
      <formula>($A1033&lt;&gt;"")*(#REF!&lt;&gt;"")</formula>
    </cfRule>
  </conditionalFormatting>
  <conditionalFormatting sqref="P1034:Q1034">
    <cfRule type="expression" dxfId="1" priority="4119">
      <formula>($A1034&lt;&gt;"")*(#REF!&lt;&gt;"")</formula>
    </cfRule>
  </conditionalFormatting>
  <conditionalFormatting sqref="R1034">
    <cfRule type="expression" dxfId="0" priority="4117">
      <formula>($A1034&lt;&gt;"")*(#REF!&lt;&gt;"")</formula>
    </cfRule>
  </conditionalFormatting>
  <conditionalFormatting sqref="J1083">
    <cfRule type="expression" dxfId="1" priority="4279">
      <formula>(#REF!&lt;&gt;"")*(J$1&lt;&gt;"")</formula>
    </cfRule>
  </conditionalFormatting>
  <conditionalFormatting sqref="J1085">
    <cfRule type="expression" dxfId="1" priority="4294">
      <formula>(#REF!&lt;&gt;"")*(J$1&lt;&gt;"")</formula>
    </cfRule>
  </conditionalFormatting>
  <conditionalFormatting sqref="J1086">
    <cfRule type="expression" dxfId="1" priority="4293">
      <formula>(#REF!&lt;&gt;"")*(J$1&lt;&gt;"")</formula>
    </cfRule>
  </conditionalFormatting>
  <conditionalFormatting sqref="J1087">
    <cfRule type="expression" dxfId="1" priority="4292">
      <formula>(#REF!&lt;&gt;"")*(J$1&lt;&gt;"")</formula>
    </cfRule>
  </conditionalFormatting>
  <conditionalFormatting sqref="E1103:G1103">
    <cfRule type="expression" dxfId="0" priority="4289">
      <formula>(#REF!&lt;&gt;"")*(E$1&lt;&gt;"")</formula>
    </cfRule>
  </conditionalFormatting>
  <conditionalFormatting sqref="K1104">
    <cfRule type="expression" dxfId="0" priority="4283">
      <formula>(#REF!&lt;&gt;"")*(#REF!&lt;&gt;"")</formula>
    </cfRule>
  </conditionalFormatting>
  <conditionalFormatting sqref="M1104">
    <cfRule type="expression" dxfId="0" priority="4284">
      <formula>(#REF!&lt;&gt;"")*(#REF!&lt;&gt;"")</formula>
    </cfRule>
  </conditionalFormatting>
  <conditionalFormatting sqref="T1104:U1104">
    <cfRule type="expression" dxfId="0" priority="4286">
      <formula>(#REF!&lt;&gt;"")*(#REF!&lt;&gt;"")</formula>
    </cfRule>
  </conditionalFormatting>
  <conditionalFormatting sqref="O1122:Q1122">
    <cfRule type="expression" dxfId="1" priority="4282">
      <formula>(#REF!&lt;&gt;"")*(O$1&lt;&gt;"")</formula>
    </cfRule>
  </conditionalFormatting>
  <conditionalFormatting sqref="O1123">
    <cfRule type="expression" dxfId="1" priority="4280">
      <formula>(#REF!&lt;&gt;"")*(O$1&lt;&gt;"")</formula>
    </cfRule>
  </conditionalFormatting>
  <conditionalFormatting sqref="Q1133">
    <cfRule type="expression" dxfId="0" priority="4234">
      <formula>(#REF!&lt;&gt;"")*(#REF!&lt;&gt;"")</formula>
    </cfRule>
  </conditionalFormatting>
  <conditionalFormatting sqref="P1134:Q1134">
    <cfRule type="expression" dxfId="1" priority="4114">
      <formula>(#REF!&lt;&gt;"")*(#REF!&lt;&gt;"")</formula>
    </cfRule>
  </conditionalFormatting>
  <conditionalFormatting sqref="Q1134">
    <cfRule type="expression" dxfId="0" priority="4112">
      <formula>(#REF!&lt;&gt;"")*(#REF!&lt;&gt;"")</formula>
    </cfRule>
  </conditionalFormatting>
  <conditionalFormatting sqref="Q1135">
    <cfRule type="expression" dxfId="0" priority="4268">
      <formula>(#REF!&lt;&gt;"")*(#REF!&lt;&gt;"")</formula>
    </cfRule>
  </conditionalFormatting>
  <conditionalFormatting sqref="M1136">
    <cfRule type="expression" dxfId="0" priority="4104">
      <formula>(#REF!&lt;&gt;"")*(#REF!&lt;&gt;"")</formula>
    </cfRule>
  </conditionalFormatting>
  <conditionalFormatting sqref="N1136">
    <cfRule type="expression" dxfId="0" priority="4102">
      <formula>(#REF!&lt;&gt;"")*(#REF!&lt;&gt;"")</formula>
    </cfRule>
    <cfRule type="expression" dxfId="0" priority="4103">
      <formula>(#REF!&lt;&gt;"")*(#REF!&lt;&gt;"")</formula>
    </cfRule>
  </conditionalFormatting>
  <conditionalFormatting sqref="P1136:Q1136">
    <cfRule type="expression" dxfId="1" priority="4106">
      <formula>(#REF!&lt;&gt;"")*(#REF!&lt;&gt;"")</formula>
    </cfRule>
  </conditionalFormatting>
  <conditionalFormatting sqref="C1138">
    <cfRule type="expression" dxfId="0" priority="4108">
      <formula>(#REF!&lt;&gt;"")*(#REF!&lt;&gt;"")</formula>
    </cfRule>
  </conditionalFormatting>
  <conditionalFormatting sqref="P1138:Q1138">
    <cfRule type="expression" dxfId="1" priority="4110">
      <formula>(#REF!&lt;&gt;"")*(#REF!&lt;&gt;"")</formula>
    </cfRule>
  </conditionalFormatting>
  <conditionalFormatting sqref="N1141">
    <cfRule type="expression" dxfId="0" priority="4096">
      <formula>(#REF!&lt;&gt;"")*(#REF!&lt;&gt;"")</formula>
    </cfRule>
    <cfRule type="expression" dxfId="0" priority="4095">
      <formula>(#REF!&lt;&gt;"")*(#REF!&lt;&gt;"")</formula>
    </cfRule>
  </conditionalFormatting>
  <conditionalFormatting sqref="R1143">
    <cfRule type="expression" dxfId="0" priority="3999">
      <formula>(#REF!&lt;&gt;"")*(#REF!&lt;&gt;"")</formula>
    </cfRule>
  </conditionalFormatting>
  <conditionalFormatting sqref="A1144">
    <cfRule type="expression" dxfId="0" priority="3940">
      <formula>(#REF!&lt;&gt;"")*(#REF!&lt;&gt;"")</formula>
    </cfRule>
    <cfRule type="expression" dxfId="0" priority="3933">
      <formula>(#REF!&lt;&gt;"")*(#REF!&lt;&gt;"")</formula>
    </cfRule>
  </conditionalFormatting>
  <conditionalFormatting sqref="N1144">
    <cfRule type="expression" dxfId="0" priority="3931">
      <formula>(#REF!&lt;&gt;"")*(#REF!&lt;&gt;"")</formula>
    </cfRule>
    <cfRule type="expression" dxfId="0" priority="3932">
      <formula>(#REF!&lt;&gt;"")*(#REF!&lt;&gt;"")</formula>
    </cfRule>
  </conditionalFormatting>
  <conditionalFormatting sqref="P1144:Q1144">
    <cfRule type="expression" dxfId="1" priority="3939">
      <formula>(#REF!&lt;&gt;"")*(#REF!&lt;&gt;"")</formula>
    </cfRule>
  </conditionalFormatting>
  <conditionalFormatting sqref="Q1144">
    <cfRule type="expression" dxfId="0" priority="3935">
      <formula>(#REF!&lt;&gt;"")*(#REF!&lt;&gt;"")</formula>
    </cfRule>
  </conditionalFormatting>
  <conditionalFormatting sqref="R1144">
    <cfRule type="expression" dxfId="0" priority="3930">
      <formula>(#REF!&lt;&gt;"")*(#REF!&lt;&gt;"")</formula>
    </cfRule>
  </conditionalFormatting>
  <conditionalFormatting sqref="N1146:R1146">
    <cfRule type="expression" dxfId="0" priority="4099">
      <formula>(#REF!&lt;&gt;"")*(#REF!&lt;&gt;"")</formula>
    </cfRule>
  </conditionalFormatting>
  <conditionalFormatting sqref="P1146:Q1146">
    <cfRule type="expression" dxfId="1" priority="4100">
      <formula>(#REF!&lt;&gt;"")*(#REF!&lt;&gt;"")</formula>
    </cfRule>
  </conditionalFormatting>
  <conditionalFormatting sqref="T1146">
    <cfRule type="expression" dxfId="0" priority="4098">
      <formula>(#REF!&lt;&gt;"")*(#REF!&lt;&gt;"")</formula>
    </cfRule>
    <cfRule type="expression" dxfId="0" priority="4097">
      <formula>(#REF!&lt;&gt;"")*(#REF!&lt;&gt;"")</formula>
    </cfRule>
  </conditionalFormatting>
  <conditionalFormatting sqref="M1150">
    <cfRule type="expression" dxfId="0" priority="4253">
      <formula>(#REF!&lt;&gt;"")*(#REF!&lt;&gt;"")</formula>
    </cfRule>
  </conditionalFormatting>
  <conditionalFormatting sqref="P1150:Q1150">
    <cfRule type="expression" dxfId="0" priority="4252">
      <formula>(#REF!&lt;&gt;"")*(#REF!&lt;&gt;"")</formula>
    </cfRule>
  </conditionalFormatting>
  <conditionalFormatting sqref="Q1150">
    <cfRule type="expression" dxfId="0" priority="4251">
      <formula>(#REF!&lt;&gt;"")*(#REF!&lt;&gt;"")</formula>
    </cfRule>
  </conditionalFormatting>
  <conditionalFormatting sqref="M1156">
    <cfRule type="expression" dxfId="0" priority="4259">
      <formula>(#REF!&lt;&gt;"")*(#REF!&lt;&gt;"")</formula>
    </cfRule>
  </conditionalFormatting>
  <conditionalFormatting sqref="Q1157">
    <cfRule type="expression" dxfId="0" priority="4257">
      <formula>(#REF!&lt;&gt;"")*(#REF!&lt;&gt;"")</formula>
    </cfRule>
  </conditionalFormatting>
  <conditionalFormatting sqref="Q1159">
    <cfRule type="expression" dxfId="0" priority="4262">
      <formula>(#REF!&lt;&gt;"")*(#REF!&lt;&gt;"")</formula>
    </cfRule>
  </conditionalFormatting>
  <conditionalFormatting sqref="J1161">
    <cfRule type="expression" dxfId="1" priority="4233">
      <formula>(#REF!&lt;&gt;"")*(#REF!&lt;&gt;"")</formula>
    </cfRule>
  </conditionalFormatting>
  <conditionalFormatting sqref="M1161">
    <cfRule type="expression" dxfId="0" priority="4229">
      <formula>(#REF!&lt;&gt;"")*(#REF!&lt;&gt;"")</formula>
    </cfRule>
  </conditionalFormatting>
  <conditionalFormatting sqref="O1161">
    <cfRule type="expression" dxfId="0" priority="4232">
      <formula>(#REF!&lt;&gt;"")*(#REF!&lt;&gt;"")</formula>
    </cfRule>
  </conditionalFormatting>
  <conditionalFormatting sqref="Q1161">
    <cfRule type="expression" dxfId="0" priority="4231">
      <formula>(#REF!&lt;&gt;"")*(#REF!&lt;&gt;"")</formula>
    </cfRule>
    <cfRule type="expression" dxfId="0" priority="4230">
      <formula>(#REF!&lt;&gt;"")*(#REF!&lt;&gt;"")</formula>
    </cfRule>
  </conditionalFormatting>
  <conditionalFormatting sqref="J1165">
    <cfRule type="expression" dxfId="1" priority="4227">
      <formula>(#REF!&lt;&gt;"")*(#REF!&lt;&gt;"")</formula>
    </cfRule>
  </conditionalFormatting>
  <conditionalFormatting sqref="M1165">
    <cfRule type="expression" dxfId="0" priority="4228">
      <formula>(#REF!&lt;&gt;"")*(#REF!&lt;&gt;"")</formula>
    </cfRule>
  </conditionalFormatting>
  <conditionalFormatting sqref="Q1165">
    <cfRule type="expression" dxfId="0" priority="4226">
      <formula>(#REF!&lt;&gt;"")*(#REF!&lt;&gt;"")</formula>
    </cfRule>
    <cfRule type="expression" dxfId="0" priority="4225">
      <formula>(#REF!&lt;&gt;"")*(#REF!&lt;&gt;"")</formula>
    </cfRule>
    <cfRule type="expression" dxfId="1" priority="4224">
      <formula>(#REF!&lt;&gt;"")*(#REF!&lt;&gt;"")</formula>
    </cfRule>
  </conditionalFormatting>
  <conditionalFormatting sqref="J1166">
    <cfRule type="expression" dxfId="1" priority="4222">
      <formula>(#REF!&lt;&gt;"")*(#REF!&lt;&gt;"")</formula>
    </cfRule>
  </conditionalFormatting>
  <conditionalFormatting sqref="M1166">
    <cfRule type="expression" dxfId="0" priority="4223">
      <formula>(#REF!&lt;&gt;"")*(#REF!&lt;&gt;"")</formula>
    </cfRule>
  </conditionalFormatting>
  <conditionalFormatting sqref="Q1166">
    <cfRule type="expression" dxfId="0" priority="4221">
      <formula>(#REF!&lt;&gt;"")*(#REF!&lt;&gt;"")</formula>
    </cfRule>
    <cfRule type="expression" dxfId="0" priority="4220">
      <formula>(#REF!&lt;&gt;"")*(#REF!&lt;&gt;"")</formula>
    </cfRule>
    <cfRule type="expression" dxfId="1" priority="4219">
      <formula>(#REF!&lt;&gt;"")*(#REF!&lt;&gt;"")</formula>
    </cfRule>
  </conditionalFormatting>
  <conditionalFormatting sqref="Q1167">
    <cfRule type="expression" dxfId="0" priority="4263">
      <formula>(#REF!&lt;&gt;"")*(#REF!&lt;&gt;"")</formula>
    </cfRule>
    <cfRule type="expression" dxfId="0" priority="4261">
      <formula>(#REF!&lt;&gt;"")*(#REF!&lt;&gt;"")</formula>
    </cfRule>
    <cfRule type="expression" dxfId="1" priority="4254">
      <formula>(#REF!&lt;&gt;"")*(#REF!&lt;&gt;"")</formula>
    </cfRule>
  </conditionalFormatting>
  <conditionalFormatting sqref="Q1168">
    <cfRule type="expression" dxfId="1" priority="4276">
      <formula>(#REF!&lt;&gt;"")*(#REF!&lt;&gt;"")</formula>
    </cfRule>
  </conditionalFormatting>
  <conditionalFormatting sqref="R1168">
    <cfRule type="expression" dxfId="0" priority="4255">
      <formula>(#REF!&lt;&gt;"")*(#REF!&lt;&gt;"")</formula>
    </cfRule>
  </conditionalFormatting>
  <conditionalFormatting sqref="Q1169">
    <cfRule type="expression" dxfId="0" priority="4247">
      <formula>($A1169&lt;&gt;"")*(#REF!&lt;&gt;"")</formula>
    </cfRule>
  </conditionalFormatting>
  <conditionalFormatting sqref="A1171">
    <cfRule type="expression" dxfId="0" priority="4246">
      <formula>($A1171&lt;&gt;"")*(#REF!&lt;&gt;"")</formula>
    </cfRule>
  </conditionalFormatting>
  <conditionalFormatting sqref="Q1171:R1171">
    <cfRule type="expression" dxfId="0" priority="4243">
      <formula>(#REF!&lt;&gt;"")*(#REF!&lt;&gt;"")</formula>
    </cfRule>
  </conditionalFormatting>
  <conditionalFormatting sqref="Q1171">
    <cfRule type="expression" dxfId="0" priority="4242">
      <formula>(#REF!&lt;&gt;"")*(#REF!&lt;&gt;"")</formula>
    </cfRule>
    <cfRule type="expression" dxfId="0" priority="4244">
      <formula>(#REF!&lt;&gt;"")*(#REF!&lt;&gt;"")</formula>
    </cfRule>
    <cfRule type="expression" dxfId="1" priority="4245">
      <formula>(#REF!&lt;&gt;"")*(#REF!&lt;&gt;"")</formula>
    </cfRule>
  </conditionalFormatting>
  <conditionalFormatting sqref="A1173">
    <cfRule type="expression" dxfId="0" priority="4241">
      <formula>($A1173&lt;&gt;"")*(#REF!&lt;&gt;"")</formula>
    </cfRule>
  </conditionalFormatting>
  <conditionalFormatting sqref="P1174">
    <cfRule type="expression" dxfId="0" priority="4238">
      <formula>($A1174&lt;&gt;"")*(#REF!&lt;&gt;"")</formula>
    </cfRule>
    <cfRule type="expression" dxfId="0" priority="4236">
      <formula>($A1174&lt;&gt;"")*(#REF!&lt;&gt;"")</formula>
    </cfRule>
  </conditionalFormatting>
  <conditionalFormatting sqref="P1175">
    <cfRule type="expression" dxfId="0" priority="4237">
      <formula>($A1175&lt;&gt;"")*(#REF!&lt;&gt;"")</formula>
    </cfRule>
    <cfRule type="expression" dxfId="0" priority="4235">
      <formula>($A1175&lt;&gt;"")*(#REF!&lt;&gt;"")</formula>
    </cfRule>
  </conditionalFormatting>
  <conditionalFormatting sqref="M1180">
    <cfRule type="expression" dxfId="0" priority="4195">
      <formula>(#REF!&lt;&gt;"")*(#REF!&lt;&gt;"")</formula>
    </cfRule>
  </conditionalFormatting>
  <conditionalFormatting sqref="M1181">
    <cfRule type="expression" dxfId="0" priority="4198">
      <formula>(#REF!&lt;&gt;"")*(#REF!&lt;&gt;"")</formula>
    </cfRule>
  </conditionalFormatting>
  <conditionalFormatting sqref="P1231:Q1231">
    <cfRule type="expression" dxfId="1" priority="4189">
      <formula>(#REF!&lt;&gt;"")*(#REF!&lt;&gt;"")</formula>
    </cfRule>
  </conditionalFormatting>
  <conditionalFormatting sqref="P1257:Q1257">
    <cfRule type="expression" dxfId="1" priority="4184">
      <formula>(#REF!&lt;&gt;"")*(#REF!&lt;&gt;"")</formula>
    </cfRule>
  </conditionalFormatting>
  <conditionalFormatting sqref="H1265">
    <cfRule type="expression" dxfId="0" priority="4183">
      <formula>(#REF!&lt;&gt;"")*(#REF!&lt;&gt;"")</formula>
    </cfRule>
  </conditionalFormatting>
  <conditionalFormatting sqref="A1292">
    <cfRule type="expression" dxfId="0" priority="4175">
      <formula>(#REF!&lt;&gt;"")*(#REF!&lt;&gt;"")</formula>
    </cfRule>
  </conditionalFormatting>
  <conditionalFormatting sqref="Q1292">
    <cfRule type="expression" dxfId="0" priority="4174">
      <formula>(#REF!&lt;&gt;"")*(#REF!&lt;&gt;"")</formula>
    </cfRule>
  </conditionalFormatting>
  <conditionalFormatting sqref="H1293">
    <cfRule type="expression" dxfId="0" priority="4148">
      <formula>(#REF!&lt;&gt;"")*(#REF!&lt;&gt;"")</formula>
    </cfRule>
  </conditionalFormatting>
  <conditionalFormatting sqref="M1293">
    <cfRule type="expression" dxfId="0" priority="4149">
      <formula>(#REF!&lt;&gt;"")*(#REF!&lt;&gt;"")</formula>
    </cfRule>
  </conditionalFormatting>
  <conditionalFormatting sqref="P1293:Q1293">
    <cfRule type="expression" dxfId="1" priority="4150">
      <formula>(#REF!&lt;&gt;"")*(#REF!&lt;&gt;"")</formula>
    </cfRule>
  </conditionalFormatting>
  <conditionalFormatting sqref="M1297">
    <cfRule type="expression" dxfId="0" priority="4181">
      <formula>(#REF!&lt;&gt;"")*(#REF!&lt;&gt;"")</formula>
    </cfRule>
  </conditionalFormatting>
  <conditionalFormatting sqref="P1300">
    <cfRule type="expression" dxfId="0" priority="4165">
      <formula>(#REF!&lt;&gt;"")*(#REF!&lt;&gt;"")</formula>
    </cfRule>
  </conditionalFormatting>
  <conditionalFormatting sqref="M1302">
    <cfRule type="expression" dxfId="0" priority="4173">
      <formula>(#REF!&lt;&gt;"")*(#REF!&lt;&gt;"")</formula>
    </cfRule>
  </conditionalFormatting>
  <conditionalFormatting sqref="Q1302">
    <cfRule type="expression" dxfId="0" priority="4176">
      <formula>(#REF!&lt;&gt;"")*(#REF!&lt;&gt;"")</formula>
    </cfRule>
  </conditionalFormatting>
  <conditionalFormatting sqref="T1302">
    <cfRule type="expression" dxfId="0" priority="4172">
      <formula>(#REF!&lt;&gt;"")*(#REF!&lt;&gt;"")</formula>
    </cfRule>
  </conditionalFormatting>
  <conditionalFormatting sqref="M1303">
    <cfRule type="expression" dxfId="0" priority="4167">
      <formula>(#REF!&lt;&gt;"")*(#REF!&lt;&gt;"")</formula>
    </cfRule>
  </conditionalFormatting>
  <conditionalFormatting sqref="P1303:Q1303">
    <cfRule type="expression" dxfId="0" priority="4166">
      <formula>(#REF!&lt;&gt;"")*(#REF!&lt;&gt;"")</formula>
    </cfRule>
  </conditionalFormatting>
  <conditionalFormatting sqref="M1304">
    <cfRule type="expression" dxfId="0" priority="4168">
      <formula>(#REF!&lt;&gt;"")*(#REF!&lt;&gt;"")</formula>
    </cfRule>
  </conditionalFormatting>
  <conditionalFormatting sqref="Q1304">
    <cfRule type="expression" dxfId="0" priority="4171">
      <formula>(#REF!&lt;&gt;"")*(#REF!&lt;&gt;"")</formula>
    </cfRule>
  </conditionalFormatting>
  <conditionalFormatting sqref="T1304">
    <cfRule type="expression" dxfId="0" priority="4170">
      <formula>(#REF!&lt;&gt;"")*(#REF!&lt;&gt;"")</formula>
    </cfRule>
  </conditionalFormatting>
  <conditionalFormatting sqref="Q1306">
    <cfRule type="expression" dxfId="0" priority="4169">
      <formula>(#REF!&lt;&gt;"")*(#REF!&lt;&gt;"")</formula>
    </cfRule>
  </conditionalFormatting>
  <conditionalFormatting sqref="Q1308">
    <cfRule type="expression" dxfId="0" priority="4164">
      <formula>(#REF!&lt;&gt;"")*(#REF!&lt;&gt;"")</formula>
    </cfRule>
    <cfRule type="expression" dxfId="0" priority="4163">
      <formula>(#REF!&lt;&gt;"")*(#REF!&lt;&gt;"")</formula>
    </cfRule>
  </conditionalFormatting>
  <conditionalFormatting sqref="J1309">
    <cfRule type="expression" dxfId="1" priority="4146">
      <formula>(#REF!&lt;&gt;"")*(#REF!&lt;&gt;"")</formula>
    </cfRule>
  </conditionalFormatting>
  <conditionalFormatting sqref="M1309">
    <cfRule type="expression" dxfId="0" priority="4147">
      <formula>(#REF!&lt;&gt;"")*(#REF!&lt;&gt;"")</formula>
    </cfRule>
  </conditionalFormatting>
  <conditionalFormatting sqref="Q1309">
    <cfRule type="expression" dxfId="0" priority="4145">
      <formula>(#REF!&lt;&gt;"")*(#REF!&lt;&gt;"")</formula>
    </cfRule>
    <cfRule type="expression" dxfId="0" priority="4144">
      <formula>(#REF!&lt;&gt;"")*(#REF!&lt;&gt;"")</formula>
    </cfRule>
    <cfRule type="expression" dxfId="1" priority="4143">
      <formula>(#REF!&lt;&gt;"")*(#REF!&lt;&gt;"")</formula>
    </cfRule>
  </conditionalFormatting>
  <conditionalFormatting sqref="M1311">
    <cfRule type="expression" dxfId="0" priority="4140">
      <formula>(#REF!&lt;&gt;"")*(#REF!&lt;&gt;"")</formula>
    </cfRule>
  </conditionalFormatting>
  <conditionalFormatting sqref="Q1311">
    <cfRule type="expression" dxfId="0" priority="4141">
      <formula>(#REF!&lt;&gt;"")*(#REF!&lt;&gt;"")</formula>
    </cfRule>
    <cfRule type="expression" dxfId="1" priority="4142">
      <formula>(#REF!&lt;&gt;"")*(#REF!&lt;&gt;"")</formula>
    </cfRule>
    <cfRule type="expression" dxfId="0" priority="4138">
      <formula>(#REF!&lt;&gt;"")*(#REF!&lt;&gt;"")</formula>
    </cfRule>
    <cfRule type="expression" dxfId="1" priority="4139">
      <formula>(#REF!&lt;&gt;"")*(#REF!&lt;&gt;"")</formula>
    </cfRule>
  </conditionalFormatting>
  <conditionalFormatting sqref="R1311">
    <cfRule type="expression" dxfId="0" priority="4137">
      <formula>(#REF!&lt;&gt;"")*(#REF!&lt;&gt;"")</formula>
    </cfRule>
  </conditionalFormatting>
  <conditionalFormatting sqref="M1312">
    <cfRule type="expression" dxfId="0" priority="4064">
      <formula>(#REF!&lt;&gt;"")*(#REF!&lt;&gt;"")</formula>
    </cfRule>
  </conditionalFormatting>
  <conditionalFormatting sqref="Q1312">
    <cfRule type="expression" dxfId="0" priority="4065">
      <formula>(#REF!&lt;&gt;"")*(#REF!&lt;&gt;"")</formula>
    </cfRule>
    <cfRule type="expression" dxfId="1" priority="4066">
      <formula>(#REF!&lt;&gt;"")*(#REF!&lt;&gt;"")</formula>
    </cfRule>
    <cfRule type="expression" dxfId="0" priority="4062">
      <formula>(#REF!&lt;&gt;"")*(#REF!&lt;&gt;"")</formula>
    </cfRule>
    <cfRule type="expression" dxfId="1" priority="4063">
      <formula>(#REF!&lt;&gt;"")*(#REF!&lt;&gt;"")</formula>
    </cfRule>
  </conditionalFormatting>
  <conditionalFormatting sqref="R1312">
    <cfRule type="expression" dxfId="0" priority="4061">
      <formula>(#REF!&lt;&gt;"")*(#REF!&lt;&gt;"")</formula>
    </cfRule>
  </conditionalFormatting>
  <conditionalFormatting sqref="M1313">
    <cfRule type="expression" dxfId="0" priority="4058">
      <formula>(#REF!&lt;&gt;"")*(#REF!&lt;&gt;"")</formula>
    </cfRule>
  </conditionalFormatting>
  <conditionalFormatting sqref="Q1313">
    <cfRule type="expression" dxfId="0" priority="4059">
      <formula>(#REF!&lt;&gt;"")*(#REF!&lt;&gt;"")</formula>
    </cfRule>
    <cfRule type="expression" dxfId="1" priority="4060">
      <formula>(#REF!&lt;&gt;"")*(#REF!&lt;&gt;"")</formula>
    </cfRule>
    <cfRule type="expression" dxfId="0" priority="4056">
      <formula>(#REF!&lt;&gt;"")*(#REF!&lt;&gt;"")</formula>
    </cfRule>
    <cfRule type="expression" dxfId="1" priority="4057">
      <formula>(#REF!&lt;&gt;"")*(#REF!&lt;&gt;"")</formula>
    </cfRule>
  </conditionalFormatting>
  <conditionalFormatting sqref="R1313">
    <cfRule type="expression" dxfId="0" priority="4055">
      <formula>(#REF!&lt;&gt;"")*(#REF!&lt;&gt;"")</formula>
    </cfRule>
  </conditionalFormatting>
  <conditionalFormatting sqref="P1315">
    <cfRule type="expression" dxfId="0" priority="4160">
      <formula>($A1315&lt;&gt;"")*(#REF!&lt;&gt;"")</formula>
    </cfRule>
  </conditionalFormatting>
  <conditionalFormatting sqref="Q1315">
    <cfRule type="expression" dxfId="0" priority="4159">
      <formula>($A1315&lt;&gt;"")*(#REF!&lt;&gt;"")</formula>
    </cfRule>
    <cfRule type="expression" dxfId="0" priority="4158">
      <formula>($A1315&lt;&gt;"")*(#REF!&lt;&gt;"")</formula>
    </cfRule>
  </conditionalFormatting>
  <conditionalFormatting sqref="R1315">
    <cfRule type="expression" dxfId="0" priority="4157">
      <formula>($A1315&lt;&gt;"")*(#REF!&lt;&gt;"")</formula>
    </cfRule>
  </conditionalFormatting>
  <conditionalFormatting sqref="P1316:Q1316">
    <cfRule type="expression" dxfId="0" priority="4155">
      <formula>($A1316&lt;&gt;"")*(#REF!&lt;&gt;"")</formula>
    </cfRule>
  </conditionalFormatting>
  <conditionalFormatting sqref="Q1316">
    <cfRule type="expression" dxfId="0" priority="4154">
      <formula>($A1316&lt;&gt;"")*(#REF!&lt;&gt;"")</formula>
    </cfRule>
  </conditionalFormatting>
  <conditionalFormatting sqref="R1316">
    <cfRule type="expression" dxfId="0" priority="4156">
      <formula>($A1316&lt;&gt;"")*(#REF!&lt;&gt;"")</formula>
    </cfRule>
  </conditionalFormatting>
  <conditionalFormatting sqref="H1317">
    <cfRule type="expression" dxfId="0" priority="4153">
      <formula>($A1317&lt;&gt;"")*(#REF!&lt;&gt;"")</formula>
    </cfRule>
  </conditionalFormatting>
  <conditionalFormatting sqref="E1323:F1323">
    <cfRule type="expression" dxfId="0" priority="4081">
      <formula>(#REF!&lt;&gt;"")*(E$1&lt;&gt;"")</formula>
    </cfRule>
  </conditionalFormatting>
  <conditionalFormatting sqref="P1323:Q1323">
    <cfRule type="expression" dxfId="1" priority="4083">
      <formula>(#REF!&lt;&gt;"")*(#REF!&lt;&gt;"")</formula>
    </cfRule>
  </conditionalFormatting>
  <conditionalFormatting sqref="Q1323">
    <cfRule type="expression" dxfId="0" priority="4084">
      <formula>(#REF!&lt;&gt;"")*(#REF!&lt;&gt;"")</formula>
    </cfRule>
  </conditionalFormatting>
  <conditionalFormatting sqref="E1324:F1324">
    <cfRule type="expression" dxfId="0" priority="4077">
      <formula>(#REF!&lt;&gt;"")*(E$1&lt;&gt;"")</formula>
    </cfRule>
  </conditionalFormatting>
  <conditionalFormatting sqref="P1324:Q1324">
    <cfRule type="expression" dxfId="1" priority="4079">
      <formula>(#REF!&lt;&gt;"")*(#REF!&lt;&gt;"")</formula>
    </cfRule>
  </conditionalFormatting>
  <conditionalFormatting sqref="Q1324">
    <cfRule type="expression" dxfId="0" priority="4080">
      <formula>(#REF!&lt;&gt;"")*(#REF!&lt;&gt;"")</formula>
    </cfRule>
  </conditionalFormatting>
  <conditionalFormatting sqref="E1325:F1325">
    <cfRule type="expression" dxfId="0" priority="4073">
      <formula>(#REF!&lt;&gt;"")*(E$1&lt;&gt;"")</formula>
    </cfRule>
  </conditionalFormatting>
  <conditionalFormatting sqref="P1325:Q1325">
    <cfRule type="expression" dxfId="1" priority="4075">
      <formula>(#REF!&lt;&gt;"")*(#REF!&lt;&gt;"")</formula>
    </cfRule>
  </conditionalFormatting>
  <conditionalFormatting sqref="Q1325">
    <cfRule type="expression" dxfId="0" priority="4076">
      <formula>(#REF!&lt;&gt;"")*(#REF!&lt;&gt;"")</formula>
    </cfRule>
  </conditionalFormatting>
  <conditionalFormatting sqref="E1330:F1330">
    <cfRule type="expression" dxfId="0" priority="4069">
      <formula>(#REF!&lt;&gt;"")*(E$1&lt;&gt;"")</formula>
    </cfRule>
  </conditionalFormatting>
  <conditionalFormatting sqref="P1330">
    <cfRule type="expression" dxfId="1" priority="4068">
      <formula>(#REF!&lt;&gt;"")*(#REF!&lt;&gt;"")</formula>
    </cfRule>
    <cfRule type="expression" dxfId="0" priority="4067">
      <formula>(#REF!&lt;&gt;"")*(#REF!&lt;&gt;"")</formula>
    </cfRule>
  </conditionalFormatting>
  <conditionalFormatting sqref="Q1330">
    <cfRule type="expression" dxfId="0" priority="4072">
      <formula>(#REF!&lt;&gt;"")*(#REF!&lt;&gt;"")</formula>
    </cfRule>
    <cfRule type="expression" dxfId="1" priority="4071">
      <formula>(#REF!&lt;&gt;"")*(#REF!&lt;&gt;"")</formula>
    </cfRule>
  </conditionalFormatting>
  <conditionalFormatting sqref="M1394">
    <cfRule type="expression" dxfId="0" priority="4046">
      <formula>(#REF!&lt;&gt;"")*(#REF!&lt;&gt;"")</formula>
    </cfRule>
  </conditionalFormatting>
  <conditionalFormatting sqref="M1395">
    <cfRule type="expression" dxfId="0" priority="4048">
      <formula>(#REF!&lt;&gt;"")*(#REF!&lt;&gt;"")</formula>
    </cfRule>
  </conditionalFormatting>
  <conditionalFormatting sqref="M1396">
    <cfRule type="expression" dxfId="0" priority="3464">
      <formula>(#REF!&lt;&gt;"")*(#REF!&lt;&gt;"")</formula>
    </cfRule>
  </conditionalFormatting>
  <conditionalFormatting sqref="M1397">
    <cfRule type="expression" dxfId="0" priority="3463">
      <formula>(#REF!&lt;&gt;"")*(#REF!&lt;&gt;"")</formula>
    </cfRule>
  </conditionalFormatting>
  <conditionalFormatting sqref="Q1400">
    <cfRule type="expression" dxfId="1" priority="4044">
      <formula>(#REF!&lt;&gt;"")*(#REF!&lt;&gt;"")</formula>
    </cfRule>
  </conditionalFormatting>
  <conditionalFormatting sqref="M1401">
    <cfRule type="expression" dxfId="1" priority="3440">
      <formula>(#REF!&lt;&gt;"")*(M$1&lt;&gt;"")</formula>
    </cfRule>
    <cfRule type="expression" dxfId="0" priority="3439">
      <formula>(#REF!&lt;&gt;"")*(#REF!&lt;&gt;"")</formula>
    </cfRule>
  </conditionalFormatting>
  <conditionalFormatting sqref="M1436">
    <cfRule type="expression" dxfId="0" priority="4038">
      <formula>(#REF!&lt;&gt;"")*(#REF!&lt;&gt;"")</formula>
    </cfRule>
  </conditionalFormatting>
  <conditionalFormatting sqref="M1437">
    <cfRule type="expression" dxfId="0" priority="4040">
      <formula>(#REF!&lt;&gt;"")*(#REF!&lt;&gt;"")</formula>
    </cfRule>
  </conditionalFormatting>
  <conditionalFormatting sqref="N1437">
    <cfRule type="expression" dxfId="0" priority="4041">
      <formula>(#REF!&lt;&gt;"")*(#REF!&lt;&gt;"")</formula>
    </cfRule>
  </conditionalFormatting>
  <conditionalFormatting sqref="P1440">
    <cfRule type="expression" dxfId="0" priority="4037">
      <formula>(#REF!&lt;&gt;"")*(#REF!&lt;&gt;"")</formula>
    </cfRule>
  </conditionalFormatting>
  <conditionalFormatting sqref="Q1440">
    <cfRule type="expression" dxfId="0" priority="4035">
      <formula>(#REF!&lt;&gt;"")*(#REF!&lt;&gt;"")</formula>
    </cfRule>
    <cfRule type="expression" dxfId="1" priority="4036">
      <formula>(#REF!&lt;&gt;"")*(#REF!&lt;&gt;"")</formula>
    </cfRule>
  </conditionalFormatting>
  <conditionalFormatting sqref="N1441:R1441">
    <cfRule type="expression" dxfId="0" priority="4029">
      <formula>($A1441&lt;&gt;"")*(#REF!&lt;&gt;"")</formula>
    </cfRule>
  </conditionalFormatting>
  <conditionalFormatting sqref="P1442:R1442">
    <cfRule type="expression" dxfId="0" priority="4028">
      <formula>($A1442&lt;&gt;"")*(#REF!&lt;&gt;"")</formula>
    </cfRule>
  </conditionalFormatting>
  <conditionalFormatting sqref="Q1442">
    <cfRule type="expression" dxfId="0" priority="4030">
      <formula>($A1442&lt;&gt;"")*(#REF!&lt;&gt;"")</formula>
    </cfRule>
  </conditionalFormatting>
  <conditionalFormatting sqref="N1443:R1443">
    <cfRule type="expression" dxfId="0" priority="4025">
      <formula>($A1443&lt;&gt;"")*(#REF!&lt;&gt;"")</formula>
    </cfRule>
  </conditionalFormatting>
  <conditionalFormatting sqref="Q1443">
    <cfRule type="expression" dxfId="0" priority="4026">
      <formula>($A1443&lt;&gt;"")*(#REF!&lt;&gt;"")</formula>
    </cfRule>
  </conditionalFormatting>
  <conditionalFormatting sqref="Q1444">
    <cfRule type="expression" dxfId="0" priority="4021">
      <formula>(#REF!&lt;&gt;"")*(#REF!&lt;&gt;"")</formula>
    </cfRule>
    <cfRule type="expression" dxfId="0" priority="4020">
      <formula>(#REF!&lt;&gt;"")*(#REF!&lt;&gt;"")</formula>
    </cfRule>
    <cfRule type="expression" dxfId="0" priority="4023">
      <formula>(#REF!&lt;&gt;"")*(#REF!&lt;&gt;"")</formula>
    </cfRule>
    <cfRule type="expression" dxfId="1" priority="4024">
      <formula>(#REF!&lt;&gt;"")*(#REF!&lt;&gt;"")</formula>
    </cfRule>
  </conditionalFormatting>
  <conditionalFormatting sqref="R1444">
    <cfRule type="expression" dxfId="0" priority="4022">
      <formula>(#REF!&lt;&gt;"")*(#REF!&lt;&gt;"")</formula>
    </cfRule>
  </conditionalFormatting>
  <conditionalFormatting sqref="K1445">
    <cfRule type="expression" dxfId="0" priority="4016">
      <formula>(#REF!&lt;&gt;"")*(#REF!&lt;&gt;"")</formula>
    </cfRule>
  </conditionalFormatting>
  <conditionalFormatting sqref="P1445">
    <cfRule type="expression" dxfId="0" priority="4015">
      <formula>($A1445&lt;&gt;"")*(#REF!&lt;&gt;"")</formula>
    </cfRule>
  </conditionalFormatting>
  <conditionalFormatting sqref="Q1445">
    <cfRule type="expression" dxfId="0" priority="4017">
      <formula>($A1445&lt;&gt;"")*(#REF!&lt;&gt;"")</formula>
    </cfRule>
    <cfRule type="expression" dxfId="0" priority="4014">
      <formula>($A1445&lt;&gt;"")*(#REF!&lt;&gt;"")</formula>
    </cfRule>
  </conditionalFormatting>
  <conditionalFormatting sqref="U1445">
    <cfRule type="expression" dxfId="0" priority="4018">
      <formula>($A1445&lt;&gt;"")*(#REF!&lt;&gt;"")</formula>
    </cfRule>
  </conditionalFormatting>
  <conditionalFormatting sqref="Q1446:R1446">
    <cfRule type="expression" dxfId="0" priority="4010">
      <formula>(#REF!&lt;&gt;"")*(#REF!&lt;&gt;"")</formula>
    </cfRule>
  </conditionalFormatting>
  <conditionalFormatting sqref="Q1446">
    <cfRule type="expression" dxfId="0" priority="4011">
      <formula>(#REF!&lt;&gt;"")*(#REF!&lt;&gt;"")</formula>
    </cfRule>
    <cfRule type="expression" dxfId="1" priority="4012">
      <formula>(#REF!&lt;&gt;"")*(#REF!&lt;&gt;"")</formula>
    </cfRule>
  </conditionalFormatting>
  <conditionalFormatting sqref="P1447">
    <cfRule type="expression" dxfId="0" priority="4013">
      <formula>($A1447&lt;&gt;"")*(#REF!&lt;&gt;"")</formula>
    </cfRule>
  </conditionalFormatting>
  <conditionalFormatting sqref="Q1447:R1447">
    <cfRule type="expression" dxfId="0" priority="4007">
      <formula>(#REF!&lt;&gt;"")*(#REF!&lt;&gt;"")</formula>
    </cfRule>
  </conditionalFormatting>
  <conditionalFormatting sqref="Q1447">
    <cfRule type="expression" dxfId="0" priority="4008">
      <formula>(#REF!&lt;&gt;"")*(#REF!&lt;&gt;"")</formula>
    </cfRule>
    <cfRule type="expression" dxfId="1" priority="4009">
      <formula>(#REF!&lt;&gt;"")*(#REF!&lt;&gt;"")</formula>
    </cfRule>
  </conditionalFormatting>
  <conditionalFormatting sqref="M1448">
    <cfRule type="expression" dxfId="0" priority="4005">
      <formula>($A1448&lt;&gt;"")*(#REF!&lt;&gt;"")</formula>
    </cfRule>
  </conditionalFormatting>
  <conditionalFormatting sqref="Q1475">
    <cfRule type="expression" dxfId="1" priority="4002">
      <formula>(#REF!&lt;&gt;"")*(#REF!&lt;&gt;"")</formula>
    </cfRule>
    <cfRule type="expression" dxfId="0" priority="4001">
      <formula>(#REF!&lt;&gt;"")*(#REF!&lt;&gt;"")</formula>
    </cfRule>
  </conditionalFormatting>
  <conditionalFormatting sqref="M1477">
    <cfRule type="expression" dxfId="0" priority="3942">
      <formula>(#REF!&lt;&gt;"")*(#REF!&lt;&gt;"")</formula>
    </cfRule>
  </conditionalFormatting>
  <conditionalFormatting sqref="M1486">
    <cfRule type="expression" dxfId="0" priority="3952">
      <formula>(#REF!&lt;&gt;"")*(#REF!&lt;&gt;"")</formula>
    </cfRule>
  </conditionalFormatting>
  <conditionalFormatting sqref="J1490">
    <cfRule type="expression" dxfId="1" priority="3762">
      <formula>(#REF!&lt;&gt;"")*(J$1&lt;&gt;"")</formula>
    </cfRule>
  </conditionalFormatting>
  <conditionalFormatting sqref="P1492">
    <cfRule type="expression" dxfId="1" priority="3508">
      <formula>($A1492&lt;&gt;"")*(#REF!&lt;&gt;"")</formula>
    </cfRule>
    <cfRule type="expression" dxfId="0" priority="3507">
      <formula>($A1492&lt;&gt;"")*(#REF!&lt;&gt;"")</formula>
    </cfRule>
  </conditionalFormatting>
  <conditionalFormatting sqref="Q1492">
    <cfRule type="expression" dxfId="0" priority="3504">
      <formula>(#REF!&lt;&gt;"")*(#REF!&lt;&gt;"")</formula>
    </cfRule>
    <cfRule type="expression" dxfId="0" priority="3505">
      <formula>(#REF!&lt;&gt;"")*(#REF!&lt;&gt;"")</formula>
    </cfRule>
    <cfRule type="expression" dxfId="1" priority="3506">
      <formula>(#REF!&lt;&gt;"")*(#REF!&lt;&gt;"")</formula>
    </cfRule>
  </conditionalFormatting>
  <conditionalFormatting sqref="P1565">
    <cfRule type="expression" dxfId="1" priority="3920">
      <formula>(#REF!&lt;&gt;"")*(#REF!&lt;&gt;"")</formula>
    </cfRule>
  </conditionalFormatting>
  <conditionalFormatting sqref="Q1565">
    <cfRule type="expression" dxfId="1" priority="3919">
      <formula>(#REF!&lt;&gt;"")*(#REF!&lt;&gt;"")</formula>
    </cfRule>
  </conditionalFormatting>
  <conditionalFormatting sqref="H1566">
    <cfRule type="expression" dxfId="0" priority="3448">
      <formula>(#REF!&lt;&gt;"")*(#REF!&lt;&gt;"")</formula>
    </cfRule>
    <cfRule type="expression" dxfId="0" priority="3447">
      <formula>(#REF!&lt;&gt;"")*(#REF!&lt;&gt;"")</formula>
    </cfRule>
  </conditionalFormatting>
  <conditionalFormatting sqref="M1566">
    <cfRule type="expression" dxfId="0" priority="3449">
      <formula>(#REF!&lt;&gt;"")*(#REF!&lt;&gt;"")</formula>
    </cfRule>
  </conditionalFormatting>
  <conditionalFormatting sqref="Q1566">
    <cfRule type="expression" dxfId="0" priority="84">
      <formula>(#REF!&lt;&gt;"")*(#REF!&lt;&gt;"")</formula>
    </cfRule>
  </conditionalFormatting>
  <conditionalFormatting sqref="J1573">
    <cfRule type="expression" dxfId="1" priority="3547">
      <formula>(#REF!&lt;&gt;"")*(J$1&lt;&gt;"")</formula>
    </cfRule>
  </conditionalFormatting>
  <conditionalFormatting sqref="J1577">
    <cfRule type="expression" dxfId="1" priority="3539">
      <formula>(#REF!&lt;&gt;"")*(J$1&lt;&gt;"")</formula>
    </cfRule>
  </conditionalFormatting>
  <conditionalFormatting sqref="Q1580">
    <cfRule type="expression" dxfId="1" priority="3916">
      <formula>(#REF!&lt;&gt;"")*(#REF!&lt;&gt;"")</formula>
    </cfRule>
    <cfRule type="expression" dxfId="0" priority="3915">
      <formula>(#REF!&lt;&gt;"")*(#REF!&lt;&gt;"")</formula>
    </cfRule>
  </conditionalFormatting>
  <conditionalFormatting sqref="P1583:Q1583">
    <cfRule type="expression" dxfId="1" priority="3913">
      <formula>(#REF!&lt;&gt;"")*(#REF!&lt;&gt;"")</formula>
    </cfRule>
  </conditionalFormatting>
  <conditionalFormatting sqref="H1594">
    <cfRule type="expression" dxfId="0" priority="3902">
      <formula>(#REF!&lt;&gt;"")*(#REF!&lt;&gt;"")</formula>
    </cfRule>
  </conditionalFormatting>
  <conditionalFormatting sqref="R1594">
    <cfRule type="expression" dxfId="0" priority="3904">
      <formula>(#REF!&lt;&gt;"")*(#REF!&lt;&gt;"")</formula>
    </cfRule>
  </conditionalFormatting>
  <conditionalFormatting sqref="P1597:Q1597">
    <cfRule type="expression" dxfId="1" priority="3891">
      <formula>(#REF!&lt;&gt;"")*(#REF!&lt;&gt;"")</formula>
    </cfRule>
  </conditionalFormatting>
  <conditionalFormatting sqref="R1597">
    <cfRule type="expression" dxfId="0" priority="3893">
      <formula>(#REF!&lt;&gt;"")*(#REF!&lt;&gt;"")</formula>
    </cfRule>
  </conditionalFormatting>
  <conditionalFormatting sqref="M1598">
    <cfRule type="expression" dxfId="0" priority="3909">
      <formula>(#REF!&lt;&gt;"")*(#REF!&lt;&gt;"")</formula>
    </cfRule>
  </conditionalFormatting>
  <conditionalFormatting sqref="N1598:O1598">
    <cfRule type="expression" dxfId="0" priority="3907">
      <formula>(#REF!&lt;&gt;"")*(#REF!&lt;&gt;"")</formula>
    </cfRule>
  </conditionalFormatting>
  <conditionalFormatting sqref="O1598">
    <cfRule type="expression" dxfId="0" priority="3906">
      <formula>(#REF!&lt;&gt;"")*(#REF!&lt;&gt;"")</formula>
    </cfRule>
  </conditionalFormatting>
  <conditionalFormatting sqref="P1598:Q1598">
    <cfRule type="expression" dxfId="0" priority="3908">
      <formula>(#REF!&lt;&gt;"")*(#REF!&lt;&gt;"")</formula>
    </cfRule>
  </conditionalFormatting>
  <conditionalFormatting sqref="Q1598">
    <cfRule type="expression" dxfId="0" priority="3894">
      <formula>(#REF!&lt;&gt;"")*(#REF!&lt;&gt;"")</formula>
    </cfRule>
  </conditionalFormatting>
  <conditionalFormatting sqref="Q1607">
    <cfRule type="expression" dxfId="0" priority="3901">
      <formula>(#REF!&lt;&gt;"")*(#REF!&lt;&gt;"")</formula>
    </cfRule>
  </conditionalFormatting>
  <conditionalFormatting sqref="P1608:Q1608">
    <cfRule type="expression" dxfId="1" priority="3836">
      <formula>($A1608&lt;&gt;"")*(#REF!&lt;&gt;"")</formula>
    </cfRule>
  </conditionalFormatting>
  <conditionalFormatting sqref="P1608:R1608">
    <cfRule type="expression" dxfId="0" priority="3834">
      <formula>($A1608&lt;&gt;"")*(#REF!&lt;&gt;"")</formula>
    </cfRule>
  </conditionalFormatting>
  <conditionalFormatting sqref="P1609">
    <cfRule type="expression" dxfId="0" priority="3897">
      <formula>($A1609&lt;&gt;"")*(#REF!&lt;&gt;"")</formula>
    </cfRule>
  </conditionalFormatting>
  <conditionalFormatting sqref="Q1609">
    <cfRule type="expression" dxfId="0" priority="3895">
      <formula>($A1609&lt;&gt;"")*(#REF!&lt;&gt;"")</formula>
    </cfRule>
  </conditionalFormatting>
  <conditionalFormatting sqref="R1609">
    <cfRule type="expression" dxfId="0" priority="3896">
      <formula>($A1609&lt;&gt;"")*(#REF!&lt;&gt;"")</formula>
    </cfRule>
  </conditionalFormatting>
  <conditionalFormatting sqref="C1613">
    <cfRule type="expression" dxfId="0" priority="3864">
      <formula>(#REF!&lt;&gt;"")*(#REF!&lt;&gt;"")</formula>
    </cfRule>
  </conditionalFormatting>
  <conditionalFormatting sqref="H1613">
    <cfRule type="expression" dxfId="0" priority="3867">
      <formula>(#REF!&lt;&gt;"")*(#REF!&lt;&gt;"")</formula>
    </cfRule>
  </conditionalFormatting>
  <conditionalFormatting sqref="N1613:O1613">
    <cfRule type="expression" dxfId="0" priority="3863">
      <formula>(#REF!&lt;&gt;"")*(#REF!&lt;&gt;"")</formula>
    </cfRule>
  </conditionalFormatting>
  <conditionalFormatting sqref="P1613:Q1613">
    <cfRule type="expression" dxfId="0" priority="3865">
      <formula>(#REF!&lt;&gt;"")*(#REF!&lt;&gt;"")</formula>
    </cfRule>
  </conditionalFormatting>
  <conditionalFormatting sqref="C1614">
    <cfRule type="expression" dxfId="0" priority="3855">
      <formula>(#REF!&lt;&gt;"")*(#REF!&lt;&gt;"")</formula>
    </cfRule>
  </conditionalFormatting>
  <conditionalFormatting sqref="H1614">
    <cfRule type="expression" dxfId="0" priority="3861">
      <formula>(#REF!&lt;&gt;"")*(#REF!&lt;&gt;"")</formula>
    </cfRule>
    <cfRule type="expression" dxfId="0" priority="3858">
      <formula>(#REF!&lt;&gt;"")*(#REF!&lt;&gt;"")</formula>
    </cfRule>
  </conditionalFormatting>
  <conditionalFormatting sqref="K1614">
    <cfRule type="expression" dxfId="0" priority="3859">
      <formula>(#REF!&lt;&gt;"")*(#REF!&lt;&gt;"")</formula>
    </cfRule>
  </conditionalFormatting>
  <conditionalFormatting sqref="M1614">
    <cfRule type="expression" dxfId="0" priority="3857">
      <formula>(#REF!&lt;&gt;"")*(#REF!&lt;&gt;"")</formula>
    </cfRule>
  </conditionalFormatting>
  <conditionalFormatting sqref="N1614">
    <cfRule type="expression" dxfId="0" priority="3853">
      <formula>(#REF!&lt;&gt;"")*(#REF!&lt;&gt;"")</formula>
    </cfRule>
  </conditionalFormatting>
  <conditionalFormatting sqref="O1614">
    <cfRule type="expression" dxfId="0" priority="3854">
      <formula>(#REF!&lt;&gt;"")*(#REF!&lt;&gt;"")</formula>
    </cfRule>
  </conditionalFormatting>
  <conditionalFormatting sqref="P1614:Q1614">
    <cfRule type="expression" dxfId="0" priority="3856">
      <formula>(#REF!&lt;&gt;"")*(#REF!&lt;&gt;"")</formula>
    </cfRule>
  </conditionalFormatting>
  <conditionalFormatting sqref="R1614">
    <cfRule type="expression" dxfId="0" priority="3860">
      <formula>(#REF!&lt;&gt;"")*(#REF!&lt;&gt;"")</formula>
    </cfRule>
  </conditionalFormatting>
  <conditionalFormatting sqref="N1615:O1615">
    <cfRule type="expression" dxfId="0" priority="3872">
      <formula>(#REF!&lt;&gt;"")*(#REF!&lt;&gt;"")</formula>
    </cfRule>
  </conditionalFormatting>
  <conditionalFormatting sqref="P1615:Q1615">
    <cfRule type="expression" dxfId="0" priority="3870">
      <formula>(#REF!&lt;&gt;"")*(#REF!&lt;&gt;"")</formula>
    </cfRule>
  </conditionalFormatting>
  <conditionalFormatting sqref="M1617">
    <cfRule type="expression" dxfId="0" priority="3830">
      <formula>(#REF!&lt;&gt;"")*(#REF!&lt;&gt;"")</formula>
    </cfRule>
  </conditionalFormatting>
  <conditionalFormatting sqref="N1617">
    <cfRule type="expression" dxfId="0" priority="3828">
      <formula>(#REF!&lt;&gt;"")*(#REF!&lt;&gt;"")</formula>
    </cfRule>
    <cfRule type="expression" dxfId="0" priority="3829">
      <formula>(#REF!&lt;&gt;"")*(#REF!&lt;&gt;"")</formula>
    </cfRule>
  </conditionalFormatting>
  <conditionalFormatting sqref="P1617:Q1617">
    <cfRule type="expression" dxfId="1" priority="3832">
      <formula>(#REF!&lt;&gt;"")*(#REF!&lt;&gt;"")</formula>
    </cfRule>
  </conditionalFormatting>
  <conditionalFormatting sqref="M1621">
    <cfRule type="expression" dxfId="0" priority="3852">
      <formula>(#REF!&lt;&gt;"")*(#REF!&lt;&gt;"")</formula>
    </cfRule>
  </conditionalFormatting>
  <conditionalFormatting sqref="Q1621">
    <cfRule type="expression" dxfId="0" priority="3851">
      <formula>(#REF!&lt;&gt;"")*(#REF!&lt;&gt;"")</formula>
    </cfRule>
  </conditionalFormatting>
  <conditionalFormatting sqref="P1623:Q1623">
    <cfRule type="expression" dxfId="1" priority="3849">
      <formula>(#REF!&lt;&gt;"")*(#REF!&lt;&gt;"")</formula>
    </cfRule>
  </conditionalFormatting>
  <conditionalFormatting sqref="A1633">
    <cfRule type="expression" dxfId="0" priority="3844">
      <formula>(#REF!&lt;&gt;"")*(#REF!&lt;&gt;"")</formula>
    </cfRule>
  </conditionalFormatting>
  <conditionalFormatting sqref="K1633">
    <cfRule type="expression" dxfId="0" priority="3838">
      <formula>(#REF!&lt;&gt;"")*(#REF!&lt;&gt;"")</formula>
    </cfRule>
    <cfRule type="expression" dxfId="0" priority="3837">
      <formula>(#REF!&lt;&gt;"")*(#REF!&lt;&gt;"")</formula>
    </cfRule>
  </conditionalFormatting>
  <conditionalFormatting sqref="M1633">
    <cfRule type="expression" dxfId="0" priority="3840">
      <formula>(#REF!&lt;&gt;"")*(#REF!&lt;&gt;"")</formula>
    </cfRule>
  </conditionalFormatting>
  <conditionalFormatting sqref="P1633">
    <cfRule type="expression" dxfId="1" priority="3839">
      <formula>(#REF!&lt;&gt;"")*(#REF!&lt;&gt;"")</formula>
    </cfRule>
  </conditionalFormatting>
  <conditionalFormatting sqref="Q1633">
    <cfRule type="expression" dxfId="0" priority="3847">
      <formula>(#REF!&lt;&gt;"")*(#REF!&lt;&gt;"")</formula>
    </cfRule>
    <cfRule type="expression" dxfId="1" priority="3841">
      <formula>(#REF!&lt;&gt;"")*(#REF!&lt;&gt;"")</formula>
    </cfRule>
  </conditionalFormatting>
  <conditionalFormatting sqref="T1633:U1633">
    <cfRule type="expression" dxfId="0" priority="3843">
      <formula>(#REF!&lt;&gt;"")*(#REF!&lt;&gt;"")</formula>
    </cfRule>
  </conditionalFormatting>
  <conditionalFormatting sqref="M1636">
    <cfRule type="expression" dxfId="0" priority="3764">
      <formula>(#REF!&lt;&gt;"")*(#REF!&lt;&gt;"")</formula>
    </cfRule>
  </conditionalFormatting>
  <conditionalFormatting sqref="J1641">
    <cfRule type="expression" dxfId="1" priority="3780">
      <formula>(#REF!&lt;&gt;"")*(J$1&lt;&gt;"")</formula>
    </cfRule>
  </conditionalFormatting>
  <conditionalFormatting sqref="M1641">
    <cfRule type="expression" dxfId="0" priority="3781">
      <formula>(#REF!&lt;&gt;"")*(#REF!&lt;&gt;"")</formula>
    </cfRule>
  </conditionalFormatting>
  <conditionalFormatting sqref="H1642">
    <cfRule type="expression" dxfId="0" priority="3778">
      <formula>(#REF!&lt;&gt;"")*(H$1&lt;&gt;"")</formula>
    </cfRule>
  </conditionalFormatting>
  <conditionalFormatting sqref="Q1642">
    <cfRule type="expression" dxfId="1" priority="3777">
      <formula>(#REF!&lt;&gt;"")*(#REF!&lt;&gt;"")</formula>
    </cfRule>
    <cfRule type="expression" dxfId="0" priority="3776">
      <formula>(#REF!&lt;&gt;"")*(#REF!&lt;&gt;"")</formula>
    </cfRule>
  </conditionalFormatting>
  <conditionalFormatting sqref="H1643">
    <cfRule type="expression" dxfId="0" priority="3773">
      <formula>(#REF!&lt;&gt;"")*(H$1&lt;&gt;"")</formula>
    </cfRule>
  </conditionalFormatting>
  <conditionalFormatting sqref="Q1643">
    <cfRule type="expression" dxfId="1" priority="3771">
      <formula>(#REF!&lt;&gt;"")*(#REF!&lt;&gt;"")</formula>
    </cfRule>
  </conditionalFormatting>
  <conditionalFormatting sqref="M1645">
    <cfRule type="expression" dxfId="0" priority="3769">
      <formula>(#REF!&lt;&gt;"")*(#REF!&lt;&gt;"")</formula>
    </cfRule>
  </conditionalFormatting>
  <conditionalFormatting sqref="M1646">
    <cfRule type="expression" dxfId="0" priority="3763">
      <formula>(#REF!&lt;&gt;"")*(#REF!&lt;&gt;"")</formula>
    </cfRule>
  </conditionalFormatting>
  <conditionalFormatting sqref="M1647">
    <cfRule type="expression" dxfId="0" priority="3767">
      <formula>(#REF!&lt;&gt;"")*(#REF!&lt;&gt;"")</formula>
    </cfRule>
  </conditionalFormatting>
  <conditionalFormatting sqref="M1648">
    <cfRule type="expression" dxfId="0" priority="3768">
      <formula>(#REF!&lt;&gt;"")*(#REF!&lt;&gt;"")</formula>
    </cfRule>
  </conditionalFormatting>
  <conditionalFormatting sqref="Q1651">
    <cfRule type="expression" dxfId="0" priority="3825">
      <formula>(#REF!&lt;&gt;"")*(#REF!&lt;&gt;"")</formula>
    </cfRule>
    <cfRule type="expression" dxfId="1" priority="3824">
      <formula>(#REF!&lt;&gt;"")*(#REF!&lt;&gt;"")</formula>
    </cfRule>
  </conditionalFormatting>
  <conditionalFormatting sqref="J1656">
    <cfRule type="expression" dxfId="1" priority="3921">
      <formula>(#REF!&lt;&gt;"")*(J$1&lt;&gt;"")</formula>
    </cfRule>
  </conditionalFormatting>
  <conditionalFormatting sqref="M1658">
    <cfRule type="expression" dxfId="0" priority="3820">
      <formula>(#REF!&lt;&gt;"")*(#REF!&lt;&gt;"")</formula>
    </cfRule>
  </conditionalFormatting>
  <conditionalFormatting sqref="M1659">
    <cfRule type="expression" dxfId="0" priority="3602">
      <formula>(#REF!&lt;&gt;"")*(#REF!&lt;&gt;"")</formula>
    </cfRule>
  </conditionalFormatting>
  <conditionalFormatting sqref="M1660">
    <cfRule type="expression" dxfId="0" priority="3490">
      <formula>(#REF!&lt;&gt;"")*(#REF!&lt;&gt;"")</formula>
    </cfRule>
  </conditionalFormatting>
  <conditionalFormatting sqref="N1660">
    <cfRule type="expression" dxfId="0" priority="3488">
      <formula>(#REF!&lt;&gt;"")*(#REF!&lt;&gt;"")</formula>
    </cfRule>
    <cfRule type="expression" dxfId="0" priority="3489">
      <formula>(#REF!&lt;&gt;"")*(#REF!&lt;&gt;"")</formula>
    </cfRule>
  </conditionalFormatting>
  <conditionalFormatting sqref="P1660:Q1660">
    <cfRule type="expression" dxfId="1" priority="3492">
      <formula>(#REF!&lt;&gt;"")*(#REF!&lt;&gt;"")</formula>
    </cfRule>
  </conditionalFormatting>
  <conditionalFormatting sqref="M1661">
    <cfRule type="expression" dxfId="0" priority="3484">
      <formula>(#REF!&lt;&gt;"")*(#REF!&lt;&gt;"")</formula>
    </cfRule>
  </conditionalFormatting>
  <conditionalFormatting sqref="N1661">
    <cfRule type="expression" dxfId="0" priority="3482">
      <formula>(#REF!&lt;&gt;"")*(#REF!&lt;&gt;"")</formula>
    </cfRule>
    <cfRule type="expression" dxfId="0" priority="3483">
      <formula>(#REF!&lt;&gt;"")*(#REF!&lt;&gt;"")</formula>
    </cfRule>
  </conditionalFormatting>
  <conditionalFormatting sqref="P1661:Q1661">
    <cfRule type="expression" dxfId="1" priority="3486">
      <formula>(#REF!&lt;&gt;"")*(#REF!&lt;&gt;"")</formula>
    </cfRule>
  </conditionalFormatting>
  <conditionalFormatting sqref="M1662">
    <cfRule type="expression" dxfId="0" priority="3441">
      <formula>(#REF!&lt;&gt;"")*(#REF!&lt;&gt;"")</formula>
    </cfRule>
  </conditionalFormatting>
  <conditionalFormatting sqref="M1663">
    <cfRule type="expression" dxfId="0" priority="3453">
      <formula>(#REF!&lt;&gt;"")*(#REF!&lt;&gt;"")</formula>
    </cfRule>
  </conditionalFormatting>
  <conditionalFormatting sqref="Q1663">
    <cfRule type="expression" dxfId="0" priority="3452">
      <formula>(#REF!&lt;&gt;"")*(#REF!&lt;&gt;"")</formula>
    </cfRule>
  </conditionalFormatting>
  <conditionalFormatting sqref="A1716">
    <cfRule type="expression" dxfId="1" priority="3797">
      <formula>(#REF!&lt;&gt;"")*(A$1&lt;&gt;"")</formula>
    </cfRule>
  </conditionalFormatting>
  <conditionalFormatting sqref="A1717">
    <cfRule type="expression" dxfId="1" priority="3785">
      <formula>(#REF!&lt;&gt;"")*(A$1&lt;&gt;"")</formula>
    </cfRule>
  </conditionalFormatting>
  <conditionalFormatting sqref="J1717:K1717">
    <cfRule type="expression" dxfId="1" priority="3786">
      <formula>(#REF!&lt;&gt;"")*(J$1&lt;&gt;"")</formula>
    </cfRule>
  </conditionalFormatting>
  <conditionalFormatting sqref="A1718">
    <cfRule type="expression" dxfId="1" priority="3796">
      <formula>(#REF!&lt;&gt;"")*(A$1&lt;&gt;"")</formula>
    </cfRule>
  </conditionalFormatting>
  <conditionalFormatting sqref="E1718:G1718">
    <cfRule type="expression" dxfId="1" priority="3815">
      <formula>(#REF!&lt;&gt;"")*(E$1&lt;&gt;"")</formula>
    </cfRule>
  </conditionalFormatting>
  <conditionalFormatting sqref="K1723">
    <cfRule type="duplicateValues" dxfId="2" priority="3795"/>
  </conditionalFormatting>
  <conditionalFormatting sqref="J1726">
    <cfRule type="expression" dxfId="1" priority="3814">
      <formula>(#REF!&lt;&gt;"")*(J$1&lt;&gt;"")</formula>
    </cfRule>
  </conditionalFormatting>
  <conditionalFormatting sqref="P1726">
    <cfRule type="expression" dxfId="1" priority="3810">
      <formula>(#REF!&lt;&gt;"")*(#REF!&lt;&gt;"")</formula>
    </cfRule>
  </conditionalFormatting>
  <conditionalFormatting sqref="P1727">
    <cfRule type="expression" dxfId="1" priority="3811">
      <formula>(#REF!&lt;&gt;"")*(#REF!&lt;&gt;"")</formula>
    </cfRule>
  </conditionalFormatting>
  <conditionalFormatting sqref="M1737">
    <cfRule type="expression" dxfId="1" priority="3644">
      <formula>(#REF!&lt;&gt;"")*(M$1&lt;&gt;"")</formula>
    </cfRule>
  </conditionalFormatting>
  <conditionalFormatting sqref="M1738">
    <cfRule type="expression" dxfId="1" priority="3790">
      <formula>(#REF!&lt;&gt;"")*(M$1&lt;&gt;"")</formula>
    </cfRule>
  </conditionalFormatting>
  <conditionalFormatting sqref="M1745">
    <cfRule type="expression" dxfId="1" priority="3436">
      <formula>(#REF!&lt;&gt;"")*(M$1&lt;&gt;"")</formula>
    </cfRule>
  </conditionalFormatting>
  <conditionalFormatting sqref="J1746">
    <cfRule type="expression" dxfId="1" priority="3804">
      <formula>(#REF!&lt;&gt;"")*(J$1&lt;&gt;"")</formula>
    </cfRule>
  </conditionalFormatting>
  <conditionalFormatting sqref="P1746">
    <cfRule type="expression" dxfId="1" priority="3803">
      <formula>(#REF!&lt;&gt;"")*(#REF!&lt;&gt;"")</formula>
    </cfRule>
  </conditionalFormatting>
  <conditionalFormatting sqref="J1747">
    <cfRule type="expression" dxfId="1" priority="3792">
      <formula>(#REF!&lt;&gt;"")*(J$1&lt;&gt;"")</formula>
    </cfRule>
  </conditionalFormatting>
  <conditionalFormatting sqref="P1747">
    <cfRule type="expression" dxfId="1" priority="3791">
      <formula>(#REF!&lt;&gt;"")*(#REF!&lt;&gt;"")</formula>
    </cfRule>
  </conditionalFormatting>
  <conditionalFormatting sqref="J1748">
    <cfRule type="expression" dxfId="1" priority="3788">
      <formula>(#REF!&lt;&gt;"")*(J$1&lt;&gt;"")</formula>
    </cfRule>
  </conditionalFormatting>
  <conditionalFormatting sqref="M1748">
    <cfRule type="expression" dxfId="1" priority="3789">
      <formula>(#REF!&lt;&gt;"")*(M$1&lt;&gt;"")</formula>
    </cfRule>
  </conditionalFormatting>
  <conditionalFormatting sqref="P1748">
    <cfRule type="expression" dxfId="1" priority="3787">
      <formula>(#REF!&lt;&gt;"")*(#REF!&lt;&gt;"")</formula>
    </cfRule>
  </conditionalFormatting>
  <conditionalFormatting sqref="M1749">
    <cfRule type="expression" dxfId="0" priority="3926">
      <formula>(#REF!&lt;&gt;"")*(#REF!&lt;&gt;"")</formula>
    </cfRule>
  </conditionalFormatting>
  <conditionalFormatting sqref="J1751">
    <cfRule type="expression" dxfId="1" priority="3808">
      <formula>(#REF!&lt;&gt;"")*(J$1&lt;&gt;"")</formula>
    </cfRule>
  </conditionalFormatting>
  <conditionalFormatting sqref="P1751">
    <cfRule type="expression" dxfId="1" priority="3807">
      <formula>(#REF!&lt;&gt;"")*(#REF!&lt;&gt;"")</formula>
    </cfRule>
  </conditionalFormatting>
  <conditionalFormatting sqref="J1754">
    <cfRule type="expression" dxfId="1" priority="3800">
      <formula>(#REF!&lt;&gt;"")*(J$1&lt;&gt;"")</formula>
    </cfRule>
  </conditionalFormatting>
  <conditionalFormatting sqref="P1754">
    <cfRule type="expression" dxfId="1" priority="3799">
      <formula>(#REF!&lt;&gt;"")*(#REF!&lt;&gt;"")</formula>
    </cfRule>
    <cfRule type="expression" dxfId="1" priority="3798">
      <formula>(#REF!&lt;&gt;"")*(#REF!&lt;&gt;"")</formula>
    </cfRule>
  </conditionalFormatting>
  <conditionalFormatting sqref="J1755">
    <cfRule type="expression" dxfId="1" priority="3802">
      <formula>(#REF!&lt;&gt;"")*(J$1&lt;&gt;"")</formula>
    </cfRule>
  </conditionalFormatting>
  <conditionalFormatting sqref="P1755">
    <cfRule type="expression" dxfId="1" priority="3801">
      <formula>(#REF!&lt;&gt;"")*(#REF!&lt;&gt;"")</formula>
    </cfRule>
  </conditionalFormatting>
  <conditionalFormatting sqref="P1851">
    <cfRule type="expression" dxfId="1" priority="3657">
      <formula>(#REF!&lt;&gt;"")*(#REF!&lt;&gt;"")</formula>
    </cfRule>
  </conditionalFormatting>
  <conditionalFormatting sqref="Q1851">
    <cfRule type="expression" dxfId="1" priority="3658">
      <formula>(#REF!&lt;&gt;"")*(#REF!&lt;&gt;"")</formula>
    </cfRule>
  </conditionalFormatting>
  <conditionalFormatting sqref="P1855">
    <cfRule type="expression" dxfId="1" priority="3739">
      <formula>(#REF!&lt;&gt;"")*(#REF!&lt;&gt;"")</formula>
    </cfRule>
  </conditionalFormatting>
  <conditionalFormatting sqref="Q1855">
    <cfRule type="expression" dxfId="1" priority="3740">
      <formula>(#REF!&lt;&gt;"")*(#REF!&lt;&gt;"")</formula>
    </cfRule>
  </conditionalFormatting>
  <conditionalFormatting sqref="P1868">
    <cfRule type="expression" dxfId="1" priority="3656">
      <formula>(#REF!&lt;&gt;"")*(#REF!&lt;&gt;"")</formula>
    </cfRule>
  </conditionalFormatting>
  <conditionalFormatting sqref="Q1868">
    <cfRule type="expression" dxfId="1" priority="3655">
      <formula>(#REF!&lt;&gt;"")*(#REF!&lt;&gt;"")</formula>
    </cfRule>
  </conditionalFormatting>
  <conditionalFormatting sqref="J1922">
    <cfRule type="expression" dxfId="1" priority="3750">
      <formula>(#REF!&lt;&gt;"")*(J$1&lt;&gt;"")</formula>
    </cfRule>
  </conditionalFormatting>
  <conditionalFormatting sqref="J1936">
    <cfRule type="expression" dxfId="1" priority="3450">
      <formula>(#REF!&lt;&gt;"")*(J$1&lt;&gt;"")</formula>
    </cfRule>
  </conditionalFormatting>
  <conditionalFormatting sqref="Q1947">
    <cfRule type="expression" dxfId="0" priority="3742">
      <formula>(#REF!&lt;&gt;"")*(#REF!&lt;&gt;"")</formula>
    </cfRule>
    <cfRule type="expression" dxfId="1" priority="3741">
      <formula>(#REF!&lt;&gt;"")*(#REF!&lt;&gt;"")</formula>
    </cfRule>
  </conditionalFormatting>
  <conditionalFormatting sqref="Q1949">
    <cfRule type="expression" dxfId="0" priority="3744">
      <formula>(#REF!&lt;&gt;"")*(#REF!&lt;&gt;"")</formula>
    </cfRule>
    <cfRule type="expression" dxfId="1" priority="3743">
      <formula>(#REF!&lt;&gt;"")*(#REF!&lt;&gt;"")</formula>
    </cfRule>
  </conditionalFormatting>
  <conditionalFormatting sqref="P1951">
    <cfRule type="expression" dxfId="1" priority="3745">
      <formula>(#REF!&lt;&gt;"")*(#REF!&lt;&gt;"")</formula>
    </cfRule>
  </conditionalFormatting>
  <conditionalFormatting sqref="Q1951">
    <cfRule type="expression" dxfId="1" priority="3746">
      <formula>(#REF!&lt;&gt;"")*(#REF!&lt;&gt;"")</formula>
    </cfRule>
  </conditionalFormatting>
  <conditionalFormatting sqref="M1952">
    <cfRule type="expression" dxfId="0" priority="3738">
      <formula>(#REF!&lt;&gt;"")*(#REF!&lt;&gt;"")</formula>
    </cfRule>
  </conditionalFormatting>
  <conditionalFormatting sqref="E1954:G1954">
    <cfRule type="expression" dxfId="0" priority="3733">
      <formula>(#REF!&lt;&gt;"")*(#REF!&lt;&gt;"")</formula>
    </cfRule>
  </conditionalFormatting>
  <conditionalFormatting sqref="J1954">
    <cfRule type="expression" dxfId="0" priority="3736">
      <formula>(#REF!&lt;&gt;"")*(#REF!&lt;&gt;"")</formula>
    </cfRule>
  </conditionalFormatting>
  <conditionalFormatting sqref="N1954:O1954">
    <cfRule type="expression" dxfId="0" priority="3724">
      <formula>(#REF!&lt;&gt;"")*(#REF!&lt;&gt;"")</formula>
    </cfRule>
  </conditionalFormatting>
  <conditionalFormatting sqref="P1954:Q1954">
    <cfRule type="expression" dxfId="0" priority="3722">
      <formula>(#REF!&lt;&gt;"")*(#REF!&lt;&gt;"")</formula>
    </cfRule>
    <cfRule type="expression" dxfId="1" priority="3726">
      <formula>(#REF!&lt;&gt;"")*(#REF!&lt;&gt;"")</formula>
    </cfRule>
  </conditionalFormatting>
  <conditionalFormatting sqref="R1954">
    <cfRule type="expression" dxfId="0" priority="3727">
      <formula>(#REF!&lt;&gt;"")*(#REF!&lt;&gt;"")</formula>
    </cfRule>
  </conditionalFormatting>
  <conditionalFormatting sqref="N1955">
    <cfRule type="expression" dxfId="0" priority="3694">
      <formula>(#REF!&lt;&gt;"")*(#REF!&lt;&gt;"")</formula>
    </cfRule>
    <cfRule type="expression" dxfId="0" priority="3693">
      <formula>(#REF!&lt;&gt;"")*(#REF!&lt;&gt;"")</formula>
    </cfRule>
  </conditionalFormatting>
  <conditionalFormatting sqref="P1955:Q1955">
    <cfRule type="expression" dxfId="1" priority="3704">
      <formula>(#REF!&lt;&gt;"")*(#REF!&lt;&gt;"")</formula>
    </cfRule>
  </conditionalFormatting>
  <conditionalFormatting sqref="Q1955">
    <cfRule type="expression" dxfId="0" priority="3701">
      <formula>(#REF!&lt;&gt;"")*(#REF!&lt;&gt;"")</formula>
    </cfRule>
  </conditionalFormatting>
  <conditionalFormatting sqref="E1956:G1956">
    <cfRule type="expression" dxfId="0" priority="3703">
      <formula>(#REF!&lt;&gt;"")*(#REF!&lt;&gt;"")</formula>
    </cfRule>
  </conditionalFormatting>
  <conditionalFormatting sqref="M1956">
    <cfRule type="expression" dxfId="0" priority="3696">
      <formula>(#REF!&lt;&gt;"")*(#REF!&lt;&gt;"")</formula>
    </cfRule>
  </conditionalFormatting>
  <conditionalFormatting sqref="N1956">
    <cfRule type="expression" dxfId="0" priority="3692">
      <formula>(#REF!&lt;&gt;"")*(#REF!&lt;&gt;"")</formula>
    </cfRule>
    <cfRule type="expression" dxfId="0" priority="3691">
      <formula>(#REF!&lt;&gt;"")*(#REF!&lt;&gt;"")</formula>
    </cfRule>
  </conditionalFormatting>
  <conditionalFormatting sqref="O1956">
    <cfRule type="expression" dxfId="0" priority="3697">
      <formula>(#REF!&lt;&gt;"")*(#REF!&lt;&gt;"")</formula>
    </cfRule>
  </conditionalFormatting>
  <conditionalFormatting sqref="P1956:Q1956">
    <cfRule type="expression" dxfId="0" priority="3695">
      <formula>(#REF!&lt;&gt;"")*(#REF!&lt;&gt;"")</formula>
    </cfRule>
    <cfRule type="expression" dxfId="1" priority="3699">
      <formula>(#REF!&lt;&gt;"")*(#REF!&lt;&gt;"")</formula>
    </cfRule>
  </conditionalFormatting>
  <conditionalFormatting sqref="R1956">
    <cfRule type="expression" dxfId="0" priority="3700">
      <formula>(#REF!&lt;&gt;"")*(#REF!&lt;&gt;"")</formula>
    </cfRule>
  </conditionalFormatting>
  <conditionalFormatting sqref="M1957">
    <cfRule type="expression" dxfId="0" priority="3732">
      <formula>(#REF!&lt;&gt;"")*(#REF!&lt;&gt;"")</formula>
    </cfRule>
  </conditionalFormatting>
  <conditionalFormatting sqref="T1957">
    <cfRule type="expression" dxfId="0" priority="3721">
      <formula>(#REF!&lt;&gt;"")*(#REF!&lt;&gt;"")</formula>
    </cfRule>
  </conditionalFormatting>
  <conditionalFormatting sqref="M1958">
    <cfRule type="expression" dxfId="0" priority="3734">
      <formula>(#REF!&lt;&gt;"")*(#REF!&lt;&gt;"")</formula>
    </cfRule>
  </conditionalFormatting>
  <conditionalFormatting sqref="C1959">
    <cfRule type="expression" dxfId="0" priority="3728">
      <formula>(#REF!&lt;&gt;"")*(#REF!&lt;&gt;"")</formula>
    </cfRule>
  </conditionalFormatting>
  <conditionalFormatting sqref="N1960:R1960">
    <cfRule type="expression" dxfId="0" priority="3688">
      <formula>(#REF!&lt;&gt;"")*(#REF!&lt;&gt;"")</formula>
    </cfRule>
  </conditionalFormatting>
  <conditionalFormatting sqref="P1960:Q1960">
    <cfRule type="expression" dxfId="1" priority="3689">
      <formula>(#REF!&lt;&gt;"")*(#REF!&lt;&gt;"")</formula>
    </cfRule>
  </conditionalFormatting>
  <conditionalFormatting sqref="T1960">
    <cfRule type="expression" dxfId="0" priority="3687">
      <formula>(#REF!&lt;&gt;"")*(#REF!&lt;&gt;"")</formula>
    </cfRule>
    <cfRule type="expression" dxfId="0" priority="3686">
      <formula>(#REF!&lt;&gt;"")*(#REF!&lt;&gt;"")</formula>
    </cfRule>
  </conditionalFormatting>
  <conditionalFormatting sqref="M1963">
    <cfRule type="expression" dxfId="0" priority="3685">
      <formula>(#REF!&lt;&gt;"")*(#REF!&lt;&gt;"")</formula>
    </cfRule>
  </conditionalFormatting>
  <conditionalFormatting sqref="M1976">
    <cfRule type="expression" dxfId="0" priority="3713">
      <formula>(#REF!&lt;&gt;"")*(#REF!&lt;&gt;"")</formula>
    </cfRule>
  </conditionalFormatting>
  <conditionalFormatting sqref="T1976">
    <cfRule type="expression" dxfId="0" priority="3711">
      <formula>(#REF!&lt;&gt;"")*(#REF!&lt;&gt;"")</formula>
    </cfRule>
  </conditionalFormatting>
  <conditionalFormatting sqref="Q1981">
    <cfRule type="expression" dxfId="0" priority="3714">
      <formula>(#REF!&lt;&gt;"")*(#REF!&lt;&gt;"")</formula>
    </cfRule>
  </conditionalFormatting>
  <conditionalFormatting sqref="M1982">
    <cfRule type="expression" dxfId="0" priority="3717">
      <formula>(#REF!&lt;&gt;"")*(#REF!&lt;&gt;"")</formula>
    </cfRule>
  </conditionalFormatting>
  <conditionalFormatting sqref="Q1982">
    <cfRule type="expression" dxfId="0" priority="3710">
      <formula>(#REF!&lt;&gt;"")*(#REF!&lt;&gt;"")</formula>
    </cfRule>
    <cfRule type="expression" dxfId="0" priority="3709">
      <formula>(#REF!&lt;&gt;"")*(#REF!&lt;&gt;"")</formula>
    </cfRule>
    <cfRule type="expression" dxfId="1" priority="3706">
      <formula>(#REF!&lt;&gt;"")*(#REF!&lt;&gt;"")</formula>
    </cfRule>
  </conditionalFormatting>
  <conditionalFormatting sqref="M1983">
    <cfRule type="expression" dxfId="0" priority="3708">
      <formula>(#REF!&lt;&gt;"")*(#REF!&lt;&gt;"")</formula>
    </cfRule>
  </conditionalFormatting>
  <conditionalFormatting sqref="Q1983">
    <cfRule type="expression" dxfId="0" priority="3715">
      <formula>(#REF!&lt;&gt;"")*(#REF!&lt;&gt;"")</formula>
    </cfRule>
  </conditionalFormatting>
  <conditionalFormatting sqref="Q1983:R1983">
    <cfRule type="expression" dxfId="0" priority="3707">
      <formula>(#REF!&lt;&gt;"")*(#REF!&lt;&gt;"")</formula>
    </cfRule>
  </conditionalFormatting>
  <conditionalFormatting sqref="M1986">
    <cfRule type="expression" dxfId="0" priority="3671">
      <formula>(#REF!&lt;&gt;"")*(#REF!&lt;&gt;"")</formula>
    </cfRule>
  </conditionalFormatting>
  <conditionalFormatting sqref="Q1986">
    <cfRule type="expression" dxfId="0" priority="3645">
      <formula>(#REF!&lt;&gt;"")*(#REF!&lt;&gt;"")</formula>
    </cfRule>
  </conditionalFormatting>
  <conditionalFormatting sqref="A1993">
    <cfRule type="expression" dxfId="0" priority="3675">
      <formula>(#REF!&lt;&gt;"")*(#REF!&lt;&gt;"")</formula>
    </cfRule>
  </conditionalFormatting>
  <conditionalFormatting sqref="G1993">
    <cfRule type="expression" dxfId="0" priority="3674">
      <formula>(#REF!&lt;&gt;"")*(#REF!&lt;&gt;"")</formula>
    </cfRule>
  </conditionalFormatting>
  <conditionalFormatting sqref="N1996">
    <cfRule type="expression" dxfId="0" priority="3649">
      <formula>(#REF!&lt;&gt;"")*(#REF!&lt;&gt;"")</formula>
    </cfRule>
  </conditionalFormatting>
  <conditionalFormatting sqref="P1996:Q1996">
    <cfRule type="expression" dxfId="1" priority="3650">
      <formula>(#REF!&lt;&gt;"")*(#REF!&lt;&gt;"")</formula>
    </cfRule>
  </conditionalFormatting>
  <conditionalFormatting sqref="Q2002">
    <cfRule type="expression" dxfId="0" priority="3672">
      <formula>(#REF!&lt;&gt;"")*(#REF!&lt;&gt;"")</formula>
    </cfRule>
  </conditionalFormatting>
  <conditionalFormatting sqref="M2019">
    <cfRule type="expression" dxfId="0" priority="3667">
      <formula>(#REF!&lt;&gt;"")*(#REF!&lt;&gt;"")</formula>
    </cfRule>
  </conditionalFormatting>
  <conditionalFormatting sqref="Q2020">
    <cfRule type="expression" dxfId="0" priority="3641">
      <formula>(#REF!&lt;&gt;"")*(#REF!&lt;&gt;"")</formula>
    </cfRule>
  </conditionalFormatting>
  <conditionalFormatting sqref="Q2022">
    <cfRule type="expression" dxfId="0" priority="3642">
      <formula>(#REF!&lt;&gt;"")*(#REF!&lt;&gt;"")</formula>
    </cfRule>
  </conditionalFormatting>
  <conditionalFormatting sqref="M2027">
    <cfRule type="expression" dxfId="1" priority="3640">
      <formula>(#REF!&lt;&gt;"")*(M$1&lt;&gt;"")</formula>
    </cfRule>
  </conditionalFormatting>
  <conditionalFormatting sqref="M2028">
    <cfRule type="expression" dxfId="1" priority="3637">
      <formula>(#REF!&lt;&gt;"")*(M$1&lt;&gt;"")</formula>
    </cfRule>
  </conditionalFormatting>
  <conditionalFormatting sqref="M2029">
    <cfRule type="expression" dxfId="1" priority="3638">
      <formula>(#REF!&lt;&gt;"")*(M$1&lt;&gt;"")</formula>
    </cfRule>
  </conditionalFormatting>
  <conditionalFormatting sqref="M2030">
    <cfRule type="expression" dxfId="1" priority="3639">
      <formula>(#REF!&lt;&gt;"")*(M$1&lt;&gt;"")</formula>
    </cfRule>
  </conditionalFormatting>
  <conditionalFormatting sqref="M2044">
    <cfRule type="expression" dxfId="0" priority="3654">
      <formula>(#REF!&lt;&gt;"")*(#REF!&lt;&gt;"")</formula>
    </cfRule>
  </conditionalFormatting>
  <conditionalFormatting sqref="P2080">
    <cfRule type="expression" dxfId="1" priority="3444">
      <formula>(#REF!&lt;&gt;"")*(#REF!&lt;&gt;"")</formula>
    </cfRule>
  </conditionalFormatting>
  <conditionalFormatting sqref="Q2080">
    <cfRule type="expression" dxfId="1" priority="3445">
      <formula>(#REF!&lt;&gt;"")*(#REF!&lt;&gt;"")</formula>
    </cfRule>
  </conditionalFormatting>
  <conditionalFormatting sqref="P2081">
    <cfRule type="expression" dxfId="1" priority="3442">
      <formula>(#REF!&lt;&gt;"")*(#REF!&lt;&gt;"")</formula>
    </cfRule>
  </conditionalFormatting>
  <conditionalFormatting sqref="Q2081">
    <cfRule type="expression" dxfId="1" priority="3443">
      <formula>(#REF!&lt;&gt;"")*(#REF!&lt;&gt;"")</formula>
    </cfRule>
  </conditionalFormatting>
  <conditionalFormatting sqref="P2082">
    <cfRule type="expression" dxfId="1" priority="3622">
      <formula>(#REF!&lt;&gt;"")*(#REF!&lt;&gt;"")</formula>
    </cfRule>
  </conditionalFormatting>
  <conditionalFormatting sqref="Q2082">
    <cfRule type="expression" dxfId="1" priority="3623">
      <formula>(#REF!&lt;&gt;"")*(#REF!&lt;&gt;"")</formula>
    </cfRule>
  </conditionalFormatting>
  <conditionalFormatting sqref="M2088">
    <cfRule type="expression" dxfId="0" priority="3461">
      <formula>(#REF!&lt;&gt;"")*(#REF!&lt;&gt;"")</formula>
    </cfRule>
  </conditionalFormatting>
  <conditionalFormatting sqref="Q2088">
    <cfRule type="expression" dxfId="0" priority="3462">
      <formula>(#REF!&lt;&gt;"")*(#REF!&lt;&gt;"")</formula>
    </cfRule>
  </conditionalFormatting>
  <conditionalFormatting sqref="M2089">
    <cfRule type="expression" dxfId="0" priority="3459">
      <formula>(#REF!&lt;&gt;"")*(#REF!&lt;&gt;"")</formula>
    </cfRule>
  </conditionalFormatting>
  <conditionalFormatting sqref="Q2089">
    <cfRule type="expression" dxfId="0" priority="3460">
      <formula>(#REF!&lt;&gt;"")*(#REF!&lt;&gt;"")</formula>
    </cfRule>
  </conditionalFormatting>
  <conditionalFormatting sqref="M2092">
    <cfRule type="expression" dxfId="0" priority="3457">
      <formula>(#REF!&lt;&gt;"")*(#REF!&lt;&gt;"")</formula>
    </cfRule>
  </conditionalFormatting>
  <conditionalFormatting sqref="Q2092">
    <cfRule type="expression" dxfId="0" priority="3458">
      <formula>(#REF!&lt;&gt;"")*(#REF!&lt;&gt;"")</formula>
    </cfRule>
  </conditionalFormatting>
  <conditionalFormatting sqref="M2094">
    <cfRule type="expression" dxfId="0" priority="3551">
      <formula>(#REF!&lt;&gt;"")*(#REF!&lt;&gt;"")</formula>
    </cfRule>
  </conditionalFormatting>
  <conditionalFormatting sqref="Q2094">
    <cfRule type="expression" dxfId="0" priority="3552">
      <formula>(#REF!&lt;&gt;"")*(#REF!&lt;&gt;"")</formula>
    </cfRule>
  </conditionalFormatting>
  <conditionalFormatting sqref="Q2095">
    <cfRule type="expression" dxfId="0" priority="3617">
      <formula>(#REF!&lt;&gt;"")*(#REF!&lt;&gt;"")</formula>
    </cfRule>
  </conditionalFormatting>
  <conditionalFormatting sqref="Q2109">
    <cfRule type="expression" dxfId="0" priority="3616">
      <formula>(#REF!&lt;&gt;"")*(#REF!&lt;&gt;"")</formula>
    </cfRule>
  </conditionalFormatting>
  <conditionalFormatting sqref="Q2129">
    <cfRule type="expression" dxfId="0" priority="3526">
      <formula>(#REF!&lt;&gt;"")*(#REF!&lt;&gt;"")</formula>
    </cfRule>
  </conditionalFormatting>
  <conditionalFormatting sqref="M2133">
    <cfRule type="expression" dxfId="0" priority="3538">
      <formula>(#REF!&lt;&gt;"")*(#REF!&lt;&gt;"")</formula>
    </cfRule>
  </conditionalFormatting>
  <conditionalFormatting sqref="Q2133">
    <cfRule type="expression" dxfId="0" priority="3537">
      <formula>(#REF!&lt;&gt;"")*(#REF!&lt;&gt;"")</formula>
    </cfRule>
  </conditionalFormatting>
  <conditionalFormatting sqref="M2134">
    <cfRule type="expression" dxfId="0" priority="3536">
      <formula>(#REF!&lt;&gt;"")*(#REF!&lt;&gt;"")</formula>
    </cfRule>
  </conditionalFormatting>
  <conditionalFormatting sqref="Q2134">
    <cfRule type="expression" dxfId="0" priority="3535">
      <formula>(#REF!&lt;&gt;"")*(#REF!&lt;&gt;"")</formula>
    </cfRule>
  </conditionalFormatting>
  <conditionalFormatting sqref="Q2146">
    <cfRule type="expression" dxfId="0" priority="3527">
      <formula>(#REF!&lt;&gt;"")*(#REF!&lt;&gt;"")</formula>
    </cfRule>
  </conditionalFormatting>
  <conditionalFormatting sqref="J2154">
    <cfRule type="expression" dxfId="1" priority="3500">
      <formula>(#REF!&lt;&gt;"")*(J$1&lt;&gt;"")</formula>
    </cfRule>
  </conditionalFormatting>
  <conditionalFormatting sqref="M2154">
    <cfRule type="expression" dxfId="0" priority="3501">
      <formula>(#REF!&lt;&gt;"")*(#REF!&lt;&gt;"")</formula>
    </cfRule>
  </conditionalFormatting>
  <conditionalFormatting sqref="J2155">
    <cfRule type="expression" dxfId="1" priority="3498">
      <formula>(#REF!&lt;&gt;"")*(J$1&lt;&gt;"")</formula>
    </cfRule>
  </conditionalFormatting>
  <conditionalFormatting sqref="M2155">
    <cfRule type="expression" dxfId="0" priority="3499">
      <formula>(#REF!&lt;&gt;"")*(#REF!&lt;&gt;"")</formula>
    </cfRule>
  </conditionalFormatting>
  <conditionalFormatting sqref="J2186">
    <cfRule type="expression" dxfId="1" priority="3418">
      <formula>(#REF!&lt;&gt;"")*(J$1&lt;&gt;"")</formula>
    </cfRule>
  </conditionalFormatting>
  <conditionalFormatting sqref="M2186">
    <cfRule type="expression" dxfId="0" priority="3419">
      <formula>(#REF!&lt;&gt;"")*(#REF!&lt;&gt;"")</formula>
    </cfRule>
  </conditionalFormatting>
  <conditionalFormatting sqref="Q4304">
    <cfRule type="expression" dxfId="3" priority="3409">
      <formula>(#REF!&lt;&gt;"")*(#REF!&lt;&gt;"")</formula>
    </cfRule>
  </conditionalFormatting>
  <conditionalFormatting sqref="H4306">
    <cfRule type="expression" dxfId="3" priority="3175">
      <formula>(#REF!&lt;&gt;"")*(#REF!&lt;&gt;"")</formula>
    </cfRule>
  </conditionalFormatting>
  <conditionalFormatting sqref="M4306">
    <cfRule type="expression" dxfId="3" priority="3173">
      <formula>(#REF!&lt;&gt;"")*(#REF!&lt;&gt;"")</formula>
    </cfRule>
  </conditionalFormatting>
  <conditionalFormatting sqref="Q4306">
    <cfRule type="expression" dxfId="3" priority="3174">
      <formula>(#REF!&lt;&gt;"")*(#REF!&lt;&gt;"")</formula>
    </cfRule>
  </conditionalFormatting>
  <conditionalFormatting sqref="H4307">
    <cfRule type="expression" dxfId="3" priority="3172">
      <formula>(#REF!&lt;&gt;"")*(#REF!&lt;&gt;"")</formula>
    </cfRule>
  </conditionalFormatting>
  <conditionalFormatting sqref="M4307">
    <cfRule type="expression" dxfId="3" priority="3170">
      <formula>(#REF!&lt;&gt;"")*(#REF!&lt;&gt;"")</formula>
    </cfRule>
  </conditionalFormatting>
  <conditionalFormatting sqref="Q4307">
    <cfRule type="expression" dxfId="3" priority="3171">
      <formula>(#REF!&lt;&gt;"")*(#REF!&lt;&gt;"")</formula>
    </cfRule>
  </conditionalFormatting>
  <conditionalFormatting sqref="M4308">
    <cfRule type="expression" dxfId="3" priority="3410">
      <formula>(#REF!&lt;&gt;"")*(#REF!&lt;&gt;"")</formula>
    </cfRule>
  </conditionalFormatting>
  <conditionalFormatting sqref="Q4308">
    <cfRule type="expression" dxfId="3" priority="3411">
      <formula>(#REF!&lt;&gt;"")*(#REF!&lt;&gt;"")</formula>
    </cfRule>
  </conditionalFormatting>
  <conditionalFormatting sqref="H4309">
    <cfRule type="expression" dxfId="3" priority="3169">
      <formula>(#REF!&lt;&gt;"")*(#REF!&lt;&gt;"")</formula>
    </cfRule>
  </conditionalFormatting>
  <conditionalFormatting sqref="M4309">
    <cfRule type="expression" dxfId="3" priority="3167">
      <formula>(#REF!&lt;&gt;"")*(#REF!&lt;&gt;"")</formula>
    </cfRule>
  </conditionalFormatting>
  <conditionalFormatting sqref="Q4309">
    <cfRule type="expression" dxfId="3" priority="3168">
      <formula>(#REF!&lt;&gt;"")*(#REF!&lt;&gt;"")</formula>
    </cfRule>
  </conditionalFormatting>
  <conditionalFormatting sqref="H4310">
    <cfRule type="expression" dxfId="3" priority="3166">
      <formula>(#REF!&lt;&gt;"")*(#REF!&lt;&gt;"")</formula>
    </cfRule>
  </conditionalFormatting>
  <conditionalFormatting sqref="T4311">
    <cfRule type="expression" dxfId="3" priority="3408">
      <formula>(#REF!&lt;&gt;"")*(#REF!&lt;&gt;"")</formula>
    </cfRule>
  </conditionalFormatting>
  <conditionalFormatting sqref="M4312">
    <cfRule type="expression" dxfId="3" priority="3406">
      <formula>(#REF!&lt;&gt;"")*(#REF!&lt;&gt;"")</formula>
    </cfRule>
  </conditionalFormatting>
  <conditionalFormatting sqref="M4315">
    <cfRule type="expression" dxfId="3" priority="3164">
      <formula>(#REF!&lt;&gt;"")*(#REF!&lt;&gt;"")</formula>
    </cfRule>
  </conditionalFormatting>
  <conditionalFormatting sqref="M4318">
    <cfRule type="expression" dxfId="3" priority="3405">
      <formula>(#REF!&lt;&gt;"")*(#REF!&lt;&gt;"")</formula>
    </cfRule>
  </conditionalFormatting>
  <conditionalFormatting sqref="A4319">
    <cfRule type="expression" dxfId="3" priority="3390">
      <formula>(#REF!&lt;&gt;"")*(#REF!&lt;&gt;"")</formula>
    </cfRule>
  </conditionalFormatting>
  <conditionalFormatting sqref="A4320">
    <cfRule type="expression" dxfId="3" priority="3388">
      <formula>(#REF!&lt;&gt;"")*(#REF!&lt;&gt;"")</formula>
    </cfRule>
  </conditionalFormatting>
  <conditionalFormatting sqref="H4322">
    <cfRule type="expression" dxfId="0" priority="3201">
      <formula>(#REF!&lt;&gt;"")*(#REF!&lt;&gt;"")</formula>
    </cfRule>
  </conditionalFormatting>
  <conditionalFormatting sqref="M4322">
    <cfRule type="expression" dxfId="0" priority="3202">
      <formula>(#REF!&lt;&gt;"")*(#REF!&lt;&gt;"")</formula>
    </cfRule>
  </conditionalFormatting>
  <conditionalFormatting sqref="P4322:Q4322">
    <cfRule type="expression" dxfId="1" priority="3204">
      <formula>(#REF!&lt;&gt;"")*(#REF!&lt;&gt;"")</formula>
    </cfRule>
  </conditionalFormatting>
  <conditionalFormatting sqref="T4322:U4322">
    <cfRule type="expression" dxfId="0" priority="3203">
      <formula>(#REF!&lt;&gt;"")*(#REF!&lt;&gt;"")</formula>
    </cfRule>
  </conditionalFormatting>
  <conditionalFormatting sqref="M4323">
    <cfRule type="expression" dxfId="3" priority="3403">
      <formula>(#REF!&lt;&gt;"")*(#REF!&lt;&gt;"")</formula>
    </cfRule>
  </conditionalFormatting>
  <conditionalFormatting sqref="M4324">
    <cfRule type="expression" dxfId="3" priority="3395">
      <formula>(#REF!&lt;&gt;"")*(#REF!&lt;&gt;"")</formula>
    </cfRule>
  </conditionalFormatting>
  <conditionalFormatting sqref="M4325">
    <cfRule type="expression" dxfId="3" priority="3402">
      <formula>(#REF!&lt;&gt;"")*(#REF!&lt;&gt;"")</formula>
    </cfRule>
  </conditionalFormatting>
  <conditionalFormatting sqref="M4326">
    <cfRule type="expression" dxfId="3" priority="3401">
      <formula>(#REF!&lt;&gt;"")*(#REF!&lt;&gt;"")</formula>
    </cfRule>
  </conditionalFormatting>
  <conditionalFormatting sqref="M4327">
    <cfRule type="expression" dxfId="3" priority="3394">
      <formula>(#REF!&lt;&gt;"")*(#REF!&lt;&gt;"")</formula>
    </cfRule>
  </conditionalFormatting>
  <conditionalFormatting sqref="M4328">
    <cfRule type="expression" dxfId="3" priority="3393">
      <formula>(#REF!&lt;&gt;"")*(#REF!&lt;&gt;"")</formula>
    </cfRule>
  </conditionalFormatting>
  <conditionalFormatting sqref="M4329">
    <cfRule type="expression" dxfId="3" priority="3400">
      <formula>(#REF!&lt;&gt;"")*(#REF!&lt;&gt;"")</formula>
    </cfRule>
  </conditionalFormatting>
  <conditionalFormatting sqref="M4330">
    <cfRule type="expression" dxfId="3" priority="3399">
      <formula>(#REF!&lt;&gt;"")*(#REF!&lt;&gt;"")</formula>
    </cfRule>
  </conditionalFormatting>
  <conditionalFormatting sqref="M4331">
    <cfRule type="expression" dxfId="3" priority="3398">
      <formula>(#REF!&lt;&gt;"")*(#REF!&lt;&gt;"")</formula>
    </cfRule>
  </conditionalFormatting>
  <conditionalFormatting sqref="M4332">
    <cfRule type="expression" dxfId="3" priority="3397">
      <formula>(#REF!&lt;&gt;"")*(#REF!&lt;&gt;"")</formula>
    </cfRule>
  </conditionalFormatting>
  <conditionalFormatting sqref="G4334">
    <cfRule type="expression" dxfId="1" priority="3197">
      <formula>(#REF!&lt;&gt;"")*(#REF!&lt;&gt;"")</formula>
    </cfRule>
  </conditionalFormatting>
  <conditionalFormatting sqref="J4334">
    <cfRule type="expression" dxfId="3" priority="3196">
      <formula>(#REF!&lt;&gt;"")*(#REF!&lt;&gt;"")</formula>
    </cfRule>
  </conditionalFormatting>
  <conditionalFormatting sqref="G4335">
    <cfRule type="expression" dxfId="1" priority="3189">
      <formula>(#REF!&lt;&gt;"")*(#REF!&lt;&gt;"")</formula>
    </cfRule>
  </conditionalFormatting>
  <conditionalFormatting sqref="H4335">
    <cfRule type="expression" dxfId="3" priority="3191">
      <formula>(#REF!&lt;&gt;"")*(#REF!&lt;&gt;"")</formula>
    </cfRule>
  </conditionalFormatting>
  <conditionalFormatting sqref="J4335">
    <cfRule type="expression" dxfId="3" priority="3188">
      <formula>(#REF!&lt;&gt;"")*(#REF!&lt;&gt;"")</formula>
    </cfRule>
  </conditionalFormatting>
  <conditionalFormatting sqref="M4335">
    <cfRule type="expression" dxfId="3" priority="3190">
      <formula>(#REF!&lt;&gt;"")*(#REF!&lt;&gt;"")</formula>
    </cfRule>
  </conditionalFormatting>
  <conditionalFormatting sqref="H4336">
    <cfRule type="expression" dxfId="3" priority="3404">
      <formula>(#REF!&lt;&gt;"")*(#REF!&lt;&gt;"")</formula>
    </cfRule>
  </conditionalFormatting>
  <conditionalFormatting sqref="M4336">
    <cfRule type="expression" dxfId="3" priority="3396">
      <formula>(#REF!&lt;&gt;"")*(#REF!&lt;&gt;"")</formula>
    </cfRule>
  </conditionalFormatting>
  <conditionalFormatting sqref="H4337">
    <cfRule type="expression" dxfId="3" priority="3193">
      <formula>(#REF!&lt;&gt;"")*(#REF!&lt;&gt;"")</formula>
    </cfRule>
  </conditionalFormatting>
  <conditionalFormatting sqref="M4337">
    <cfRule type="expression" dxfId="3" priority="3192">
      <formula>(#REF!&lt;&gt;"")*(#REF!&lt;&gt;"")</formula>
    </cfRule>
  </conditionalFormatting>
  <conditionalFormatting sqref="M4338">
    <cfRule type="expression" dxfId="3" priority="3160">
      <formula>(#REF!&lt;&gt;"")*(#REF!&lt;&gt;"")</formula>
    </cfRule>
    <cfRule type="expression" dxfId="3" priority="3161">
      <formula>(#REF!&lt;&gt;"")*(#REF!&lt;&gt;"")</formula>
    </cfRule>
  </conditionalFormatting>
  <conditionalFormatting sqref="K4339">
    <cfRule type="expression" dxfId="3" priority="3183">
      <formula>(#REF!&lt;&gt;"")*(#REF!&lt;&gt;"")</formula>
    </cfRule>
    <cfRule type="expression" dxfId="3" priority="3184">
      <formula>(#REF!&lt;&gt;"")*(#REF!&lt;&gt;"")</formula>
    </cfRule>
  </conditionalFormatting>
  <conditionalFormatting sqref="L4339">
    <cfRule type="expression" dxfId="3" priority="3207">
      <formula>(#REF!&lt;&gt;"")*(#REF!&lt;&gt;"")</formula>
    </cfRule>
  </conditionalFormatting>
  <conditionalFormatting sqref="M4339">
    <cfRule type="expression" dxfId="3" priority="3330">
      <formula>(#REF!&lt;&gt;"")*(#REF!&lt;&gt;"")</formula>
    </cfRule>
  </conditionalFormatting>
  <conditionalFormatting sqref="L4340">
    <cfRule type="expression" dxfId="3" priority="3209">
      <formula>(#REF!&lt;&gt;"")*(#REF!&lt;&gt;"")</formula>
    </cfRule>
    <cfRule type="expression" dxfId="3" priority="3210">
      <formula>(#REF!&lt;&gt;"")*(#REF!&lt;&gt;"")</formula>
    </cfRule>
  </conditionalFormatting>
  <conditionalFormatting sqref="L4341">
    <cfRule type="expression" dxfId="3" priority="3211">
      <formula>(#REF!&lt;&gt;"")*(#REF!&lt;&gt;"")</formula>
    </cfRule>
    <cfRule type="expression" dxfId="3" priority="3212">
      <formula>(#REF!&lt;&gt;"")*(#REF!&lt;&gt;"")</formula>
    </cfRule>
  </conditionalFormatting>
  <conditionalFormatting sqref="M4342">
    <cfRule type="expression" dxfId="3" priority="3331">
      <formula>(#REF!&lt;&gt;"")*(#REF!&lt;&gt;"")</formula>
    </cfRule>
  </conditionalFormatting>
  <conditionalFormatting sqref="L4343">
    <cfRule type="expression" dxfId="3" priority="3215">
      <formula>(#REF!&lt;&gt;"")*(#REF!&lt;&gt;"")</formula>
    </cfRule>
    <cfRule type="expression" dxfId="3" priority="3216">
      <formula>(#REF!&lt;&gt;"")*(#REF!&lt;&gt;"")</formula>
    </cfRule>
  </conditionalFormatting>
  <conditionalFormatting sqref="M4343">
    <cfRule type="expression" dxfId="3" priority="3332">
      <formula>(#REF!&lt;&gt;"")*(#REF!&lt;&gt;"")</formula>
    </cfRule>
  </conditionalFormatting>
  <conditionalFormatting sqref="L4344">
    <cfRule type="expression" dxfId="3" priority="3217">
      <formula>(#REF!&lt;&gt;"")*(#REF!&lt;&gt;"")</formula>
    </cfRule>
    <cfRule type="expression" dxfId="3" priority="3218">
      <formula>(#REF!&lt;&gt;"")*(#REF!&lt;&gt;"")</formula>
    </cfRule>
  </conditionalFormatting>
  <conditionalFormatting sqref="L4345">
    <cfRule type="expression" dxfId="3" priority="3213">
      <formula>(#REF!&lt;&gt;"")*(#REF!&lt;&gt;"")</formula>
    </cfRule>
    <cfRule type="expression" dxfId="3" priority="3214">
      <formula>(#REF!&lt;&gt;"")*(#REF!&lt;&gt;"")</formula>
    </cfRule>
  </conditionalFormatting>
  <conditionalFormatting sqref="L4346">
    <cfRule type="expression" dxfId="3" priority="3219">
      <formula>(#REF!&lt;&gt;"")*(#REF!&lt;&gt;"")</formula>
    </cfRule>
    <cfRule type="expression" dxfId="3" priority="3220">
      <formula>(#REF!&lt;&gt;"")*(#REF!&lt;&gt;"")</formula>
    </cfRule>
  </conditionalFormatting>
  <conditionalFormatting sqref="L4348">
    <cfRule type="expression" dxfId="3" priority="3221">
      <formula>(#REF!&lt;&gt;"")*(#REF!&lt;&gt;"")</formula>
    </cfRule>
    <cfRule type="expression" dxfId="3" priority="3222">
      <formula>(#REF!&lt;&gt;"")*(#REF!&lt;&gt;"")</formula>
    </cfRule>
  </conditionalFormatting>
  <conditionalFormatting sqref="L4350">
    <cfRule type="expression" dxfId="3" priority="3223">
      <formula>(#REF!&lt;&gt;"")*(#REF!&lt;&gt;"")</formula>
    </cfRule>
    <cfRule type="expression" dxfId="3" priority="3224">
      <formula>(#REF!&lt;&gt;"")*(#REF!&lt;&gt;"")</formula>
    </cfRule>
  </conditionalFormatting>
  <conditionalFormatting sqref="Q4350">
    <cfRule type="expression" dxfId="3" priority="3371">
      <formula>(#REF!&lt;&gt;"")*(#REF!&lt;&gt;"")</formula>
    </cfRule>
  </conditionalFormatting>
  <conditionalFormatting sqref="A4351">
    <cfRule type="expression" dxfId="3" priority="3368">
      <formula>(#REF!&lt;&gt;"")*(#REF!&lt;&gt;"")</formula>
    </cfRule>
  </conditionalFormatting>
  <conditionalFormatting sqref="P4351:Q4351">
    <cfRule type="expression" dxfId="3" priority="3369">
      <formula>(#REF!&lt;&gt;"")*(#REF!&lt;&gt;"")</formula>
    </cfRule>
  </conditionalFormatting>
  <conditionalFormatting sqref="Q4351">
    <cfRule type="expression" dxfId="3" priority="3367">
      <formula>(#REF!&lt;&gt;"")*(#REF!&lt;&gt;"")</formula>
    </cfRule>
  </conditionalFormatting>
  <conditionalFormatting sqref="Q4352">
    <cfRule type="expression" dxfId="3" priority="3377">
      <formula>(#REF!&lt;&gt;"")*(#REF!&lt;&gt;"")</formula>
    </cfRule>
  </conditionalFormatting>
  <conditionalFormatting sqref="M4353">
    <cfRule type="expression" dxfId="3" priority="3358">
      <formula>(#REF!&lt;&gt;"")*(#REF!&lt;&gt;"")</formula>
    </cfRule>
  </conditionalFormatting>
  <conditionalFormatting sqref="N4353">
    <cfRule type="expression" dxfId="3" priority="3356">
      <formula>(#REF!&lt;&gt;"")*(#REF!&lt;&gt;"")</formula>
    </cfRule>
    <cfRule type="expression" dxfId="3" priority="3357">
      <formula>(#REF!&lt;&gt;"")*(#REF!&lt;&gt;"")</formula>
    </cfRule>
  </conditionalFormatting>
  <conditionalFormatting sqref="P4353:Q4353">
    <cfRule type="expression" dxfId="3" priority="3360">
      <formula>(#REF!&lt;&gt;"")*(#REF!&lt;&gt;"")</formula>
    </cfRule>
  </conditionalFormatting>
  <conditionalFormatting sqref="C4355">
    <cfRule type="expression" dxfId="3" priority="3362">
      <formula>(#REF!&lt;&gt;"")*(#REF!&lt;&gt;"")</formula>
    </cfRule>
  </conditionalFormatting>
  <conditionalFormatting sqref="H4355">
    <cfRule type="expression" dxfId="3" priority="3364">
      <formula>(#REF!&lt;&gt;"")*(#REF!&lt;&gt;"")</formula>
    </cfRule>
  </conditionalFormatting>
  <conditionalFormatting sqref="L4355">
    <cfRule type="expression" dxfId="3" priority="3225">
      <formula>(#REF!&lt;&gt;"")*(#REF!&lt;&gt;"")</formula>
    </cfRule>
    <cfRule type="expression" dxfId="3" priority="3226">
      <formula>(#REF!&lt;&gt;"")*(#REF!&lt;&gt;"")</formula>
    </cfRule>
  </conditionalFormatting>
  <conditionalFormatting sqref="P4355:Q4355">
    <cfRule type="expression" dxfId="3" priority="3365">
      <formula>(#REF!&lt;&gt;"")*(#REF!&lt;&gt;"")</formula>
    </cfRule>
  </conditionalFormatting>
  <conditionalFormatting sqref="N4358">
    <cfRule type="expression" dxfId="3" priority="3350">
      <formula>(#REF!&lt;&gt;"")*(#REF!&lt;&gt;"")</formula>
    </cfRule>
    <cfRule type="expression" dxfId="3" priority="3351">
      <formula>(#REF!&lt;&gt;"")*(#REF!&lt;&gt;"")</formula>
    </cfRule>
  </conditionalFormatting>
  <conditionalFormatting sqref="A4361">
    <cfRule type="expression" dxfId="3" priority="3341">
      <formula>(#REF!&lt;&gt;"")*(#REF!&lt;&gt;"")</formula>
    </cfRule>
    <cfRule type="expression" dxfId="3" priority="3348">
      <formula>(#REF!&lt;&gt;"")*(#REF!&lt;&gt;"")</formula>
    </cfRule>
  </conditionalFormatting>
  <conditionalFormatting sqref="F4361:G4361">
    <cfRule type="expression" dxfId="3" priority="3342">
      <formula>(#REF!&lt;&gt;"")*(#REF!&lt;&gt;"")</formula>
    </cfRule>
  </conditionalFormatting>
  <conditionalFormatting sqref="H4361">
    <cfRule type="expression" dxfId="3" priority="3336">
      <formula>(#REF!&lt;&gt;"")*(#REF!&lt;&gt;"")</formula>
    </cfRule>
    <cfRule type="expression" dxfId="3" priority="3337">
      <formula>(#REF!&lt;&gt;"")*(#REF!&lt;&gt;"")</formula>
    </cfRule>
    <cfRule type="expression" dxfId="3" priority="3338">
      <formula>(#REF!&lt;&gt;"")*(#REF!&lt;&gt;"")</formula>
    </cfRule>
    <cfRule type="expression" dxfId="3" priority="3339">
      <formula>(#REF!&lt;&gt;"")*(#REF!&lt;&gt;"")</formula>
    </cfRule>
  </conditionalFormatting>
  <conditionalFormatting sqref="N4361">
    <cfRule type="expression" dxfId="3" priority="3334">
      <formula>(#REF!&lt;&gt;"")*(#REF!&lt;&gt;"")</formula>
    </cfRule>
    <cfRule type="expression" dxfId="3" priority="3335">
      <formula>(#REF!&lt;&gt;"")*(#REF!&lt;&gt;"")</formula>
    </cfRule>
  </conditionalFormatting>
  <conditionalFormatting sqref="P4361:Q4361">
    <cfRule type="expression" dxfId="3" priority="3347">
      <formula>(#REF!&lt;&gt;"")*(#REF!&lt;&gt;"")</formula>
    </cfRule>
  </conditionalFormatting>
  <conditionalFormatting sqref="Q4361">
    <cfRule type="expression" dxfId="3" priority="3343">
      <formula>(#REF!&lt;&gt;"")*(#REF!&lt;&gt;"")</formula>
    </cfRule>
  </conditionalFormatting>
  <conditionalFormatting sqref="T4362">
    <cfRule type="expression" dxfId="3" priority="3378">
      <formula>(#REF!&lt;&gt;"")*(#REF!&lt;&gt;"")</formula>
    </cfRule>
  </conditionalFormatting>
  <conditionalFormatting sqref="P4363:Q4363">
    <cfRule type="expression" dxfId="3" priority="3354">
      <formula>(#REF!&lt;&gt;"")*(#REF!&lt;&gt;"")</formula>
    </cfRule>
  </conditionalFormatting>
  <conditionalFormatting sqref="T4363">
    <cfRule type="expression" dxfId="3" priority="3352">
      <formula>(#REF!&lt;&gt;"")*(#REF!&lt;&gt;"")</formula>
    </cfRule>
    <cfRule type="expression" dxfId="3" priority="3353">
      <formula>(#REF!&lt;&gt;"")*(#REF!&lt;&gt;"")</formula>
    </cfRule>
  </conditionalFormatting>
  <conditionalFormatting sqref="M4367">
    <cfRule type="expression" dxfId="3" priority="3229">
      <formula>(#REF!&lt;&gt;"")*(#REF!&lt;&gt;"")</formula>
    </cfRule>
  </conditionalFormatting>
  <conditionalFormatting sqref="P4371:Q4371">
    <cfRule type="expression" dxfId="3" priority="3328">
      <formula>(#REF!&lt;&gt;"")*(#REF!&lt;&gt;"")</formula>
    </cfRule>
  </conditionalFormatting>
  <conditionalFormatting sqref="M4372">
    <cfRule type="expression" dxfId="3" priority="3321">
      <formula>(#REF!&lt;&gt;"")*(#REF!&lt;&gt;"")</formula>
    </cfRule>
  </conditionalFormatting>
  <conditionalFormatting sqref="Q4372">
    <cfRule type="expression" dxfId="3" priority="3322">
      <formula>(#REF!&lt;&gt;"")*(#REF!&lt;&gt;"")</formula>
    </cfRule>
  </conditionalFormatting>
  <conditionalFormatting sqref="T4372">
    <cfRule type="expression" dxfId="3" priority="3320">
      <formula>(#REF!&lt;&gt;"")*(#REF!&lt;&gt;"")</formula>
    </cfRule>
  </conditionalFormatting>
  <conditionalFormatting sqref="M4373">
    <cfRule type="expression" dxfId="3" priority="3315">
      <formula>(#REF!&lt;&gt;"")*(#REF!&lt;&gt;"")</formula>
    </cfRule>
  </conditionalFormatting>
  <conditionalFormatting sqref="P4373:Q4373">
    <cfRule type="expression" dxfId="3" priority="3314">
      <formula>(#REF!&lt;&gt;"")*(#REF!&lt;&gt;"")</formula>
    </cfRule>
    <cfRule type="expression" dxfId="3" priority="3324">
      <formula>(#REF!&lt;&gt;"")*(#REF!&lt;&gt;"")</formula>
    </cfRule>
  </conditionalFormatting>
  <conditionalFormatting sqref="M4374">
    <cfRule type="expression" dxfId="3" priority="3316">
      <formula>(#REF!&lt;&gt;"")*(#REF!&lt;&gt;"")</formula>
    </cfRule>
  </conditionalFormatting>
  <conditionalFormatting sqref="Q4374">
    <cfRule type="expression" dxfId="3" priority="3319">
      <formula>(#REF!&lt;&gt;"")*(#REF!&lt;&gt;"")</formula>
    </cfRule>
  </conditionalFormatting>
  <conditionalFormatting sqref="T4374">
    <cfRule type="expression" dxfId="3" priority="3318">
      <formula>(#REF!&lt;&gt;"")*(#REF!&lt;&gt;"")</formula>
    </cfRule>
  </conditionalFormatting>
  <conditionalFormatting sqref="Q4376">
    <cfRule type="expression" dxfId="3" priority="3317">
      <formula>(#REF!&lt;&gt;"")*(#REF!&lt;&gt;"")</formula>
    </cfRule>
  </conditionalFormatting>
  <conditionalFormatting sqref="Q4377">
    <cfRule type="expression" dxfId="3" priority="3327">
      <formula>(#REF!&lt;&gt;"")*(#REF!&lt;&gt;"")</formula>
    </cfRule>
  </conditionalFormatting>
  <conditionalFormatting sqref="J4378">
    <cfRule type="expression" dxfId="3" priority="3325">
      <formula>(#REF!&lt;&gt;"")*(#REF!&lt;&gt;"")</formula>
    </cfRule>
  </conditionalFormatting>
  <conditionalFormatting sqref="M4380">
    <cfRule type="expression" dxfId="3" priority="3185">
      <formula>(#REF!&lt;&gt;"")*(#REF!&lt;&gt;"")</formula>
    </cfRule>
  </conditionalFormatting>
  <conditionalFormatting sqref="J4382">
    <cfRule type="expression" dxfId="3" priority="3305">
      <formula>(#REF!&lt;&gt;"")*(#REF!&lt;&gt;"")</formula>
    </cfRule>
  </conditionalFormatting>
  <conditionalFormatting sqref="M4382">
    <cfRule type="expression" dxfId="3" priority="3306">
      <formula>(#REF!&lt;&gt;"")*(#REF!&lt;&gt;"")</formula>
    </cfRule>
  </conditionalFormatting>
  <conditionalFormatting sqref="Q4382">
    <cfRule type="expression" dxfId="3" priority="3302">
      <formula>(#REF!&lt;&gt;"")*(#REF!&lt;&gt;"")</formula>
    </cfRule>
    <cfRule type="expression" dxfId="3" priority="3303">
      <formula>(#REF!&lt;&gt;"")*(#REF!&lt;&gt;"")</formula>
    </cfRule>
    <cfRule type="expression" dxfId="3" priority="3304">
      <formula>(#REF!&lt;&gt;"")*(#REF!&lt;&gt;"")</formula>
    </cfRule>
  </conditionalFormatting>
  <conditionalFormatting sqref="M4383">
    <cfRule type="expression" dxfId="3" priority="3309">
      <formula>(#REF!&lt;&gt;"")*(#REF!&lt;&gt;"")</formula>
    </cfRule>
  </conditionalFormatting>
  <conditionalFormatting sqref="Q4383">
    <cfRule type="expression" dxfId="3" priority="3307">
      <formula>(#REF!&lt;&gt;"")*(#REF!&lt;&gt;"")</formula>
    </cfRule>
    <cfRule type="expression" dxfId="3" priority="3308">
      <formula>(#REF!&lt;&gt;"")*(#REF!&lt;&gt;"")</formula>
    </cfRule>
    <cfRule type="expression" dxfId="3" priority="3310">
      <formula>(#REF!&lt;&gt;"")*(#REF!&lt;&gt;"")</formula>
    </cfRule>
    <cfRule type="expression" dxfId="3" priority="3311">
      <formula>(#REF!&lt;&gt;"")*(#REF!&lt;&gt;"")</formula>
    </cfRule>
  </conditionalFormatting>
  <conditionalFormatting sqref="J4392">
    <cfRule type="expression" dxfId="3" priority="3299">
      <formula>(#REF!&lt;&gt;"")*(#REF!&lt;&gt;"")</formula>
    </cfRule>
  </conditionalFormatting>
  <conditionalFormatting sqref="J4393">
    <cfRule type="expression" dxfId="3" priority="3298">
      <formula>(#REF!&lt;&gt;"")*(#REF!&lt;&gt;"")</formula>
    </cfRule>
  </conditionalFormatting>
  <conditionalFormatting sqref="J4394">
    <cfRule type="expression" dxfId="3" priority="3199">
      <formula>(#REF!&lt;&gt;"")*(#REF!&lt;&gt;"")</formula>
    </cfRule>
  </conditionalFormatting>
  <conditionalFormatting sqref="J4396">
    <cfRule type="expression" dxfId="3" priority="3198">
      <formula>(#REF!&lt;&gt;"")*(#REF!&lt;&gt;"")</formula>
    </cfRule>
  </conditionalFormatting>
  <conditionalFormatting sqref="J4397">
    <cfRule type="expression" dxfId="3" priority="3232">
      <formula>(#REF!&lt;&gt;"")*(#REF!&lt;&gt;"")</formula>
    </cfRule>
  </conditionalFormatting>
  <conditionalFormatting sqref="J4398">
    <cfRule type="expression" dxfId="3" priority="3187">
      <formula>(#REF!&lt;&gt;"")*(#REF!&lt;&gt;"")</formula>
    </cfRule>
  </conditionalFormatting>
  <conditionalFormatting sqref="P4460:Q4460">
    <cfRule type="expression" dxfId="3" priority="3292">
      <formula>(#REF!&lt;&gt;"")*(#REF!&lt;&gt;"")</formula>
    </cfRule>
  </conditionalFormatting>
  <conditionalFormatting sqref="P4462">
    <cfRule type="expression" dxfId="3" priority="3291">
      <formula>(#REF!&lt;&gt;"")*(#REF!&lt;&gt;"")</formula>
    </cfRule>
  </conditionalFormatting>
  <conditionalFormatting sqref="Q4462">
    <cfRule type="expression" dxfId="3" priority="3290">
      <formula>(#REF!&lt;&gt;"")*(#REF!&lt;&gt;"")</formula>
    </cfRule>
  </conditionalFormatting>
  <conditionalFormatting sqref="Q4464">
    <cfRule type="expression" dxfId="3" priority="3289">
      <formula>(#REF!&lt;&gt;"")*(#REF!&lt;&gt;"")</formula>
    </cfRule>
  </conditionalFormatting>
  <conditionalFormatting sqref="Q4465">
    <cfRule type="expression" dxfId="3" priority="3294">
      <formula>(#REF!&lt;&gt;"")*(#REF!&lt;&gt;"")</formula>
    </cfRule>
  </conditionalFormatting>
  <conditionalFormatting sqref="Q4467">
    <cfRule type="expression" dxfId="3" priority="3293">
      <formula>(#REF!&lt;&gt;"")*(#REF!&lt;&gt;"")</formula>
    </cfRule>
  </conditionalFormatting>
  <conditionalFormatting sqref="M4477">
    <cfRule type="expression" dxfId="3" priority="3194">
      <formula>(#REF!&lt;&gt;"")*(#REF!&lt;&gt;"")</formula>
    </cfRule>
  </conditionalFormatting>
  <conditionalFormatting sqref="M4479">
    <cfRule type="expression" dxfId="3" priority="3195">
      <formula>(#REF!&lt;&gt;"")*(#REF!&lt;&gt;"")</formula>
    </cfRule>
  </conditionalFormatting>
  <conditionalFormatting sqref="P4484">
    <cfRule type="expression" dxfId="3" priority="3284">
      <formula>(#REF!&lt;&gt;"")*(#REF!&lt;&gt;"")</formula>
    </cfRule>
  </conditionalFormatting>
  <conditionalFormatting sqref="Q4484">
    <cfRule type="expression" dxfId="3" priority="3283">
      <formula>(#REF!&lt;&gt;"")*(#REF!&lt;&gt;"")</formula>
    </cfRule>
  </conditionalFormatting>
  <conditionalFormatting sqref="P4485">
    <cfRule type="expression" dxfId="3" priority="3282">
      <formula>(#REF!&lt;&gt;"")*(#REF!&lt;&gt;"")</formula>
    </cfRule>
  </conditionalFormatting>
  <conditionalFormatting sqref="Q4485">
    <cfRule type="expression" dxfId="3" priority="3281">
      <formula>(#REF!&lt;&gt;"")*(#REF!&lt;&gt;"")</formula>
    </cfRule>
  </conditionalFormatting>
  <conditionalFormatting sqref="P4486">
    <cfRule type="expression" dxfId="3" priority="3280">
      <formula>(#REF!&lt;&gt;"")*(#REF!&lt;&gt;"")</formula>
    </cfRule>
  </conditionalFormatting>
  <conditionalFormatting sqref="Q4486">
    <cfRule type="expression" dxfId="3" priority="3279">
      <formula>(#REF!&lt;&gt;"")*(#REF!&lt;&gt;"")</formula>
    </cfRule>
  </conditionalFormatting>
  <conditionalFormatting sqref="E4496:G4496">
    <cfRule type="expression" dxfId="3" priority="3274">
      <formula>(#REF!&lt;&gt;"")*(#REF!&lt;&gt;"")</formula>
    </cfRule>
  </conditionalFormatting>
  <conditionalFormatting sqref="K4496">
    <cfRule type="expression" dxfId="3" priority="3266">
      <formula>(#REF!&lt;&gt;"")*(#REF!&lt;&gt;"")</formula>
    </cfRule>
  </conditionalFormatting>
  <conditionalFormatting sqref="N4496:O4496">
    <cfRule type="expression" dxfId="3" priority="3269">
      <formula>(#REF!&lt;&gt;"")*(#REF!&lt;&gt;"")</formula>
    </cfRule>
  </conditionalFormatting>
  <conditionalFormatting sqref="P4496:Q4496">
    <cfRule type="expression" dxfId="3" priority="3267">
      <formula>(#REF!&lt;&gt;"")*(#REF!&lt;&gt;"")</formula>
    </cfRule>
    <cfRule type="expression" dxfId="3" priority="3271">
      <formula>(#REF!&lt;&gt;"")*(#REF!&lt;&gt;"")</formula>
    </cfRule>
  </conditionalFormatting>
  <conditionalFormatting sqref="L4497">
    <cfRule type="expression" dxfId="3" priority="3235">
      <formula>(#REF!&lt;&gt;"")*(#REF!&lt;&gt;"")</formula>
    </cfRule>
    <cfRule type="expression" dxfId="3" priority="3236">
      <formula>(#REF!&lt;&gt;"")*(#REF!&lt;&gt;"")</formula>
    </cfRule>
  </conditionalFormatting>
  <conditionalFormatting sqref="N4497">
    <cfRule type="expression" dxfId="3" priority="3259">
      <formula>(#REF!&lt;&gt;"")*(#REF!&lt;&gt;"")</formula>
    </cfRule>
    <cfRule type="expression" dxfId="3" priority="3260">
      <formula>(#REF!&lt;&gt;"")*(#REF!&lt;&gt;"")</formula>
    </cfRule>
  </conditionalFormatting>
  <conditionalFormatting sqref="P4497:Q4497">
    <cfRule type="expression" dxfId="3" priority="3264">
      <formula>(#REF!&lt;&gt;"")*(#REF!&lt;&gt;"")</formula>
    </cfRule>
  </conditionalFormatting>
  <conditionalFormatting sqref="Q4497">
    <cfRule type="expression" dxfId="3" priority="3262">
      <formula>(#REF!&lt;&gt;"")*(#REF!&lt;&gt;"")</formula>
    </cfRule>
  </conditionalFormatting>
  <conditionalFormatting sqref="E4498:G4498">
    <cfRule type="expression" dxfId="3" priority="3247">
      <formula>(#REF!&lt;&gt;"")*(#REF!&lt;&gt;"")</formula>
    </cfRule>
  </conditionalFormatting>
  <conditionalFormatting sqref="J4498">
    <cfRule type="expression" dxfId="3" priority="3243">
      <formula>(#REF!&lt;&gt;"")*(#REF!&lt;&gt;"")</formula>
    </cfRule>
  </conditionalFormatting>
  <conditionalFormatting sqref="K4498">
    <cfRule type="expression" dxfId="3" priority="3244">
      <formula>(#REF!&lt;&gt;"")*(#REF!&lt;&gt;"")</formula>
    </cfRule>
  </conditionalFormatting>
  <conditionalFormatting sqref="L4498">
    <cfRule type="expression" dxfId="3" priority="3245">
      <formula>(#REF!&lt;&gt;"")*(#REF!&lt;&gt;"")</formula>
    </cfRule>
    <cfRule type="expression" dxfId="3" priority="3246">
      <formula>(#REF!&lt;&gt;"")*(#REF!&lt;&gt;"")</formula>
    </cfRule>
  </conditionalFormatting>
  <conditionalFormatting sqref="M4498">
    <cfRule type="expression" dxfId="3" priority="3261">
      <formula>(#REF!&lt;&gt;"")*(#REF!&lt;&gt;"")</formula>
    </cfRule>
  </conditionalFormatting>
  <conditionalFormatting sqref="C4500">
    <cfRule type="expression" dxfId="3" priority="3272">
      <formula>(#REF!&lt;&gt;"")*(#REF!&lt;&gt;"")</formula>
    </cfRule>
  </conditionalFormatting>
  <conditionalFormatting sqref="P4500:Q4500">
    <cfRule type="expression" dxfId="3" priority="3296">
      <formula>(#REF!&lt;&gt;"")*(#REF!&lt;&gt;"")</formula>
    </cfRule>
  </conditionalFormatting>
  <conditionalFormatting sqref="P4501:Q4501">
    <cfRule type="expression" dxfId="3" priority="3257">
      <formula>(#REF!&lt;&gt;"")*(#REF!&lt;&gt;"")</formula>
    </cfRule>
  </conditionalFormatting>
  <conditionalFormatting sqref="T4501">
    <cfRule type="expression" dxfId="3" priority="3255">
      <formula>(#REF!&lt;&gt;"")*(#REF!&lt;&gt;"")</formula>
    </cfRule>
    <cfRule type="expression" dxfId="3" priority="3256">
      <formula>(#REF!&lt;&gt;"")*(#REF!&lt;&gt;"")</formula>
    </cfRule>
  </conditionalFormatting>
  <conditionalFormatting sqref="W4502">
    <cfRule type="expression" dxfId="3" priority="3249">
      <formula>(#REF!&lt;&gt;"")*(#REF!&lt;&gt;"")</formula>
    </cfRule>
    <cfRule type="expression" dxfId="3" priority="3250">
      <formula>(#REF!&lt;&gt;"")*(#REF!&lt;&gt;"")</formula>
    </cfRule>
    <cfRule type="expression" dxfId="3" priority="3251">
      <formula>(#REF!&lt;&gt;"")*(#REF!&lt;&gt;"")</formula>
    </cfRule>
  </conditionalFormatting>
  <conditionalFormatting sqref="J4504">
    <cfRule type="expression" dxfId="3" priority="3295">
      <formula>(#REF!&lt;&gt;"")*(#REF!&lt;&gt;"")</formula>
    </cfRule>
  </conditionalFormatting>
  <conditionalFormatting sqref="H4505">
    <cfRule type="expression" dxfId="3" priority="3254">
      <formula>(#REF!&lt;&gt;"")*(#REF!&lt;&gt;"")</formula>
    </cfRule>
  </conditionalFormatting>
  <conditionalFormatting sqref="Q4505">
    <cfRule type="expression" dxfId="3" priority="3252">
      <formula>(#REF!&lt;&gt;"")*(#REF!&lt;&gt;"")</formula>
    </cfRule>
  </conditionalFormatting>
  <conditionalFormatting sqref="J4508">
    <cfRule type="expression" dxfId="3" priority="3241">
      <formula>(#REF!&lt;&gt;"")*(#REF!&lt;&gt;"")</formula>
    </cfRule>
  </conditionalFormatting>
  <conditionalFormatting sqref="Q4508">
    <cfRule type="expression" dxfId="3" priority="3240">
      <formula>(#REF!&lt;&gt;"")*(#REF!&lt;&gt;"")</formula>
    </cfRule>
    <cfRule type="expression" dxfId="3" priority="3242">
      <formula>(#REF!&lt;&gt;"")*(#REF!&lt;&gt;"")</formula>
    </cfRule>
  </conditionalFormatting>
  <conditionalFormatting sqref="Q4509">
    <cfRule type="expression" dxfId="3" priority="3237">
      <formula>(#REF!&lt;&gt;"")*(#REF!&lt;&gt;"")</formula>
    </cfRule>
    <cfRule type="expression" dxfId="3" priority="3238">
      <formula>(#REF!&lt;&gt;"")*(#REF!&lt;&gt;"")</formula>
    </cfRule>
    <cfRule type="expression" dxfId="3" priority="3239">
      <formula>(#REF!&lt;&gt;"")*(#REF!&lt;&gt;"")</formula>
    </cfRule>
  </conditionalFormatting>
  <conditionalFormatting sqref="M4526">
    <cfRule type="expression" dxfId="0" priority="2660">
      <formula>(#REF!&lt;&gt;"")*(#REF!&lt;&gt;"")</formula>
    </cfRule>
  </conditionalFormatting>
  <conditionalFormatting sqref="N4526">
    <cfRule type="expression" dxfId="0" priority="2659">
      <formula>(#REF!&lt;&gt;"")*(#REF!&lt;&gt;"")</formula>
    </cfRule>
  </conditionalFormatting>
  <conditionalFormatting sqref="P4526:Q4526">
    <cfRule type="expression" dxfId="1" priority="2662">
      <formula>(#REF!&lt;&gt;"")*(#REF!&lt;&gt;"")</formula>
    </cfRule>
  </conditionalFormatting>
  <conditionalFormatting sqref="Q4526">
    <cfRule type="expression" dxfId="0" priority="2661">
      <formula>(#REF!&lt;&gt;"")*(#REF!&lt;&gt;"")</formula>
    </cfRule>
  </conditionalFormatting>
  <conditionalFormatting sqref="R4526">
    <cfRule type="expression" dxfId="0" priority="2599">
      <formula>(#REF!&lt;&gt;"")*(#REF!&lt;&gt;"")</formula>
    </cfRule>
  </conditionalFormatting>
  <conditionalFormatting sqref="M4528">
    <cfRule type="expression" dxfId="0" priority="2664">
      <formula>(#REF!&lt;&gt;"")*(#REF!&lt;&gt;"")</formula>
    </cfRule>
  </conditionalFormatting>
  <conditionalFormatting sqref="N4528">
    <cfRule type="expression" dxfId="0" priority="2663">
      <formula>(#REF!&lt;&gt;"")*(#REF!&lt;&gt;"")</formula>
    </cfRule>
  </conditionalFormatting>
  <conditionalFormatting sqref="P4528:Q4528">
    <cfRule type="expression" dxfId="1" priority="2666">
      <formula>(#REF!&lt;&gt;"")*(#REF!&lt;&gt;"")</formula>
    </cfRule>
  </conditionalFormatting>
  <conditionalFormatting sqref="Q4528">
    <cfRule type="expression" dxfId="0" priority="2665">
      <formula>(#REF!&lt;&gt;"")*(#REF!&lt;&gt;"")</formula>
    </cfRule>
  </conditionalFormatting>
  <conditionalFormatting sqref="R4528">
    <cfRule type="expression" dxfId="0" priority="2600">
      <formula>(#REF!&lt;&gt;"")*(#REF!&lt;&gt;"")</formula>
    </cfRule>
  </conditionalFormatting>
  <conditionalFormatting sqref="M4530">
    <cfRule type="expression" dxfId="0" priority="2656">
      <formula>(#REF!&lt;&gt;"")*(#REF!&lt;&gt;"")</formula>
    </cfRule>
  </conditionalFormatting>
  <conditionalFormatting sqref="N4530">
    <cfRule type="expression" dxfId="0" priority="2655">
      <formula>(#REF!&lt;&gt;"")*(#REF!&lt;&gt;"")</formula>
    </cfRule>
  </conditionalFormatting>
  <conditionalFormatting sqref="P4530:Q4530">
    <cfRule type="expression" dxfId="1" priority="2658">
      <formula>(#REF!&lt;&gt;"")*(#REF!&lt;&gt;"")</formula>
    </cfRule>
  </conditionalFormatting>
  <conditionalFormatting sqref="Q4530">
    <cfRule type="expression" dxfId="0" priority="2657">
      <formula>(#REF!&lt;&gt;"")*(#REF!&lt;&gt;"")</formula>
    </cfRule>
  </conditionalFormatting>
  <conditionalFormatting sqref="R4530">
    <cfRule type="expression" dxfId="0" priority="2601">
      <formula>(#REF!&lt;&gt;"")*(#REF!&lt;&gt;"")</formula>
    </cfRule>
  </conditionalFormatting>
  <conditionalFormatting sqref="P4531">
    <cfRule type="expression" dxfId="1" priority="2744">
      <formula>(#REF!&lt;&gt;"")*(#REF!&lt;&gt;"")</formula>
    </cfRule>
  </conditionalFormatting>
  <conditionalFormatting sqref="P4533">
    <cfRule type="expression" dxfId="1" priority="2743">
      <formula>(#REF!&lt;&gt;"")*(#REF!&lt;&gt;"")</formula>
    </cfRule>
  </conditionalFormatting>
  <conditionalFormatting sqref="A4535">
    <cfRule type="expression" dxfId="0" priority="2676">
      <formula>(#REF!&lt;&gt;"")*(#REF!&lt;&gt;"")</formula>
    </cfRule>
  </conditionalFormatting>
  <conditionalFormatting sqref="R4535">
    <cfRule type="expression" dxfId="0" priority="2602">
      <formula>(#REF!&lt;&gt;"")*(#REF!&lt;&gt;"")</formula>
    </cfRule>
  </conditionalFormatting>
  <conditionalFormatting sqref="A4536">
    <cfRule type="expression" dxfId="0" priority="2648">
      <formula>(#REF!&lt;&gt;"")*(#REF!&lt;&gt;"")</formula>
    </cfRule>
  </conditionalFormatting>
  <conditionalFormatting sqref="F4536:G4536">
    <cfRule type="expression" dxfId="0" priority="2650">
      <formula>(#REF!&lt;&gt;"")*(#REF!&lt;&gt;"")</formula>
    </cfRule>
  </conditionalFormatting>
  <conditionalFormatting sqref="M4536">
    <cfRule type="expression" dxfId="0" priority="2649">
      <formula>(#REF!&lt;&gt;"")*(#REF!&lt;&gt;"")</formula>
    </cfRule>
  </conditionalFormatting>
  <conditionalFormatting sqref="R4536">
    <cfRule type="expression" dxfId="0" priority="2603">
      <formula>(#REF!&lt;&gt;"")*(#REF!&lt;&gt;"")</formula>
    </cfRule>
  </conditionalFormatting>
  <conditionalFormatting sqref="A4537">
    <cfRule type="expression" dxfId="0" priority="2675">
      <formula>(#REF!&lt;&gt;"")*(#REF!&lt;&gt;"")</formula>
    </cfRule>
  </conditionalFormatting>
  <conditionalFormatting sqref="R4537">
    <cfRule type="expression" dxfId="0" priority="2604">
      <formula>(#REF!&lt;&gt;"")*(#REF!&lt;&gt;"")</formula>
    </cfRule>
  </conditionalFormatting>
  <conditionalFormatting sqref="R4540">
    <cfRule type="expression" dxfId="0" priority="2605">
      <formula>(#REF!&lt;&gt;"")*(#REF!&lt;&gt;"")</formula>
    </cfRule>
  </conditionalFormatting>
  <conditionalFormatting sqref="M4542">
    <cfRule type="expression" dxfId="0" priority="2668">
      <formula>(#REF!&lt;&gt;"")*(#REF!&lt;&gt;"")</formula>
    </cfRule>
  </conditionalFormatting>
  <conditionalFormatting sqref="P4542">
    <cfRule type="expression" dxfId="1" priority="2646">
      <formula>(#REF!&lt;&gt;"")*(#REF!&lt;&gt;"")</formula>
    </cfRule>
  </conditionalFormatting>
  <conditionalFormatting sqref="Q4542">
    <cfRule type="expression" dxfId="0" priority="2667">
      <formula>(#REF!&lt;&gt;"")*(#REF!&lt;&gt;"")</formula>
    </cfRule>
    <cfRule type="expression" dxfId="1" priority="2669">
      <formula>(#REF!&lt;&gt;"")*(#REF!&lt;&gt;"")</formula>
    </cfRule>
  </conditionalFormatting>
  <conditionalFormatting sqref="R4542">
    <cfRule type="expression" dxfId="0" priority="2606">
      <formula>(#REF!&lt;&gt;"")*(#REF!&lt;&gt;"")</formula>
    </cfRule>
  </conditionalFormatting>
  <conditionalFormatting sqref="A4548">
    <cfRule type="expression" dxfId="0" priority="2653">
      <formula>(#REF!&lt;&gt;"")*(#REF!&lt;&gt;"")</formula>
    </cfRule>
  </conditionalFormatting>
  <conditionalFormatting sqref="F4548:G4548">
    <cfRule type="expression" dxfId="0" priority="2654">
      <formula>(#REF!&lt;&gt;"")*(#REF!&lt;&gt;"")</formula>
    </cfRule>
  </conditionalFormatting>
  <conditionalFormatting sqref="J4548">
    <cfRule type="expression" dxfId="0" priority="2652">
      <formula>(#REF!&lt;&gt;"")*(#REF!&lt;&gt;"")</formula>
    </cfRule>
  </conditionalFormatting>
  <conditionalFormatting sqref="K4548">
    <cfRule type="expression" dxfId="0" priority="2651">
      <formula>(#REF!&lt;&gt;"")*(#REF!&lt;&gt;"")</formula>
    </cfRule>
  </conditionalFormatting>
  <conditionalFormatting sqref="R4548">
    <cfRule type="expression" dxfId="0" priority="2607">
      <formula>(#REF!&lt;&gt;"")*(#REF!&lt;&gt;"")</formula>
    </cfRule>
  </conditionalFormatting>
  <conditionalFormatting sqref="A4549">
    <cfRule type="expression" dxfId="0" priority="2673">
      <formula>(#REF!&lt;&gt;"")*(#REF!&lt;&gt;"")</formula>
    </cfRule>
  </conditionalFormatting>
  <conditionalFormatting sqref="R4549">
    <cfRule type="expression" dxfId="0" priority="2608">
      <formula>(#REF!&lt;&gt;"")*(#REF!&lt;&gt;"")</formula>
    </cfRule>
  </conditionalFormatting>
  <conditionalFormatting sqref="A4550">
    <cfRule type="expression" dxfId="0" priority="2672">
      <formula>(#REF!&lt;&gt;"")*(#REF!&lt;&gt;"")</formula>
    </cfRule>
  </conditionalFormatting>
  <conditionalFormatting sqref="P4550">
    <cfRule type="expression" dxfId="1" priority="2645">
      <formula>(#REF!&lt;&gt;"")*(#REF!&lt;&gt;"")</formula>
    </cfRule>
  </conditionalFormatting>
  <conditionalFormatting sqref="R4550">
    <cfRule type="expression" dxfId="0" priority="2609">
      <formula>(#REF!&lt;&gt;"")*(#REF!&lt;&gt;"")</formula>
    </cfRule>
  </conditionalFormatting>
  <conditionalFormatting sqref="A4552">
    <cfRule type="expression" dxfId="0" priority="2594">
      <formula>(#REF!&lt;&gt;"")*(#REF!&lt;&gt;"")</formula>
    </cfRule>
  </conditionalFormatting>
  <conditionalFormatting sqref="F4552:G4552">
    <cfRule type="expression" dxfId="0" priority="2595">
      <formula>(#REF!&lt;&gt;"")*(#REF!&lt;&gt;"")</formula>
    </cfRule>
  </conditionalFormatting>
  <conditionalFormatting sqref="J4552">
    <cfRule type="expression" dxfId="0" priority="2593">
      <formula>(#REF!&lt;&gt;"")*(#REF!&lt;&gt;"")</formula>
    </cfRule>
  </conditionalFormatting>
  <conditionalFormatting sqref="K4552">
    <cfRule type="expression" dxfId="0" priority="2592">
      <formula>(#REF!&lt;&gt;"")*(#REF!&lt;&gt;"")</formula>
    </cfRule>
  </conditionalFormatting>
  <conditionalFormatting sqref="M4552">
    <cfRule type="expression" dxfId="0" priority="2597">
      <formula>(#REF!&lt;&gt;"")*(#REF!&lt;&gt;"")</formula>
    </cfRule>
  </conditionalFormatting>
  <conditionalFormatting sqref="P4552">
    <cfRule type="expression" dxfId="1" priority="2591">
      <formula>(#REF!&lt;&gt;"")*(#REF!&lt;&gt;"")</formula>
    </cfRule>
  </conditionalFormatting>
  <conditionalFormatting sqref="Q4552">
    <cfRule type="expression" dxfId="1" priority="2598">
      <formula>(#REF!&lt;&gt;"")*(#REF!&lt;&gt;"")</formula>
    </cfRule>
    <cfRule type="expression" dxfId="0" priority="2596">
      <formula>(#REF!&lt;&gt;"")*(#REF!&lt;&gt;"")</formula>
    </cfRule>
  </conditionalFormatting>
  <conditionalFormatting sqref="R4552">
    <cfRule type="expression" dxfId="0" priority="2590">
      <formula>(#REF!&lt;&gt;"")*(#REF!&lt;&gt;"")</formula>
    </cfRule>
  </conditionalFormatting>
  <conditionalFormatting sqref="A4553">
    <cfRule type="expression" dxfId="0" priority="2548">
      <formula>(#REF!&lt;&gt;"")*(#REF!&lt;&gt;"")</formula>
    </cfRule>
  </conditionalFormatting>
  <conditionalFormatting sqref="F4553:G4553">
    <cfRule type="expression" dxfId="0" priority="2549">
      <formula>(#REF!&lt;&gt;"")*(#REF!&lt;&gt;"")</formula>
    </cfRule>
  </conditionalFormatting>
  <conditionalFormatting sqref="J4553">
    <cfRule type="expression" dxfId="0" priority="2547">
      <formula>(#REF!&lt;&gt;"")*(#REF!&lt;&gt;"")</formula>
    </cfRule>
  </conditionalFormatting>
  <conditionalFormatting sqref="K4553">
    <cfRule type="expression" dxfId="0" priority="2546">
      <formula>(#REF!&lt;&gt;"")*(#REF!&lt;&gt;"")</formula>
    </cfRule>
  </conditionalFormatting>
  <conditionalFormatting sqref="M4553">
    <cfRule type="expression" dxfId="0" priority="2551">
      <formula>(#REF!&lt;&gt;"")*(#REF!&lt;&gt;"")</formula>
    </cfRule>
  </conditionalFormatting>
  <conditionalFormatting sqref="P4553">
    <cfRule type="expression" dxfId="1" priority="2545">
      <formula>(#REF!&lt;&gt;"")*(#REF!&lt;&gt;"")</formula>
    </cfRule>
  </conditionalFormatting>
  <conditionalFormatting sqref="Q4553">
    <cfRule type="expression" dxfId="1" priority="2552">
      <formula>(#REF!&lt;&gt;"")*(#REF!&lt;&gt;"")</formula>
    </cfRule>
    <cfRule type="expression" dxfId="0" priority="2550">
      <formula>(#REF!&lt;&gt;"")*(#REF!&lt;&gt;"")</formula>
    </cfRule>
  </conditionalFormatting>
  <conditionalFormatting sqref="R4553">
    <cfRule type="expression" dxfId="0" priority="2544">
      <formula>(#REF!&lt;&gt;"")*(#REF!&lt;&gt;"")</formula>
    </cfRule>
  </conditionalFormatting>
  <conditionalFormatting sqref="M4573">
    <cfRule type="expression" dxfId="0" priority="3000">
      <formula>(#REF!&lt;&gt;"")*(#REF!&lt;&gt;"")</formula>
    </cfRule>
    <cfRule type="expression" dxfId="0" priority="3001">
      <formula>(#REF!&lt;&gt;"")*(#REF!&lt;&gt;"")</formula>
    </cfRule>
  </conditionalFormatting>
  <conditionalFormatting sqref="M4574">
    <cfRule type="expression" dxfId="0" priority="3069">
      <formula>(#REF!&lt;&gt;"")*(#REF!&lt;&gt;"")</formula>
    </cfRule>
  </conditionalFormatting>
  <conditionalFormatting sqref="P4574:Q4574">
    <cfRule type="expression" dxfId="1" priority="3071">
      <formula>(#REF!&lt;&gt;"")*(#REF!&lt;&gt;"")</formula>
    </cfRule>
  </conditionalFormatting>
  <conditionalFormatting sqref="Q4574">
    <cfRule type="expression" dxfId="0" priority="3070">
      <formula>(#REF!&lt;&gt;"")*(#REF!&lt;&gt;"")</formula>
    </cfRule>
  </conditionalFormatting>
  <conditionalFormatting sqref="M4575">
    <cfRule type="expression" dxfId="0" priority="3066">
      <formula>(#REF!&lt;&gt;"")*(#REF!&lt;&gt;"")</formula>
    </cfRule>
  </conditionalFormatting>
  <conditionalFormatting sqref="P4575:Q4575">
    <cfRule type="expression" dxfId="1" priority="3068">
      <formula>(#REF!&lt;&gt;"")*(#REF!&lt;&gt;"")</formula>
    </cfRule>
  </conditionalFormatting>
  <conditionalFormatting sqref="Q4575">
    <cfRule type="expression" dxfId="0" priority="3067">
      <formula>(#REF!&lt;&gt;"")*(#REF!&lt;&gt;"")</formula>
    </cfRule>
  </conditionalFormatting>
  <conditionalFormatting sqref="M4581">
    <cfRule type="expression" dxfId="0" priority="3063">
      <formula>(#REF!&lt;&gt;"")*(#REF!&lt;&gt;"")</formula>
    </cfRule>
  </conditionalFormatting>
  <conditionalFormatting sqref="P4581:Q4581">
    <cfRule type="expression" dxfId="1" priority="3065">
      <formula>(#REF!&lt;&gt;"")*(#REF!&lt;&gt;"")</formula>
    </cfRule>
  </conditionalFormatting>
  <conditionalFormatting sqref="T4581">
    <cfRule type="expression" dxfId="0" priority="3062">
      <formula>(#REF!&lt;&gt;"")*(#REF!&lt;&gt;"")</formula>
    </cfRule>
  </conditionalFormatting>
  <conditionalFormatting sqref="A4641">
    <cfRule type="expression" dxfId="0" priority="2955">
      <formula>(#REF!&lt;&gt;"")*(#REF!&lt;&gt;"")</formula>
    </cfRule>
  </conditionalFormatting>
  <conditionalFormatting sqref="M4641">
    <cfRule type="expression" dxfId="0" priority="2954">
      <formula>(#REF!&lt;&gt;"")*(#REF!&lt;&gt;"")</formula>
    </cfRule>
  </conditionalFormatting>
  <conditionalFormatting sqref="P4641:Q4641">
    <cfRule type="expression" dxfId="1" priority="2956">
      <formula>(#REF!&lt;&gt;"")*(#REF!&lt;&gt;"")</formula>
    </cfRule>
  </conditionalFormatting>
  <conditionalFormatting sqref="E4642:F4642">
    <cfRule type="expression" dxfId="0" priority="3090">
      <formula>(#REF!&lt;&gt;"")*(#REF!&lt;&gt;"")</formula>
    </cfRule>
  </conditionalFormatting>
  <conditionalFormatting sqref="A4643">
    <cfRule type="expression" dxfId="0" priority="3087">
      <formula>(#REF!&lt;&gt;"")*(#REF!&lt;&gt;"")</formula>
    </cfRule>
  </conditionalFormatting>
  <conditionalFormatting sqref="A4644">
    <cfRule type="expression" dxfId="0" priority="3081">
      <formula>(#REF!&lt;&gt;"")*(#REF!&lt;&gt;"")</formula>
    </cfRule>
  </conditionalFormatting>
  <conditionalFormatting sqref="A4645">
    <cfRule type="expression" dxfId="0" priority="3078">
      <formula>(#REF!&lt;&gt;"")*(#REF!&lt;&gt;"")</formula>
    </cfRule>
  </conditionalFormatting>
  <conditionalFormatting sqref="L4645:M4645">
    <cfRule type="expression" dxfId="0" priority="3080">
      <formula>(#REF!&lt;&gt;"")*(#REF!&lt;&gt;"")</formula>
    </cfRule>
  </conditionalFormatting>
  <conditionalFormatting sqref="M4645">
    <cfRule type="expression" dxfId="0" priority="3079">
      <formula>(#REF!&lt;&gt;"")*(#REF!&lt;&gt;"")</formula>
    </cfRule>
  </conditionalFormatting>
  <conditionalFormatting sqref="A4663">
    <cfRule type="expression" dxfId="0" priority="3076">
      <formula>(#REF!&lt;&gt;"")*(#REF!&lt;&gt;"")</formula>
    </cfRule>
  </conditionalFormatting>
  <conditionalFormatting sqref="M4663">
    <cfRule type="expression" dxfId="0" priority="3075">
      <formula>(#REF!&lt;&gt;"")*(#REF!&lt;&gt;"")</formula>
    </cfRule>
  </conditionalFormatting>
  <conditionalFormatting sqref="P4663:Q4663">
    <cfRule type="expression" dxfId="1" priority="3077">
      <formula>(#REF!&lt;&gt;"")*(#REF!&lt;&gt;"")</formula>
    </cfRule>
  </conditionalFormatting>
  <conditionalFormatting sqref="A4672">
    <cfRule type="expression" dxfId="0" priority="3085">
      <formula>(#REF!&lt;&gt;"")*(#REF!&lt;&gt;"")</formula>
    </cfRule>
  </conditionalFormatting>
  <conditionalFormatting sqref="A4673">
    <cfRule type="expression" dxfId="0" priority="3083">
      <formula>(#REF!&lt;&gt;"")*(#REF!&lt;&gt;"")</formula>
    </cfRule>
  </conditionalFormatting>
  <conditionalFormatting sqref="L4673:O4673">
    <cfRule type="expression" dxfId="0" priority="3086">
      <formula>(#REF!&lt;&gt;"")*(#REF!&lt;&gt;"")</formula>
    </cfRule>
  </conditionalFormatting>
  <conditionalFormatting sqref="P4673">
    <cfRule type="expression" dxfId="1" priority="3084">
      <formula>(#REF!&lt;&gt;"")*(#REF!&lt;&gt;"")</formula>
    </cfRule>
  </conditionalFormatting>
  <conditionalFormatting sqref="Q4673">
    <cfRule type="expression" dxfId="1" priority="3088">
      <formula>(#REF!&lt;&gt;"")*(#REF!&lt;&gt;"")</formula>
    </cfRule>
  </conditionalFormatting>
  <conditionalFormatting sqref="A4676">
    <cfRule type="expression" dxfId="0" priority="3055">
      <formula>(#REF!&lt;&gt;"")*(#REF!&lt;&gt;"")</formula>
    </cfRule>
  </conditionalFormatting>
  <conditionalFormatting sqref="A4677">
    <cfRule type="expression" dxfId="0" priority="3037">
      <formula>(#REF!&lt;&gt;"")*(#REF!&lt;&gt;"")</formula>
    </cfRule>
  </conditionalFormatting>
  <conditionalFormatting sqref="H4677">
    <cfRule type="expression" dxfId="0" priority="3038">
      <formula>(#REF!&lt;&gt;"")*(#REF!&lt;&gt;"")</formula>
    </cfRule>
  </conditionalFormatting>
  <conditionalFormatting sqref="P4677:Q4677">
    <cfRule type="expression" dxfId="1" priority="3040">
      <formula>(#REF!&lt;&gt;"")*(#REF!&lt;&gt;"")</formula>
    </cfRule>
  </conditionalFormatting>
  <conditionalFormatting sqref="Q4677">
    <cfRule type="expression" dxfId="0" priority="3039">
      <formula>(#REF!&lt;&gt;"")*(#REF!&lt;&gt;"")</formula>
    </cfRule>
  </conditionalFormatting>
  <conditionalFormatting sqref="A4678">
    <cfRule type="expression" dxfId="0" priority="3033">
      <formula>(#REF!&lt;&gt;"")*(#REF!&lt;&gt;"")</formula>
    </cfRule>
  </conditionalFormatting>
  <conditionalFormatting sqref="H4678">
    <cfRule type="expression" dxfId="0" priority="3034">
      <formula>(#REF!&lt;&gt;"")*(#REF!&lt;&gt;"")</formula>
    </cfRule>
  </conditionalFormatting>
  <conditionalFormatting sqref="P4678:Q4678">
    <cfRule type="expression" dxfId="1" priority="3036">
      <formula>(#REF!&lt;&gt;"")*(#REF!&lt;&gt;"")</formula>
    </cfRule>
  </conditionalFormatting>
  <conditionalFormatting sqref="Q4678">
    <cfRule type="expression" dxfId="0" priority="3035">
      <formula>(#REF!&lt;&gt;"")*(#REF!&lt;&gt;"")</formula>
    </cfRule>
  </conditionalFormatting>
  <conditionalFormatting sqref="A4679">
    <cfRule type="expression" dxfId="0" priority="3029">
      <formula>(#REF!&lt;&gt;"")*(#REF!&lt;&gt;"")</formula>
    </cfRule>
  </conditionalFormatting>
  <conditionalFormatting sqref="H4679">
    <cfRule type="expression" dxfId="0" priority="3030">
      <formula>(#REF!&lt;&gt;"")*(#REF!&lt;&gt;"")</formula>
    </cfRule>
  </conditionalFormatting>
  <conditionalFormatting sqref="P4679:Q4679">
    <cfRule type="expression" dxfId="1" priority="3032">
      <formula>(#REF!&lt;&gt;"")*(#REF!&lt;&gt;"")</formula>
    </cfRule>
  </conditionalFormatting>
  <conditionalFormatting sqref="Q4679">
    <cfRule type="expression" dxfId="0" priority="3031">
      <formula>(#REF!&lt;&gt;"")*(#REF!&lt;&gt;"")</formula>
    </cfRule>
  </conditionalFormatting>
  <conditionalFormatting sqref="A4680">
    <cfRule type="expression" dxfId="0" priority="3018">
      <formula>(#REF!&lt;&gt;"")*(#REF!&lt;&gt;"")</formula>
    </cfRule>
  </conditionalFormatting>
  <conditionalFormatting sqref="H4680">
    <cfRule type="expression" dxfId="0" priority="3019">
      <formula>(#REF!&lt;&gt;"")*(#REF!&lt;&gt;"")</formula>
    </cfRule>
  </conditionalFormatting>
  <conditionalFormatting sqref="J4680:K4680">
    <cfRule type="expression" dxfId="0" priority="3021">
      <formula>(#REF!&lt;&gt;"")*(#REF!&lt;&gt;"")</formula>
    </cfRule>
  </conditionalFormatting>
  <conditionalFormatting sqref="L4680:O4680">
    <cfRule type="expression" dxfId="0" priority="3024">
      <formula>(#REF!&lt;&gt;"")*(#REF!&lt;&gt;"")</formula>
    </cfRule>
  </conditionalFormatting>
  <conditionalFormatting sqref="M4680">
    <cfRule type="expression" dxfId="0" priority="3028">
      <formula>(#REF!&lt;&gt;"")*(#REF!&lt;&gt;"")</formula>
    </cfRule>
    <cfRule type="expression" dxfId="0" priority="3027">
      <formula>(#REF!&lt;&gt;"")*(#REF!&lt;&gt;"")</formula>
    </cfRule>
    <cfRule type="expression" dxfId="0" priority="3022">
      <formula>(#REF!&lt;&gt;"")*(#REF!&lt;&gt;"")</formula>
    </cfRule>
    <cfRule type="expression" dxfId="0" priority="3020">
      <formula>(#REF!&lt;&gt;"")*(#REF!&lt;&gt;"")</formula>
    </cfRule>
  </conditionalFormatting>
  <conditionalFormatting sqref="P4680">
    <cfRule type="expression" dxfId="1" priority="3023">
      <formula>(#REF!&lt;&gt;"")*(#REF!&lt;&gt;"")</formula>
    </cfRule>
  </conditionalFormatting>
  <conditionalFormatting sqref="Q4680">
    <cfRule type="expression" dxfId="0" priority="3025">
      <formula>(#REF!&lt;&gt;"")*(#REF!&lt;&gt;"")</formula>
    </cfRule>
    <cfRule type="expression" dxfId="1" priority="3026">
      <formula>(#REF!&lt;&gt;"")*(#REF!&lt;&gt;"")</formula>
    </cfRule>
  </conditionalFormatting>
  <conditionalFormatting sqref="Q4700">
    <cfRule type="expression" dxfId="0" priority="3006">
      <formula>(#REF!&lt;&gt;"")*(#REF!&lt;&gt;"")</formula>
    </cfRule>
    <cfRule type="expression" dxfId="1" priority="3005">
      <formula>(#REF!&lt;&gt;"")*(#REF!&lt;&gt;"")</formula>
    </cfRule>
  </conditionalFormatting>
  <conditionalFormatting sqref="A4709">
    <cfRule type="expression" dxfId="0" priority="2900">
      <formula>(#REF!&lt;&gt;"")*(#REF!&lt;&gt;"")</formula>
    </cfRule>
  </conditionalFormatting>
  <conditionalFormatting sqref="M4709">
    <cfRule type="expression" dxfId="0" priority="2899">
      <formula>(#REF!&lt;&gt;"")*(#REF!&lt;&gt;"")</formula>
    </cfRule>
  </conditionalFormatting>
  <conditionalFormatting sqref="N4709">
    <cfRule type="expression" dxfId="0" priority="2901">
      <formula>(#REF!&lt;&gt;"")*(#REF!&lt;&gt;"")</formula>
    </cfRule>
  </conditionalFormatting>
  <conditionalFormatting sqref="O4709">
    <cfRule type="expression" dxfId="0" priority="2895">
      <formula>(#REF!&lt;&gt;"")*(#REF!&lt;&gt;"")</formula>
    </cfRule>
  </conditionalFormatting>
  <conditionalFormatting sqref="P4709">
    <cfRule type="expression" dxfId="1" priority="2896">
      <formula>(#REF!&lt;&gt;"")*(#REF!&lt;&gt;"")</formula>
    </cfRule>
  </conditionalFormatting>
  <conditionalFormatting sqref="Q4709">
    <cfRule type="expression" dxfId="0" priority="2898">
      <formula>(#REF!&lt;&gt;"")*(#REF!&lt;&gt;"")</formula>
    </cfRule>
    <cfRule type="expression" dxfId="1" priority="2897">
      <formula>(#REF!&lt;&gt;"")*(#REF!&lt;&gt;"")</formula>
    </cfRule>
  </conditionalFormatting>
  <conditionalFormatting sqref="A4710">
    <cfRule type="expression" dxfId="0" priority="2905">
      <formula>(#REF!&lt;&gt;"")*(#REF!&lt;&gt;"")</formula>
    </cfRule>
  </conditionalFormatting>
  <conditionalFormatting sqref="A4711">
    <cfRule type="expression" dxfId="0" priority="2904">
      <formula>(#REF!&lt;&gt;"")*(#REF!&lt;&gt;"")</formula>
    </cfRule>
  </conditionalFormatting>
  <conditionalFormatting sqref="O4711">
    <cfRule type="expression" dxfId="0" priority="2902">
      <formula>(#REF!&lt;&gt;"")*(#REF!&lt;&gt;"")</formula>
    </cfRule>
  </conditionalFormatting>
  <conditionalFormatting sqref="P4711">
    <cfRule type="expression" dxfId="1" priority="2903">
      <formula>(#REF!&lt;&gt;"")*(#REF!&lt;&gt;"")</formula>
    </cfRule>
  </conditionalFormatting>
  <conditionalFormatting sqref="A4712">
    <cfRule type="expression" dxfId="0" priority="2807">
      <formula>(#REF!&lt;&gt;"")*(#REF!&lt;&gt;"")</formula>
    </cfRule>
  </conditionalFormatting>
  <conditionalFormatting sqref="M4712">
    <cfRule type="expression" dxfId="0" priority="2812">
      <formula>(#REF!&lt;&gt;"")*(#REF!&lt;&gt;"")</formula>
    </cfRule>
  </conditionalFormatting>
  <conditionalFormatting sqref="N4712">
    <cfRule type="expression" dxfId="0" priority="2806">
      <formula>(#REF!&lt;&gt;"")*(#REF!&lt;&gt;"")</formula>
    </cfRule>
  </conditionalFormatting>
  <conditionalFormatting sqref="O4712">
    <cfRule type="expression" dxfId="0" priority="2808">
      <formula>(#REF!&lt;&gt;"")*(#REF!&lt;&gt;"")</formula>
    </cfRule>
  </conditionalFormatting>
  <conditionalFormatting sqref="P4712">
    <cfRule type="expression" dxfId="1" priority="2809">
      <formula>(#REF!&lt;&gt;"")*(#REF!&lt;&gt;"")</formula>
    </cfRule>
  </conditionalFormatting>
  <conditionalFormatting sqref="Q4712">
    <cfRule type="expression" dxfId="0" priority="2811">
      <formula>(#REF!&lt;&gt;"")*(#REF!&lt;&gt;"")</formula>
    </cfRule>
    <cfRule type="expression" dxfId="1" priority="2810">
      <formula>(#REF!&lt;&gt;"")*(#REF!&lt;&gt;"")</formula>
    </cfRule>
  </conditionalFormatting>
  <conditionalFormatting sqref="T4712">
    <cfRule type="expression" dxfId="0" priority="2813">
      <formula>(#REF!&lt;&gt;"")*(#REF!&lt;&gt;"")</formula>
    </cfRule>
  </conditionalFormatting>
  <conditionalFormatting sqref="A4713">
    <cfRule type="expression" dxfId="0" priority="2814">
      <formula>(#REF!&lt;&gt;"")*(#REF!&lt;&gt;"")</formula>
    </cfRule>
  </conditionalFormatting>
  <conditionalFormatting sqref="M4713">
    <cfRule type="expression" dxfId="0" priority="2804">
      <formula>(#REF!&lt;&gt;"")*(#REF!&lt;&gt;"")</formula>
    </cfRule>
  </conditionalFormatting>
  <conditionalFormatting sqref="N4713">
    <cfRule type="expression" dxfId="0" priority="2805">
      <formula>(#REF!&lt;&gt;"")*(#REF!&lt;&gt;"")</formula>
    </cfRule>
  </conditionalFormatting>
  <conditionalFormatting sqref="Q4716">
    <cfRule type="expression" dxfId="0" priority="3129">
      <formula>(#REF!&lt;&gt;"")*(#REF!&lt;&gt;"")</formula>
    </cfRule>
    <cfRule type="expression" dxfId="1" priority="3056">
      <formula>(#REF!&lt;&gt;"")*(#REF!&lt;&gt;"")</formula>
    </cfRule>
  </conditionalFormatting>
  <conditionalFormatting sqref="A4733">
    <cfRule type="expression" dxfId="0" priority="2966">
      <formula>(#REF!&lt;&gt;"")*(#REF!&lt;&gt;"")</formula>
    </cfRule>
  </conditionalFormatting>
  <conditionalFormatting sqref="N4733">
    <cfRule type="expression" dxfId="0" priority="2968">
      <formula>(#REF!&lt;&gt;"")*(#REF!&lt;&gt;"")</formula>
    </cfRule>
  </conditionalFormatting>
  <conditionalFormatting sqref="P4733">
    <cfRule type="expression" dxfId="1" priority="2967">
      <formula>(#REF!&lt;&gt;"")*(#REF!&lt;&gt;"")</formula>
    </cfRule>
  </conditionalFormatting>
  <conditionalFormatting sqref="Q4733">
    <cfRule type="expression" dxfId="0" priority="2965">
      <formula>(#REF!&lt;&gt;"")*(#REF!&lt;&gt;"")</formula>
    </cfRule>
    <cfRule type="expression" dxfId="1" priority="2964">
      <formula>(#REF!&lt;&gt;"")*(#REF!&lt;&gt;"")</formula>
    </cfRule>
  </conditionalFormatting>
  <conditionalFormatting sqref="T4733">
    <cfRule type="expression" dxfId="0" priority="2969">
      <formula>(#REF!&lt;&gt;"")*(#REF!&lt;&gt;"")</formula>
    </cfRule>
  </conditionalFormatting>
  <conditionalFormatting sqref="A4736">
    <cfRule type="expression" dxfId="0" priority="2942">
      <formula>(#REF!&lt;&gt;"")*(#REF!&lt;&gt;"")</formula>
    </cfRule>
  </conditionalFormatting>
  <conditionalFormatting sqref="N4736">
    <cfRule type="expression" dxfId="0" priority="2944">
      <formula>(#REF!&lt;&gt;"")*(#REF!&lt;&gt;"")</formula>
    </cfRule>
  </conditionalFormatting>
  <conditionalFormatting sqref="P4736">
    <cfRule type="expression" dxfId="1" priority="2943">
      <formula>(#REF!&lt;&gt;"")*(#REF!&lt;&gt;"")</formula>
    </cfRule>
  </conditionalFormatting>
  <conditionalFormatting sqref="Q4736">
    <cfRule type="expression" dxfId="1" priority="2947">
      <formula>(#REF!&lt;&gt;"")*(#REF!&lt;&gt;"")</formula>
    </cfRule>
    <cfRule type="expression" dxfId="0" priority="2941">
      <formula>(#REF!&lt;&gt;"")*(#REF!&lt;&gt;"")</formula>
    </cfRule>
  </conditionalFormatting>
  <conditionalFormatting sqref="T4736">
    <cfRule type="expression" dxfId="0" priority="2946">
      <formula>(#REF!&lt;&gt;"")*(#REF!&lt;&gt;"")</formula>
    </cfRule>
  </conditionalFormatting>
  <conditionalFormatting sqref="A4739">
    <cfRule type="expression" dxfId="0" priority="2893">
      <formula>(#REF!&lt;&gt;"")*(#REF!&lt;&gt;"")</formula>
    </cfRule>
  </conditionalFormatting>
  <conditionalFormatting sqref="M4739:O4739">
    <cfRule type="expression" dxfId="0" priority="2892">
      <formula>(#REF!&lt;&gt;"")*(#REF!&lt;&gt;"")</formula>
    </cfRule>
  </conditionalFormatting>
  <conditionalFormatting sqref="N4739">
    <cfRule type="expression" dxfId="0" priority="2891">
      <formula>(#REF!&lt;&gt;"")*(#REF!&lt;&gt;"")</formula>
    </cfRule>
  </conditionalFormatting>
  <conditionalFormatting sqref="P4739">
    <cfRule type="expression" dxfId="1" priority="2890">
      <formula>(#REF!&lt;&gt;"")*(#REF!&lt;&gt;"")</formula>
    </cfRule>
  </conditionalFormatting>
  <conditionalFormatting sqref="Q4739">
    <cfRule type="expression" dxfId="1" priority="2889">
      <formula>(#REF!&lt;&gt;"")*(#REF!&lt;&gt;"")</formula>
    </cfRule>
    <cfRule type="expression" dxfId="0" priority="2888">
      <formula>(#REF!&lt;&gt;"")*(#REF!&lt;&gt;"")</formula>
    </cfRule>
  </conditionalFormatting>
  <conditionalFormatting sqref="A4740">
    <cfRule type="expression" dxfId="0" priority="2734">
      <formula>(#REF!&lt;&gt;"")*(#REF!&lt;&gt;"")</formula>
    </cfRule>
  </conditionalFormatting>
  <conditionalFormatting sqref="L4740">
    <cfRule type="expression" dxfId="0" priority="2736">
      <formula>(#REF!&lt;&gt;"")*(#REF!&lt;&gt;"")</formula>
    </cfRule>
  </conditionalFormatting>
  <conditionalFormatting sqref="M4740:O4740">
    <cfRule type="expression" dxfId="0" priority="2733">
      <formula>(#REF!&lt;&gt;"")*(#REF!&lt;&gt;"")</formula>
    </cfRule>
  </conditionalFormatting>
  <conditionalFormatting sqref="N4740">
    <cfRule type="expression" dxfId="0" priority="2732">
      <formula>(#REF!&lt;&gt;"")*(#REF!&lt;&gt;"")</formula>
    </cfRule>
  </conditionalFormatting>
  <conditionalFormatting sqref="P4740">
    <cfRule type="expression" dxfId="1" priority="2731">
      <formula>(#REF!&lt;&gt;"")*(#REF!&lt;&gt;"")</formula>
    </cfRule>
  </conditionalFormatting>
  <conditionalFormatting sqref="Q4740">
    <cfRule type="expression" dxfId="1" priority="2730">
      <formula>(#REF!&lt;&gt;"")*(#REF!&lt;&gt;"")</formula>
    </cfRule>
    <cfRule type="expression" dxfId="0" priority="2729">
      <formula>(#REF!&lt;&gt;"")*(#REF!&lt;&gt;"")</formula>
    </cfRule>
  </conditionalFormatting>
  <conditionalFormatting sqref="R4740">
    <cfRule type="expression" dxfId="0" priority="2610">
      <formula>(#REF!&lt;&gt;"")*(#REF!&lt;&gt;"")</formula>
    </cfRule>
  </conditionalFormatting>
  <conditionalFormatting sqref="A4741">
    <cfRule type="expression" dxfId="0" priority="2726">
      <formula>(#REF!&lt;&gt;"")*(#REF!&lt;&gt;"")</formula>
    </cfRule>
  </conditionalFormatting>
  <conditionalFormatting sqref="L4741">
    <cfRule type="expression" dxfId="0" priority="2728">
      <formula>(#REF!&lt;&gt;"")*(#REF!&lt;&gt;"")</formula>
    </cfRule>
  </conditionalFormatting>
  <conditionalFormatting sqref="M4741:O4741">
    <cfRule type="expression" dxfId="0" priority="2725">
      <formula>(#REF!&lt;&gt;"")*(#REF!&lt;&gt;"")</formula>
    </cfRule>
  </conditionalFormatting>
  <conditionalFormatting sqref="N4741">
    <cfRule type="expression" dxfId="0" priority="2724">
      <formula>(#REF!&lt;&gt;"")*(#REF!&lt;&gt;"")</formula>
    </cfRule>
  </conditionalFormatting>
  <conditionalFormatting sqref="P4741">
    <cfRule type="expression" dxfId="1" priority="2723">
      <formula>(#REF!&lt;&gt;"")*(#REF!&lt;&gt;"")</formula>
    </cfRule>
  </conditionalFormatting>
  <conditionalFormatting sqref="Q4741">
    <cfRule type="expression" dxfId="1" priority="2722">
      <formula>(#REF!&lt;&gt;"")*(#REF!&lt;&gt;"")</formula>
    </cfRule>
    <cfRule type="expression" dxfId="0" priority="2721">
      <formula>(#REF!&lt;&gt;"")*(#REF!&lt;&gt;"")</formula>
    </cfRule>
  </conditionalFormatting>
  <conditionalFormatting sqref="R4741">
    <cfRule type="expression" dxfId="0" priority="2611">
      <formula>(#REF!&lt;&gt;"")*(#REF!&lt;&gt;"")</formula>
    </cfRule>
  </conditionalFormatting>
  <conditionalFormatting sqref="A4742">
    <cfRule type="expression" dxfId="0" priority="2641">
      <formula>(#REF!&lt;&gt;"")*(#REF!&lt;&gt;"")</formula>
    </cfRule>
  </conditionalFormatting>
  <conditionalFormatting sqref="H4742">
    <cfRule type="expression" dxfId="0" priority="2632">
      <formula>(#REF!&lt;&gt;"")*(#REF!&lt;&gt;"")</formula>
    </cfRule>
  </conditionalFormatting>
  <conditionalFormatting sqref="J4742">
    <cfRule type="expression" dxfId="0" priority="2639">
      <formula>(#REF!&lt;&gt;"")*(#REF!&lt;&gt;"")</formula>
    </cfRule>
  </conditionalFormatting>
  <conditionalFormatting sqref="K4742">
    <cfRule type="expression" dxfId="0" priority="2631">
      <formula>(#REF!&lt;&gt;"")*(#REF!&lt;&gt;"")</formula>
    </cfRule>
  </conditionalFormatting>
  <conditionalFormatting sqref="L4742">
    <cfRule type="expression" dxfId="0" priority="2640">
      <formula>(#REF!&lt;&gt;"")*(#REF!&lt;&gt;"")</formula>
    </cfRule>
  </conditionalFormatting>
  <conditionalFormatting sqref="M4742">
    <cfRule type="expression" dxfId="0" priority="2638">
      <formula>(#REF!&lt;&gt;"")*(#REF!&lt;&gt;"")</formula>
    </cfRule>
  </conditionalFormatting>
  <conditionalFormatting sqref="N4742">
    <cfRule type="expression" dxfId="0" priority="2633">
      <formula>(#REF!&lt;&gt;"")*(#REF!&lt;&gt;"")</formula>
    </cfRule>
  </conditionalFormatting>
  <conditionalFormatting sqref="O4742">
    <cfRule type="expression" dxfId="0" priority="2637">
      <formula>(#REF!&lt;&gt;"")*(#REF!&lt;&gt;"")</formula>
    </cfRule>
  </conditionalFormatting>
  <conditionalFormatting sqref="P4742">
    <cfRule type="expression" dxfId="1" priority="2634">
      <formula>(#REF!&lt;&gt;"")*(#REF!&lt;&gt;"")</formula>
    </cfRule>
  </conditionalFormatting>
  <conditionalFormatting sqref="Q4742">
    <cfRule type="expression" dxfId="0" priority="2635">
      <formula>(#REF!&lt;&gt;"")*(#REF!&lt;&gt;"")</formula>
    </cfRule>
    <cfRule type="expression" dxfId="1" priority="2636">
      <formula>(#REF!&lt;&gt;"")*(#REF!&lt;&gt;"")</formula>
    </cfRule>
  </conditionalFormatting>
  <conditionalFormatting sqref="R4742">
    <cfRule type="expression" dxfId="0" priority="2612">
      <formula>(#REF!&lt;&gt;"")*(#REF!&lt;&gt;"")</formula>
    </cfRule>
  </conditionalFormatting>
  <conditionalFormatting sqref="T4742">
    <cfRule type="expression" dxfId="0" priority="2642">
      <formula>(#REF!&lt;&gt;"")*(#REF!&lt;&gt;"")</formula>
    </cfRule>
  </conditionalFormatting>
  <conditionalFormatting sqref="A4743">
    <cfRule type="expression" dxfId="0" priority="1537">
      <formula>(#REF!&lt;&gt;"")*(#REF!&lt;&gt;"")</formula>
    </cfRule>
  </conditionalFormatting>
  <conditionalFormatting sqref="E4743:G4743">
    <cfRule type="expression" dxfId="0" priority="1539">
      <formula>(#REF!&lt;&gt;"")*(#REF!&lt;&gt;"")</formula>
    </cfRule>
  </conditionalFormatting>
  <conditionalFormatting sqref="H4743">
    <cfRule type="expression" dxfId="0" priority="1528">
      <formula>(#REF!&lt;&gt;"")*(#REF!&lt;&gt;"")</formula>
    </cfRule>
  </conditionalFormatting>
  <conditionalFormatting sqref="J4743">
    <cfRule type="expression" dxfId="0" priority="1535">
      <formula>(#REF!&lt;&gt;"")*(#REF!&lt;&gt;"")</formula>
    </cfRule>
  </conditionalFormatting>
  <conditionalFormatting sqref="K4743">
    <cfRule type="expression" dxfId="0" priority="1527">
      <formula>(#REF!&lt;&gt;"")*(#REF!&lt;&gt;"")</formula>
    </cfRule>
  </conditionalFormatting>
  <conditionalFormatting sqref="L4743">
    <cfRule type="expression" dxfId="0" priority="1536">
      <formula>(#REF!&lt;&gt;"")*(#REF!&lt;&gt;"")</formula>
    </cfRule>
  </conditionalFormatting>
  <conditionalFormatting sqref="M4743">
    <cfRule type="expression" dxfId="0" priority="1534">
      <formula>(#REF!&lt;&gt;"")*(#REF!&lt;&gt;"")</formula>
    </cfRule>
  </conditionalFormatting>
  <conditionalFormatting sqref="O4743">
    <cfRule type="expression" dxfId="0" priority="1533">
      <formula>(#REF!&lt;&gt;"")*(#REF!&lt;&gt;"")</formula>
    </cfRule>
  </conditionalFormatting>
  <conditionalFormatting sqref="P4743">
    <cfRule type="expression" dxfId="1" priority="1530">
      <formula>(#REF!&lt;&gt;"")*(#REF!&lt;&gt;"")</formula>
    </cfRule>
  </conditionalFormatting>
  <conditionalFormatting sqref="A4744">
    <cfRule type="expression" dxfId="0" priority="1475">
      <formula>(#REF!&lt;&gt;"")*(#REF!&lt;&gt;"")</formula>
    </cfRule>
  </conditionalFormatting>
  <conditionalFormatting sqref="E4744:G4744">
    <cfRule type="expression" dxfId="0" priority="1476">
      <formula>(#REF!&lt;&gt;"")*(#REF!&lt;&gt;"")</formula>
    </cfRule>
  </conditionalFormatting>
  <conditionalFormatting sqref="H4744">
    <cfRule type="expression" dxfId="0" priority="1471">
      <formula>(#REF!&lt;&gt;"")*(#REF!&lt;&gt;"")</formula>
    </cfRule>
  </conditionalFormatting>
  <conditionalFormatting sqref="J4744">
    <cfRule type="expression" dxfId="0" priority="1473">
      <formula>(#REF!&lt;&gt;"")*(#REF!&lt;&gt;"")</formula>
    </cfRule>
  </conditionalFormatting>
  <conditionalFormatting sqref="K4744">
    <cfRule type="expression" dxfId="0" priority="1470">
      <formula>(#REF!&lt;&gt;"")*(#REF!&lt;&gt;"")</formula>
    </cfRule>
  </conditionalFormatting>
  <conditionalFormatting sqref="L4744">
    <cfRule type="expression" dxfId="0" priority="1474">
      <formula>(#REF!&lt;&gt;"")*(#REF!&lt;&gt;"")</formula>
    </cfRule>
  </conditionalFormatting>
  <conditionalFormatting sqref="M4744">
    <cfRule type="expression" dxfId="0" priority="1472">
      <formula>(#REF!&lt;&gt;"")*(#REF!&lt;&gt;"")</formula>
    </cfRule>
  </conditionalFormatting>
  <conditionalFormatting sqref="O4744">
    <cfRule type="expression" dxfId="0" priority="1462">
      <formula>(#REF!&lt;&gt;"")*(#REF!&lt;&gt;"")</formula>
    </cfRule>
  </conditionalFormatting>
  <conditionalFormatting sqref="P4744">
    <cfRule type="expression" dxfId="1" priority="1461">
      <formula>(#REF!&lt;&gt;"")*(#REF!&lt;&gt;"")</formula>
    </cfRule>
  </conditionalFormatting>
  <conditionalFormatting sqref="A4745">
    <cfRule type="expression" dxfId="0" priority="1468">
      <formula>(#REF!&lt;&gt;"")*(#REF!&lt;&gt;"")</formula>
    </cfRule>
  </conditionalFormatting>
  <conditionalFormatting sqref="E4745:G4745">
    <cfRule type="expression" dxfId="0" priority="1469">
      <formula>(#REF!&lt;&gt;"")*(#REF!&lt;&gt;"")</formula>
    </cfRule>
  </conditionalFormatting>
  <conditionalFormatting sqref="H4745">
    <cfRule type="expression" dxfId="0" priority="1464">
      <formula>(#REF!&lt;&gt;"")*(#REF!&lt;&gt;"")</formula>
    </cfRule>
  </conditionalFormatting>
  <conditionalFormatting sqref="J4745">
    <cfRule type="expression" dxfId="0" priority="1466">
      <formula>(#REF!&lt;&gt;"")*(#REF!&lt;&gt;"")</formula>
    </cfRule>
  </conditionalFormatting>
  <conditionalFormatting sqref="K4745">
    <cfRule type="expression" dxfId="0" priority="1463">
      <formula>(#REF!&lt;&gt;"")*(#REF!&lt;&gt;"")</formula>
    </cfRule>
  </conditionalFormatting>
  <conditionalFormatting sqref="L4745">
    <cfRule type="expression" dxfId="0" priority="1467">
      <formula>(#REF!&lt;&gt;"")*(#REF!&lt;&gt;"")</formula>
    </cfRule>
  </conditionalFormatting>
  <conditionalFormatting sqref="M4745">
    <cfRule type="expression" dxfId="0" priority="1465">
      <formula>(#REF!&lt;&gt;"")*(#REF!&lt;&gt;"")</formula>
    </cfRule>
  </conditionalFormatting>
  <conditionalFormatting sqref="O4745">
    <cfRule type="expression" dxfId="0" priority="1460">
      <formula>(#REF!&lt;&gt;"")*(#REF!&lt;&gt;"")</formula>
    </cfRule>
  </conditionalFormatting>
  <conditionalFormatting sqref="P4745">
    <cfRule type="expression" dxfId="1" priority="1459">
      <formula>(#REF!&lt;&gt;"")*(#REF!&lt;&gt;"")</formula>
    </cfRule>
  </conditionalFormatting>
  <conditionalFormatting sqref="A4746">
    <cfRule type="expression" dxfId="0" priority="2936">
      <formula>(#REF!&lt;&gt;"")*(#REF!&lt;&gt;"")</formula>
    </cfRule>
  </conditionalFormatting>
  <conditionalFormatting sqref="A4747">
    <cfRule type="expression" dxfId="0" priority="2934">
      <formula>(#REF!&lt;&gt;"")*(#REF!&lt;&gt;"")</formula>
    </cfRule>
  </conditionalFormatting>
  <conditionalFormatting sqref="E4747:G4747">
    <cfRule type="expression" dxfId="0" priority="2935">
      <formula>(#REF!&lt;&gt;"")*(#REF!&lt;&gt;"")</formula>
    </cfRule>
  </conditionalFormatting>
  <conditionalFormatting sqref="A4748">
    <cfRule type="expression" dxfId="0" priority="2932">
      <formula>(#REF!&lt;&gt;"")*(#REF!&lt;&gt;"")</formula>
    </cfRule>
  </conditionalFormatting>
  <conditionalFormatting sqref="E4748:G4748">
    <cfRule type="expression" dxfId="0" priority="2933">
      <formula>(#REF!&lt;&gt;"")*(#REF!&lt;&gt;"")</formula>
    </cfRule>
  </conditionalFormatting>
  <conditionalFormatting sqref="A4749">
    <cfRule type="expression" dxfId="0" priority="2920">
      <formula>(#REF!&lt;&gt;"")*(#REF!&lt;&gt;"")</formula>
    </cfRule>
  </conditionalFormatting>
  <conditionalFormatting sqref="E4749:G4749">
    <cfRule type="expression" dxfId="0" priority="2921">
      <formula>(#REF!&lt;&gt;"")*(#REF!&lt;&gt;"")</formula>
    </cfRule>
  </conditionalFormatting>
  <conditionalFormatting sqref="L4749">
    <cfRule type="expression" dxfId="0" priority="2927">
      <formula>(#REF!&lt;&gt;"")*(#REF!&lt;&gt;"")</formula>
    </cfRule>
  </conditionalFormatting>
  <conditionalFormatting sqref="M4749:O4749">
    <cfRule type="expression" dxfId="0" priority="2924">
      <formula>(#REF!&lt;&gt;"")*(#REF!&lt;&gt;"")</formula>
    </cfRule>
  </conditionalFormatting>
  <conditionalFormatting sqref="N4749">
    <cfRule type="expression" dxfId="0" priority="2923">
      <formula>(#REF!&lt;&gt;"")*(#REF!&lt;&gt;"")</formula>
    </cfRule>
  </conditionalFormatting>
  <conditionalFormatting sqref="P4749">
    <cfRule type="expression" dxfId="1" priority="2922">
      <formula>(#REF!&lt;&gt;"")*(#REF!&lt;&gt;"")</formula>
    </cfRule>
  </conditionalFormatting>
  <conditionalFormatting sqref="Q4749">
    <cfRule type="expression" dxfId="1" priority="2926">
      <formula>(#REF!&lt;&gt;"")*(#REF!&lt;&gt;"")</formula>
    </cfRule>
    <cfRule type="expression" dxfId="0" priority="2925">
      <formula>(#REF!&lt;&gt;"")*(#REF!&lt;&gt;"")</formula>
    </cfRule>
  </conditionalFormatting>
  <conditionalFormatting sqref="A4750">
    <cfRule type="expression" dxfId="0" priority="2930">
      <formula>(#REF!&lt;&gt;"")*(#REF!&lt;&gt;"")</formula>
    </cfRule>
  </conditionalFormatting>
  <conditionalFormatting sqref="E4750:G4750">
    <cfRule type="expression" dxfId="0" priority="2931">
      <formula>(#REF!&lt;&gt;"")*(#REF!&lt;&gt;"")</formula>
    </cfRule>
  </conditionalFormatting>
  <conditionalFormatting sqref="A4751">
    <cfRule type="expression" dxfId="0" priority="2928">
      <formula>(#REF!&lt;&gt;"")*(#REF!&lt;&gt;"")</formula>
    </cfRule>
  </conditionalFormatting>
  <conditionalFormatting sqref="E4751:G4751">
    <cfRule type="expression" dxfId="0" priority="2929">
      <formula>(#REF!&lt;&gt;"")*(#REF!&lt;&gt;"")</formula>
    </cfRule>
  </conditionalFormatting>
  <conditionalFormatting sqref="O4754">
    <cfRule type="expression" dxfId="0" priority="2589">
      <formula>(#REF!&lt;&gt;"")*(#REF!&lt;&gt;"")</formula>
    </cfRule>
  </conditionalFormatting>
  <conditionalFormatting sqref="M4757:N4757">
    <cfRule type="expression" dxfId="0" priority="2919">
      <formula>(#REF!&lt;&gt;"")*(#REF!&lt;&gt;"")</formula>
    </cfRule>
  </conditionalFormatting>
  <conditionalFormatting sqref="A4758">
    <cfRule type="expression" dxfId="0" priority="2917">
      <formula>(#REF!&lt;&gt;"")*(#REF!&lt;&gt;"")</formula>
    </cfRule>
  </conditionalFormatting>
  <conditionalFormatting sqref="L4758">
    <cfRule type="expression" dxfId="0" priority="2918">
      <formula>(#REF!&lt;&gt;"")*(#REF!&lt;&gt;"")</formula>
    </cfRule>
  </conditionalFormatting>
  <conditionalFormatting sqref="M4758:N4758">
    <cfRule type="expression" dxfId="0" priority="2916">
      <formula>(#REF!&lt;&gt;"")*(#REF!&lt;&gt;"")</formula>
    </cfRule>
  </conditionalFormatting>
  <conditionalFormatting sqref="E4765:G4765">
    <cfRule type="expression" dxfId="0" priority="2909">
      <formula>(#REF!&lt;&gt;"")*(#REF!&lt;&gt;"")</formula>
    </cfRule>
  </conditionalFormatting>
  <conditionalFormatting sqref="E4766:G4766">
    <cfRule type="expression" dxfId="0" priority="2908">
      <formula>(#REF!&lt;&gt;"")*(#REF!&lt;&gt;"")</formula>
    </cfRule>
  </conditionalFormatting>
  <conditionalFormatting sqref="E4767:G4767">
    <cfRule type="expression" dxfId="0" priority="2907">
      <formula>(#REF!&lt;&gt;"")*(#REF!&lt;&gt;"")</formula>
    </cfRule>
  </conditionalFormatting>
  <conditionalFormatting sqref="E4768:G4768">
    <cfRule type="expression" dxfId="0" priority="2906">
      <formula>(#REF!&lt;&gt;"")*(#REF!&lt;&gt;"")</formula>
    </cfRule>
  </conditionalFormatting>
  <conditionalFormatting sqref="E4769:G4769">
    <cfRule type="expression" dxfId="0" priority="2910">
      <formula>(#REF!&lt;&gt;"")*(#REF!&lt;&gt;"")</formula>
    </cfRule>
  </conditionalFormatting>
  <conditionalFormatting sqref="E4770:G4770">
    <cfRule type="expression" dxfId="0" priority="2887">
      <formula>(#REF!&lt;&gt;"")*(#REF!&lt;&gt;"")</formula>
    </cfRule>
  </conditionalFormatting>
  <conditionalFormatting sqref="P4771:Q4771">
    <cfRule type="expression" dxfId="1" priority="2885">
      <formula>(#REF!&lt;&gt;"")*(#REF!&lt;&gt;"")</formula>
    </cfRule>
  </conditionalFormatting>
  <conditionalFormatting sqref="Q4771">
    <cfRule type="expression" dxfId="0" priority="2884">
      <formula>(#REF!&lt;&gt;"")*(#REF!&lt;&gt;"")</formula>
    </cfRule>
  </conditionalFormatting>
  <conditionalFormatting sqref="N4772">
    <cfRule type="expression" dxfId="0" priority="2883">
      <formula>(#REF!&lt;&gt;"")*(#REF!&lt;&gt;"")</formula>
    </cfRule>
  </conditionalFormatting>
  <conditionalFormatting sqref="O4772">
    <cfRule type="expression" dxfId="0" priority="2881">
      <formula>(#REF!&lt;&gt;"")*(#REF!&lt;&gt;"")</formula>
    </cfRule>
  </conditionalFormatting>
  <conditionalFormatting sqref="P4772">
    <cfRule type="expression" dxfId="1" priority="2882">
      <formula>(#REF!&lt;&gt;"")*(#REF!&lt;&gt;"")</formula>
    </cfRule>
  </conditionalFormatting>
  <conditionalFormatting sqref="N4773">
    <cfRule type="expression" dxfId="0" priority="2878">
      <formula>(#REF!&lt;&gt;"")*(#REF!&lt;&gt;"")</formula>
    </cfRule>
  </conditionalFormatting>
  <conditionalFormatting sqref="O4773">
    <cfRule type="expression" dxfId="0" priority="2876">
      <formula>(#REF!&lt;&gt;"")*(#REF!&lt;&gt;"")</formula>
    </cfRule>
  </conditionalFormatting>
  <conditionalFormatting sqref="P4773">
    <cfRule type="expression" dxfId="1" priority="2877">
      <formula>(#REF!&lt;&gt;"")*(#REF!&lt;&gt;"")</formula>
    </cfRule>
  </conditionalFormatting>
  <conditionalFormatting sqref="N4774">
    <cfRule type="expression" dxfId="0" priority="2875">
      <formula>(#REF!&lt;&gt;"")*(#REF!&lt;&gt;"")</formula>
    </cfRule>
  </conditionalFormatting>
  <conditionalFormatting sqref="O4774">
    <cfRule type="expression" dxfId="0" priority="2873">
      <formula>(#REF!&lt;&gt;"")*(#REF!&lt;&gt;"")</formula>
    </cfRule>
  </conditionalFormatting>
  <conditionalFormatting sqref="P4774">
    <cfRule type="expression" dxfId="1" priority="2874">
      <formula>(#REF!&lt;&gt;"")*(#REF!&lt;&gt;"")</formula>
    </cfRule>
  </conditionalFormatting>
  <conditionalFormatting sqref="E4775:G4775">
    <cfRule type="expression" dxfId="0" priority="2880">
      <formula>(#REF!&lt;&gt;"")*(#REF!&lt;&gt;"")</formula>
    </cfRule>
  </conditionalFormatting>
  <conditionalFormatting sqref="N4775">
    <cfRule type="expression" dxfId="0" priority="2872">
      <formula>(#REF!&lt;&gt;"")*(#REF!&lt;&gt;"")</formula>
    </cfRule>
  </conditionalFormatting>
  <conditionalFormatting sqref="O4775">
    <cfRule type="expression" dxfId="0" priority="2870">
      <formula>(#REF!&lt;&gt;"")*(#REF!&lt;&gt;"")</formula>
    </cfRule>
  </conditionalFormatting>
  <conditionalFormatting sqref="P4775">
    <cfRule type="expression" dxfId="1" priority="2871">
      <formula>(#REF!&lt;&gt;"")*(#REF!&lt;&gt;"")</formula>
    </cfRule>
  </conditionalFormatting>
  <conditionalFormatting sqref="E4776:G4776">
    <cfRule type="expression" dxfId="0" priority="2879">
      <formula>(#REF!&lt;&gt;"")*(#REF!&lt;&gt;"")</formula>
    </cfRule>
  </conditionalFormatting>
  <conditionalFormatting sqref="N4776">
    <cfRule type="expression" dxfId="0" priority="2869">
      <formula>(#REF!&lt;&gt;"")*(#REF!&lt;&gt;"")</formula>
    </cfRule>
  </conditionalFormatting>
  <conditionalFormatting sqref="O4776">
    <cfRule type="expression" dxfId="0" priority="2867">
      <formula>(#REF!&lt;&gt;"")*(#REF!&lt;&gt;"")</formula>
    </cfRule>
  </conditionalFormatting>
  <conditionalFormatting sqref="P4776">
    <cfRule type="expression" dxfId="1" priority="2868">
      <formula>(#REF!&lt;&gt;"")*(#REF!&lt;&gt;"")</formula>
    </cfRule>
  </conditionalFormatting>
  <conditionalFormatting sqref="E4777:G4777">
    <cfRule type="expression" dxfId="0" priority="2866">
      <formula>(#REF!&lt;&gt;"")*(#REF!&lt;&gt;"")</formula>
    </cfRule>
  </conditionalFormatting>
  <conditionalFormatting sqref="M4777">
    <cfRule type="expression" dxfId="0" priority="2861">
      <formula>(#REF!&lt;&gt;"")*(#REF!&lt;&gt;"")</formula>
    </cfRule>
  </conditionalFormatting>
  <conditionalFormatting sqref="N4777">
    <cfRule type="expression" dxfId="0" priority="2860">
      <formula>(#REF!&lt;&gt;"")*(#REF!&lt;&gt;"")</formula>
    </cfRule>
  </conditionalFormatting>
  <conditionalFormatting sqref="O4777">
    <cfRule type="expression" dxfId="0" priority="2858">
      <formula>(#REF!&lt;&gt;"")*(#REF!&lt;&gt;"")</formula>
    </cfRule>
  </conditionalFormatting>
  <conditionalFormatting sqref="P4777">
    <cfRule type="expression" dxfId="1" priority="2859">
      <formula>(#REF!&lt;&gt;"")*(#REF!&lt;&gt;"")</formula>
    </cfRule>
  </conditionalFormatting>
  <conditionalFormatting sqref="Q4777">
    <cfRule type="expression" dxfId="1" priority="2862">
      <formula>(#REF!&lt;&gt;"")*(#REF!&lt;&gt;"")</formula>
    </cfRule>
  </conditionalFormatting>
  <conditionalFormatting sqref="E4778:G4778">
    <cfRule type="expression" dxfId="0" priority="2864">
      <formula>(#REF!&lt;&gt;"")*(#REF!&lt;&gt;"")</formula>
    </cfRule>
  </conditionalFormatting>
  <conditionalFormatting sqref="M4778">
    <cfRule type="expression" dxfId="0" priority="2856">
      <formula>(#REF!&lt;&gt;"")*(#REF!&lt;&gt;"")</formula>
    </cfRule>
  </conditionalFormatting>
  <conditionalFormatting sqref="N4778">
    <cfRule type="expression" dxfId="0" priority="2855">
      <formula>(#REF!&lt;&gt;"")*(#REF!&lt;&gt;"")</formula>
    </cfRule>
  </conditionalFormatting>
  <conditionalFormatting sqref="O4778">
    <cfRule type="expression" dxfId="0" priority="2853">
      <formula>(#REF!&lt;&gt;"")*(#REF!&lt;&gt;"")</formula>
    </cfRule>
  </conditionalFormatting>
  <conditionalFormatting sqref="P4778">
    <cfRule type="expression" dxfId="1" priority="2854">
      <formula>(#REF!&lt;&gt;"")*(#REF!&lt;&gt;"")</formula>
    </cfRule>
  </conditionalFormatting>
  <conditionalFormatting sqref="Q4778">
    <cfRule type="expression" dxfId="1" priority="2857">
      <formula>(#REF!&lt;&gt;"")*(#REF!&lt;&gt;"")</formula>
    </cfRule>
  </conditionalFormatting>
  <conditionalFormatting sqref="E4779:G4779">
    <cfRule type="expression" dxfId="0" priority="2863">
      <formula>(#REF!&lt;&gt;"")*(#REF!&lt;&gt;"")</formula>
    </cfRule>
  </conditionalFormatting>
  <conditionalFormatting sqref="K4779">
    <cfRule type="expression" dxfId="0" priority="2842">
      <formula>(#REF!&lt;&gt;"")*(#REF!&lt;&gt;"")</formula>
    </cfRule>
  </conditionalFormatting>
  <conditionalFormatting sqref="M4779">
    <cfRule type="expression" dxfId="0" priority="2851">
      <formula>(#REF!&lt;&gt;"")*(#REF!&lt;&gt;"")</formula>
    </cfRule>
  </conditionalFormatting>
  <conditionalFormatting sqref="N4779">
    <cfRule type="expression" dxfId="0" priority="2850">
      <formula>(#REF!&lt;&gt;"")*(#REF!&lt;&gt;"")</formula>
    </cfRule>
  </conditionalFormatting>
  <conditionalFormatting sqref="O4779">
    <cfRule type="expression" dxfId="0" priority="2848">
      <formula>(#REF!&lt;&gt;"")*(#REF!&lt;&gt;"")</formula>
    </cfRule>
  </conditionalFormatting>
  <conditionalFormatting sqref="P4779">
    <cfRule type="expression" dxfId="1" priority="2849">
      <formula>(#REF!&lt;&gt;"")*(#REF!&lt;&gt;"")</formula>
    </cfRule>
  </conditionalFormatting>
  <conditionalFormatting sqref="Q4779">
    <cfRule type="expression" dxfId="1" priority="2852">
      <formula>(#REF!&lt;&gt;"")*(#REF!&lt;&gt;"")</formula>
    </cfRule>
  </conditionalFormatting>
  <conditionalFormatting sqref="K4780">
    <cfRule type="expression" dxfId="0" priority="2841">
      <formula>(#REF!&lt;&gt;"")*(#REF!&lt;&gt;"")</formula>
    </cfRule>
  </conditionalFormatting>
  <conditionalFormatting sqref="K4781">
    <cfRule type="expression" dxfId="0" priority="2840">
      <formula>(#REF!&lt;&gt;"")*(#REF!&lt;&gt;"")</formula>
    </cfRule>
  </conditionalFormatting>
  <conditionalFormatting sqref="A4782">
    <cfRule type="expression" dxfId="0" priority="2838">
      <formula>(#REF!&lt;&gt;"")*(#REF!&lt;&gt;"")</formula>
    </cfRule>
  </conditionalFormatting>
  <conditionalFormatting sqref="K4782">
    <cfRule type="expression" dxfId="0" priority="2836">
      <formula>(#REF!&lt;&gt;"")*(#REF!&lt;&gt;"")</formula>
    </cfRule>
  </conditionalFormatting>
  <conditionalFormatting sqref="L4782">
    <cfRule type="expression" dxfId="0" priority="2839">
      <formula>(#REF!&lt;&gt;"")*(#REF!&lt;&gt;"")</formula>
    </cfRule>
  </conditionalFormatting>
  <conditionalFormatting sqref="M4782">
    <cfRule type="expression" dxfId="0" priority="2837">
      <formula>(#REF!&lt;&gt;"")*(#REF!&lt;&gt;"")</formula>
    </cfRule>
  </conditionalFormatting>
  <conditionalFormatting sqref="O4782">
    <cfRule type="expression" dxfId="0" priority="2832">
      <formula>(#REF!&lt;&gt;"")*(#REF!&lt;&gt;"")</formula>
    </cfRule>
  </conditionalFormatting>
  <conditionalFormatting sqref="P4782">
    <cfRule type="expression" dxfId="1" priority="2833">
      <formula>(#REF!&lt;&gt;"")*(#REF!&lt;&gt;"")</formula>
    </cfRule>
  </conditionalFormatting>
  <conditionalFormatting sqref="Q4782">
    <cfRule type="expression" dxfId="0" priority="2834">
      <formula>(#REF!&lt;&gt;"")*(#REF!&lt;&gt;"")</formula>
    </cfRule>
    <cfRule type="expression" dxfId="1" priority="2835">
      <formula>(#REF!&lt;&gt;"")*(#REF!&lt;&gt;"")</formula>
    </cfRule>
  </conditionalFormatting>
  <conditionalFormatting sqref="A4783">
    <cfRule type="expression" dxfId="0" priority="2831">
      <formula>(#REF!&lt;&gt;"")*(#REF!&lt;&gt;"")</formula>
    </cfRule>
  </conditionalFormatting>
  <conditionalFormatting sqref="K4783">
    <cfRule type="expression" dxfId="0" priority="2830">
      <formula>(#REF!&lt;&gt;"")*(#REF!&lt;&gt;"")</formula>
    </cfRule>
  </conditionalFormatting>
  <conditionalFormatting sqref="A4784">
    <cfRule type="expression" dxfId="0" priority="2827">
      <formula>(#REF!&lt;&gt;"")*(#REF!&lt;&gt;"")</formula>
    </cfRule>
  </conditionalFormatting>
  <conditionalFormatting sqref="K4784">
    <cfRule type="expression" dxfId="0" priority="2825">
      <formula>(#REF!&lt;&gt;"")*(#REF!&lt;&gt;"")</formula>
    </cfRule>
  </conditionalFormatting>
  <conditionalFormatting sqref="L4784">
    <cfRule type="expression" dxfId="0" priority="2828">
      <formula>(#REF!&lt;&gt;"")*(#REF!&lt;&gt;"")</formula>
    </cfRule>
  </conditionalFormatting>
  <conditionalFormatting sqref="M4784">
    <cfRule type="expression" dxfId="0" priority="2826">
      <formula>(#REF!&lt;&gt;"")*(#REF!&lt;&gt;"")</formula>
    </cfRule>
  </conditionalFormatting>
  <conditionalFormatting sqref="N4784">
    <cfRule type="expression" dxfId="0" priority="2829">
      <formula>(#REF!&lt;&gt;"")*(#REF!&lt;&gt;"")</formula>
    </cfRule>
  </conditionalFormatting>
  <conditionalFormatting sqref="O4784">
    <cfRule type="expression" dxfId="0" priority="2823">
      <formula>(#REF!&lt;&gt;"")*(#REF!&lt;&gt;"")</formula>
    </cfRule>
  </conditionalFormatting>
  <conditionalFormatting sqref="P4784">
    <cfRule type="expression" dxfId="1" priority="2824">
      <formula>(#REF!&lt;&gt;"")*(#REF!&lt;&gt;"")</formula>
    </cfRule>
  </conditionalFormatting>
  <conditionalFormatting sqref="A4785">
    <cfRule type="expression" dxfId="0" priority="2815">
      <formula>(#REF!&lt;&gt;"")*(#REF!&lt;&gt;"")</formula>
    </cfRule>
  </conditionalFormatting>
  <conditionalFormatting sqref="J4785">
    <cfRule type="expression" dxfId="0" priority="2820">
      <formula>(#REF!&lt;&gt;"")*(#REF!&lt;&gt;"")</formula>
    </cfRule>
  </conditionalFormatting>
  <conditionalFormatting sqref="K4785">
    <cfRule type="expression" dxfId="0" priority="2818">
      <formula>(#REF!&lt;&gt;"")*(#REF!&lt;&gt;"")</formula>
    </cfRule>
  </conditionalFormatting>
  <conditionalFormatting sqref="M4785">
    <cfRule type="expression" dxfId="0" priority="2819">
      <formula>(#REF!&lt;&gt;"")*(#REF!&lt;&gt;"")</formula>
    </cfRule>
  </conditionalFormatting>
  <conditionalFormatting sqref="N4785">
    <cfRule type="expression" dxfId="0" priority="2822">
      <formula>(#REF!&lt;&gt;"")*(#REF!&lt;&gt;"")</formula>
    </cfRule>
  </conditionalFormatting>
  <conditionalFormatting sqref="O4785">
    <cfRule type="expression" dxfId="0" priority="2816">
      <formula>(#REF!&lt;&gt;"")*(#REF!&lt;&gt;"")</formula>
    </cfRule>
  </conditionalFormatting>
  <conditionalFormatting sqref="P4785">
    <cfRule type="expression" dxfId="1" priority="2817">
      <formula>(#REF!&lt;&gt;"")*(#REF!&lt;&gt;"")</formula>
    </cfRule>
  </conditionalFormatting>
  <conditionalFormatting sqref="A4786">
    <cfRule type="expression" dxfId="0" priority="2801">
      <formula>(#REF!&lt;&gt;"")*(#REF!&lt;&gt;"")</formula>
    </cfRule>
  </conditionalFormatting>
  <conditionalFormatting sqref="J4786">
    <cfRule type="expression" dxfId="0" priority="2803">
      <formula>(#REF!&lt;&gt;"")*(#REF!&lt;&gt;"")</formula>
    </cfRule>
  </conditionalFormatting>
  <conditionalFormatting sqref="K4786">
    <cfRule type="expression" dxfId="0" priority="2802">
      <formula>(#REF!&lt;&gt;"")*(#REF!&lt;&gt;"")</formula>
    </cfRule>
  </conditionalFormatting>
  <conditionalFormatting sqref="M4786">
    <cfRule type="expression" dxfId="0" priority="2797">
      <formula>(#REF!&lt;&gt;"")*(#REF!&lt;&gt;"")</formula>
    </cfRule>
  </conditionalFormatting>
  <conditionalFormatting sqref="N4786">
    <cfRule type="expression" dxfId="0" priority="2798">
      <formula>(#REF!&lt;&gt;"")*(#REF!&lt;&gt;"")</formula>
    </cfRule>
  </conditionalFormatting>
  <conditionalFormatting sqref="O4786">
    <cfRule type="expression" dxfId="0" priority="2795">
      <formula>(#REF!&lt;&gt;"")*(#REF!&lt;&gt;"")</formula>
    </cfRule>
  </conditionalFormatting>
  <conditionalFormatting sqref="P4786">
    <cfRule type="expression" dxfId="1" priority="2796">
      <formula>(#REF!&lt;&gt;"")*(#REF!&lt;&gt;"")</formula>
    </cfRule>
  </conditionalFormatting>
  <conditionalFormatting sqref="Q4786">
    <cfRule type="expression" dxfId="0" priority="2799">
      <formula>(#REF!&lt;&gt;"")*(#REF!&lt;&gt;"")</formula>
    </cfRule>
    <cfRule type="expression" dxfId="1" priority="2800">
      <formula>(#REF!&lt;&gt;"")*(#REF!&lt;&gt;"")</formula>
    </cfRule>
  </conditionalFormatting>
  <conditionalFormatting sqref="A4787">
    <cfRule type="expression" dxfId="0" priority="2791">
      <formula>(#REF!&lt;&gt;"")*(#REF!&lt;&gt;"")</formula>
    </cfRule>
  </conditionalFormatting>
  <conditionalFormatting sqref="J4787">
    <cfRule type="expression" dxfId="0" priority="2793">
      <formula>(#REF!&lt;&gt;"")*(#REF!&lt;&gt;"")</formula>
    </cfRule>
  </conditionalFormatting>
  <conditionalFormatting sqref="K4787">
    <cfRule type="expression" dxfId="0" priority="2792">
      <formula>(#REF!&lt;&gt;"")*(#REF!&lt;&gt;"")</formula>
    </cfRule>
  </conditionalFormatting>
  <conditionalFormatting sqref="L4787">
    <cfRule type="expression" dxfId="0" priority="2794">
      <formula>(#REF!&lt;&gt;"")*(#REF!&lt;&gt;"")</formula>
    </cfRule>
  </conditionalFormatting>
  <conditionalFormatting sqref="M4787">
    <cfRule type="expression" dxfId="0" priority="2787">
      <formula>(#REF!&lt;&gt;"")*(#REF!&lt;&gt;"")</formula>
    </cfRule>
  </conditionalFormatting>
  <conditionalFormatting sqref="N4787">
    <cfRule type="expression" dxfId="0" priority="2788">
      <formula>(#REF!&lt;&gt;"")*(#REF!&lt;&gt;"")</formula>
    </cfRule>
  </conditionalFormatting>
  <conditionalFormatting sqref="O4787">
    <cfRule type="expression" dxfId="0" priority="2785">
      <formula>(#REF!&lt;&gt;"")*(#REF!&lt;&gt;"")</formula>
    </cfRule>
  </conditionalFormatting>
  <conditionalFormatting sqref="P4787">
    <cfRule type="expression" dxfId="1" priority="2786">
      <formula>(#REF!&lt;&gt;"")*(#REF!&lt;&gt;"")</formula>
    </cfRule>
  </conditionalFormatting>
  <conditionalFormatting sqref="Q4787">
    <cfRule type="expression" dxfId="0" priority="2789">
      <formula>(#REF!&lt;&gt;"")*(#REF!&lt;&gt;"")</formula>
    </cfRule>
    <cfRule type="expression" dxfId="1" priority="2790">
      <formula>(#REF!&lt;&gt;"")*(#REF!&lt;&gt;"")</formula>
    </cfRule>
  </conditionalFormatting>
  <conditionalFormatting sqref="A4788">
    <cfRule type="expression" dxfId="0" priority="2781">
      <formula>(#REF!&lt;&gt;"")*(#REF!&lt;&gt;"")</formula>
    </cfRule>
  </conditionalFormatting>
  <conditionalFormatting sqref="J4788">
    <cfRule type="expression" dxfId="0" priority="2783">
      <formula>(#REF!&lt;&gt;"")*(#REF!&lt;&gt;"")</formula>
    </cfRule>
  </conditionalFormatting>
  <conditionalFormatting sqref="K4788">
    <cfRule type="expression" dxfId="0" priority="2782">
      <formula>(#REF!&lt;&gt;"")*(#REF!&lt;&gt;"")</formula>
    </cfRule>
  </conditionalFormatting>
  <conditionalFormatting sqref="L4788">
    <cfRule type="expression" dxfId="0" priority="2784">
      <formula>(#REF!&lt;&gt;"")*(#REF!&lt;&gt;"")</formula>
    </cfRule>
  </conditionalFormatting>
  <conditionalFormatting sqref="M4788">
    <cfRule type="expression" dxfId="0" priority="2777">
      <formula>(#REF!&lt;&gt;"")*(#REF!&lt;&gt;"")</formula>
    </cfRule>
  </conditionalFormatting>
  <conditionalFormatting sqref="N4788">
    <cfRule type="expression" dxfId="0" priority="2778">
      <formula>(#REF!&lt;&gt;"")*(#REF!&lt;&gt;"")</formula>
    </cfRule>
  </conditionalFormatting>
  <conditionalFormatting sqref="O4788">
    <cfRule type="expression" dxfId="0" priority="2775">
      <formula>(#REF!&lt;&gt;"")*(#REF!&lt;&gt;"")</formula>
    </cfRule>
  </conditionalFormatting>
  <conditionalFormatting sqref="P4788">
    <cfRule type="expression" dxfId="1" priority="2776">
      <formula>(#REF!&lt;&gt;"")*(#REF!&lt;&gt;"")</formula>
    </cfRule>
  </conditionalFormatting>
  <conditionalFormatting sqref="Q4788">
    <cfRule type="expression" dxfId="0" priority="2779">
      <formula>(#REF!&lt;&gt;"")*(#REF!&lt;&gt;"")</formula>
    </cfRule>
    <cfRule type="expression" dxfId="1" priority="2780">
      <formula>(#REF!&lt;&gt;"")*(#REF!&lt;&gt;"")</formula>
    </cfRule>
  </conditionalFormatting>
  <conditionalFormatting sqref="A4791">
    <cfRule type="expression" dxfId="0" priority="2745">
      <formula>(#REF!&lt;&gt;"")*(#REF!&lt;&gt;"")</formula>
    </cfRule>
  </conditionalFormatting>
  <conditionalFormatting sqref="H4791">
    <cfRule type="expression" dxfId="0" priority="2748">
      <formula>(#REF!&lt;&gt;"")*(#REF!&lt;&gt;"")</formula>
    </cfRule>
  </conditionalFormatting>
  <conditionalFormatting sqref="J4791">
    <cfRule type="expression" dxfId="0" priority="2747">
      <formula>(#REF!&lt;&gt;"")*(#REF!&lt;&gt;"")</formula>
    </cfRule>
  </conditionalFormatting>
  <conditionalFormatting sqref="K4791">
    <cfRule type="expression" dxfId="0" priority="2746">
      <formula>(#REF!&lt;&gt;"")*(#REF!&lt;&gt;"")</formula>
    </cfRule>
  </conditionalFormatting>
  <conditionalFormatting sqref="K4793">
    <cfRule type="expression" dxfId="0" priority="2277">
      <formula>(#REF!&lt;&gt;"")*(#REF!&lt;&gt;"")</formula>
    </cfRule>
    <cfRule type="expression" dxfId="0" priority="2276">
      <formula>(#REF!&lt;&gt;"")*(#REF!&lt;&gt;"")</formula>
    </cfRule>
  </conditionalFormatting>
  <conditionalFormatting sqref="P4793:Q4793">
    <cfRule type="expression" dxfId="1" priority="2509">
      <formula>(#REF!&lt;&gt;"")*(#REF!&lt;&gt;"")</formula>
    </cfRule>
  </conditionalFormatting>
  <conditionalFormatting sqref="A4794">
    <cfRule type="expression" dxfId="0" priority="2505">
      <formula>(#REF!&lt;&gt;"")*(#REF!&lt;&gt;"")</formula>
    </cfRule>
  </conditionalFormatting>
  <conditionalFormatting sqref="K4794">
    <cfRule type="expression" dxfId="0" priority="2275">
      <formula>(#REF!&lt;&gt;"")*(#REF!&lt;&gt;"")</formula>
    </cfRule>
    <cfRule type="expression" dxfId="0" priority="2274">
      <formula>(#REF!&lt;&gt;"")*(#REF!&lt;&gt;"")</formula>
    </cfRule>
  </conditionalFormatting>
  <conditionalFormatting sqref="L4794">
    <cfRule type="expression" dxfId="0" priority="2507">
      <formula>(#REF!&lt;&gt;"")*(#REF!&lt;&gt;"")</formula>
    </cfRule>
  </conditionalFormatting>
  <conditionalFormatting sqref="M4794">
    <cfRule type="expression" dxfId="0" priority="2503">
      <formula>(#REF!&lt;&gt;"")*(#REF!&lt;&gt;"")</formula>
    </cfRule>
  </conditionalFormatting>
  <conditionalFormatting sqref="N4794">
    <cfRule type="expression" dxfId="0" priority="2504">
      <formula>(#REF!&lt;&gt;"")*(#REF!&lt;&gt;"")</formula>
    </cfRule>
  </conditionalFormatting>
  <conditionalFormatting sqref="O4794">
    <cfRule type="expression" dxfId="0" priority="2502">
      <formula>(#REF!&lt;&gt;"")*(#REF!&lt;&gt;"")</formula>
    </cfRule>
  </conditionalFormatting>
  <conditionalFormatting sqref="P4794">
    <cfRule type="expression" dxfId="1" priority="2499">
      <formula>(#REF!&lt;&gt;"")*(#REF!&lt;&gt;"")</formula>
    </cfRule>
  </conditionalFormatting>
  <conditionalFormatting sqref="Q4794">
    <cfRule type="expression" dxfId="0" priority="2500">
      <formula>(#REF!&lt;&gt;"")*(#REF!&lt;&gt;"")</formula>
    </cfRule>
    <cfRule type="expression" dxfId="1" priority="2501">
      <formula>(#REF!&lt;&gt;"")*(#REF!&lt;&gt;"")</formula>
    </cfRule>
  </conditionalFormatting>
  <conditionalFormatting sqref="A4795">
    <cfRule type="expression" dxfId="0" priority="2496">
      <formula>(#REF!&lt;&gt;"")*(#REF!&lt;&gt;"")</formula>
    </cfRule>
  </conditionalFormatting>
  <conditionalFormatting sqref="K4795">
    <cfRule type="expression" dxfId="0" priority="2273">
      <formula>(#REF!&lt;&gt;"")*(#REF!&lt;&gt;"")</formula>
    </cfRule>
    <cfRule type="expression" dxfId="0" priority="2272">
      <formula>(#REF!&lt;&gt;"")*(#REF!&lt;&gt;"")</formula>
    </cfRule>
  </conditionalFormatting>
  <conditionalFormatting sqref="L4795">
    <cfRule type="expression" dxfId="0" priority="2498">
      <formula>(#REF!&lt;&gt;"")*(#REF!&lt;&gt;"")</formula>
    </cfRule>
  </conditionalFormatting>
  <conditionalFormatting sqref="M4795">
    <cfRule type="expression" dxfId="0" priority="2494">
      <formula>(#REF!&lt;&gt;"")*(#REF!&lt;&gt;"")</formula>
    </cfRule>
  </conditionalFormatting>
  <conditionalFormatting sqref="N4795">
    <cfRule type="expression" dxfId="0" priority="2495">
      <formula>(#REF!&lt;&gt;"")*(#REF!&lt;&gt;"")</formula>
    </cfRule>
  </conditionalFormatting>
  <conditionalFormatting sqref="O4795">
    <cfRule type="expression" dxfId="0" priority="2493">
      <formula>(#REF!&lt;&gt;"")*(#REF!&lt;&gt;"")</formula>
    </cfRule>
  </conditionalFormatting>
  <conditionalFormatting sqref="P4795">
    <cfRule type="expression" dxfId="1" priority="2490">
      <formula>(#REF!&lt;&gt;"")*(#REF!&lt;&gt;"")</formula>
    </cfRule>
  </conditionalFormatting>
  <conditionalFormatting sqref="Q4795">
    <cfRule type="expression" dxfId="0" priority="2491">
      <formula>(#REF!&lt;&gt;"")*(#REF!&lt;&gt;"")</formula>
    </cfRule>
    <cfRule type="expression" dxfId="1" priority="2492">
      <formula>(#REF!&lt;&gt;"")*(#REF!&lt;&gt;"")</formula>
    </cfRule>
  </conditionalFormatting>
  <conditionalFormatting sqref="A4796">
    <cfRule type="expression" dxfId="0" priority="2487">
      <formula>(#REF!&lt;&gt;"")*(#REF!&lt;&gt;"")</formula>
    </cfRule>
  </conditionalFormatting>
  <conditionalFormatting sqref="K4796">
    <cfRule type="expression" dxfId="0" priority="2271">
      <formula>(#REF!&lt;&gt;"")*(#REF!&lt;&gt;"")</formula>
    </cfRule>
    <cfRule type="expression" dxfId="0" priority="2270">
      <formula>(#REF!&lt;&gt;"")*(#REF!&lt;&gt;"")</formula>
    </cfRule>
  </conditionalFormatting>
  <conditionalFormatting sqref="L4796">
    <cfRule type="expression" dxfId="0" priority="2489">
      <formula>(#REF!&lt;&gt;"")*(#REF!&lt;&gt;"")</formula>
    </cfRule>
  </conditionalFormatting>
  <conditionalFormatting sqref="M4796">
    <cfRule type="expression" dxfId="0" priority="2485">
      <formula>(#REF!&lt;&gt;"")*(#REF!&lt;&gt;"")</formula>
    </cfRule>
  </conditionalFormatting>
  <conditionalFormatting sqref="N4796">
    <cfRule type="expression" dxfId="0" priority="2486">
      <formula>(#REF!&lt;&gt;"")*(#REF!&lt;&gt;"")</formula>
    </cfRule>
  </conditionalFormatting>
  <conditionalFormatting sqref="O4796">
    <cfRule type="expression" dxfId="0" priority="2484">
      <formula>(#REF!&lt;&gt;"")*(#REF!&lt;&gt;"")</formula>
    </cfRule>
  </conditionalFormatting>
  <conditionalFormatting sqref="P4796">
    <cfRule type="expression" dxfId="1" priority="2483">
      <formula>(#REF!&lt;&gt;"")*(#REF!&lt;&gt;"")</formula>
    </cfRule>
  </conditionalFormatting>
  <conditionalFormatting sqref="Q4796">
    <cfRule type="expression" dxfId="0" priority="2411">
      <formula>(#REF!&lt;&gt;"")*(#REF!&lt;&gt;"")</formula>
    </cfRule>
    <cfRule type="expression" dxfId="1" priority="2412">
      <formula>(#REF!&lt;&gt;"")*(#REF!&lt;&gt;"")</formula>
    </cfRule>
  </conditionalFormatting>
  <conditionalFormatting sqref="T4796">
    <cfRule type="expression" dxfId="0" priority="2408">
      <formula>(#REF!&lt;&gt;"")*(#REF!&lt;&gt;"")</formula>
    </cfRule>
  </conditionalFormatting>
  <conditionalFormatting sqref="A4797">
    <cfRule type="expression" dxfId="0" priority="2480">
      <formula>(#REF!&lt;&gt;"")*(#REF!&lt;&gt;"")</formula>
    </cfRule>
  </conditionalFormatting>
  <conditionalFormatting sqref="K4797">
    <cfRule type="expression" dxfId="0" priority="2269">
      <formula>(#REF!&lt;&gt;"")*(#REF!&lt;&gt;"")</formula>
    </cfRule>
    <cfRule type="expression" dxfId="0" priority="2268">
      <formula>(#REF!&lt;&gt;"")*(#REF!&lt;&gt;"")</formula>
    </cfRule>
  </conditionalFormatting>
  <conditionalFormatting sqref="L4797">
    <cfRule type="expression" dxfId="0" priority="2482">
      <formula>(#REF!&lt;&gt;"")*(#REF!&lt;&gt;"")</formula>
    </cfRule>
  </conditionalFormatting>
  <conditionalFormatting sqref="M4797">
    <cfRule type="expression" dxfId="0" priority="2478">
      <formula>(#REF!&lt;&gt;"")*(#REF!&lt;&gt;"")</formula>
    </cfRule>
  </conditionalFormatting>
  <conditionalFormatting sqref="N4797">
    <cfRule type="expression" dxfId="0" priority="2479">
      <formula>(#REF!&lt;&gt;"")*(#REF!&lt;&gt;"")</formula>
    </cfRule>
  </conditionalFormatting>
  <conditionalFormatting sqref="O4797">
    <cfRule type="expression" dxfId="0" priority="2477">
      <formula>(#REF!&lt;&gt;"")*(#REF!&lt;&gt;"")</formula>
    </cfRule>
  </conditionalFormatting>
  <conditionalFormatting sqref="P4797">
    <cfRule type="expression" dxfId="1" priority="2476">
      <formula>(#REF!&lt;&gt;"")*(#REF!&lt;&gt;"")</formula>
    </cfRule>
  </conditionalFormatting>
  <conditionalFormatting sqref="Q4797">
    <cfRule type="expression" dxfId="0" priority="2409">
      <formula>(#REF!&lt;&gt;"")*(#REF!&lt;&gt;"")</formula>
    </cfRule>
    <cfRule type="expression" dxfId="1" priority="2410">
      <formula>(#REF!&lt;&gt;"")*(#REF!&lt;&gt;"")</formula>
    </cfRule>
  </conditionalFormatting>
  <conditionalFormatting sqref="T4797">
    <cfRule type="expression" dxfId="0" priority="2407">
      <formula>(#REF!&lt;&gt;"")*(#REF!&lt;&gt;"")</formula>
    </cfRule>
  </conditionalFormatting>
  <conditionalFormatting sqref="A4798">
    <cfRule type="expression" dxfId="0" priority="2473">
      <formula>(#REF!&lt;&gt;"")*(#REF!&lt;&gt;"")</formula>
    </cfRule>
  </conditionalFormatting>
  <conditionalFormatting sqref="K4798">
    <cfRule type="expression" dxfId="0" priority="2267">
      <formula>(#REF!&lt;&gt;"")*(#REF!&lt;&gt;"")</formula>
    </cfRule>
    <cfRule type="expression" dxfId="0" priority="2266">
      <formula>(#REF!&lt;&gt;"")*(#REF!&lt;&gt;"")</formula>
    </cfRule>
  </conditionalFormatting>
  <conditionalFormatting sqref="L4798">
    <cfRule type="expression" dxfId="0" priority="2475">
      <formula>(#REF!&lt;&gt;"")*(#REF!&lt;&gt;"")</formula>
    </cfRule>
  </conditionalFormatting>
  <conditionalFormatting sqref="M4798">
    <cfRule type="expression" dxfId="0" priority="2471">
      <formula>(#REF!&lt;&gt;"")*(#REF!&lt;&gt;"")</formula>
    </cfRule>
  </conditionalFormatting>
  <conditionalFormatting sqref="N4798">
    <cfRule type="expression" dxfId="0" priority="2472">
      <formula>(#REF!&lt;&gt;"")*(#REF!&lt;&gt;"")</formula>
    </cfRule>
  </conditionalFormatting>
  <conditionalFormatting sqref="O4798">
    <cfRule type="expression" dxfId="0" priority="2470">
      <formula>(#REF!&lt;&gt;"")*(#REF!&lt;&gt;"")</formula>
    </cfRule>
  </conditionalFormatting>
  <conditionalFormatting sqref="P4798">
    <cfRule type="expression" dxfId="1" priority="2467">
      <formula>(#REF!&lt;&gt;"")*(#REF!&lt;&gt;"")</formula>
    </cfRule>
  </conditionalFormatting>
  <conditionalFormatting sqref="Q4798">
    <cfRule type="expression" dxfId="0" priority="2468">
      <formula>(#REF!&lt;&gt;"")*(#REF!&lt;&gt;"")</formula>
    </cfRule>
    <cfRule type="expression" dxfId="1" priority="2469">
      <formula>(#REF!&lt;&gt;"")*(#REF!&lt;&gt;"")</formula>
    </cfRule>
  </conditionalFormatting>
  <conditionalFormatting sqref="A4799">
    <cfRule type="expression" dxfId="0" priority="2464">
      <formula>(#REF!&lt;&gt;"")*(#REF!&lt;&gt;"")</formula>
    </cfRule>
  </conditionalFormatting>
  <conditionalFormatting sqref="K4799">
    <cfRule type="expression" dxfId="0" priority="2253">
      <formula>(#REF!&lt;&gt;"")*(#REF!&lt;&gt;"")</formula>
    </cfRule>
    <cfRule type="expression" dxfId="0" priority="2252">
      <formula>(#REF!&lt;&gt;"")*(#REF!&lt;&gt;"")</formula>
    </cfRule>
  </conditionalFormatting>
  <conditionalFormatting sqref="L4799">
    <cfRule type="expression" dxfId="0" priority="2466">
      <formula>(#REF!&lt;&gt;"")*(#REF!&lt;&gt;"")</formula>
    </cfRule>
  </conditionalFormatting>
  <conditionalFormatting sqref="M4799">
    <cfRule type="expression" dxfId="0" priority="2462">
      <formula>(#REF!&lt;&gt;"")*(#REF!&lt;&gt;"")</formula>
    </cfRule>
  </conditionalFormatting>
  <conditionalFormatting sqref="N4799">
    <cfRule type="expression" dxfId="0" priority="2463">
      <formula>(#REF!&lt;&gt;"")*(#REF!&lt;&gt;"")</formula>
    </cfRule>
  </conditionalFormatting>
  <conditionalFormatting sqref="O4799">
    <cfRule type="expression" dxfId="0" priority="2461">
      <formula>(#REF!&lt;&gt;"")*(#REF!&lt;&gt;"")</formula>
    </cfRule>
  </conditionalFormatting>
  <conditionalFormatting sqref="P4799">
    <cfRule type="expression" dxfId="1" priority="2458">
      <formula>(#REF!&lt;&gt;"")*(#REF!&lt;&gt;"")</formula>
    </cfRule>
  </conditionalFormatting>
  <conditionalFormatting sqref="Q4799">
    <cfRule type="expression" dxfId="0" priority="2459">
      <formula>(#REF!&lt;&gt;"")*(#REF!&lt;&gt;"")</formula>
    </cfRule>
    <cfRule type="expression" dxfId="1" priority="2460">
      <formula>(#REF!&lt;&gt;"")*(#REF!&lt;&gt;"")</formula>
    </cfRule>
  </conditionalFormatting>
  <conditionalFormatting sqref="A4800">
    <cfRule type="expression" dxfId="0" priority="2455">
      <formula>(#REF!&lt;&gt;"")*(#REF!&lt;&gt;"")</formula>
    </cfRule>
  </conditionalFormatting>
  <conditionalFormatting sqref="K4800">
    <cfRule type="expression" dxfId="0" priority="2265">
      <formula>(#REF!&lt;&gt;"")*(#REF!&lt;&gt;"")</formula>
    </cfRule>
    <cfRule type="expression" dxfId="0" priority="2264">
      <formula>(#REF!&lt;&gt;"")*(#REF!&lt;&gt;"")</formula>
    </cfRule>
  </conditionalFormatting>
  <conditionalFormatting sqref="L4800">
    <cfRule type="expression" dxfId="0" priority="2457">
      <formula>(#REF!&lt;&gt;"")*(#REF!&lt;&gt;"")</formula>
    </cfRule>
  </conditionalFormatting>
  <conditionalFormatting sqref="M4800">
    <cfRule type="expression" dxfId="0" priority="2453">
      <formula>(#REF!&lt;&gt;"")*(#REF!&lt;&gt;"")</formula>
    </cfRule>
  </conditionalFormatting>
  <conditionalFormatting sqref="N4800">
    <cfRule type="expression" dxfId="0" priority="2454">
      <formula>(#REF!&lt;&gt;"")*(#REF!&lt;&gt;"")</formula>
    </cfRule>
  </conditionalFormatting>
  <conditionalFormatting sqref="O4800">
    <cfRule type="expression" dxfId="0" priority="2452">
      <formula>(#REF!&lt;&gt;"")*(#REF!&lt;&gt;"")</formula>
    </cfRule>
  </conditionalFormatting>
  <conditionalFormatting sqref="P4800">
    <cfRule type="expression" dxfId="1" priority="2449">
      <formula>(#REF!&lt;&gt;"")*(#REF!&lt;&gt;"")</formula>
    </cfRule>
  </conditionalFormatting>
  <conditionalFormatting sqref="Q4800">
    <cfRule type="expression" dxfId="0" priority="2450">
      <formula>(#REF!&lt;&gt;"")*(#REF!&lt;&gt;"")</formula>
    </cfRule>
    <cfRule type="expression" dxfId="1" priority="2451">
      <formula>(#REF!&lt;&gt;"")*(#REF!&lt;&gt;"")</formula>
    </cfRule>
  </conditionalFormatting>
  <conditionalFormatting sqref="A4801">
    <cfRule type="expression" dxfId="0" priority="2446">
      <formula>(#REF!&lt;&gt;"")*(#REF!&lt;&gt;"")</formula>
    </cfRule>
  </conditionalFormatting>
  <conditionalFormatting sqref="K4801">
    <cfRule type="expression" dxfId="0" priority="2263">
      <formula>(#REF!&lt;&gt;"")*(#REF!&lt;&gt;"")</formula>
    </cfRule>
    <cfRule type="expression" dxfId="0" priority="2262">
      <formula>(#REF!&lt;&gt;"")*(#REF!&lt;&gt;"")</formula>
    </cfRule>
  </conditionalFormatting>
  <conditionalFormatting sqref="L4801">
    <cfRule type="expression" dxfId="0" priority="2448">
      <formula>(#REF!&lt;&gt;"")*(#REF!&lt;&gt;"")</formula>
    </cfRule>
  </conditionalFormatting>
  <conditionalFormatting sqref="M4801">
    <cfRule type="expression" dxfId="0" priority="2444">
      <formula>(#REF!&lt;&gt;"")*(#REF!&lt;&gt;"")</formula>
    </cfRule>
  </conditionalFormatting>
  <conditionalFormatting sqref="N4801">
    <cfRule type="expression" dxfId="0" priority="2445">
      <formula>(#REF!&lt;&gt;"")*(#REF!&lt;&gt;"")</formula>
    </cfRule>
  </conditionalFormatting>
  <conditionalFormatting sqref="O4801">
    <cfRule type="expression" dxfId="0" priority="2443">
      <formula>(#REF!&lt;&gt;"")*(#REF!&lt;&gt;"")</formula>
    </cfRule>
  </conditionalFormatting>
  <conditionalFormatting sqref="P4801">
    <cfRule type="expression" dxfId="1" priority="2440">
      <formula>(#REF!&lt;&gt;"")*(#REF!&lt;&gt;"")</formula>
    </cfRule>
  </conditionalFormatting>
  <conditionalFormatting sqref="Q4801">
    <cfRule type="expression" dxfId="0" priority="2441">
      <formula>(#REF!&lt;&gt;"")*(#REF!&lt;&gt;"")</formula>
    </cfRule>
    <cfRule type="expression" dxfId="1" priority="2442">
      <formula>(#REF!&lt;&gt;"")*(#REF!&lt;&gt;"")</formula>
    </cfRule>
  </conditionalFormatting>
  <conditionalFormatting sqref="A4802">
    <cfRule type="expression" dxfId="0" priority="2437">
      <formula>(#REF!&lt;&gt;"")*(#REF!&lt;&gt;"")</formula>
    </cfRule>
  </conditionalFormatting>
  <conditionalFormatting sqref="K4802">
    <cfRule type="expression" dxfId="0" priority="2261">
      <formula>(#REF!&lt;&gt;"")*(#REF!&lt;&gt;"")</formula>
    </cfRule>
    <cfRule type="expression" dxfId="0" priority="2260">
      <formula>(#REF!&lt;&gt;"")*(#REF!&lt;&gt;"")</formula>
    </cfRule>
  </conditionalFormatting>
  <conditionalFormatting sqref="L4802">
    <cfRule type="expression" dxfId="0" priority="2439">
      <formula>(#REF!&lt;&gt;"")*(#REF!&lt;&gt;"")</formula>
    </cfRule>
  </conditionalFormatting>
  <conditionalFormatting sqref="M4802">
    <cfRule type="expression" dxfId="0" priority="2435">
      <formula>(#REF!&lt;&gt;"")*(#REF!&lt;&gt;"")</formula>
    </cfRule>
  </conditionalFormatting>
  <conditionalFormatting sqref="N4802">
    <cfRule type="expression" dxfId="0" priority="2436">
      <formula>(#REF!&lt;&gt;"")*(#REF!&lt;&gt;"")</formula>
    </cfRule>
  </conditionalFormatting>
  <conditionalFormatting sqref="O4802">
    <cfRule type="expression" dxfId="0" priority="2434">
      <formula>(#REF!&lt;&gt;"")*(#REF!&lt;&gt;"")</formula>
    </cfRule>
  </conditionalFormatting>
  <conditionalFormatting sqref="P4802">
    <cfRule type="expression" dxfId="1" priority="2431">
      <formula>(#REF!&lt;&gt;"")*(#REF!&lt;&gt;"")</formula>
    </cfRule>
  </conditionalFormatting>
  <conditionalFormatting sqref="Q4802">
    <cfRule type="expression" dxfId="0" priority="2432">
      <formula>(#REF!&lt;&gt;"")*(#REF!&lt;&gt;"")</formula>
    </cfRule>
    <cfRule type="expression" dxfId="1" priority="2433">
      <formula>(#REF!&lt;&gt;"")*(#REF!&lt;&gt;"")</formula>
    </cfRule>
  </conditionalFormatting>
  <conditionalFormatting sqref="A4803">
    <cfRule type="expression" dxfId="0" priority="2428">
      <formula>(#REF!&lt;&gt;"")*(#REF!&lt;&gt;"")</formula>
    </cfRule>
  </conditionalFormatting>
  <conditionalFormatting sqref="K4803">
    <cfRule type="expression" dxfId="0" priority="2259">
      <formula>(#REF!&lt;&gt;"")*(#REF!&lt;&gt;"")</formula>
    </cfRule>
    <cfRule type="expression" dxfId="0" priority="2258">
      <formula>(#REF!&lt;&gt;"")*(#REF!&lt;&gt;"")</formula>
    </cfRule>
  </conditionalFormatting>
  <conditionalFormatting sqref="L4803">
    <cfRule type="expression" dxfId="0" priority="2430">
      <formula>(#REF!&lt;&gt;"")*(#REF!&lt;&gt;"")</formula>
    </cfRule>
  </conditionalFormatting>
  <conditionalFormatting sqref="M4803">
    <cfRule type="expression" dxfId="0" priority="2426">
      <formula>(#REF!&lt;&gt;"")*(#REF!&lt;&gt;"")</formula>
    </cfRule>
  </conditionalFormatting>
  <conditionalFormatting sqref="N4803">
    <cfRule type="expression" dxfId="0" priority="2427">
      <formula>(#REF!&lt;&gt;"")*(#REF!&lt;&gt;"")</formula>
    </cfRule>
  </conditionalFormatting>
  <conditionalFormatting sqref="O4803">
    <cfRule type="expression" dxfId="0" priority="2425">
      <formula>(#REF!&lt;&gt;"")*(#REF!&lt;&gt;"")</formula>
    </cfRule>
  </conditionalFormatting>
  <conditionalFormatting sqref="P4803">
    <cfRule type="expression" dxfId="1" priority="2422">
      <formula>(#REF!&lt;&gt;"")*(#REF!&lt;&gt;"")</formula>
    </cfRule>
  </conditionalFormatting>
  <conditionalFormatting sqref="Q4803">
    <cfRule type="expression" dxfId="0" priority="2423">
      <formula>(#REF!&lt;&gt;"")*(#REF!&lt;&gt;"")</formula>
    </cfRule>
    <cfRule type="expression" dxfId="1" priority="2424">
      <formula>(#REF!&lt;&gt;"")*(#REF!&lt;&gt;"")</formula>
    </cfRule>
  </conditionalFormatting>
  <conditionalFormatting sqref="A4804">
    <cfRule type="expression" dxfId="0" priority="2419">
      <formula>(#REF!&lt;&gt;"")*(#REF!&lt;&gt;"")</formula>
    </cfRule>
  </conditionalFormatting>
  <conditionalFormatting sqref="K4804">
    <cfRule type="expression" dxfId="0" priority="2257">
      <formula>(#REF!&lt;&gt;"")*(#REF!&lt;&gt;"")</formula>
    </cfRule>
    <cfRule type="expression" dxfId="0" priority="2256">
      <formula>(#REF!&lt;&gt;"")*(#REF!&lt;&gt;"")</formula>
    </cfRule>
  </conditionalFormatting>
  <conditionalFormatting sqref="L4804">
    <cfRule type="expression" dxfId="0" priority="2421">
      <formula>(#REF!&lt;&gt;"")*(#REF!&lt;&gt;"")</formula>
    </cfRule>
  </conditionalFormatting>
  <conditionalFormatting sqref="M4804">
    <cfRule type="expression" dxfId="0" priority="2417">
      <formula>(#REF!&lt;&gt;"")*(#REF!&lt;&gt;"")</formula>
    </cfRule>
  </conditionalFormatting>
  <conditionalFormatting sqref="N4804">
    <cfRule type="expression" dxfId="0" priority="2418">
      <formula>(#REF!&lt;&gt;"")*(#REF!&lt;&gt;"")</formula>
    </cfRule>
  </conditionalFormatting>
  <conditionalFormatting sqref="O4804">
    <cfRule type="expression" dxfId="0" priority="2416">
      <formula>(#REF!&lt;&gt;"")*(#REF!&lt;&gt;"")</formula>
    </cfRule>
  </conditionalFormatting>
  <conditionalFormatting sqref="P4804">
    <cfRule type="expression" dxfId="1" priority="2413">
      <formula>(#REF!&lt;&gt;"")*(#REF!&lt;&gt;"")</formula>
    </cfRule>
  </conditionalFormatting>
  <conditionalFormatting sqref="Q4804">
    <cfRule type="expression" dxfId="0" priority="2414">
      <formula>(#REF!&lt;&gt;"")*(#REF!&lt;&gt;"")</formula>
    </cfRule>
    <cfRule type="expression" dxfId="1" priority="2415">
      <formula>(#REF!&lt;&gt;"")*(#REF!&lt;&gt;"")</formula>
    </cfRule>
  </conditionalFormatting>
  <conditionalFormatting sqref="A4805">
    <cfRule type="expression" dxfId="0" priority="2405">
      <formula>(#REF!&lt;&gt;"")*(#REF!&lt;&gt;"")</formula>
    </cfRule>
  </conditionalFormatting>
  <conditionalFormatting sqref="H4805">
    <cfRule type="expression" dxfId="0" priority="2406">
      <formula>(#REF!&lt;&gt;"")*(#REF!&lt;&gt;"")</formula>
    </cfRule>
  </conditionalFormatting>
  <conditionalFormatting sqref="J4805">
    <cfRule type="expression" dxfId="0" priority="2402">
      <formula>(#REF!&lt;&gt;"")*(#REF!&lt;&gt;"")</formula>
    </cfRule>
  </conditionalFormatting>
  <conditionalFormatting sqref="K4805">
    <cfRule type="expression" dxfId="0" priority="2251">
      <formula>(#REF!&lt;&gt;"")*(#REF!&lt;&gt;"")</formula>
    </cfRule>
    <cfRule type="expression" dxfId="0" priority="2250">
      <formula>(#REF!&lt;&gt;"")*(#REF!&lt;&gt;"")</formula>
    </cfRule>
  </conditionalFormatting>
  <conditionalFormatting sqref="L4805">
    <cfRule type="expression" dxfId="0" priority="2403">
      <formula>(#REF!&lt;&gt;"")*(#REF!&lt;&gt;"")</formula>
    </cfRule>
  </conditionalFormatting>
  <conditionalFormatting sqref="M4805">
    <cfRule type="expression" dxfId="0" priority="2400">
      <formula>(#REF!&lt;&gt;"")*(#REF!&lt;&gt;"")</formula>
    </cfRule>
  </conditionalFormatting>
  <conditionalFormatting sqref="N4805">
    <cfRule type="expression" dxfId="0" priority="2401">
      <formula>(#REF!&lt;&gt;"")*(#REF!&lt;&gt;"")</formula>
    </cfRule>
  </conditionalFormatting>
  <conditionalFormatting sqref="O4805">
    <cfRule type="expression" dxfId="0" priority="2399">
      <formula>(#REF!&lt;&gt;"")*(#REF!&lt;&gt;"")</formula>
    </cfRule>
  </conditionalFormatting>
  <conditionalFormatting sqref="P4805">
    <cfRule type="expression" dxfId="1" priority="2396">
      <formula>(#REF!&lt;&gt;"")*(#REF!&lt;&gt;"")</formula>
    </cfRule>
  </conditionalFormatting>
  <conditionalFormatting sqref="Q4805">
    <cfRule type="expression" dxfId="0" priority="2397">
      <formula>(#REF!&lt;&gt;"")*(#REF!&lt;&gt;"")</formula>
    </cfRule>
    <cfRule type="expression" dxfId="1" priority="2398">
      <formula>(#REF!&lt;&gt;"")*(#REF!&lt;&gt;"")</formula>
    </cfRule>
  </conditionalFormatting>
  <conditionalFormatting sqref="T4805">
    <cfRule type="expression" dxfId="0" priority="2404">
      <formula>(#REF!&lt;&gt;"")*(#REF!&lt;&gt;"")</formula>
    </cfRule>
  </conditionalFormatting>
  <conditionalFormatting sqref="A4806">
    <cfRule type="expression" dxfId="0" priority="2394">
      <formula>(#REF!&lt;&gt;"")*(#REF!&lt;&gt;"")</formula>
    </cfRule>
  </conditionalFormatting>
  <conditionalFormatting sqref="H4806">
    <cfRule type="expression" dxfId="0" priority="2395">
      <formula>(#REF!&lt;&gt;"")*(#REF!&lt;&gt;"")</formula>
    </cfRule>
  </conditionalFormatting>
  <conditionalFormatting sqref="J4806">
    <cfRule type="expression" dxfId="0" priority="2392">
      <formula>(#REF!&lt;&gt;"")*(#REF!&lt;&gt;"")</formula>
    </cfRule>
  </conditionalFormatting>
  <conditionalFormatting sqref="K4806">
    <cfRule type="expression" dxfId="0" priority="2255">
      <formula>(#REF!&lt;&gt;"")*(#REF!&lt;&gt;"")</formula>
    </cfRule>
    <cfRule type="expression" dxfId="0" priority="2254">
      <formula>(#REF!&lt;&gt;"")*(#REF!&lt;&gt;"")</formula>
    </cfRule>
  </conditionalFormatting>
  <conditionalFormatting sqref="L4806">
    <cfRule type="expression" dxfId="0" priority="2393">
      <formula>(#REF!&lt;&gt;"")*(#REF!&lt;&gt;"")</formula>
    </cfRule>
  </conditionalFormatting>
  <conditionalFormatting sqref="M4806">
    <cfRule type="expression" dxfId="0" priority="2390">
      <formula>(#REF!&lt;&gt;"")*(#REF!&lt;&gt;"")</formula>
    </cfRule>
  </conditionalFormatting>
  <conditionalFormatting sqref="N4806">
    <cfRule type="expression" dxfId="0" priority="2391">
      <formula>(#REF!&lt;&gt;"")*(#REF!&lt;&gt;"")</formula>
    </cfRule>
  </conditionalFormatting>
  <conditionalFormatting sqref="O4806">
    <cfRule type="expression" dxfId="0" priority="2389">
      <formula>(#REF!&lt;&gt;"")*(#REF!&lt;&gt;"")</formula>
    </cfRule>
  </conditionalFormatting>
  <conditionalFormatting sqref="P4806">
    <cfRule type="expression" dxfId="1" priority="2386">
      <formula>(#REF!&lt;&gt;"")*(#REF!&lt;&gt;"")</formula>
    </cfRule>
  </conditionalFormatting>
  <conditionalFormatting sqref="Q4806">
    <cfRule type="expression" dxfId="0" priority="2387">
      <formula>(#REF!&lt;&gt;"")*(#REF!&lt;&gt;"")</formula>
    </cfRule>
    <cfRule type="expression" dxfId="1" priority="2388">
      <formula>(#REF!&lt;&gt;"")*(#REF!&lt;&gt;"")</formula>
    </cfRule>
  </conditionalFormatting>
  <conditionalFormatting sqref="A4807">
    <cfRule type="expression" dxfId="0" priority="2384">
      <formula>(#REF!&lt;&gt;"")*(#REF!&lt;&gt;"")</formula>
    </cfRule>
  </conditionalFormatting>
  <conditionalFormatting sqref="H4807">
    <cfRule type="expression" dxfId="0" priority="2385">
      <formula>(#REF!&lt;&gt;"")*(#REF!&lt;&gt;"")</formula>
    </cfRule>
  </conditionalFormatting>
  <conditionalFormatting sqref="J4807">
    <cfRule type="expression" dxfId="0" priority="2382">
      <formula>(#REF!&lt;&gt;"")*(#REF!&lt;&gt;"")</formula>
    </cfRule>
  </conditionalFormatting>
  <conditionalFormatting sqref="L4807">
    <cfRule type="expression" dxfId="0" priority="2383">
      <formula>(#REF!&lt;&gt;"")*(#REF!&lt;&gt;"")</formula>
    </cfRule>
  </conditionalFormatting>
  <conditionalFormatting sqref="M4807">
    <cfRule type="expression" dxfId="0" priority="2379">
      <formula>(#REF!&lt;&gt;"")*(#REF!&lt;&gt;"")</formula>
    </cfRule>
  </conditionalFormatting>
  <conditionalFormatting sqref="N4807">
    <cfRule type="expression" dxfId="0" priority="2380">
      <formula>(#REF!&lt;&gt;"")*(#REF!&lt;&gt;"")</formula>
    </cfRule>
  </conditionalFormatting>
  <conditionalFormatting sqref="O4807">
    <cfRule type="expression" dxfId="0" priority="2378">
      <formula>(#REF!&lt;&gt;"")*(#REF!&lt;&gt;"")</formula>
    </cfRule>
  </conditionalFormatting>
  <conditionalFormatting sqref="P4807">
    <cfRule type="expression" dxfId="1" priority="2375">
      <formula>(#REF!&lt;&gt;"")*(#REF!&lt;&gt;"")</formula>
    </cfRule>
  </conditionalFormatting>
  <conditionalFormatting sqref="Q4807">
    <cfRule type="expression" dxfId="0" priority="2376">
      <formula>(#REF!&lt;&gt;"")*(#REF!&lt;&gt;"")</formula>
    </cfRule>
    <cfRule type="expression" dxfId="1" priority="2377">
      <formula>(#REF!&lt;&gt;"")*(#REF!&lt;&gt;"")</formula>
    </cfRule>
  </conditionalFormatting>
  <conditionalFormatting sqref="R4807">
    <cfRule type="expression" dxfId="0" priority="2278">
      <formula>(#REF!&lt;&gt;"")*(#REF!&lt;&gt;"")</formula>
    </cfRule>
  </conditionalFormatting>
  <conditionalFormatting sqref="A4808">
    <cfRule type="expression" dxfId="0" priority="2373">
      <formula>(#REF!&lt;&gt;"")*(#REF!&lt;&gt;"")</formula>
    </cfRule>
  </conditionalFormatting>
  <conditionalFormatting sqref="H4808">
    <cfRule type="expression" dxfId="0" priority="2374">
      <formula>(#REF!&lt;&gt;"")*(#REF!&lt;&gt;"")</formula>
    </cfRule>
  </conditionalFormatting>
  <conditionalFormatting sqref="J4808">
    <cfRule type="expression" dxfId="0" priority="2371">
      <formula>(#REF!&lt;&gt;"")*(#REF!&lt;&gt;"")</formula>
    </cfRule>
  </conditionalFormatting>
  <conditionalFormatting sqref="K4808">
    <cfRule type="expression" dxfId="0" priority="2370">
      <formula>(#REF!&lt;&gt;"")*(#REF!&lt;&gt;"")</formula>
    </cfRule>
  </conditionalFormatting>
  <conditionalFormatting sqref="L4808">
    <cfRule type="expression" dxfId="0" priority="2372">
      <formula>(#REF!&lt;&gt;"")*(#REF!&lt;&gt;"")</formula>
    </cfRule>
  </conditionalFormatting>
  <conditionalFormatting sqref="M4808">
    <cfRule type="expression" dxfId="0" priority="2368">
      <formula>(#REF!&lt;&gt;"")*(#REF!&lt;&gt;"")</formula>
    </cfRule>
  </conditionalFormatting>
  <conditionalFormatting sqref="N4808">
    <cfRule type="expression" dxfId="0" priority="2369">
      <formula>(#REF!&lt;&gt;"")*(#REF!&lt;&gt;"")</formula>
    </cfRule>
  </conditionalFormatting>
  <conditionalFormatting sqref="O4808">
    <cfRule type="expression" dxfId="0" priority="2367">
      <formula>(#REF!&lt;&gt;"")*(#REF!&lt;&gt;"")</formula>
    </cfRule>
  </conditionalFormatting>
  <conditionalFormatting sqref="P4808">
    <cfRule type="expression" dxfId="1" priority="2364">
      <formula>(#REF!&lt;&gt;"")*(#REF!&lt;&gt;"")</formula>
    </cfRule>
  </conditionalFormatting>
  <conditionalFormatting sqref="Q4808">
    <cfRule type="expression" dxfId="0" priority="2365">
      <formula>(#REF!&lt;&gt;"")*(#REF!&lt;&gt;"")</formula>
    </cfRule>
    <cfRule type="expression" dxfId="1" priority="2366">
      <formula>(#REF!&lt;&gt;"")*(#REF!&lt;&gt;"")</formula>
    </cfRule>
  </conditionalFormatting>
  <conditionalFormatting sqref="R4808">
    <cfRule type="expression" dxfId="0" priority="2279">
      <formula>(#REF!&lt;&gt;"")*(#REF!&lt;&gt;"")</formula>
    </cfRule>
  </conditionalFormatting>
  <conditionalFormatting sqref="A4809">
    <cfRule type="expression" dxfId="0" priority="2362">
      <formula>(#REF!&lt;&gt;"")*(#REF!&lt;&gt;"")</formula>
    </cfRule>
  </conditionalFormatting>
  <conditionalFormatting sqref="H4809">
    <cfRule type="expression" dxfId="0" priority="2363">
      <formula>(#REF!&lt;&gt;"")*(#REF!&lt;&gt;"")</formula>
    </cfRule>
  </conditionalFormatting>
  <conditionalFormatting sqref="J4809">
    <cfRule type="expression" dxfId="0" priority="2360">
      <formula>(#REF!&lt;&gt;"")*(#REF!&lt;&gt;"")</formula>
    </cfRule>
  </conditionalFormatting>
  <conditionalFormatting sqref="K4809">
    <cfRule type="expression" dxfId="0" priority="2359">
      <formula>(#REF!&lt;&gt;"")*(#REF!&lt;&gt;"")</formula>
    </cfRule>
  </conditionalFormatting>
  <conditionalFormatting sqref="L4809">
    <cfRule type="expression" dxfId="0" priority="2361">
      <formula>(#REF!&lt;&gt;"")*(#REF!&lt;&gt;"")</formula>
    </cfRule>
  </conditionalFormatting>
  <conditionalFormatting sqref="M4809">
    <cfRule type="expression" dxfId="0" priority="2357">
      <formula>(#REF!&lt;&gt;"")*(#REF!&lt;&gt;"")</formula>
    </cfRule>
  </conditionalFormatting>
  <conditionalFormatting sqref="N4809">
    <cfRule type="expression" dxfId="0" priority="2358">
      <formula>(#REF!&lt;&gt;"")*(#REF!&lt;&gt;"")</formula>
    </cfRule>
  </conditionalFormatting>
  <conditionalFormatting sqref="O4809">
    <cfRule type="expression" dxfId="0" priority="2356">
      <formula>(#REF!&lt;&gt;"")*(#REF!&lt;&gt;"")</formula>
    </cfRule>
  </conditionalFormatting>
  <conditionalFormatting sqref="P4809">
    <cfRule type="expression" dxfId="1" priority="2353">
      <formula>(#REF!&lt;&gt;"")*(#REF!&lt;&gt;"")</formula>
    </cfRule>
  </conditionalFormatting>
  <conditionalFormatting sqref="Q4809">
    <cfRule type="expression" dxfId="0" priority="2354">
      <formula>(#REF!&lt;&gt;"")*(#REF!&lt;&gt;"")</formula>
    </cfRule>
    <cfRule type="expression" dxfId="1" priority="2355">
      <formula>(#REF!&lt;&gt;"")*(#REF!&lt;&gt;"")</formula>
    </cfRule>
  </conditionalFormatting>
  <conditionalFormatting sqref="R4809">
    <cfRule type="expression" dxfId="0" priority="2280">
      <formula>(#REF!&lt;&gt;"")*(#REF!&lt;&gt;"")</formula>
    </cfRule>
  </conditionalFormatting>
  <conditionalFormatting sqref="A4810">
    <cfRule type="expression" dxfId="0" priority="2351">
      <formula>(#REF!&lt;&gt;"")*(#REF!&lt;&gt;"")</formula>
    </cfRule>
  </conditionalFormatting>
  <conditionalFormatting sqref="H4810">
    <cfRule type="expression" dxfId="0" priority="2352">
      <formula>(#REF!&lt;&gt;"")*(#REF!&lt;&gt;"")</formula>
    </cfRule>
  </conditionalFormatting>
  <conditionalFormatting sqref="J4810">
    <cfRule type="expression" dxfId="0" priority="2349">
      <formula>(#REF!&lt;&gt;"")*(#REF!&lt;&gt;"")</formula>
    </cfRule>
  </conditionalFormatting>
  <conditionalFormatting sqref="K4810">
    <cfRule type="expression" dxfId="0" priority="2348">
      <formula>(#REF!&lt;&gt;"")*(#REF!&lt;&gt;"")</formula>
    </cfRule>
  </conditionalFormatting>
  <conditionalFormatting sqref="L4810">
    <cfRule type="expression" dxfId="0" priority="2350">
      <formula>(#REF!&lt;&gt;"")*(#REF!&lt;&gt;"")</formula>
    </cfRule>
  </conditionalFormatting>
  <conditionalFormatting sqref="M4810">
    <cfRule type="expression" dxfId="0" priority="2346">
      <formula>(#REF!&lt;&gt;"")*(#REF!&lt;&gt;"")</formula>
    </cfRule>
  </conditionalFormatting>
  <conditionalFormatting sqref="N4810">
    <cfRule type="expression" dxfId="0" priority="2347">
      <formula>(#REF!&lt;&gt;"")*(#REF!&lt;&gt;"")</formula>
    </cfRule>
  </conditionalFormatting>
  <conditionalFormatting sqref="O4810">
    <cfRule type="expression" dxfId="0" priority="2345">
      <formula>(#REF!&lt;&gt;"")*(#REF!&lt;&gt;"")</formula>
    </cfRule>
  </conditionalFormatting>
  <conditionalFormatting sqref="P4810">
    <cfRule type="expression" dxfId="1" priority="2342">
      <formula>(#REF!&lt;&gt;"")*(#REF!&lt;&gt;"")</formula>
    </cfRule>
  </conditionalFormatting>
  <conditionalFormatting sqref="Q4810">
    <cfRule type="expression" dxfId="0" priority="2343">
      <formula>(#REF!&lt;&gt;"")*(#REF!&lt;&gt;"")</formula>
    </cfRule>
    <cfRule type="expression" dxfId="1" priority="2344">
      <formula>(#REF!&lt;&gt;"")*(#REF!&lt;&gt;"")</formula>
    </cfRule>
  </conditionalFormatting>
  <conditionalFormatting sqref="R4810">
    <cfRule type="expression" dxfId="0" priority="2281">
      <formula>(#REF!&lt;&gt;"")*(#REF!&lt;&gt;"")</formula>
    </cfRule>
  </conditionalFormatting>
  <conditionalFormatting sqref="A4811">
    <cfRule type="expression" dxfId="0" priority="2340">
      <formula>(#REF!&lt;&gt;"")*(#REF!&lt;&gt;"")</formula>
    </cfRule>
  </conditionalFormatting>
  <conditionalFormatting sqref="H4811">
    <cfRule type="expression" dxfId="0" priority="2341">
      <formula>(#REF!&lt;&gt;"")*(#REF!&lt;&gt;"")</formula>
    </cfRule>
  </conditionalFormatting>
  <conditionalFormatting sqref="J4811">
    <cfRule type="expression" dxfId="0" priority="2338">
      <formula>(#REF!&lt;&gt;"")*(#REF!&lt;&gt;"")</formula>
    </cfRule>
  </conditionalFormatting>
  <conditionalFormatting sqref="K4811">
    <cfRule type="expression" dxfId="0" priority="2337">
      <formula>(#REF!&lt;&gt;"")*(#REF!&lt;&gt;"")</formula>
    </cfRule>
  </conditionalFormatting>
  <conditionalFormatting sqref="L4811">
    <cfRule type="expression" dxfId="0" priority="2339">
      <formula>(#REF!&lt;&gt;"")*(#REF!&lt;&gt;"")</formula>
    </cfRule>
  </conditionalFormatting>
  <conditionalFormatting sqref="M4811">
    <cfRule type="expression" dxfId="0" priority="2336">
      <formula>(#REF!&lt;&gt;"")*(#REF!&lt;&gt;"")</formula>
    </cfRule>
  </conditionalFormatting>
  <conditionalFormatting sqref="N4811">
    <cfRule type="expression" dxfId="0" priority="2291">
      <formula>(#REF!&lt;&gt;"")*(#REF!&lt;&gt;"")</formula>
    </cfRule>
  </conditionalFormatting>
  <conditionalFormatting sqref="O4811">
    <cfRule type="expression" dxfId="0" priority="2335">
      <formula>(#REF!&lt;&gt;"")*(#REF!&lt;&gt;"")</formula>
    </cfRule>
  </conditionalFormatting>
  <conditionalFormatting sqref="P4811">
    <cfRule type="expression" dxfId="1" priority="2332">
      <formula>(#REF!&lt;&gt;"")*(#REF!&lt;&gt;"")</formula>
    </cfRule>
  </conditionalFormatting>
  <conditionalFormatting sqref="Q4811">
    <cfRule type="expression" dxfId="0" priority="2333">
      <formula>(#REF!&lt;&gt;"")*(#REF!&lt;&gt;"")</formula>
    </cfRule>
    <cfRule type="expression" dxfId="1" priority="2334">
      <formula>(#REF!&lt;&gt;"")*(#REF!&lt;&gt;"")</formula>
    </cfRule>
  </conditionalFormatting>
  <conditionalFormatting sqref="R4811">
    <cfRule type="expression" dxfId="0" priority="2282">
      <formula>(#REF!&lt;&gt;"")*(#REF!&lt;&gt;"")</formula>
    </cfRule>
  </conditionalFormatting>
  <conditionalFormatting sqref="A4812">
    <cfRule type="expression" dxfId="0" priority="2320">
      <formula>(#REF!&lt;&gt;"")*(#REF!&lt;&gt;"")</formula>
    </cfRule>
  </conditionalFormatting>
  <conditionalFormatting sqref="H4812">
    <cfRule type="expression" dxfId="0" priority="2321">
      <formula>(#REF!&lt;&gt;"")*(#REF!&lt;&gt;"")</formula>
    </cfRule>
  </conditionalFormatting>
  <conditionalFormatting sqref="J4812">
    <cfRule type="expression" dxfId="0" priority="2318">
      <formula>(#REF!&lt;&gt;"")*(#REF!&lt;&gt;"")</formula>
    </cfRule>
  </conditionalFormatting>
  <conditionalFormatting sqref="K4812">
    <cfRule type="expression" dxfId="0" priority="2317">
      <formula>(#REF!&lt;&gt;"")*(#REF!&lt;&gt;"")</formula>
    </cfRule>
  </conditionalFormatting>
  <conditionalFormatting sqref="L4812">
    <cfRule type="expression" dxfId="0" priority="2319">
      <formula>(#REF!&lt;&gt;"")*(#REF!&lt;&gt;"")</formula>
    </cfRule>
  </conditionalFormatting>
  <conditionalFormatting sqref="M4812">
    <cfRule type="expression" dxfId="0" priority="2316">
      <formula>(#REF!&lt;&gt;"")*(#REF!&lt;&gt;"")</formula>
    </cfRule>
  </conditionalFormatting>
  <conditionalFormatting sqref="N4812">
    <cfRule type="expression" dxfId="0" priority="2290">
      <formula>(#REF!&lt;&gt;"")*(#REF!&lt;&gt;"")</formula>
    </cfRule>
  </conditionalFormatting>
  <conditionalFormatting sqref="O4812">
    <cfRule type="expression" dxfId="0" priority="2315">
      <formula>(#REF!&lt;&gt;"")*(#REF!&lt;&gt;"")</formula>
    </cfRule>
  </conditionalFormatting>
  <conditionalFormatting sqref="P4812">
    <cfRule type="expression" dxfId="1" priority="2312">
      <formula>(#REF!&lt;&gt;"")*(#REF!&lt;&gt;"")</formula>
    </cfRule>
  </conditionalFormatting>
  <conditionalFormatting sqref="Q4812">
    <cfRule type="expression" dxfId="0" priority="2313">
      <formula>(#REF!&lt;&gt;"")*(#REF!&lt;&gt;"")</formula>
    </cfRule>
    <cfRule type="expression" dxfId="1" priority="2314">
      <formula>(#REF!&lt;&gt;"")*(#REF!&lt;&gt;"")</formula>
    </cfRule>
  </conditionalFormatting>
  <conditionalFormatting sqref="R4812">
    <cfRule type="expression" dxfId="0" priority="2283">
      <formula>(#REF!&lt;&gt;"")*(#REF!&lt;&gt;"")</formula>
    </cfRule>
  </conditionalFormatting>
  <conditionalFormatting sqref="A4813">
    <cfRule type="expression" dxfId="0" priority="2330">
      <formula>(#REF!&lt;&gt;"")*(#REF!&lt;&gt;"")</formula>
    </cfRule>
  </conditionalFormatting>
  <conditionalFormatting sqref="H4813">
    <cfRule type="expression" dxfId="0" priority="2331">
      <formula>(#REF!&lt;&gt;"")*(#REF!&lt;&gt;"")</formula>
    </cfRule>
  </conditionalFormatting>
  <conditionalFormatting sqref="J4813">
    <cfRule type="expression" dxfId="0" priority="2328">
      <formula>(#REF!&lt;&gt;"")*(#REF!&lt;&gt;"")</formula>
    </cfRule>
  </conditionalFormatting>
  <conditionalFormatting sqref="K4813">
    <cfRule type="expression" dxfId="0" priority="2327">
      <formula>(#REF!&lt;&gt;"")*(#REF!&lt;&gt;"")</formula>
    </cfRule>
  </conditionalFormatting>
  <conditionalFormatting sqref="L4813">
    <cfRule type="expression" dxfId="0" priority="2329">
      <formula>(#REF!&lt;&gt;"")*(#REF!&lt;&gt;"")</formula>
    </cfRule>
  </conditionalFormatting>
  <conditionalFormatting sqref="M4813">
    <cfRule type="expression" dxfId="0" priority="2326">
      <formula>(#REF!&lt;&gt;"")*(#REF!&lt;&gt;"")</formula>
    </cfRule>
  </conditionalFormatting>
  <conditionalFormatting sqref="N4813">
    <cfRule type="expression" dxfId="0" priority="2288">
      <formula>(#REF!&lt;&gt;"")*(#REF!&lt;&gt;"")</formula>
    </cfRule>
  </conditionalFormatting>
  <conditionalFormatting sqref="O4813">
    <cfRule type="expression" dxfId="0" priority="2325">
      <formula>(#REF!&lt;&gt;"")*(#REF!&lt;&gt;"")</formula>
    </cfRule>
  </conditionalFormatting>
  <conditionalFormatting sqref="P4813">
    <cfRule type="expression" dxfId="1" priority="2322">
      <formula>(#REF!&lt;&gt;"")*(#REF!&lt;&gt;"")</formula>
    </cfRule>
  </conditionalFormatting>
  <conditionalFormatting sqref="Q4813">
    <cfRule type="expression" dxfId="0" priority="2323">
      <formula>(#REF!&lt;&gt;"")*(#REF!&lt;&gt;"")</formula>
    </cfRule>
    <cfRule type="expression" dxfId="1" priority="2324">
      <formula>(#REF!&lt;&gt;"")*(#REF!&lt;&gt;"")</formula>
    </cfRule>
  </conditionalFormatting>
  <conditionalFormatting sqref="R4813">
    <cfRule type="expression" dxfId="0" priority="2284">
      <formula>(#REF!&lt;&gt;"")*(#REF!&lt;&gt;"")</formula>
    </cfRule>
  </conditionalFormatting>
  <conditionalFormatting sqref="A4814">
    <cfRule type="expression" dxfId="0" priority="2310">
      <formula>(#REF!&lt;&gt;"")*(#REF!&lt;&gt;"")</formula>
    </cfRule>
  </conditionalFormatting>
  <conditionalFormatting sqref="H4814">
    <cfRule type="expression" dxfId="0" priority="2311">
      <formula>(#REF!&lt;&gt;"")*(#REF!&lt;&gt;"")</formula>
    </cfRule>
  </conditionalFormatting>
  <conditionalFormatting sqref="J4814">
    <cfRule type="expression" dxfId="0" priority="2308">
      <formula>(#REF!&lt;&gt;"")*(#REF!&lt;&gt;"")</formula>
    </cfRule>
  </conditionalFormatting>
  <conditionalFormatting sqref="K4814">
    <cfRule type="expression" dxfId="0" priority="2307">
      <formula>(#REF!&lt;&gt;"")*(#REF!&lt;&gt;"")</formula>
    </cfRule>
  </conditionalFormatting>
  <conditionalFormatting sqref="L4814">
    <cfRule type="expression" dxfId="0" priority="2309">
      <formula>(#REF!&lt;&gt;"")*(#REF!&lt;&gt;"")</formula>
    </cfRule>
  </conditionalFormatting>
  <conditionalFormatting sqref="M4814">
    <cfRule type="expression" dxfId="0" priority="2306">
      <formula>(#REF!&lt;&gt;"")*(#REF!&lt;&gt;"")</formula>
    </cfRule>
  </conditionalFormatting>
  <conditionalFormatting sqref="N4814">
    <cfRule type="expression" dxfId="0" priority="2289">
      <formula>(#REF!&lt;&gt;"")*(#REF!&lt;&gt;"")</formula>
    </cfRule>
  </conditionalFormatting>
  <conditionalFormatting sqref="O4814">
    <cfRule type="expression" dxfId="0" priority="2305">
      <formula>(#REF!&lt;&gt;"")*(#REF!&lt;&gt;"")</formula>
    </cfRule>
  </conditionalFormatting>
  <conditionalFormatting sqref="P4814">
    <cfRule type="expression" dxfId="1" priority="2302">
      <formula>(#REF!&lt;&gt;"")*(#REF!&lt;&gt;"")</formula>
    </cfRule>
  </conditionalFormatting>
  <conditionalFormatting sqref="Q4814">
    <cfRule type="expression" dxfId="0" priority="2303">
      <formula>(#REF!&lt;&gt;"")*(#REF!&lt;&gt;"")</formula>
    </cfRule>
    <cfRule type="expression" dxfId="1" priority="2304">
      <formula>(#REF!&lt;&gt;"")*(#REF!&lt;&gt;"")</formula>
    </cfRule>
  </conditionalFormatting>
  <conditionalFormatting sqref="R4814">
    <cfRule type="expression" dxfId="0" priority="2285">
      <formula>(#REF!&lt;&gt;"")*(#REF!&lt;&gt;"")</formula>
    </cfRule>
  </conditionalFormatting>
  <conditionalFormatting sqref="A4815">
    <cfRule type="expression" dxfId="0" priority="2300">
      <formula>(#REF!&lt;&gt;"")*(#REF!&lt;&gt;"")</formula>
    </cfRule>
  </conditionalFormatting>
  <conditionalFormatting sqref="H4815">
    <cfRule type="expression" dxfId="0" priority="2301">
      <formula>(#REF!&lt;&gt;"")*(#REF!&lt;&gt;"")</formula>
    </cfRule>
  </conditionalFormatting>
  <conditionalFormatting sqref="J4815">
    <cfRule type="expression" dxfId="0" priority="2298">
      <formula>(#REF!&lt;&gt;"")*(#REF!&lt;&gt;"")</formula>
    </cfRule>
  </conditionalFormatting>
  <conditionalFormatting sqref="K4815">
    <cfRule type="expression" dxfId="0" priority="2297">
      <formula>(#REF!&lt;&gt;"")*(#REF!&lt;&gt;"")</formula>
    </cfRule>
  </conditionalFormatting>
  <conditionalFormatting sqref="L4815">
    <cfRule type="expression" dxfId="0" priority="2299">
      <formula>(#REF!&lt;&gt;"")*(#REF!&lt;&gt;"")</formula>
    </cfRule>
  </conditionalFormatting>
  <conditionalFormatting sqref="M4815">
    <cfRule type="expression" dxfId="0" priority="2296">
      <formula>(#REF!&lt;&gt;"")*(#REF!&lt;&gt;"")</formula>
    </cfRule>
  </conditionalFormatting>
  <conditionalFormatting sqref="N4815">
    <cfRule type="expression" dxfId="0" priority="2287">
      <formula>(#REF!&lt;&gt;"")*(#REF!&lt;&gt;"")</formula>
    </cfRule>
  </conditionalFormatting>
  <conditionalFormatting sqref="O4815">
    <cfRule type="expression" dxfId="0" priority="2295">
      <formula>(#REF!&lt;&gt;"")*(#REF!&lt;&gt;"")</formula>
    </cfRule>
  </conditionalFormatting>
  <conditionalFormatting sqref="P4815">
    <cfRule type="expression" dxfId="1" priority="2292">
      <formula>(#REF!&lt;&gt;"")*(#REF!&lt;&gt;"")</formula>
    </cfRule>
  </conditionalFormatting>
  <conditionalFormatting sqref="Q4815">
    <cfRule type="expression" dxfId="0" priority="2293">
      <formula>(#REF!&lt;&gt;"")*(#REF!&lt;&gt;"")</formula>
    </cfRule>
    <cfRule type="expression" dxfId="1" priority="2294">
      <formula>(#REF!&lt;&gt;"")*(#REF!&lt;&gt;"")</formula>
    </cfRule>
  </conditionalFormatting>
  <conditionalFormatting sqref="R4815">
    <cfRule type="expression" dxfId="0" priority="2286">
      <formula>(#REF!&lt;&gt;"")*(#REF!&lt;&gt;"")</formula>
    </cfRule>
  </conditionalFormatting>
  <conditionalFormatting sqref="A4816">
    <cfRule type="expression" dxfId="0" priority="2239">
      <formula>(#REF!&lt;&gt;"")*(#REF!&lt;&gt;"")</formula>
    </cfRule>
  </conditionalFormatting>
  <conditionalFormatting sqref="H4816">
    <cfRule type="expression" dxfId="0" priority="2240">
      <formula>(#REF!&lt;&gt;"")*(#REF!&lt;&gt;"")</formula>
    </cfRule>
  </conditionalFormatting>
  <conditionalFormatting sqref="J4816">
    <cfRule type="expression" dxfId="0" priority="2238">
      <formula>(#REF!&lt;&gt;"")*(#REF!&lt;&gt;"")</formula>
    </cfRule>
  </conditionalFormatting>
  <conditionalFormatting sqref="L4816">
    <cfRule type="expression" dxfId="0" priority="2242">
      <formula>(#REF!&lt;&gt;"")*(#REF!&lt;&gt;"")</formula>
    </cfRule>
  </conditionalFormatting>
  <conditionalFormatting sqref="M4816">
    <cfRule type="expression" dxfId="0" priority="2241">
      <formula>(#REF!&lt;&gt;"")*(#REF!&lt;&gt;"")</formula>
    </cfRule>
  </conditionalFormatting>
  <conditionalFormatting sqref="P4816">
    <cfRule type="expression" dxfId="1" priority="2237">
      <formula>(#REF!&lt;&gt;"")*(#REF!&lt;&gt;"")</formula>
    </cfRule>
  </conditionalFormatting>
  <conditionalFormatting sqref="A4817">
    <cfRule type="expression" dxfId="0" priority="2244">
      <formula>(#REF!&lt;&gt;"")*(#REF!&lt;&gt;"")</formula>
    </cfRule>
  </conditionalFormatting>
  <conditionalFormatting sqref="H4817">
    <cfRule type="expression" dxfId="0" priority="2245">
      <formula>(#REF!&lt;&gt;"")*(#REF!&lt;&gt;"")</formula>
    </cfRule>
    <cfRule type="expression" dxfId="0" priority="2099">
      <formula>(#REF!&lt;&gt;"")*(#REF!&lt;&gt;"")</formula>
    </cfRule>
    <cfRule type="expression" dxfId="0" priority="2098">
      <formula>(#REF!&lt;&gt;"")*(#REF!&lt;&gt;"")</formula>
    </cfRule>
    <cfRule type="expression" dxfId="0" priority="2097">
      <formula>(#REF!&lt;&gt;"")*(#REF!&lt;&gt;"")</formula>
    </cfRule>
    <cfRule type="expression" dxfId="0" priority="2096">
      <formula>(#REF!&lt;&gt;"")*(#REF!&lt;&gt;"")</formula>
    </cfRule>
  </conditionalFormatting>
  <conditionalFormatting sqref="J4817">
    <cfRule type="expression" dxfId="0" priority="2243">
      <formula>(#REF!&lt;&gt;"")*(#REF!&lt;&gt;"")</formula>
    </cfRule>
  </conditionalFormatting>
  <conditionalFormatting sqref="P4817">
    <cfRule type="expression" dxfId="1" priority="2236">
      <formula>(#REF!&lt;&gt;"")*(#REF!&lt;&gt;"")</formula>
    </cfRule>
  </conditionalFormatting>
  <conditionalFormatting sqref="A4818">
    <cfRule type="expression" dxfId="0" priority="2208">
      <formula>(#REF!&lt;&gt;"")*(#REF!&lt;&gt;"")</formula>
    </cfRule>
  </conditionalFormatting>
  <conditionalFormatting sqref="H4818">
    <cfRule type="expression" dxfId="0" priority="2209">
      <formula>(#REF!&lt;&gt;"")*(#REF!&lt;&gt;"")</formula>
    </cfRule>
    <cfRule type="expression" dxfId="0" priority="2102">
      <formula>(#REF!&lt;&gt;"")*(#REF!&lt;&gt;"")</formula>
    </cfRule>
    <cfRule type="expression" dxfId="0" priority="2101">
      <formula>(#REF!&lt;&gt;"")*(#REF!&lt;&gt;"")</formula>
    </cfRule>
    <cfRule type="expression" dxfId="0" priority="2100">
      <formula>(#REF!&lt;&gt;"")*(#REF!&lt;&gt;"")</formula>
    </cfRule>
  </conditionalFormatting>
  <conditionalFormatting sqref="J4818">
    <cfRule type="expression" dxfId="0" priority="2207">
      <formula>(#REF!&lt;&gt;"")*(#REF!&lt;&gt;"")</formula>
    </cfRule>
  </conditionalFormatting>
  <conditionalFormatting sqref="L4818">
    <cfRule type="expression" dxfId="0" priority="2214">
      <formula>(#REF!&lt;&gt;"")*(#REF!&lt;&gt;"")</formula>
    </cfRule>
  </conditionalFormatting>
  <conditionalFormatting sqref="M4818">
    <cfRule type="expression" dxfId="0" priority="2213">
      <formula>(#REF!&lt;&gt;"")*(#REF!&lt;&gt;"")</formula>
    </cfRule>
  </conditionalFormatting>
  <conditionalFormatting sqref="N4818">
    <cfRule type="expression" dxfId="0" priority="2210">
      <formula>(#REF!&lt;&gt;"")*(#REF!&lt;&gt;"")</formula>
    </cfRule>
  </conditionalFormatting>
  <conditionalFormatting sqref="O4818">
    <cfRule type="expression" dxfId="0" priority="2215">
      <formula>(#REF!&lt;&gt;"")*(#REF!&lt;&gt;"")</formula>
    </cfRule>
  </conditionalFormatting>
  <conditionalFormatting sqref="P4818">
    <cfRule type="expression" dxfId="1" priority="2206">
      <formula>(#REF!&lt;&gt;"")*(#REF!&lt;&gt;"")</formula>
    </cfRule>
  </conditionalFormatting>
  <conditionalFormatting sqref="Q4818">
    <cfRule type="expression" dxfId="0" priority="2211">
      <formula>(#REF!&lt;&gt;"")*(#REF!&lt;&gt;"")</formula>
    </cfRule>
    <cfRule type="expression" dxfId="1" priority="2212">
      <formula>(#REF!&lt;&gt;"")*(#REF!&lt;&gt;"")</formula>
    </cfRule>
  </conditionalFormatting>
  <conditionalFormatting sqref="A4819">
    <cfRule type="expression" dxfId="0" priority="2233">
      <formula>(#REF!&lt;&gt;"")*(#REF!&lt;&gt;"")</formula>
    </cfRule>
  </conditionalFormatting>
  <conditionalFormatting sqref="H4819">
    <cfRule type="expression" dxfId="0" priority="2234">
      <formula>(#REF!&lt;&gt;"")*(#REF!&lt;&gt;"")</formula>
    </cfRule>
    <cfRule type="expression" dxfId="0" priority="2104">
      <formula>(#REF!&lt;&gt;"")*(#REF!&lt;&gt;"")</formula>
    </cfRule>
    <cfRule type="expression" dxfId="0" priority="2103">
      <formula>(#REF!&lt;&gt;"")*(#REF!&lt;&gt;"")</formula>
    </cfRule>
  </conditionalFormatting>
  <conditionalFormatting sqref="J4819">
    <cfRule type="expression" dxfId="0" priority="2232">
      <formula>(#REF!&lt;&gt;"")*(#REF!&lt;&gt;"")</formula>
    </cfRule>
  </conditionalFormatting>
  <conditionalFormatting sqref="L4819">
    <cfRule type="expression" dxfId="0" priority="2235">
      <formula>(#REF!&lt;&gt;"")*(#REF!&lt;&gt;"")</formula>
    </cfRule>
  </conditionalFormatting>
  <conditionalFormatting sqref="M4819">
    <cfRule type="expression" dxfId="0" priority="2230">
      <formula>(#REF!&lt;&gt;"")*(#REF!&lt;&gt;"")</formula>
    </cfRule>
  </conditionalFormatting>
  <conditionalFormatting sqref="N4819">
    <cfRule type="expression" dxfId="0" priority="2227">
      <formula>(#REF!&lt;&gt;"")*(#REF!&lt;&gt;"")</formula>
    </cfRule>
  </conditionalFormatting>
  <conditionalFormatting sqref="O4819">
    <cfRule type="expression" dxfId="0" priority="2231">
      <formula>(#REF!&lt;&gt;"")*(#REF!&lt;&gt;"")</formula>
    </cfRule>
  </conditionalFormatting>
  <conditionalFormatting sqref="P4819">
    <cfRule type="expression" dxfId="1" priority="2226">
      <formula>(#REF!&lt;&gt;"")*(#REF!&lt;&gt;"")</formula>
    </cfRule>
  </conditionalFormatting>
  <conditionalFormatting sqref="Q4819">
    <cfRule type="expression" dxfId="0" priority="2228">
      <formula>(#REF!&lt;&gt;"")*(#REF!&lt;&gt;"")</formula>
    </cfRule>
    <cfRule type="expression" dxfId="1" priority="2229">
      <formula>(#REF!&lt;&gt;"")*(#REF!&lt;&gt;"")</formula>
    </cfRule>
  </conditionalFormatting>
  <conditionalFormatting sqref="A4820">
    <cfRule type="expression" dxfId="0" priority="2203">
      <formula>(#REF!&lt;&gt;"")*(#REF!&lt;&gt;"")</formula>
    </cfRule>
  </conditionalFormatting>
  <conditionalFormatting sqref="H4820">
    <cfRule type="expression" dxfId="0" priority="2204">
      <formula>(#REF!&lt;&gt;"")*(#REF!&lt;&gt;"")</formula>
    </cfRule>
    <cfRule type="expression" dxfId="0" priority="2105">
      <formula>(#REF!&lt;&gt;"")*(#REF!&lt;&gt;"")</formula>
    </cfRule>
  </conditionalFormatting>
  <conditionalFormatting sqref="J4820">
    <cfRule type="expression" dxfId="0" priority="2202">
      <formula>(#REF!&lt;&gt;"")*(#REF!&lt;&gt;"")</formula>
    </cfRule>
  </conditionalFormatting>
  <conditionalFormatting sqref="L4820">
    <cfRule type="expression" dxfId="0" priority="2205">
      <formula>(#REF!&lt;&gt;"")*(#REF!&lt;&gt;"")</formula>
    </cfRule>
  </conditionalFormatting>
  <conditionalFormatting sqref="M4820">
    <cfRule type="expression" dxfId="0" priority="2200">
      <formula>(#REF!&lt;&gt;"")*(#REF!&lt;&gt;"")</formula>
    </cfRule>
  </conditionalFormatting>
  <conditionalFormatting sqref="N4820">
    <cfRule type="expression" dxfId="0" priority="2197">
      <formula>(#REF!&lt;&gt;"")*(#REF!&lt;&gt;"")</formula>
    </cfRule>
  </conditionalFormatting>
  <conditionalFormatting sqref="O4820">
    <cfRule type="expression" dxfId="0" priority="2201">
      <formula>(#REF!&lt;&gt;"")*(#REF!&lt;&gt;"")</formula>
    </cfRule>
  </conditionalFormatting>
  <conditionalFormatting sqref="P4820">
    <cfRule type="expression" dxfId="1" priority="2196">
      <formula>(#REF!&lt;&gt;"")*(#REF!&lt;&gt;"")</formula>
    </cfRule>
  </conditionalFormatting>
  <conditionalFormatting sqref="Q4820">
    <cfRule type="expression" dxfId="0" priority="2198">
      <formula>(#REF!&lt;&gt;"")*(#REF!&lt;&gt;"")</formula>
    </cfRule>
    <cfRule type="expression" dxfId="1" priority="2199">
      <formula>(#REF!&lt;&gt;"")*(#REF!&lt;&gt;"")</formula>
    </cfRule>
  </conditionalFormatting>
  <conditionalFormatting sqref="A4821">
    <cfRule type="expression" dxfId="0" priority="2223">
      <formula>(#REF!&lt;&gt;"")*(#REF!&lt;&gt;"")</formula>
    </cfRule>
  </conditionalFormatting>
  <conditionalFormatting sqref="H4821">
    <cfRule type="expression" dxfId="0" priority="2224">
      <formula>(#REF!&lt;&gt;"")*(#REF!&lt;&gt;"")</formula>
    </cfRule>
  </conditionalFormatting>
  <conditionalFormatting sqref="J4821">
    <cfRule type="expression" dxfId="0" priority="2222">
      <formula>(#REF!&lt;&gt;"")*(#REF!&lt;&gt;"")</formula>
    </cfRule>
  </conditionalFormatting>
  <conditionalFormatting sqref="L4821">
    <cfRule type="expression" dxfId="0" priority="2225">
      <formula>(#REF!&lt;&gt;"")*(#REF!&lt;&gt;"")</formula>
    </cfRule>
  </conditionalFormatting>
  <conditionalFormatting sqref="M4821">
    <cfRule type="expression" dxfId="0" priority="2220">
      <formula>(#REF!&lt;&gt;"")*(#REF!&lt;&gt;"")</formula>
    </cfRule>
  </conditionalFormatting>
  <conditionalFormatting sqref="N4821">
    <cfRule type="expression" dxfId="0" priority="2217">
      <formula>(#REF!&lt;&gt;"")*(#REF!&lt;&gt;"")</formula>
    </cfRule>
  </conditionalFormatting>
  <conditionalFormatting sqref="O4821">
    <cfRule type="expression" dxfId="0" priority="2221">
      <formula>(#REF!&lt;&gt;"")*(#REF!&lt;&gt;"")</formula>
    </cfRule>
  </conditionalFormatting>
  <conditionalFormatting sqref="P4821">
    <cfRule type="expression" dxfId="1" priority="2216">
      <formula>(#REF!&lt;&gt;"")*(#REF!&lt;&gt;"")</formula>
    </cfRule>
  </conditionalFormatting>
  <conditionalFormatting sqref="Q4821">
    <cfRule type="expression" dxfId="0" priority="2218">
      <formula>(#REF!&lt;&gt;"")*(#REF!&lt;&gt;"")</formula>
    </cfRule>
    <cfRule type="expression" dxfId="1" priority="2219">
      <formula>(#REF!&lt;&gt;"")*(#REF!&lt;&gt;"")</formula>
    </cfRule>
  </conditionalFormatting>
  <conditionalFormatting sqref="A4822">
    <cfRule type="expression" dxfId="0" priority="2192">
      <formula>(#REF!&lt;&gt;"")*(#REF!&lt;&gt;"")</formula>
    </cfRule>
  </conditionalFormatting>
  <conditionalFormatting sqref="M4824">
    <cfRule type="expression" dxfId="0" priority="1456">
      <formula>(#REF!&lt;&gt;"")*(#REF!&lt;&gt;"")</formula>
    </cfRule>
  </conditionalFormatting>
  <conditionalFormatting sqref="P4824:Q4824">
    <cfRule type="expression" dxfId="1" priority="1457">
      <formula>(#REF!&lt;&gt;"")*(#REF!&lt;&gt;"")</formula>
    </cfRule>
  </conditionalFormatting>
  <conditionalFormatting sqref="R4824">
    <cfRule type="expression" dxfId="0" priority="1157">
      <formula>(#REF!&lt;&gt;"")*(#REF!&lt;&gt;"")</formula>
    </cfRule>
  </conditionalFormatting>
  <conditionalFormatting sqref="A4825">
    <cfRule type="expression" dxfId="0" priority="1450">
      <formula>(#REF!&lt;&gt;"")*(#REF!&lt;&gt;"")</formula>
    </cfRule>
  </conditionalFormatting>
  <conditionalFormatting sqref="K4825">
    <cfRule type="expression" dxfId="0" priority="1454">
      <formula>(#REF!&lt;&gt;"")*(#REF!&lt;&gt;"")</formula>
    </cfRule>
  </conditionalFormatting>
  <conditionalFormatting sqref="M4825">
    <cfRule type="expression" dxfId="0" priority="1451">
      <formula>(#REF!&lt;&gt;"")*(#REF!&lt;&gt;"")</formula>
    </cfRule>
  </conditionalFormatting>
  <conditionalFormatting sqref="P4825:Q4825">
    <cfRule type="expression" dxfId="1" priority="1452">
      <formula>(#REF!&lt;&gt;"")*(#REF!&lt;&gt;"")</formula>
    </cfRule>
  </conditionalFormatting>
  <conditionalFormatting sqref="R4825">
    <cfRule type="expression" dxfId="0" priority="1156">
      <formula>(#REF!&lt;&gt;"")*(#REF!&lt;&gt;"")</formula>
    </cfRule>
  </conditionalFormatting>
  <conditionalFormatting sqref="A4826">
    <cfRule type="expression" dxfId="0" priority="2189">
      <formula>(#REF!&lt;&gt;"")*(#REF!&lt;&gt;"")</formula>
    </cfRule>
  </conditionalFormatting>
  <conditionalFormatting sqref="J4826">
    <cfRule type="expression" dxfId="0" priority="2187">
      <formula>(#REF!&lt;&gt;"")*(#REF!&lt;&gt;"")</formula>
    </cfRule>
  </conditionalFormatting>
  <conditionalFormatting sqref="L4826">
    <cfRule type="expression" dxfId="0" priority="2188">
      <formula>(#REF!&lt;&gt;"")*(#REF!&lt;&gt;"")</formula>
    </cfRule>
  </conditionalFormatting>
  <conditionalFormatting sqref="M4826">
    <cfRule type="expression" dxfId="0" priority="2185">
      <formula>(#REF!&lt;&gt;"")*(#REF!&lt;&gt;"")</formula>
    </cfRule>
  </conditionalFormatting>
  <conditionalFormatting sqref="N4826">
    <cfRule type="expression" dxfId="0" priority="2180">
      <formula>(#REF!&lt;&gt;"")*(#REF!&lt;&gt;"")</formula>
    </cfRule>
  </conditionalFormatting>
  <conditionalFormatting sqref="P4826">
    <cfRule type="expression" dxfId="1" priority="2181">
      <formula>(#REF!&lt;&gt;"")*(#REF!&lt;&gt;"")</formula>
    </cfRule>
  </conditionalFormatting>
  <conditionalFormatting sqref="Q4826">
    <cfRule type="expression" dxfId="0" priority="2182">
      <formula>(#REF!&lt;&gt;"")*(#REF!&lt;&gt;"")</formula>
    </cfRule>
    <cfRule type="expression" dxfId="1" priority="2183">
      <formula>(#REF!&lt;&gt;"")*(#REF!&lt;&gt;"")</formula>
    </cfRule>
  </conditionalFormatting>
  <conditionalFormatting sqref="R4826">
    <cfRule type="expression" dxfId="0" priority="2163">
      <formula>(#REF!&lt;&gt;"")*(#REF!&lt;&gt;"")</formula>
    </cfRule>
  </conditionalFormatting>
  <conditionalFormatting sqref="A4827">
    <cfRule type="expression" dxfId="0" priority="2178">
      <formula>(#REF!&lt;&gt;"")*(#REF!&lt;&gt;"")</formula>
    </cfRule>
  </conditionalFormatting>
  <conditionalFormatting sqref="H4827">
    <cfRule type="expression" dxfId="0" priority="2179">
      <formula>(#REF!&lt;&gt;"")*(#REF!&lt;&gt;"")</formula>
    </cfRule>
  </conditionalFormatting>
  <conditionalFormatting sqref="J4827">
    <cfRule type="expression" dxfId="0" priority="2176">
      <formula>(#REF!&lt;&gt;"")*(#REF!&lt;&gt;"")</formula>
    </cfRule>
  </conditionalFormatting>
  <conditionalFormatting sqref="K4827">
    <cfRule type="expression" dxfId="0" priority="2175">
      <formula>(#REF!&lt;&gt;"")*(#REF!&lt;&gt;"")</formula>
    </cfRule>
  </conditionalFormatting>
  <conditionalFormatting sqref="P4827">
    <cfRule type="expression" dxfId="1" priority="2171">
      <formula>(#REF!&lt;&gt;"")*(#REF!&lt;&gt;"")</formula>
    </cfRule>
  </conditionalFormatting>
  <conditionalFormatting sqref="R4827">
    <cfRule type="expression" dxfId="0" priority="2164">
      <formula>(#REF!&lt;&gt;"")*(#REF!&lt;&gt;"")</formula>
    </cfRule>
  </conditionalFormatting>
  <conditionalFormatting sqref="A4828">
    <cfRule type="expression" dxfId="0" priority="2168">
      <formula>(#REF!&lt;&gt;"")*(#REF!&lt;&gt;"")</formula>
    </cfRule>
  </conditionalFormatting>
  <conditionalFormatting sqref="H4828">
    <cfRule type="expression" dxfId="0" priority="2169">
      <formula>(#REF!&lt;&gt;"")*(#REF!&lt;&gt;"")</formula>
    </cfRule>
  </conditionalFormatting>
  <conditionalFormatting sqref="J4828">
    <cfRule type="expression" dxfId="0" priority="2167">
      <formula>(#REF!&lt;&gt;"")*(#REF!&lt;&gt;"")</formula>
    </cfRule>
  </conditionalFormatting>
  <conditionalFormatting sqref="K4828">
    <cfRule type="expression" dxfId="0" priority="2166">
      <formula>(#REF!&lt;&gt;"")*(#REF!&lt;&gt;"")</formula>
    </cfRule>
  </conditionalFormatting>
  <conditionalFormatting sqref="P4828">
    <cfRule type="expression" dxfId="1" priority="2165">
      <formula>(#REF!&lt;&gt;"")*(#REF!&lt;&gt;"")</formula>
    </cfRule>
  </conditionalFormatting>
  <conditionalFormatting sqref="A4829">
    <cfRule type="expression" dxfId="0" priority="2159">
      <formula>(#REF!&lt;&gt;"")*(#REF!&lt;&gt;"")</formula>
    </cfRule>
  </conditionalFormatting>
  <conditionalFormatting sqref="H4829">
    <cfRule type="expression" dxfId="0" priority="2160">
      <formula>(#REF!&lt;&gt;"")*(#REF!&lt;&gt;"")</formula>
    </cfRule>
  </conditionalFormatting>
  <conditionalFormatting sqref="J4829">
    <cfRule type="expression" dxfId="0" priority="2158">
      <formula>(#REF!&lt;&gt;"")*(#REF!&lt;&gt;"")</formula>
    </cfRule>
  </conditionalFormatting>
  <conditionalFormatting sqref="L4829">
    <cfRule type="expression" dxfId="0" priority="2161">
      <formula>(#REF!&lt;&gt;"")*(#REF!&lt;&gt;"")</formula>
    </cfRule>
  </conditionalFormatting>
  <conditionalFormatting sqref="M4829">
    <cfRule type="expression" dxfId="0" priority="2156">
      <formula>(#REF!&lt;&gt;"")*(#REF!&lt;&gt;"")</formula>
    </cfRule>
  </conditionalFormatting>
  <conditionalFormatting sqref="N4829">
    <cfRule type="expression" dxfId="0" priority="2153">
      <formula>(#REF!&lt;&gt;"")*(#REF!&lt;&gt;"")</formula>
    </cfRule>
  </conditionalFormatting>
  <conditionalFormatting sqref="O4829">
    <cfRule type="expression" dxfId="0" priority="2157">
      <formula>(#REF!&lt;&gt;"")*(#REF!&lt;&gt;"")</formula>
    </cfRule>
  </conditionalFormatting>
  <conditionalFormatting sqref="P4829">
    <cfRule type="expression" dxfId="1" priority="2152">
      <formula>(#REF!&lt;&gt;"")*(#REF!&lt;&gt;"")</formula>
    </cfRule>
  </conditionalFormatting>
  <conditionalFormatting sqref="Q4829">
    <cfRule type="expression" dxfId="0" priority="2154">
      <formula>(#REF!&lt;&gt;"")*(#REF!&lt;&gt;"")</formula>
    </cfRule>
    <cfRule type="expression" dxfId="1" priority="2155">
      <formula>(#REF!&lt;&gt;"")*(#REF!&lt;&gt;"")</formula>
    </cfRule>
  </conditionalFormatting>
  <conditionalFormatting sqref="A4830">
    <cfRule type="expression" dxfId="0" priority="2149">
      <formula>(#REF!&lt;&gt;"")*(#REF!&lt;&gt;"")</formula>
    </cfRule>
  </conditionalFormatting>
  <conditionalFormatting sqref="H4830">
    <cfRule type="expression" dxfId="0" priority="2150">
      <formula>(#REF!&lt;&gt;"")*(#REF!&lt;&gt;"")</formula>
    </cfRule>
  </conditionalFormatting>
  <conditionalFormatting sqref="J4830">
    <cfRule type="expression" dxfId="0" priority="2148">
      <formula>(#REF!&lt;&gt;"")*(#REF!&lt;&gt;"")</formula>
    </cfRule>
  </conditionalFormatting>
  <conditionalFormatting sqref="L4830">
    <cfRule type="expression" dxfId="0" priority="2151">
      <formula>(#REF!&lt;&gt;"")*(#REF!&lt;&gt;"")</formula>
    </cfRule>
  </conditionalFormatting>
  <conditionalFormatting sqref="M4830">
    <cfRule type="expression" dxfId="0" priority="2146">
      <formula>(#REF!&lt;&gt;"")*(#REF!&lt;&gt;"")</formula>
    </cfRule>
  </conditionalFormatting>
  <conditionalFormatting sqref="N4830">
    <cfRule type="expression" dxfId="0" priority="2143">
      <formula>(#REF!&lt;&gt;"")*(#REF!&lt;&gt;"")</formula>
    </cfRule>
  </conditionalFormatting>
  <conditionalFormatting sqref="O4830">
    <cfRule type="expression" dxfId="0" priority="2147">
      <formula>(#REF!&lt;&gt;"")*(#REF!&lt;&gt;"")</formula>
    </cfRule>
  </conditionalFormatting>
  <conditionalFormatting sqref="P4830">
    <cfRule type="expression" dxfId="1" priority="2142">
      <formula>(#REF!&lt;&gt;"")*(#REF!&lt;&gt;"")</formula>
    </cfRule>
  </conditionalFormatting>
  <conditionalFormatting sqref="Q4830">
    <cfRule type="expression" dxfId="0" priority="2144">
      <formula>(#REF!&lt;&gt;"")*(#REF!&lt;&gt;"")</formula>
    </cfRule>
    <cfRule type="expression" dxfId="1" priority="2145">
      <formula>(#REF!&lt;&gt;"")*(#REF!&lt;&gt;"")</formula>
    </cfRule>
  </conditionalFormatting>
  <conditionalFormatting sqref="A4832">
    <cfRule type="expression" dxfId="0" priority="2140">
      <formula>(#REF!&lt;&gt;"")*(#REF!&lt;&gt;"")</formula>
    </cfRule>
  </conditionalFormatting>
  <conditionalFormatting sqref="P4832:Q4832">
    <cfRule type="expression" dxfId="1" priority="2141">
      <formula>(#REF!&lt;&gt;"")*(#REF!&lt;&gt;"")</formula>
    </cfRule>
  </conditionalFormatting>
  <conditionalFormatting sqref="A4833">
    <cfRule type="expression" dxfId="0" priority="2138">
      <formula>(#REF!&lt;&gt;"")*(#REF!&lt;&gt;"")</formula>
    </cfRule>
  </conditionalFormatting>
  <conditionalFormatting sqref="P4833:Q4833">
    <cfRule type="expression" dxfId="1" priority="2139">
      <formula>(#REF!&lt;&gt;"")*(#REF!&lt;&gt;"")</formula>
    </cfRule>
  </conditionalFormatting>
  <conditionalFormatting sqref="A4834">
    <cfRule type="expression" dxfId="0" priority="2136">
      <formula>(#REF!&lt;&gt;"")*(#REF!&lt;&gt;"")</formula>
    </cfRule>
  </conditionalFormatting>
  <conditionalFormatting sqref="P4834:Q4834">
    <cfRule type="expression" dxfId="1" priority="2137">
      <formula>(#REF!&lt;&gt;"")*(#REF!&lt;&gt;"")</formula>
    </cfRule>
  </conditionalFormatting>
  <conditionalFormatting sqref="A4836">
    <cfRule type="expression" dxfId="0" priority="2134">
      <formula>(#REF!&lt;&gt;"")*(#REF!&lt;&gt;"")</formula>
    </cfRule>
  </conditionalFormatting>
  <conditionalFormatting sqref="P4836:Q4836">
    <cfRule type="expression" dxfId="1" priority="2135">
      <formula>(#REF!&lt;&gt;"")*(#REF!&lt;&gt;"")</formula>
    </cfRule>
  </conditionalFormatting>
  <conditionalFormatting sqref="K4838">
    <cfRule type="expression" dxfId="0" priority="2128">
      <formula>(#REF!&lt;&gt;"")*(#REF!&lt;&gt;"")</formula>
    </cfRule>
  </conditionalFormatting>
  <conditionalFormatting sqref="A4840">
    <cfRule type="expression" dxfId="0" priority="1998">
      <formula>(#REF!&lt;&gt;"")*(#REF!&lt;&gt;"")</formula>
    </cfRule>
  </conditionalFormatting>
  <conditionalFormatting sqref="K4840">
    <cfRule type="expression" dxfId="0" priority="1996">
      <formula>(#REF!&lt;&gt;"")*(#REF!&lt;&gt;"")</formula>
    </cfRule>
  </conditionalFormatting>
  <conditionalFormatting sqref="N4840">
    <cfRule type="expression" dxfId="0" priority="1999">
      <formula>(#REF!&lt;&gt;"")*(#REF!&lt;&gt;"")</formula>
    </cfRule>
  </conditionalFormatting>
  <conditionalFormatting sqref="O4840">
    <cfRule type="expression" dxfId="0" priority="1995">
      <formula>(#REF!&lt;&gt;"")*(#REF!&lt;&gt;"")</formula>
    </cfRule>
  </conditionalFormatting>
  <conditionalFormatting sqref="P4840">
    <cfRule type="expression" dxfId="1" priority="1994">
      <formula>(#REF!&lt;&gt;"")*(#REF!&lt;&gt;"")</formula>
    </cfRule>
  </conditionalFormatting>
  <conditionalFormatting sqref="Q4840">
    <cfRule type="expression" dxfId="0" priority="2003">
      <formula>(#REF!&lt;&gt;"")*(#REF!&lt;&gt;"")</formula>
    </cfRule>
    <cfRule type="expression" dxfId="0" priority="2000">
      <formula>(#REF!&lt;&gt;"")*(#REF!&lt;&gt;"")</formula>
    </cfRule>
    <cfRule type="expression" dxfId="1" priority="2002">
      <formula>(#REF!&lt;&gt;"")*(#REF!&lt;&gt;"")</formula>
    </cfRule>
    <cfRule type="expression" dxfId="1" priority="2001">
      <formula>(#REF!&lt;&gt;"")*(#REF!&lt;&gt;"")</formula>
    </cfRule>
  </conditionalFormatting>
  <conditionalFormatting sqref="T4840">
    <cfRule type="expression" dxfId="0" priority="2004">
      <formula>(#REF!&lt;&gt;"")*(#REF!&lt;&gt;"")</formula>
    </cfRule>
  </conditionalFormatting>
  <conditionalFormatting sqref="A4841">
    <cfRule type="expression" dxfId="0" priority="2090">
      <formula>(#REF!&lt;&gt;"")*(#REF!&lt;&gt;"")</formula>
    </cfRule>
  </conditionalFormatting>
  <conditionalFormatting sqref="K4841">
    <cfRule type="expression" dxfId="0" priority="2088">
      <formula>(#REF!&lt;&gt;"")*(#REF!&lt;&gt;"")</formula>
    </cfRule>
  </conditionalFormatting>
  <conditionalFormatting sqref="A4842">
    <cfRule type="expression" dxfId="0" priority="2084">
      <formula>(#REF!&lt;&gt;"")*(#REF!&lt;&gt;"")</formula>
    </cfRule>
  </conditionalFormatting>
  <conditionalFormatting sqref="K4842">
    <cfRule type="expression" dxfId="0" priority="2082">
      <formula>(#REF!&lt;&gt;"")*(#REF!&lt;&gt;"")</formula>
    </cfRule>
  </conditionalFormatting>
  <conditionalFormatting sqref="Q4842">
    <cfRule type="expression" dxfId="1" priority="2086">
      <formula>(#REF!&lt;&gt;"")*(#REF!&lt;&gt;"")</formula>
    </cfRule>
  </conditionalFormatting>
  <conditionalFormatting sqref="A4843">
    <cfRule type="expression" dxfId="0" priority="1681">
      <formula>(#REF!&lt;&gt;"")*(#REF!&lt;&gt;"")</formula>
    </cfRule>
  </conditionalFormatting>
  <conditionalFormatting sqref="H4843">
    <cfRule type="expression" dxfId="0" priority="1684">
      <formula>(#REF!&lt;&gt;"")*(#REF!&lt;&gt;"")</formula>
    </cfRule>
  </conditionalFormatting>
  <conditionalFormatting sqref="K4843">
    <cfRule type="expression" dxfId="0" priority="1679">
      <formula>(#REF!&lt;&gt;"")*(#REF!&lt;&gt;"")</formula>
    </cfRule>
  </conditionalFormatting>
  <conditionalFormatting sqref="O4843">
    <cfRule type="expression" dxfId="0" priority="1678">
      <formula>(#REF!&lt;&gt;"")*(#REF!&lt;&gt;"")</formula>
    </cfRule>
  </conditionalFormatting>
  <conditionalFormatting sqref="P4843">
    <cfRule type="expression" dxfId="1" priority="1677">
      <formula>(#REF!&lt;&gt;"")*(#REF!&lt;&gt;"")</formula>
    </cfRule>
  </conditionalFormatting>
  <conditionalFormatting sqref="Q4843">
    <cfRule type="expression" dxfId="1" priority="1682">
      <formula>(#REF!&lt;&gt;"")*(#REF!&lt;&gt;"")</formula>
    </cfRule>
  </conditionalFormatting>
  <conditionalFormatting sqref="A4844">
    <cfRule type="expression" dxfId="0" priority="1591">
      <formula>(#REF!&lt;&gt;"")*(#REF!&lt;&gt;"")</formula>
    </cfRule>
  </conditionalFormatting>
  <conditionalFormatting sqref="H4844">
    <cfRule type="expression" dxfId="0" priority="1594">
      <formula>(#REF!&lt;&gt;"")*(#REF!&lt;&gt;"")</formula>
    </cfRule>
  </conditionalFormatting>
  <conditionalFormatting sqref="K4844">
    <cfRule type="expression" dxfId="0" priority="1589">
      <formula>(#REF!&lt;&gt;"")*(#REF!&lt;&gt;"")</formula>
    </cfRule>
  </conditionalFormatting>
  <conditionalFormatting sqref="O4844">
    <cfRule type="expression" dxfId="0" priority="1588">
      <formula>(#REF!&lt;&gt;"")*(#REF!&lt;&gt;"")</formula>
    </cfRule>
  </conditionalFormatting>
  <conditionalFormatting sqref="P4844">
    <cfRule type="expression" dxfId="1" priority="1587">
      <formula>(#REF!&lt;&gt;"")*(#REF!&lt;&gt;"")</formula>
    </cfRule>
  </conditionalFormatting>
  <conditionalFormatting sqref="Q4844">
    <cfRule type="expression" dxfId="1" priority="1592">
      <formula>(#REF!&lt;&gt;"")*(#REF!&lt;&gt;"")</formula>
    </cfRule>
  </conditionalFormatting>
  <conditionalFormatting sqref="A4845">
    <cfRule type="expression" dxfId="0" priority="1583">
      <formula>(#REF!&lt;&gt;"")*(#REF!&lt;&gt;"")</formula>
    </cfRule>
  </conditionalFormatting>
  <conditionalFormatting sqref="H4845">
    <cfRule type="expression" dxfId="0" priority="1586">
      <formula>(#REF!&lt;&gt;"")*(#REF!&lt;&gt;"")</formula>
    </cfRule>
  </conditionalFormatting>
  <conditionalFormatting sqref="K4845">
    <cfRule type="expression" dxfId="0" priority="1581">
      <formula>(#REF!&lt;&gt;"")*(#REF!&lt;&gt;"")</formula>
    </cfRule>
  </conditionalFormatting>
  <conditionalFormatting sqref="O4845">
    <cfRule type="expression" dxfId="0" priority="1580">
      <formula>(#REF!&lt;&gt;"")*(#REF!&lt;&gt;"")</formula>
    </cfRule>
  </conditionalFormatting>
  <conditionalFormatting sqref="P4845">
    <cfRule type="expression" dxfId="1" priority="1579">
      <formula>(#REF!&lt;&gt;"")*(#REF!&lt;&gt;"")</formula>
    </cfRule>
  </conditionalFormatting>
  <conditionalFormatting sqref="Q4845">
    <cfRule type="expression" dxfId="1" priority="1584">
      <formula>(#REF!&lt;&gt;"")*(#REF!&lt;&gt;"")</formula>
    </cfRule>
  </conditionalFormatting>
  <conditionalFormatting sqref="A4846">
    <cfRule type="expression" dxfId="0" priority="1446">
      <formula>(#REF!&lt;&gt;"")*(#REF!&lt;&gt;"")</formula>
    </cfRule>
  </conditionalFormatting>
  <conditionalFormatting sqref="H4846">
    <cfRule type="expression" dxfId="0" priority="1449">
      <formula>(#REF!&lt;&gt;"")*(#REF!&lt;&gt;"")</formula>
    </cfRule>
  </conditionalFormatting>
  <conditionalFormatting sqref="K4846">
    <cfRule type="expression" dxfId="0" priority="1444">
      <formula>(#REF!&lt;&gt;"")*(#REF!&lt;&gt;"")</formula>
    </cfRule>
  </conditionalFormatting>
  <conditionalFormatting sqref="N4846">
    <cfRule type="expression" dxfId="0" priority="1441">
      <formula>(#REF!&lt;&gt;"")*(#REF!&lt;&gt;"")</formula>
    </cfRule>
  </conditionalFormatting>
  <conditionalFormatting sqref="O4846">
    <cfRule type="expression" dxfId="0" priority="1443">
      <formula>(#REF!&lt;&gt;"")*(#REF!&lt;&gt;"")</formula>
    </cfRule>
  </conditionalFormatting>
  <conditionalFormatting sqref="P4846">
    <cfRule type="expression" dxfId="1" priority="1442">
      <formula>(#REF!&lt;&gt;"")*(#REF!&lt;&gt;"")</formula>
    </cfRule>
  </conditionalFormatting>
  <conditionalFormatting sqref="Q4846">
    <cfRule type="expression" dxfId="0" priority="1448">
      <formula>(#REF!&lt;&gt;"")*(#REF!&lt;&gt;"")</formula>
    </cfRule>
    <cfRule type="expression" dxfId="1" priority="1447">
      <formula>(#REF!&lt;&gt;"")*(#REF!&lt;&gt;"")</formula>
    </cfRule>
  </conditionalFormatting>
  <conditionalFormatting sqref="R4846">
    <cfRule type="expression" dxfId="0" priority="1155">
      <formula>(#REF!&lt;&gt;"")*(#REF!&lt;&gt;"")</formula>
    </cfRule>
  </conditionalFormatting>
  <conditionalFormatting sqref="A4847">
    <cfRule type="expression" dxfId="0" priority="1299">
      <formula>(#REF!&lt;&gt;"")*(#REF!&lt;&gt;"")</formula>
    </cfRule>
  </conditionalFormatting>
  <conditionalFormatting sqref="H4847">
    <cfRule type="expression" dxfId="0" priority="1302">
      <formula>(#REF!&lt;&gt;"")*(#REF!&lt;&gt;"")</formula>
    </cfRule>
  </conditionalFormatting>
  <conditionalFormatting sqref="K4847">
    <cfRule type="expression" dxfId="0" priority="1297">
      <formula>(#REF!&lt;&gt;"")*(#REF!&lt;&gt;"")</formula>
    </cfRule>
  </conditionalFormatting>
  <conditionalFormatting sqref="N4847">
    <cfRule type="expression" dxfId="0" priority="1294">
      <formula>(#REF!&lt;&gt;"")*(#REF!&lt;&gt;"")</formula>
    </cfRule>
  </conditionalFormatting>
  <conditionalFormatting sqref="O4847">
    <cfRule type="expression" dxfId="0" priority="1296">
      <formula>(#REF!&lt;&gt;"")*(#REF!&lt;&gt;"")</formula>
    </cfRule>
  </conditionalFormatting>
  <conditionalFormatting sqref="P4847">
    <cfRule type="expression" dxfId="1" priority="1295">
      <formula>(#REF!&lt;&gt;"")*(#REF!&lt;&gt;"")</formula>
    </cfRule>
  </conditionalFormatting>
  <conditionalFormatting sqref="Q4847">
    <cfRule type="expression" dxfId="0" priority="1301">
      <formula>(#REF!&lt;&gt;"")*(#REF!&lt;&gt;"")</formula>
    </cfRule>
    <cfRule type="expression" dxfId="1" priority="1300">
      <formula>(#REF!&lt;&gt;"")*(#REF!&lt;&gt;"")</formula>
    </cfRule>
  </conditionalFormatting>
  <conditionalFormatting sqref="A4848">
    <cfRule type="expression" dxfId="0" priority="1020">
      <formula>(#REF!&lt;&gt;"")*(#REF!&lt;&gt;"")</formula>
    </cfRule>
  </conditionalFormatting>
  <conditionalFormatting sqref="H4848">
    <cfRule type="expression" dxfId="0" priority="1023">
      <formula>(#REF!&lt;&gt;"")*(#REF!&lt;&gt;"")</formula>
    </cfRule>
  </conditionalFormatting>
  <conditionalFormatting sqref="K4848">
    <cfRule type="expression" dxfId="0" priority="1018">
      <formula>(#REF!&lt;&gt;"")*(#REF!&lt;&gt;"")</formula>
    </cfRule>
  </conditionalFormatting>
  <conditionalFormatting sqref="N4848">
    <cfRule type="expression" dxfId="0" priority="1015">
      <formula>(#REF!&lt;&gt;"")*(#REF!&lt;&gt;"")</formula>
    </cfRule>
  </conditionalFormatting>
  <conditionalFormatting sqref="O4848">
    <cfRule type="expression" dxfId="0" priority="1017">
      <formula>(#REF!&lt;&gt;"")*(#REF!&lt;&gt;"")</formula>
    </cfRule>
  </conditionalFormatting>
  <conditionalFormatting sqref="P4848">
    <cfRule type="expression" dxfId="1" priority="1016">
      <formula>(#REF!&lt;&gt;"")*(#REF!&lt;&gt;"")</formula>
    </cfRule>
  </conditionalFormatting>
  <conditionalFormatting sqref="Q4848">
    <cfRule type="expression" dxfId="0" priority="1022">
      <formula>(#REF!&lt;&gt;"")*(#REF!&lt;&gt;"")</formula>
    </cfRule>
    <cfRule type="expression" dxfId="1" priority="1021">
      <formula>(#REF!&lt;&gt;"")*(#REF!&lt;&gt;"")</formula>
    </cfRule>
  </conditionalFormatting>
  <conditionalFormatting sqref="A4849">
    <cfRule type="expression" dxfId="0" priority="956">
      <formula>(#REF!&lt;&gt;"")*(#REF!&lt;&gt;"")</formula>
    </cfRule>
  </conditionalFormatting>
  <conditionalFormatting sqref="H4849">
    <cfRule type="expression" dxfId="0" priority="959">
      <formula>(#REF!&lt;&gt;"")*(#REF!&lt;&gt;"")</formula>
    </cfRule>
  </conditionalFormatting>
  <conditionalFormatting sqref="K4849">
    <cfRule type="expression" dxfId="0" priority="954">
      <formula>(#REF!&lt;&gt;"")*(#REF!&lt;&gt;"")</formula>
    </cfRule>
  </conditionalFormatting>
  <conditionalFormatting sqref="O4849">
    <cfRule type="expression" dxfId="0" priority="953">
      <formula>(#REF!&lt;&gt;"")*(#REF!&lt;&gt;"")</formula>
    </cfRule>
  </conditionalFormatting>
  <conditionalFormatting sqref="P4849">
    <cfRule type="expression" dxfId="1" priority="952">
      <formula>(#REF!&lt;&gt;"")*(#REF!&lt;&gt;"")</formula>
    </cfRule>
  </conditionalFormatting>
  <conditionalFormatting sqref="A4850">
    <cfRule type="expression" dxfId="0" priority="775">
      <formula>(#REF!&lt;&gt;"")*(#REF!&lt;&gt;"")</formula>
    </cfRule>
  </conditionalFormatting>
  <conditionalFormatting sqref="H4850">
    <cfRule type="expression" dxfId="0" priority="776">
      <formula>(#REF!&lt;&gt;"")*(#REF!&lt;&gt;"")</formula>
    </cfRule>
  </conditionalFormatting>
  <conditionalFormatting sqref="K4850">
    <cfRule type="expression" dxfId="0" priority="773">
      <formula>(#REF!&lt;&gt;"")*(#REF!&lt;&gt;"")</formula>
    </cfRule>
  </conditionalFormatting>
  <conditionalFormatting sqref="O4850">
    <cfRule type="expression" dxfId="0" priority="772">
      <formula>(#REF!&lt;&gt;"")*(#REF!&lt;&gt;"")</formula>
    </cfRule>
  </conditionalFormatting>
  <conditionalFormatting sqref="P4850">
    <cfRule type="expression" dxfId="1" priority="771">
      <formula>(#REF!&lt;&gt;"")*(#REF!&lt;&gt;"")</formula>
    </cfRule>
  </conditionalFormatting>
  <conditionalFormatting sqref="E4851:G4851">
    <cfRule type="expression" dxfId="0" priority="2120">
      <formula>(#REF!&lt;&gt;"")*(#REF!&lt;&gt;"")</formula>
    </cfRule>
  </conditionalFormatting>
  <conditionalFormatting sqref="J4851">
    <cfRule type="expression" dxfId="0" priority="2119">
      <formula>(#REF!&lt;&gt;"")*(#REF!&lt;&gt;"")</formula>
    </cfRule>
  </conditionalFormatting>
  <conditionalFormatting sqref="A4852">
    <cfRule type="expression" dxfId="0" priority="2079">
      <formula>(#REF!&lt;&gt;"")*(#REF!&lt;&gt;"")</formula>
    </cfRule>
  </conditionalFormatting>
  <conditionalFormatting sqref="E4852:G4852">
    <cfRule type="expression" dxfId="0" priority="2075">
      <formula>(#REF!&lt;&gt;"")*(#REF!&lt;&gt;"")</formula>
    </cfRule>
  </conditionalFormatting>
  <conditionalFormatting sqref="J4852">
    <cfRule type="expression" dxfId="0" priority="2074">
      <formula>(#REF!&lt;&gt;"")*(#REF!&lt;&gt;"")</formula>
    </cfRule>
  </conditionalFormatting>
  <conditionalFormatting sqref="K4852">
    <cfRule type="expression" dxfId="0" priority="2076">
      <formula>(#REF!&lt;&gt;"")*(#REF!&lt;&gt;"")</formula>
    </cfRule>
  </conditionalFormatting>
  <conditionalFormatting sqref="L4852:M4852">
    <cfRule type="expression" dxfId="0" priority="2077">
      <formula>(#REF!&lt;&gt;"")*(#REF!&lt;&gt;"")</formula>
    </cfRule>
  </conditionalFormatting>
  <conditionalFormatting sqref="N4852">
    <cfRule type="expression" dxfId="0" priority="2078">
      <formula>(#REF!&lt;&gt;"")*(#REF!&lt;&gt;"")</formula>
    </cfRule>
  </conditionalFormatting>
  <conditionalFormatting sqref="O4852">
    <cfRule type="expression" dxfId="0" priority="2073">
      <formula>(#REF!&lt;&gt;"")*(#REF!&lt;&gt;"")</formula>
    </cfRule>
  </conditionalFormatting>
  <conditionalFormatting sqref="P4852">
    <cfRule type="expression" dxfId="1" priority="2072">
      <formula>(#REF!&lt;&gt;"")*(#REF!&lt;&gt;"")</formula>
    </cfRule>
  </conditionalFormatting>
  <conditionalFormatting sqref="A4853">
    <cfRule type="expression" dxfId="0" priority="2069">
      <formula>(#REF!&lt;&gt;"")*(#REF!&lt;&gt;"")</formula>
    </cfRule>
  </conditionalFormatting>
  <conditionalFormatting sqref="E4853:G4853">
    <cfRule type="expression" dxfId="0" priority="2065">
      <formula>(#REF!&lt;&gt;"")*(#REF!&lt;&gt;"")</formula>
    </cfRule>
  </conditionalFormatting>
  <conditionalFormatting sqref="J4853">
    <cfRule type="expression" dxfId="0" priority="2064">
      <formula>(#REF!&lt;&gt;"")*(#REF!&lt;&gt;"")</formula>
    </cfRule>
  </conditionalFormatting>
  <conditionalFormatting sqref="K4853">
    <cfRule type="expression" dxfId="0" priority="2066">
      <formula>(#REF!&lt;&gt;"")*(#REF!&lt;&gt;"")</formula>
    </cfRule>
  </conditionalFormatting>
  <conditionalFormatting sqref="L4853:M4853">
    <cfRule type="expression" dxfId="0" priority="2067">
      <formula>(#REF!&lt;&gt;"")*(#REF!&lt;&gt;"")</formula>
    </cfRule>
  </conditionalFormatting>
  <conditionalFormatting sqref="N4853">
    <cfRule type="expression" dxfId="0" priority="2068">
      <formula>(#REF!&lt;&gt;"")*(#REF!&lt;&gt;"")</formula>
    </cfRule>
  </conditionalFormatting>
  <conditionalFormatting sqref="O4853">
    <cfRule type="expression" dxfId="0" priority="2063">
      <formula>(#REF!&lt;&gt;"")*(#REF!&lt;&gt;"")</formula>
    </cfRule>
  </conditionalFormatting>
  <conditionalFormatting sqref="P4853">
    <cfRule type="expression" dxfId="1" priority="2062">
      <formula>(#REF!&lt;&gt;"")*(#REF!&lt;&gt;"")</formula>
    </cfRule>
  </conditionalFormatting>
  <conditionalFormatting sqref="A4854">
    <cfRule type="expression" dxfId="0" priority="2061">
      <formula>(#REF!&lt;&gt;"")*(#REF!&lt;&gt;"")</formula>
    </cfRule>
  </conditionalFormatting>
  <conditionalFormatting sqref="E4854:G4854">
    <cfRule type="expression" dxfId="0" priority="2057">
      <formula>(#REF!&lt;&gt;"")*(#REF!&lt;&gt;"")</formula>
    </cfRule>
  </conditionalFormatting>
  <conditionalFormatting sqref="J4854">
    <cfRule type="expression" dxfId="0" priority="2056">
      <formula>(#REF!&lt;&gt;"")*(#REF!&lt;&gt;"")</formula>
    </cfRule>
  </conditionalFormatting>
  <conditionalFormatting sqref="K4854">
    <cfRule type="expression" dxfId="0" priority="2058">
      <formula>(#REF!&lt;&gt;"")*(#REF!&lt;&gt;"")</formula>
    </cfRule>
  </conditionalFormatting>
  <conditionalFormatting sqref="L4854:M4854">
    <cfRule type="expression" dxfId="0" priority="2059">
      <formula>(#REF!&lt;&gt;"")*(#REF!&lt;&gt;"")</formula>
    </cfRule>
  </conditionalFormatting>
  <conditionalFormatting sqref="N4854">
    <cfRule type="expression" dxfId="0" priority="2060">
      <formula>(#REF!&lt;&gt;"")*(#REF!&lt;&gt;"")</formula>
    </cfRule>
  </conditionalFormatting>
  <conditionalFormatting sqref="O4854">
    <cfRule type="expression" dxfId="0" priority="2055">
      <formula>(#REF!&lt;&gt;"")*(#REF!&lt;&gt;"")</formula>
    </cfRule>
  </conditionalFormatting>
  <conditionalFormatting sqref="P4854">
    <cfRule type="expression" dxfId="1" priority="2054">
      <formula>(#REF!&lt;&gt;"")*(#REF!&lt;&gt;"")</formula>
    </cfRule>
  </conditionalFormatting>
  <conditionalFormatting sqref="A4855">
    <cfRule type="expression" dxfId="0" priority="2051">
      <formula>(#REF!&lt;&gt;"")*(#REF!&lt;&gt;"")</formula>
    </cfRule>
  </conditionalFormatting>
  <conditionalFormatting sqref="E4855:G4855">
    <cfRule type="expression" dxfId="0" priority="2047">
      <formula>(#REF!&lt;&gt;"")*(#REF!&lt;&gt;"")</formula>
    </cfRule>
  </conditionalFormatting>
  <conditionalFormatting sqref="J4855">
    <cfRule type="expression" dxfId="0" priority="2046">
      <formula>(#REF!&lt;&gt;"")*(#REF!&lt;&gt;"")</formula>
    </cfRule>
  </conditionalFormatting>
  <conditionalFormatting sqref="K4855">
    <cfRule type="expression" dxfId="0" priority="2048">
      <formula>(#REF!&lt;&gt;"")*(#REF!&lt;&gt;"")</formula>
    </cfRule>
  </conditionalFormatting>
  <conditionalFormatting sqref="L4855:M4855">
    <cfRule type="expression" dxfId="0" priority="2049">
      <formula>(#REF!&lt;&gt;"")*(#REF!&lt;&gt;"")</formula>
    </cfRule>
  </conditionalFormatting>
  <conditionalFormatting sqref="N4855">
    <cfRule type="expression" dxfId="0" priority="2050">
      <formula>(#REF!&lt;&gt;"")*(#REF!&lt;&gt;"")</formula>
    </cfRule>
  </conditionalFormatting>
  <conditionalFormatting sqref="O4855">
    <cfRule type="expression" dxfId="0" priority="2045">
      <formula>(#REF!&lt;&gt;"")*(#REF!&lt;&gt;"")</formula>
    </cfRule>
  </conditionalFormatting>
  <conditionalFormatting sqref="P4855">
    <cfRule type="expression" dxfId="1" priority="2044">
      <formula>(#REF!&lt;&gt;"")*(#REF!&lt;&gt;"")</formula>
    </cfRule>
  </conditionalFormatting>
  <conditionalFormatting sqref="A4856">
    <cfRule type="expression" dxfId="0" priority="2043">
      <formula>(#REF!&lt;&gt;"")*(#REF!&lt;&gt;"")</formula>
    </cfRule>
  </conditionalFormatting>
  <conditionalFormatting sqref="E4856:G4856">
    <cfRule type="expression" dxfId="0" priority="2039">
      <formula>(#REF!&lt;&gt;"")*(#REF!&lt;&gt;"")</formula>
    </cfRule>
  </conditionalFormatting>
  <conditionalFormatting sqref="J4856">
    <cfRule type="expression" dxfId="0" priority="2038">
      <formula>(#REF!&lt;&gt;"")*(#REF!&lt;&gt;"")</formula>
    </cfRule>
  </conditionalFormatting>
  <conditionalFormatting sqref="K4856">
    <cfRule type="expression" dxfId="0" priority="2040">
      <formula>(#REF!&lt;&gt;"")*(#REF!&lt;&gt;"")</formula>
    </cfRule>
  </conditionalFormatting>
  <conditionalFormatting sqref="L4856:M4856">
    <cfRule type="expression" dxfId="0" priority="2041">
      <formula>(#REF!&lt;&gt;"")*(#REF!&lt;&gt;"")</formula>
    </cfRule>
  </conditionalFormatting>
  <conditionalFormatting sqref="N4856">
    <cfRule type="expression" dxfId="0" priority="2042">
      <formula>(#REF!&lt;&gt;"")*(#REF!&lt;&gt;"")</formula>
    </cfRule>
  </conditionalFormatting>
  <conditionalFormatting sqref="O4856">
    <cfRule type="expression" dxfId="0" priority="2037">
      <formula>(#REF!&lt;&gt;"")*(#REF!&lt;&gt;"")</formula>
    </cfRule>
  </conditionalFormatting>
  <conditionalFormatting sqref="P4856">
    <cfRule type="expression" dxfId="1" priority="2036">
      <formula>(#REF!&lt;&gt;"")*(#REF!&lt;&gt;"")</formula>
    </cfRule>
  </conditionalFormatting>
  <conditionalFormatting sqref="A4857">
    <cfRule type="expression" dxfId="0" priority="2012">
      <formula>(#REF!&lt;&gt;"")*(#REF!&lt;&gt;"")</formula>
    </cfRule>
  </conditionalFormatting>
  <conditionalFormatting sqref="E4857:G4857">
    <cfRule type="expression" dxfId="0" priority="2008">
      <formula>(#REF!&lt;&gt;"")*(#REF!&lt;&gt;"")</formula>
    </cfRule>
  </conditionalFormatting>
  <conditionalFormatting sqref="J4857">
    <cfRule type="expression" dxfId="0" priority="2007">
      <formula>(#REF!&lt;&gt;"")*(#REF!&lt;&gt;"")</formula>
    </cfRule>
  </conditionalFormatting>
  <conditionalFormatting sqref="K4857">
    <cfRule type="expression" dxfId="0" priority="2009">
      <formula>(#REF!&lt;&gt;"")*(#REF!&lt;&gt;"")</formula>
    </cfRule>
  </conditionalFormatting>
  <conditionalFormatting sqref="L4857:M4857">
    <cfRule type="expression" dxfId="0" priority="2010">
      <formula>(#REF!&lt;&gt;"")*(#REF!&lt;&gt;"")</formula>
    </cfRule>
  </conditionalFormatting>
  <conditionalFormatting sqref="O4857">
    <cfRule type="expression" dxfId="0" priority="2006">
      <formula>(#REF!&lt;&gt;"")*(#REF!&lt;&gt;"")</formula>
    </cfRule>
  </conditionalFormatting>
  <conditionalFormatting sqref="P4857">
    <cfRule type="expression" dxfId="1" priority="2005">
      <formula>(#REF!&lt;&gt;"")*(#REF!&lt;&gt;"")</formula>
    </cfRule>
  </conditionalFormatting>
  <conditionalFormatting sqref="A4858">
    <cfRule type="expression" dxfId="0" priority="1979">
      <formula>(#REF!&lt;&gt;"")*(#REF!&lt;&gt;"")</formula>
    </cfRule>
  </conditionalFormatting>
  <conditionalFormatting sqref="E4858:G4858">
    <cfRule type="expression" dxfId="0" priority="1976">
      <formula>(#REF!&lt;&gt;"")*(#REF!&lt;&gt;"")</formula>
    </cfRule>
  </conditionalFormatting>
  <conditionalFormatting sqref="J4858">
    <cfRule type="expression" dxfId="0" priority="1975">
      <formula>(#REF!&lt;&gt;"")*(#REF!&lt;&gt;"")</formula>
    </cfRule>
  </conditionalFormatting>
  <conditionalFormatting sqref="K4858">
    <cfRule type="expression" dxfId="0" priority="1977">
      <formula>(#REF!&lt;&gt;"")*(#REF!&lt;&gt;"")</formula>
    </cfRule>
  </conditionalFormatting>
  <conditionalFormatting sqref="L4858:M4858">
    <cfRule type="expression" dxfId="0" priority="1978">
      <formula>(#REF!&lt;&gt;"")*(#REF!&lt;&gt;"")</formula>
    </cfRule>
  </conditionalFormatting>
  <conditionalFormatting sqref="O4858">
    <cfRule type="expression" dxfId="0" priority="1969">
      <formula>(#REF!&lt;&gt;"")*(#REF!&lt;&gt;"")</formula>
    </cfRule>
  </conditionalFormatting>
  <conditionalFormatting sqref="P4858">
    <cfRule type="expression" dxfId="1" priority="1968">
      <formula>(#REF!&lt;&gt;"")*(#REF!&lt;&gt;"")</formula>
    </cfRule>
  </conditionalFormatting>
  <conditionalFormatting sqref="A4859">
    <cfRule type="expression" dxfId="0" priority="1974">
      <formula>(#REF!&lt;&gt;"")*(#REF!&lt;&gt;"")</formula>
    </cfRule>
  </conditionalFormatting>
  <conditionalFormatting sqref="E4859:G4859">
    <cfRule type="expression" dxfId="0" priority="1971">
      <formula>(#REF!&lt;&gt;"")*(#REF!&lt;&gt;"")</formula>
    </cfRule>
  </conditionalFormatting>
  <conditionalFormatting sqref="J4859">
    <cfRule type="expression" dxfId="0" priority="1970">
      <formula>(#REF!&lt;&gt;"")*(#REF!&lt;&gt;"")</formula>
    </cfRule>
  </conditionalFormatting>
  <conditionalFormatting sqref="K4859">
    <cfRule type="expression" dxfId="0" priority="1972">
      <formula>(#REF!&lt;&gt;"")*(#REF!&lt;&gt;"")</formula>
    </cfRule>
  </conditionalFormatting>
  <conditionalFormatting sqref="L4859:M4859">
    <cfRule type="expression" dxfId="0" priority="1973">
      <formula>(#REF!&lt;&gt;"")*(#REF!&lt;&gt;"")</formula>
    </cfRule>
  </conditionalFormatting>
  <conditionalFormatting sqref="O4859">
    <cfRule type="expression" dxfId="0" priority="1967">
      <formula>(#REF!&lt;&gt;"")*(#REF!&lt;&gt;"")</formula>
    </cfRule>
  </conditionalFormatting>
  <conditionalFormatting sqref="P4859">
    <cfRule type="expression" dxfId="1" priority="1966">
      <formula>(#REF!&lt;&gt;"")*(#REF!&lt;&gt;"")</formula>
    </cfRule>
  </conditionalFormatting>
  <conditionalFormatting sqref="A4860">
    <cfRule type="expression" dxfId="0" priority="1673">
      <formula>(#REF!&lt;&gt;"")*(#REF!&lt;&gt;"")</formula>
    </cfRule>
  </conditionalFormatting>
  <conditionalFormatting sqref="E4860:G4860">
    <cfRule type="expression" dxfId="0" priority="1670">
      <formula>(#REF!&lt;&gt;"")*(#REF!&lt;&gt;"")</formula>
    </cfRule>
  </conditionalFormatting>
  <conditionalFormatting sqref="J4860">
    <cfRule type="expression" dxfId="0" priority="1669">
      <formula>(#REF!&lt;&gt;"")*(#REF!&lt;&gt;"")</formula>
    </cfRule>
  </conditionalFormatting>
  <conditionalFormatting sqref="K4860">
    <cfRule type="expression" dxfId="0" priority="1671">
      <formula>(#REF!&lt;&gt;"")*(#REF!&lt;&gt;"")</formula>
    </cfRule>
  </conditionalFormatting>
  <conditionalFormatting sqref="L4860:M4860">
    <cfRule type="expression" dxfId="0" priority="1672">
      <formula>(#REF!&lt;&gt;"")*(#REF!&lt;&gt;"")</formula>
    </cfRule>
  </conditionalFormatting>
  <conditionalFormatting sqref="N4860">
    <cfRule type="expression" dxfId="0" priority="1674">
      <formula>(#REF!&lt;&gt;"")*(#REF!&lt;&gt;"")</formula>
    </cfRule>
  </conditionalFormatting>
  <conditionalFormatting sqref="O4860">
    <cfRule type="expression" dxfId="0" priority="1668">
      <formula>(#REF!&lt;&gt;"")*(#REF!&lt;&gt;"")</formula>
    </cfRule>
  </conditionalFormatting>
  <conditionalFormatting sqref="P4860">
    <cfRule type="expression" dxfId="1" priority="1667">
      <formula>(#REF!&lt;&gt;"")*(#REF!&lt;&gt;"")</formula>
    </cfRule>
  </conditionalFormatting>
  <conditionalFormatting sqref="Q4860">
    <cfRule type="expression" dxfId="0" priority="1676">
      <formula>(#REF!&lt;&gt;"")*(#REF!&lt;&gt;"")</formula>
    </cfRule>
    <cfRule type="expression" dxfId="1" priority="1675">
      <formula>(#REF!&lt;&gt;"")*(#REF!&lt;&gt;"")</formula>
    </cfRule>
  </conditionalFormatting>
  <conditionalFormatting sqref="A4861">
    <cfRule type="expression" dxfId="0" priority="1663">
      <formula>(#REF!&lt;&gt;"")*(#REF!&lt;&gt;"")</formula>
    </cfRule>
  </conditionalFormatting>
  <conditionalFormatting sqref="E4861:G4861">
    <cfRule type="expression" dxfId="0" priority="1660">
      <formula>(#REF!&lt;&gt;"")*(#REF!&lt;&gt;"")</formula>
    </cfRule>
  </conditionalFormatting>
  <conditionalFormatting sqref="J4861">
    <cfRule type="expression" dxfId="0" priority="1659">
      <formula>(#REF!&lt;&gt;"")*(#REF!&lt;&gt;"")</formula>
    </cfRule>
  </conditionalFormatting>
  <conditionalFormatting sqref="K4861">
    <cfRule type="expression" dxfId="0" priority="1661">
      <formula>(#REF!&lt;&gt;"")*(#REF!&lt;&gt;"")</formula>
    </cfRule>
  </conditionalFormatting>
  <conditionalFormatting sqref="L4861:M4861">
    <cfRule type="expression" dxfId="0" priority="1662">
      <formula>(#REF!&lt;&gt;"")*(#REF!&lt;&gt;"")</formula>
    </cfRule>
  </conditionalFormatting>
  <conditionalFormatting sqref="N4861">
    <cfRule type="expression" dxfId="0" priority="1664">
      <formula>(#REF!&lt;&gt;"")*(#REF!&lt;&gt;"")</formula>
    </cfRule>
  </conditionalFormatting>
  <conditionalFormatting sqref="O4861">
    <cfRule type="expression" dxfId="0" priority="1658">
      <formula>(#REF!&lt;&gt;"")*(#REF!&lt;&gt;"")</formula>
    </cfRule>
  </conditionalFormatting>
  <conditionalFormatting sqref="P4861">
    <cfRule type="expression" dxfId="1" priority="1657">
      <formula>(#REF!&lt;&gt;"")*(#REF!&lt;&gt;"")</formula>
    </cfRule>
  </conditionalFormatting>
  <conditionalFormatting sqref="Q4861">
    <cfRule type="expression" dxfId="0" priority="1666">
      <formula>(#REF!&lt;&gt;"")*(#REF!&lt;&gt;"")</formula>
    </cfRule>
    <cfRule type="expression" dxfId="1" priority="1665">
      <formula>(#REF!&lt;&gt;"")*(#REF!&lt;&gt;"")</formula>
    </cfRule>
  </conditionalFormatting>
  <conditionalFormatting sqref="A4864">
    <cfRule type="expression" dxfId="0" priority="1575">
      <formula>(#REF!&lt;&gt;"")*(#REF!&lt;&gt;"")</formula>
    </cfRule>
  </conditionalFormatting>
  <conditionalFormatting sqref="E4864:G4864">
    <cfRule type="expression" dxfId="0" priority="1572">
      <formula>(#REF!&lt;&gt;"")*(#REF!&lt;&gt;"")</formula>
    </cfRule>
  </conditionalFormatting>
  <conditionalFormatting sqref="J4864">
    <cfRule type="expression" dxfId="0" priority="1571">
      <formula>(#REF!&lt;&gt;"")*(#REF!&lt;&gt;"")</formula>
    </cfRule>
  </conditionalFormatting>
  <conditionalFormatting sqref="K4864">
    <cfRule type="expression" dxfId="0" priority="1573">
      <formula>(#REF!&lt;&gt;"")*(#REF!&lt;&gt;"")</formula>
    </cfRule>
  </conditionalFormatting>
  <conditionalFormatting sqref="L4864:M4864">
    <cfRule type="expression" dxfId="0" priority="1574">
      <formula>(#REF!&lt;&gt;"")*(#REF!&lt;&gt;"")</formula>
    </cfRule>
  </conditionalFormatting>
  <conditionalFormatting sqref="N4864">
    <cfRule type="expression" dxfId="0" priority="1576">
      <formula>(#REF!&lt;&gt;"")*(#REF!&lt;&gt;"")</formula>
    </cfRule>
  </conditionalFormatting>
  <conditionalFormatting sqref="O4864">
    <cfRule type="expression" dxfId="0" priority="1570">
      <formula>(#REF!&lt;&gt;"")*(#REF!&lt;&gt;"")</formula>
    </cfRule>
  </conditionalFormatting>
  <conditionalFormatting sqref="P4864">
    <cfRule type="expression" dxfId="1" priority="1569">
      <formula>(#REF!&lt;&gt;"")*(#REF!&lt;&gt;"")</formula>
    </cfRule>
  </conditionalFormatting>
  <conditionalFormatting sqref="Q4864">
    <cfRule type="expression" dxfId="0" priority="1578">
      <formula>(#REF!&lt;&gt;"")*(#REF!&lt;&gt;"")</formula>
    </cfRule>
    <cfRule type="expression" dxfId="1" priority="1577">
      <formula>(#REF!&lt;&gt;"")*(#REF!&lt;&gt;"")</formula>
    </cfRule>
  </conditionalFormatting>
  <conditionalFormatting sqref="A4865">
    <cfRule type="expression" dxfId="0" priority="1565">
      <formula>(#REF!&lt;&gt;"")*(#REF!&lt;&gt;"")</formula>
    </cfRule>
  </conditionalFormatting>
  <conditionalFormatting sqref="E4865:G4865">
    <cfRule type="expression" dxfId="0" priority="1562">
      <formula>(#REF!&lt;&gt;"")*(#REF!&lt;&gt;"")</formula>
    </cfRule>
  </conditionalFormatting>
  <conditionalFormatting sqref="J4865">
    <cfRule type="expression" dxfId="0" priority="1561">
      <formula>(#REF!&lt;&gt;"")*(#REF!&lt;&gt;"")</formula>
    </cfRule>
  </conditionalFormatting>
  <conditionalFormatting sqref="K4865">
    <cfRule type="expression" dxfId="0" priority="1563">
      <formula>(#REF!&lt;&gt;"")*(#REF!&lt;&gt;"")</formula>
    </cfRule>
  </conditionalFormatting>
  <conditionalFormatting sqref="L4865:M4865">
    <cfRule type="expression" dxfId="0" priority="1564">
      <formula>(#REF!&lt;&gt;"")*(#REF!&lt;&gt;"")</formula>
    </cfRule>
  </conditionalFormatting>
  <conditionalFormatting sqref="N4865">
    <cfRule type="expression" dxfId="0" priority="1566">
      <formula>(#REF!&lt;&gt;"")*(#REF!&lt;&gt;"")</formula>
    </cfRule>
  </conditionalFormatting>
  <conditionalFormatting sqref="O4865">
    <cfRule type="expression" dxfId="0" priority="1560">
      <formula>(#REF!&lt;&gt;"")*(#REF!&lt;&gt;"")</formula>
    </cfRule>
  </conditionalFormatting>
  <conditionalFormatting sqref="P4865">
    <cfRule type="expression" dxfId="1" priority="1559">
      <formula>(#REF!&lt;&gt;"")*(#REF!&lt;&gt;"")</formula>
    </cfRule>
  </conditionalFormatting>
  <conditionalFormatting sqref="Q4865">
    <cfRule type="expression" dxfId="0" priority="1568">
      <formula>(#REF!&lt;&gt;"")*(#REF!&lt;&gt;"")</formula>
    </cfRule>
    <cfRule type="expression" dxfId="1" priority="1567">
      <formula>(#REF!&lt;&gt;"")*(#REF!&lt;&gt;"")</formula>
    </cfRule>
  </conditionalFormatting>
  <conditionalFormatting sqref="A4866">
    <cfRule type="expression" dxfId="0" priority="1521">
      <formula>(#REF!&lt;&gt;"")*(#REF!&lt;&gt;"")</formula>
    </cfRule>
  </conditionalFormatting>
  <conditionalFormatting sqref="E4866:G4866">
    <cfRule type="expression" dxfId="0" priority="1518">
      <formula>(#REF!&lt;&gt;"")*(#REF!&lt;&gt;"")</formula>
    </cfRule>
  </conditionalFormatting>
  <conditionalFormatting sqref="J4866">
    <cfRule type="expression" dxfId="0" priority="1517">
      <formula>(#REF!&lt;&gt;"")*(#REF!&lt;&gt;"")</formula>
    </cfRule>
  </conditionalFormatting>
  <conditionalFormatting sqref="K4866">
    <cfRule type="expression" dxfId="0" priority="1519">
      <formula>(#REF!&lt;&gt;"")*(#REF!&lt;&gt;"")</formula>
    </cfRule>
  </conditionalFormatting>
  <conditionalFormatting sqref="L4866:M4866">
    <cfRule type="expression" dxfId="0" priority="1520">
      <formula>(#REF!&lt;&gt;"")*(#REF!&lt;&gt;"")</formula>
    </cfRule>
  </conditionalFormatting>
  <conditionalFormatting sqref="N4866">
    <cfRule type="expression" dxfId="0" priority="1522">
      <formula>(#REF!&lt;&gt;"")*(#REF!&lt;&gt;"")</formula>
    </cfRule>
  </conditionalFormatting>
  <conditionalFormatting sqref="O4866">
    <cfRule type="expression" dxfId="0" priority="1516">
      <formula>(#REF!&lt;&gt;"")*(#REF!&lt;&gt;"")</formula>
    </cfRule>
  </conditionalFormatting>
  <conditionalFormatting sqref="P4866">
    <cfRule type="expression" dxfId="1" priority="1515">
      <formula>(#REF!&lt;&gt;"")*(#REF!&lt;&gt;"")</formula>
    </cfRule>
  </conditionalFormatting>
  <conditionalFormatting sqref="Q4866">
    <cfRule type="expression" dxfId="0" priority="1524">
      <formula>(#REF!&lt;&gt;"")*(#REF!&lt;&gt;"")</formula>
    </cfRule>
    <cfRule type="expression" dxfId="1" priority="1523">
      <formula>(#REF!&lt;&gt;"")*(#REF!&lt;&gt;"")</formula>
    </cfRule>
  </conditionalFormatting>
  <conditionalFormatting sqref="T4866">
    <cfRule type="expression" dxfId="0" priority="1525">
      <formula>(#REF!&lt;&gt;"")*(#REF!&lt;&gt;"")</formula>
    </cfRule>
  </conditionalFormatting>
  <conditionalFormatting sqref="A4867">
    <cfRule type="expression" dxfId="0" priority="1510">
      <formula>(#REF!&lt;&gt;"")*(#REF!&lt;&gt;"")</formula>
    </cfRule>
  </conditionalFormatting>
  <conditionalFormatting sqref="E4867:G4867">
    <cfRule type="expression" dxfId="0" priority="1507">
      <formula>(#REF!&lt;&gt;"")*(#REF!&lt;&gt;"")</formula>
    </cfRule>
  </conditionalFormatting>
  <conditionalFormatting sqref="J4867">
    <cfRule type="expression" dxfId="0" priority="1506">
      <formula>(#REF!&lt;&gt;"")*(#REF!&lt;&gt;"")</formula>
    </cfRule>
  </conditionalFormatting>
  <conditionalFormatting sqref="K4867">
    <cfRule type="expression" dxfId="0" priority="1508">
      <formula>(#REF!&lt;&gt;"")*(#REF!&lt;&gt;"")</formula>
    </cfRule>
  </conditionalFormatting>
  <conditionalFormatting sqref="L4867:M4867">
    <cfRule type="expression" dxfId="0" priority="1509">
      <formula>(#REF!&lt;&gt;"")*(#REF!&lt;&gt;"")</formula>
    </cfRule>
  </conditionalFormatting>
  <conditionalFormatting sqref="N4867">
    <cfRule type="expression" dxfId="0" priority="1511">
      <formula>(#REF!&lt;&gt;"")*(#REF!&lt;&gt;"")</formula>
    </cfRule>
  </conditionalFormatting>
  <conditionalFormatting sqref="O4867">
    <cfRule type="expression" dxfId="0" priority="1505">
      <formula>(#REF!&lt;&gt;"")*(#REF!&lt;&gt;"")</formula>
    </cfRule>
  </conditionalFormatting>
  <conditionalFormatting sqref="P4867">
    <cfRule type="expression" dxfId="1" priority="1504">
      <formula>(#REF!&lt;&gt;"")*(#REF!&lt;&gt;"")</formula>
    </cfRule>
  </conditionalFormatting>
  <conditionalFormatting sqref="Q4867">
    <cfRule type="expression" dxfId="0" priority="1513">
      <formula>(#REF!&lt;&gt;"")*(#REF!&lt;&gt;"")</formula>
    </cfRule>
    <cfRule type="expression" dxfId="1" priority="1512">
      <formula>(#REF!&lt;&gt;"")*(#REF!&lt;&gt;"")</formula>
    </cfRule>
  </conditionalFormatting>
  <conditionalFormatting sqref="T4867">
    <cfRule type="expression" dxfId="0" priority="1514">
      <formula>(#REF!&lt;&gt;"")*(#REF!&lt;&gt;"")</formula>
    </cfRule>
  </conditionalFormatting>
  <conditionalFormatting sqref="A4868">
    <cfRule type="expression" dxfId="0" priority="1499">
      <formula>(#REF!&lt;&gt;"")*(#REF!&lt;&gt;"")</formula>
    </cfRule>
  </conditionalFormatting>
  <conditionalFormatting sqref="E4868:G4868">
    <cfRule type="expression" dxfId="0" priority="1496">
      <formula>(#REF!&lt;&gt;"")*(#REF!&lt;&gt;"")</formula>
    </cfRule>
  </conditionalFormatting>
  <conditionalFormatting sqref="J4868">
    <cfRule type="expression" dxfId="0" priority="1495">
      <formula>(#REF!&lt;&gt;"")*(#REF!&lt;&gt;"")</formula>
    </cfRule>
  </conditionalFormatting>
  <conditionalFormatting sqref="K4868">
    <cfRule type="expression" dxfId="0" priority="1497">
      <formula>(#REF!&lt;&gt;"")*(#REF!&lt;&gt;"")</formula>
    </cfRule>
  </conditionalFormatting>
  <conditionalFormatting sqref="O4868">
    <cfRule type="expression" dxfId="0" priority="1494">
      <formula>(#REF!&lt;&gt;"")*(#REF!&lt;&gt;"")</formula>
    </cfRule>
  </conditionalFormatting>
  <conditionalFormatting sqref="P4868">
    <cfRule type="expression" dxfId="1" priority="1493">
      <formula>(#REF!&lt;&gt;"")*(#REF!&lt;&gt;"")</formula>
    </cfRule>
  </conditionalFormatting>
  <conditionalFormatting sqref="A4869">
    <cfRule type="expression" dxfId="0" priority="1440">
      <formula>(#REF!&lt;&gt;"")*(#REF!&lt;&gt;"")</formula>
    </cfRule>
  </conditionalFormatting>
  <conditionalFormatting sqref="E4869:G4869">
    <cfRule type="expression" dxfId="0" priority="1438">
      <formula>(#REF!&lt;&gt;"")*(#REF!&lt;&gt;"")</formula>
    </cfRule>
  </conditionalFormatting>
  <conditionalFormatting sqref="J4869">
    <cfRule type="expression" dxfId="0" priority="1437">
      <formula>(#REF!&lt;&gt;"")*(#REF!&lt;&gt;"")</formula>
    </cfRule>
  </conditionalFormatting>
  <conditionalFormatting sqref="K4869">
    <cfRule type="expression" dxfId="0" priority="1439">
      <formula>(#REF!&lt;&gt;"")*(#REF!&lt;&gt;"")</formula>
    </cfRule>
  </conditionalFormatting>
  <conditionalFormatting sqref="O4869">
    <cfRule type="expression" dxfId="0" priority="1424">
      <formula>(#REF!&lt;&gt;"")*(#REF!&lt;&gt;"")</formula>
    </cfRule>
  </conditionalFormatting>
  <conditionalFormatting sqref="P4869">
    <cfRule type="expression" dxfId="1" priority="1423">
      <formula>(#REF!&lt;&gt;"")*(#REF!&lt;&gt;"")</formula>
    </cfRule>
  </conditionalFormatting>
  <conditionalFormatting sqref="R4869">
    <cfRule type="expression" dxfId="0" priority="1154">
      <formula>(#REF!&lt;&gt;"")*(#REF!&lt;&gt;"")</formula>
    </cfRule>
  </conditionalFormatting>
  <conditionalFormatting sqref="A4870">
    <cfRule type="expression" dxfId="0" priority="1436">
      <formula>(#REF!&lt;&gt;"")*(#REF!&lt;&gt;"")</formula>
    </cfRule>
  </conditionalFormatting>
  <conditionalFormatting sqref="E4870:G4870">
    <cfRule type="expression" dxfId="0" priority="1434">
      <formula>(#REF!&lt;&gt;"")*(#REF!&lt;&gt;"")</formula>
    </cfRule>
  </conditionalFormatting>
  <conditionalFormatting sqref="J4870">
    <cfRule type="expression" dxfId="0" priority="1433">
      <formula>(#REF!&lt;&gt;"")*(#REF!&lt;&gt;"")</formula>
    </cfRule>
  </conditionalFormatting>
  <conditionalFormatting sqref="K4870">
    <cfRule type="expression" dxfId="0" priority="1435">
      <formula>(#REF!&lt;&gt;"")*(#REF!&lt;&gt;"")</formula>
    </cfRule>
  </conditionalFormatting>
  <conditionalFormatting sqref="O4870">
    <cfRule type="expression" dxfId="0" priority="1420">
      <formula>(#REF!&lt;&gt;"")*(#REF!&lt;&gt;"")</formula>
    </cfRule>
  </conditionalFormatting>
  <conditionalFormatting sqref="P4870">
    <cfRule type="expression" dxfId="1" priority="1419">
      <formula>(#REF!&lt;&gt;"")*(#REF!&lt;&gt;"")</formula>
    </cfRule>
  </conditionalFormatting>
  <conditionalFormatting sqref="Q4870">
    <cfRule type="expression" dxfId="0" priority="1422">
      <formula>(#REF!&lt;&gt;"")*(#REF!&lt;&gt;"")</formula>
    </cfRule>
    <cfRule type="expression" dxfId="1" priority="1421">
      <formula>(#REF!&lt;&gt;"")*(#REF!&lt;&gt;"")</formula>
    </cfRule>
  </conditionalFormatting>
  <conditionalFormatting sqref="R4870">
    <cfRule type="expression" dxfId="0" priority="1153">
      <formula>(#REF!&lt;&gt;"")*(#REF!&lt;&gt;"")</formula>
    </cfRule>
  </conditionalFormatting>
  <conditionalFormatting sqref="A4871">
    <cfRule type="expression" dxfId="0" priority="1432">
      <formula>(#REF!&lt;&gt;"")*(#REF!&lt;&gt;"")</formula>
    </cfRule>
  </conditionalFormatting>
  <conditionalFormatting sqref="E4871:G4871">
    <cfRule type="expression" dxfId="0" priority="1430">
      <formula>(#REF!&lt;&gt;"")*(#REF!&lt;&gt;"")</formula>
    </cfRule>
  </conditionalFormatting>
  <conditionalFormatting sqref="J4871">
    <cfRule type="expression" dxfId="0" priority="1429">
      <formula>(#REF!&lt;&gt;"")*(#REF!&lt;&gt;"")</formula>
    </cfRule>
  </conditionalFormatting>
  <conditionalFormatting sqref="K4871">
    <cfRule type="expression" dxfId="0" priority="1431">
      <formula>(#REF!&lt;&gt;"")*(#REF!&lt;&gt;"")</formula>
    </cfRule>
  </conditionalFormatting>
  <conditionalFormatting sqref="N4871">
    <cfRule type="expression" dxfId="0" priority="1418">
      <formula>(#REF!&lt;&gt;"")*(#REF!&lt;&gt;"")</formula>
    </cfRule>
  </conditionalFormatting>
  <conditionalFormatting sqref="O4871">
    <cfRule type="expression" dxfId="0" priority="1415">
      <formula>(#REF!&lt;&gt;"")*(#REF!&lt;&gt;"")</formula>
    </cfRule>
  </conditionalFormatting>
  <conditionalFormatting sqref="P4871">
    <cfRule type="expression" dxfId="1" priority="1414">
      <formula>(#REF!&lt;&gt;"")*(#REF!&lt;&gt;"")</formula>
    </cfRule>
  </conditionalFormatting>
  <conditionalFormatting sqref="Q4871">
    <cfRule type="expression" dxfId="0" priority="1417">
      <formula>(#REF!&lt;&gt;"")*(#REF!&lt;&gt;"")</formula>
    </cfRule>
    <cfRule type="expression" dxfId="1" priority="1416">
      <formula>(#REF!&lt;&gt;"")*(#REF!&lt;&gt;"")</formula>
    </cfRule>
  </conditionalFormatting>
  <conditionalFormatting sqref="R4871">
    <cfRule type="expression" dxfId="0" priority="1152">
      <formula>(#REF!&lt;&gt;"")*(#REF!&lt;&gt;"")</formula>
    </cfRule>
  </conditionalFormatting>
  <conditionalFormatting sqref="A4872">
    <cfRule type="expression" dxfId="0" priority="1428">
      <formula>(#REF!&lt;&gt;"")*(#REF!&lt;&gt;"")</formula>
    </cfRule>
  </conditionalFormatting>
  <conditionalFormatting sqref="E4872:G4872">
    <cfRule type="expression" dxfId="0" priority="1426">
      <formula>(#REF!&lt;&gt;"")*(#REF!&lt;&gt;"")</formula>
    </cfRule>
  </conditionalFormatting>
  <conditionalFormatting sqref="J4872">
    <cfRule type="expression" dxfId="0" priority="1425">
      <formula>(#REF!&lt;&gt;"")*(#REF!&lt;&gt;"")</formula>
    </cfRule>
  </conditionalFormatting>
  <conditionalFormatting sqref="K4872">
    <cfRule type="expression" dxfId="0" priority="1427">
      <formula>(#REF!&lt;&gt;"")*(#REF!&lt;&gt;"")</formula>
    </cfRule>
  </conditionalFormatting>
  <conditionalFormatting sqref="N4872">
    <cfRule type="expression" dxfId="0" priority="1413">
      <formula>(#REF!&lt;&gt;"")*(#REF!&lt;&gt;"")</formula>
    </cfRule>
  </conditionalFormatting>
  <conditionalFormatting sqref="R4872">
    <cfRule type="expression" dxfId="0" priority="1151">
      <formula>(#REF!&lt;&gt;"")*(#REF!&lt;&gt;"")</formula>
    </cfRule>
  </conditionalFormatting>
  <conditionalFormatting sqref="A4873">
    <cfRule type="expression" dxfId="0" priority="1397">
      <formula>(#REF!&lt;&gt;"")*(#REF!&lt;&gt;"")</formula>
    </cfRule>
  </conditionalFormatting>
  <conditionalFormatting sqref="E4873:G4873">
    <cfRule type="expression" dxfId="0" priority="1395">
      <formula>(#REF!&lt;&gt;"")*(#REF!&lt;&gt;"")</formula>
    </cfRule>
  </conditionalFormatting>
  <conditionalFormatting sqref="J4873">
    <cfRule type="expression" dxfId="0" priority="1394">
      <formula>(#REF!&lt;&gt;"")*(#REF!&lt;&gt;"")</formula>
    </cfRule>
  </conditionalFormatting>
  <conditionalFormatting sqref="K4873">
    <cfRule type="expression" dxfId="0" priority="1396">
      <formula>(#REF!&lt;&gt;"")*(#REF!&lt;&gt;"")</formula>
    </cfRule>
  </conditionalFormatting>
  <conditionalFormatting sqref="L4873:M4873">
    <cfRule type="expression" dxfId="0" priority="1398">
      <formula>(#REF!&lt;&gt;"")*(#REF!&lt;&gt;"")</formula>
    </cfRule>
  </conditionalFormatting>
  <conditionalFormatting sqref="N4873">
    <cfRule type="expression" dxfId="0" priority="1393">
      <formula>(#REF!&lt;&gt;"")*(#REF!&lt;&gt;"")</formula>
    </cfRule>
  </conditionalFormatting>
  <conditionalFormatting sqref="A4874">
    <cfRule type="expression" dxfId="0" priority="1407">
      <formula>(#REF!&lt;&gt;"")*(#REF!&lt;&gt;"")</formula>
    </cfRule>
  </conditionalFormatting>
  <conditionalFormatting sqref="E4874:G4874">
    <cfRule type="expression" dxfId="0" priority="1405">
      <formula>(#REF!&lt;&gt;"")*(#REF!&lt;&gt;"")</formula>
    </cfRule>
  </conditionalFormatting>
  <conditionalFormatting sqref="J4874">
    <cfRule type="expression" dxfId="0" priority="1404">
      <formula>(#REF!&lt;&gt;"")*(#REF!&lt;&gt;"")</formula>
    </cfRule>
  </conditionalFormatting>
  <conditionalFormatting sqref="K4874">
    <cfRule type="expression" dxfId="0" priority="1406">
      <formula>(#REF!&lt;&gt;"")*(#REF!&lt;&gt;"")</formula>
    </cfRule>
  </conditionalFormatting>
  <conditionalFormatting sqref="L4874:M4874">
    <cfRule type="expression" dxfId="0" priority="1408">
      <formula>(#REF!&lt;&gt;"")*(#REF!&lt;&gt;"")</formula>
    </cfRule>
  </conditionalFormatting>
  <conditionalFormatting sqref="N4874">
    <cfRule type="expression" dxfId="0" priority="1403">
      <formula>(#REF!&lt;&gt;"")*(#REF!&lt;&gt;"")</formula>
    </cfRule>
  </conditionalFormatting>
  <conditionalFormatting sqref="O4874">
    <cfRule type="expression" dxfId="0" priority="1400">
      <formula>(#REF!&lt;&gt;"")*(#REF!&lt;&gt;"")</formula>
    </cfRule>
  </conditionalFormatting>
  <conditionalFormatting sqref="A4875">
    <cfRule type="expression" dxfId="0" priority="1391">
      <formula>(#REF!&lt;&gt;"")*(#REF!&lt;&gt;"")</formula>
    </cfRule>
  </conditionalFormatting>
  <conditionalFormatting sqref="E4875:G4875">
    <cfRule type="expression" dxfId="0" priority="1389">
      <formula>(#REF!&lt;&gt;"")*(#REF!&lt;&gt;"")</formula>
    </cfRule>
  </conditionalFormatting>
  <conditionalFormatting sqref="J4875">
    <cfRule type="expression" dxfId="0" priority="1388">
      <formula>(#REF!&lt;&gt;"")*(#REF!&lt;&gt;"")</formula>
    </cfRule>
  </conditionalFormatting>
  <conditionalFormatting sqref="K4875">
    <cfRule type="expression" dxfId="0" priority="1390">
      <formula>(#REF!&lt;&gt;"")*(#REF!&lt;&gt;"")</formula>
    </cfRule>
  </conditionalFormatting>
  <conditionalFormatting sqref="L4875:M4875">
    <cfRule type="expression" dxfId="0" priority="1392">
      <formula>(#REF!&lt;&gt;"")*(#REF!&lt;&gt;"")</formula>
    </cfRule>
  </conditionalFormatting>
  <conditionalFormatting sqref="N4875">
    <cfRule type="expression" dxfId="0" priority="1387">
      <formula>(#REF!&lt;&gt;"")*(#REF!&lt;&gt;"")</formula>
    </cfRule>
  </conditionalFormatting>
  <conditionalFormatting sqref="O4875">
    <cfRule type="expression" dxfId="0" priority="1386">
      <formula>(#REF!&lt;&gt;"")*(#REF!&lt;&gt;"")</formula>
    </cfRule>
  </conditionalFormatting>
  <conditionalFormatting sqref="A4876">
    <cfRule type="expression" dxfId="0" priority="1292">
      <formula>(#REF!&lt;&gt;"")*(#REF!&lt;&gt;"")</formula>
    </cfRule>
  </conditionalFormatting>
  <conditionalFormatting sqref="E4876:G4876">
    <cfRule type="expression" dxfId="0" priority="1290">
      <formula>(#REF!&lt;&gt;"")*(#REF!&lt;&gt;"")</formula>
    </cfRule>
  </conditionalFormatting>
  <conditionalFormatting sqref="J4876">
    <cfRule type="expression" dxfId="0" priority="1289">
      <formula>(#REF!&lt;&gt;"")*(#REF!&lt;&gt;"")</formula>
    </cfRule>
  </conditionalFormatting>
  <conditionalFormatting sqref="K4876">
    <cfRule type="expression" dxfId="0" priority="1291">
      <formula>(#REF!&lt;&gt;"")*(#REF!&lt;&gt;"")</formula>
    </cfRule>
  </conditionalFormatting>
  <conditionalFormatting sqref="L4876:M4876">
    <cfRule type="expression" dxfId="0" priority="1293">
      <formula>(#REF!&lt;&gt;"")*(#REF!&lt;&gt;"")</formula>
    </cfRule>
  </conditionalFormatting>
  <conditionalFormatting sqref="N4876">
    <cfRule type="expression" dxfId="0" priority="1288">
      <formula>(#REF!&lt;&gt;"")*(#REF!&lt;&gt;"")</formula>
    </cfRule>
  </conditionalFormatting>
  <conditionalFormatting sqref="O4876">
    <cfRule type="expression" dxfId="0" priority="1285">
      <formula>(#REF!&lt;&gt;"")*(#REF!&lt;&gt;"")</formula>
    </cfRule>
  </conditionalFormatting>
  <conditionalFormatting sqref="P4876">
    <cfRule type="expression" dxfId="1" priority="1284">
      <formula>(#REF!&lt;&gt;"")*(#REF!&lt;&gt;"")</formula>
    </cfRule>
  </conditionalFormatting>
  <conditionalFormatting sqref="Q4876">
    <cfRule type="expression" dxfId="0" priority="1287">
      <formula>(#REF!&lt;&gt;"")*(#REF!&lt;&gt;"")</formula>
    </cfRule>
    <cfRule type="expression" dxfId="1" priority="1286">
      <formula>(#REF!&lt;&gt;"")*(#REF!&lt;&gt;"")</formula>
    </cfRule>
  </conditionalFormatting>
  <conditionalFormatting sqref="A4877">
    <cfRule type="expression" dxfId="0" priority="1282">
      <formula>(#REF!&lt;&gt;"")*(#REF!&lt;&gt;"")</formula>
    </cfRule>
  </conditionalFormatting>
  <conditionalFormatting sqref="E4877:G4877">
    <cfRule type="expression" dxfId="0" priority="1280">
      <formula>(#REF!&lt;&gt;"")*(#REF!&lt;&gt;"")</formula>
    </cfRule>
  </conditionalFormatting>
  <conditionalFormatting sqref="J4877">
    <cfRule type="expression" dxfId="0" priority="1279">
      <formula>(#REF!&lt;&gt;"")*(#REF!&lt;&gt;"")</formula>
    </cfRule>
  </conditionalFormatting>
  <conditionalFormatting sqref="K4877">
    <cfRule type="expression" dxfId="0" priority="1281">
      <formula>(#REF!&lt;&gt;"")*(#REF!&lt;&gt;"")</formula>
    </cfRule>
  </conditionalFormatting>
  <conditionalFormatting sqref="L4877:M4877">
    <cfRule type="expression" dxfId="0" priority="1283">
      <formula>(#REF!&lt;&gt;"")*(#REF!&lt;&gt;"")</formula>
    </cfRule>
  </conditionalFormatting>
  <conditionalFormatting sqref="N4877">
    <cfRule type="expression" dxfId="0" priority="1278">
      <formula>(#REF!&lt;&gt;"")*(#REF!&lt;&gt;"")</formula>
    </cfRule>
  </conditionalFormatting>
  <conditionalFormatting sqref="O4877">
    <cfRule type="expression" dxfId="0" priority="1275">
      <formula>(#REF!&lt;&gt;"")*(#REF!&lt;&gt;"")</formula>
    </cfRule>
  </conditionalFormatting>
  <conditionalFormatting sqref="P4877">
    <cfRule type="expression" dxfId="1" priority="1274">
      <formula>(#REF!&lt;&gt;"")*(#REF!&lt;&gt;"")</formula>
    </cfRule>
  </conditionalFormatting>
  <conditionalFormatting sqref="Q4877">
    <cfRule type="expression" dxfId="0" priority="1277">
      <formula>(#REF!&lt;&gt;"")*(#REF!&lt;&gt;"")</formula>
    </cfRule>
    <cfRule type="expression" dxfId="1" priority="1276">
      <formula>(#REF!&lt;&gt;"")*(#REF!&lt;&gt;"")</formula>
    </cfRule>
  </conditionalFormatting>
  <conditionalFormatting sqref="A4878">
    <cfRule type="expression" dxfId="0" priority="1272">
      <formula>(#REF!&lt;&gt;"")*(#REF!&lt;&gt;"")</formula>
    </cfRule>
  </conditionalFormatting>
  <conditionalFormatting sqref="E4878:G4878">
    <cfRule type="expression" dxfId="0" priority="1270">
      <formula>(#REF!&lt;&gt;"")*(#REF!&lt;&gt;"")</formula>
    </cfRule>
  </conditionalFormatting>
  <conditionalFormatting sqref="J4878">
    <cfRule type="expression" dxfId="0" priority="1269">
      <formula>(#REF!&lt;&gt;"")*(#REF!&lt;&gt;"")</formula>
    </cfRule>
  </conditionalFormatting>
  <conditionalFormatting sqref="K4878">
    <cfRule type="expression" dxfId="0" priority="1271">
      <formula>(#REF!&lt;&gt;"")*(#REF!&lt;&gt;"")</formula>
    </cfRule>
  </conditionalFormatting>
  <conditionalFormatting sqref="L4878:M4878">
    <cfRule type="expression" dxfId="0" priority="1273">
      <formula>(#REF!&lt;&gt;"")*(#REF!&lt;&gt;"")</formula>
    </cfRule>
  </conditionalFormatting>
  <conditionalFormatting sqref="N4878">
    <cfRule type="expression" dxfId="0" priority="1268">
      <formula>(#REF!&lt;&gt;"")*(#REF!&lt;&gt;"")</formula>
    </cfRule>
  </conditionalFormatting>
  <conditionalFormatting sqref="O4878">
    <cfRule type="expression" dxfId="0" priority="1267">
      <formula>(#REF!&lt;&gt;"")*(#REF!&lt;&gt;"")</formula>
    </cfRule>
  </conditionalFormatting>
  <conditionalFormatting sqref="P4878">
    <cfRule type="expression" dxfId="1" priority="1266">
      <formula>(#REF!&lt;&gt;"")*(#REF!&lt;&gt;"")</formula>
    </cfRule>
  </conditionalFormatting>
  <conditionalFormatting sqref="Q4878">
    <cfRule type="expression" dxfId="0" priority="1093">
      <formula>(#REF!&lt;&gt;"")*(#REF!&lt;&gt;"")</formula>
    </cfRule>
    <cfRule type="expression" dxfId="1" priority="1092">
      <formula>(#REF!&lt;&gt;"")*(#REF!&lt;&gt;"")</formula>
    </cfRule>
  </conditionalFormatting>
  <conditionalFormatting sqref="A4879">
    <cfRule type="expression" dxfId="0" priority="1264">
      <formula>(#REF!&lt;&gt;"")*(#REF!&lt;&gt;"")</formula>
    </cfRule>
  </conditionalFormatting>
  <conditionalFormatting sqref="E4879:G4879">
    <cfRule type="expression" dxfId="0" priority="1262">
      <formula>(#REF!&lt;&gt;"")*(#REF!&lt;&gt;"")</formula>
    </cfRule>
  </conditionalFormatting>
  <conditionalFormatting sqref="J4879">
    <cfRule type="expression" dxfId="0" priority="1261">
      <formula>(#REF!&lt;&gt;"")*(#REF!&lt;&gt;"")</formula>
    </cfRule>
  </conditionalFormatting>
  <conditionalFormatting sqref="K4879">
    <cfRule type="expression" dxfId="0" priority="1263">
      <formula>(#REF!&lt;&gt;"")*(#REF!&lt;&gt;"")</formula>
    </cfRule>
  </conditionalFormatting>
  <conditionalFormatting sqref="L4879:M4879">
    <cfRule type="expression" dxfId="0" priority="1265">
      <formula>(#REF!&lt;&gt;"")*(#REF!&lt;&gt;"")</formula>
    </cfRule>
  </conditionalFormatting>
  <conditionalFormatting sqref="N4879">
    <cfRule type="expression" dxfId="0" priority="1260">
      <formula>(#REF!&lt;&gt;"")*(#REF!&lt;&gt;"")</formula>
    </cfRule>
  </conditionalFormatting>
  <conditionalFormatting sqref="O4879">
    <cfRule type="expression" dxfId="0" priority="1259">
      <formula>(#REF!&lt;&gt;"")*(#REF!&lt;&gt;"")</formula>
    </cfRule>
  </conditionalFormatting>
  <conditionalFormatting sqref="P4879">
    <cfRule type="expression" dxfId="1" priority="1258">
      <formula>(#REF!&lt;&gt;"")*(#REF!&lt;&gt;"")</formula>
    </cfRule>
  </conditionalFormatting>
  <conditionalFormatting sqref="Q4879">
    <cfRule type="expression" dxfId="0" priority="1091">
      <formula>(#REF!&lt;&gt;"")*(#REF!&lt;&gt;"")</formula>
    </cfRule>
    <cfRule type="expression" dxfId="1" priority="1090">
      <formula>(#REF!&lt;&gt;"")*(#REF!&lt;&gt;"")</formula>
    </cfRule>
  </conditionalFormatting>
  <conditionalFormatting sqref="A4880">
    <cfRule type="expression" dxfId="0" priority="1256">
      <formula>(#REF!&lt;&gt;"")*(#REF!&lt;&gt;"")</formula>
    </cfRule>
  </conditionalFormatting>
  <conditionalFormatting sqref="E4880:G4880">
    <cfRule type="expression" dxfId="0" priority="1254">
      <formula>(#REF!&lt;&gt;"")*(#REF!&lt;&gt;"")</formula>
    </cfRule>
  </conditionalFormatting>
  <conditionalFormatting sqref="J4880">
    <cfRule type="expression" dxfId="0" priority="1253">
      <formula>(#REF!&lt;&gt;"")*(#REF!&lt;&gt;"")</formula>
    </cfRule>
  </conditionalFormatting>
  <conditionalFormatting sqref="K4880">
    <cfRule type="expression" dxfId="0" priority="1255">
      <formula>(#REF!&lt;&gt;"")*(#REF!&lt;&gt;"")</formula>
    </cfRule>
  </conditionalFormatting>
  <conditionalFormatting sqref="L4880:M4880">
    <cfRule type="expression" dxfId="0" priority="1257">
      <formula>(#REF!&lt;&gt;"")*(#REF!&lt;&gt;"")</formula>
    </cfRule>
  </conditionalFormatting>
  <conditionalFormatting sqref="N4880">
    <cfRule type="expression" dxfId="0" priority="1252">
      <formula>(#REF!&lt;&gt;"")*(#REF!&lt;&gt;"")</formula>
    </cfRule>
  </conditionalFormatting>
  <conditionalFormatting sqref="O4880">
    <cfRule type="expression" dxfId="0" priority="1249">
      <formula>(#REF!&lt;&gt;"")*(#REF!&lt;&gt;"")</formula>
    </cfRule>
  </conditionalFormatting>
  <conditionalFormatting sqref="P4880">
    <cfRule type="expression" dxfId="1" priority="1248">
      <formula>(#REF!&lt;&gt;"")*(#REF!&lt;&gt;"")</formula>
    </cfRule>
  </conditionalFormatting>
  <conditionalFormatting sqref="Q4880">
    <cfRule type="expression" dxfId="0" priority="1251">
      <formula>(#REF!&lt;&gt;"")*(#REF!&lt;&gt;"")</formula>
    </cfRule>
    <cfRule type="expression" dxfId="1" priority="1250">
      <formula>(#REF!&lt;&gt;"")*(#REF!&lt;&gt;"")</formula>
    </cfRule>
  </conditionalFormatting>
  <conditionalFormatting sqref="A4881">
    <cfRule type="expression" dxfId="0" priority="1246">
      <formula>(#REF!&lt;&gt;"")*(#REF!&lt;&gt;"")</formula>
    </cfRule>
  </conditionalFormatting>
  <conditionalFormatting sqref="E4881:G4881">
    <cfRule type="expression" dxfId="0" priority="1244">
      <formula>(#REF!&lt;&gt;"")*(#REF!&lt;&gt;"")</formula>
    </cfRule>
  </conditionalFormatting>
  <conditionalFormatting sqref="J4881">
    <cfRule type="expression" dxfId="0" priority="1243">
      <formula>(#REF!&lt;&gt;"")*(#REF!&lt;&gt;"")</formula>
    </cfRule>
  </conditionalFormatting>
  <conditionalFormatting sqref="K4881">
    <cfRule type="expression" dxfId="0" priority="1245">
      <formula>(#REF!&lt;&gt;"")*(#REF!&lt;&gt;"")</formula>
    </cfRule>
  </conditionalFormatting>
  <conditionalFormatting sqref="L4881:M4881">
    <cfRule type="expression" dxfId="0" priority="1247">
      <formula>(#REF!&lt;&gt;"")*(#REF!&lt;&gt;"")</formula>
    </cfRule>
  </conditionalFormatting>
  <conditionalFormatting sqref="N4881">
    <cfRule type="expression" dxfId="0" priority="1242">
      <formula>(#REF!&lt;&gt;"")*(#REF!&lt;&gt;"")</formula>
    </cfRule>
  </conditionalFormatting>
  <conditionalFormatting sqref="O4881">
    <cfRule type="expression" dxfId="0" priority="1239">
      <formula>(#REF!&lt;&gt;"")*(#REF!&lt;&gt;"")</formula>
    </cfRule>
  </conditionalFormatting>
  <conditionalFormatting sqref="P4881">
    <cfRule type="expression" dxfId="1" priority="1238">
      <formula>(#REF!&lt;&gt;"")*(#REF!&lt;&gt;"")</formula>
    </cfRule>
  </conditionalFormatting>
  <conditionalFormatting sqref="Q4881">
    <cfRule type="expression" dxfId="0" priority="1241">
      <formula>(#REF!&lt;&gt;"")*(#REF!&lt;&gt;"")</formula>
    </cfRule>
    <cfRule type="expression" dxfId="1" priority="1240">
      <formula>(#REF!&lt;&gt;"")*(#REF!&lt;&gt;"")</formula>
    </cfRule>
  </conditionalFormatting>
  <conditionalFormatting sqref="A4882">
    <cfRule type="expression" dxfId="0" priority="1236">
      <formula>(#REF!&lt;&gt;"")*(#REF!&lt;&gt;"")</formula>
    </cfRule>
  </conditionalFormatting>
  <conditionalFormatting sqref="E4882:G4882">
    <cfRule type="expression" dxfId="0" priority="1234">
      <formula>(#REF!&lt;&gt;"")*(#REF!&lt;&gt;"")</formula>
    </cfRule>
  </conditionalFormatting>
  <conditionalFormatting sqref="J4882">
    <cfRule type="expression" dxfId="0" priority="1233">
      <formula>(#REF!&lt;&gt;"")*(#REF!&lt;&gt;"")</formula>
    </cfRule>
  </conditionalFormatting>
  <conditionalFormatting sqref="K4882">
    <cfRule type="expression" dxfId="0" priority="1235">
      <formula>(#REF!&lt;&gt;"")*(#REF!&lt;&gt;"")</formula>
    </cfRule>
  </conditionalFormatting>
  <conditionalFormatting sqref="L4882:M4882">
    <cfRule type="expression" dxfId="0" priority="1237">
      <formula>(#REF!&lt;&gt;"")*(#REF!&lt;&gt;"")</formula>
    </cfRule>
  </conditionalFormatting>
  <conditionalFormatting sqref="N4882">
    <cfRule type="expression" dxfId="0" priority="1232">
      <formula>(#REF!&lt;&gt;"")*(#REF!&lt;&gt;"")</formula>
    </cfRule>
  </conditionalFormatting>
  <conditionalFormatting sqref="O4882">
    <cfRule type="expression" dxfId="0" priority="1229">
      <formula>(#REF!&lt;&gt;"")*(#REF!&lt;&gt;"")</formula>
    </cfRule>
  </conditionalFormatting>
  <conditionalFormatting sqref="P4882">
    <cfRule type="expression" dxfId="1" priority="1228">
      <formula>(#REF!&lt;&gt;"")*(#REF!&lt;&gt;"")</formula>
    </cfRule>
  </conditionalFormatting>
  <conditionalFormatting sqref="Q4882">
    <cfRule type="expression" dxfId="0" priority="1231">
      <formula>(#REF!&lt;&gt;"")*(#REF!&lt;&gt;"")</formula>
    </cfRule>
    <cfRule type="expression" dxfId="1" priority="1230">
      <formula>(#REF!&lt;&gt;"")*(#REF!&lt;&gt;"")</formula>
    </cfRule>
  </conditionalFormatting>
  <conditionalFormatting sqref="A4883">
    <cfRule type="expression" dxfId="0" priority="1226">
      <formula>(#REF!&lt;&gt;"")*(#REF!&lt;&gt;"")</formula>
    </cfRule>
  </conditionalFormatting>
  <conditionalFormatting sqref="E4883:G4883">
    <cfRule type="expression" dxfId="0" priority="1224">
      <formula>(#REF!&lt;&gt;"")*(#REF!&lt;&gt;"")</formula>
    </cfRule>
  </conditionalFormatting>
  <conditionalFormatting sqref="J4883">
    <cfRule type="expression" dxfId="0" priority="1223">
      <formula>(#REF!&lt;&gt;"")*(#REF!&lt;&gt;"")</formula>
    </cfRule>
  </conditionalFormatting>
  <conditionalFormatting sqref="K4883">
    <cfRule type="expression" dxfId="0" priority="1225">
      <formula>(#REF!&lt;&gt;"")*(#REF!&lt;&gt;"")</formula>
    </cfRule>
  </conditionalFormatting>
  <conditionalFormatting sqref="L4883:M4883">
    <cfRule type="expression" dxfId="0" priority="1227">
      <formula>(#REF!&lt;&gt;"")*(#REF!&lt;&gt;"")</formula>
    </cfRule>
  </conditionalFormatting>
  <conditionalFormatting sqref="N4883">
    <cfRule type="expression" dxfId="0" priority="1222">
      <formula>(#REF!&lt;&gt;"")*(#REF!&lt;&gt;"")</formula>
    </cfRule>
  </conditionalFormatting>
  <conditionalFormatting sqref="O4883">
    <cfRule type="expression" dxfId="0" priority="1219">
      <formula>(#REF!&lt;&gt;"")*(#REF!&lt;&gt;"")</formula>
    </cfRule>
  </conditionalFormatting>
  <conditionalFormatting sqref="P4883">
    <cfRule type="expression" dxfId="1" priority="1218">
      <formula>(#REF!&lt;&gt;"")*(#REF!&lt;&gt;"")</formula>
    </cfRule>
  </conditionalFormatting>
  <conditionalFormatting sqref="Q4883">
    <cfRule type="expression" dxfId="0" priority="1221">
      <formula>(#REF!&lt;&gt;"")*(#REF!&lt;&gt;"")</formula>
    </cfRule>
    <cfRule type="expression" dxfId="1" priority="1220">
      <formula>(#REF!&lt;&gt;"")*(#REF!&lt;&gt;"")</formula>
    </cfRule>
  </conditionalFormatting>
  <conditionalFormatting sqref="A4884">
    <cfRule type="expression" dxfId="0" priority="1216">
      <formula>(#REF!&lt;&gt;"")*(#REF!&lt;&gt;"")</formula>
    </cfRule>
  </conditionalFormatting>
  <conditionalFormatting sqref="E4884:G4884">
    <cfRule type="expression" dxfId="0" priority="1214">
      <formula>(#REF!&lt;&gt;"")*(#REF!&lt;&gt;"")</formula>
    </cfRule>
  </conditionalFormatting>
  <conditionalFormatting sqref="J4884">
    <cfRule type="expression" dxfId="0" priority="1213">
      <formula>(#REF!&lt;&gt;"")*(#REF!&lt;&gt;"")</formula>
    </cfRule>
  </conditionalFormatting>
  <conditionalFormatting sqref="K4884">
    <cfRule type="expression" dxfId="0" priority="1215">
      <formula>(#REF!&lt;&gt;"")*(#REF!&lt;&gt;"")</formula>
    </cfRule>
  </conditionalFormatting>
  <conditionalFormatting sqref="L4884:M4884">
    <cfRule type="expression" dxfId="0" priority="1217">
      <formula>(#REF!&lt;&gt;"")*(#REF!&lt;&gt;"")</formula>
    </cfRule>
  </conditionalFormatting>
  <conditionalFormatting sqref="N4884">
    <cfRule type="expression" dxfId="0" priority="1212">
      <formula>(#REF!&lt;&gt;"")*(#REF!&lt;&gt;"")</formula>
    </cfRule>
  </conditionalFormatting>
  <conditionalFormatting sqref="O4884">
    <cfRule type="expression" dxfId="0" priority="1209">
      <formula>(#REF!&lt;&gt;"")*(#REF!&lt;&gt;"")</formula>
    </cfRule>
  </conditionalFormatting>
  <conditionalFormatting sqref="P4884">
    <cfRule type="expression" dxfId="1" priority="1208">
      <formula>(#REF!&lt;&gt;"")*(#REF!&lt;&gt;"")</formula>
    </cfRule>
  </conditionalFormatting>
  <conditionalFormatting sqref="Q4884">
    <cfRule type="expression" dxfId="0" priority="1211">
      <formula>(#REF!&lt;&gt;"")*(#REF!&lt;&gt;"")</formula>
    </cfRule>
    <cfRule type="expression" dxfId="1" priority="1210">
      <formula>(#REF!&lt;&gt;"")*(#REF!&lt;&gt;"")</formula>
    </cfRule>
  </conditionalFormatting>
  <conditionalFormatting sqref="A4885">
    <cfRule type="expression" dxfId="0" priority="1206">
      <formula>(#REF!&lt;&gt;"")*(#REF!&lt;&gt;"")</formula>
    </cfRule>
  </conditionalFormatting>
  <conditionalFormatting sqref="E4885:G4885">
    <cfRule type="expression" dxfId="0" priority="1204">
      <formula>(#REF!&lt;&gt;"")*(#REF!&lt;&gt;"")</formula>
    </cfRule>
  </conditionalFormatting>
  <conditionalFormatting sqref="J4885">
    <cfRule type="expression" dxfId="0" priority="1203">
      <formula>(#REF!&lt;&gt;"")*(#REF!&lt;&gt;"")</formula>
    </cfRule>
  </conditionalFormatting>
  <conditionalFormatting sqref="K4885">
    <cfRule type="expression" dxfId="0" priority="1205">
      <formula>(#REF!&lt;&gt;"")*(#REF!&lt;&gt;"")</formula>
    </cfRule>
  </conditionalFormatting>
  <conditionalFormatting sqref="L4885:M4885">
    <cfRule type="expression" dxfId="0" priority="1207">
      <formula>(#REF!&lt;&gt;"")*(#REF!&lt;&gt;"")</formula>
    </cfRule>
  </conditionalFormatting>
  <conditionalFormatting sqref="A4886">
    <cfRule type="expression" dxfId="0" priority="1087">
      <formula>(#REF!&lt;&gt;"")*(#REF!&lt;&gt;"")</formula>
    </cfRule>
  </conditionalFormatting>
  <conditionalFormatting sqref="E4886:G4886">
    <cfRule type="expression" dxfId="0" priority="1086">
      <formula>(#REF!&lt;&gt;"")*(#REF!&lt;&gt;"")</formula>
    </cfRule>
  </conditionalFormatting>
  <conditionalFormatting sqref="J4886">
    <cfRule type="expression" dxfId="0" priority="1085">
      <formula>(#REF!&lt;&gt;"")*(#REF!&lt;&gt;"")</formula>
    </cfRule>
  </conditionalFormatting>
  <conditionalFormatting sqref="K4886">
    <cfRule type="expression" dxfId="0" priority="1080">
      <formula>(#REF!&lt;&gt;"")*(#REF!&lt;&gt;"")</formula>
    </cfRule>
  </conditionalFormatting>
  <conditionalFormatting sqref="L4886:M4886">
    <cfRule type="expression" dxfId="0" priority="1081">
      <formula>(#REF!&lt;&gt;"")*(#REF!&lt;&gt;"")</formula>
    </cfRule>
  </conditionalFormatting>
  <conditionalFormatting sqref="A4887">
    <cfRule type="expression" dxfId="0" priority="1084">
      <formula>(#REF!&lt;&gt;"")*(#REF!&lt;&gt;"")</formula>
    </cfRule>
  </conditionalFormatting>
  <conditionalFormatting sqref="E4887:G4887">
    <cfRule type="expression" dxfId="0" priority="1083">
      <formula>(#REF!&lt;&gt;"")*(#REF!&lt;&gt;"")</formula>
    </cfRule>
  </conditionalFormatting>
  <conditionalFormatting sqref="H4887">
    <cfRule type="expression" dxfId="0" priority="1077">
      <formula>(#REF!&lt;&gt;"")*(#REF!&lt;&gt;"")</formula>
    </cfRule>
  </conditionalFormatting>
  <conditionalFormatting sqref="J4887">
    <cfRule type="expression" dxfId="0" priority="1082">
      <formula>(#REF!&lt;&gt;"")*(#REF!&lt;&gt;"")</formula>
    </cfRule>
  </conditionalFormatting>
  <conditionalFormatting sqref="K4887">
    <cfRule type="expression" dxfId="0" priority="1078">
      <formula>(#REF!&lt;&gt;"")*(#REF!&lt;&gt;"")</formula>
    </cfRule>
  </conditionalFormatting>
  <conditionalFormatting sqref="L4887:M4887">
    <cfRule type="expression" dxfId="0" priority="1079">
      <formula>(#REF!&lt;&gt;"")*(#REF!&lt;&gt;"")</formula>
    </cfRule>
  </conditionalFormatting>
  <conditionalFormatting sqref="A4888">
    <cfRule type="expression" dxfId="0" priority="1062">
      <formula>(#REF!&lt;&gt;"")*(#REF!&lt;&gt;"")</formula>
    </cfRule>
  </conditionalFormatting>
  <conditionalFormatting sqref="E4888:G4888">
    <cfRule type="expression" dxfId="0" priority="1061">
      <formula>(#REF!&lt;&gt;"")*(#REF!&lt;&gt;"")</formula>
    </cfRule>
  </conditionalFormatting>
  <conditionalFormatting sqref="H4888">
    <cfRule type="expression" dxfId="0" priority="1057">
      <formula>(#REF!&lt;&gt;"")*(#REF!&lt;&gt;"")</formula>
    </cfRule>
  </conditionalFormatting>
  <conditionalFormatting sqref="J4888">
    <cfRule type="expression" dxfId="0" priority="1060">
      <formula>(#REF!&lt;&gt;"")*(#REF!&lt;&gt;"")</formula>
    </cfRule>
  </conditionalFormatting>
  <conditionalFormatting sqref="K4888">
    <cfRule type="expression" dxfId="0" priority="1058">
      <formula>(#REF!&lt;&gt;"")*(#REF!&lt;&gt;"")</formula>
    </cfRule>
  </conditionalFormatting>
  <conditionalFormatting sqref="L4888:M4888">
    <cfRule type="expression" dxfId="0" priority="1059">
      <formula>(#REF!&lt;&gt;"")*(#REF!&lt;&gt;"")</formula>
    </cfRule>
  </conditionalFormatting>
  <conditionalFormatting sqref="N4888">
    <cfRule type="expression" dxfId="0" priority="1067">
      <formula>(#REF!&lt;&gt;"")*(#REF!&lt;&gt;"")</formula>
    </cfRule>
  </conditionalFormatting>
  <conditionalFormatting sqref="O4888">
    <cfRule type="expression" dxfId="0" priority="1064">
      <formula>(#REF!&lt;&gt;"")*(#REF!&lt;&gt;"")</formula>
    </cfRule>
  </conditionalFormatting>
  <conditionalFormatting sqref="P4888">
    <cfRule type="expression" dxfId="1" priority="1063">
      <formula>(#REF!&lt;&gt;"")*(#REF!&lt;&gt;"")</formula>
    </cfRule>
  </conditionalFormatting>
  <conditionalFormatting sqref="Q4888">
    <cfRule type="expression" dxfId="0" priority="1066">
      <formula>(#REF!&lt;&gt;"")*(#REF!&lt;&gt;"")</formula>
    </cfRule>
    <cfRule type="expression" dxfId="1" priority="1065">
      <formula>(#REF!&lt;&gt;"")*(#REF!&lt;&gt;"")</formula>
    </cfRule>
  </conditionalFormatting>
  <conditionalFormatting sqref="A4889">
    <cfRule type="expression" dxfId="0" priority="1051">
      <formula>(#REF!&lt;&gt;"")*(#REF!&lt;&gt;"")</formula>
    </cfRule>
  </conditionalFormatting>
  <conditionalFormatting sqref="E4889:G4889">
    <cfRule type="expression" dxfId="0" priority="1050">
      <formula>(#REF!&lt;&gt;"")*(#REF!&lt;&gt;"")</formula>
    </cfRule>
  </conditionalFormatting>
  <conditionalFormatting sqref="H4889">
    <cfRule type="expression" dxfId="0" priority="1046">
      <formula>(#REF!&lt;&gt;"")*(#REF!&lt;&gt;"")</formula>
    </cfRule>
  </conditionalFormatting>
  <conditionalFormatting sqref="J4889">
    <cfRule type="expression" dxfId="0" priority="1049">
      <formula>(#REF!&lt;&gt;"")*(#REF!&lt;&gt;"")</formula>
    </cfRule>
  </conditionalFormatting>
  <conditionalFormatting sqref="K4889">
    <cfRule type="expression" dxfId="0" priority="1047">
      <formula>(#REF!&lt;&gt;"")*(#REF!&lt;&gt;"")</formula>
    </cfRule>
  </conditionalFormatting>
  <conditionalFormatting sqref="L4889:M4889">
    <cfRule type="expression" dxfId="0" priority="1048">
      <formula>(#REF!&lt;&gt;"")*(#REF!&lt;&gt;"")</formula>
    </cfRule>
  </conditionalFormatting>
  <conditionalFormatting sqref="N4889">
    <cfRule type="expression" dxfId="0" priority="1056">
      <formula>(#REF!&lt;&gt;"")*(#REF!&lt;&gt;"")</formula>
    </cfRule>
  </conditionalFormatting>
  <conditionalFormatting sqref="O4889">
    <cfRule type="expression" dxfId="0" priority="1053">
      <formula>(#REF!&lt;&gt;"")*(#REF!&lt;&gt;"")</formula>
    </cfRule>
  </conditionalFormatting>
  <conditionalFormatting sqref="P4889">
    <cfRule type="expression" dxfId="1" priority="1052">
      <formula>(#REF!&lt;&gt;"")*(#REF!&lt;&gt;"")</formula>
    </cfRule>
  </conditionalFormatting>
  <conditionalFormatting sqref="Q4889">
    <cfRule type="expression" dxfId="0" priority="1055">
      <formula>(#REF!&lt;&gt;"")*(#REF!&lt;&gt;"")</formula>
    </cfRule>
    <cfRule type="expression" dxfId="1" priority="1054">
      <formula>(#REF!&lt;&gt;"")*(#REF!&lt;&gt;"")</formula>
    </cfRule>
  </conditionalFormatting>
  <conditionalFormatting sqref="A4890">
    <cfRule type="expression" dxfId="0" priority="1040">
      <formula>(#REF!&lt;&gt;"")*(#REF!&lt;&gt;"")</formula>
    </cfRule>
  </conditionalFormatting>
  <conditionalFormatting sqref="E4890:G4890">
    <cfRule type="expression" dxfId="0" priority="1039">
      <formula>(#REF!&lt;&gt;"")*(#REF!&lt;&gt;"")</formula>
    </cfRule>
  </conditionalFormatting>
  <conditionalFormatting sqref="H4890">
    <cfRule type="expression" dxfId="0" priority="1035">
      <formula>(#REF!&lt;&gt;"")*(#REF!&lt;&gt;"")</formula>
    </cfRule>
  </conditionalFormatting>
  <conditionalFormatting sqref="J4890">
    <cfRule type="expression" dxfId="0" priority="1038">
      <formula>(#REF!&lt;&gt;"")*(#REF!&lt;&gt;"")</formula>
    </cfRule>
  </conditionalFormatting>
  <conditionalFormatting sqref="K4890">
    <cfRule type="expression" dxfId="0" priority="1036">
      <formula>(#REF!&lt;&gt;"")*(#REF!&lt;&gt;"")</formula>
    </cfRule>
  </conditionalFormatting>
  <conditionalFormatting sqref="L4890:M4890">
    <cfRule type="expression" dxfId="0" priority="1037">
      <formula>(#REF!&lt;&gt;"")*(#REF!&lt;&gt;"")</formula>
    </cfRule>
  </conditionalFormatting>
  <conditionalFormatting sqref="N4890">
    <cfRule type="expression" dxfId="0" priority="1045">
      <formula>(#REF!&lt;&gt;"")*(#REF!&lt;&gt;"")</formula>
    </cfRule>
  </conditionalFormatting>
  <conditionalFormatting sqref="O4890">
    <cfRule type="expression" dxfId="0" priority="1042">
      <formula>(#REF!&lt;&gt;"")*(#REF!&lt;&gt;"")</formula>
    </cfRule>
  </conditionalFormatting>
  <conditionalFormatting sqref="P4890">
    <cfRule type="expression" dxfId="1" priority="1041">
      <formula>(#REF!&lt;&gt;"")*(#REF!&lt;&gt;"")</formula>
    </cfRule>
  </conditionalFormatting>
  <conditionalFormatting sqref="Q4890">
    <cfRule type="expression" dxfId="0" priority="1044">
      <formula>(#REF!&lt;&gt;"")*(#REF!&lt;&gt;"")</formula>
    </cfRule>
    <cfRule type="expression" dxfId="1" priority="1043">
      <formula>(#REF!&lt;&gt;"")*(#REF!&lt;&gt;"")</formula>
    </cfRule>
  </conditionalFormatting>
  <conditionalFormatting sqref="A4891">
    <cfRule type="expression" dxfId="0" priority="1029">
      <formula>(#REF!&lt;&gt;"")*(#REF!&lt;&gt;"")</formula>
    </cfRule>
  </conditionalFormatting>
  <conditionalFormatting sqref="E4891:G4891">
    <cfRule type="expression" dxfId="0" priority="1028">
      <formula>(#REF!&lt;&gt;"")*(#REF!&lt;&gt;"")</formula>
    </cfRule>
  </conditionalFormatting>
  <conditionalFormatting sqref="H4891">
    <cfRule type="expression" dxfId="0" priority="1024">
      <formula>(#REF!&lt;&gt;"")*(#REF!&lt;&gt;"")</formula>
    </cfRule>
  </conditionalFormatting>
  <conditionalFormatting sqref="J4891">
    <cfRule type="expression" dxfId="0" priority="1027">
      <formula>(#REF!&lt;&gt;"")*(#REF!&lt;&gt;"")</formula>
    </cfRule>
  </conditionalFormatting>
  <conditionalFormatting sqref="K4891">
    <cfRule type="expression" dxfId="0" priority="1025">
      <formula>(#REF!&lt;&gt;"")*(#REF!&lt;&gt;"")</formula>
    </cfRule>
  </conditionalFormatting>
  <conditionalFormatting sqref="L4891:M4891">
    <cfRule type="expression" dxfId="0" priority="1026">
      <formula>(#REF!&lt;&gt;"")*(#REF!&lt;&gt;"")</formula>
    </cfRule>
  </conditionalFormatting>
  <conditionalFormatting sqref="N4891">
    <cfRule type="expression" dxfId="0" priority="1034">
      <formula>(#REF!&lt;&gt;"")*(#REF!&lt;&gt;"")</formula>
    </cfRule>
  </conditionalFormatting>
  <conditionalFormatting sqref="O4891">
    <cfRule type="expression" dxfId="0" priority="1031">
      <formula>(#REF!&lt;&gt;"")*(#REF!&lt;&gt;"")</formula>
    </cfRule>
  </conditionalFormatting>
  <conditionalFormatting sqref="P4891">
    <cfRule type="expression" dxfId="1" priority="1030">
      <formula>(#REF!&lt;&gt;"")*(#REF!&lt;&gt;"")</formula>
    </cfRule>
  </conditionalFormatting>
  <conditionalFormatting sqref="Q4891">
    <cfRule type="expression" dxfId="0" priority="1033">
      <formula>(#REF!&lt;&gt;"")*(#REF!&lt;&gt;"")</formula>
    </cfRule>
    <cfRule type="expression" dxfId="1" priority="1032">
      <formula>(#REF!&lt;&gt;"")*(#REF!&lt;&gt;"")</formula>
    </cfRule>
  </conditionalFormatting>
  <conditionalFormatting sqref="A4892">
    <cfRule type="expression" dxfId="0" priority="987">
      <formula>(#REF!&lt;&gt;"")*(#REF!&lt;&gt;"")</formula>
    </cfRule>
  </conditionalFormatting>
  <conditionalFormatting sqref="E4892:G4892">
    <cfRule type="expression" dxfId="0" priority="986">
      <formula>(#REF!&lt;&gt;"")*(#REF!&lt;&gt;"")</formula>
    </cfRule>
  </conditionalFormatting>
  <conditionalFormatting sqref="H4892">
    <cfRule type="expression" dxfId="0" priority="982">
      <formula>(#REF!&lt;&gt;"")*(#REF!&lt;&gt;"")</formula>
    </cfRule>
  </conditionalFormatting>
  <conditionalFormatting sqref="J4892">
    <cfRule type="expression" dxfId="0" priority="985">
      <formula>(#REF!&lt;&gt;"")*(#REF!&lt;&gt;"")</formula>
    </cfRule>
  </conditionalFormatting>
  <conditionalFormatting sqref="K4892">
    <cfRule type="expression" dxfId="0" priority="983">
      <formula>(#REF!&lt;&gt;"")*(#REF!&lt;&gt;"")</formula>
    </cfRule>
  </conditionalFormatting>
  <conditionalFormatting sqref="L4892:M4892">
    <cfRule type="expression" dxfId="0" priority="984">
      <formula>(#REF!&lt;&gt;"")*(#REF!&lt;&gt;"")</formula>
    </cfRule>
  </conditionalFormatting>
  <conditionalFormatting sqref="N4892">
    <cfRule type="expression" dxfId="0" priority="992">
      <formula>(#REF!&lt;&gt;"")*(#REF!&lt;&gt;"")</formula>
    </cfRule>
  </conditionalFormatting>
  <conditionalFormatting sqref="O4892">
    <cfRule type="expression" dxfId="0" priority="989">
      <formula>(#REF!&lt;&gt;"")*(#REF!&lt;&gt;"")</formula>
    </cfRule>
  </conditionalFormatting>
  <conditionalFormatting sqref="P4892">
    <cfRule type="expression" dxfId="1" priority="988">
      <formula>(#REF!&lt;&gt;"")*(#REF!&lt;&gt;"")</formula>
    </cfRule>
  </conditionalFormatting>
  <conditionalFormatting sqref="Q4892">
    <cfRule type="expression" dxfId="0" priority="991">
      <formula>(#REF!&lt;&gt;"")*(#REF!&lt;&gt;"")</formula>
    </cfRule>
    <cfRule type="expression" dxfId="1" priority="990">
      <formula>(#REF!&lt;&gt;"")*(#REF!&lt;&gt;"")</formula>
    </cfRule>
  </conditionalFormatting>
  <conditionalFormatting sqref="A4893">
    <cfRule type="expression" dxfId="0" priority="945">
      <formula>(#REF!&lt;&gt;"")*(#REF!&lt;&gt;"")</formula>
    </cfRule>
  </conditionalFormatting>
  <conditionalFormatting sqref="E4893:G4893">
    <cfRule type="expression" dxfId="0" priority="944">
      <formula>(#REF!&lt;&gt;"")*(#REF!&lt;&gt;"")</formula>
    </cfRule>
  </conditionalFormatting>
  <conditionalFormatting sqref="H4893">
    <cfRule type="expression" dxfId="0" priority="940">
      <formula>(#REF!&lt;&gt;"")*(#REF!&lt;&gt;"")</formula>
    </cfRule>
  </conditionalFormatting>
  <conditionalFormatting sqref="J4893">
    <cfRule type="expression" dxfId="0" priority="943">
      <formula>(#REF!&lt;&gt;"")*(#REF!&lt;&gt;"")</formula>
    </cfRule>
  </conditionalFormatting>
  <conditionalFormatting sqref="K4893">
    <cfRule type="expression" dxfId="0" priority="941">
      <formula>(#REF!&lt;&gt;"")*(#REF!&lt;&gt;"")</formula>
    </cfRule>
  </conditionalFormatting>
  <conditionalFormatting sqref="L4893:M4893">
    <cfRule type="expression" dxfId="0" priority="942">
      <formula>(#REF!&lt;&gt;"")*(#REF!&lt;&gt;"")</formula>
    </cfRule>
  </conditionalFormatting>
  <conditionalFormatting sqref="N4893">
    <cfRule type="expression" dxfId="0" priority="950">
      <formula>(#REF!&lt;&gt;"")*(#REF!&lt;&gt;"")</formula>
    </cfRule>
  </conditionalFormatting>
  <conditionalFormatting sqref="O4893">
    <cfRule type="expression" dxfId="0" priority="947">
      <formula>(#REF!&lt;&gt;"")*(#REF!&lt;&gt;"")</formula>
    </cfRule>
  </conditionalFormatting>
  <conditionalFormatting sqref="P4893">
    <cfRule type="expression" dxfId="1" priority="946">
      <formula>(#REF!&lt;&gt;"")*(#REF!&lt;&gt;"")</formula>
    </cfRule>
  </conditionalFormatting>
  <conditionalFormatting sqref="Q4893">
    <cfRule type="expression" dxfId="0" priority="949">
      <formula>(#REF!&lt;&gt;"")*(#REF!&lt;&gt;"")</formula>
    </cfRule>
    <cfRule type="expression" dxfId="1" priority="948">
      <formula>(#REF!&lt;&gt;"")*(#REF!&lt;&gt;"")</formula>
    </cfRule>
  </conditionalFormatting>
  <conditionalFormatting sqref="A4894">
    <cfRule type="expression" dxfId="0" priority="934">
      <formula>(#REF!&lt;&gt;"")*(#REF!&lt;&gt;"")</formula>
    </cfRule>
  </conditionalFormatting>
  <conditionalFormatting sqref="E4894:G4894">
    <cfRule type="expression" dxfId="0" priority="933">
      <formula>(#REF!&lt;&gt;"")*(#REF!&lt;&gt;"")</formula>
    </cfRule>
  </conditionalFormatting>
  <conditionalFormatting sqref="H4894">
    <cfRule type="expression" dxfId="0" priority="929">
      <formula>(#REF!&lt;&gt;"")*(#REF!&lt;&gt;"")</formula>
    </cfRule>
  </conditionalFormatting>
  <conditionalFormatting sqref="J4894">
    <cfRule type="expression" dxfId="0" priority="932">
      <formula>(#REF!&lt;&gt;"")*(#REF!&lt;&gt;"")</formula>
    </cfRule>
  </conditionalFormatting>
  <conditionalFormatting sqref="K4894">
    <cfRule type="expression" dxfId="0" priority="930">
      <formula>(#REF!&lt;&gt;"")*(#REF!&lt;&gt;"")</formula>
    </cfRule>
  </conditionalFormatting>
  <conditionalFormatting sqref="L4894:M4894">
    <cfRule type="expression" dxfId="0" priority="931">
      <formula>(#REF!&lt;&gt;"")*(#REF!&lt;&gt;"")</formula>
    </cfRule>
  </conditionalFormatting>
  <conditionalFormatting sqref="N4894">
    <cfRule type="expression" dxfId="0" priority="939">
      <formula>(#REF!&lt;&gt;"")*(#REF!&lt;&gt;"")</formula>
    </cfRule>
  </conditionalFormatting>
  <conditionalFormatting sqref="O4894">
    <cfRule type="expression" dxfId="0" priority="936">
      <formula>(#REF!&lt;&gt;"")*(#REF!&lt;&gt;"")</formula>
    </cfRule>
  </conditionalFormatting>
  <conditionalFormatting sqref="P4894">
    <cfRule type="expression" dxfId="1" priority="935">
      <formula>(#REF!&lt;&gt;"")*(#REF!&lt;&gt;"")</formula>
    </cfRule>
  </conditionalFormatting>
  <conditionalFormatting sqref="Q4894">
    <cfRule type="expression" dxfId="0" priority="938">
      <formula>(#REF!&lt;&gt;"")*(#REF!&lt;&gt;"")</formula>
    </cfRule>
    <cfRule type="expression" dxfId="1" priority="937">
      <formula>(#REF!&lt;&gt;"")*(#REF!&lt;&gt;"")</formula>
    </cfRule>
  </conditionalFormatting>
  <conditionalFormatting sqref="A4895">
    <cfRule type="expression" dxfId="0" priority="923">
      <formula>(#REF!&lt;&gt;"")*(#REF!&lt;&gt;"")</formula>
    </cfRule>
  </conditionalFormatting>
  <conditionalFormatting sqref="E4895:G4895">
    <cfRule type="expression" dxfId="0" priority="922">
      <formula>(#REF!&lt;&gt;"")*(#REF!&lt;&gt;"")</formula>
    </cfRule>
  </conditionalFormatting>
  <conditionalFormatting sqref="H4895">
    <cfRule type="expression" dxfId="0" priority="918">
      <formula>(#REF!&lt;&gt;"")*(#REF!&lt;&gt;"")</formula>
    </cfRule>
  </conditionalFormatting>
  <conditionalFormatting sqref="J4895">
    <cfRule type="expression" dxfId="0" priority="921">
      <formula>(#REF!&lt;&gt;"")*(#REF!&lt;&gt;"")</formula>
    </cfRule>
  </conditionalFormatting>
  <conditionalFormatting sqref="K4895">
    <cfRule type="expression" dxfId="0" priority="919">
      <formula>(#REF!&lt;&gt;"")*(#REF!&lt;&gt;"")</formula>
    </cfRule>
  </conditionalFormatting>
  <conditionalFormatting sqref="L4895:M4895">
    <cfRule type="expression" dxfId="0" priority="920">
      <formula>(#REF!&lt;&gt;"")*(#REF!&lt;&gt;"")</formula>
    </cfRule>
  </conditionalFormatting>
  <conditionalFormatting sqref="N4895">
    <cfRule type="expression" dxfId="0" priority="928">
      <formula>(#REF!&lt;&gt;"")*(#REF!&lt;&gt;"")</formula>
    </cfRule>
  </conditionalFormatting>
  <conditionalFormatting sqref="O4895">
    <cfRule type="expression" dxfId="0" priority="925">
      <formula>(#REF!&lt;&gt;"")*(#REF!&lt;&gt;"")</formula>
    </cfRule>
  </conditionalFormatting>
  <conditionalFormatting sqref="P4895">
    <cfRule type="expression" dxfId="1" priority="924">
      <formula>(#REF!&lt;&gt;"")*(#REF!&lt;&gt;"")</formula>
    </cfRule>
  </conditionalFormatting>
  <conditionalFormatting sqref="Q4895">
    <cfRule type="expression" dxfId="0" priority="927">
      <formula>(#REF!&lt;&gt;"")*(#REF!&lt;&gt;"")</formula>
    </cfRule>
    <cfRule type="expression" dxfId="1" priority="926">
      <formula>(#REF!&lt;&gt;"")*(#REF!&lt;&gt;"")</formula>
    </cfRule>
  </conditionalFormatting>
  <conditionalFormatting sqref="A4896">
    <cfRule type="expression" dxfId="0" priority="912">
      <formula>(#REF!&lt;&gt;"")*(#REF!&lt;&gt;"")</formula>
    </cfRule>
  </conditionalFormatting>
  <conditionalFormatting sqref="E4896:G4896">
    <cfRule type="expression" dxfId="0" priority="911">
      <formula>(#REF!&lt;&gt;"")*(#REF!&lt;&gt;"")</formula>
    </cfRule>
  </conditionalFormatting>
  <conditionalFormatting sqref="H4896">
    <cfRule type="expression" dxfId="0" priority="907">
      <formula>(#REF!&lt;&gt;"")*(#REF!&lt;&gt;"")</formula>
    </cfRule>
  </conditionalFormatting>
  <conditionalFormatting sqref="J4896">
    <cfRule type="expression" dxfId="0" priority="910">
      <formula>(#REF!&lt;&gt;"")*(#REF!&lt;&gt;"")</formula>
    </cfRule>
  </conditionalFormatting>
  <conditionalFormatting sqref="K4896">
    <cfRule type="expression" dxfId="0" priority="908">
      <formula>(#REF!&lt;&gt;"")*(#REF!&lt;&gt;"")</formula>
    </cfRule>
  </conditionalFormatting>
  <conditionalFormatting sqref="L4896:M4896">
    <cfRule type="expression" dxfId="0" priority="909">
      <formula>(#REF!&lt;&gt;"")*(#REF!&lt;&gt;"")</formula>
    </cfRule>
  </conditionalFormatting>
  <conditionalFormatting sqref="N4896">
    <cfRule type="expression" dxfId="0" priority="917">
      <formula>(#REF!&lt;&gt;"")*(#REF!&lt;&gt;"")</formula>
    </cfRule>
  </conditionalFormatting>
  <conditionalFormatting sqref="O4896">
    <cfRule type="expression" dxfId="0" priority="914">
      <formula>(#REF!&lt;&gt;"")*(#REF!&lt;&gt;"")</formula>
    </cfRule>
  </conditionalFormatting>
  <conditionalFormatting sqref="P4896">
    <cfRule type="expression" dxfId="1" priority="913">
      <formula>(#REF!&lt;&gt;"")*(#REF!&lt;&gt;"")</formula>
    </cfRule>
  </conditionalFormatting>
  <conditionalFormatting sqref="Q4896">
    <cfRule type="expression" dxfId="0" priority="916">
      <formula>(#REF!&lt;&gt;"")*(#REF!&lt;&gt;"")</formula>
    </cfRule>
    <cfRule type="expression" dxfId="1" priority="915">
      <formula>(#REF!&lt;&gt;"")*(#REF!&lt;&gt;"")</formula>
    </cfRule>
  </conditionalFormatting>
  <conditionalFormatting sqref="A4897">
    <cfRule type="expression" dxfId="0" priority="901">
      <formula>(#REF!&lt;&gt;"")*(#REF!&lt;&gt;"")</formula>
    </cfRule>
  </conditionalFormatting>
  <conditionalFormatting sqref="E4897:G4897">
    <cfRule type="expression" dxfId="0" priority="900">
      <formula>(#REF!&lt;&gt;"")*(#REF!&lt;&gt;"")</formula>
    </cfRule>
  </conditionalFormatting>
  <conditionalFormatting sqref="H4897">
    <cfRule type="expression" dxfId="0" priority="896">
      <formula>(#REF!&lt;&gt;"")*(#REF!&lt;&gt;"")</formula>
    </cfRule>
  </conditionalFormatting>
  <conditionalFormatting sqref="J4897">
    <cfRule type="expression" dxfId="0" priority="899">
      <formula>(#REF!&lt;&gt;"")*(#REF!&lt;&gt;"")</formula>
    </cfRule>
  </conditionalFormatting>
  <conditionalFormatting sqref="K4897">
    <cfRule type="expression" dxfId="0" priority="897">
      <formula>(#REF!&lt;&gt;"")*(#REF!&lt;&gt;"")</formula>
    </cfRule>
  </conditionalFormatting>
  <conditionalFormatting sqref="L4897:M4897">
    <cfRule type="expression" dxfId="0" priority="898">
      <formula>(#REF!&lt;&gt;"")*(#REF!&lt;&gt;"")</formula>
    </cfRule>
  </conditionalFormatting>
  <conditionalFormatting sqref="N4897">
    <cfRule type="expression" dxfId="0" priority="906">
      <formula>(#REF!&lt;&gt;"")*(#REF!&lt;&gt;"")</formula>
    </cfRule>
  </conditionalFormatting>
  <conditionalFormatting sqref="O4897">
    <cfRule type="expression" dxfId="0" priority="903">
      <formula>(#REF!&lt;&gt;"")*(#REF!&lt;&gt;"")</formula>
    </cfRule>
  </conditionalFormatting>
  <conditionalFormatting sqref="P4897">
    <cfRule type="expression" dxfId="1" priority="902">
      <formula>(#REF!&lt;&gt;"")*(#REF!&lt;&gt;"")</formula>
    </cfRule>
  </conditionalFormatting>
  <conditionalFormatting sqref="Q4897">
    <cfRule type="expression" dxfId="0" priority="905">
      <formula>(#REF!&lt;&gt;"")*(#REF!&lt;&gt;"")</formula>
    </cfRule>
    <cfRule type="expression" dxfId="1" priority="904">
      <formula>(#REF!&lt;&gt;"")*(#REF!&lt;&gt;"")</formula>
    </cfRule>
  </conditionalFormatting>
  <conditionalFormatting sqref="A4898">
    <cfRule type="expression" dxfId="0" priority="890">
      <formula>(#REF!&lt;&gt;"")*(#REF!&lt;&gt;"")</formula>
    </cfRule>
  </conditionalFormatting>
  <conditionalFormatting sqref="E4898:G4898">
    <cfRule type="expression" dxfId="0" priority="889">
      <formula>(#REF!&lt;&gt;"")*(#REF!&lt;&gt;"")</formula>
    </cfRule>
  </conditionalFormatting>
  <conditionalFormatting sqref="H4898">
    <cfRule type="expression" dxfId="0" priority="885">
      <formula>(#REF!&lt;&gt;"")*(#REF!&lt;&gt;"")</formula>
    </cfRule>
  </conditionalFormatting>
  <conditionalFormatting sqref="J4898">
    <cfRule type="expression" dxfId="0" priority="888">
      <formula>(#REF!&lt;&gt;"")*(#REF!&lt;&gt;"")</formula>
    </cfRule>
  </conditionalFormatting>
  <conditionalFormatting sqref="K4898">
    <cfRule type="expression" dxfId="0" priority="886">
      <formula>(#REF!&lt;&gt;"")*(#REF!&lt;&gt;"")</formula>
    </cfRule>
  </conditionalFormatting>
  <conditionalFormatting sqref="L4898:M4898">
    <cfRule type="expression" dxfId="0" priority="887">
      <formula>(#REF!&lt;&gt;"")*(#REF!&lt;&gt;"")</formula>
    </cfRule>
  </conditionalFormatting>
  <conditionalFormatting sqref="N4898">
    <cfRule type="expression" dxfId="0" priority="895">
      <formula>(#REF!&lt;&gt;"")*(#REF!&lt;&gt;"")</formula>
    </cfRule>
  </conditionalFormatting>
  <conditionalFormatting sqref="O4898">
    <cfRule type="expression" dxfId="0" priority="892">
      <formula>(#REF!&lt;&gt;"")*(#REF!&lt;&gt;"")</formula>
    </cfRule>
  </conditionalFormatting>
  <conditionalFormatting sqref="P4898">
    <cfRule type="expression" dxfId="1" priority="891">
      <formula>(#REF!&lt;&gt;"")*(#REF!&lt;&gt;"")</formula>
    </cfRule>
  </conditionalFormatting>
  <conditionalFormatting sqref="Q4898">
    <cfRule type="expression" dxfId="0" priority="894">
      <formula>(#REF!&lt;&gt;"")*(#REF!&lt;&gt;"")</formula>
    </cfRule>
    <cfRule type="expression" dxfId="1" priority="893">
      <formula>(#REF!&lt;&gt;"")*(#REF!&lt;&gt;"")</formula>
    </cfRule>
  </conditionalFormatting>
  <conditionalFormatting sqref="A4899">
    <cfRule type="expression" dxfId="0" priority="879">
      <formula>(#REF!&lt;&gt;"")*(#REF!&lt;&gt;"")</formula>
    </cfRule>
  </conditionalFormatting>
  <conditionalFormatting sqref="E4899:G4899">
    <cfRule type="expression" dxfId="0" priority="878">
      <formula>(#REF!&lt;&gt;"")*(#REF!&lt;&gt;"")</formula>
    </cfRule>
  </conditionalFormatting>
  <conditionalFormatting sqref="H4899">
    <cfRule type="expression" dxfId="0" priority="874">
      <formula>(#REF!&lt;&gt;"")*(#REF!&lt;&gt;"")</formula>
    </cfRule>
  </conditionalFormatting>
  <conditionalFormatting sqref="J4899">
    <cfRule type="expression" dxfId="0" priority="877">
      <formula>(#REF!&lt;&gt;"")*(#REF!&lt;&gt;"")</formula>
    </cfRule>
  </conditionalFormatting>
  <conditionalFormatting sqref="K4899">
    <cfRule type="expression" dxfId="0" priority="875">
      <formula>(#REF!&lt;&gt;"")*(#REF!&lt;&gt;"")</formula>
    </cfRule>
  </conditionalFormatting>
  <conditionalFormatting sqref="L4899:M4899">
    <cfRule type="expression" dxfId="0" priority="876">
      <formula>(#REF!&lt;&gt;"")*(#REF!&lt;&gt;"")</formula>
    </cfRule>
  </conditionalFormatting>
  <conditionalFormatting sqref="N4899">
    <cfRule type="expression" dxfId="0" priority="884">
      <formula>(#REF!&lt;&gt;"")*(#REF!&lt;&gt;"")</formula>
    </cfRule>
  </conditionalFormatting>
  <conditionalFormatting sqref="O4899">
    <cfRule type="expression" dxfId="0" priority="881">
      <formula>(#REF!&lt;&gt;"")*(#REF!&lt;&gt;"")</formula>
    </cfRule>
  </conditionalFormatting>
  <conditionalFormatting sqref="P4899">
    <cfRule type="expression" dxfId="1" priority="880">
      <formula>(#REF!&lt;&gt;"")*(#REF!&lt;&gt;"")</formula>
    </cfRule>
  </conditionalFormatting>
  <conditionalFormatting sqref="Q4899">
    <cfRule type="expression" dxfId="0" priority="883">
      <formula>(#REF!&lt;&gt;"")*(#REF!&lt;&gt;"")</formula>
    </cfRule>
    <cfRule type="expression" dxfId="1" priority="882">
      <formula>(#REF!&lt;&gt;"")*(#REF!&lt;&gt;"")</formula>
    </cfRule>
  </conditionalFormatting>
  <conditionalFormatting sqref="A4900">
    <cfRule type="expression" dxfId="0" priority="868">
      <formula>(#REF!&lt;&gt;"")*(#REF!&lt;&gt;"")</formula>
    </cfRule>
  </conditionalFormatting>
  <conditionalFormatting sqref="E4900:G4900">
    <cfRule type="expression" dxfId="0" priority="867">
      <formula>(#REF!&lt;&gt;"")*(#REF!&lt;&gt;"")</formula>
    </cfRule>
  </conditionalFormatting>
  <conditionalFormatting sqref="H4900">
    <cfRule type="expression" dxfId="0" priority="863">
      <formula>(#REF!&lt;&gt;"")*(#REF!&lt;&gt;"")</formula>
    </cfRule>
  </conditionalFormatting>
  <conditionalFormatting sqref="J4900">
    <cfRule type="expression" dxfId="0" priority="866">
      <formula>(#REF!&lt;&gt;"")*(#REF!&lt;&gt;"")</formula>
    </cfRule>
  </conditionalFormatting>
  <conditionalFormatting sqref="K4900">
    <cfRule type="expression" dxfId="0" priority="864">
      <formula>(#REF!&lt;&gt;"")*(#REF!&lt;&gt;"")</formula>
    </cfRule>
  </conditionalFormatting>
  <conditionalFormatting sqref="L4900:M4900">
    <cfRule type="expression" dxfId="0" priority="865">
      <formula>(#REF!&lt;&gt;"")*(#REF!&lt;&gt;"")</formula>
    </cfRule>
  </conditionalFormatting>
  <conditionalFormatting sqref="N4900">
    <cfRule type="expression" dxfId="0" priority="873">
      <formula>(#REF!&lt;&gt;"")*(#REF!&lt;&gt;"")</formula>
    </cfRule>
  </conditionalFormatting>
  <conditionalFormatting sqref="O4900">
    <cfRule type="expression" dxfId="0" priority="870">
      <formula>(#REF!&lt;&gt;"")*(#REF!&lt;&gt;"")</formula>
    </cfRule>
  </conditionalFormatting>
  <conditionalFormatting sqref="P4900">
    <cfRule type="expression" dxfId="1" priority="869">
      <formula>(#REF!&lt;&gt;"")*(#REF!&lt;&gt;"")</formula>
    </cfRule>
  </conditionalFormatting>
  <conditionalFormatting sqref="Q4900">
    <cfRule type="expression" dxfId="0" priority="872">
      <formula>(#REF!&lt;&gt;"")*(#REF!&lt;&gt;"")</formula>
    </cfRule>
    <cfRule type="expression" dxfId="1" priority="871">
      <formula>(#REF!&lt;&gt;"")*(#REF!&lt;&gt;"")</formula>
    </cfRule>
  </conditionalFormatting>
  <conditionalFormatting sqref="A4901">
    <cfRule type="expression" dxfId="0" priority="857">
      <formula>(#REF!&lt;&gt;"")*(#REF!&lt;&gt;"")</formula>
    </cfRule>
  </conditionalFormatting>
  <conditionalFormatting sqref="E4901:G4901">
    <cfRule type="expression" dxfId="0" priority="856">
      <formula>(#REF!&lt;&gt;"")*(#REF!&lt;&gt;"")</formula>
    </cfRule>
  </conditionalFormatting>
  <conditionalFormatting sqref="H4901">
    <cfRule type="expression" dxfId="0" priority="852">
      <formula>(#REF!&lt;&gt;"")*(#REF!&lt;&gt;"")</formula>
    </cfRule>
  </conditionalFormatting>
  <conditionalFormatting sqref="J4901">
    <cfRule type="expression" dxfId="0" priority="855">
      <formula>(#REF!&lt;&gt;"")*(#REF!&lt;&gt;"")</formula>
    </cfRule>
  </conditionalFormatting>
  <conditionalFormatting sqref="K4901">
    <cfRule type="expression" dxfId="0" priority="853">
      <formula>(#REF!&lt;&gt;"")*(#REF!&lt;&gt;"")</formula>
    </cfRule>
  </conditionalFormatting>
  <conditionalFormatting sqref="L4901:M4901">
    <cfRule type="expression" dxfId="0" priority="854">
      <formula>(#REF!&lt;&gt;"")*(#REF!&lt;&gt;"")</formula>
    </cfRule>
  </conditionalFormatting>
  <conditionalFormatting sqref="N4901">
    <cfRule type="expression" dxfId="0" priority="862">
      <formula>(#REF!&lt;&gt;"")*(#REF!&lt;&gt;"")</formula>
    </cfRule>
  </conditionalFormatting>
  <conditionalFormatting sqref="O4901">
    <cfRule type="expression" dxfId="0" priority="859">
      <formula>(#REF!&lt;&gt;"")*(#REF!&lt;&gt;"")</formula>
    </cfRule>
  </conditionalFormatting>
  <conditionalFormatting sqref="P4901">
    <cfRule type="expression" dxfId="1" priority="858">
      <formula>(#REF!&lt;&gt;"")*(#REF!&lt;&gt;"")</formula>
    </cfRule>
  </conditionalFormatting>
  <conditionalFormatting sqref="Q4901">
    <cfRule type="expression" dxfId="0" priority="861">
      <formula>(#REF!&lt;&gt;"")*(#REF!&lt;&gt;"")</formula>
    </cfRule>
    <cfRule type="expression" dxfId="1" priority="860">
      <formula>(#REF!&lt;&gt;"")*(#REF!&lt;&gt;"")</formula>
    </cfRule>
  </conditionalFormatting>
  <conditionalFormatting sqref="A4902">
    <cfRule type="expression" dxfId="0" priority="713">
      <formula>(#REF!&lt;&gt;"")*(#REF!&lt;&gt;"")</formula>
    </cfRule>
  </conditionalFormatting>
  <conditionalFormatting sqref="E4902:G4902">
    <cfRule type="expression" dxfId="0" priority="712">
      <formula>(#REF!&lt;&gt;"")*(#REF!&lt;&gt;"")</formula>
    </cfRule>
  </conditionalFormatting>
  <conditionalFormatting sqref="H4902">
    <cfRule type="expression" dxfId="0" priority="708">
      <formula>(#REF!&lt;&gt;"")*(#REF!&lt;&gt;"")</formula>
    </cfRule>
  </conditionalFormatting>
  <conditionalFormatting sqref="J4902">
    <cfRule type="expression" dxfId="0" priority="711">
      <formula>(#REF!&lt;&gt;"")*(#REF!&lt;&gt;"")</formula>
    </cfRule>
  </conditionalFormatting>
  <conditionalFormatting sqref="K4902">
    <cfRule type="expression" dxfId="0" priority="709">
      <formula>(#REF!&lt;&gt;"")*(#REF!&lt;&gt;"")</formula>
    </cfRule>
  </conditionalFormatting>
  <conditionalFormatting sqref="L4902:M4902">
    <cfRule type="expression" dxfId="0" priority="710">
      <formula>(#REF!&lt;&gt;"")*(#REF!&lt;&gt;"")</formula>
    </cfRule>
  </conditionalFormatting>
  <conditionalFormatting sqref="N4902">
    <cfRule type="expression" dxfId="0" priority="707">
      <formula>(#REF!&lt;&gt;"")*(#REF!&lt;&gt;"")</formula>
    </cfRule>
  </conditionalFormatting>
  <conditionalFormatting sqref="O4902">
    <cfRule type="expression" dxfId="0" priority="733">
      <formula>(#REF!&lt;&gt;"")*(#REF!&lt;&gt;"")</formula>
    </cfRule>
  </conditionalFormatting>
  <conditionalFormatting sqref="P4902">
    <cfRule type="expression" dxfId="1" priority="732">
      <formula>(#REF!&lt;&gt;"")*(#REF!&lt;&gt;"")</formula>
    </cfRule>
  </conditionalFormatting>
  <conditionalFormatting sqref="A4903">
    <cfRule type="expression" dxfId="0" priority="719">
      <formula>(#REF!&lt;&gt;"")*(#REF!&lt;&gt;"")</formula>
    </cfRule>
  </conditionalFormatting>
  <conditionalFormatting sqref="E4903:G4903">
    <cfRule type="expression" dxfId="0" priority="718">
      <formula>(#REF!&lt;&gt;"")*(#REF!&lt;&gt;"")</formula>
    </cfRule>
  </conditionalFormatting>
  <conditionalFormatting sqref="H4903">
    <cfRule type="expression" dxfId="0" priority="714">
      <formula>(#REF!&lt;&gt;"")*(#REF!&lt;&gt;"")</formula>
    </cfRule>
  </conditionalFormatting>
  <conditionalFormatting sqref="J4903">
    <cfRule type="expression" dxfId="0" priority="717">
      <formula>(#REF!&lt;&gt;"")*(#REF!&lt;&gt;"")</formula>
    </cfRule>
  </conditionalFormatting>
  <conditionalFormatting sqref="K4903">
    <cfRule type="expression" dxfId="0" priority="715">
      <formula>(#REF!&lt;&gt;"")*(#REF!&lt;&gt;"")</formula>
    </cfRule>
  </conditionalFormatting>
  <conditionalFormatting sqref="L4903:M4903">
    <cfRule type="expression" dxfId="0" priority="716">
      <formula>(#REF!&lt;&gt;"")*(#REF!&lt;&gt;"")</formula>
    </cfRule>
  </conditionalFormatting>
  <conditionalFormatting sqref="N4903">
    <cfRule type="expression" dxfId="0" priority="702">
      <formula>(#REF!&lt;&gt;"")*(#REF!&lt;&gt;"")</formula>
    </cfRule>
  </conditionalFormatting>
  <conditionalFormatting sqref="O4903">
    <cfRule type="expression" dxfId="0" priority="704">
      <formula>(#REF!&lt;&gt;"")*(#REF!&lt;&gt;"")</formula>
    </cfRule>
  </conditionalFormatting>
  <conditionalFormatting sqref="P4903">
    <cfRule type="expression" dxfId="1" priority="703">
      <formula>(#REF!&lt;&gt;"")*(#REF!&lt;&gt;"")</formula>
    </cfRule>
  </conditionalFormatting>
  <conditionalFormatting sqref="Q4903">
    <cfRule type="expression" dxfId="0" priority="706">
      <formula>(#REF!&lt;&gt;"")*(#REF!&lt;&gt;"")</formula>
    </cfRule>
    <cfRule type="expression" dxfId="1" priority="705">
      <formula>(#REF!&lt;&gt;"")*(#REF!&lt;&gt;"")</formula>
    </cfRule>
  </conditionalFormatting>
  <conditionalFormatting sqref="A4904">
    <cfRule type="expression" dxfId="0" priority="725">
      <formula>(#REF!&lt;&gt;"")*(#REF!&lt;&gt;"")</formula>
    </cfRule>
  </conditionalFormatting>
  <conditionalFormatting sqref="E4904:G4904">
    <cfRule type="expression" dxfId="0" priority="724">
      <formula>(#REF!&lt;&gt;"")*(#REF!&lt;&gt;"")</formula>
    </cfRule>
  </conditionalFormatting>
  <conditionalFormatting sqref="H4904">
    <cfRule type="expression" dxfId="0" priority="720">
      <formula>(#REF!&lt;&gt;"")*(#REF!&lt;&gt;"")</formula>
    </cfRule>
  </conditionalFormatting>
  <conditionalFormatting sqref="J4904">
    <cfRule type="expression" dxfId="0" priority="723">
      <formula>(#REF!&lt;&gt;"")*(#REF!&lt;&gt;"")</formula>
    </cfRule>
  </conditionalFormatting>
  <conditionalFormatting sqref="K4904">
    <cfRule type="expression" dxfId="0" priority="721">
      <formula>(#REF!&lt;&gt;"")*(#REF!&lt;&gt;"")</formula>
    </cfRule>
  </conditionalFormatting>
  <conditionalFormatting sqref="L4904:M4904">
    <cfRule type="expression" dxfId="0" priority="722">
      <formula>(#REF!&lt;&gt;"")*(#REF!&lt;&gt;"")</formula>
    </cfRule>
  </conditionalFormatting>
  <conditionalFormatting sqref="N4904">
    <cfRule type="expression" dxfId="0" priority="699">
      <formula>(#REF!&lt;&gt;"")*(#REF!&lt;&gt;"")</formula>
    </cfRule>
  </conditionalFormatting>
  <conditionalFormatting sqref="O4904">
    <cfRule type="expression" dxfId="0" priority="701">
      <formula>(#REF!&lt;&gt;"")*(#REF!&lt;&gt;"")</formula>
    </cfRule>
  </conditionalFormatting>
  <conditionalFormatting sqref="P4904">
    <cfRule type="expression" dxfId="1" priority="700">
      <formula>(#REF!&lt;&gt;"")*(#REF!&lt;&gt;"")</formula>
    </cfRule>
  </conditionalFormatting>
  <conditionalFormatting sqref="A4905">
    <cfRule type="expression" dxfId="0" priority="678">
      <formula>(#REF!&lt;&gt;"")*(#REF!&lt;&gt;"")</formula>
    </cfRule>
  </conditionalFormatting>
  <conditionalFormatting sqref="E4905:G4905">
    <cfRule type="expression" dxfId="0" priority="677">
      <formula>(#REF!&lt;&gt;"")*(#REF!&lt;&gt;"")</formula>
    </cfRule>
  </conditionalFormatting>
  <conditionalFormatting sqref="H4905">
    <cfRule type="expression" dxfId="0" priority="673">
      <formula>(#REF!&lt;&gt;"")*(#REF!&lt;&gt;"")</formula>
    </cfRule>
  </conditionalFormatting>
  <conditionalFormatting sqref="J4905">
    <cfRule type="expression" dxfId="0" priority="676">
      <formula>(#REF!&lt;&gt;"")*(#REF!&lt;&gt;"")</formula>
    </cfRule>
  </conditionalFormatting>
  <conditionalFormatting sqref="K4905">
    <cfRule type="expression" dxfId="0" priority="674">
      <formula>(#REF!&lt;&gt;"")*(#REF!&lt;&gt;"")</formula>
    </cfRule>
  </conditionalFormatting>
  <conditionalFormatting sqref="L4905:M4905">
    <cfRule type="expression" dxfId="0" priority="675">
      <formula>(#REF!&lt;&gt;"")*(#REF!&lt;&gt;"")</formula>
    </cfRule>
  </conditionalFormatting>
  <conditionalFormatting sqref="N4905">
    <cfRule type="expression" dxfId="0" priority="670">
      <formula>(#REF!&lt;&gt;"")*(#REF!&lt;&gt;"")</formula>
    </cfRule>
  </conditionalFormatting>
  <conditionalFormatting sqref="O4905">
    <cfRule type="expression" dxfId="0" priority="672">
      <formula>(#REF!&lt;&gt;"")*(#REF!&lt;&gt;"")</formula>
    </cfRule>
  </conditionalFormatting>
  <conditionalFormatting sqref="P4905">
    <cfRule type="expression" dxfId="1" priority="671">
      <formula>(#REF!&lt;&gt;"")*(#REF!&lt;&gt;"")</formula>
    </cfRule>
  </conditionalFormatting>
  <conditionalFormatting sqref="Q4905">
    <cfRule type="expression" dxfId="0" priority="680">
      <formula>(#REF!&lt;&gt;"")*(#REF!&lt;&gt;"")</formula>
    </cfRule>
    <cfRule type="expression" dxfId="1" priority="679">
      <formula>(#REF!&lt;&gt;"")*(#REF!&lt;&gt;"")</formula>
    </cfRule>
  </conditionalFormatting>
  <conditionalFormatting sqref="A4906">
    <cfRule type="expression" dxfId="0" priority="731">
      <formula>(#REF!&lt;&gt;"")*(#REF!&lt;&gt;"")</formula>
    </cfRule>
  </conditionalFormatting>
  <conditionalFormatting sqref="E4906:G4906">
    <cfRule type="expression" dxfId="0" priority="730">
      <formula>(#REF!&lt;&gt;"")*(#REF!&lt;&gt;"")</formula>
    </cfRule>
  </conditionalFormatting>
  <conditionalFormatting sqref="H4906">
    <cfRule type="expression" dxfId="0" priority="726">
      <formula>(#REF!&lt;&gt;"")*(#REF!&lt;&gt;"")</formula>
    </cfRule>
  </conditionalFormatting>
  <conditionalFormatting sqref="J4906">
    <cfRule type="expression" dxfId="0" priority="729">
      <formula>(#REF!&lt;&gt;"")*(#REF!&lt;&gt;"")</formula>
    </cfRule>
  </conditionalFormatting>
  <conditionalFormatting sqref="K4906">
    <cfRule type="expression" dxfId="0" priority="727">
      <formula>(#REF!&lt;&gt;"")*(#REF!&lt;&gt;"")</formula>
    </cfRule>
  </conditionalFormatting>
  <conditionalFormatting sqref="L4906:M4906">
    <cfRule type="expression" dxfId="0" priority="728">
      <formula>(#REF!&lt;&gt;"")*(#REF!&lt;&gt;"")</formula>
    </cfRule>
  </conditionalFormatting>
  <conditionalFormatting sqref="N4906">
    <cfRule type="expression" dxfId="0" priority="698">
      <formula>(#REF!&lt;&gt;"")*(#REF!&lt;&gt;"")</formula>
    </cfRule>
  </conditionalFormatting>
  <conditionalFormatting sqref="O4906">
    <cfRule type="expression" dxfId="0" priority="697">
      <formula>(#REF!&lt;&gt;"")*(#REF!&lt;&gt;"")</formula>
    </cfRule>
  </conditionalFormatting>
  <conditionalFormatting sqref="P4906">
    <cfRule type="expression" dxfId="1" priority="696">
      <formula>(#REF!&lt;&gt;"")*(#REF!&lt;&gt;"")</formula>
    </cfRule>
  </conditionalFormatting>
  <conditionalFormatting sqref="A4907">
    <cfRule type="expression" dxfId="0" priority="742">
      <formula>(#REF!&lt;&gt;"")*(#REF!&lt;&gt;"")</formula>
    </cfRule>
  </conditionalFormatting>
  <conditionalFormatting sqref="E4907:G4907">
    <cfRule type="expression" dxfId="0" priority="741">
      <formula>(#REF!&lt;&gt;"")*(#REF!&lt;&gt;"")</formula>
    </cfRule>
  </conditionalFormatting>
  <conditionalFormatting sqref="H4907">
    <cfRule type="expression" dxfId="0" priority="737">
      <formula>(#REF!&lt;&gt;"")*(#REF!&lt;&gt;"")</formula>
    </cfRule>
  </conditionalFormatting>
  <conditionalFormatting sqref="J4907">
    <cfRule type="expression" dxfId="0" priority="740">
      <formula>(#REF!&lt;&gt;"")*(#REF!&lt;&gt;"")</formula>
    </cfRule>
  </conditionalFormatting>
  <conditionalFormatting sqref="K4907">
    <cfRule type="expression" dxfId="0" priority="738">
      <formula>(#REF!&lt;&gt;"")*(#REF!&lt;&gt;"")</formula>
    </cfRule>
  </conditionalFormatting>
  <conditionalFormatting sqref="L4907:M4907">
    <cfRule type="expression" dxfId="0" priority="739">
      <formula>(#REF!&lt;&gt;"")*(#REF!&lt;&gt;"")</formula>
    </cfRule>
  </conditionalFormatting>
  <conditionalFormatting sqref="N4907">
    <cfRule type="expression" dxfId="0" priority="693">
      <formula>(#REF!&lt;&gt;"")*(#REF!&lt;&gt;"")</formula>
    </cfRule>
  </conditionalFormatting>
  <conditionalFormatting sqref="O4907">
    <cfRule type="expression" dxfId="0" priority="692">
      <formula>(#REF!&lt;&gt;"")*(#REF!&lt;&gt;"")</formula>
    </cfRule>
  </conditionalFormatting>
  <conditionalFormatting sqref="P4907">
    <cfRule type="expression" dxfId="1" priority="691">
      <formula>(#REF!&lt;&gt;"")*(#REF!&lt;&gt;"")</formula>
    </cfRule>
  </conditionalFormatting>
  <conditionalFormatting sqref="Q4907">
    <cfRule type="expression" dxfId="0" priority="695">
      <formula>(#REF!&lt;&gt;"")*(#REF!&lt;&gt;"")</formula>
    </cfRule>
    <cfRule type="expression" dxfId="1" priority="694">
      <formula>(#REF!&lt;&gt;"")*(#REF!&lt;&gt;"")</formula>
    </cfRule>
  </conditionalFormatting>
  <conditionalFormatting sqref="A4908">
    <cfRule type="expression" dxfId="0" priority="748">
      <formula>(#REF!&lt;&gt;"")*(#REF!&lt;&gt;"")</formula>
    </cfRule>
  </conditionalFormatting>
  <conditionalFormatting sqref="E4908:G4908">
    <cfRule type="expression" dxfId="0" priority="747">
      <formula>(#REF!&lt;&gt;"")*(#REF!&lt;&gt;"")</formula>
    </cfRule>
  </conditionalFormatting>
  <conditionalFormatting sqref="H4908">
    <cfRule type="expression" dxfId="0" priority="743">
      <formula>(#REF!&lt;&gt;"")*(#REF!&lt;&gt;"")</formula>
    </cfRule>
  </conditionalFormatting>
  <conditionalFormatting sqref="J4908">
    <cfRule type="expression" dxfId="0" priority="746">
      <formula>(#REF!&lt;&gt;"")*(#REF!&lt;&gt;"")</formula>
    </cfRule>
  </conditionalFormatting>
  <conditionalFormatting sqref="K4908">
    <cfRule type="expression" dxfId="0" priority="744">
      <formula>(#REF!&lt;&gt;"")*(#REF!&lt;&gt;"")</formula>
    </cfRule>
  </conditionalFormatting>
  <conditionalFormatting sqref="L4908:M4908">
    <cfRule type="expression" dxfId="0" priority="745">
      <formula>(#REF!&lt;&gt;"")*(#REF!&lt;&gt;"")</formula>
    </cfRule>
  </conditionalFormatting>
  <conditionalFormatting sqref="N4908">
    <cfRule type="expression" dxfId="0" priority="690">
      <formula>(#REF!&lt;&gt;"")*(#REF!&lt;&gt;"")</formula>
    </cfRule>
  </conditionalFormatting>
  <conditionalFormatting sqref="O4908">
    <cfRule type="expression" dxfId="0" priority="687">
      <formula>(#REF!&lt;&gt;"")*(#REF!&lt;&gt;"")</formula>
    </cfRule>
  </conditionalFormatting>
  <conditionalFormatting sqref="P4908">
    <cfRule type="expression" dxfId="1" priority="686">
      <formula>(#REF!&lt;&gt;"")*(#REF!&lt;&gt;"")</formula>
    </cfRule>
  </conditionalFormatting>
  <conditionalFormatting sqref="Q4908">
    <cfRule type="expression" dxfId="0" priority="689">
      <formula>(#REF!&lt;&gt;"")*(#REF!&lt;&gt;"")</formula>
    </cfRule>
    <cfRule type="expression" dxfId="1" priority="688">
      <formula>(#REF!&lt;&gt;"")*(#REF!&lt;&gt;"")</formula>
    </cfRule>
  </conditionalFormatting>
  <conditionalFormatting sqref="A4909">
    <cfRule type="expression" dxfId="0" priority="754">
      <formula>(#REF!&lt;&gt;"")*(#REF!&lt;&gt;"")</formula>
    </cfRule>
  </conditionalFormatting>
  <conditionalFormatting sqref="E4909:G4909">
    <cfRule type="expression" dxfId="0" priority="753">
      <formula>(#REF!&lt;&gt;"")*(#REF!&lt;&gt;"")</formula>
    </cfRule>
  </conditionalFormatting>
  <conditionalFormatting sqref="H4909">
    <cfRule type="expression" dxfId="0" priority="749">
      <formula>(#REF!&lt;&gt;"")*(#REF!&lt;&gt;"")</formula>
    </cfRule>
  </conditionalFormatting>
  <conditionalFormatting sqref="J4909">
    <cfRule type="expression" dxfId="0" priority="752">
      <formula>(#REF!&lt;&gt;"")*(#REF!&lt;&gt;"")</formula>
    </cfRule>
  </conditionalFormatting>
  <conditionalFormatting sqref="K4909">
    <cfRule type="expression" dxfId="0" priority="750">
      <formula>(#REF!&lt;&gt;"")*(#REF!&lt;&gt;"")</formula>
    </cfRule>
  </conditionalFormatting>
  <conditionalFormatting sqref="L4909:M4909">
    <cfRule type="expression" dxfId="0" priority="751">
      <formula>(#REF!&lt;&gt;"")*(#REF!&lt;&gt;"")</formula>
    </cfRule>
  </conditionalFormatting>
  <conditionalFormatting sqref="N4909">
    <cfRule type="expression" dxfId="0" priority="685">
      <formula>(#REF!&lt;&gt;"")*(#REF!&lt;&gt;"")</formula>
    </cfRule>
  </conditionalFormatting>
  <conditionalFormatting sqref="O4909">
    <cfRule type="expression" dxfId="0" priority="682">
      <formula>(#REF!&lt;&gt;"")*(#REF!&lt;&gt;"")</formula>
    </cfRule>
  </conditionalFormatting>
  <conditionalFormatting sqref="P4909">
    <cfRule type="expression" dxfId="1" priority="681">
      <formula>(#REF!&lt;&gt;"")*(#REF!&lt;&gt;"")</formula>
    </cfRule>
  </conditionalFormatting>
  <conditionalFormatting sqref="Q4909">
    <cfRule type="expression" dxfId="0" priority="684">
      <formula>(#REF!&lt;&gt;"")*(#REF!&lt;&gt;"")</formula>
    </cfRule>
    <cfRule type="expression" dxfId="1" priority="683">
      <formula>(#REF!&lt;&gt;"")*(#REF!&lt;&gt;"")</formula>
    </cfRule>
  </conditionalFormatting>
  <conditionalFormatting sqref="A4913">
    <cfRule type="expression" dxfId="0" priority="2973">
      <formula>(#REF!&lt;&gt;"")*(#REF!&lt;&gt;"")</formula>
    </cfRule>
  </conditionalFormatting>
  <conditionalFormatting sqref="A4915">
    <cfRule type="expression" dxfId="0" priority="2972">
      <formula>(#REF!&lt;&gt;"")*(#REF!&lt;&gt;"")</formula>
    </cfRule>
  </conditionalFormatting>
  <conditionalFormatting sqref="M4922">
    <cfRule type="expression" dxfId="0" priority="2720">
      <formula>(#REF!&lt;&gt;"")*(#REF!&lt;&gt;"")</formula>
    </cfRule>
  </conditionalFormatting>
  <conditionalFormatting sqref="P4922:Q4922">
    <cfRule type="expression" dxfId="1" priority="2718">
      <formula>(#REF!&lt;&gt;"")*(#REF!&lt;&gt;"")</formula>
    </cfRule>
  </conditionalFormatting>
  <conditionalFormatting sqref="Q4922">
    <cfRule type="expression" dxfId="0" priority="2719">
      <formula>(#REF!&lt;&gt;"")*(#REF!&lt;&gt;"")</formula>
    </cfRule>
  </conditionalFormatting>
  <conditionalFormatting sqref="R4922">
    <cfRule type="expression" dxfId="0" priority="2622">
      <formula>(#REF!&lt;&gt;"")*(#REF!&lt;&gt;"")</formula>
    </cfRule>
  </conditionalFormatting>
  <conditionalFormatting sqref="N4924">
    <cfRule type="expression" dxfId="0" priority="2717">
      <formula>(#REF!&lt;&gt;"")*(#REF!&lt;&gt;"")</formula>
    </cfRule>
  </conditionalFormatting>
  <conditionalFormatting sqref="R4924">
    <cfRule type="expression" dxfId="0" priority="2621">
      <formula>(#REF!&lt;&gt;"")*(#REF!&lt;&gt;"")</formula>
    </cfRule>
  </conditionalFormatting>
  <conditionalFormatting sqref="A4926">
    <cfRule type="expression" dxfId="0" priority="2715">
      <formula>(#REF!&lt;&gt;"")*(#REF!&lt;&gt;"")</formula>
    </cfRule>
  </conditionalFormatting>
  <conditionalFormatting sqref="M4926">
    <cfRule type="expression" dxfId="0" priority="2716">
      <formula>(#REF!&lt;&gt;"")*(#REF!&lt;&gt;"")</formula>
    </cfRule>
  </conditionalFormatting>
  <conditionalFormatting sqref="N4926">
    <cfRule type="expression" dxfId="0" priority="2713">
      <formula>(#REF!&lt;&gt;"")*(#REF!&lt;&gt;"")</formula>
    </cfRule>
  </conditionalFormatting>
  <conditionalFormatting sqref="P4926:Q4926">
    <cfRule type="expression" dxfId="1" priority="2714">
      <formula>(#REF!&lt;&gt;"")*(#REF!&lt;&gt;"")</formula>
    </cfRule>
  </conditionalFormatting>
  <conditionalFormatting sqref="R4926">
    <cfRule type="expression" dxfId="0" priority="2620">
      <formula>(#REF!&lt;&gt;"")*(#REF!&lt;&gt;"")</formula>
    </cfRule>
  </conditionalFormatting>
  <conditionalFormatting sqref="E4928:G4928">
    <cfRule type="expression" dxfId="0" priority="2711">
      <formula>(#REF!&lt;&gt;"")*(#REF!&lt;&gt;"")</formula>
    </cfRule>
  </conditionalFormatting>
  <conditionalFormatting sqref="M4928">
    <cfRule type="expression" dxfId="0" priority="2712">
      <formula>(#REF!&lt;&gt;"")*(#REF!&lt;&gt;"")</formula>
    </cfRule>
  </conditionalFormatting>
  <conditionalFormatting sqref="N4928">
    <cfRule type="expression" dxfId="0" priority="2709">
      <formula>(#REF!&lt;&gt;"")*(#REF!&lt;&gt;"")</formula>
    </cfRule>
  </conditionalFormatting>
  <conditionalFormatting sqref="P4928:Q4928">
    <cfRule type="expression" dxfId="1" priority="2710">
      <formula>(#REF!&lt;&gt;"")*(#REF!&lt;&gt;"")</formula>
    </cfRule>
  </conditionalFormatting>
  <conditionalFormatting sqref="R4928">
    <cfRule type="expression" dxfId="0" priority="2619">
      <formula>(#REF!&lt;&gt;"")*(#REF!&lt;&gt;"")</formula>
    </cfRule>
  </conditionalFormatting>
  <conditionalFormatting sqref="E4929:G4929">
    <cfRule type="expression" dxfId="0" priority="3091">
      <formula>(#REF!&lt;&gt;"")*(#REF!&lt;&gt;"")</formula>
    </cfRule>
  </conditionalFormatting>
  <conditionalFormatting sqref="A4936">
    <cfRule type="expression" dxfId="0" priority="2706">
      <formula>(#REF!&lt;&gt;"")*(#REF!&lt;&gt;"")</formula>
    </cfRule>
  </conditionalFormatting>
  <conditionalFormatting sqref="M4936">
    <cfRule type="expression" dxfId="0" priority="2708">
      <formula>(#REF!&lt;&gt;"")*(#REF!&lt;&gt;"")</formula>
    </cfRule>
  </conditionalFormatting>
  <conditionalFormatting sqref="N4936">
    <cfRule type="expression" dxfId="0" priority="2702">
      <formula>(#REF!&lt;&gt;"")*(#REF!&lt;&gt;"")</formula>
    </cfRule>
  </conditionalFormatting>
  <conditionalFormatting sqref="P4936:Q4936">
    <cfRule type="expression" dxfId="1" priority="2707">
      <formula>(#REF!&lt;&gt;"")*(#REF!&lt;&gt;"")</formula>
    </cfRule>
  </conditionalFormatting>
  <conditionalFormatting sqref="R4936">
    <cfRule type="expression" dxfId="0" priority="2618">
      <formula>(#REF!&lt;&gt;"")*(#REF!&lt;&gt;"")</formula>
    </cfRule>
  </conditionalFormatting>
  <conditionalFormatting sqref="T4936">
    <cfRule type="expression" dxfId="0" priority="2701">
      <formula>(#REF!&lt;&gt;"")*(#REF!&lt;&gt;"")</formula>
    </cfRule>
  </conditionalFormatting>
  <conditionalFormatting sqref="M4938">
    <cfRule type="expression" dxfId="0" priority="2705">
      <formula>(#REF!&lt;&gt;"")*(#REF!&lt;&gt;"")</formula>
    </cfRule>
  </conditionalFormatting>
  <conditionalFormatting sqref="N4938">
    <cfRule type="expression" dxfId="0" priority="2699">
      <formula>(#REF!&lt;&gt;"")*(#REF!&lt;&gt;"")</formula>
    </cfRule>
  </conditionalFormatting>
  <conditionalFormatting sqref="P4938:Q4938">
    <cfRule type="expression" dxfId="1" priority="2704">
      <formula>(#REF!&lt;&gt;"")*(#REF!&lt;&gt;"")</formula>
    </cfRule>
  </conditionalFormatting>
  <conditionalFormatting sqref="R4938">
    <cfRule type="expression" dxfId="0" priority="2617">
      <formula>(#REF!&lt;&gt;"")*(#REF!&lt;&gt;"")</formula>
    </cfRule>
  </conditionalFormatting>
  <conditionalFormatting sqref="T4938">
    <cfRule type="expression" dxfId="0" priority="2700">
      <formula>(#REF!&lt;&gt;"")*(#REF!&lt;&gt;"")</formula>
    </cfRule>
  </conditionalFormatting>
  <conditionalFormatting sqref="P4940:Q4940">
    <cfRule type="expression" dxfId="1" priority="964">
      <formula>(#REF!&lt;&gt;"")*(#REF!&lt;&gt;"")</formula>
    </cfRule>
  </conditionalFormatting>
  <conditionalFormatting sqref="N4942:O4942">
    <cfRule type="expression" dxfId="0" priority="960">
      <formula>(#REF!&lt;&gt;"")*(#REF!&lt;&gt;"")</formula>
    </cfRule>
  </conditionalFormatting>
  <conditionalFormatting sqref="P4942:Q4942">
    <cfRule type="expression" dxfId="1" priority="962">
      <formula>(#REF!&lt;&gt;"")*(#REF!&lt;&gt;"")</formula>
    </cfRule>
  </conditionalFormatting>
  <conditionalFormatting sqref="A4945">
    <cfRule type="expression" dxfId="0" priority="2696">
      <formula>(#REF!&lt;&gt;"")*(#REF!&lt;&gt;"")</formula>
    </cfRule>
  </conditionalFormatting>
  <conditionalFormatting sqref="M4945">
    <cfRule type="expression" dxfId="0" priority="2698">
      <formula>(#REF!&lt;&gt;"")*(#REF!&lt;&gt;"")</formula>
    </cfRule>
  </conditionalFormatting>
  <conditionalFormatting sqref="N4945">
    <cfRule type="expression" dxfId="0" priority="2695">
      <formula>(#REF!&lt;&gt;"")*(#REF!&lt;&gt;"")</formula>
    </cfRule>
  </conditionalFormatting>
  <conditionalFormatting sqref="P4945:Q4945">
    <cfRule type="expression" dxfId="1" priority="2697">
      <formula>(#REF!&lt;&gt;"")*(#REF!&lt;&gt;"")</formula>
    </cfRule>
  </conditionalFormatting>
  <conditionalFormatting sqref="R4945">
    <cfRule type="expression" dxfId="0" priority="2616">
      <formula>(#REF!&lt;&gt;"")*(#REF!&lt;&gt;"")</formula>
    </cfRule>
  </conditionalFormatting>
  <conditionalFormatting sqref="T4945">
    <cfRule type="expression" dxfId="0" priority="2694">
      <formula>(#REF!&lt;&gt;"")*(#REF!&lt;&gt;"")</formula>
    </cfRule>
  </conditionalFormatting>
  <conditionalFormatting sqref="A4947">
    <cfRule type="expression" dxfId="0" priority="2691">
      <formula>(#REF!&lt;&gt;"")*(#REF!&lt;&gt;"")</formula>
    </cfRule>
  </conditionalFormatting>
  <conditionalFormatting sqref="M4947">
    <cfRule type="expression" dxfId="0" priority="2693">
      <formula>(#REF!&lt;&gt;"")*(#REF!&lt;&gt;"")</formula>
    </cfRule>
  </conditionalFormatting>
  <conditionalFormatting sqref="N4947">
    <cfRule type="expression" dxfId="0" priority="2690">
      <formula>(#REF!&lt;&gt;"")*(#REF!&lt;&gt;"")</formula>
    </cfRule>
  </conditionalFormatting>
  <conditionalFormatting sqref="P4947:Q4947">
    <cfRule type="expression" dxfId="1" priority="2692">
      <formula>(#REF!&lt;&gt;"")*(#REF!&lt;&gt;"")</formula>
    </cfRule>
  </conditionalFormatting>
  <conditionalFormatting sqref="R4947">
    <cfRule type="expression" dxfId="0" priority="2615">
      <formula>(#REF!&lt;&gt;"")*(#REF!&lt;&gt;"")</formula>
    </cfRule>
  </conditionalFormatting>
  <conditionalFormatting sqref="T4947">
    <cfRule type="expression" dxfId="0" priority="2679">
      <formula>(#REF!&lt;&gt;"")*(#REF!&lt;&gt;"")</formula>
    </cfRule>
  </conditionalFormatting>
  <conditionalFormatting sqref="A4949">
    <cfRule type="expression" dxfId="0" priority="2687">
      <formula>(#REF!&lt;&gt;"")*(#REF!&lt;&gt;"")</formula>
    </cfRule>
  </conditionalFormatting>
  <conditionalFormatting sqref="M4949">
    <cfRule type="expression" dxfId="0" priority="2689">
      <formula>(#REF!&lt;&gt;"")*(#REF!&lt;&gt;"")</formula>
    </cfRule>
  </conditionalFormatting>
  <conditionalFormatting sqref="N4949">
    <cfRule type="expression" dxfId="0" priority="2686">
      <formula>(#REF!&lt;&gt;"")*(#REF!&lt;&gt;"")</formula>
    </cfRule>
  </conditionalFormatting>
  <conditionalFormatting sqref="P4949">
    <cfRule type="expression" dxfId="1" priority="2688">
      <formula>(#REF!&lt;&gt;"")*(#REF!&lt;&gt;"")</formula>
    </cfRule>
  </conditionalFormatting>
  <conditionalFormatting sqref="Q4949">
    <cfRule type="expression" dxfId="0" priority="2680">
      <formula>(#REF!&lt;&gt;"")*(#REF!&lt;&gt;"")</formula>
    </cfRule>
    <cfRule type="expression" dxfId="1" priority="2681">
      <formula>(#REF!&lt;&gt;"")*(#REF!&lt;&gt;"")</formula>
    </cfRule>
  </conditionalFormatting>
  <conditionalFormatting sqref="R4949">
    <cfRule type="expression" dxfId="0" priority="2614">
      <formula>(#REF!&lt;&gt;"")*(#REF!&lt;&gt;"")</formula>
    </cfRule>
  </conditionalFormatting>
  <conditionalFormatting sqref="T4949">
    <cfRule type="expression" dxfId="0" priority="2678">
      <formula>(#REF!&lt;&gt;"")*(#REF!&lt;&gt;"")</formula>
    </cfRule>
  </conditionalFormatting>
  <conditionalFormatting sqref="A4951">
    <cfRule type="expression" dxfId="0" priority="2683">
      <formula>(#REF!&lt;&gt;"")*(#REF!&lt;&gt;"")</formula>
    </cfRule>
  </conditionalFormatting>
  <conditionalFormatting sqref="M4951">
    <cfRule type="expression" dxfId="0" priority="2685">
      <formula>(#REF!&lt;&gt;"")*(#REF!&lt;&gt;"")</formula>
    </cfRule>
  </conditionalFormatting>
  <conditionalFormatting sqref="N4951">
    <cfRule type="expression" dxfId="0" priority="2682">
      <formula>(#REF!&lt;&gt;"")*(#REF!&lt;&gt;"")</formula>
    </cfRule>
  </conditionalFormatting>
  <conditionalFormatting sqref="P4951:Q4951">
    <cfRule type="expression" dxfId="1" priority="2684">
      <formula>(#REF!&lt;&gt;"")*(#REF!&lt;&gt;"")</formula>
    </cfRule>
  </conditionalFormatting>
  <conditionalFormatting sqref="R4951">
    <cfRule type="expression" dxfId="0" priority="2613">
      <formula>(#REF!&lt;&gt;"")*(#REF!&lt;&gt;"")</formula>
    </cfRule>
  </conditionalFormatting>
  <conditionalFormatting sqref="T4951">
    <cfRule type="expression" dxfId="0" priority="2677">
      <formula>(#REF!&lt;&gt;"")*(#REF!&lt;&gt;"")</formula>
    </cfRule>
  </conditionalFormatting>
  <conditionalFormatting sqref="M4958">
    <cfRule type="expression" dxfId="0" priority="2758">
      <formula>(#REF!&lt;&gt;"")*(#REF!&lt;&gt;"")</formula>
    </cfRule>
  </conditionalFormatting>
  <conditionalFormatting sqref="P4958:Q4958">
    <cfRule type="expression" dxfId="1" priority="2760">
      <formula>(#REF!&lt;&gt;"")*(#REF!&lt;&gt;"")</formula>
    </cfRule>
  </conditionalFormatting>
  <conditionalFormatting sqref="Q4958">
    <cfRule type="expression" dxfId="0" priority="2759">
      <formula>(#REF!&lt;&gt;"")*(#REF!&lt;&gt;"")</formula>
    </cfRule>
  </conditionalFormatting>
  <conditionalFormatting sqref="A4960">
    <cfRule type="expression" dxfId="0" priority="2553">
      <formula>(#REF!&lt;&gt;"")*(#REF!&lt;&gt;"")</formula>
    </cfRule>
  </conditionalFormatting>
  <conditionalFormatting sqref="A4961">
    <cfRule type="expression" dxfId="0" priority="2543">
      <formula>(#REF!&lt;&gt;"")*(#REF!&lt;&gt;"")</formula>
    </cfRule>
  </conditionalFormatting>
  <conditionalFormatting sqref="E4961:H4961">
    <cfRule type="expression" dxfId="0" priority="2542">
      <formula>(#REF!&lt;&gt;"")*(#REF!&lt;&gt;"")</formula>
    </cfRule>
  </conditionalFormatting>
  <conditionalFormatting sqref="A4962">
    <cfRule type="expression" dxfId="0" priority="2540">
      <formula>(#REF!&lt;&gt;"")*(#REF!&lt;&gt;"")</formula>
    </cfRule>
  </conditionalFormatting>
  <conditionalFormatting sqref="E4962:H4962">
    <cfRule type="expression" dxfId="0" priority="2539">
      <formula>(#REF!&lt;&gt;"")*(#REF!&lt;&gt;"")</formula>
    </cfRule>
  </conditionalFormatting>
  <conditionalFormatting sqref="J4962:O4962">
    <cfRule type="expression" dxfId="0" priority="2541">
      <formula>(#REF!&lt;&gt;"")*(#REF!&lt;&gt;"")</formula>
    </cfRule>
  </conditionalFormatting>
  <conditionalFormatting sqref="A4963">
    <cfRule type="expression" dxfId="0" priority="2537">
      <formula>(#REF!&lt;&gt;"")*(#REF!&lt;&gt;"")</formula>
    </cfRule>
  </conditionalFormatting>
  <conditionalFormatting sqref="E4963:H4963">
    <cfRule type="expression" dxfId="0" priority="2536">
      <formula>(#REF!&lt;&gt;"")*(#REF!&lt;&gt;"")</formula>
    </cfRule>
  </conditionalFormatting>
  <conditionalFormatting sqref="J4963:O4963">
    <cfRule type="expression" dxfId="0" priority="2538">
      <formula>(#REF!&lt;&gt;"")*(#REF!&lt;&gt;"")</formula>
    </cfRule>
  </conditionalFormatting>
  <conditionalFormatting sqref="A4964">
    <cfRule type="expression" dxfId="0" priority="2534">
      <formula>(#REF!&lt;&gt;"")*(#REF!&lt;&gt;"")</formula>
    </cfRule>
  </conditionalFormatting>
  <conditionalFormatting sqref="E4964:H4964">
    <cfRule type="expression" dxfId="0" priority="2533">
      <formula>(#REF!&lt;&gt;"")*(#REF!&lt;&gt;"")</formula>
    </cfRule>
  </conditionalFormatting>
  <conditionalFormatting sqref="N4964">
    <cfRule type="expression" dxfId="0" priority="2532">
      <formula>(#REF!&lt;&gt;"")*(#REF!&lt;&gt;"")</formula>
    </cfRule>
  </conditionalFormatting>
  <conditionalFormatting sqref="E4965:G4965">
    <cfRule type="expression" dxfId="0" priority="2753">
      <formula>(#REF!&lt;&gt;"")*(#REF!&lt;&gt;"")</formula>
    </cfRule>
  </conditionalFormatting>
  <conditionalFormatting sqref="P4965:Q4965">
    <cfRule type="expression" dxfId="1" priority="2754">
      <formula>(#REF!&lt;&gt;"")*(#REF!&lt;&gt;"")</formula>
    </cfRule>
  </conditionalFormatting>
  <conditionalFormatting sqref="E4966:G4966">
    <cfRule type="expression" dxfId="0" priority="2752">
      <formula>(#REF!&lt;&gt;"")*(#REF!&lt;&gt;"")</formula>
    </cfRule>
  </conditionalFormatting>
  <conditionalFormatting sqref="K4966:O4966">
    <cfRule type="expression" dxfId="0" priority="2756">
      <formula>(#REF!&lt;&gt;"")*(#REF!&lt;&gt;"")</formula>
    </cfRule>
  </conditionalFormatting>
  <conditionalFormatting sqref="P4966:Q4966">
    <cfRule type="expression" dxfId="1" priority="2751">
      <formula>(#REF!&lt;&gt;"")*(#REF!&lt;&gt;"")</formula>
    </cfRule>
  </conditionalFormatting>
  <conditionalFormatting sqref="Q4966">
    <cfRule type="expression" dxfId="0" priority="2750">
      <formula>(#REF!&lt;&gt;"")*(#REF!&lt;&gt;"")</formula>
    </cfRule>
  </conditionalFormatting>
  <conditionalFormatting sqref="H4967">
    <cfRule type="expression" dxfId="0" priority="2749">
      <formula>(#REF!&lt;&gt;"")*(#REF!&lt;&gt;"")</formula>
    </cfRule>
  </conditionalFormatting>
  <conditionalFormatting sqref="P4971">
    <cfRule type="expression" dxfId="1" priority="3101">
      <formula>(#REF!&lt;&gt;"")*(#REF!&lt;&gt;"")</formula>
    </cfRule>
  </conditionalFormatting>
  <conditionalFormatting sqref="Q4971">
    <cfRule type="expression" dxfId="1" priority="3121">
      <formula>(#REF!&lt;&gt;"")*(#REF!&lt;&gt;"")</formula>
    </cfRule>
  </conditionalFormatting>
  <conditionalFormatting sqref="P4972:Q4972">
    <cfRule type="expression" dxfId="1" priority="3119">
      <formula>(#REF!&lt;&gt;"")*(#REF!&lt;&gt;"")</formula>
    </cfRule>
  </conditionalFormatting>
  <conditionalFormatting sqref="P4973:Q4973">
    <cfRule type="expression" dxfId="1" priority="2014">
      <formula>(#REF!&lt;&gt;"")*(#REF!&lt;&gt;"")</formula>
    </cfRule>
  </conditionalFormatting>
  <conditionalFormatting sqref="Q4973">
    <cfRule type="expression" dxfId="0" priority="2016">
      <formula>(#REF!&lt;&gt;"")*(#REF!&lt;&gt;"")</formula>
    </cfRule>
    <cfRule type="expression" dxfId="1" priority="2015">
      <formula>(#REF!&lt;&gt;"")*(#REF!&lt;&gt;"")</formula>
    </cfRule>
  </conditionalFormatting>
  <conditionalFormatting sqref="P4974">
    <cfRule type="expression" dxfId="1" priority="2911">
      <formula>(#REF!&lt;&gt;"")*(#REF!&lt;&gt;"")</formula>
    </cfRule>
  </conditionalFormatting>
  <conditionalFormatting sqref="Q4974">
    <cfRule type="expression" dxfId="1" priority="3117">
      <formula>(#REF!&lt;&gt;"")*(#REF!&lt;&gt;"")</formula>
    </cfRule>
  </conditionalFormatting>
  <conditionalFormatting sqref="P4975">
    <cfRule type="expression" dxfId="1" priority="3102">
      <formula>(#REF!&lt;&gt;"")*(#REF!&lt;&gt;"")</formula>
    </cfRule>
  </conditionalFormatting>
  <conditionalFormatting sqref="Q4975">
    <cfRule type="expression" dxfId="1" priority="3115">
      <formula>(#REF!&lt;&gt;"")*(#REF!&lt;&gt;"")</formula>
    </cfRule>
  </conditionalFormatting>
  <conditionalFormatting sqref="O4976">
    <cfRule type="expression" dxfId="0" priority="2971">
      <formula>(#REF!&lt;&gt;"")*(#REF!&lt;&gt;"")</formula>
    </cfRule>
  </conditionalFormatting>
  <conditionalFormatting sqref="T4976">
    <cfRule type="expression" dxfId="0" priority="3113">
      <formula>(#REF!&lt;&gt;"")*(#REF!&lt;&gt;"")</formula>
    </cfRule>
  </conditionalFormatting>
  <conditionalFormatting sqref="O4977">
    <cfRule type="expression" dxfId="0" priority="2957">
      <formula>(#REF!&lt;&gt;"")*(#REF!&lt;&gt;"")</formula>
    </cfRule>
  </conditionalFormatting>
  <conditionalFormatting sqref="T4977">
    <cfRule type="expression" dxfId="0" priority="3112">
      <formula>(#REF!&lt;&gt;"")*(#REF!&lt;&gt;"")</formula>
    </cfRule>
  </conditionalFormatting>
  <conditionalFormatting sqref="O4979">
    <cfRule type="expression" dxfId="0" priority="1983">
      <formula>(#REF!&lt;&gt;"")*(#REF!&lt;&gt;"")</formula>
    </cfRule>
  </conditionalFormatting>
  <conditionalFormatting sqref="P4979">
    <cfRule type="expression" dxfId="1" priority="1984">
      <formula>(#REF!&lt;&gt;"")*(#REF!&lt;&gt;"")</formula>
    </cfRule>
  </conditionalFormatting>
  <conditionalFormatting sqref="P4980:Q4980">
    <cfRule type="expression" dxfId="1" priority="3109">
      <formula>(#REF!&lt;&gt;"")*(#REF!&lt;&gt;"")</formula>
    </cfRule>
  </conditionalFormatting>
  <conditionalFormatting sqref="P4981:Q4981">
    <cfRule type="expression" dxfId="1" priority="2019">
      <formula>(#REF!&lt;&gt;"")*(#REF!&lt;&gt;"")</formula>
    </cfRule>
  </conditionalFormatting>
  <conditionalFormatting sqref="Q4981">
    <cfRule type="expression" dxfId="0" priority="2021">
      <formula>(#REF!&lt;&gt;"")*(#REF!&lt;&gt;"")</formula>
    </cfRule>
    <cfRule type="expression" dxfId="1" priority="2020">
      <formula>(#REF!&lt;&gt;"")*(#REF!&lt;&gt;"")</formula>
    </cfRule>
  </conditionalFormatting>
  <conditionalFormatting sqref="O4983">
    <cfRule type="expression" dxfId="0" priority="2970">
      <formula>(#REF!&lt;&gt;"")*(#REF!&lt;&gt;"")</formula>
    </cfRule>
  </conditionalFormatting>
  <conditionalFormatting sqref="P4983:Q4983">
    <cfRule type="expression" dxfId="1" priority="3107">
      <formula>(#REF!&lt;&gt;"")*(#REF!&lt;&gt;"")</formula>
    </cfRule>
  </conditionalFormatting>
  <conditionalFormatting sqref="P4986">
    <cfRule type="expression" dxfId="1" priority="3100">
      <formula>(#REF!&lt;&gt;"")*(#REF!&lt;&gt;"")</formula>
    </cfRule>
  </conditionalFormatting>
  <conditionalFormatting sqref="A4987">
    <cfRule type="expression" dxfId="0" priority="3097">
      <formula>(#REF!&lt;&gt;"")*(#REF!&lt;&gt;"")</formula>
    </cfRule>
  </conditionalFormatting>
  <conditionalFormatting sqref="E4987">
    <cfRule type="expression" dxfId="0" priority="3099">
      <formula>(#REF!&lt;&gt;"")*(#REF!&lt;&gt;"")</formula>
    </cfRule>
  </conditionalFormatting>
  <conditionalFormatting sqref="F4987">
    <cfRule type="expression" dxfId="0" priority="3098">
      <formula>(#REF!&lt;&gt;"")*(#REF!&lt;&gt;"")</formula>
    </cfRule>
  </conditionalFormatting>
  <conditionalFormatting sqref="G4987">
    <cfRule type="expression" dxfId="0" priority="3096">
      <formula>(#REF!&lt;&gt;"")*(#REF!&lt;&gt;"")</formula>
    </cfRule>
  </conditionalFormatting>
  <conditionalFormatting sqref="A4990">
    <cfRule type="expression" dxfId="0" priority="1987">
      <formula>(#REF!&lt;&gt;"")*(#REF!&lt;&gt;"")</formula>
    </cfRule>
  </conditionalFormatting>
  <conditionalFormatting sqref="F4990">
    <cfRule type="expression" dxfId="0" priority="1989">
      <formula>(#REF!&lt;&gt;"")*(#REF!&lt;&gt;"")</formula>
    </cfRule>
  </conditionalFormatting>
  <conditionalFormatting sqref="M4990">
    <cfRule type="expression" dxfId="0" priority="1993">
      <formula>(#REF!&lt;&gt;"")*(#REF!&lt;&gt;"")</formula>
    </cfRule>
  </conditionalFormatting>
  <conditionalFormatting sqref="P4990:Q4990">
    <cfRule type="expression" dxfId="1" priority="1991">
      <formula>(#REF!&lt;&gt;"")*(#REF!&lt;&gt;"")</formula>
    </cfRule>
  </conditionalFormatting>
  <conditionalFormatting sqref="T4990">
    <cfRule type="expression" dxfId="0" priority="1990">
      <formula>(#REF!&lt;&gt;"")*(#REF!&lt;&gt;"")</formula>
    </cfRule>
  </conditionalFormatting>
  <conditionalFormatting sqref="P5045:Q5045">
    <cfRule type="expression" dxfId="1" priority="2742">
      <formula>(#REF!&lt;&gt;"")*(#REF!&lt;&gt;"")</formula>
    </cfRule>
  </conditionalFormatting>
  <conditionalFormatting sqref="Q5045">
    <cfRule type="expression" dxfId="0" priority="2741">
      <formula>(#REF!&lt;&gt;"")*(#REF!&lt;&gt;"")</formula>
    </cfRule>
  </conditionalFormatting>
  <conditionalFormatting sqref="A5046">
    <cfRule type="expression" dxfId="0" priority="2739">
      <formula>(#REF!&lt;&gt;"")*(#REF!&lt;&gt;"")</formula>
    </cfRule>
  </conditionalFormatting>
  <conditionalFormatting sqref="M5046">
    <cfRule type="expression" dxfId="0" priority="2738">
      <formula>(#REF!&lt;&gt;"")*(#REF!&lt;&gt;"")</formula>
    </cfRule>
  </conditionalFormatting>
  <conditionalFormatting sqref="N5046">
    <cfRule type="expression" dxfId="0" priority="2737">
      <formula>(#REF!&lt;&gt;"")*(#REF!&lt;&gt;"")</formula>
    </cfRule>
  </conditionalFormatting>
  <conditionalFormatting sqref="P5046:Q5046">
    <cfRule type="expression" dxfId="1" priority="2740">
      <formula>(#REF!&lt;&gt;"")*(#REF!&lt;&gt;"")</formula>
    </cfRule>
  </conditionalFormatting>
  <conditionalFormatting sqref="A5047">
    <cfRule type="expression" dxfId="0" priority="2625">
      <formula>(#REF!&lt;&gt;"")*(#REF!&lt;&gt;"")</formula>
    </cfRule>
  </conditionalFormatting>
  <conditionalFormatting sqref="M5047">
    <cfRule type="expression" dxfId="0" priority="2624">
      <formula>(#REF!&lt;&gt;"")*(#REF!&lt;&gt;"")</formula>
    </cfRule>
  </conditionalFormatting>
  <conditionalFormatting sqref="N5047">
    <cfRule type="expression" dxfId="0" priority="2623">
      <formula>(#REF!&lt;&gt;"")*(#REF!&lt;&gt;"")</formula>
    </cfRule>
  </conditionalFormatting>
  <conditionalFormatting sqref="P5047:Q5047">
    <cfRule type="expression" dxfId="1" priority="2626">
      <formula>(#REF!&lt;&gt;"")*(#REF!&lt;&gt;"")</formula>
    </cfRule>
  </conditionalFormatting>
  <conditionalFormatting sqref="A5048">
    <cfRule type="expression" dxfId="0" priority="2586">
      <formula>(#REF!&lt;&gt;"")*(#REF!&lt;&gt;"")</formula>
    </cfRule>
  </conditionalFormatting>
  <conditionalFormatting sqref="M5048">
    <cfRule type="expression" dxfId="0" priority="2585">
      <formula>(#REF!&lt;&gt;"")*(#REF!&lt;&gt;"")</formula>
    </cfRule>
  </conditionalFormatting>
  <conditionalFormatting sqref="N5048">
    <cfRule type="expression" dxfId="0" priority="2584">
      <formula>(#REF!&lt;&gt;"")*(#REF!&lt;&gt;"")</formula>
    </cfRule>
  </conditionalFormatting>
  <conditionalFormatting sqref="P5048:Q5048">
    <cfRule type="expression" dxfId="1" priority="2587">
      <formula>(#REF!&lt;&gt;"")*(#REF!&lt;&gt;"")</formula>
    </cfRule>
  </conditionalFormatting>
  <conditionalFormatting sqref="T5048">
    <cfRule type="expression" dxfId="0" priority="2588">
      <formula>(#REF!&lt;&gt;"")*(#REF!&lt;&gt;"")</formula>
    </cfRule>
  </conditionalFormatting>
  <conditionalFormatting sqref="A5050">
    <cfRule type="expression" dxfId="0" priority="2629">
      <formula>(#REF!&lt;&gt;"")*(#REF!&lt;&gt;"")</formula>
    </cfRule>
  </conditionalFormatting>
  <conditionalFormatting sqref="M5050">
    <cfRule type="expression" dxfId="0" priority="2628">
      <formula>(#REF!&lt;&gt;"")*(#REF!&lt;&gt;"")</formula>
    </cfRule>
  </conditionalFormatting>
  <conditionalFormatting sqref="N5050">
    <cfRule type="expression" dxfId="0" priority="2627">
      <formula>(#REF!&lt;&gt;"")*(#REF!&lt;&gt;"")</formula>
    </cfRule>
  </conditionalFormatting>
  <conditionalFormatting sqref="P5050:Q5050">
    <cfRule type="expression" dxfId="1" priority="2630">
      <formula>(#REF!&lt;&gt;"")*(#REF!&lt;&gt;"")</formula>
    </cfRule>
  </conditionalFormatting>
  <conditionalFormatting sqref="A5051">
    <cfRule type="expression" dxfId="0" priority="2582">
      <formula>(#REF!&lt;&gt;"")*(#REF!&lt;&gt;"")</formula>
    </cfRule>
  </conditionalFormatting>
  <conditionalFormatting sqref="M5051">
    <cfRule type="expression" dxfId="0" priority="2581">
      <formula>(#REF!&lt;&gt;"")*(#REF!&lt;&gt;"")</formula>
    </cfRule>
  </conditionalFormatting>
  <conditionalFormatting sqref="N5051">
    <cfRule type="expression" dxfId="0" priority="2580">
      <formula>(#REF!&lt;&gt;"")*(#REF!&lt;&gt;"")</formula>
    </cfRule>
  </conditionalFormatting>
  <conditionalFormatting sqref="P5051:Q5051">
    <cfRule type="expression" dxfId="1" priority="2583">
      <formula>(#REF!&lt;&gt;"")*(#REF!&lt;&gt;"")</formula>
    </cfRule>
  </conditionalFormatting>
  <conditionalFormatting sqref="A5052">
    <cfRule type="expression" dxfId="0" priority="2578">
      <formula>(#REF!&lt;&gt;"")*(#REF!&lt;&gt;"")</formula>
    </cfRule>
  </conditionalFormatting>
  <conditionalFormatting sqref="A5053">
    <cfRule type="expression" dxfId="0" priority="2575">
      <formula>(#REF!&lt;&gt;"")*(#REF!&lt;&gt;"")</formula>
    </cfRule>
  </conditionalFormatting>
  <conditionalFormatting sqref="H5053">
    <cfRule type="expression" dxfId="0" priority="2568">
      <formula>(#REF!&lt;&gt;"")*(#REF!&lt;&gt;"")</formula>
    </cfRule>
  </conditionalFormatting>
  <conditionalFormatting sqref="A5054">
    <cfRule type="expression" dxfId="0" priority="2574">
      <formula>(#REF!&lt;&gt;"")*(#REF!&lt;&gt;"")</formula>
    </cfRule>
  </conditionalFormatting>
  <conditionalFormatting sqref="H5054">
    <cfRule type="expression" dxfId="0" priority="2567">
      <formula>(#REF!&lt;&gt;"")*(#REF!&lt;&gt;"")</formula>
    </cfRule>
  </conditionalFormatting>
  <conditionalFormatting sqref="A5055">
    <cfRule type="expression" dxfId="0" priority="2570">
      <formula>(#REF!&lt;&gt;"")*(#REF!&lt;&gt;"")</formula>
    </cfRule>
  </conditionalFormatting>
  <conditionalFormatting sqref="H5055">
    <cfRule type="expression" dxfId="0" priority="2569">
      <formula>(#REF!&lt;&gt;"")*(#REF!&lt;&gt;"")</formula>
    </cfRule>
  </conditionalFormatting>
  <conditionalFormatting sqref="J5055:K5055">
    <cfRule type="expression" dxfId="0" priority="2571">
      <formula>(#REF!&lt;&gt;"")*(#REF!&lt;&gt;"")</formula>
    </cfRule>
  </conditionalFormatting>
  <conditionalFormatting sqref="A5056">
    <cfRule type="expression" dxfId="0" priority="2558">
      <formula>(#REF!&lt;&gt;"")*(#REF!&lt;&gt;"")</formula>
    </cfRule>
  </conditionalFormatting>
  <conditionalFormatting sqref="H5056">
    <cfRule type="expression" dxfId="0" priority="2557">
      <formula>(#REF!&lt;&gt;"")*(#REF!&lt;&gt;"")</formula>
    </cfRule>
  </conditionalFormatting>
  <conditionalFormatting sqref="J5056:K5056">
    <cfRule type="expression" dxfId="0" priority="2559">
      <formula>(#REF!&lt;&gt;"")*(#REF!&lt;&gt;"")</formula>
    </cfRule>
  </conditionalFormatting>
  <conditionalFormatting sqref="L5056:M5056">
    <cfRule type="expression" dxfId="0" priority="2564">
      <formula>(#REF!&lt;&gt;"")*(#REF!&lt;&gt;"")</formula>
    </cfRule>
  </conditionalFormatting>
  <conditionalFormatting sqref="M5056">
    <cfRule type="expression" dxfId="0" priority="2563">
      <formula>(#REF!&lt;&gt;"")*(#REF!&lt;&gt;"")</formula>
    </cfRule>
  </conditionalFormatting>
  <conditionalFormatting sqref="A5057">
    <cfRule type="expression" dxfId="0" priority="2518">
      <formula>(#REF!&lt;&gt;"")*(#REF!&lt;&gt;"")</formula>
    </cfRule>
  </conditionalFormatting>
  <conditionalFormatting sqref="E5057:G5057">
    <cfRule type="expression" dxfId="0" priority="2522">
      <formula>(#REF!&lt;&gt;"")*(#REF!&lt;&gt;"")</formula>
    </cfRule>
  </conditionalFormatting>
  <conditionalFormatting sqref="H5057">
    <cfRule type="expression" dxfId="0" priority="2517">
      <formula>(#REF!&lt;&gt;"")*(#REF!&lt;&gt;"")</formula>
    </cfRule>
  </conditionalFormatting>
  <conditionalFormatting sqref="J5057:K5057">
    <cfRule type="expression" dxfId="0" priority="2519">
      <formula>(#REF!&lt;&gt;"")*(#REF!&lt;&gt;"")</formula>
    </cfRule>
  </conditionalFormatting>
  <conditionalFormatting sqref="L5057:M5057">
    <cfRule type="expression" dxfId="0" priority="2521">
      <formula>(#REF!&lt;&gt;"")*(#REF!&lt;&gt;"")</formula>
    </cfRule>
  </conditionalFormatting>
  <conditionalFormatting sqref="M5057">
    <cfRule type="expression" dxfId="0" priority="2520">
      <formula>(#REF!&lt;&gt;"")*(#REF!&lt;&gt;"")</formula>
    </cfRule>
  </conditionalFormatting>
  <conditionalFormatting sqref="A5058">
    <cfRule type="expression" dxfId="0" priority="1648">
      <formula>(#REF!&lt;&gt;"")*(#REF!&lt;&gt;"")</formula>
    </cfRule>
  </conditionalFormatting>
  <conditionalFormatting sqref="E5058:G5058">
    <cfRule type="expression" dxfId="0" priority="1652">
      <formula>(#REF!&lt;&gt;"")*(#REF!&lt;&gt;"")</formula>
    </cfRule>
  </conditionalFormatting>
  <conditionalFormatting sqref="H5058">
    <cfRule type="expression" dxfId="0" priority="1647">
      <formula>(#REF!&lt;&gt;"")*(#REF!&lt;&gt;"")</formula>
    </cfRule>
  </conditionalFormatting>
  <conditionalFormatting sqref="J5058:K5058">
    <cfRule type="expression" dxfId="0" priority="1649">
      <formula>(#REF!&lt;&gt;"")*(#REF!&lt;&gt;"")</formula>
    </cfRule>
  </conditionalFormatting>
  <conditionalFormatting sqref="L5058:M5058">
    <cfRule type="expression" dxfId="0" priority="1651">
      <formula>(#REF!&lt;&gt;"")*(#REF!&lt;&gt;"")</formula>
    </cfRule>
  </conditionalFormatting>
  <conditionalFormatting sqref="M5058">
    <cfRule type="expression" dxfId="0" priority="1650">
      <formula>(#REF!&lt;&gt;"")*(#REF!&lt;&gt;"")</formula>
    </cfRule>
  </conditionalFormatting>
  <conditionalFormatting sqref="N5058">
    <cfRule type="expression" dxfId="0" priority="1655">
      <formula>(#REF!&lt;&gt;"")*(#REF!&lt;&gt;"")</formula>
    </cfRule>
  </conditionalFormatting>
  <conditionalFormatting sqref="O5058">
    <cfRule type="expression" dxfId="0" priority="1656">
      <formula>(#REF!&lt;&gt;"")*(#REF!&lt;&gt;"")</formula>
    </cfRule>
  </conditionalFormatting>
  <conditionalFormatting sqref="P5058:Q5058">
    <cfRule type="expression" dxfId="1" priority="1654">
      <formula>(#REF!&lt;&gt;"")*(#REF!&lt;&gt;"")</formula>
    </cfRule>
  </conditionalFormatting>
  <conditionalFormatting sqref="Q5058">
    <cfRule type="expression" dxfId="0" priority="1653">
      <formula>(#REF!&lt;&gt;"")*(#REF!&lt;&gt;"")</formula>
    </cfRule>
  </conditionalFormatting>
  <conditionalFormatting sqref="A5059">
    <cfRule type="expression" dxfId="0" priority="1622">
      <formula>(#REF!&lt;&gt;"")*(#REF!&lt;&gt;"")</formula>
    </cfRule>
  </conditionalFormatting>
  <conditionalFormatting sqref="E5059:G5059">
    <cfRule type="expression" dxfId="0" priority="1626">
      <formula>(#REF!&lt;&gt;"")*(#REF!&lt;&gt;"")</formula>
    </cfRule>
  </conditionalFormatting>
  <conditionalFormatting sqref="H5059">
    <cfRule type="expression" dxfId="0" priority="1621">
      <formula>(#REF!&lt;&gt;"")*(#REF!&lt;&gt;"")</formula>
    </cfRule>
  </conditionalFormatting>
  <conditionalFormatting sqref="J5059:K5059">
    <cfRule type="expression" dxfId="0" priority="1623">
      <formula>(#REF!&lt;&gt;"")*(#REF!&lt;&gt;"")</formula>
    </cfRule>
  </conditionalFormatting>
  <conditionalFormatting sqref="L5059:M5059">
    <cfRule type="expression" dxfId="0" priority="1625">
      <formula>(#REF!&lt;&gt;"")*(#REF!&lt;&gt;"")</formula>
    </cfRule>
  </conditionalFormatting>
  <conditionalFormatting sqref="M5059">
    <cfRule type="expression" dxfId="0" priority="1624">
      <formula>(#REF!&lt;&gt;"")*(#REF!&lt;&gt;"")</formula>
    </cfRule>
  </conditionalFormatting>
  <conditionalFormatting sqref="N5059">
    <cfRule type="expression" dxfId="0" priority="1629">
      <formula>(#REF!&lt;&gt;"")*(#REF!&lt;&gt;"")</formula>
    </cfRule>
  </conditionalFormatting>
  <conditionalFormatting sqref="O5059">
    <cfRule type="expression" dxfId="0" priority="1630">
      <formula>(#REF!&lt;&gt;"")*(#REF!&lt;&gt;"")</formula>
    </cfRule>
  </conditionalFormatting>
  <conditionalFormatting sqref="P5059:Q5059">
    <cfRule type="expression" dxfId="1" priority="1628">
      <formula>(#REF!&lt;&gt;"")*(#REF!&lt;&gt;"")</formula>
    </cfRule>
  </conditionalFormatting>
  <conditionalFormatting sqref="Q5059">
    <cfRule type="expression" dxfId="0" priority="1627">
      <formula>(#REF!&lt;&gt;"")*(#REF!&lt;&gt;"")</formula>
    </cfRule>
  </conditionalFormatting>
  <conditionalFormatting sqref="A5060">
    <cfRule type="expression" dxfId="0" priority="1606">
      <formula>(#REF!&lt;&gt;"")*(#REF!&lt;&gt;"")</formula>
    </cfRule>
  </conditionalFormatting>
  <conditionalFormatting sqref="E5060:G5060">
    <cfRule type="expression" dxfId="0" priority="1610">
      <formula>(#REF!&lt;&gt;"")*(#REF!&lt;&gt;"")</formula>
    </cfRule>
  </conditionalFormatting>
  <conditionalFormatting sqref="H5060">
    <cfRule type="expression" dxfId="0" priority="1605">
      <formula>(#REF!&lt;&gt;"")*(#REF!&lt;&gt;"")</formula>
    </cfRule>
  </conditionalFormatting>
  <conditionalFormatting sqref="J5060:K5060">
    <cfRule type="expression" dxfId="0" priority="1607">
      <formula>(#REF!&lt;&gt;"")*(#REF!&lt;&gt;"")</formula>
    </cfRule>
  </conditionalFormatting>
  <conditionalFormatting sqref="L5060:M5060">
    <cfRule type="expression" dxfId="0" priority="1609">
      <formula>(#REF!&lt;&gt;"")*(#REF!&lt;&gt;"")</formula>
    </cfRule>
  </conditionalFormatting>
  <conditionalFormatting sqref="M5060">
    <cfRule type="expression" dxfId="0" priority="1608">
      <formula>(#REF!&lt;&gt;"")*(#REF!&lt;&gt;"")</formula>
    </cfRule>
  </conditionalFormatting>
  <conditionalFormatting sqref="N5060">
    <cfRule type="expression" dxfId="0" priority="1613">
      <formula>(#REF!&lt;&gt;"")*(#REF!&lt;&gt;"")</formula>
    </cfRule>
  </conditionalFormatting>
  <conditionalFormatting sqref="O5060">
    <cfRule type="expression" dxfId="0" priority="1614">
      <formula>(#REF!&lt;&gt;"")*(#REF!&lt;&gt;"")</formula>
    </cfRule>
  </conditionalFormatting>
  <conditionalFormatting sqref="P5060:Q5060">
    <cfRule type="expression" dxfId="1" priority="1612">
      <formula>(#REF!&lt;&gt;"")*(#REF!&lt;&gt;"")</formula>
    </cfRule>
  </conditionalFormatting>
  <conditionalFormatting sqref="Q5060">
    <cfRule type="expression" dxfId="0" priority="1611">
      <formula>(#REF!&lt;&gt;"")*(#REF!&lt;&gt;"")</formula>
    </cfRule>
  </conditionalFormatting>
  <conditionalFormatting sqref="A5061">
    <cfRule type="expression" dxfId="0" priority="1596">
      <formula>(#REF!&lt;&gt;"")*(#REF!&lt;&gt;"")</formula>
    </cfRule>
  </conditionalFormatting>
  <conditionalFormatting sqref="E5061:G5061">
    <cfRule type="expression" dxfId="0" priority="1600">
      <formula>(#REF!&lt;&gt;"")*(#REF!&lt;&gt;"")</formula>
    </cfRule>
  </conditionalFormatting>
  <conditionalFormatting sqref="H5061">
    <cfRule type="expression" dxfId="0" priority="1595">
      <formula>(#REF!&lt;&gt;"")*(#REF!&lt;&gt;"")</formula>
    </cfRule>
  </conditionalFormatting>
  <conditionalFormatting sqref="J5061:K5061">
    <cfRule type="expression" dxfId="0" priority="1597">
      <formula>(#REF!&lt;&gt;"")*(#REF!&lt;&gt;"")</formula>
    </cfRule>
  </conditionalFormatting>
  <conditionalFormatting sqref="A5062">
    <cfRule type="expression" dxfId="0" priority="1383">
      <formula>(#REF!&lt;&gt;"")*(#REF!&lt;&gt;"")</formula>
    </cfRule>
  </conditionalFormatting>
  <conditionalFormatting sqref="E5062:G5062">
    <cfRule type="expression" dxfId="0" priority="1385">
      <formula>(#REF!&lt;&gt;"")*(#REF!&lt;&gt;"")</formula>
    </cfRule>
  </conditionalFormatting>
  <conditionalFormatting sqref="H5062">
    <cfRule type="expression" dxfId="0" priority="1382">
      <formula>(#REF!&lt;&gt;"")*(#REF!&lt;&gt;"")</formula>
    </cfRule>
  </conditionalFormatting>
  <conditionalFormatting sqref="J5062:K5062">
    <cfRule type="expression" dxfId="0" priority="1384">
      <formula>(#REF!&lt;&gt;"")*(#REF!&lt;&gt;"")</formula>
    </cfRule>
  </conditionalFormatting>
  <conditionalFormatting sqref="A5063">
    <cfRule type="expression" dxfId="0" priority="1373">
      <formula>(#REF!&lt;&gt;"")*(#REF!&lt;&gt;"")</formula>
    </cfRule>
  </conditionalFormatting>
  <conditionalFormatting sqref="E5063:G5063">
    <cfRule type="expression" dxfId="0" priority="1375">
      <formula>(#REF!&lt;&gt;"")*(#REF!&lt;&gt;"")</formula>
    </cfRule>
  </conditionalFormatting>
  <conditionalFormatting sqref="H5063">
    <cfRule type="expression" dxfId="0" priority="1372">
      <formula>(#REF!&lt;&gt;"")*(#REF!&lt;&gt;"")</formula>
    </cfRule>
  </conditionalFormatting>
  <conditionalFormatting sqref="J5063:K5063">
    <cfRule type="expression" dxfId="0" priority="1374">
      <formula>(#REF!&lt;&gt;"")*(#REF!&lt;&gt;"")</formula>
    </cfRule>
  </conditionalFormatting>
  <conditionalFormatting sqref="L5063:M5063">
    <cfRule type="expression" dxfId="0" priority="1377">
      <formula>(#REF!&lt;&gt;"")*(#REF!&lt;&gt;"")</formula>
    </cfRule>
  </conditionalFormatting>
  <conditionalFormatting sqref="M5063">
    <cfRule type="expression" dxfId="0" priority="1376">
      <formula>(#REF!&lt;&gt;"")*(#REF!&lt;&gt;"")</formula>
    </cfRule>
  </conditionalFormatting>
  <conditionalFormatting sqref="N5063">
    <cfRule type="expression" dxfId="0" priority="1380">
      <formula>(#REF!&lt;&gt;"")*(#REF!&lt;&gt;"")</formula>
    </cfRule>
  </conditionalFormatting>
  <conditionalFormatting sqref="O5063">
    <cfRule type="expression" dxfId="0" priority="1381">
      <formula>(#REF!&lt;&gt;"")*(#REF!&lt;&gt;"")</formula>
    </cfRule>
  </conditionalFormatting>
  <conditionalFormatting sqref="P5063:Q5063">
    <cfRule type="expression" dxfId="1" priority="1379">
      <formula>(#REF!&lt;&gt;"")*(#REF!&lt;&gt;"")</formula>
    </cfRule>
  </conditionalFormatting>
  <conditionalFormatting sqref="Q5063">
    <cfRule type="expression" dxfId="0" priority="1378">
      <formula>(#REF!&lt;&gt;"")*(#REF!&lt;&gt;"")</formula>
    </cfRule>
  </conditionalFormatting>
  <conditionalFormatting sqref="E5064:G5064">
    <cfRule type="expression" dxfId="0" priority="1365">
      <formula>(#REF!&lt;&gt;"")*(#REF!&lt;&gt;"")</formula>
    </cfRule>
  </conditionalFormatting>
  <conditionalFormatting sqref="H5064">
    <cfRule type="expression" dxfId="0" priority="1362">
      <formula>(#REF!&lt;&gt;"")*(#REF!&lt;&gt;"")</formula>
    </cfRule>
  </conditionalFormatting>
  <conditionalFormatting sqref="J5064:K5064">
    <cfRule type="expression" dxfId="0" priority="1364">
      <formula>(#REF!&lt;&gt;"")*(#REF!&lt;&gt;"")</formula>
    </cfRule>
  </conditionalFormatting>
  <conditionalFormatting sqref="L5064:M5064">
    <cfRule type="expression" dxfId="0" priority="1367">
      <formula>(#REF!&lt;&gt;"")*(#REF!&lt;&gt;"")</formula>
    </cfRule>
  </conditionalFormatting>
  <conditionalFormatting sqref="M5064">
    <cfRule type="expression" dxfId="0" priority="1366">
      <formula>(#REF!&lt;&gt;"")*(#REF!&lt;&gt;"")</formula>
    </cfRule>
  </conditionalFormatting>
  <conditionalFormatting sqref="N5064">
    <cfRule type="expression" dxfId="0" priority="1370">
      <formula>(#REF!&lt;&gt;"")*(#REF!&lt;&gt;"")</formula>
    </cfRule>
  </conditionalFormatting>
  <conditionalFormatting sqref="O5064">
    <cfRule type="expression" dxfId="0" priority="1371">
      <formula>(#REF!&lt;&gt;"")*(#REF!&lt;&gt;"")</formula>
    </cfRule>
  </conditionalFormatting>
  <conditionalFormatting sqref="P5064:Q5064">
    <cfRule type="expression" dxfId="1" priority="1369">
      <formula>(#REF!&lt;&gt;"")*(#REF!&lt;&gt;"")</formula>
    </cfRule>
  </conditionalFormatting>
  <conditionalFormatting sqref="Q5064">
    <cfRule type="expression" dxfId="0" priority="1368">
      <formula>(#REF!&lt;&gt;"")*(#REF!&lt;&gt;"")</formula>
    </cfRule>
  </conditionalFormatting>
  <conditionalFormatting sqref="A5065">
    <cfRule type="expression" dxfId="0" priority="1188">
      <formula>(#REF!&lt;&gt;"")*(#REF!&lt;&gt;"")</formula>
    </cfRule>
  </conditionalFormatting>
  <conditionalFormatting sqref="E5065:G5065">
    <cfRule type="expression" dxfId="0" priority="1181">
      <formula>(#REF!&lt;&gt;"")*(#REF!&lt;&gt;"")</formula>
    </cfRule>
  </conditionalFormatting>
  <conditionalFormatting sqref="H5065">
    <cfRule type="expression" dxfId="0" priority="1179">
      <formula>(#REF!&lt;&gt;"")*(#REF!&lt;&gt;"")</formula>
    </cfRule>
  </conditionalFormatting>
  <conditionalFormatting sqref="J5065:K5065">
    <cfRule type="expression" dxfId="0" priority="1180">
      <formula>(#REF!&lt;&gt;"")*(#REF!&lt;&gt;"")</formula>
    </cfRule>
  </conditionalFormatting>
  <conditionalFormatting sqref="L5065:M5065">
    <cfRule type="expression" dxfId="0" priority="1183">
      <formula>(#REF!&lt;&gt;"")*(#REF!&lt;&gt;"")</formula>
    </cfRule>
  </conditionalFormatting>
  <conditionalFormatting sqref="M5065">
    <cfRule type="expression" dxfId="0" priority="1182">
      <formula>(#REF!&lt;&gt;"")*(#REF!&lt;&gt;"")</formula>
    </cfRule>
  </conditionalFormatting>
  <conditionalFormatting sqref="N5065">
    <cfRule type="expression" dxfId="0" priority="1186">
      <formula>(#REF!&lt;&gt;"")*(#REF!&lt;&gt;"")</formula>
    </cfRule>
  </conditionalFormatting>
  <conditionalFormatting sqref="O5065">
    <cfRule type="expression" dxfId="0" priority="1187">
      <formula>(#REF!&lt;&gt;"")*(#REF!&lt;&gt;"")</formula>
    </cfRule>
  </conditionalFormatting>
  <conditionalFormatting sqref="P5065:Q5065">
    <cfRule type="expression" dxfId="1" priority="1185">
      <formula>(#REF!&lt;&gt;"")*(#REF!&lt;&gt;"")</formula>
    </cfRule>
  </conditionalFormatting>
  <conditionalFormatting sqref="Q5065">
    <cfRule type="expression" dxfId="0" priority="1184">
      <formula>(#REF!&lt;&gt;"")*(#REF!&lt;&gt;"")</formula>
    </cfRule>
  </conditionalFormatting>
  <conditionalFormatting sqref="E5066:G5066">
    <cfRule type="expression" dxfId="0" priority="1191">
      <formula>(#REF!&lt;&gt;"")*(#REF!&lt;&gt;"")</formula>
    </cfRule>
  </conditionalFormatting>
  <conditionalFormatting sqref="H5066">
    <cfRule type="expression" dxfId="0" priority="1189">
      <formula>(#REF!&lt;&gt;"")*(#REF!&lt;&gt;"")</formula>
    </cfRule>
  </conditionalFormatting>
  <conditionalFormatting sqref="J5066:K5066">
    <cfRule type="expression" dxfId="0" priority="1190">
      <formula>(#REF!&lt;&gt;"")*(#REF!&lt;&gt;"")</formula>
    </cfRule>
  </conditionalFormatting>
  <conditionalFormatting sqref="L5066:M5066">
    <cfRule type="expression" dxfId="0" priority="1193">
      <formula>(#REF!&lt;&gt;"")*(#REF!&lt;&gt;"")</formula>
    </cfRule>
  </conditionalFormatting>
  <conditionalFormatting sqref="M5066">
    <cfRule type="expression" dxfId="0" priority="1192">
      <formula>(#REF!&lt;&gt;"")*(#REF!&lt;&gt;"")</formula>
    </cfRule>
  </conditionalFormatting>
  <conditionalFormatting sqref="N5066">
    <cfRule type="expression" dxfId="0" priority="1196">
      <formula>(#REF!&lt;&gt;"")*(#REF!&lt;&gt;"")</formula>
    </cfRule>
  </conditionalFormatting>
  <conditionalFormatting sqref="O5066">
    <cfRule type="expression" dxfId="0" priority="1197">
      <formula>(#REF!&lt;&gt;"")*(#REF!&lt;&gt;"")</formula>
    </cfRule>
  </conditionalFormatting>
  <conditionalFormatting sqref="P5066:Q5066">
    <cfRule type="expression" dxfId="1" priority="1195">
      <formula>(#REF!&lt;&gt;"")*(#REF!&lt;&gt;"")</formula>
    </cfRule>
  </conditionalFormatting>
  <conditionalFormatting sqref="Q5066">
    <cfRule type="expression" dxfId="0" priority="1194">
      <formula>(#REF!&lt;&gt;"")*(#REF!&lt;&gt;"")</formula>
    </cfRule>
  </conditionalFormatting>
  <conditionalFormatting sqref="A5067">
    <cfRule type="expression" dxfId="0" priority="3061">
      <formula>(#REF!&lt;&gt;"")*(#REF!&lt;&gt;"")</formula>
    </cfRule>
  </conditionalFormatting>
  <conditionalFormatting sqref="A5068">
    <cfRule type="expression" dxfId="0" priority="3013">
      <formula>(#REF!&lt;&gt;"")*(#REF!&lt;&gt;"")</formula>
    </cfRule>
  </conditionalFormatting>
  <conditionalFormatting sqref="G5068">
    <cfRule type="expression" dxfId="0" priority="3012">
      <formula>(#REF!&lt;&gt;"")*(#REF!&lt;&gt;"")</formula>
    </cfRule>
  </conditionalFormatting>
  <conditionalFormatting sqref="M5068">
    <cfRule type="expression" dxfId="0" priority="3014">
      <formula>(#REF!&lt;&gt;"")*(#REF!&lt;&gt;"")</formula>
    </cfRule>
  </conditionalFormatting>
  <conditionalFormatting sqref="P5068:Q5068">
    <cfRule type="expression" dxfId="1" priority="3016">
      <formula>(#REF!&lt;&gt;"")*(#REF!&lt;&gt;"")</formula>
    </cfRule>
  </conditionalFormatting>
  <conditionalFormatting sqref="Q5068">
    <cfRule type="expression" dxfId="0" priority="3015">
      <formula>(#REF!&lt;&gt;"")*(#REF!&lt;&gt;"")</formula>
    </cfRule>
  </conditionalFormatting>
  <conditionalFormatting sqref="E5069:F5069">
    <cfRule type="expression" dxfId="0" priority="3060">
      <formula>(#REF!&lt;&gt;"")*(#REF!&lt;&gt;"")</formula>
    </cfRule>
  </conditionalFormatting>
  <conditionalFormatting sqref="P5071:Q5071">
    <cfRule type="expression" dxfId="1" priority="967">
      <formula>(#REF!&lt;&gt;"")*(#REF!&lt;&gt;"")</formula>
    </cfRule>
  </conditionalFormatting>
  <conditionalFormatting sqref="A5079">
    <cfRule type="expression" dxfId="0" priority="3046">
      <formula>(#REF!&lt;&gt;"")*(#REF!&lt;&gt;"")</formula>
    </cfRule>
  </conditionalFormatting>
  <conditionalFormatting sqref="M5079">
    <cfRule type="expression" dxfId="0" priority="3045">
      <formula>(#REF!&lt;&gt;"")*(#REF!&lt;&gt;"")</formula>
    </cfRule>
  </conditionalFormatting>
  <conditionalFormatting sqref="P5079:Q5079">
    <cfRule type="expression" dxfId="1" priority="3047">
      <formula>(#REF!&lt;&gt;"")*(#REF!&lt;&gt;"")</formula>
    </cfRule>
  </conditionalFormatting>
  <conditionalFormatting sqref="A5104">
    <cfRule type="expression" dxfId="0" priority="3058">
      <formula>(#REF!&lt;&gt;"")*(#REF!&lt;&gt;"")</formula>
    </cfRule>
  </conditionalFormatting>
  <conditionalFormatting sqref="A5105">
    <cfRule type="expression" dxfId="0" priority="3057">
      <formula>(#REF!&lt;&gt;"")*(#REF!&lt;&gt;"")</formula>
    </cfRule>
  </conditionalFormatting>
  <conditionalFormatting sqref="A5112">
    <cfRule type="expression" dxfId="0" priority="2976">
      <formula>(#REF!&lt;&gt;"")*(#REF!&lt;&gt;"")</formula>
    </cfRule>
  </conditionalFormatting>
  <conditionalFormatting sqref="L5112:N5112">
    <cfRule type="expression" dxfId="0" priority="2977">
      <formula>(#REF!&lt;&gt;"")*(#REF!&lt;&gt;"")</formula>
    </cfRule>
  </conditionalFormatting>
  <conditionalFormatting sqref="A5113">
    <cfRule type="expression" dxfId="0" priority="2555">
      <formula>(#REF!&lt;&gt;"")*(#REF!&lt;&gt;"")</formula>
    </cfRule>
  </conditionalFormatting>
  <conditionalFormatting sqref="A5114">
    <cfRule type="expression" dxfId="0" priority="755">
      <formula>(#REF!&lt;&gt;"")*(#REF!&lt;&gt;"")</formula>
    </cfRule>
  </conditionalFormatting>
  <conditionalFormatting sqref="L5114:M5114">
    <cfRule type="expression" dxfId="0" priority="757">
      <formula>(#REF!&lt;&gt;"")*(#REF!&lt;&gt;"")</formula>
    </cfRule>
  </conditionalFormatting>
  <conditionalFormatting sqref="A5115">
    <cfRule type="expression" dxfId="0" priority="758">
      <formula>(#REF!&lt;&gt;"")*(#REF!&lt;&gt;"")</formula>
    </cfRule>
  </conditionalFormatting>
  <conditionalFormatting sqref="A5116">
    <cfRule type="expression" dxfId="0" priority="3059">
      <formula>(#REF!&lt;&gt;"")*(#REF!&lt;&gt;"")</formula>
    </cfRule>
  </conditionalFormatting>
  <conditionalFormatting sqref="G5116">
    <cfRule type="expression" dxfId="0" priority="3048">
      <formula>(#REF!&lt;&gt;"")*(#REF!&lt;&gt;"")</formula>
    </cfRule>
  </conditionalFormatting>
  <conditionalFormatting sqref="M5162">
    <cfRule type="expression" dxfId="0" priority="1490">
      <formula>(#REF!&lt;&gt;"")*(#REF!&lt;&gt;"")</formula>
    </cfRule>
  </conditionalFormatting>
  <conditionalFormatting sqref="O5162">
    <cfRule type="expression" dxfId="0" priority="1487">
      <formula>(#REF!&lt;&gt;"")*(#REF!&lt;&gt;"")</formula>
    </cfRule>
  </conditionalFormatting>
  <conditionalFormatting sqref="P5162">
    <cfRule type="expression" dxfId="1" priority="1492">
      <formula>(#REF!&lt;&gt;"")*(#REF!&lt;&gt;"")</formula>
    </cfRule>
  </conditionalFormatting>
  <conditionalFormatting sqref="Q5162">
    <cfRule type="expression" dxfId="0" priority="1488">
      <formula>(#REF!&lt;&gt;"")*(#REF!&lt;&gt;"")</formula>
    </cfRule>
    <cfRule type="expression" dxfId="1" priority="1489">
      <formula>(#REF!&lt;&gt;"")*(#REF!&lt;&gt;"")</formula>
    </cfRule>
  </conditionalFormatting>
  <conditionalFormatting sqref="H5169">
    <cfRule type="expression" dxfId="0" priority="1008">
      <formula>(#REF!&lt;&gt;"")*(#REF!&lt;&gt;"")</formula>
    </cfRule>
  </conditionalFormatting>
  <conditionalFormatting sqref="M5169">
    <cfRule type="expression" dxfId="0" priority="1011">
      <formula>(#REF!&lt;&gt;"")*(#REF!&lt;&gt;"")</formula>
    </cfRule>
  </conditionalFormatting>
  <conditionalFormatting sqref="M5170">
    <cfRule type="expression" dxfId="0" priority="1009">
      <formula>(#REF!&lt;&gt;"")*(#REF!&lt;&gt;"")</formula>
    </cfRule>
  </conditionalFormatting>
  <conditionalFormatting sqref="O5170">
    <cfRule type="expression" dxfId="0" priority="1005">
      <formula>(#REF!&lt;&gt;"")*(#REF!&lt;&gt;"")</formula>
    </cfRule>
  </conditionalFormatting>
  <conditionalFormatting sqref="P5170">
    <cfRule type="expression" dxfId="1" priority="1004">
      <formula>(#REF!&lt;&gt;"")*(#REF!&lt;&gt;"")</formula>
    </cfRule>
  </conditionalFormatting>
  <conditionalFormatting sqref="Q5170">
    <cfRule type="expression" dxfId="1" priority="1007">
      <formula>(#REF!&lt;&gt;"")*(#REF!&lt;&gt;"")</formula>
    </cfRule>
  </conditionalFormatting>
  <conditionalFormatting sqref="M5171">
    <cfRule type="expression" dxfId="0" priority="1002">
      <formula>(#REF!&lt;&gt;"")*(#REF!&lt;&gt;"")</formula>
    </cfRule>
  </conditionalFormatting>
  <conditionalFormatting sqref="O5171">
    <cfRule type="expression" dxfId="0" priority="998">
      <formula>(#REF!&lt;&gt;"")*(#REF!&lt;&gt;"")</formula>
    </cfRule>
  </conditionalFormatting>
  <conditionalFormatting sqref="P5171">
    <cfRule type="expression" dxfId="1" priority="997">
      <formula>(#REF!&lt;&gt;"")*(#REF!&lt;&gt;"")</formula>
    </cfRule>
  </conditionalFormatting>
  <conditionalFormatting sqref="Q5171">
    <cfRule type="expression" dxfId="0" priority="999">
      <formula>(#REF!&lt;&gt;"")*(#REF!&lt;&gt;"")</formula>
    </cfRule>
    <cfRule type="expression" dxfId="1" priority="1000">
      <formula>(#REF!&lt;&gt;"")*(#REF!&lt;&gt;"")</formula>
    </cfRule>
  </conditionalFormatting>
  <conditionalFormatting sqref="M5172">
    <cfRule type="expression" dxfId="0" priority="1013">
      <formula>(#REF!&lt;&gt;"")*(#REF!&lt;&gt;"")</formula>
    </cfRule>
  </conditionalFormatting>
  <conditionalFormatting sqref="N5172">
    <cfRule type="expression" dxfId="0" priority="1001">
      <formula>(#REF!&lt;&gt;"")*(#REF!&lt;&gt;"")</formula>
    </cfRule>
  </conditionalFormatting>
  <conditionalFormatting sqref="M5174">
    <cfRule type="expression" dxfId="0" priority="3042">
      <formula>(#REF!&lt;&gt;"")*(#REF!&lt;&gt;"")</formula>
    </cfRule>
  </conditionalFormatting>
  <conditionalFormatting sqref="P5174:Q5174">
    <cfRule type="expression" dxfId="1" priority="3044">
      <formula>(#REF!&lt;&gt;"")*(#REF!&lt;&gt;"")</formula>
    </cfRule>
  </conditionalFormatting>
  <conditionalFormatting sqref="Q5174">
    <cfRule type="expression" dxfId="0" priority="3043">
      <formula>(#REF!&lt;&gt;"")*(#REF!&lt;&gt;"")</formula>
    </cfRule>
  </conditionalFormatting>
  <conditionalFormatting sqref="M5178">
    <cfRule type="expression" dxfId="0" priority="2912">
      <formula>(#REF!&lt;&gt;"")*(#REF!&lt;&gt;"")</formula>
    </cfRule>
  </conditionalFormatting>
  <conditionalFormatting sqref="P5178:Q5178">
    <cfRule type="expression" dxfId="1" priority="2914">
      <formula>(#REF!&lt;&gt;"")*(#REF!&lt;&gt;"")</formula>
    </cfRule>
  </conditionalFormatting>
  <conditionalFormatting sqref="T5178">
    <cfRule type="expression" dxfId="0" priority="2913">
      <formula>(#REF!&lt;&gt;"")*(#REF!&lt;&gt;"")</formula>
    </cfRule>
  </conditionalFormatting>
  <conditionalFormatting sqref="M5181">
    <cfRule type="expression" dxfId="0" priority="3146">
      <formula>(#REF!&lt;&gt;"")*(#REF!&lt;&gt;"")</formula>
    </cfRule>
  </conditionalFormatting>
  <conditionalFormatting sqref="A5182">
    <cfRule type="expression" dxfId="0" priority="3145">
      <formula>(#REF!&lt;&gt;"")*(#REF!&lt;&gt;"")</formula>
    </cfRule>
  </conditionalFormatting>
  <conditionalFormatting sqref="A5183">
    <cfRule type="expression" dxfId="0" priority="3144">
      <formula>(#REF!&lt;&gt;"")*(#REF!&lt;&gt;"")</formula>
    </cfRule>
  </conditionalFormatting>
  <conditionalFormatting sqref="L5183">
    <cfRule type="expression" dxfId="0" priority="3134">
      <formula>(#REF!&lt;&gt;"")*(#REF!&lt;&gt;"")</formula>
    </cfRule>
  </conditionalFormatting>
  <conditionalFormatting sqref="A5185">
    <cfRule type="expression" dxfId="0" priority="3143">
      <formula>(#REF!&lt;&gt;"")*(#REF!&lt;&gt;"")</formula>
    </cfRule>
  </conditionalFormatting>
  <conditionalFormatting sqref="H5185">
    <cfRule type="expression" dxfId="0" priority="3135">
      <formula>(#REF!&lt;&gt;"")*(#REF!&lt;&gt;"")</formula>
    </cfRule>
  </conditionalFormatting>
  <conditionalFormatting sqref="K5185">
    <cfRule type="expression" dxfId="0" priority="3142">
      <formula>(#REF!&lt;&gt;"")*(#REF!&lt;&gt;"")</formula>
    </cfRule>
  </conditionalFormatting>
  <conditionalFormatting sqref="L5185">
    <cfRule type="expression" dxfId="0" priority="3140">
      <formula>(#REF!&lt;&gt;"")*(#REF!&lt;&gt;"")</formula>
    </cfRule>
  </conditionalFormatting>
  <conditionalFormatting sqref="A5186">
    <cfRule type="expression" dxfId="0" priority="3053">
      <formula>(#REF!&lt;&gt;"")*(#REF!&lt;&gt;"")</formula>
    </cfRule>
  </conditionalFormatting>
  <conditionalFormatting sqref="H5186">
    <cfRule type="expression" dxfId="0" priority="3050">
      <formula>(#REF!&lt;&gt;"")*(#REF!&lt;&gt;"")</formula>
    </cfRule>
  </conditionalFormatting>
  <conditionalFormatting sqref="K5186">
    <cfRule type="expression" dxfId="0" priority="3052">
      <formula>(#REF!&lt;&gt;"")*(#REF!&lt;&gt;"")</formula>
    </cfRule>
  </conditionalFormatting>
  <conditionalFormatting sqref="L5186">
    <cfRule type="expression" dxfId="0" priority="3051">
      <formula>(#REF!&lt;&gt;"")*(#REF!&lt;&gt;"")</formula>
    </cfRule>
  </conditionalFormatting>
  <conditionalFormatting sqref="M5186">
    <cfRule type="expression" dxfId="0" priority="3054">
      <formula>(#REF!&lt;&gt;"")*(#REF!&lt;&gt;"")</formula>
    </cfRule>
  </conditionalFormatting>
  <conditionalFormatting sqref="H5187">
    <cfRule type="expression" dxfId="0" priority="3008">
      <formula>(#REF!&lt;&gt;"")*(#REF!&lt;&gt;"")</formula>
    </cfRule>
  </conditionalFormatting>
  <conditionalFormatting sqref="L5187">
    <cfRule type="expression" dxfId="0" priority="3009">
      <formula>(#REF!&lt;&gt;"")*(#REF!&lt;&gt;"")</formula>
    </cfRule>
  </conditionalFormatting>
  <conditionalFormatting sqref="M5187">
    <cfRule type="expression" dxfId="0" priority="3011">
      <formula>(#REF!&lt;&gt;"")*(#REF!&lt;&gt;"")</formula>
    </cfRule>
  </conditionalFormatting>
  <conditionalFormatting sqref="G5193">
    <cfRule type="expression" dxfId="0" priority="2987">
      <formula>(#REF!&lt;&gt;"")*(#REF!&lt;&gt;"")</formula>
    </cfRule>
  </conditionalFormatting>
  <conditionalFormatting sqref="K5193">
    <cfRule type="expression" dxfId="0" priority="2988">
      <formula>(#REF!&lt;&gt;"")*(#REF!&lt;&gt;"")</formula>
    </cfRule>
  </conditionalFormatting>
  <conditionalFormatting sqref="G5194">
    <cfRule type="expression" dxfId="0" priority="2985">
      <formula>(#REF!&lt;&gt;"")*(#REF!&lt;&gt;"")</formula>
    </cfRule>
  </conditionalFormatting>
  <conditionalFormatting sqref="K5194">
    <cfRule type="expression" dxfId="0" priority="2986">
      <formula>(#REF!&lt;&gt;"")*(#REF!&lt;&gt;"")</formula>
    </cfRule>
  </conditionalFormatting>
  <conditionalFormatting sqref="G5197">
    <cfRule type="expression" dxfId="0" priority="2983">
      <formula>(#REF!&lt;&gt;"")*(#REF!&lt;&gt;"")</formula>
    </cfRule>
  </conditionalFormatting>
  <conditionalFormatting sqref="H5197">
    <cfRule type="expression" dxfId="0" priority="2984">
      <formula>(#REF!&lt;&gt;"")*(#REF!&lt;&gt;"")</formula>
    </cfRule>
  </conditionalFormatting>
  <conditionalFormatting sqref="L5202">
    <cfRule type="expression" dxfId="0" priority="2515">
      <formula>(#REF!&lt;&gt;"")*(#REF!&lt;&gt;"")</formula>
    </cfRule>
  </conditionalFormatting>
  <conditionalFormatting sqref="L5203">
    <cfRule type="expression" dxfId="0" priority="2512">
      <formula>(#REF!&lt;&gt;"")*(#REF!&lt;&gt;"")</formula>
    </cfRule>
  </conditionalFormatting>
  <conditionalFormatting sqref="L5204">
    <cfRule type="expression" dxfId="0" priority="2109">
      <formula>(#REF!&lt;&gt;"")*(#REF!&lt;&gt;"")</formula>
    </cfRule>
  </conditionalFormatting>
  <conditionalFormatting sqref="N5204">
    <cfRule type="expression" dxfId="0" priority="2111">
      <formula>(#REF!&lt;&gt;"")*(#REF!&lt;&gt;"")</formula>
    </cfRule>
    <cfRule type="expression" dxfId="0" priority="2112">
      <formula>(#REF!&lt;&gt;"")*(N$1&lt;&gt;"")</formula>
    </cfRule>
  </conditionalFormatting>
  <conditionalFormatting sqref="E5208">
    <cfRule type="expression" dxfId="0" priority="840">
      <formula>(#REF!&lt;&gt;"")*(#REF!&lt;&gt;"")</formula>
    </cfRule>
    <cfRule type="expression" dxfId="0" priority="841">
      <formula>(#REF!&lt;&gt;"")*(E$1&lt;&gt;"")</formula>
    </cfRule>
  </conditionalFormatting>
  <conditionalFormatting sqref="H5208">
    <cfRule type="expression" dxfId="0" priority="838">
      <formula>(#REF!&lt;&gt;"")*(#REF!&lt;&gt;"")</formula>
    </cfRule>
    <cfRule type="expression" dxfId="0" priority="839">
      <formula>(#REF!&lt;&gt;"")*(H$1&lt;&gt;"")</formula>
    </cfRule>
    <cfRule type="expression" dxfId="0" priority="836">
      <formula>(#REF!&lt;&gt;"")*(#REF!&lt;&gt;"")</formula>
    </cfRule>
    <cfRule type="expression" dxfId="0" priority="837">
      <formula>(#REF!&lt;&gt;"")*(H$1&lt;&gt;"")</formula>
    </cfRule>
  </conditionalFormatting>
  <conditionalFormatting sqref="L5208">
    <cfRule type="expression" dxfId="0" priority="843">
      <formula>(#REF!&lt;&gt;"")*(#REF!&lt;&gt;"")</formula>
    </cfRule>
  </conditionalFormatting>
  <conditionalFormatting sqref="N5208">
    <cfRule type="expression" dxfId="0" priority="845">
      <formula>(#REF!&lt;&gt;"")*(#REF!&lt;&gt;"")</formula>
    </cfRule>
    <cfRule type="expression" dxfId="0" priority="846">
      <formula>(#REF!&lt;&gt;"")*(N$1&lt;&gt;"")</formula>
    </cfRule>
  </conditionalFormatting>
  <conditionalFormatting sqref="P5208:Q5208">
    <cfRule type="expression" dxfId="0" priority="849">
      <formula>(#REF!&lt;&gt;"")*(#REF!&lt;&gt;"")</formula>
    </cfRule>
    <cfRule type="expression" dxfId="0" priority="850">
      <formula>(#REF!&lt;&gt;"")*(P$1&lt;&gt;"")</formula>
    </cfRule>
    <cfRule type="expression" dxfId="1" priority="851">
      <formula>(#REF!&lt;&gt;"")*(P$1&lt;&gt;"")</formula>
    </cfRule>
  </conditionalFormatting>
  <conditionalFormatting sqref="A5209">
    <cfRule type="expression" dxfId="0" priority="3131">
      <formula>(#REF!&lt;&gt;"")*(#REF!&lt;&gt;"")</formula>
    </cfRule>
  </conditionalFormatting>
  <conditionalFormatting sqref="K5209:L5209">
    <cfRule type="expression" dxfId="0" priority="3137">
      <formula>(#REF!&lt;&gt;"")*(#REF!&lt;&gt;"")</formula>
    </cfRule>
  </conditionalFormatting>
  <conditionalFormatting sqref="N5209">
    <cfRule type="expression" dxfId="0" priority="3139">
      <formula>(#REF!&lt;&gt;"")*(#REF!&lt;&gt;"")</formula>
    </cfRule>
  </conditionalFormatting>
  <conditionalFormatting sqref="O5209">
    <cfRule type="expression" dxfId="0" priority="3136">
      <formula>(#REF!&lt;&gt;"")*(#REF!&lt;&gt;"")</formula>
    </cfRule>
  </conditionalFormatting>
  <conditionalFormatting sqref="P5209">
    <cfRule type="expression" dxfId="0" priority="3138">
      <formula>(#REF!&lt;&gt;"")*(#REF!&lt;&gt;"")</formula>
    </cfRule>
  </conditionalFormatting>
  <conditionalFormatting sqref="Q5209">
    <cfRule type="expression" dxfId="0" priority="3149">
      <formula>(#REF!&lt;&gt;"")*(#REF!&lt;&gt;"")</formula>
    </cfRule>
  </conditionalFormatting>
  <conditionalFormatting sqref="N5210:O5210">
    <cfRule type="expression" dxfId="0" priority="3132">
      <formula>(#REF!&lt;&gt;"")*(#REF!&lt;&gt;"")</formula>
    </cfRule>
  </conditionalFormatting>
  <conditionalFormatting sqref="P5210">
    <cfRule type="expression" dxfId="0" priority="3133">
      <formula>(#REF!&lt;&gt;"")*(#REF!&lt;&gt;"")</formula>
    </cfRule>
  </conditionalFormatting>
  <conditionalFormatting sqref="M5211">
    <cfRule type="expression" dxfId="0" priority="2115">
      <formula>(#REF!&lt;&gt;"")*(#REF!&lt;&gt;"")</formula>
    </cfRule>
  </conditionalFormatting>
  <conditionalFormatting sqref="N5211:O5211">
    <cfRule type="expression" dxfId="0" priority="2113">
      <formula>(#REF!&lt;&gt;"")*(#REF!&lt;&gt;"")</formula>
    </cfRule>
  </conditionalFormatting>
  <conditionalFormatting sqref="P5211">
    <cfRule type="expression" dxfId="0" priority="2114">
      <formula>(#REF!&lt;&gt;"")*(#REF!&lt;&gt;"")</formula>
    </cfRule>
    <cfRule type="expression" dxfId="1" priority="2118">
      <formula>(#REF!&lt;&gt;"")*(P$1&lt;&gt;"")</formula>
    </cfRule>
  </conditionalFormatting>
  <conditionalFormatting sqref="A5214">
    <cfRule type="expression" dxfId="0" priority="2525">
      <formula>(#REF!&lt;&gt;"")*(#REF!&lt;&gt;"")</formula>
    </cfRule>
  </conditionalFormatting>
  <conditionalFormatting sqref="E5214">
    <cfRule type="expression" dxfId="0" priority="2526">
      <formula>(#REF!&lt;&gt;"")*(#REF!&lt;&gt;"")</formula>
    </cfRule>
  </conditionalFormatting>
  <conditionalFormatting sqref="G5214">
    <cfRule type="expression" dxfId="0" priority="2524">
      <formula>(#REF!&lt;&gt;"")*(#REF!&lt;&gt;"")</formula>
    </cfRule>
  </conditionalFormatting>
  <conditionalFormatting sqref="G5215">
    <cfRule type="expression" dxfId="0" priority="2527">
      <formula>(#REF!&lt;&gt;"")*(#REF!&lt;&gt;"")</formula>
    </cfRule>
  </conditionalFormatting>
  <conditionalFormatting sqref="H5215">
    <cfRule type="expression" dxfId="0" priority="1986">
      <formula>(#REF!&lt;&gt;"")*(#REF!&lt;&gt;"")</formula>
    </cfRule>
  </conditionalFormatting>
  <conditionalFormatting sqref="J5254">
    <cfRule type="expression" dxfId="1" priority="1142">
      <formula>(#REF!&lt;&gt;"")*(J$1&lt;&gt;"")</formula>
    </cfRule>
  </conditionalFormatting>
  <conditionalFormatting sqref="K5293">
    <cfRule type="expression" dxfId="1" priority="1143">
      <formula>(#REF!&lt;&gt;"")*(K$1&lt;&gt;"")</formula>
    </cfRule>
  </conditionalFormatting>
  <conditionalFormatting sqref="O5300">
    <cfRule type="expression" dxfId="1" priority="1926">
      <formula>(#REF!&lt;&gt;"")*(O$1&lt;&gt;"")</formula>
    </cfRule>
  </conditionalFormatting>
  <conditionalFormatting sqref="O5301">
    <cfRule type="expression" dxfId="1" priority="1927">
      <formula>(#REF!&lt;&gt;"")*(O$1&lt;&gt;"")</formula>
    </cfRule>
  </conditionalFormatting>
  <conditionalFormatting sqref="M5328">
    <cfRule type="expression" dxfId="0" priority="1919">
      <formula>(#REF!&lt;&gt;"")*(#REF!&lt;&gt;"")</formula>
    </cfRule>
  </conditionalFormatting>
  <conditionalFormatting sqref="A5329">
    <cfRule type="expression" dxfId="0" priority="1962">
      <formula>(#REF!&lt;&gt;"")*(A$1&lt;&gt;"")</formula>
    </cfRule>
  </conditionalFormatting>
  <conditionalFormatting sqref="K5329">
    <cfRule type="expression" dxfId="0" priority="1917">
      <formula>(#REF!&lt;&gt;"")*(#REF!&lt;&gt;"")</formula>
    </cfRule>
  </conditionalFormatting>
  <conditionalFormatting sqref="M5329">
    <cfRule type="expression" dxfId="0" priority="1918">
      <formula>(#REF!&lt;&gt;"")*(#REF!&lt;&gt;"")</formula>
    </cfRule>
  </conditionalFormatting>
  <conditionalFormatting sqref="O5329">
    <cfRule type="expression" dxfId="1" priority="1921">
      <formula>(#REF!&lt;&gt;"")*(O$1&lt;&gt;"")</formula>
    </cfRule>
  </conditionalFormatting>
  <conditionalFormatting sqref="A5330">
    <cfRule type="expression" dxfId="0" priority="1961">
      <formula>(#REF!&lt;&gt;"")*(A$1&lt;&gt;"")</formula>
    </cfRule>
  </conditionalFormatting>
  <conditionalFormatting sqref="K5330">
    <cfRule type="expression" dxfId="0" priority="1905">
      <formula>(#REF!&lt;&gt;"")*(#REF!&lt;&gt;"")</formula>
    </cfRule>
  </conditionalFormatting>
  <conditionalFormatting sqref="M5330">
    <cfRule type="expression" dxfId="0" priority="1906">
      <formula>(#REF!&lt;&gt;"")*(#REF!&lt;&gt;"")</formula>
    </cfRule>
  </conditionalFormatting>
  <conditionalFormatting sqref="O5330">
    <cfRule type="expression" dxfId="1" priority="1908">
      <formula>(#REF!&lt;&gt;"")*(O$1&lt;&gt;"")</formula>
    </cfRule>
  </conditionalFormatting>
  <conditionalFormatting sqref="A5331">
    <cfRule type="expression" dxfId="0" priority="1960">
      <formula>(#REF!&lt;&gt;"")*(A$1&lt;&gt;"")</formula>
    </cfRule>
  </conditionalFormatting>
  <conditionalFormatting sqref="K5331">
    <cfRule type="expression" dxfId="0" priority="1901">
      <formula>(#REF!&lt;&gt;"")*(#REF!&lt;&gt;"")</formula>
    </cfRule>
  </conditionalFormatting>
  <conditionalFormatting sqref="M5331">
    <cfRule type="expression" dxfId="0" priority="1902">
      <formula>(#REF!&lt;&gt;"")*(#REF!&lt;&gt;"")</formula>
    </cfRule>
  </conditionalFormatting>
  <conditionalFormatting sqref="O5331">
    <cfRule type="expression" dxfId="1" priority="1904">
      <formula>(#REF!&lt;&gt;"")*(O$1&lt;&gt;"")</formula>
    </cfRule>
  </conditionalFormatting>
  <conditionalFormatting sqref="Q5333">
    <cfRule type="expression" dxfId="1" priority="1924">
      <formula>(#REF!&lt;&gt;"")*(#REF!&lt;&gt;"")</formula>
    </cfRule>
  </conditionalFormatting>
  <conditionalFormatting sqref="U5333">
    <cfRule type="expression" dxfId="0" priority="1703">
      <formula>(#REF!&lt;&gt;"")*(#REF!&lt;&gt;"")</formula>
    </cfRule>
  </conditionalFormatting>
  <conditionalFormatting sqref="M5340">
    <cfRule type="expression" dxfId="0" priority="1912">
      <formula>(#REF!&lt;&gt;"")*(#REF!&lt;&gt;"")</formula>
    </cfRule>
  </conditionalFormatting>
  <conditionalFormatting sqref="M5341">
    <cfRule type="expression" dxfId="0" priority="1911">
      <formula>(#REF!&lt;&gt;"")*(#REF!&lt;&gt;"")</formula>
    </cfRule>
  </conditionalFormatting>
  <conditionalFormatting sqref="M5342">
    <cfRule type="expression" dxfId="0" priority="1910">
      <formula>(#REF!&lt;&gt;"")*(#REF!&lt;&gt;"")</formula>
    </cfRule>
  </conditionalFormatting>
  <conditionalFormatting sqref="M5343">
    <cfRule type="expression" dxfId="0" priority="1909">
      <formula>(#REF!&lt;&gt;"")*(#REF!&lt;&gt;"")</formula>
    </cfRule>
  </conditionalFormatting>
  <conditionalFormatting sqref="M5346">
    <cfRule type="expression" dxfId="0" priority="1915">
      <formula>(#REF!&lt;&gt;"")*(#REF!&lt;&gt;"")</formula>
    </cfRule>
  </conditionalFormatting>
  <conditionalFormatting sqref="M5347">
    <cfRule type="expression" dxfId="0" priority="1913">
      <formula>(#REF!&lt;&gt;"")*(#REF!&lt;&gt;"")</formula>
    </cfRule>
  </conditionalFormatting>
  <conditionalFormatting sqref="M5350">
    <cfRule type="expression" dxfId="0" priority="1914">
      <formula>(#REF!&lt;&gt;"")*(#REF!&lt;&gt;"")</formula>
    </cfRule>
  </conditionalFormatting>
  <conditionalFormatting sqref="M5361">
    <cfRule type="expression" dxfId="0" priority="1900">
      <formula>(#REF!&lt;&gt;"")*(#REF!&lt;&gt;"")</formula>
    </cfRule>
  </conditionalFormatting>
  <conditionalFormatting sqref="M5371">
    <cfRule type="expression" dxfId="0" priority="1307">
      <formula>(#REF!&lt;&gt;"")*(#REF!&lt;&gt;"")</formula>
    </cfRule>
  </conditionalFormatting>
  <conditionalFormatting sqref="M5372">
    <cfRule type="expression" dxfId="0" priority="1308">
      <formula>(#REF!&lt;&gt;"")*(#REF!&lt;&gt;"")</formula>
    </cfRule>
  </conditionalFormatting>
  <conditionalFormatting sqref="A5375">
    <cfRule type="expression" dxfId="0" priority="1952">
      <formula>(#REF!&lt;&gt;"")*(#REF!&lt;&gt;"")</formula>
    </cfRule>
  </conditionalFormatting>
  <conditionalFormatting sqref="P5375">
    <cfRule type="expression" dxfId="0" priority="1879">
      <formula>(#REF!&lt;&gt;"")*(#REF!&lt;&gt;"")</formula>
    </cfRule>
    <cfRule type="expression" dxfId="1" priority="1878">
      <formula>(#REF!&lt;&gt;"")*(#REF!&lt;&gt;"")</formula>
    </cfRule>
  </conditionalFormatting>
  <conditionalFormatting sqref="Q5375">
    <cfRule type="expression" dxfId="1" priority="1881">
      <formula>(#REF!&lt;&gt;"")*(#REF!&lt;&gt;"")</formula>
    </cfRule>
  </conditionalFormatting>
  <conditionalFormatting sqref="T5376">
    <cfRule type="expression" dxfId="0" priority="1895">
      <formula>(#REF!&lt;&gt;"")*(#REF!&lt;&gt;"")</formula>
    </cfRule>
  </conditionalFormatting>
  <conditionalFormatting sqref="H5377">
    <cfRule type="expression" dxfId="0" priority="1886">
      <formula>(#REF!&lt;&gt;"")*(#REF!&lt;&gt;"")</formula>
    </cfRule>
  </conditionalFormatting>
  <conditionalFormatting sqref="L5377">
    <cfRule type="expression" dxfId="0" priority="1884">
      <formula>(#REF!&lt;&gt;"")*(#REF!&lt;&gt;"")</formula>
    </cfRule>
  </conditionalFormatting>
  <conditionalFormatting sqref="L5378">
    <cfRule type="expression" dxfId="0" priority="1889">
      <formula>(#REF!&lt;&gt;"")*(#REF!&lt;&gt;"")</formula>
    </cfRule>
  </conditionalFormatting>
  <conditionalFormatting sqref="M5378">
    <cfRule type="expression" dxfId="0" priority="1890">
      <formula>(#REF!&lt;&gt;"")*(#REF!&lt;&gt;"")</formula>
    </cfRule>
  </conditionalFormatting>
  <conditionalFormatting sqref="N5378">
    <cfRule type="expression" dxfId="0" priority="1888">
      <formula>(#REF!&lt;&gt;"")*(#REF!&lt;&gt;"")</formula>
    </cfRule>
  </conditionalFormatting>
  <conditionalFormatting sqref="A5379">
    <cfRule type="expression" dxfId="0" priority="1956">
      <formula>(#REF!&lt;&gt;"")*(#REF!&lt;&gt;"")</formula>
    </cfRule>
  </conditionalFormatting>
  <conditionalFormatting sqref="C5379">
    <cfRule type="expression" dxfId="0" priority="1957">
      <formula>(#REF!&lt;&gt;"")*(#REF!&lt;&gt;"")</formula>
    </cfRule>
  </conditionalFormatting>
  <conditionalFormatting sqref="M5379">
    <cfRule type="expression" dxfId="0" priority="1893">
      <formula>(#REF!&lt;&gt;"")*(#REF!&lt;&gt;"")</formula>
    </cfRule>
  </conditionalFormatting>
  <conditionalFormatting sqref="N5379:R5379">
    <cfRule type="expression" dxfId="0" priority="1894">
      <formula>(#REF!&lt;&gt;"")*(#REF!&lt;&gt;"")</formula>
    </cfRule>
  </conditionalFormatting>
  <conditionalFormatting sqref="T5379">
    <cfRule type="expression" dxfId="0" priority="1892">
      <formula>(#REF!&lt;&gt;"")*(#REF!&lt;&gt;"")</formula>
    </cfRule>
  </conditionalFormatting>
  <conditionalFormatting sqref="L5381">
    <cfRule type="expression" dxfId="0" priority="1887">
      <formula>(#REF!&lt;&gt;"")*(#REF!&lt;&gt;"")</formula>
    </cfRule>
  </conditionalFormatting>
  <conditionalFormatting sqref="A5382">
    <cfRule type="expression" dxfId="0" priority="1951">
      <formula>(#REF!&lt;&gt;"")*(#REF!&lt;&gt;"")</formula>
    </cfRule>
  </conditionalFormatting>
  <conditionalFormatting sqref="K5382">
    <cfRule type="expression" dxfId="0" priority="1873">
      <formula>(#REF!&lt;&gt;"")*(#REF!&lt;&gt;"")</formula>
    </cfRule>
  </conditionalFormatting>
  <conditionalFormatting sqref="M5382">
    <cfRule type="expression" dxfId="0" priority="1874">
      <formula>(#REF!&lt;&gt;"")*(#REF!&lt;&gt;"")</formula>
    </cfRule>
  </conditionalFormatting>
  <conditionalFormatting sqref="T5382">
    <cfRule type="expression" dxfId="0" priority="1875">
      <formula>(#REF!&lt;&gt;"")*(#REF!&lt;&gt;"")</formula>
    </cfRule>
  </conditionalFormatting>
  <conditionalFormatting sqref="A5383">
    <cfRule type="expression" dxfId="0" priority="1959">
      <formula>(#REF!&lt;&gt;"")*(#REF!&lt;&gt;"")</formula>
    </cfRule>
  </conditionalFormatting>
  <conditionalFormatting sqref="A5384">
    <cfRule type="expression" dxfId="0" priority="980">
      <formula>(#REF!&lt;&gt;"")*(#REF!&lt;&gt;"")</formula>
    </cfRule>
  </conditionalFormatting>
  <conditionalFormatting sqref="H5384">
    <cfRule type="expression" dxfId="0" priority="977">
      <formula>(#REF!&lt;&gt;"")*(#REF!&lt;&gt;"")</formula>
    </cfRule>
  </conditionalFormatting>
  <conditionalFormatting sqref="J5384:N5384">
    <cfRule type="expression" dxfId="0" priority="978">
      <formula>(#REF!&lt;&gt;"")*(#REF!&lt;&gt;"")</formula>
    </cfRule>
  </conditionalFormatting>
  <conditionalFormatting sqref="Q5388">
    <cfRule type="expression" dxfId="0" priority="1849">
      <formula>(#REF!&lt;&gt;"")*(#REF!&lt;&gt;"")</formula>
    </cfRule>
    <cfRule type="expression" dxfId="0" priority="1841">
      <formula>(#REF!&lt;&gt;"")*(#REF!&lt;&gt;"")</formula>
    </cfRule>
  </conditionalFormatting>
  <conditionalFormatting sqref="Q5391">
    <cfRule type="expression" dxfId="0" priority="1846">
      <formula>(#REF!&lt;&gt;"")*(#REF!&lt;&gt;"")</formula>
    </cfRule>
  </conditionalFormatting>
  <conditionalFormatting sqref="M5398">
    <cfRule type="expression" dxfId="0" priority="1787">
      <formula>(#REF!&lt;&gt;"")*(#REF!&lt;&gt;"")</formula>
    </cfRule>
  </conditionalFormatting>
  <conditionalFormatting sqref="O5398">
    <cfRule type="expression" dxfId="0" priority="1786">
      <formula>(#REF!&lt;&gt;"")*(#REF!&lt;&gt;"")</formula>
    </cfRule>
  </conditionalFormatting>
  <conditionalFormatting sqref="M5399">
    <cfRule type="expression" dxfId="0" priority="1785">
      <formula>(#REF!&lt;&gt;"")*(#REF!&lt;&gt;"")</formula>
    </cfRule>
  </conditionalFormatting>
  <conditionalFormatting sqref="O5399">
    <cfRule type="expression" dxfId="0" priority="1784">
      <formula>(#REF!&lt;&gt;"")*(#REF!&lt;&gt;"")</formula>
    </cfRule>
  </conditionalFormatting>
  <conditionalFormatting sqref="M5401">
    <cfRule type="expression" dxfId="0" priority="1788">
      <formula>(#REF!&lt;&gt;"")*(#REF!&lt;&gt;"")</formula>
    </cfRule>
  </conditionalFormatting>
  <conditionalFormatting sqref="M5407">
    <cfRule type="expression" dxfId="0" priority="1860">
      <formula>(#REF!&lt;&gt;"")*(#REF!&lt;&gt;"")</formula>
    </cfRule>
  </conditionalFormatting>
  <conditionalFormatting sqref="T5407">
    <cfRule type="expression" dxfId="0" priority="1859">
      <formula>(#REF!&lt;&gt;"")*(#REF!&lt;&gt;"")</formula>
    </cfRule>
  </conditionalFormatting>
  <conditionalFormatting sqref="M5408">
    <cfRule type="expression" dxfId="0" priority="1858">
      <formula>(#REF!&lt;&gt;"")*(#REF!&lt;&gt;"")</formula>
    </cfRule>
  </conditionalFormatting>
  <conditionalFormatting sqref="Q5408">
    <cfRule type="expression" dxfId="0" priority="1865">
      <formula>(#REF!&lt;&gt;"")*(#REF!&lt;&gt;"")</formula>
    </cfRule>
  </conditionalFormatting>
  <conditionalFormatting sqref="T5408">
    <cfRule type="expression" dxfId="0" priority="1857">
      <formula>(#REF!&lt;&gt;"")*(#REF!&lt;&gt;"")</formula>
    </cfRule>
  </conditionalFormatting>
  <conditionalFormatting sqref="M5411">
    <cfRule type="expression" dxfId="0" priority="1550">
      <formula>(#REF!&lt;&gt;"")*(#REF!&lt;&gt;"")</formula>
    </cfRule>
  </conditionalFormatting>
  <conditionalFormatting sqref="M5412">
    <cfRule type="expression" dxfId="0" priority="1088">
      <formula>(#REF!&lt;&gt;"")*(#REF!&lt;&gt;"")</formula>
    </cfRule>
  </conditionalFormatting>
  <conditionalFormatting sqref="P5412">
    <cfRule type="expression" dxfId="1" priority="1076">
      <formula>(#REF!&lt;&gt;"")*(#REF!&lt;&gt;"")</formula>
    </cfRule>
  </conditionalFormatting>
  <conditionalFormatting sqref="Q5413">
    <cfRule type="expression" dxfId="0" priority="1306">
      <formula>(#REF!&lt;&gt;"")*(#REF!&lt;&gt;"")</formula>
    </cfRule>
  </conditionalFormatting>
  <conditionalFormatting sqref="R5413">
    <cfRule type="expression" dxfId="0" priority="1146">
      <formula>(#REF!&lt;&gt;"")*(#REF!&lt;&gt;"")</formula>
    </cfRule>
  </conditionalFormatting>
  <conditionalFormatting sqref="M5414">
    <cfRule type="expression" dxfId="0" priority="1330">
      <formula>(#REF!&lt;&gt;"")*(#REF!&lt;&gt;"")</formula>
    </cfRule>
  </conditionalFormatting>
  <conditionalFormatting sqref="Q5414">
    <cfRule type="expression" dxfId="0" priority="1305">
      <formula>(#REF!&lt;&gt;"")*(#REF!&lt;&gt;"")</formula>
    </cfRule>
  </conditionalFormatting>
  <conditionalFormatting sqref="M5415">
    <cfRule type="expression" dxfId="0" priority="1325">
      <formula>(#REF!&lt;&gt;"")*(#REF!&lt;&gt;"")</formula>
    </cfRule>
  </conditionalFormatting>
  <conditionalFormatting sqref="Q5415">
    <cfRule type="expression" dxfId="0" priority="1304">
      <formula>(#REF!&lt;&gt;"")*(#REF!&lt;&gt;"")</formula>
    </cfRule>
  </conditionalFormatting>
  <conditionalFormatting sqref="M5416">
    <cfRule type="expression" dxfId="0" priority="1329">
      <formula>(#REF!&lt;&gt;"")*(#REF!&lt;&gt;"")</formula>
    </cfRule>
  </conditionalFormatting>
  <conditionalFormatting sqref="Q5416">
    <cfRule type="expression" dxfId="0" priority="1327">
      <formula>(#REF!&lt;&gt;"")*(#REF!&lt;&gt;"")</formula>
    </cfRule>
  </conditionalFormatting>
  <conditionalFormatting sqref="R5416">
    <cfRule type="expression" dxfId="0" priority="1145">
      <formula>(#REF!&lt;&gt;"")*(#REF!&lt;&gt;"")</formula>
    </cfRule>
  </conditionalFormatting>
  <conditionalFormatting sqref="M5417">
    <cfRule type="expression" dxfId="0" priority="1328">
      <formula>(#REF!&lt;&gt;"")*(#REF!&lt;&gt;"")</formula>
    </cfRule>
  </conditionalFormatting>
  <conditionalFormatting sqref="Q5417">
    <cfRule type="expression" dxfId="0" priority="1303">
      <formula>(#REF!&lt;&gt;"")*(#REF!&lt;&gt;"")</formula>
    </cfRule>
  </conditionalFormatting>
  <conditionalFormatting sqref="M5418">
    <cfRule type="expression" dxfId="0" priority="1326">
      <formula>(#REF!&lt;&gt;"")*(#REF!&lt;&gt;"")</formula>
    </cfRule>
  </conditionalFormatting>
  <conditionalFormatting sqref="Q5418">
    <cfRule type="expression" dxfId="0" priority="1856">
      <formula>(#REF!&lt;&gt;"")*(#REF!&lt;&gt;"")</formula>
    </cfRule>
  </conditionalFormatting>
  <conditionalFormatting sqref="M5419">
    <cfRule type="expression" dxfId="0" priority="1800">
      <formula>(#REF!&lt;&gt;"")*(#REF!&lt;&gt;"")</formula>
    </cfRule>
  </conditionalFormatting>
  <conditionalFormatting sqref="O5419">
    <cfRule type="expression" dxfId="0" priority="1801">
      <formula>(#REF!&lt;&gt;"")*(#REF!&lt;&gt;"")</formula>
    </cfRule>
  </conditionalFormatting>
  <conditionalFormatting sqref="Q5419">
    <cfRule type="expression" dxfId="0" priority="1799">
      <formula>(#REF!&lt;&gt;"")*(#REF!&lt;&gt;"")</formula>
    </cfRule>
  </conditionalFormatting>
  <conditionalFormatting sqref="Q5420">
    <cfRule type="expression" dxfId="0" priority="1855">
      <formula>(#REF!&lt;&gt;"")*(#REF!&lt;&gt;"")</formula>
    </cfRule>
  </conditionalFormatting>
  <conditionalFormatting sqref="Q5421">
    <cfRule type="expression" dxfId="0" priority="1826">
      <formula>(#REF!&lt;&gt;"")*(#REF!&lt;&gt;"")</formula>
    </cfRule>
  </conditionalFormatting>
  <conditionalFormatting sqref="J5423">
    <cfRule type="expression" dxfId="1" priority="1798">
      <formula>(#REF!&lt;&gt;"")*(#REF!&lt;&gt;"")</formula>
    </cfRule>
  </conditionalFormatting>
  <conditionalFormatting sqref="O5423">
    <cfRule type="expression" dxfId="0" priority="1797">
      <formula>(#REF!&lt;&gt;"")*(#REF!&lt;&gt;"")</formula>
    </cfRule>
  </conditionalFormatting>
  <conditionalFormatting sqref="Q5423">
    <cfRule type="expression" dxfId="0" priority="1795">
      <formula>(#REF!&lt;&gt;"")*(#REF!&lt;&gt;"")</formula>
    </cfRule>
  </conditionalFormatting>
  <conditionalFormatting sqref="J5425">
    <cfRule type="expression" dxfId="1" priority="1121">
      <formula>(#REF!&lt;&gt;"")*(#REF!&lt;&gt;"")</formula>
    </cfRule>
  </conditionalFormatting>
  <conditionalFormatting sqref="O5425">
    <cfRule type="expression" dxfId="0" priority="1122">
      <formula>(#REF!&lt;&gt;"")*(#REF!&lt;&gt;"")</formula>
    </cfRule>
  </conditionalFormatting>
  <conditionalFormatting sqref="Q5425">
    <cfRule type="expression" dxfId="0" priority="1123">
      <formula>(#REF!&lt;&gt;"")*(#REF!&lt;&gt;"")</formula>
    </cfRule>
  </conditionalFormatting>
  <conditionalFormatting sqref="J5426">
    <cfRule type="expression" dxfId="1" priority="994">
      <formula>(#REF!&lt;&gt;"")*(#REF!&lt;&gt;"")</formula>
    </cfRule>
  </conditionalFormatting>
  <conditionalFormatting sqref="O5426">
    <cfRule type="expression" dxfId="0" priority="995">
      <formula>(#REF!&lt;&gt;"")*(#REF!&lt;&gt;"")</formula>
    </cfRule>
  </conditionalFormatting>
  <conditionalFormatting sqref="Q5426">
    <cfRule type="expression" dxfId="0" priority="996">
      <formula>(#REF!&lt;&gt;"")*(#REF!&lt;&gt;"")</formula>
    </cfRule>
  </conditionalFormatting>
  <conditionalFormatting sqref="M5428">
    <cfRule type="expression" dxfId="0" priority="1852">
      <formula>(#REF!&lt;&gt;"")*(#REF!&lt;&gt;"")</formula>
    </cfRule>
  </conditionalFormatting>
  <conditionalFormatting sqref="O5430">
    <cfRule type="expression" dxfId="0" priority="1116">
      <formula>(#REF!&lt;&gt;"")*(#REF!&lt;&gt;"")</formula>
    </cfRule>
  </conditionalFormatting>
  <conditionalFormatting sqref="O5431">
    <cfRule type="expression" dxfId="0" priority="1118">
      <formula>(#REF!&lt;&gt;"")*(#REF!&lt;&gt;"")</formula>
    </cfRule>
  </conditionalFormatting>
  <conditionalFormatting sqref="Q5433">
    <cfRule type="expression" dxfId="0" priority="1851">
      <formula>(#REF!&lt;&gt;"")*(#REF!&lt;&gt;"")</formula>
    </cfRule>
  </conditionalFormatting>
  <conditionalFormatting sqref="M5434">
    <cfRule type="expression" dxfId="0" priority="1847">
      <formula>(#REF!&lt;&gt;"")*(#REF!&lt;&gt;"")</formula>
    </cfRule>
  </conditionalFormatting>
  <conditionalFormatting sqref="Q5434">
    <cfRule type="expression" dxfId="0" priority="1825">
      <formula>(#REF!&lt;&gt;"")*(#REF!&lt;&gt;"")</formula>
    </cfRule>
    <cfRule type="expression" dxfId="0" priority="1824">
      <formula>(#REF!&lt;&gt;"")*(#REF!&lt;&gt;"")</formula>
    </cfRule>
  </conditionalFormatting>
  <conditionalFormatting sqref="M5435">
    <cfRule type="expression" dxfId="0" priority="1854">
      <formula>(#REF!&lt;&gt;"")*(#REF!&lt;&gt;"")</formula>
    </cfRule>
  </conditionalFormatting>
  <conditionalFormatting sqref="M5440">
    <cfRule type="expression" dxfId="0" priority="1853">
      <formula>(#REF!&lt;&gt;"")*(#REF!&lt;&gt;"")</formula>
    </cfRule>
  </conditionalFormatting>
  <conditionalFormatting sqref="Q5443">
    <cfRule type="expression" dxfId="0" priority="1867">
      <formula>(#REF!&lt;&gt;"")*(#REF!&lt;&gt;"")</formula>
    </cfRule>
    <cfRule type="expression" dxfId="1" priority="1843">
      <formula>(#REF!&lt;&gt;"")*(#REF!&lt;&gt;"")</formula>
    </cfRule>
  </conditionalFormatting>
  <conditionalFormatting sqref="M5447">
    <cfRule type="expression" dxfId="0" priority="1839">
      <formula>(#REF!&lt;&gt;"")*(#REF!&lt;&gt;"")</formula>
    </cfRule>
  </conditionalFormatting>
  <conditionalFormatting sqref="Q5447">
    <cfRule type="expression" dxfId="1" priority="1871">
      <formula>(#REF!&lt;&gt;"")*(#REF!&lt;&gt;"")</formula>
    </cfRule>
    <cfRule type="expression" dxfId="0" priority="1837">
      <formula>(#REF!&lt;&gt;"")*(#REF!&lt;&gt;"")</formula>
    </cfRule>
    <cfRule type="expression" dxfId="1" priority="1838">
      <formula>(#REF!&lt;&gt;"")*(#REF!&lt;&gt;"")</formula>
    </cfRule>
  </conditionalFormatting>
  <conditionalFormatting sqref="R5447">
    <cfRule type="expression" dxfId="0" priority="1836">
      <formula>(#REF!&lt;&gt;"")*(#REF!&lt;&gt;"")</formula>
    </cfRule>
  </conditionalFormatting>
  <conditionalFormatting sqref="M5448">
    <cfRule type="expression" dxfId="0" priority="1792">
      <formula>(#REF!&lt;&gt;"")*(#REF!&lt;&gt;"")</formula>
    </cfRule>
  </conditionalFormatting>
  <conditionalFormatting sqref="Q5448">
    <cfRule type="expression" dxfId="0" priority="1793">
      <formula>(#REF!&lt;&gt;"")*(#REF!&lt;&gt;"")</formula>
    </cfRule>
    <cfRule type="expression" dxfId="1" priority="1794">
      <formula>(#REF!&lt;&gt;"")*(#REF!&lt;&gt;"")</formula>
    </cfRule>
    <cfRule type="expression" dxfId="0" priority="1790">
      <formula>(#REF!&lt;&gt;"")*(#REF!&lt;&gt;"")</formula>
    </cfRule>
    <cfRule type="expression" dxfId="1" priority="1791">
      <formula>(#REF!&lt;&gt;"")*(#REF!&lt;&gt;"")</formula>
    </cfRule>
  </conditionalFormatting>
  <conditionalFormatting sqref="R5448">
    <cfRule type="expression" dxfId="0" priority="1789">
      <formula>(#REF!&lt;&gt;"")*(#REF!&lt;&gt;"")</formula>
    </cfRule>
  </conditionalFormatting>
  <conditionalFormatting sqref="M5449">
    <cfRule type="expression" dxfId="0" priority="1834">
      <formula>(#REF!&lt;&gt;"")*(#REF!&lt;&gt;"")</formula>
    </cfRule>
  </conditionalFormatting>
  <conditionalFormatting sqref="Q5449">
    <cfRule type="expression" dxfId="0" priority="1832">
      <formula>(#REF!&lt;&gt;"")*(#REF!&lt;&gt;"")</formula>
    </cfRule>
    <cfRule type="expression" dxfId="1" priority="1833">
      <formula>(#REF!&lt;&gt;"")*(#REF!&lt;&gt;"")</formula>
    </cfRule>
  </conditionalFormatting>
  <conditionalFormatting sqref="R5449">
    <cfRule type="expression" dxfId="0" priority="1831">
      <formula>(#REF!&lt;&gt;"")*(#REF!&lt;&gt;"")</formula>
    </cfRule>
  </conditionalFormatting>
  <conditionalFormatting sqref="M5450">
    <cfRule type="expression" dxfId="0" priority="1781">
      <formula>(#REF!&lt;&gt;"")*(#REF!&lt;&gt;"")</formula>
    </cfRule>
  </conditionalFormatting>
  <conditionalFormatting sqref="Q5450">
    <cfRule type="expression" dxfId="1" priority="1783">
      <formula>(#REF!&lt;&gt;"")*(#REF!&lt;&gt;"")</formula>
    </cfRule>
    <cfRule type="expression" dxfId="0" priority="1782">
      <formula>(#REF!&lt;&gt;"")*(#REF!&lt;&gt;"")</formula>
    </cfRule>
    <cfRule type="expression" dxfId="0" priority="1779">
      <formula>(#REF!&lt;&gt;"")*(#REF!&lt;&gt;"")</formula>
    </cfRule>
    <cfRule type="expression" dxfId="1" priority="1780">
      <formula>(#REF!&lt;&gt;"")*(#REF!&lt;&gt;"")</formula>
    </cfRule>
  </conditionalFormatting>
  <conditionalFormatting sqref="R5450">
    <cfRule type="expression" dxfId="0" priority="1778">
      <formula>(#REF!&lt;&gt;"")*(#REF!&lt;&gt;"")</formula>
    </cfRule>
  </conditionalFormatting>
  <conditionalFormatting sqref="R5452">
    <cfRule type="expression" dxfId="0" priority="1835">
      <formula>(#REF!&lt;&gt;"")*(#REF!&lt;&gt;"")</formula>
    </cfRule>
  </conditionalFormatting>
  <conditionalFormatting sqref="Q5453">
    <cfRule type="expression" dxfId="0" priority="1829">
      <formula>(#REF!&lt;&gt;"")*(#REF!&lt;&gt;"")</formula>
    </cfRule>
    <cfRule type="expression" dxfId="1" priority="1830">
      <formula>(#REF!&lt;&gt;"")*(#REF!&lt;&gt;"")</formula>
    </cfRule>
  </conditionalFormatting>
  <conditionalFormatting sqref="M5454">
    <cfRule type="expression" dxfId="0" priority="1777">
      <formula>(#REF!&lt;&gt;"")*(#REF!&lt;&gt;"")</formula>
    </cfRule>
  </conditionalFormatting>
  <conditionalFormatting sqref="Q5454">
    <cfRule type="expression" dxfId="1" priority="1776">
      <formula>(#REF!&lt;&gt;"")*(#REF!&lt;&gt;"")</formula>
    </cfRule>
    <cfRule type="expression" dxfId="0" priority="1775">
      <formula>(#REF!&lt;&gt;"")*(#REF!&lt;&gt;"")</formula>
    </cfRule>
    <cfRule type="expression" dxfId="0" priority="1772">
      <formula>(#REF!&lt;&gt;"")*(#REF!&lt;&gt;"")</formula>
    </cfRule>
    <cfRule type="expression" dxfId="1" priority="1773">
      <formula>(#REF!&lt;&gt;"")*(#REF!&lt;&gt;"")</formula>
    </cfRule>
  </conditionalFormatting>
  <conditionalFormatting sqref="R5454">
    <cfRule type="expression" dxfId="0" priority="1774">
      <formula>(#REF!&lt;&gt;"")*(#REF!&lt;&gt;"")</formula>
    </cfRule>
  </conditionalFormatting>
  <conditionalFormatting sqref="Q5455">
    <cfRule type="expression" dxfId="0" priority="1827">
      <formula>(#REF!&lt;&gt;"")*(#REF!&lt;&gt;"")</formula>
    </cfRule>
    <cfRule type="expression" dxfId="1" priority="1828">
      <formula>(#REF!&lt;&gt;"")*(#REF!&lt;&gt;"")</formula>
    </cfRule>
  </conditionalFormatting>
  <conditionalFormatting sqref="M5456">
    <cfRule type="expression" dxfId="0" priority="1822">
      <formula>(#REF!&lt;&gt;"")*(#REF!&lt;&gt;"")</formula>
    </cfRule>
  </conditionalFormatting>
  <conditionalFormatting sqref="P5456">
    <cfRule type="expression" dxfId="0" priority="1823">
      <formula>(#REF!&lt;&gt;"")*(#REF!&lt;&gt;"")</formula>
    </cfRule>
  </conditionalFormatting>
  <conditionalFormatting sqref="Q5456">
    <cfRule type="expression" dxfId="0" priority="1820">
      <formula>(#REF!&lt;&gt;"")*(#REF!&lt;&gt;"")</formula>
    </cfRule>
    <cfRule type="expression" dxfId="1" priority="1821">
      <formula>(#REF!&lt;&gt;"")*(#REF!&lt;&gt;"")</formula>
    </cfRule>
  </conditionalFormatting>
  <conditionalFormatting sqref="F5458">
    <cfRule type="expression" dxfId="0" priority="1818">
      <formula>(#REF!&lt;&gt;"")*(#REF!&lt;&gt;"")</formula>
    </cfRule>
  </conditionalFormatting>
  <conditionalFormatting sqref="G5458">
    <cfRule type="expression" dxfId="0" priority="1817">
      <formula>(#REF!&lt;&gt;"")*(#REF!&lt;&gt;"")</formula>
    </cfRule>
  </conditionalFormatting>
  <conditionalFormatting sqref="A5462">
    <cfRule type="expression" dxfId="0" priority="1948">
      <formula>(#REF!&lt;&gt;"")*(#REF!&lt;&gt;"")</formula>
    </cfRule>
  </conditionalFormatting>
  <conditionalFormatting sqref="Q5462">
    <cfRule type="expression" dxfId="0" priority="1813">
      <formula>(#REF!&lt;&gt;"")*(#REF!&lt;&gt;"")</formula>
    </cfRule>
  </conditionalFormatting>
  <conditionalFormatting sqref="T5462">
    <cfRule type="expression" dxfId="0" priority="1814">
      <formula>(#REF!&lt;&gt;"")*(#REF!&lt;&gt;"")</formula>
    </cfRule>
  </conditionalFormatting>
  <conditionalFormatting sqref="A5463">
    <cfRule type="expression" dxfId="0" priority="1946">
      <formula>(#REF!&lt;&gt;"")*(#REF!&lt;&gt;"")</formula>
    </cfRule>
  </conditionalFormatting>
  <conditionalFormatting sqref="M5463">
    <cfRule type="expression" dxfId="0" priority="1804">
      <formula>(#REF!&lt;&gt;"")*(#REF!&lt;&gt;"")</formula>
    </cfRule>
  </conditionalFormatting>
  <conditionalFormatting sqref="P5463:Q5463">
    <cfRule type="expression" dxfId="1" priority="1806">
      <formula>(#REF!&lt;&gt;"")*(#REF!&lt;&gt;"")</formula>
    </cfRule>
  </conditionalFormatting>
  <conditionalFormatting sqref="T5463">
    <cfRule type="expression" dxfId="0" priority="1802">
      <formula>(#REF!&lt;&gt;"")*(#REF!&lt;&gt;"")</formula>
    </cfRule>
  </conditionalFormatting>
  <conditionalFormatting sqref="A5464">
    <cfRule type="expression" dxfId="0" priority="1949">
      <formula>(#REF!&lt;&gt;"")*(#REF!&lt;&gt;"")</formula>
    </cfRule>
  </conditionalFormatting>
  <conditionalFormatting sqref="A5465">
    <cfRule type="expression" dxfId="0" priority="1947">
      <formula>(#REF!&lt;&gt;"")*(#REF!&lt;&gt;"")</formula>
    </cfRule>
  </conditionalFormatting>
  <conditionalFormatting sqref="Q5465">
    <cfRule type="expression" dxfId="0" priority="1811">
      <formula>(#REF!&lt;&gt;"")*(#REF!&lt;&gt;"")</formula>
    </cfRule>
  </conditionalFormatting>
  <conditionalFormatting sqref="A5466">
    <cfRule type="expression" dxfId="0" priority="1943">
      <formula>(#REF!&lt;&gt;"")*(#REF!&lt;&gt;"")</formula>
    </cfRule>
  </conditionalFormatting>
  <conditionalFormatting sqref="C5466">
    <cfRule type="expression" dxfId="0" priority="1944">
      <formula>(#REF!&lt;&gt;"")*(#REF!&lt;&gt;"")</formula>
    </cfRule>
  </conditionalFormatting>
  <conditionalFormatting sqref="E5466:G5466">
    <cfRule type="expression" dxfId="0" priority="1770">
      <formula>(#REF!&lt;&gt;"")*(#REF!&lt;&gt;"")</formula>
    </cfRule>
    <cfRule type="expression" dxfId="0" priority="1769">
      <formula>(#REF!&lt;&gt;"")*(#REF!&lt;&gt;"")</formula>
    </cfRule>
  </conditionalFormatting>
  <conditionalFormatting sqref="N5466">
    <cfRule type="expression" dxfId="0" priority="1767">
      <formula>(#REF!&lt;&gt;"")*(#REF!&lt;&gt;"")</formula>
    </cfRule>
    <cfRule type="expression" dxfId="0" priority="1766">
      <formula>(#REF!&lt;&gt;"")*(#REF!&lt;&gt;"")</formula>
    </cfRule>
  </conditionalFormatting>
  <conditionalFormatting sqref="P5466:Q5466">
    <cfRule type="expression" dxfId="1" priority="1771">
      <formula>(#REF!&lt;&gt;"")*(#REF!&lt;&gt;"")</formula>
    </cfRule>
  </conditionalFormatting>
  <conditionalFormatting sqref="Q5466">
    <cfRule type="expression" dxfId="0" priority="1768">
      <formula>(#REF!&lt;&gt;"")*(#REF!&lt;&gt;"")</formula>
    </cfRule>
  </conditionalFormatting>
  <conditionalFormatting sqref="Q5470">
    <cfRule type="expression" dxfId="0" priority="1809">
      <formula>(#REF!&lt;&gt;"")*(#REF!&lt;&gt;"")</formula>
    </cfRule>
  </conditionalFormatting>
  <conditionalFormatting sqref="Q5471">
    <cfRule type="expression" dxfId="0" priority="1807">
      <formula>(#REF!&lt;&gt;"")*(#REF!&lt;&gt;"")</formula>
    </cfRule>
  </conditionalFormatting>
  <conditionalFormatting sqref="L5474">
    <cfRule type="expression" dxfId="0" priority="1112">
      <formula>(#REF!&lt;&gt;"")*(#REF!&lt;&gt;"")</formula>
    </cfRule>
  </conditionalFormatting>
  <conditionalFormatting sqref="P5474:Q5474">
    <cfRule type="expression" dxfId="1" priority="1114">
      <formula>(#REF!&lt;&gt;"")*(#REF!&lt;&gt;"")</formula>
    </cfRule>
  </conditionalFormatting>
  <conditionalFormatting sqref="A5475">
    <cfRule type="expression" dxfId="0" priority="1940">
      <formula>(#REF!&lt;&gt;"")*(#REF!&lt;&gt;"")</formula>
    </cfRule>
  </conditionalFormatting>
  <conditionalFormatting sqref="K5475:L5475">
    <cfRule type="expression" dxfId="0" priority="1759">
      <formula>(#REF!&lt;&gt;"")*(#REF!&lt;&gt;"")</formula>
    </cfRule>
    <cfRule type="expression" dxfId="0" priority="1758">
      <formula>(#REF!&lt;&gt;"")*(#REF!&lt;&gt;"")</formula>
    </cfRule>
  </conditionalFormatting>
  <conditionalFormatting sqref="P5475:Q5475">
    <cfRule type="expression" dxfId="1" priority="1761">
      <formula>(#REF!&lt;&gt;"")*(#REF!&lt;&gt;"")</formula>
    </cfRule>
  </conditionalFormatting>
  <conditionalFormatting sqref="Q5479">
    <cfRule type="expression" dxfId="0" priority="1765">
      <formula>(#REF!&lt;&gt;"")*(#REF!&lt;&gt;"")</formula>
    </cfRule>
  </conditionalFormatting>
  <conditionalFormatting sqref="Q5479:R5479">
    <cfRule type="expression" dxfId="0" priority="1763">
      <formula>(#REF!&lt;&gt;"")*(#REF!&lt;&gt;"")</formula>
    </cfRule>
  </conditionalFormatting>
  <conditionalFormatting sqref="M5481">
    <cfRule type="expression" dxfId="0" priority="1752">
      <formula>(#REF!&lt;&gt;"")*(#REF!&lt;&gt;"")</formula>
    </cfRule>
  </conditionalFormatting>
  <conditionalFormatting sqref="N5481">
    <cfRule type="expression" dxfId="0" priority="1750">
      <formula>(#REF!&lt;&gt;"")*(#REF!&lt;&gt;"")</formula>
    </cfRule>
    <cfRule type="expression" dxfId="0" priority="1749">
      <formula>(#REF!&lt;&gt;"")*(#REF!&lt;&gt;"")</formula>
    </cfRule>
  </conditionalFormatting>
  <conditionalFormatting sqref="P5481:Q5481">
    <cfRule type="expression" dxfId="1" priority="1754">
      <formula>(#REF!&lt;&gt;"")*(#REF!&lt;&gt;"")</formula>
    </cfRule>
  </conditionalFormatting>
  <conditionalFormatting sqref="Q5481">
    <cfRule type="expression" dxfId="0" priority="1753">
      <formula>(#REF!&lt;&gt;"")*(#REF!&lt;&gt;"")</formula>
    </cfRule>
  </conditionalFormatting>
  <conditionalFormatting sqref="Q5481:R5481">
    <cfRule type="expression" dxfId="0" priority="1751">
      <formula>(#REF!&lt;&gt;"")*(#REF!&lt;&gt;"")</formula>
    </cfRule>
  </conditionalFormatting>
  <conditionalFormatting sqref="M5482">
    <cfRule type="expression" dxfId="0" priority="1746">
      <formula>(#REF!&lt;&gt;"")*(#REF!&lt;&gt;"")</formula>
    </cfRule>
  </conditionalFormatting>
  <conditionalFormatting sqref="N5482">
    <cfRule type="expression" dxfId="0" priority="1744">
      <formula>(#REF!&lt;&gt;"")*(#REF!&lt;&gt;"")</formula>
    </cfRule>
    <cfRule type="expression" dxfId="0" priority="1743">
      <formula>(#REF!&lt;&gt;"")*(#REF!&lt;&gt;"")</formula>
    </cfRule>
  </conditionalFormatting>
  <conditionalFormatting sqref="P5482:Q5482">
    <cfRule type="expression" dxfId="1" priority="1748">
      <formula>(#REF!&lt;&gt;"")*(#REF!&lt;&gt;"")</formula>
    </cfRule>
  </conditionalFormatting>
  <conditionalFormatting sqref="Q5482">
    <cfRule type="expression" dxfId="0" priority="1747">
      <formula>(#REF!&lt;&gt;"")*(#REF!&lt;&gt;"")</formula>
    </cfRule>
  </conditionalFormatting>
  <conditionalFormatting sqref="Q5482:R5482">
    <cfRule type="expression" dxfId="0" priority="1745">
      <formula>(#REF!&lt;&gt;"")*(#REF!&lt;&gt;"")</formula>
    </cfRule>
  </conditionalFormatting>
  <conditionalFormatting sqref="M5483">
    <cfRule type="expression" dxfId="0" priority="1740">
      <formula>(#REF!&lt;&gt;"")*(#REF!&lt;&gt;"")</formula>
    </cfRule>
  </conditionalFormatting>
  <conditionalFormatting sqref="N5483">
    <cfRule type="expression" dxfId="0" priority="1738">
      <formula>(#REF!&lt;&gt;"")*(#REF!&lt;&gt;"")</formula>
    </cfRule>
    <cfRule type="expression" dxfId="0" priority="1737">
      <formula>(#REF!&lt;&gt;"")*(#REF!&lt;&gt;"")</formula>
    </cfRule>
  </conditionalFormatting>
  <conditionalFormatting sqref="P5483:Q5483">
    <cfRule type="expression" dxfId="1" priority="1742">
      <formula>(#REF!&lt;&gt;"")*(#REF!&lt;&gt;"")</formula>
    </cfRule>
  </conditionalFormatting>
  <conditionalFormatting sqref="Q5483">
    <cfRule type="expression" dxfId="0" priority="1741">
      <formula>(#REF!&lt;&gt;"")*(#REF!&lt;&gt;"")</formula>
    </cfRule>
  </conditionalFormatting>
  <conditionalFormatting sqref="Q5483:R5483">
    <cfRule type="expression" dxfId="0" priority="1739">
      <formula>(#REF!&lt;&gt;"")*(#REF!&lt;&gt;"")</formula>
    </cfRule>
  </conditionalFormatting>
  <conditionalFormatting sqref="P5485:Q5485">
    <cfRule type="expression" dxfId="1" priority="1125">
      <formula>(#REF!&lt;&gt;"")*(#REF!&lt;&gt;"")</formula>
    </cfRule>
  </conditionalFormatting>
  <conditionalFormatting sqref="P5486:Q5486">
    <cfRule type="expression" dxfId="1" priority="1111">
      <formula>(#REF!&lt;&gt;"")*(#REF!&lt;&gt;"")</formula>
    </cfRule>
  </conditionalFormatting>
  <conditionalFormatting sqref="R5486">
    <cfRule type="expression" dxfId="0" priority="1073">
      <formula>(#REF!&lt;&gt;"")*(#REF!&lt;&gt;"")</formula>
    </cfRule>
  </conditionalFormatting>
  <conditionalFormatting sqref="J5487">
    <cfRule type="expression" dxfId="0" priority="1730">
      <formula>(#REF!&lt;&gt;"")*(#REF!&lt;&gt;"")</formula>
    </cfRule>
  </conditionalFormatting>
  <conditionalFormatting sqref="M5487">
    <cfRule type="expression" dxfId="0" priority="1734">
      <formula>(#REF!&lt;&gt;"")*(#REF!&lt;&gt;"")</formula>
    </cfRule>
  </conditionalFormatting>
  <conditionalFormatting sqref="N5487">
    <cfRule type="expression" dxfId="0" priority="1732">
      <formula>(#REF!&lt;&gt;"")*(#REF!&lt;&gt;"")</formula>
    </cfRule>
    <cfRule type="expression" dxfId="0" priority="1731">
      <formula>(#REF!&lt;&gt;"")*(#REF!&lt;&gt;"")</formula>
    </cfRule>
  </conditionalFormatting>
  <conditionalFormatting sqref="O5487">
    <cfRule type="expression" dxfId="0" priority="1729">
      <formula>(#REF!&lt;&gt;"")*(#REF!&lt;&gt;"")</formula>
    </cfRule>
    <cfRule type="expression" dxfId="0" priority="1728">
      <formula>(#REF!&lt;&gt;"")*(#REF!&lt;&gt;"")</formula>
    </cfRule>
  </conditionalFormatting>
  <conditionalFormatting sqref="P5487:Q5487">
    <cfRule type="expression" dxfId="1" priority="1736">
      <formula>(#REF!&lt;&gt;"")*(#REF!&lt;&gt;"")</formula>
    </cfRule>
  </conditionalFormatting>
  <conditionalFormatting sqref="Q5487">
    <cfRule type="expression" dxfId="0" priority="1735">
      <formula>(#REF!&lt;&gt;"")*(#REF!&lt;&gt;"")</formula>
    </cfRule>
    <cfRule type="expression" dxfId="0" priority="1733">
      <formula>(#REF!&lt;&gt;"")*(#REF!&lt;&gt;"")</formula>
    </cfRule>
  </conditionalFormatting>
  <conditionalFormatting sqref="M5488">
    <cfRule type="expression" dxfId="0" priority="1133">
      <formula>(#REF!&lt;&gt;"")*(#REF!&lt;&gt;"")</formula>
    </cfRule>
  </conditionalFormatting>
  <conditionalFormatting sqref="N5488">
    <cfRule type="expression" dxfId="0" priority="1131">
      <formula>(#REF!&lt;&gt;"")*(#REF!&lt;&gt;"")</formula>
    </cfRule>
    <cfRule type="expression" dxfId="0" priority="1130">
      <formula>(#REF!&lt;&gt;"")*(#REF!&lt;&gt;"")</formula>
    </cfRule>
  </conditionalFormatting>
  <conditionalFormatting sqref="P5488">
    <cfRule type="expression" dxfId="0" priority="1136">
      <formula>(#REF!&lt;&gt;"")*(#REF!&lt;&gt;"")</formula>
    </cfRule>
  </conditionalFormatting>
  <conditionalFormatting sqref="P5488:Q5488">
    <cfRule type="expression" dxfId="1" priority="1135">
      <formula>(#REF!&lt;&gt;"")*(#REF!&lt;&gt;"")</formula>
    </cfRule>
  </conditionalFormatting>
  <conditionalFormatting sqref="Q5488">
    <cfRule type="expression" dxfId="0" priority="1134">
      <formula>(#REF!&lt;&gt;"")*(#REF!&lt;&gt;"")</formula>
    </cfRule>
  </conditionalFormatting>
  <conditionalFormatting sqref="Q5488:R5488">
    <cfRule type="expression" dxfId="0" priority="1132">
      <formula>(#REF!&lt;&gt;"")*(#REF!&lt;&gt;"")</formula>
    </cfRule>
  </conditionalFormatting>
  <conditionalFormatting sqref="M5491">
    <cfRule type="expression" dxfId="0" priority="1104">
      <formula>(#REF!&lt;&gt;"")*(#REF!&lt;&gt;"")</formula>
    </cfRule>
  </conditionalFormatting>
  <conditionalFormatting sqref="N5491">
    <cfRule type="expression" dxfId="0" priority="1103">
      <formula>(#REF!&lt;&gt;"")*(#REF!&lt;&gt;"")</formula>
    </cfRule>
  </conditionalFormatting>
  <conditionalFormatting sqref="P5491">
    <cfRule type="expression" dxfId="0" priority="1109">
      <formula>(#REF!&lt;&gt;"")*(#REF!&lt;&gt;"")</formula>
    </cfRule>
    <cfRule type="expression" dxfId="1" priority="1108">
      <formula>(#REF!&lt;&gt;"")*(#REF!&lt;&gt;"")</formula>
    </cfRule>
  </conditionalFormatting>
  <conditionalFormatting sqref="Q5491">
    <cfRule type="expression" dxfId="0" priority="1106">
      <formula>(#REF!&lt;&gt;"")*(#REF!&lt;&gt;"")</formula>
    </cfRule>
    <cfRule type="expression" dxfId="1" priority="1107">
      <formula>(#REF!&lt;&gt;"")*(#REF!&lt;&gt;"")</formula>
    </cfRule>
    <cfRule type="expression" dxfId="0" priority="1105">
      <formula>(#REF!&lt;&gt;"")*(#REF!&lt;&gt;"")</formula>
    </cfRule>
  </conditionalFormatting>
  <conditionalFormatting sqref="R5491">
    <cfRule type="expression" dxfId="0" priority="1072">
      <formula>(#REF!&lt;&gt;"")*(#REF!&lt;&gt;"")</formula>
    </cfRule>
  </conditionalFormatting>
  <conditionalFormatting sqref="Q5498">
    <cfRule type="expression" dxfId="1" priority="1722">
      <formula>(#REF!&lt;&gt;"")*(#REF!&lt;&gt;"")</formula>
    </cfRule>
  </conditionalFormatting>
  <conditionalFormatting sqref="P5499">
    <cfRule type="expression" dxfId="1" priority="1724">
      <formula>(#REF!&lt;&gt;"")*(P$1&lt;&gt;"")</formula>
    </cfRule>
  </conditionalFormatting>
  <conditionalFormatting sqref="Q5499">
    <cfRule type="expression" dxfId="1" priority="1723">
      <formula>(#REF!&lt;&gt;"")*(#REF!&lt;&gt;"")</formula>
    </cfRule>
  </conditionalFormatting>
  <conditionalFormatting sqref="J5500">
    <cfRule type="expression" dxfId="1" priority="1725">
      <formula>(#REF!&lt;&gt;"")*(J$1&lt;&gt;"")</formula>
    </cfRule>
  </conditionalFormatting>
  <conditionalFormatting sqref="M5525">
    <cfRule type="expression" dxfId="0" priority="1713">
      <formula>(#REF!&lt;&gt;"")*(#REF!&lt;&gt;"")</formula>
    </cfRule>
  </conditionalFormatting>
  <conditionalFormatting sqref="N5525:R5525">
    <cfRule type="expression" dxfId="0" priority="1714">
      <formula>(#REF!&lt;&gt;"")*(#REF!&lt;&gt;"")</formula>
    </cfRule>
  </conditionalFormatting>
  <conditionalFormatting sqref="M5526">
    <cfRule type="expression" dxfId="0" priority="1717">
      <formula>(#REF!&lt;&gt;"")*(#REF!&lt;&gt;"")</formula>
    </cfRule>
  </conditionalFormatting>
  <conditionalFormatting sqref="M5527">
    <cfRule type="expression" dxfId="0" priority="1711">
      <formula>(#REF!&lt;&gt;"")*(#REF!&lt;&gt;"")</formula>
    </cfRule>
  </conditionalFormatting>
  <conditionalFormatting sqref="N5527">
    <cfRule type="expression" dxfId="0" priority="1710">
      <formula>(#REF!&lt;&gt;"")*(#REF!&lt;&gt;"")</formula>
    </cfRule>
  </conditionalFormatting>
  <conditionalFormatting sqref="O5527:R5527">
    <cfRule type="expression" dxfId="0" priority="1712">
      <formula>(#REF!&lt;&gt;"")*(#REF!&lt;&gt;"")</formula>
    </cfRule>
  </conditionalFormatting>
  <conditionalFormatting sqref="T5527">
    <cfRule type="expression" dxfId="0" priority="1721">
      <formula>(#REF!&lt;&gt;"")*(#REF!&lt;&gt;"")</formula>
    </cfRule>
  </conditionalFormatting>
  <conditionalFormatting sqref="L5603:Q5603">
    <cfRule type="expression" dxfId="0" priority="1159">
      <formula>(#REF!&lt;&gt;"")*(#REF!&lt;&gt;"")</formula>
    </cfRule>
  </conditionalFormatting>
  <conditionalFormatting sqref="P5603:Q5603">
    <cfRule type="expression" dxfId="1" priority="1160">
      <formula>(#REF!&lt;&gt;"")*(#REF!&lt;&gt;"")</formula>
    </cfRule>
  </conditionalFormatting>
  <conditionalFormatting sqref="R5603">
    <cfRule type="expression" dxfId="0" priority="1071">
      <formula>(#REF!&lt;&gt;"")*(#REF!&lt;&gt;"")</formula>
    </cfRule>
  </conditionalFormatting>
  <conditionalFormatting sqref="C5605">
    <cfRule type="expression" dxfId="0" priority="1545">
      <formula>(#REF!&lt;&gt;"")*(#REF!&lt;&gt;"")</formula>
    </cfRule>
  </conditionalFormatting>
  <conditionalFormatting sqref="P5605:Q5605">
    <cfRule type="expression" dxfId="0" priority="1542">
      <formula>(#REF!&lt;&gt;"")*(#REF!&lt;&gt;"")</formula>
    </cfRule>
    <cfRule type="expression" dxfId="1" priority="1544">
      <formula>(#REF!&lt;&gt;"")*(#REF!&lt;&gt;"")</formula>
    </cfRule>
  </conditionalFormatting>
  <conditionalFormatting sqref="R5605">
    <cfRule type="expression" dxfId="0" priority="1541">
      <formula>(#REF!&lt;&gt;"")*(#REF!&lt;&gt;"")</formula>
    </cfRule>
  </conditionalFormatting>
  <conditionalFormatting sqref="H5660">
    <cfRule type="expression" dxfId="0" priority="782">
      <formula>(#REF!&lt;&gt;"")*(#REF!&lt;&gt;"")</formula>
    </cfRule>
  </conditionalFormatting>
  <conditionalFormatting sqref="H5661">
    <cfRule type="expression" dxfId="0" priority="1484">
      <formula>(#REF!&lt;&gt;"")*(#REF!&lt;&gt;"")</formula>
    </cfRule>
  </conditionalFormatting>
  <conditionalFormatting sqref="H5662">
    <cfRule type="expression" dxfId="0" priority="785">
      <formula>(#REF!&lt;&gt;"")*(#REF!&lt;&gt;"")</formula>
    </cfRule>
  </conditionalFormatting>
  <conditionalFormatting sqref="P5662:Q5662">
    <cfRule type="expression" dxfId="0" priority="787">
      <formula>(#REF!&lt;&gt;"")*(#REF!&lt;&gt;"")</formula>
    </cfRule>
    <cfRule type="expression" dxfId="1" priority="789">
      <formula>(#REF!&lt;&gt;"")*(#REF!&lt;&gt;"")</formula>
    </cfRule>
  </conditionalFormatting>
  <conditionalFormatting sqref="R5662">
    <cfRule type="expression" dxfId="0" priority="786">
      <formula>(#REF!&lt;&gt;"")*(#REF!&lt;&gt;"")</formula>
    </cfRule>
  </conditionalFormatting>
  <conditionalFormatting sqref="P5664:Q5664">
    <cfRule type="expression" dxfId="0" priority="778">
      <formula>(#REF!&lt;&gt;"")*(#REF!&lt;&gt;"")</formula>
    </cfRule>
    <cfRule type="expression" dxfId="1" priority="780">
      <formula>(#REF!&lt;&gt;"")*(#REF!&lt;&gt;"")</formula>
    </cfRule>
  </conditionalFormatting>
  <conditionalFormatting sqref="R5664">
    <cfRule type="expression" dxfId="0" priority="777">
      <formula>(#REF!&lt;&gt;"")*(#REF!&lt;&gt;"")</formula>
    </cfRule>
  </conditionalFormatting>
  <conditionalFormatting sqref="O5753">
    <cfRule type="expression" dxfId="0" priority="1342">
      <formula>(#REF!&lt;&gt;"")*(#REF!&lt;&gt;"")</formula>
    </cfRule>
  </conditionalFormatting>
  <conditionalFormatting sqref="P5753">
    <cfRule type="expression" dxfId="0" priority="1341">
      <formula>(#REF!&lt;&gt;"")*(#REF!&lt;&gt;"")</formula>
    </cfRule>
    <cfRule type="expression" dxfId="1" priority="1343">
      <formula>(#REF!&lt;&gt;"")*(#REF!&lt;&gt;"")</formula>
    </cfRule>
  </conditionalFormatting>
  <conditionalFormatting sqref="Q5753">
    <cfRule type="expression" dxfId="0" priority="1331">
      <formula>(#REF!&lt;&gt;"")*(#REF!&lt;&gt;"")</formula>
    </cfRule>
    <cfRule type="expression" dxfId="1" priority="1332">
      <formula>(#REF!&lt;&gt;"")*(#REF!&lt;&gt;"")</formula>
    </cfRule>
  </conditionalFormatting>
  <conditionalFormatting sqref="R5753">
    <cfRule type="expression" dxfId="0" priority="1150">
      <formula>(#REF!&lt;&gt;"")*(#REF!&lt;&gt;"")</formula>
    </cfRule>
  </conditionalFormatting>
  <conditionalFormatting sqref="K5754">
    <cfRule type="expression" dxfId="0" priority="1339">
      <formula>(#REF!&lt;&gt;"")*(#REF!&lt;&gt;"")</formula>
    </cfRule>
  </conditionalFormatting>
  <conditionalFormatting sqref="L5754:N5754">
    <cfRule type="expression" dxfId="0" priority="1340">
      <formula>(#REF!&lt;&gt;"")*(#REF!&lt;&gt;"")</formula>
    </cfRule>
  </conditionalFormatting>
  <conditionalFormatting sqref="O5754">
    <cfRule type="expression" dxfId="0" priority="1335">
      <formula>(#REF!&lt;&gt;"")*(#REF!&lt;&gt;"")</formula>
    </cfRule>
  </conditionalFormatting>
  <conditionalFormatting sqref="P5754">
    <cfRule type="expression" dxfId="0" priority="1334">
      <formula>(#REF!&lt;&gt;"")*(#REF!&lt;&gt;"")</formula>
    </cfRule>
    <cfRule type="expression" dxfId="1" priority="1336">
      <formula>(#REF!&lt;&gt;"")*(#REF!&lt;&gt;"")</formula>
    </cfRule>
  </conditionalFormatting>
  <conditionalFormatting sqref="R5754">
    <cfRule type="expression" dxfId="0" priority="1149">
      <formula>(#REF!&lt;&gt;"")*(#REF!&lt;&gt;"")</formula>
    </cfRule>
  </conditionalFormatting>
  <conditionalFormatting sqref="O5755">
    <cfRule type="expression" dxfId="0" priority="1162">
      <formula>(#REF!&lt;&gt;"")*(#REF!&lt;&gt;"")</formula>
    </cfRule>
  </conditionalFormatting>
  <conditionalFormatting sqref="P5755">
    <cfRule type="expression" dxfId="0" priority="1161">
      <formula>(#REF!&lt;&gt;"")*(#REF!&lt;&gt;"")</formula>
    </cfRule>
    <cfRule type="expression" dxfId="1" priority="1163">
      <formula>(#REF!&lt;&gt;"")*(#REF!&lt;&gt;"")</formula>
    </cfRule>
  </conditionalFormatting>
  <conditionalFormatting sqref="O5756">
    <cfRule type="expression" dxfId="0" priority="764">
      <formula>(#REF!&lt;&gt;"")*(#REF!&lt;&gt;"")</formula>
    </cfRule>
  </conditionalFormatting>
  <conditionalFormatting sqref="P5756">
    <cfRule type="expression" dxfId="0" priority="763">
      <formula>(#REF!&lt;&gt;"")*(#REF!&lt;&gt;"")</formula>
    </cfRule>
    <cfRule type="expression" dxfId="1" priority="765">
      <formula>(#REF!&lt;&gt;"")*(#REF!&lt;&gt;"")</formula>
    </cfRule>
  </conditionalFormatting>
  <conditionalFormatting sqref="O5757">
    <cfRule type="expression" dxfId="0" priority="761">
      <formula>(#REF!&lt;&gt;"")*(#REF!&lt;&gt;"")</formula>
    </cfRule>
  </conditionalFormatting>
  <conditionalFormatting sqref="P5757">
    <cfRule type="expression" dxfId="0" priority="760">
      <formula>(#REF!&lt;&gt;"")*(#REF!&lt;&gt;"")</formula>
    </cfRule>
    <cfRule type="expression" dxfId="1" priority="762">
      <formula>(#REF!&lt;&gt;"")*(#REF!&lt;&gt;"")</formula>
    </cfRule>
  </conditionalFormatting>
  <conditionalFormatting sqref="N5890">
    <cfRule type="expression" dxfId="0" priority="1642">
      <formula>(#REF!&lt;&gt;"")*(#REF!&lt;&gt;"")</formula>
    </cfRule>
  </conditionalFormatting>
  <conditionalFormatting sqref="P5890:Q5890">
    <cfRule type="expression" dxfId="0" priority="1643">
      <formula>(#REF!&lt;&gt;"")*(#REF!&lt;&gt;"")</formula>
    </cfRule>
    <cfRule type="expression" dxfId="1" priority="1645">
      <formula>(#REF!&lt;&gt;"")*(#REF!&lt;&gt;"")</formula>
    </cfRule>
  </conditionalFormatting>
  <conditionalFormatting sqref="R5890">
    <cfRule type="expression" dxfId="0" priority="1641">
      <formula>(#REF!&lt;&gt;"")*(#REF!&lt;&gt;"")</formula>
    </cfRule>
  </conditionalFormatting>
  <conditionalFormatting sqref="N5891">
    <cfRule type="expression" dxfId="0" priority="1616">
      <formula>(#REF!&lt;&gt;"")*(#REF!&lt;&gt;"")</formula>
    </cfRule>
  </conditionalFormatting>
  <conditionalFormatting sqref="P5891">
    <cfRule type="expression" dxfId="0" priority="1617">
      <formula>(#REF!&lt;&gt;"")*(#REF!&lt;&gt;"")</formula>
    </cfRule>
    <cfRule type="expression" dxfId="1" priority="1619">
      <formula>(#REF!&lt;&gt;"")*(#REF!&lt;&gt;"")</formula>
    </cfRule>
  </conditionalFormatting>
  <conditionalFormatting sqref="Q5891">
    <cfRule type="expression" dxfId="0" priority="1482">
      <formula>(#REF!&lt;&gt;"")*(#REF!&lt;&gt;"")</formula>
    </cfRule>
    <cfRule type="expression" dxfId="0" priority="1481">
      <formula>(#REF!&lt;&gt;"")*(#REF!&lt;&gt;"")</formula>
    </cfRule>
    <cfRule type="expression" dxfId="1" priority="1483">
      <formula>(#REF!&lt;&gt;"")*(#REF!&lt;&gt;"")</formula>
    </cfRule>
  </conditionalFormatting>
  <conditionalFormatting sqref="R5891">
    <cfRule type="expression" dxfId="0" priority="1615">
      <formula>(#REF!&lt;&gt;"")*(#REF!&lt;&gt;"")</formula>
    </cfRule>
  </conditionalFormatting>
  <conditionalFormatting sqref="N5892">
    <cfRule type="expression" dxfId="0" priority="1357">
      <formula>(#REF!&lt;&gt;"")*(#REF!&lt;&gt;"")</formula>
    </cfRule>
  </conditionalFormatting>
  <conditionalFormatting sqref="P5892">
    <cfRule type="expression" dxfId="0" priority="1358">
      <formula>(#REF!&lt;&gt;"")*(#REF!&lt;&gt;"")</formula>
    </cfRule>
    <cfRule type="expression" dxfId="1" priority="1360">
      <formula>(#REF!&lt;&gt;"")*(#REF!&lt;&gt;"")</formula>
    </cfRule>
  </conditionalFormatting>
  <conditionalFormatting sqref="Q5892">
    <cfRule type="expression" dxfId="0" priority="1355">
      <formula>(#REF!&lt;&gt;"")*(#REF!&lt;&gt;"")</formula>
    </cfRule>
    <cfRule type="expression" dxfId="0" priority="1354">
      <formula>(#REF!&lt;&gt;"")*(#REF!&lt;&gt;"")</formula>
    </cfRule>
    <cfRule type="expression" dxfId="1" priority="1356">
      <formula>(#REF!&lt;&gt;"")*(#REF!&lt;&gt;"")</formula>
    </cfRule>
  </conditionalFormatting>
  <conditionalFormatting sqref="R5892">
    <cfRule type="expression" dxfId="0" priority="1148">
      <formula>(#REF!&lt;&gt;"")*(#REF!&lt;&gt;"")</formula>
    </cfRule>
  </conditionalFormatting>
  <conditionalFormatting sqref="N5893">
    <cfRule type="expression" dxfId="0" priority="1349">
      <formula>(#REF!&lt;&gt;"")*(#REF!&lt;&gt;"")</formula>
    </cfRule>
  </conditionalFormatting>
  <conditionalFormatting sqref="P5893">
    <cfRule type="expression" dxfId="0" priority="1350">
      <formula>(#REF!&lt;&gt;"")*(#REF!&lt;&gt;"")</formula>
    </cfRule>
    <cfRule type="expression" dxfId="1" priority="1352">
      <formula>(#REF!&lt;&gt;"")*(#REF!&lt;&gt;"")</formula>
    </cfRule>
  </conditionalFormatting>
  <conditionalFormatting sqref="Q5893">
    <cfRule type="expression" dxfId="0" priority="1347">
      <formula>(#REF!&lt;&gt;"")*(#REF!&lt;&gt;"")</formula>
    </cfRule>
    <cfRule type="expression" dxfId="0" priority="1346">
      <formula>(#REF!&lt;&gt;"")*(#REF!&lt;&gt;"")</formula>
    </cfRule>
    <cfRule type="expression" dxfId="1" priority="1348">
      <formula>(#REF!&lt;&gt;"")*(#REF!&lt;&gt;"")</formula>
    </cfRule>
  </conditionalFormatting>
  <conditionalFormatting sqref="R5893">
    <cfRule type="expression" dxfId="0" priority="1147">
      <formula>(#REF!&lt;&gt;"")*(#REF!&lt;&gt;"")</formula>
    </cfRule>
  </conditionalFormatting>
  <conditionalFormatting sqref="N5894">
    <cfRule type="expression" dxfId="0" priority="1174">
      <formula>(#REF!&lt;&gt;"")*(#REF!&lt;&gt;"")</formula>
    </cfRule>
  </conditionalFormatting>
  <conditionalFormatting sqref="P5894">
    <cfRule type="expression" dxfId="0" priority="1175">
      <formula>(#REF!&lt;&gt;"")*(#REF!&lt;&gt;"")</formula>
    </cfRule>
    <cfRule type="expression" dxfId="1" priority="1177">
      <formula>(#REF!&lt;&gt;"")*(#REF!&lt;&gt;"")</formula>
    </cfRule>
  </conditionalFormatting>
  <conditionalFormatting sqref="Q5894">
    <cfRule type="expression" dxfId="0" priority="1172">
      <formula>(#REF!&lt;&gt;"")*(#REF!&lt;&gt;"")</formula>
    </cfRule>
    <cfRule type="expression" dxfId="0" priority="1171">
      <formula>(#REF!&lt;&gt;"")*(#REF!&lt;&gt;"")</formula>
    </cfRule>
    <cfRule type="expression" dxfId="1" priority="1173">
      <formula>(#REF!&lt;&gt;"")*(#REF!&lt;&gt;"")</formula>
    </cfRule>
  </conditionalFormatting>
  <conditionalFormatting sqref="R5894">
    <cfRule type="expression" dxfId="0" priority="1068">
      <formula>(#REF!&lt;&gt;"")*(#REF!&lt;&gt;"")</formula>
    </cfRule>
  </conditionalFormatting>
  <conditionalFormatting sqref="N5895">
    <cfRule type="expression" dxfId="0" priority="833">
      <formula>(#REF!&lt;&gt;"")*(#REF!&lt;&gt;"")</formula>
    </cfRule>
  </conditionalFormatting>
  <conditionalFormatting sqref="O5895">
    <cfRule type="expression" dxfId="0" priority="829">
      <formula>(#REF!&lt;&gt;"")*(#REF!&lt;&gt;"")</formula>
    </cfRule>
  </conditionalFormatting>
  <conditionalFormatting sqref="P5895">
    <cfRule type="expression" dxfId="0" priority="827">
      <formula>(#REF!&lt;&gt;"")*(#REF!&lt;&gt;"")</formula>
    </cfRule>
    <cfRule type="expression" dxfId="1" priority="828">
      <formula>(#REF!&lt;&gt;"")*(#REF!&lt;&gt;"")</formula>
    </cfRule>
  </conditionalFormatting>
  <conditionalFormatting sqref="Q5895">
    <cfRule type="expression" dxfId="0" priority="831">
      <formula>(#REF!&lt;&gt;"")*(#REF!&lt;&gt;"")</formula>
    </cfRule>
    <cfRule type="expression" dxfId="0" priority="830">
      <formula>(#REF!&lt;&gt;"")*(#REF!&lt;&gt;"")</formula>
    </cfRule>
    <cfRule type="expression" dxfId="1" priority="832">
      <formula>(#REF!&lt;&gt;"")*(#REF!&lt;&gt;"")</formula>
    </cfRule>
  </conditionalFormatting>
  <conditionalFormatting sqref="N5896">
    <cfRule type="expression" dxfId="0" priority="667">
      <formula>(#REF!&lt;&gt;"")*(#REF!&lt;&gt;"")</formula>
    </cfRule>
  </conditionalFormatting>
  <conditionalFormatting sqref="O5896">
    <cfRule type="expression" dxfId="0" priority="660">
      <formula>(#REF!&lt;&gt;"")*(#REF!&lt;&gt;"")</formula>
    </cfRule>
  </conditionalFormatting>
  <conditionalFormatting sqref="P5896">
    <cfRule type="expression" dxfId="0" priority="658">
      <formula>(#REF!&lt;&gt;"")*(#REF!&lt;&gt;"")</formula>
    </cfRule>
    <cfRule type="expression" dxfId="1" priority="659">
      <formula>(#REF!&lt;&gt;"")*(#REF!&lt;&gt;"")</formula>
    </cfRule>
  </conditionalFormatting>
  <conditionalFormatting sqref="Q5896">
    <cfRule type="expression" dxfId="0" priority="662">
      <formula>(#REF!&lt;&gt;"")*(#REF!&lt;&gt;"")</formula>
    </cfRule>
    <cfRule type="expression" dxfId="0" priority="661">
      <formula>(#REF!&lt;&gt;"")*(#REF!&lt;&gt;"")</formula>
    </cfRule>
    <cfRule type="expression" dxfId="1" priority="663">
      <formula>(#REF!&lt;&gt;"")*(#REF!&lt;&gt;"")</formula>
    </cfRule>
  </conditionalFormatting>
  <conditionalFormatting sqref="N5897">
    <cfRule type="expression" dxfId="0" priority="666">
      <formula>(#REF!&lt;&gt;"")*(#REF!&lt;&gt;"")</formula>
    </cfRule>
  </conditionalFormatting>
  <conditionalFormatting sqref="O5897">
    <cfRule type="expression" dxfId="0" priority="823">
      <formula>(#REF!&lt;&gt;"")*(#REF!&lt;&gt;"")</formula>
    </cfRule>
  </conditionalFormatting>
  <conditionalFormatting sqref="P5897">
    <cfRule type="expression" dxfId="0" priority="821">
      <formula>(#REF!&lt;&gt;"")*(#REF!&lt;&gt;"")</formula>
    </cfRule>
    <cfRule type="expression" dxfId="1" priority="822">
      <formula>(#REF!&lt;&gt;"")*(#REF!&lt;&gt;"")</formula>
    </cfRule>
  </conditionalFormatting>
  <conditionalFormatting sqref="Q5897">
    <cfRule type="expression" dxfId="0" priority="825">
      <formula>(#REF!&lt;&gt;"")*(#REF!&lt;&gt;"")</formula>
    </cfRule>
    <cfRule type="expression" dxfId="0" priority="824">
      <formula>(#REF!&lt;&gt;"")*(#REF!&lt;&gt;"")</formula>
    </cfRule>
    <cfRule type="expression" dxfId="1" priority="826">
      <formula>(#REF!&lt;&gt;"")*(#REF!&lt;&gt;"")</formula>
    </cfRule>
  </conditionalFormatting>
  <conditionalFormatting sqref="N5898">
    <cfRule type="expression" dxfId="0" priority="654">
      <formula>(#REF!&lt;&gt;"")*(#REF!&lt;&gt;"")</formula>
    </cfRule>
  </conditionalFormatting>
  <conditionalFormatting sqref="O5898">
    <cfRule type="expression" dxfId="0" priority="650">
      <formula>(#REF!&lt;&gt;"")*(#REF!&lt;&gt;"")</formula>
    </cfRule>
  </conditionalFormatting>
  <conditionalFormatting sqref="Q5898">
    <cfRule type="expression" dxfId="1" priority="653">
      <formula>(#REF!&lt;&gt;"")*(#REF!&lt;&gt;"")</formula>
    </cfRule>
    <cfRule type="expression" dxfId="0" priority="652">
      <formula>(#REF!&lt;&gt;"")*(#REF!&lt;&gt;"")</formula>
    </cfRule>
    <cfRule type="expression" dxfId="0" priority="651">
      <formula>(#REF!&lt;&gt;"")*(#REF!&lt;&gt;"")</formula>
    </cfRule>
  </conditionalFormatting>
  <conditionalFormatting sqref="N5899">
    <cfRule type="expression" dxfId="0" priority="645">
      <formula>(#REF!&lt;&gt;"")*(#REF!&lt;&gt;"")</formula>
    </cfRule>
  </conditionalFormatting>
  <conditionalFormatting sqref="O5899">
    <cfRule type="expression" dxfId="0" priority="641">
      <formula>(#REF!&lt;&gt;"")*(#REF!&lt;&gt;"")</formula>
    </cfRule>
  </conditionalFormatting>
  <conditionalFormatting sqref="Q5899">
    <cfRule type="expression" dxfId="0" priority="643">
      <formula>(#REF!&lt;&gt;"")*(#REF!&lt;&gt;"")</formula>
    </cfRule>
    <cfRule type="expression" dxfId="0" priority="642">
      <formula>(#REF!&lt;&gt;"")*(#REF!&lt;&gt;"")</formula>
    </cfRule>
    <cfRule type="expression" dxfId="1" priority="644">
      <formula>(#REF!&lt;&gt;"")*(#REF!&lt;&gt;"")</formula>
    </cfRule>
  </conditionalFormatting>
  <conditionalFormatting sqref="N5900">
    <cfRule type="expression" dxfId="0" priority="638">
      <formula>(#REF!&lt;&gt;"")*(#REF!&lt;&gt;"")</formula>
    </cfRule>
  </conditionalFormatting>
  <conditionalFormatting sqref="O5900">
    <cfRule type="expression" dxfId="0" priority="634">
      <formula>(#REF!&lt;&gt;"")*(#REF!&lt;&gt;"")</formula>
    </cfRule>
  </conditionalFormatting>
  <conditionalFormatting sqref="Q5900">
    <cfRule type="expression" dxfId="0" priority="636">
      <formula>(#REF!&lt;&gt;"")*(#REF!&lt;&gt;"")</formula>
    </cfRule>
    <cfRule type="expression" dxfId="0" priority="635">
      <formula>(#REF!&lt;&gt;"")*(#REF!&lt;&gt;"")</formula>
    </cfRule>
    <cfRule type="expression" dxfId="1" priority="637">
      <formula>(#REF!&lt;&gt;"")*(#REF!&lt;&gt;"")</formula>
    </cfRule>
  </conditionalFormatting>
  <conditionalFormatting sqref="N5901">
    <cfRule type="expression" dxfId="0" priority="630">
      <formula>(#REF!&lt;&gt;"")*(#REF!&lt;&gt;"")</formula>
    </cfRule>
  </conditionalFormatting>
  <conditionalFormatting sqref="O5901">
    <cfRule type="expression" dxfId="0" priority="626">
      <formula>(#REF!&lt;&gt;"")*(#REF!&lt;&gt;"")</formula>
    </cfRule>
  </conditionalFormatting>
  <conditionalFormatting sqref="Q5901">
    <cfRule type="expression" dxfId="0" priority="628">
      <formula>(#REF!&lt;&gt;"")*(#REF!&lt;&gt;"")</formula>
    </cfRule>
    <cfRule type="expression" dxfId="0" priority="627">
      <formula>(#REF!&lt;&gt;"")*(#REF!&lt;&gt;"")</formula>
    </cfRule>
    <cfRule type="expression" dxfId="1" priority="629">
      <formula>(#REF!&lt;&gt;"")*(#REF!&lt;&gt;"")</formula>
    </cfRule>
  </conditionalFormatting>
  <conditionalFormatting sqref="N5902">
    <cfRule type="expression" dxfId="0" priority="614">
      <formula>(#REF!&lt;&gt;"")*(#REF!&lt;&gt;"")</formula>
    </cfRule>
  </conditionalFormatting>
  <conditionalFormatting sqref="O5902">
    <cfRule type="expression" dxfId="0" priority="610">
      <formula>(#REF!&lt;&gt;"")*(#REF!&lt;&gt;"")</formula>
    </cfRule>
  </conditionalFormatting>
  <conditionalFormatting sqref="Q5902">
    <cfRule type="expression" dxfId="0" priority="612">
      <formula>(#REF!&lt;&gt;"")*(#REF!&lt;&gt;"")</formula>
    </cfRule>
    <cfRule type="expression" dxfId="0" priority="611">
      <formula>(#REF!&lt;&gt;"")*(#REF!&lt;&gt;"")</formula>
    </cfRule>
    <cfRule type="expression" dxfId="1" priority="613">
      <formula>(#REF!&lt;&gt;"")*(#REF!&lt;&gt;"")</formula>
    </cfRule>
  </conditionalFormatting>
  <conditionalFormatting sqref="N5903">
    <cfRule type="expression" dxfId="0" priority="623">
      <formula>(#REF!&lt;&gt;"")*(#REF!&lt;&gt;"")</formula>
    </cfRule>
  </conditionalFormatting>
  <conditionalFormatting sqref="O5903">
    <cfRule type="expression" dxfId="0" priority="619">
      <formula>(#REF!&lt;&gt;"")*(#REF!&lt;&gt;"")</formula>
    </cfRule>
  </conditionalFormatting>
  <conditionalFormatting sqref="P5903">
    <cfRule type="expression" dxfId="0" priority="617">
      <formula>(#REF!&lt;&gt;"")*(#REF!&lt;&gt;"")</formula>
    </cfRule>
    <cfRule type="expression" dxfId="1" priority="618">
      <formula>(#REF!&lt;&gt;"")*(#REF!&lt;&gt;"")</formula>
    </cfRule>
  </conditionalFormatting>
  <conditionalFormatting sqref="Q5903">
    <cfRule type="expression" dxfId="0" priority="621">
      <formula>(#REF!&lt;&gt;"")*(#REF!&lt;&gt;"")</formula>
    </cfRule>
    <cfRule type="expression" dxfId="0" priority="620">
      <formula>(#REF!&lt;&gt;"")*(#REF!&lt;&gt;"")</formula>
    </cfRule>
    <cfRule type="expression" dxfId="1" priority="622">
      <formula>(#REF!&lt;&gt;"")*(#REF!&lt;&gt;"")</formula>
    </cfRule>
  </conditionalFormatting>
  <conditionalFormatting sqref="N5904">
    <cfRule type="expression" dxfId="0" priority="606">
      <formula>(#REF!&lt;&gt;"")*(#REF!&lt;&gt;"")</formula>
    </cfRule>
  </conditionalFormatting>
  <conditionalFormatting sqref="O5904">
    <cfRule type="expression" dxfId="0" priority="602">
      <formula>(#REF!&lt;&gt;"")*(#REF!&lt;&gt;"")</formula>
    </cfRule>
  </conditionalFormatting>
  <conditionalFormatting sqref="P5904">
    <cfRule type="expression" dxfId="0" priority="600">
      <formula>(#REF!&lt;&gt;"")*(#REF!&lt;&gt;"")</formula>
    </cfRule>
    <cfRule type="expression" dxfId="1" priority="601">
      <formula>(#REF!&lt;&gt;"")*(#REF!&lt;&gt;"")</formula>
    </cfRule>
  </conditionalFormatting>
  <conditionalFormatting sqref="Q5904">
    <cfRule type="expression" dxfId="0" priority="604">
      <formula>(#REF!&lt;&gt;"")*(#REF!&lt;&gt;"")</formula>
    </cfRule>
    <cfRule type="expression" dxfId="0" priority="603">
      <formula>(#REF!&lt;&gt;"")*(#REF!&lt;&gt;"")</formula>
    </cfRule>
    <cfRule type="expression" dxfId="1" priority="605">
      <formula>(#REF!&lt;&gt;"")*(#REF!&lt;&gt;"")</formula>
    </cfRule>
  </conditionalFormatting>
  <conditionalFormatting sqref="N5905">
    <cfRule type="expression" dxfId="0" priority="597">
      <formula>(#REF!&lt;&gt;"")*(#REF!&lt;&gt;"")</formula>
    </cfRule>
  </conditionalFormatting>
  <conditionalFormatting sqref="O5905">
    <cfRule type="expression" dxfId="0" priority="593">
      <formula>(#REF!&lt;&gt;"")*(#REF!&lt;&gt;"")</formula>
    </cfRule>
  </conditionalFormatting>
  <conditionalFormatting sqref="P5905">
    <cfRule type="expression" dxfId="0" priority="591">
      <formula>(#REF!&lt;&gt;"")*(#REF!&lt;&gt;"")</formula>
    </cfRule>
    <cfRule type="expression" dxfId="1" priority="592">
      <formula>(#REF!&lt;&gt;"")*(#REF!&lt;&gt;"")</formula>
    </cfRule>
  </conditionalFormatting>
  <conditionalFormatting sqref="Q5905">
    <cfRule type="expression" dxfId="0" priority="595">
      <formula>(#REF!&lt;&gt;"")*(#REF!&lt;&gt;"")</formula>
    </cfRule>
    <cfRule type="expression" dxfId="0" priority="594">
      <formula>(#REF!&lt;&gt;"")*(#REF!&lt;&gt;"")</formula>
    </cfRule>
    <cfRule type="expression" dxfId="1" priority="596">
      <formula>(#REF!&lt;&gt;"")*(#REF!&lt;&gt;"")</formula>
    </cfRule>
  </conditionalFormatting>
  <conditionalFormatting sqref="N5906">
    <cfRule type="expression" dxfId="0" priority="588">
      <formula>(#REF!&lt;&gt;"")*(#REF!&lt;&gt;"")</formula>
    </cfRule>
  </conditionalFormatting>
  <conditionalFormatting sqref="O5906">
    <cfRule type="expression" dxfId="0" priority="584">
      <formula>(#REF!&lt;&gt;"")*(#REF!&lt;&gt;"")</formula>
    </cfRule>
  </conditionalFormatting>
  <conditionalFormatting sqref="P5906">
    <cfRule type="expression" dxfId="0" priority="582">
      <formula>(#REF!&lt;&gt;"")*(#REF!&lt;&gt;"")</formula>
    </cfRule>
    <cfRule type="expression" dxfId="1" priority="583">
      <formula>(#REF!&lt;&gt;"")*(#REF!&lt;&gt;"")</formula>
    </cfRule>
  </conditionalFormatting>
  <conditionalFormatting sqref="Q5906">
    <cfRule type="expression" dxfId="0" priority="586">
      <formula>(#REF!&lt;&gt;"")*(#REF!&lt;&gt;"")</formula>
    </cfRule>
    <cfRule type="expression" dxfId="0" priority="585">
      <formula>(#REF!&lt;&gt;"")*(#REF!&lt;&gt;"")</formula>
    </cfRule>
    <cfRule type="expression" dxfId="1" priority="587">
      <formula>(#REF!&lt;&gt;"")*(#REF!&lt;&gt;"")</formula>
    </cfRule>
  </conditionalFormatting>
  <conditionalFormatting sqref="N5907">
    <cfRule type="expression" dxfId="0" priority="579">
      <formula>(#REF!&lt;&gt;"")*(#REF!&lt;&gt;"")</formula>
    </cfRule>
  </conditionalFormatting>
  <conditionalFormatting sqref="O5907">
    <cfRule type="expression" dxfId="0" priority="575">
      <formula>(#REF!&lt;&gt;"")*(#REF!&lt;&gt;"")</formula>
    </cfRule>
  </conditionalFormatting>
  <conditionalFormatting sqref="P5907">
    <cfRule type="expression" dxfId="0" priority="573">
      <formula>(#REF!&lt;&gt;"")*(#REF!&lt;&gt;"")</formula>
    </cfRule>
    <cfRule type="expression" dxfId="1" priority="574">
      <formula>(#REF!&lt;&gt;"")*(#REF!&lt;&gt;"")</formula>
    </cfRule>
  </conditionalFormatting>
  <conditionalFormatting sqref="Q5907">
    <cfRule type="expression" dxfId="0" priority="577">
      <formula>(#REF!&lt;&gt;"")*(#REF!&lt;&gt;"")</formula>
    </cfRule>
    <cfRule type="expression" dxfId="0" priority="576">
      <formula>(#REF!&lt;&gt;"")*(#REF!&lt;&gt;"")</formula>
    </cfRule>
    <cfRule type="expression" dxfId="1" priority="578">
      <formula>(#REF!&lt;&gt;"")*(#REF!&lt;&gt;"")</formula>
    </cfRule>
  </conditionalFormatting>
  <conditionalFormatting sqref="E5918">
    <cfRule type="expression" dxfId="1" priority="1546">
      <formula>(#REF!&lt;&gt;"")*(E$1&lt;&gt;"")</formula>
    </cfRule>
  </conditionalFormatting>
  <conditionalFormatting sqref="F5918">
    <cfRule type="expression" dxfId="1" priority="1548">
      <formula>(#REF!&lt;&gt;"")*(F$1&lt;&gt;"")</formula>
    </cfRule>
  </conditionalFormatting>
  <conditionalFormatting sqref="G5918">
    <cfRule type="expression" dxfId="1" priority="1547">
      <formula>(#REF!&lt;&gt;"")*(G$1&lt;&gt;"")</formula>
    </cfRule>
  </conditionalFormatting>
  <conditionalFormatting sqref="H5919">
    <cfRule type="expression" dxfId="1" priority="1310">
      <formula>(#REF!&lt;&gt;"")*(H$1&lt;&gt;"")</formula>
    </cfRule>
  </conditionalFormatting>
  <conditionalFormatting sqref="J5919">
    <cfRule type="expression" dxfId="0" priority="1320">
      <formula>(#REF!&lt;&gt;"")*(#REF!&lt;&gt;"")</formula>
    </cfRule>
  </conditionalFormatting>
  <conditionalFormatting sqref="K5919">
    <cfRule type="expression" dxfId="0" priority="1318">
      <formula>(#REF!&lt;&gt;"")*(#REF!&lt;&gt;"")</formula>
    </cfRule>
    <cfRule type="expression" dxfId="1" priority="1319">
      <formula>(#REF!&lt;&gt;"")*(K$1&lt;&gt;"")</formula>
    </cfRule>
  </conditionalFormatting>
  <conditionalFormatting sqref="E5920:G5920">
    <cfRule type="expression" dxfId="1" priority="1314">
      <formula>(#REF!&lt;&gt;"")*(E$1&lt;&gt;"")</formula>
    </cfRule>
  </conditionalFormatting>
  <conditionalFormatting sqref="H5920">
    <cfRule type="expression" dxfId="1" priority="1309">
      <formula>(#REF!&lt;&gt;"")*(H$1&lt;&gt;"")</formula>
    </cfRule>
  </conditionalFormatting>
  <conditionalFormatting sqref="J5920">
    <cfRule type="expression" dxfId="0" priority="1313">
      <formula>(#REF!&lt;&gt;"")*(#REF!&lt;&gt;"")</formula>
    </cfRule>
  </conditionalFormatting>
  <conditionalFormatting sqref="K5920">
    <cfRule type="expression" dxfId="0" priority="1311">
      <formula>(#REF!&lt;&gt;"")*(#REF!&lt;&gt;"")</formula>
    </cfRule>
    <cfRule type="expression" dxfId="1" priority="1312">
      <formula>(#REF!&lt;&gt;"")*(K$1&lt;&gt;"")</formula>
    </cfRule>
  </conditionalFormatting>
  <conditionalFormatting sqref="P5939:Q5939">
    <cfRule type="expression" dxfId="1" priority="1323">
      <formula>(#REF!&lt;&gt;"")*(#REF!&lt;&gt;"")</formula>
    </cfRule>
  </conditionalFormatting>
  <conditionalFormatting sqref="R5939">
    <cfRule type="expression" dxfId="0" priority="1321">
      <formula>(#REF!&lt;&gt;"")*(#REF!&lt;&gt;"")</formula>
    </cfRule>
  </conditionalFormatting>
  <conditionalFormatting sqref="P5956:R5956">
    <cfRule type="expression" dxfId="0" priority="800">
      <formula>(#REF!&lt;&gt;"")*(#REF!&lt;&gt;"")</formula>
    </cfRule>
  </conditionalFormatting>
  <conditionalFormatting sqref="P5956:Q5956">
    <cfRule type="expression" dxfId="1" priority="801">
      <formula>(#REF!&lt;&gt;"")*(#REF!&lt;&gt;"")</formula>
    </cfRule>
  </conditionalFormatting>
  <conditionalFormatting sqref="J5961">
    <cfRule type="expression" dxfId="0" priority="1556">
      <formula>(#REF!&lt;&gt;"")*(#REF!&lt;&gt;"")</formula>
    </cfRule>
  </conditionalFormatting>
  <conditionalFormatting sqref="G5976">
    <cfRule type="expression" dxfId="0" priority="1540">
      <formula>(#REF!&lt;&gt;"")*(#REF!&lt;&gt;"")</formula>
    </cfRule>
  </conditionalFormatting>
  <conditionalFormatting sqref="P5976:Q5976">
    <cfRule type="expression" dxfId="0" priority="1552">
      <formula>(#REF!&lt;&gt;"")*(#REF!&lt;&gt;"")</formula>
    </cfRule>
    <cfRule type="expression" dxfId="1" priority="1554">
      <formula>(#REF!&lt;&gt;"")*(#REF!&lt;&gt;"")</formula>
    </cfRule>
  </conditionalFormatting>
  <conditionalFormatting sqref="R5984">
    <cfRule type="expression" dxfId="0" priority="1144">
      <formula>(#REF!&lt;&gt;"")*(#REF!&lt;&gt;"")</formula>
    </cfRule>
  </conditionalFormatting>
  <conditionalFormatting sqref="P6045:Q6045">
    <cfRule type="expression" dxfId="1" priority="976">
      <formula>(#REF!&lt;&gt;"")*(#REF!&lt;&gt;"")</formula>
    </cfRule>
  </conditionalFormatting>
  <conditionalFormatting sqref="N6047">
    <cfRule type="expression" dxfId="0" priority="972">
      <formula>(#REF!&lt;&gt;"")*(#REF!&lt;&gt;"")</formula>
    </cfRule>
  </conditionalFormatting>
  <conditionalFormatting sqref="P6047:Q6047">
    <cfRule type="expression" dxfId="1" priority="974">
      <formula>(#REF!&lt;&gt;"")*(#REF!&lt;&gt;"")</formula>
    </cfRule>
  </conditionalFormatting>
  <conditionalFormatting sqref="N6049">
    <cfRule type="expression" dxfId="0" priority="969">
      <formula>(#REF!&lt;&gt;"")*(#REF!&lt;&gt;"")</formula>
    </cfRule>
  </conditionalFormatting>
  <conditionalFormatting sqref="P6049:Q6049">
    <cfRule type="expression" dxfId="1" priority="971">
      <formula>(#REF!&lt;&gt;"")*(#REF!&lt;&gt;"")</formula>
    </cfRule>
  </conditionalFormatting>
  <conditionalFormatting sqref="F6080">
    <cfRule type="expression" dxfId="1" priority="1101">
      <formula>(#REF!&lt;&gt;"")*(G$1&lt;&gt;"")</formula>
    </cfRule>
  </conditionalFormatting>
  <conditionalFormatting sqref="P6080">
    <cfRule type="expression" dxfId="0" priority="1074">
      <formula>(#REF!&lt;&gt;"")*(#REF!&lt;&gt;"")</formula>
    </cfRule>
    <cfRule type="expression" dxfId="1" priority="1075">
      <formula>(#REF!&lt;&gt;"")*(#REF!&lt;&gt;"")</formula>
    </cfRule>
  </conditionalFormatting>
  <conditionalFormatting sqref="Q6080">
    <cfRule type="expression" dxfId="0" priority="1689">
      <formula>(#REF!&lt;&gt;"")*(R$1&lt;&gt;"")</formula>
    </cfRule>
  </conditionalFormatting>
  <conditionalFormatting sqref="R6080">
    <cfRule type="expression" dxfId="0" priority="1069">
      <formula>(#REF!&lt;&gt;"")*(#REF!&lt;&gt;"")</formula>
    </cfRule>
  </conditionalFormatting>
  <conditionalFormatting sqref="F6081">
    <cfRule type="expression" dxfId="1" priority="1094">
      <formula>(#REF!&lt;&gt;"")*(G$1&lt;&gt;"")</formula>
    </cfRule>
  </conditionalFormatting>
  <conditionalFormatting sqref="N6081">
    <cfRule type="expression" dxfId="1" priority="981">
      <formula>(#REF!&lt;&gt;"")*(O$1&lt;&gt;"")</formula>
    </cfRule>
  </conditionalFormatting>
  <conditionalFormatting sqref="Q6081">
    <cfRule type="expression" dxfId="0" priority="1096">
      <formula>(#REF!&lt;&gt;"")*(R$1&lt;&gt;"")</formula>
    </cfRule>
  </conditionalFormatting>
  <conditionalFormatting sqref="R6081">
    <cfRule type="expression" dxfId="0" priority="1098">
      <formula>(#REF!&lt;&gt;"")*(#REF!&lt;&gt;"")</formula>
    </cfRule>
  </conditionalFormatting>
  <conditionalFormatting sqref="F6082">
    <cfRule type="expression" dxfId="1" priority="1099">
      <formula>(#REF!&lt;&gt;"")*(G$1&lt;&gt;"")</formula>
    </cfRule>
  </conditionalFormatting>
  <conditionalFormatting sqref="Q6082">
    <cfRule type="expression" dxfId="0" priority="1686">
      <formula>(#REF!&lt;&gt;"")*(R$1&lt;&gt;"")</formula>
    </cfRule>
  </conditionalFormatting>
  <conditionalFormatting sqref="R6082">
    <cfRule type="expression" dxfId="0" priority="1688">
      <formula>(#REF!&lt;&gt;"")*(#REF!&lt;&gt;"")</formula>
    </cfRule>
  </conditionalFormatting>
  <conditionalFormatting sqref="P6093:Q6093">
    <cfRule type="expression" dxfId="1" priority="798">
      <formula>(#REF!&lt;&gt;"")*(#REF!&lt;&gt;"")</formula>
    </cfRule>
  </conditionalFormatting>
  <conditionalFormatting sqref="R6093">
    <cfRule type="expression" dxfId="0" priority="794">
      <formula>(#REF!&lt;&gt;"")*(#REF!&lt;&gt;"")</formula>
    </cfRule>
  </conditionalFormatting>
  <conditionalFormatting sqref="N6097">
    <cfRule type="expression" dxfId="0" priority="796">
      <formula>(#REF!&lt;&gt;"")*(#REF!&lt;&gt;"")</formula>
    </cfRule>
  </conditionalFormatting>
  <conditionalFormatting sqref="N6099">
    <cfRule type="expression" dxfId="0" priority="795">
      <formula>(#REF!&lt;&gt;"")*(#REF!&lt;&gt;"")</formula>
    </cfRule>
  </conditionalFormatting>
  <conditionalFormatting sqref="P6121:Q6121">
    <cfRule type="expression" dxfId="1" priority="819">
      <formula>(#REF!&lt;&gt;"")*(#REF!&lt;&gt;"")</formula>
    </cfRule>
  </conditionalFormatting>
  <conditionalFormatting sqref="N6123">
    <cfRule type="expression" dxfId="0" priority="793">
      <formula>(#REF!&lt;&gt;"")*(#REF!&lt;&gt;"")</formula>
    </cfRule>
  </conditionalFormatting>
  <conditionalFormatting sqref="P6123">
    <cfRule type="expression" dxfId="1" priority="816">
      <formula>(#REF!&lt;&gt;"")*(#REF!&lt;&gt;"")</formula>
    </cfRule>
  </conditionalFormatting>
  <conditionalFormatting sqref="Q6123">
    <cfRule type="expression" dxfId="0" priority="807">
      <formula>(#REF!&lt;&gt;"")*(#REF!&lt;&gt;"")</formula>
    </cfRule>
    <cfRule type="expression" dxfId="1" priority="808">
      <formula>(#REF!&lt;&gt;"")*(#REF!&lt;&gt;"")</formula>
    </cfRule>
  </conditionalFormatting>
  <conditionalFormatting sqref="N6125">
    <cfRule type="expression" dxfId="0" priority="792">
      <formula>(#REF!&lt;&gt;"")*(#REF!&lt;&gt;"")</formula>
    </cfRule>
  </conditionalFormatting>
  <conditionalFormatting sqref="P6125">
    <cfRule type="expression" dxfId="1" priority="813">
      <formula>(#REF!&lt;&gt;"")*(#REF!&lt;&gt;"")</formula>
    </cfRule>
  </conditionalFormatting>
  <conditionalFormatting sqref="Q6125">
    <cfRule type="expression" dxfId="0" priority="805">
      <formula>(#REF!&lt;&gt;"")*(#REF!&lt;&gt;"")</formula>
    </cfRule>
    <cfRule type="expression" dxfId="1" priority="806">
      <formula>(#REF!&lt;&gt;"")*(#REF!&lt;&gt;"")</formula>
    </cfRule>
  </conditionalFormatting>
  <conditionalFormatting sqref="N6127">
    <cfRule type="expression" dxfId="0" priority="791">
      <formula>(#REF!&lt;&gt;"")*(#REF!&lt;&gt;"")</formula>
    </cfRule>
  </conditionalFormatting>
  <conditionalFormatting sqref="P6127">
    <cfRule type="expression" dxfId="1" priority="810">
      <formula>(#REF!&lt;&gt;"")*(#REF!&lt;&gt;"")</formula>
    </cfRule>
  </conditionalFormatting>
  <conditionalFormatting sqref="Q6127">
    <cfRule type="expression" dxfId="0" priority="803">
      <formula>(#REF!&lt;&gt;"")*(#REF!&lt;&gt;"")</formula>
    </cfRule>
    <cfRule type="expression" dxfId="1" priority="804">
      <formula>(#REF!&lt;&gt;"")*(#REF!&lt;&gt;"")</formula>
    </cfRule>
  </conditionalFormatting>
  <conditionalFormatting sqref="H6426">
    <cfRule type="expression" dxfId="0" priority="419">
      <formula>(#REF!&lt;&gt;"")*(H$1&lt;&gt;"")</formula>
    </cfRule>
  </conditionalFormatting>
  <conditionalFormatting sqref="N6434">
    <cfRule type="expression" dxfId="0" priority="195">
      <formula>(#REF!&lt;&gt;"")*(N$1&lt;&gt;"")</formula>
    </cfRule>
  </conditionalFormatting>
  <conditionalFormatting sqref="N6447">
    <cfRule type="expression" dxfId="0" priority="110">
      <formula>(#REF!&lt;&gt;"")*(N$1&lt;&gt;"")</formula>
    </cfRule>
  </conditionalFormatting>
  <conditionalFormatting sqref="L6450">
    <cfRule type="expression" dxfId="0" priority="319">
      <formula>(#REF!&lt;&gt;"")*(L$1&lt;&gt;"")</formula>
    </cfRule>
  </conditionalFormatting>
  <conditionalFormatting sqref="K6451:L6451">
    <cfRule type="expression" dxfId="0" priority="318">
      <formula>(#REF!&lt;&gt;"")*(K$1&lt;&gt;"")</formula>
    </cfRule>
  </conditionalFormatting>
  <conditionalFormatting sqref="K6480">
    <cfRule type="expression" dxfId="0" priority="238">
      <formula>(#REF!&lt;&gt;"")*(K$1&lt;&gt;"")</formula>
    </cfRule>
  </conditionalFormatting>
  <conditionalFormatting sqref="G6481">
    <cfRule type="expression" dxfId="0" priority="290">
      <formula>(#REF!&lt;&gt;"")*(G$1&lt;&gt;"")</formula>
    </cfRule>
  </conditionalFormatting>
  <conditionalFormatting sqref="O6481">
    <cfRule type="expression" dxfId="0" priority="289">
      <formula>(#REF!&lt;&gt;"")*(O$1&lt;&gt;"")</formula>
    </cfRule>
  </conditionalFormatting>
  <conditionalFormatting sqref="R6481">
    <cfRule type="expression" dxfId="0" priority="292">
      <formula>(#REF!&lt;&gt;"")*(R$1&lt;&gt;"")</formula>
    </cfRule>
  </conditionalFormatting>
  <conditionalFormatting sqref="F6482">
    <cfRule type="expression" dxfId="0" priority="151">
      <formula>(#REF!&lt;&gt;"")*(F$1&lt;&gt;"")</formula>
    </cfRule>
  </conditionalFormatting>
  <conditionalFormatting sqref="G6482">
    <cfRule type="expression" dxfId="0" priority="154">
      <formula>(#REF!&lt;&gt;"")*(G$1&lt;&gt;"")</formula>
    </cfRule>
  </conditionalFormatting>
  <conditionalFormatting sqref="H6482">
    <cfRule type="expression" dxfId="1" priority="152">
      <formula>(#REF!&lt;&gt;"")*(H$1&lt;&gt;"")</formula>
    </cfRule>
  </conditionalFormatting>
  <conditionalFormatting sqref="O6482">
    <cfRule type="expression" dxfId="0" priority="153">
      <formula>(#REF!&lt;&gt;"")*(O$1&lt;&gt;"")</formula>
    </cfRule>
  </conditionalFormatting>
  <conditionalFormatting sqref="R6482">
    <cfRule type="expression" dxfId="0" priority="156">
      <formula>(#REF!&lt;&gt;"")*(R$1&lt;&gt;"")</formula>
    </cfRule>
  </conditionalFormatting>
  <conditionalFormatting sqref="P6486">
    <cfRule type="expression" dxfId="0" priority="214">
      <formula>(#REF!&lt;&gt;"")*(P$1&lt;&gt;"")</formula>
    </cfRule>
  </conditionalFormatting>
  <conditionalFormatting sqref="P6487">
    <cfRule type="expression" dxfId="0" priority="213">
      <formula>(#REF!&lt;&gt;"")*(P$1&lt;&gt;"")</formula>
    </cfRule>
  </conditionalFormatting>
  <conditionalFormatting sqref="F6488">
    <cfRule type="expression" dxfId="0" priority="147">
      <formula>(#REF!&lt;&gt;"")*(F$1&lt;&gt;"")</formula>
    </cfRule>
  </conditionalFormatting>
  <conditionalFormatting sqref="H6488">
    <cfRule type="expression" dxfId="1" priority="149">
      <formula>(#REF!&lt;&gt;"")*(H$1&lt;&gt;"")</formula>
    </cfRule>
  </conditionalFormatting>
  <conditionalFormatting sqref="N6488">
    <cfRule type="expression" dxfId="0" priority="146">
      <formula>(#REF!&lt;&gt;"")*(N$1&lt;&gt;"")</formula>
    </cfRule>
  </conditionalFormatting>
  <conditionalFormatting sqref="P6488">
    <cfRule type="expression" dxfId="0" priority="148">
      <formula>(#REF!&lt;&gt;"")*(P$1&lt;&gt;"")</formula>
    </cfRule>
  </conditionalFormatting>
  <conditionalFormatting sqref="G6557">
    <cfRule type="expression" dxfId="0" priority="391">
      <formula>(#REF!&lt;&gt;"")*(G$1&lt;&gt;"")</formula>
    </cfRule>
  </conditionalFormatting>
  <conditionalFormatting sqref="G6558">
    <cfRule type="expression" dxfId="0" priority="385">
      <formula>(#REF!&lt;&gt;"")*(G$1&lt;&gt;"")</formula>
    </cfRule>
  </conditionalFormatting>
  <conditionalFormatting sqref="G6559">
    <cfRule type="expression" dxfId="0" priority="383">
      <formula>(#REF!&lt;&gt;"")*(G$1&lt;&gt;"")</formula>
    </cfRule>
  </conditionalFormatting>
  <conditionalFormatting sqref="G6560">
    <cfRule type="expression" dxfId="0" priority="387">
      <formula>(#REF!&lt;&gt;"")*(G$1&lt;&gt;"")</formula>
    </cfRule>
  </conditionalFormatting>
  <conditionalFormatting sqref="F6561:G6561">
    <cfRule type="expression" dxfId="0" priority="339">
      <formula>(#REF!&lt;&gt;"")*(F$1&lt;&gt;"")</formula>
    </cfRule>
  </conditionalFormatting>
  <conditionalFormatting sqref="O6561">
    <cfRule type="expression" dxfId="0" priority="338">
      <formula>(#REF!&lt;&gt;"")*(O$1&lt;&gt;"")</formula>
    </cfRule>
  </conditionalFormatting>
  <conditionalFormatting sqref="F6562">
    <cfRule type="expression" dxfId="0" priority="180">
      <formula>(#REF!&lt;&gt;"")*(F$1&lt;&gt;"")</formula>
    </cfRule>
  </conditionalFormatting>
  <conditionalFormatting sqref="H6562">
    <cfRule type="expression" dxfId="1" priority="181">
      <formula>(#REF!&lt;&gt;"")*(H$1&lt;&gt;"")</formula>
    </cfRule>
  </conditionalFormatting>
  <conditionalFormatting sqref="F6563:G6563">
    <cfRule type="expression" dxfId="0" priority="178">
      <formula>(#REF!&lt;&gt;"")*(F$1&lt;&gt;"")</formula>
    </cfRule>
  </conditionalFormatting>
  <conditionalFormatting sqref="H6563">
    <cfRule type="expression" dxfId="1" priority="176">
      <formula>(#REF!&lt;&gt;"")*(H$1&lt;&gt;"")</formula>
    </cfRule>
  </conditionalFormatting>
  <conditionalFormatting sqref="O6563">
    <cfRule type="expression" dxfId="0" priority="177">
      <formula>(#REF!&lt;&gt;"")*(O$1&lt;&gt;"")</formula>
    </cfRule>
  </conditionalFormatting>
  <conditionalFormatting sqref="N6571">
    <cfRule type="expression" dxfId="0" priority="277">
      <formula>(#REF!&lt;&gt;"")*(N$1&lt;&gt;"")</formula>
    </cfRule>
  </conditionalFormatting>
  <conditionalFormatting sqref="N6573">
    <cfRule type="expression" dxfId="0" priority="137">
      <formula>(#REF!&lt;&gt;"")*(N$1&lt;&gt;"")</formula>
    </cfRule>
  </conditionalFormatting>
  <conditionalFormatting sqref="X6573">
    <cfRule type="expression" dxfId="0" priority="133">
      <formula>(#REF!&lt;&gt;"")*(X$1&lt;&gt;"")</formula>
    </cfRule>
  </conditionalFormatting>
  <conditionalFormatting sqref="E6574">
    <cfRule type="expression" dxfId="0" priority="130">
      <formula>(#REF!&lt;&gt;"")*(E$1&lt;&gt;"")</formula>
    </cfRule>
  </conditionalFormatting>
  <conditionalFormatting sqref="K6574">
    <cfRule type="expression" dxfId="0" priority="131">
      <formula>(#REF!&lt;&gt;"")*(K$1&lt;&gt;"")</formula>
    </cfRule>
  </conditionalFormatting>
  <conditionalFormatting sqref="M6574">
    <cfRule type="expression" dxfId="0" priority="134">
      <formula>(#REF!&lt;&gt;"")*(M$1&lt;&gt;"")</formula>
    </cfRule>
  </conditionalFormatting>
  <conditionalFormatting sqref="N6574">
    <cfRule type="expression" dxfId="0" priority="135">
      <formula>(#REF!&lt;&gt;"")*(N$1&lt;&gt;"")</formula>
    </cfRule>
  </conditionalFormatting>
  <conditionalFormatting sqref="X6574">
    <cfRule type="expression" dxfId="0" priority="132">
      <formula>(#REF!&lt;&gt;"")*(X$1&lt;&gt;"")</formula>
    </cfRule>
  </conditionalFormatting>
  <conditionalFormatting sqref="H6648">
    <cfRule type="expression" dxfId="1" priority="183">
      <formula>(#REF!&lt;&gt;"")*(H$1&lt;&gt;"")</formula>
    </cfRule>
  </conditionalFormatting>
  <conditionalFormatting sqref="P6657">
    <cfRule type="expression" dxfId="0" priority="453">
      <formula>(#REF!&lt;&gt;"")*(P$1&lt;&gt;"")</formula>
    </cfRule>
  </conditionalFormatting>
  <conditionalFormatting sqref="P6658">
    <cfRule type="expression" dxfId="0" priority="342">
      <formula>(#REF!&lt;&gt;"")*(P$1&lt;&gt;"")</formula>
    </cfRule>
  </conditionalFormatting>
  <conditionalFormatting sqref="P6659">
    <cfRule type="expression" dxfId="0" priority="343">
      <formula>(#REF!&lt;&gt;"")*(P$1&lt;&gt;"")</formula>
    </cfRule>
  </conditionalFormatting>
  <conditionalFormatting sqref="P6660">
    <cfRule type="expression" dxfId="0" priority="465">
      <formula>(#REF!&lt;&gt;"")*(P$1&lt;&gt;"")</formula>
    </cfRule>
  </conditionalFormatting>
  <conditionalFormatting sqref="H6673">
    <cfRule type="expression" dxfId="0" priority="211">
      <formula>(#REF!&lt;&gt;"")*(H$1&lt;&gt;"")</formula>
    </cfRule>
  </conditionalFormatting>
  <conditionalFormatting sqref="H6676">
    <cfRule type="expression" dxfId="0" priority="368">
      <formula>(#REF!&lt;&gt;"")*(H$1&lt;&gt;"")</formula>
    </cfRule>
  </conditionalFormatting>
  <conditionalFormatting sqref="H6677">
    <cfRule type="expression" dxfId="0" priority="172">
      <formula>(#REF!&lt;&gt;"")*(H$1&lt;&gt;"")</formula>
    </cfRule>
  </conditionalFormatting>
  <conditionalFormatting sqref="O6678">
    <cfRule type="expression" dxfId="0" priority="445">
      <formula>(#REF!&lt;&gt;"")*(O$1&lt;&gt;"")</formula>
    </cfRule>
  </conditionalFormatting>
  <conditionalFormatting sqref="E6679">
    <cfRule type="expression" dxfId="0" priority="446">
      <formula>(#REF!&lt;&gt;"")*(E$1&lt;&gt;"")</formula>
    </cfRule>
  </conditionalFormatting>
  <conditionalFormatting sqref="G6679">
    <cfRule type="expression" dxfId="0" priority="447">
      <formula>(#REF!&lt;&gt;"")*(G$1&lt;&gt;"")</formula>
    </cfRule>
  </conditionalFormatting>
  <conditionalFormatting sqref="K6679">
    <cfRule type="expression" dxfId="0" priority="457">
      <formula>(#REF!&lt;&gt;"")*(K$1&lt;&gt;"")</formula>
    </cfRule>
  </conditionalFormatting>
  <conditionalFormatting sqref="O6679">
    <cfRule type="expression" dxfId="0" priority="444">
      <formula>(#REF!&lt;&gt;"")*(O$1&lt;&gt;"")</formula>
    </cfRule>
  </conditionalFormatting>
  <conditionalFormatting sqref="K6696">
    <cfRule type="expression" dxfId="0" priority="364">
      <formula>(#REF!&lt;&gt;"")*(K$1&lt;&gt;"")</formula>
    </cfRule>
  </conditionalFormatting>
  <conditionalFormatting sqref="K6697">
    <cfRule type="expression" dxfId="0" priority="367">
      <formula>(#REF!&lt;&gt;"")*(K$1&lt;&gt;"")</formula>
    </cfRule>
  </conditionalFormatting>
  <conditionalFormatting sqref="F6698">
    <cfRule type="expression" dxfId="0" priority="434">
      <formula>(#REF!&lt;&gt;"")*(F$1&lt;&gt;"")</formula>
    </cfRule>
  </conditionalFormatting>
  <conditionalFormatting sqref="H6698">
    <cfRule type="expression" dxfId="0" priority="253">
      <formula>(#REF!&lt;&gt;"")*(H$1&lt;&gt;"")</formula>
    </cfRule>
  </conditionalFormatting>
  <conditionalFormatting sqref="R6698">
    <cfRule type="expression" dxfId="0" priority="436">
      <formula>(#REF!&lt;&gt;"")*(R$1&lt;&gt;"")</formula>
    </cfRule>
  </conditionalFormatting>
  <conditionalFormatting sqref="C6701">
    <cfRule type="expression" dxfId="0" priority="94">
      <formula>(#REF!&lt;&gt;"")*(#REF!&lt;&gt;"")</formula>
    </cfRule>
  </conditionalFormatting>
  <conditionalFormatting sqref="N6704">
    <cfRule type="expression" dxfId="0" priority="550">
      <formula>(#REF!&lt;&gt;"")*(#REF!&lt;&gt;"")</formula>
    </cfRule>
  </conditionalFormatting>
  <conditionalFormatting sqref="Q6707">
    <cfRule type="expression" dxfId="1" priority="547">
      <formula>(#REF!&lt;&gt;"")*(#REF!&lt;&gt;"")</formula>
    </cfRule>
    <cfRule type="expression" dxfId="0" priority="548">
      <formula>(#REF!&lt;&gt;"")*(#REF!&lt;&gt;"")</formula>
    </cfRule>
  </conditionalFormatting>
  <conditionalFormatting sqref="Q6708">
    <cfRule type="expression" dxfId="1" priority="545">
      <formula>(#REF!&lt;&gt;"")*(#REF!&lt;&gt;"")</formula>
    </cfRule>
    <cfRule type="expression" dxfId="0" priority="546">
      <formula>(#REF!&lt;&gt;"")*(#REF!&lt;&gt;"")</formula>
    </cfRule>
  </conditionalFormatting>
  <conditionalFormatting sqref="Q6709">
    <cfRule type="expression" dxfId="1" priority="543">
      <formula>(#REF!&lt;&gt;"")*(#REF!&lt;&gt;"")</formula>
    </cfRule>
    <cfRule type="expression" dxfId="0" priority="544">
      <formula>(#REF!&lt;&gt;"")*(#REF!&lt;&gt;"")</formula>
    </cfRule>
  </conditionalFormatting>
  <conditionalFormatting sqref="A6710">
    <cfRule type="expression" dxfId="0" priority="540">
      <formula>(#REF!&lt;&gt;"")*(#REF!&lt;&gt;"")</formula>
    </cfRule>
  </conditionalFormatting>
  <conditionalFormatting sqref="M6710">
    <cfRule type="expression" dxfId="0" priority="537">
      <formula>(#REF!&lt;&gt;"")*(#REF!&lt;&gt;"")</formula>
    </cfRule>
  </conditionalFormatting>
  <conditionalFormatting sqref="P6710">
    <cfRule type="expression" dxfId="1" priority="538">
      <formula>(#REF!&lt;&gt;"")*(#REF!&lt;&gt;"")</formula>
    </cfRule>
  </conditionalFormatting>
  <conditionalFormatting sqref="Q6710">
    <cfRule type="expression" dxfId="1" priority="534">
      <formula>(#REF!&lt;&gt;"")*(#REF!&lt;&gt;"")</formula>
    </cfRule>
    <cfRule type="expression" dxfId="0" priority="535">
      <formula>(#REF!&lt;&gt;"")*(#REF!&lt;&gt;"")</formula>
    </cfRule>
  </conditionalFormatting>
  <conditionalFormatting sqref="A6711">
    <cfRule type="expression" dxfId="0" priority="533">
      <formula>(#REF!&lt;&gt;"")*(#REF!&lt;&gt;"")</formula>
    </cfRule>
  </conditionalFormatting>
  <conditionalFormatting sqref="M6711">
    <cfRule type="expression" dxfId="0" priority="530">
      <formula>(#REF!&lt;&gt;"")*(#REF!&lt;&gt;"")</formula>
    </cfRule>
  </conditionalFormatting>
  <conditionalFormatting sqref="P6711">
    <cfRule type="expression" dxfId="1" priority="531">
      <formula>(#REF!&lt;&gt;"")*(#REF!&lt;&gt;"")</formula>
    </cfRule>
  </conditionalFormatting>
  <conditionalFormatting sqref="Q6711">
    <cfRule type="expression" dxfId="1" priority="527">
      <formula>(#REF!&lt;&gt;"")*(#REF!&lt;&gt;"")</formula>
    </cfRule>
    <cfRule type="expression" dxfId="0" priority="528">
      <formula>(#REF!&lt;&gt;"")*(#REF!&lt;&gt;"")</formula>
    </cfRule>
  </conditionalFormatting>
  <conditionalFormatting sqref="A6712">
    <cfRule type="expression" dxfId="0" priority="525">
      <formula>(#REF!&lt;&gt;"")*(#REF!&lt;&gt;"")</formula>
    </cfRule>
  </conditionalFormatting>
  <conditionalFormatting sqref="M6712">
    <cfRule type="expression" dxfId="0" priority="522">
      <formula>(#REF!&lt;&gt;"")*(#REF!&lt;&gt;"")</formula>
    </cfRule>
  </conditionalFormatting>
  <conditionalFormatting sqref="P6712">
    <cfRule type="expression" dxfId="1" priority="523">
      <formula>(#REF!&lt;&gt;"")*(#REF!&lt;&gt;"")</formula>
    </cfRule>
  </conditionalFormatting>
  <conditionalFormatting sqref="Q6712">
    <cfRule type="expression" dxfId="1" priority="519">
      <formula>(#REF!&lt;&gt;"")*(#REF!&lt;&gt;"")</formula>
    </cfRule>
    <cfRule type="expression" dxfId="0" priority="520">
      <formula>(#REF!&lt;&gt;"")*(#REF!&lt;&gt;"")</formula>
    </cfRule>
  </conditionalFormatting>
  <conditionalFormatting sqref="T6712">
    <cfRule type="expression" dxfId="0" priority="526">
      <formula>(#REF!&lt;&gt;"")*(#REF!&lt;&gt;"")</formula>
    </cfRule>
  </conditionalFormatting>
  <conditionalFormatting sqref="A6713">
    <cfRule type="expression" dxfId="0" priority="517">
      <formula>(#REF!&lt;&gt;"")*(#REF!&lt;&gt;"")</formula>
    </cfRule>
  </conditionalFormatting>
  <conditionalFormatting sqref="M6713">
    <cfRule type="expression" dxfId="0" priority="514">
      <formula>(#REF!&lt;&gt;"")*(#REF!&lt;&gt;"")</formula>
    </cfRule>
  </conditionalFormatting>
  <conditionalFormatting sqref="P6713">
    <cfRule type="expression" dxfId="1" priority="515">
      <formula>(#REF!&lt;&gt;"")*(#REF!&lt;&gt;"")</formula>
    </cfRule>
  </conditionalFormatting>
  <conditionalFormatting sqref="Q6713">
    <cfRule type="expression" dxfId="1" priority="511">
      <formula>(#REF!&lt;&gt;"")*(#REF!&lt;&gt;"")</formula>
    </cfRule>
    <cfRule type="expression" dxfId="0" priority="512">
      <formula>(#REF!&lt;&gt;"")*(#REF!&lt;&gt;"")</formula>
    </cfRule>
  </conditionalFormatting>
  <conditionalFormatting sqref="T6713">
    <cfRule type="expression" dxfId="0" priority="518">
      <formula>(#REF!&lt;&gt;"")*(#REF!&lt;&gt;"")</formula>
    </cfRule>
  </conditionalFormatting>
  <conditionalFormatting sqref="Q6715">
    <cfRule type="expression" dxfId="1" priority="541">
      <formula>(#REF!&lt;&gt;"")*(#REF!&lt;&gt;"")</formula>
    </cfRule>
    <cfRule type="expression" dxfId="0" priority="542">
      <formula>(#REF!&lt;&gt;"")*(#REF!&lt;&gt;"")</formula>
    </cfRule>
  </conditionalFormatting>
  <conditionalFormatting sqref="M6722">
    <cfRule type="expression" dxfId="0" priority="508">
      <formula>(#REF!&lt;&gt;"")*(#REF!&lt;&gt;"")</formula>
    </cfRule>
  </conditionalFormatting>
  <conditionalFormatting sqref="M6723">
    <cfRule type="expression" dxfId="0" priority="507">
      <formula>(#REF!&lt;&gt;"")*(#REF!&lt;&gt;"")</formula>
    </cfRule>
  </conditionalFormatting>
  <conditionalFormatting sqref="M6724">
    <cfRule type="expression" dxfId="0" priority="481">
      <formula>(#REF!&lt;&gt;"")*(#REF!&lt;&gt;"")</formula>
    </cfRule>
  </conditionalFormatting>
  <conditionalFormatting sqref="M6725">
    <cfRule type="expression" dxfId="0" priority="480">
      <formula>(#REF!&lt;&gt;"")*(#REF!&lt;&gt;"")</formula>
    </cfRule>
  </conditionalFormatting>
  <conditionalFormatting sqref="M6726">
    <cfRule type="expression" dxfId="0" priority="452">
      <formula>(#REF!&lt;&gt;"")*(#REF!&lt;&gt;"")</formula>
    </cfRule>
  </conditionalFormatting>
  <conditionalFormatting sqref="M6727">
    <cfRule type="expression" dxfId="0" priority="451">
      <formula>(#REF!&lt;&gt;"")*(#REF!&lt;&gt;"")</formula>
    </cfRule>
  </conditionalFormatting>
  <conditionalFormatting sqref="M6728">
    <cfRule type="expression" dxfId="0" priority="448">
      <formula>(#REF!&lt;&gt;"")*(#REF!&lt;&gt;"")</formula>
    </cfRule>
  </conditionalFormatting>
  <conditionalFormatting sqref="M6729">
    <cfRule type="expression" dxfId="0" priority="440">
      <formula>(#REF!&lt;&gt;"")*(#REF!&lt;&gt;"")</formula>
    </cfRule>
  </conditionalFormatting>
  <conditionalFormatting sqref="M6732">
    <cfRule type="expression" dxfId="0" priority="423">
      <formula>(#REF!&lt;&gt;"")*(#REF!&lt;&gt;"")</formula>
    </cfRule>
  </conditionalFormatting>
  <conditionalFormatting sqref="M6733">
    <cfRule type="expression" dxfId="0" priority="422">
      <formula>(#REF!&lt;&gt;"")*(#REF!&lt;&gt;"")</formula>
    </cfRule>
  </conditionalFormatting>
  <conditionalFormatting sqref="M6734">
    <cfRule type="expression" dxfId="0" priority="378">
      <formula>(#REF!&lt;&gt;"")*(#REF!&lt;&gt;"")</formula>
    </cfRule>
  </conditionalFormatting>
  <conditionalFormatting sqref="E6737">
    <cfRule type="expression" dxfId="1" priority="424">
      <formula>(#REF!&lt;&gt;"")*(E$1&lt;&gt;"")</formula>
    </cfRule>
  </conditionalFormatting>
  <conditionalFormatting sqref="M6739">
    <cfRule type="expression" dxfId="0" priority="258">
      <formula>(#REF!&lt;&gt;"")*(#REF!&lt;&gt;"")</formula>
    </cfRule>
  </conditionalFormatting>
  <conditionalFormatting sqref="M6741">
    <cfRule type="expression" dxfId="0" priority="454">
      <formula>(#REF!&lt;&gt;"")*(#REF!&lt;&gt;"")</formula>
    </cfRule>
  </conditionalFormatting>
  <conditionalFormatting sqref="M6742">
    <cfRule type="expression" dxfId="0" priority="245">
      <formula>(#REF!&lt;&gt;"")*(#REF!&lt;&gt;"")</formula>
    </cfRule>
  </conditionalFormatting>
  <conditionalFormatting sqref="K6744">
    <cfRule type="expression" dxfId="4" priority="491">
      <formula>('C:\Users\wangruyi02\Documents\计提\2023.3计提\[2023年3月IDC费用支付明细表-华北WM.xlsx]3月带宽'!#REF!&lt;&gt;"")*('C:\Users\wangruyi02\Documents\计提\2023.3计提\[2023年3月IDC费用支付明细表-华北WM.xlsx]3月带宽'!#REF!&lt;&gt;"")</formula>
    </cfRule>
  </conditionalFormatting>
  <conditionalFormatting sqref="K6745">
    <cfRule type="expression" dxfId="4" priority="490">
      <formula>('C:\Users\wangruyi02\Documents\计提\2023.3计提\[2023年3月IDC费用支付明细表-华北WM.xlsx]3月带宽'!#REF!&lt;&gt;"")*('C:\Users\wangruyi02\Documents\计提\2023.3计提\[2023年3月IDC费用支付明细表-华北WM.xlsx]3月带宽'!#REF!&lt;&gt;"")</formula>
    </cfRule>
  </conditionalFormatting>
  <conditionalFormatting sqref="K6746">
    <cfRule type="expression" dxfId="4" priority="246">
      <formula>('C:\Users\wangruyi02\Documents\计提\2023.3计提\[2023年3月IDC费用支付明细表-华北WM.xlsx]3月带宽'!#REF!&lt;&gt;"")*('C:\Users\wangruyi02\Documents\计提\2023.3计提\[2023年3月IDC费用支付明细表-华北WM.xlsx]3月带宽'!#REF!&lt;&gt;"")</formula>
    </cfRule>
    <cfRule type="expression" dxfId="4" priority="126">
      <formula>('C:\Users\wangruyi02\Documents\计提\2023.3计提\[2023年3月IDC费用支付明细表-华北WM.xlsx]3月带宽'!#REF!&lt;&gt;"")*('C:\Users\wangruyi02\Documents\计提\2023.3计提\[2023年3月IDC费用支付明细表-华北WM.xlsx]3月带宽'!#REF!&lt;&gt;"")</formula>
    </cfRule>
  </conditionalFormatting>
  <conditionalFormatting sqref="M6746">
    <cfRule type="expression" dxfId="4" priority="247">
      <formula>('C:\Users\wangruyi02\Documents\计提\2023.3计提\[2023年3月IDC费用支付明细表-华北WM.xlsx]3月带宽'!#REF!&lt;&gt;"")*('C:\Users\wangruyi02\Documents\计提\2023.3计提\[2023年3月IDC费用支付明细表-华北WM.xlsx]3月带宽'!#REF!&lt;&gt;"")</formula>
    </cfRule>
  </conditionalFormatting>
  <conditionalFormatting sqref="K6747">
    <cfRule type="expression" dxfId="4" priority="505">
      <formula>('C:\Users\wangruyi02\Documents\计提\2023.3计提\[2023年3月IDC费用支付明细表-华北WM.xlsx]3月带宽'!#REF!&lt;&gt;"")*('C:\Users\wangruyi02\Documents\计提\2023.3计提\[2023年3月IDC费用支付明细表-华北WM.xlsx]3月带宽'!#REF!&lt;&gt;"")</formula>
    </cfRule>
  </conditionalFormatting>
  <conditionalFormatting sqref="T6747">
    <cfRule type="expression" dxfId="4" priority="443">
      <formula>('C:\Users\wangruyi02\Documents\计提\2023.3计提\[2023年3月IDC费用支付明细表-华北WM.xlsx]3月带宽'!#REF!&lt;&gt;"")*('C:\Users\wangruyi02\Documents\计提\2023.3计提\[2023年3月IDC费用支付明细表-华北WM.xlsx]3月带宽'!#REF!&lt;&gt;"")</formula>
    </cfRule>
  </conditionalFormatting>
  <conditionalFormatting sqref="K6748">
    <cfRule type="expression" dxfId="4" priority="272">
      <formula>('C:\Users\wangruyi02\Documents\计提\2023.3计提\[2023年3月IDC费用支付明细表-华北WM.xlsx]3月带宽'!#REF!&lt;&gt;"")*('C:\Users\wangruyi02\Documents\计提\2023.3计提\[2023年3月IDC费用支付明细表-华北WM.xlsx]3月带宽'!#REF!&lt;&gt;"")</formula>
    </cfRule>
  </conditionalFormatting>
  <conditionalFormatting sqref="M6748">
    <cfRule type="expression" dxfId="4" priority="273">
      <formula>('C:\Users\wangruyi02\Documents\计提\2023.3计提\[2023年3月IDC费用支付明细表-华北WM.xlsx]3月带宽'!#REF!&lt;&gt;"")*('C:\Users\wangruyi02\Documents\计提\2023.3计提\[2023年3月IDC费用支付明细表-华北WM.xlsx]3月带宽'!#REF!&lt;&gt;"")</formula>
    </cfRule>
  </conditionalFormatting>
  <conditionalFormatting sqref="T6748">
    <cfRule type="expression" dxfId="4" priority="274">
      <formula>('C:\Users\wangruyi02\Documents\计提\2023.3计提\[2023年3月IDC费用支付明细表-华北WM.xlsx]3月带宽'!#REF!&lt;&gt;"")*('C:\Users\wangruyi02\Documents\计提\2023.3计提\[2023年3月IDC费用支付明细表-华北WM.xlsx]3月带宽'!#REF!&lt;&gt;"")</formula>
    </cfRule>
  </conditionalFormatting>
  <conditionalFormatting sqref="K6749">
    <cfRule type="expression" dxfId="4" priority="269">
      <formula>('C:\Users\wangruyi02\Documents\计提\2023.3计提\[2023年3月IDC费用支付明细表-华北WM.xlsx]3月带宽'!#REF!&lt;&gt;"")*('C:\Users\wangruyi02\Documents\计提\2023.3计提\[2023年3月IDC费用支付明细表-华北WM.xlsx]3月带宽'!#REF!&lt;&gt;"")</formula>
    </cfRule>
  </conditionalFormatting>
  <conditionalFormatting sqref="M6749">
    <cfRule type="expression" dxfId="4" priority="270">
      <formula>('C:\Users\wangruyi02\Documents\计提\2023.3计提\[2023年3月IDC费用支付明细表-华北WM.xlsx]3月带宽'!#REF!&lt;&gt;"")*('C:\Users\wangruyi02\Documents\计提\2023.3计提\[2023年3月IDC费用支付明细表-华北WM.xlsx]3月带宽'!#REF!&lt;&gt;"")</formula>
    </cfRule>
  </conditionalFormatting>
  <conditionalFormatting sqref="T6749">
    <cfRule type="expression" dxfId="4" priority="271">
      <formula>('C:\Users\wangruyi02\Documents\计提\2023.3计提\[2023年3月IDC费用支付明细表-华北WM.xlsx]3月带宽'!#REF!&lt;&gt;"")*('C:\Users\wangruyi02\Documents\计提\2023.3计提\[2023年3月IDC费用支付明细表-华北WM.xlsx]3月带宽'!#REF!&lt;&gt;"")</formula>
    </cfRule>
  </conditionalFormatting>
  <conditionalFormatting sqref="K6750">
    <cfRule type="expression" dxfId="4" priority="266">
      <formula>('C:\Users\wangruyi02\Documents\计提\2023.3计提\[2023年3月IDC费用支付明细表-华北WM.xlsx]3月带宽'!#REF!&lt;&gt;"")*('C:\Users\wangruyi02\Documents\计提\2023.3计提\[2023年3月IDC费用支付明细表-华北WM.xlsx]3月带宽'!#REF!&lt;&gt;"")</formula>
    </cfRule>
  </conditionalFormatting>
  <conditionalFormatting sqref="M6750">
    <cfRule type="expression" dxfId="4" priority="267">
      <formula>('C:\Users\wangruyi02\Documents\计提\2023.3计提\[2023年3月IDC费用支付明细表-华北WM.xlsx]3月带宽'!#REF!&lt;&gt;"")*('C:\Users\wangruyi02\Documents\计提\2023.3计提\[2023年3月IDC费用支付明细表-华北WM.xlsx]3月带宽'!#REF!&lt;&gt;"")</formula>
    </cfRule>
  </conditionalFormatting>
  <conditionalFormatting sqref="T6750">
    <cfRule type="expression" dxfId="4" priority="268">
      <formula>('C:\Users\wangruyi02\Documents\计提\2023.3计提\[2023年3月IDC费用支付明细表-华北WM.xlsx]3月带宽'!#REF!&lt;&gt;"")*('C:\Users\wangruyi02\Documents\计提\2023.3计提\[2023年3月IDC费用支付明细表-华北WM.xlsx]3月带宽'!#REF!&lt;&gt;"")</formula>
    </cfRule>
  </conditionalFormatting>
  <conditionalFormatting sqref="K6751">
    <cfRule type="expression" dxfId="4" priority="230">
      <formula>('C:\Users\wangruyi02\Documents\计提\2023.3计提\[2023年3月IDC费用支付明细表-华北WM.xlsx]3月带宽'!#REF!&lt;&gt;"")*('C:\Users\wangruyi02\Documents\计提\2023.3计提\[2023年3月IDC费用支付明细表-华北WM.xlsx]3月带宽'!#REF!&lt;&gt;"")</formula>
    </cfRule>
  </conditionalFormatting>
  <conditionalFormatting sqref="M6751">
    <cfRule type="expression" dxfId="4" priority="231">
      <formula>('C:\Users\wangruyi02\Documents\计提\2023.3计提\[2023年3月IDC费用支付明细表-华北WM.xlsx]3月带宽'!#REF!&lt;&gt;"")*('C:\Users\wangruyi02\Documents\计提\2023.3计提\[2023年3月IDC费用支付明细表-华北WM.xlsx]3月带宽'!#REF!&lt;&gt;"")</formula>
    </cfRule>
  </conditionalFormatting>
  <conditionalFormatting sqref="T6751">
    <cfRule type="expression" dxfId="4" priority="232">
      <formula>('C:\Users\wangruyi02\Documents\计提\2023.3计提\[2023年3月IDC费用支付明细表-华北WM.xlsx]3月带宽'!#REF!&lt;&gt;"")*('C:\Users\wangruyi02\Documents\计提\2023.3计提\[2023年3月IDC费用支付明细表-华北WM.xlsx]3月带宽'!#REF!&lt;&gt;"")</formula>
    </cfRule>
  </conditionalFormatting>
  <conditionalFormatting sqref="K6752">
    <cfRule type="expression" dxfId="4" priority="492">
      <formula>('C:\Users\wangruyi02\Documents\计提\2023.3计提\[2023年3月IDC费用支付明细表-华北WM.xlsx]3月带宽'!#REF!&lt;&gt;"")*('C:\Users\wangruyi02\Documents\计提\2023.3计提\[2023年3月IDC费用支付明细表-华北WM.xlsx]3月带宽'!#REF!&lt;&gt;"")</formula>
    </cfRule>
  </conditionalFormatting>
  <conditionalFormatting sqref="T6752">
    <cfRule type="expression" dxfId="4" priority="566">
      <formula>('C:\Users\wangruyi02\Documents\计提\2023.3计提\[2023年3月IDC费用支付明细表-华北WM.xlsx]3月带宽'!#REF!&lt;&gt;"")*('C:\Users\wangruyi02\Documents\计提\2023.3计提\[2023年3月IDC费用支付明细表-华北WM.xlsx]3月带宽'!#REF!&lt;&gt;"")</formula>
    </cfRule>
  </conditionalFormatting>
  <conditionalFormatting sqref="M6754">
    <cfRule type="expression" dxfId="0" priority="484">
      <formula>(#REF!&lt;&gt;"")*(#REF!&lt;&gt;"")</formula>
    </cfRule>
  </conditionalFormatting>
  <conditionalFormatting sqref="M6756">
    <cfRule type="expression" dxfId="0" priority="203">
      <formula>(#REF!&lt;&gt;"")*(#REF!&lt;&gt;"")</formula>
    </cfRule>
  </conditionalFormatting>
  <conditionalFormatting sqref="M6759">
    <cfRule type="expression" dxfId="0" priority="252">
      <formula>(#REF!&lt;&gt;"")*(#REF!&lt;&gt;"")</formula>
    </cfRule>
  </conditionalFormatting>
  <conditionalFormatting sqref="K6762">
    <cfRule type="expression" dxfId="4" priority="300">
      <formula>('C:\Users\wangruyi02\Documents\计提\2023.3计提\[2023年3月IDC费用支付明细表-华北WM.xlsx]3月带宽'!#REF!&lt;&gt;"")*('C:\Users\wangruyi02\Documents\计提\2023.3计提\[2023年3月IDC费用支付明细表-华北WM.xlsx]3月带宽'!#REF!&lt;&gt;"")</formula>
    </cfRule>
  </conditionalFormatting>
  <conditionalFormatting sqref="M6763">
    <cfRule type="expression" dxfId="0" priority="243">
      <formula>(#REF!&lt;&gt;"")*(#REF!&lt;&gt;"")</formula>
    </cfRule>
  </conditionalFormatting>
  <conditionalFormatting sqref="K6764">
    <cfRule type="expression" dxfId="4" priority="298">
      <formula>('C:\Users\wangruyi02\Documents\计提\2023.3计提\[2023年3月IDC费用支付明细表-华北WM.xlsx]3月带宽'!#REF!&lt;&gt;"")*('C:\Users\wangruyi02\Documents\计提\2023.3计提\[2023年3月IDC费用支付明细表-华北WM.xlsx]3月带宽'!#REF!&lt;&gt;"")</formula>
    </cfRule>
  </conditionalFormatting>
  <conditionalFormatting sqref="M6765">
    <cfRule type="expression" dxfId="0" priority="236">
      <formula>(#REF!&lt;&gt;"")*(#REF!&lt;&gt;"")</formula>
    </cfRule>
  </conditionalFormatting>
  <conditionalFormatting sqref="M6766">
    <cfRule type="expression" dxfId="0" priority="235">
      <formula>(#REF!&lt;&gt;"")*(#REF!&lt;&gt;"")</formula>
    </cfRule>
  </conditionalFormatting>
  <conditionalFormatting sqref="M6770">
    <cfRule type="expression" dxfId="0" priority="202">
      <formula>(#REF!&lt;&gt;"")*(#REF!&lt;&gt;"")</formula>
    </cfRule>
  </conditionalFormatting>
  <conditionalFormatting sqref="K6771">
    <cfRule type="expression" dxfId="4" priority="503">
      <formula>('C:\Users\wangruyi02\Documents\计提\2023.3计提\[2023年3月IDC费用支付明细表-华北WM.xlsx]3月带宽'!#REF!&lt;&gt;"")*('C:\Users\wangruyi02\Documents\计提\2023.3计提\[2023年3月IDC费用支付明细表-华北WM.xlsx]3月带宽'!#REF!&lt;&gt;"")</formula>
    </cfRule>
  </conditionalFormatting>
  <conditionalFormatting sqref="K6772">
    <cfRule type="expression" dxfId="4" priority="198">
      <formula>('C:\Users\wangruyi02\Documents\计提\2023.3计提\[2023年3月IDC费用支付明细表-华北WM.xlsx]3月带宽'!#REF!&lt;&gt;"")*('C:\Users\wangruyi02\Documents\计提\2023.3计提\[2023年3月IDC费用支付明细表-华北WM.xlsx]3月带宽'!#REF!&lt;&gt;"")</formula>
    </cfRule>
  </conditionalFormatting>
  <conditionalFormatting sqref="K6773">
    <cfRule type="expression" dxfId="4" priority="249">
      <formula>('C:\Users\wangruyi02\Documents\计提\2023.3计提\[2023年3月IDC费用支付明细表-华北WM.xlsx]3月带宽'!#REF!&lt;&gt;"")*('C:\Users\wangruyi02\Documents\计提\2023.3计提\[2023年3月IDC费用支付明细表-华北WM.xlsx]3月带宽'!#REF!&lt;&gt;"")</formula>
    </cfRule>
  </conditionalFormatting>
  <conditionalFormatting sqref="K6774">
    <cfRule type="expression" dxfId="4" priority="200">
      <formula>('C:\Users\wangruyi02\Documents\计提\2023.3计提\[2023年3月IDC费用支付明细表-华北WM.xlsx]3月带宽'!#REF!&lt;&gt;"")*('C:\Users\wangruyi02\Documents\计提\2023.3计提\[2023年3月IDC费用支付明细表-华北WM.xlsx]3月带宽'!#REF!&lt;&gt;"")</formula>
    </cfRule>
  </conditionalFormatting>
  <conditionalFormatting sqref="M6775">
    <cfRule type="expression" dxfId="0" priority="248">
      <formula>(#REF!&lt;&gt;"")*(#REF!&lt;&gt;"")</formula>
    </cfRule>
  </conditionalFormatting>
  <conditionalFormatting sqref="M6778">
    <cfRule type="expression" dxfId="0" priority="241">
      <formula>(#REF!&lt;&gt;"")*(#REF!&lt;&gt;"")</formula>
    </cfRule>
  </conditionalFormatting>
  <conditionalFormatting sqref="M6779">
    <cfRule type="expression" dxfId="0" priority="242">
      <formula>(#REF!&lt;&gt;"")*(#REF!&lt;&gt;"")</formula>
    </cfRule>
  </conditionalFormatting>
  <conditionalFormatting sqref="M6780">
    <cfRule type="expression" dxfId="0" priority="240">
      <formula>(#REF!&lt;&gt;"")*(#REF!&lt;&gt;"")</formula>
    </cfRule>
  </conditionalFormatting>
  <conditionalFormatting sqref="K6781">
    <cfRule type="expression" dxfId="4" priority="316">
      <formula>('C:\Users\wangruyi02\Documents\计提\2023.3计提\[2023年3月IDC费用支付明细表-华北WM.xlsx]3月带宽'!#REF!&lt;&gt;"")*('C:\Users\wangruyi02\Documents\计提\2023.3计提\[2023年3月IDC费用支付明细表-华北WM.xlsx]3月带宽'!#REF!&lt;&gt;"")</formula>
    </cfRule>
  </conditionalFormatting>
  <conditionalFormatting sqref="K6782">
    <cfRule type="expression" dxfId="4" priority="312">
      <formula>('C:\Users\wangruyi02\Documents\计提\2023.3计提\[2023年3月IDC费用支付明细表-华北WM.xlsx]3月带宽'!#REF!&lt;&gt;"")*('C:\Users\wangruyi02\Documents\计提\2023.3计提\[2023年3月IDC费用支付明细表-华北WM.xlsx]3月带宽'!#REF!&lt;&gt;"")</formula>
    </cfRule>
  </conditionalFormatting>
  <conditionalFormatting sqref="H6783">
    <cfRule type="expression" dxfId="1" priority="314">
      <formula>(#REF!&lt;&gt;"")*(H$1&lt;&gt;"")</formula>
    </cfRule>
  </conditionalFormatting>
  <conditionalFormatting sqref="K6783">
    <cfRule type="expression" dxfId="4" priority="502">
      <formula>('C:\Users\wangruyi02\Documents\计提\2023.3计提\[2023年3月IDC费用支付明细表-华北WM.xlsx]3月带宽'!#REF!&lt;&gt;"")*('C:\Users\wangruyi02\Documents\计提\2023.3计提\[2023年3月IDC费用支付明细表-华北WM.xlsx]3月带宽'!#REF!&lt;&gt;"")</formula>
    </cfRule>
  </conditionalFormatting>
  <conditionalFormatting sqref="H6784">
    <cfRule type="expression" dxfId="1" priority="382">
      <formula>(#REF!&lt;&gt;"")*(H$1&lt;&gt;"")</formula>
    </cfRule>
  </conditionalFormatting>
  <conditionalFormatting sqref="M6787">
    <cfRule type="expression" dxfId="0" priority="494">
      <formula>(#REF!&lt;&gt;"")*(#REF!&lt;&gt;"")</formula>
    </cfRule>
  </conditionalFormatting>
  <conditionalFormatting sqref="K6790">
    <cfRule type="expression" dxfId="4" priority="370">
      <formula>('C:\Users\wangruyi02\Documents\计提\2023.3计提\[2023年3月IDC费用支付明细表-华北WM.xlsx]3月带宽'!#REF!&lt;&gt;"")*('C:\Users\wangruyi02\Documents\计提\2023.3计提\[2023年3月IDC费用支付明细表-华北WM.xlsx]3月带宽'!#REF!&lt;&gt;"")</formula>
    </cfRule>
  </conditionalFormatting>
  <conditionalFormatting sqref="K6791">
    <cfRule type="expression" dxfId="4" priority="463">
      <formula>('C:\Users\wangruyi02\Documents\计提\2023.3计提\[2023年3月IDC费用支付明细表-华北WM.xlsx]3月带宽'!#REF!&lt;&gt;"")*('C:\Users\wangruyi02\Documents\计提\2023.3计提\[2023年3月IDC费用支付明细表-华北WM.xlsx]3月带宽'!#REF!&lt;&gt;"")</formula>
    </cfRule>
  </conditionalFormatting>
  <conditionalFormatting sqref="M6791">
    <cfRule type="expression" dxfId="4" priority="464">
      <formula>('C:\Users\wangruyi02\Documents\计提\2023.3计提\[2023年3月IDC费用支付明细表-华北WM.xlsx]3月带宽'!#REF!&lt;&gt;"")*('C:\Users\wangruyi02\Documents\计提\2023.3计提\[2023年3月IDC费用支付明细表-华北WM.xlsx]3月带宽'!#REF!&lt;&gt;"")</formula>
    </cfRule>
  </conditionalFormatting>
  <conditionalFormatting sqref="T6791">
    <cfRule type="expression" dxfId="4" priority="282">
      <formula>('C:\Users\wangruyi02\Documents\计提\2023.3计提\[2023年3月IDC费用支付明细表-华北WM.xlsx]3月带宽'!#REF!&lt;&gt;"")*('C:\Users\wangruyi02\Documents\计提\2023.3计提\[2023年3月IDC费用支付明细表-华北WM.xlsx]3月带宽'!#REF!&lt;&gt;"")</formula>
    </cfRule>
  </conditionalFormatting>
  <conditionalFormatting sqref="K6792">
    <cfRule type="expression" dxfId="4" priority="461">
      <formula>('C:\Users\wangruyi02\Documents\计提\2023.3计提\[2023年3月IDC费用支付明细表-华北WM.xlsx]3月带宽'!#REF!&lt;&gt;"")*('C:\Users\wangruyi02\Documents\计提\2023.3计提\[2023年3月IDC费用支付明细表-华北WM.xlsx]3月带宽'!#REF!&lt;&gt;"")</formula>
    </cfRule>
  </conditionalFormatting>
  <conditionalFormatting sqref="M6792">
    <cfRule type="expression" dxfId="4" priority="462">
      <formula>('C:\Users\wangruyi02\Documents\计提\2023.3计提\[2023年3月IDC费用支付明细表-华北WM.xlsx]3月带宽'!#REF!&lt;&gt;"")*('C:\Users\wangruyi02\Documents\计提\2023.3计提\[2023年3月IDC费用支付明细表-华北WM.xlsx]3月带宽'!#REF!&lt;&gt;"")</formula>
    </cfRule>
  </conditionalFormatting>
  <conditionalFormatting sqref="H6793">
    <cfRule type="expression" dxfId="1" priority="161">
      <formula>(#REF!&lt;&gt;"")*(H$1&lt;&gt;"")</formula>
    </cfRule>
  </conditionalFormatting>
  <conditionalFormatting sqref="K6793">
    <cfRule type="expression" dxfId="4" priority="162">
      <formula>('C:\Users\wangruyi02\Documents\计提\2023.3计提\[2023年3月IDC费用支付明细表-华北WM.xlsx]3月带宽'!#REF!&lt;&gt;"")*('C:\Users\wangruyi02\Documents\计提\2023.3计提\[2023年3月IDC费用支付明细表-华北WM.xlsx]3月带宽'!#REF!&lt;&gt;"")</formula>
    </cfRule>
  </conditionalFormatting>
  <conditionalFormatting sqref="M6793">
    <cfRule type="expression" dxfId="4" priority="163">
      <formula>('C:\Users\wangruyi02\Documents\计提\2023.3计提\[2023年3月IDC费用支付明细表-华北WM.xlsx]3月带宽'!#REF!&lt;&gt;"")*('C:\Users\wangruyi02\Documents\计提\2023.3计提\[2023年3月IDC费用支付明细表-华北WM.xlsx]3月带宽'!#REF!&lt;&gt;"")</formula>
    </cfRule>
  </conditionalFormatting>
  <conditionalFormatting sqref="T6793">
    <cfRule type="expression" dxfId="4" priority="164">
      <formula>('C:\Users\wangruyi02\Documents\计提\2023.3计提\[2023年3月IDC费用支付明细表-华北WM.xlsx]3月带宽'!#REF!&lt;&gt;"")*('C:\Users\wangruyi02\Documents\计提\2023.3计提\[2023年3月IDC费用支付明细表-华北WM.xlsx]3月带宽'!#REF!&lt;&gt;"")</formula>
    </cfRule>
  </conditionalFormatting>
  <conditionalFormatting sqref="H6794">
    <cfRule type="expression" dxfId="1" priority="140">
      <formula>(#REF!&lt;&gt;"")*(H$1&lt;&gt;"")</formula>
    </cfRule>
  </conditionalFormatting>
  <conditionalFormatting sqref="K6794">
    <cfRule type="expression" dxfId="4" priority="142">
      <formula>('C:\Users\wangruyi02\Documents\计提\2023.3计提\[2023年3月IDC费用支付明细表-华北WM.xlsx]3月带宽'!#REF!&lt;&gt;"")*('C:\Users\wangruyi02\Documents\计提\2023.3计提\[2023年3月IDC费用支付明细表-华北WM.xlsx]3月带宽'!#REF!&lt;&gt;"")</formula>
    </cfRule>
  </conditionalFormatting>
  <conditionalFormatting sqref="M6794">
    <cfRule type="expression" dxfId="4" priority="143">
      <formula>('C:\Users\wangruyi02\Documents\计提\2023.3计提\[2023年3月IDC费用支付明细表-华北WM.xlsx]3月带宽'!#REF!&lt;&gt;"")*('C:\Users\wangruyi02\Documents\计提\2023.3计提\[2023年3月IDC费用支付明细表-华北WM.xlsx]3月带宽'!#REF!&lt;&gt;"")</formula>
    </cfRule>
  </conditionalFormatting>
  <conditionalFormatting sqref="T6794">
    <cfRule type="expression" dxfId="4" priority="141">
      <formula>('C:\Users\wangruyi02\Documents\计提\2023.3计提\[2023年3月IDC费用支付明细表-华北WM.xlsx]3月带宽'!#REF!&lt;&gt;"")*('C:\Users\wangruyi02\Documents\计提\2023.3计提\[2023年3月IDC费用支付明细表-华北WM.xlsx]3月带宽'!#REF!&lt;&gt;"")</formula>
    </cfRule>
  </conditionalFormatting>
  <conditionalFormatting sqref="K6795">
    <cfRule type="expression" dxfId="4" priority="430">
      <formula>('C:\Users\wangruyi02\Documents\计提\2023.3计提\[2023年3月IDC费用支付明细表-华北WM.xlsx]3月带宽'!#REF!&lt;&gt;"")*('C:\Users\wangruyi02\Documents\计提\2023.3计提\[2023年3月IDC费用支付明细表-华北WM.xlsx]3月带宽'!#REF!&lt;&gt;"")</formula>
    </cfRule>
  </conditionalFormatting>
  <conditionalFormatting sqref="M6795">
    <cfRule type="expression" dxfId="4" priority="431">
      <formula>('C:\Users\wangruyi02\Documents\计提\2023.3计提\[2023年3月IDC费用支付明细表-华北WM.xlsx]3月带宽'!#REF!&lt;&gt;"")*('C:\Users\wangruyi02\Documents\计提\2023.3计提\[2023年3月IDC费用支付明细表-华北WM.xlsx]3月带宽'!#REF!&lt;&gt;"")</formula>
    </cfRule>
  </conditionalFormatting>
  <conditionalFormatting sqref="T6795">
    <cfRule type="expression" dxfId="4" priority="429">
      <formula>('C:\Users\wangruyi02\Documents\计提\2023.3计提\[2023年3月IDC费用支付明细表-华北WM.xlsx]3月带宽'!#REF!&lt;&gt;"")*('C:\Users\wangruyi02\Documents\计提\2023.3计提\[2023年3月IDC费用支付明细表-华北WM.xlsx]3月带宽'!#REF!&lt;&gt;"")</formula>
    </cfRule>
  </conditionalFormatting>
  <conditionalFormatting sqref="H6796">
    <cfRule type="expression" dxfId="1" priority="85">
      <formula>(#REF!&lt;&gt;"")*(H$1&lt;&gt;"")</formula>
    </cfRule>
  </conditionalFormatting>
  <conditionalFormatting sqref="K6796">
    <cfRule type="expression" dxfId="4" priority="87">
      <formula>('C:\Users\wangruyi02\Documents\计提\2023.3计提\[2023年3月IDC费用支付明细表-华北WM.xlsx]3月带宽'!#REF!&lt;&gt;"")*('C:\Users\wangruyi02\Documents\计提\2023.3计提\[2023年3月IDC费用支付明细表-华北WM.xlsx]3月带宽'!#REF!&lt;&gt;"")</formula>
    </cfRule>
  </conditionalFormatting>
  <conditionalFormatting sqref="M6796">
    <cfRule type="expression" dxfId="4" priority="88">
      <formula>('C:\Users\wangruyi02\Documents\计提\2023.3计提\[2023年3月IDC费用支付明细表-华北WM.xlsx]3月带宽'!#REF!&lt;&gt;"")*('C:\Users\wangruyi02\Documents\计提\2023.3计提\[2023年3月IDC费用支付明细表-华北WM.xlsx]3月带宽'!#REF!&lt;&gt;"")</formula>
    </cfRule>
  </conditionalFormatting>
  <conditionalFormatting sqref="T6796">
    <cfRule type="expression" dxfId="4" priority="86">
      <formula>('C:\Users\wangruyi02\Documents\计提\2023.3计提\[2023年3月IDC费用支付明细表-华北WM.xlsx]3月带宽'!#REF!&lt;&gt;"")*('C:\Users\wangruyi02\Documents\计提\2023.3计提\[2023年3月IDC费用支付明细表-华北WM.xlsx]3月带宽'!#REF!&lt;&gt;"")</formula>
    </cfRule>
  </conditionalFormatting>
  <conditionalFormatting sqref="K6797">
    <cfRule type="expression" dxfId="4" priority="425">
      <formula>('C:\Users\wangruyi02\Documents\计提\2023.3计提\[2023年3月IDC费用支付明细表-华北WM.xlsx]3月带宽'!#REF!&lt;&gt;"")*('C:\Users\wangruyi02\Documents\计提\2023.3计提\[2023年3月IDC费用支付明细表-华北WM.xlsx]3月带宽'!#REF!&lt;&gt;"")</formula>
    </cfRule>
  </conditionalFormatting>
  <conditionalFormatting sqref="M6797">
    <cfRule type="expression" dxfId="4" priority="427">
      <formula>('C:\Users\wangruyi02\Documents\计提\2023.3计提\[2023年3月IDC费用支付明细表-华北WM.xlsx]3月带宽'!#REF!&lt;&gt;"")*('C:\Users\wangruyi02\Documents\计提\2023.3计提\[2023年3月IDC费用支付明细表-华北WM.xlsx]3月带宽'!#REF!&lt;&gt;"")</formula>
    </cfRule>
  </conditionalFormatting>
  <conditionalFormatting sqref="T6797">
    <cfRule type="expression" dxfId="4" priority="426">
      <formula>('C:\Users\wangruyi02\Documents\计提\2023.3计提\[2023年3月IDC费用支付明细表-华北WM.xlsx]3月带宽'!#REF!&lt;&gt;"")*('C:\Users\wangruyi02\Documents\计提\2023.3计提\[2023年3月IDC费用支付明细表-华北WM.xlsx]3月带宽'!#REF!&lt;&gt;"")</formula>
    </cfRule>
  </conditionalFormatting>
  <conditionalFormatting sqref="H6798">
    <cfRule type="expression" dxfId="1" priority="166">
      <formula>(#REF!&lt;&gt;"")*(H$1&lt;&gt;"")</formula>
    </cfRule>
  </conditionalFormatting>
  <conditionalFormatting sqref="K6798">
    <cfRule type="expression" dxfId="4" priority="360">
      <formula>('C:\Users\wangruyi02\Documents\计提\2023.3计提\[2023年3月IDC费用支付明细表-华北WM.xlsx]3月带宽'!#REF!&lt;&gt;"")*('C:\Users\wangruyi02\Documents\计提\2023.3计提\[2023年3月IDC费用支付明细表-华北WM.xlsx]3月带宽'!#REF!&lt;&gt;"")</formula>
    </cfRule>
  </conditionalFormatting>
  <conditionalFormatting sqref="M6798">
    <cfRule type="expression" dxfId="4" priority="361">
      <formula>('C:\Users\wangruyi02\Documents\计提\2023.3计提\[2023年3月IDC费用支付明细表-华北WM.xlsx]3月带宽'!#REF!&lt;&gt;"")*('C:\Users\wangruyi02\Documents\计提\2023.3计提\[2023年3月IDC费用支付明细表-华北WM.xlsx]3月带宽'!#REF!&lt;&gt;"")</formula>
    </cfRule>
  </conditionalFormatting>
  <conditionalFormatting sqref="K6799">
    <cfRule type="expression" dxfId="4" priority="287">
      <formula>('C:\Users\wangruyi02\Documents\计提\2023.3计提\[2023年3月IDC费用支付明细表-华北WM.xlsx]3月带宽'!#REF!&lt;&gt;"")*('C:\Users\wangruyi02\Documents\计提\2023.3计提\[2023年3月IDC费用支付明细表-华北WM.xlsx]3月带宽'!#REF!&lt;&gt;"")</formula>
    </cfRule>
  </conditionalFormatting>
  <conditionalFormatting sqref="M6799">
    <cfRule type="expression" dxfId="4" priority="288">
      <formula>('C:\Users\wangruyi02\Documents\计提\2023.3计提\[2023年3月IDC费用支付明细表-华北WM.xlsx]3月带宽'!#REF!&lt;&gt;"")*('C:\Users\wangruyi02\Documents\计提\2023.3计提\[2023年3月IDC费用支付明细表-华北WM.xlsx]3月带宽'!#REF!&lt;&gt;"")</formula>
    </cfRule>
  </conditionalFormatting>
  <conditionalFormatting sqref="T6799">
    <cfRule type="expression" dxfId="4" priority="286">
      <formula>('C:\Users\wangruyi02\Documents\计提\2023.3计提\[2023年3月IDC费用支付明细表-华北WM.xlsx]3月带宽'!#REF!&lt;&gt;"")*('C:\Users\wangruyi02\Documents\计提\2023.3计提\[2023年3月IDC费用支付明细表-华北WM.xlsx]3月带宽'!#REF!&lt;&gt;"")</formula>
    </cfRule>
  </conditionalFormatting>
  <conditionalFormatting sqref="H6800">
    <cfRule type="expression" dxfId="1" priority="89">
      <formula>(#REF!&lt;&gt;"")*(H$1&lt;&gt;"")</formula>
    </cfRule>
  </conditionalFormatting>
  <conditionalFormatting sqref="K6800">
    <cfRule type="expression" dxfId="4" priority="91">
      <formula>('C:\Users\wangruyi02\Documents\计提\2023.3计提\[2023年3月IDC费用支付明细表-华北WM.xlsx]3月带宽'!#REF!&lt;&gt;"")*('C:\Users\wangruyi02\Documents\计提\2023.3计提\[2023年3月IDC费用支付明细表-华北WM.xlsx]3月带宽'!#REF!&lt;&gt;"")</formula>
    </cfRule>
  </conditionalFormatting>
  <conditionalFormatting sqref="M6800">
    <cfRule type="expression" dxfId="4" priority="92">
      <formula>('C:\Users\wangruyi02\Documents\计提\2023.3计提\[2023年3月IDC费用支付明细表-华北WM.xlsx]3月带宽'!#REF!&lt;&gt;"")*('C:\Users\wangruyi02\Documents\计提\2023.3计提\[2023年3月IDC费用支付明细表-华北WM.xlsx]3月带宽'!#REF!&lt;&gt;"")</formula>
    </cfRule>
  </conditionalFormatting>
  <conditionalFormatting sqref="T6800">
    <cfRule type="expression" dxfId="4" priority="90">
      <formula>('C:\Users\wangruyi02\Documents\计提\2023.3计提\[2023年3月IDC费用支付明细表-华北WM.xlsx]3月带宽'!#REF!&lt;&gt;"")*('C:\Users\wangruyi02\Documents\计提\2023.3计提\[2023年3月IDC费用支付明细表-华北WM.xlsx]3月带宽'!#REF!&lt;&gt;"")</formula>
    </cfRule>
  </conditionalFormatting>
  <conditionalFormatting sqref="K6801">
    <cfRule type="expression" dxfId="4" priority="283">
      <formula>('C:\Users\wangruyi02\Documents\计提\2023.3计提\[2023年3月IDC费用支付明细表-华北WM.xlsx]3月带宽'!#REF!&lt;&gt;"")*('C:\Users\wangruyi02\Documents\计提\2023.3计提\[2023年3月IDC费用支付明细表-华北WM.xlsx]3月带宽'!#REF!&lt;&gt;"")</formula>
    </cfRule>
  </conditionalFormatting>
  <conditionalFormatting sqref="M6801">
    <cfRule type="expression" dxfId="4" priority="285">
      <formula>('C:\Users\wangruyi02\Documents\计提\2023.3计提\[2023年3月IDC费用支付明细表-华北WM.xlsx]3月带宽'!#REF!&lt;&gt;"")*('C:\Users\wangruyi02\Documents\计提\2023.3计提\[2023年3月IDC费用支付明细表-华北WM.xlsx]3月带宽'!#REF!&lt;&gt;"")</formula>
    </cfRule>
  </conditionalFormatting>
  <conditionalFormatting sqref="T6801">
    <cfRule type="expression" dxfId="4" priority="284">
      <formula>('C:\Users\wangruyi02\Documents\计提\2023.3计提\[2023年3月IDC费用支付明细表-华北WM.xlsx]3月带宽'!#REF!&lt;&gt;"")*('C:\Users\wangruyi02\Documents\计提\2023.3计提\[2023年3月IDC费用支付明细表-华北WM.xlsx]3月带宽'!#REF!&lt;&gt;"")</formula>
    </cfRule>
  </conditionalFormatting>
  <conditionalFormatting sqref="H6802">
    <cfRule type="expression" dxfId="1" priority="165">
      <formula>(#REF!&lt;&gt;"")*(H$1&lt;&gt;"")</formula>
    </cfRule>
  </conditionalFormatting>
  <conditionalFormatting sqref="K6802">
    <cfRule type="expression" dxfId="4" priority="168">
      <formula>('C:\Users\wangruyi02\Documents\计提\2023.3计提\[2023年3月IDC费用支付明细表-华北WM.xlsx]3月带宽'!#REF!&lt;&gt;"")*('C:\Users\wangruyi02\Documents\计提\2023.3计提\[2023年3月IDC费用支付明细表-华北WM.xlsx]3月带宽'!#REF!&lt;&gt;"")</formula>
    </cfRule>
  </conditionalFormatting>
  <conditionalFormatting sqref="M6802">
    <cfRule type="expression" dxfId="4" priority="169">
      <formula>('C:\Users\wangruyi02\Documents\计提\2023.3计提\[2023年3月IDC费用支付明细表-华北WM.xlsx]3月带宽'!#REF!&lt;&gt;"")*('C:\Users\wangruyi02\Documents\计提\2023.3计提\[2023年3月IDC费用支付明细表-华北WM.xlsx]3月带宽'!#REF!&lt;&gt;"")</formula>
    </cfRule>
  </conditionalFormatting>
  <conditionalFormatting sqref="T6802">
    <cfRule type="expression" dxfId="4" priority="167">
      <formula>('C:\Users\wangruyi02\Documents\计提\2023.3计提\[2023年3月IDC费用支付明细表-华北WM.xlsx]3月带宽'!#REF!&lt;&gt;"")*('C:\Users\wangruyi02\Documents\计提\2023.3计提\[2023年3月IDC费用支付明细表-华北WM.xlsx]3月带宽'!#REF!&lt;&gt;"")</formula>
    </cfRule>
  </conditionalFormatting>
  <conditionalFormatting sqref="H6803">
    <cfRule type="expression" dxfId="1" priority="119">
      <formula>(#REF!&lt;&gt;"")*(H$1&lt;&gt;"")</formula>
    </cfRule>
  </conditionalFormatting>
  <conditionalFormatting sqref="K6803">
    <cfRule type="expression" dxfId="4" priority="120">
      <formula>('C:\Users\wangruyi02\Documents\计提\2023.3计提\[2023年3月IDC费用支付明细表-华北WM.xlsx]3月带宽'!#REF!&lt;&gt;"")*('C:\Users\wangruyi02\Documents\计提\2023.3计提\[2023年3月IDC费用支付明细表-华北WM.xlsx]3月带宽'!#REF!&lt;&gt;"")</formula>
    </cfRule>
  </conditionalFormatting>
  <conditionalFormatting sqref="M6803">
    <cfRule type="expression" dxfId="4" priority="122">
      <formula>('C:\Users\wangruyi02\Documents\计提\2023.3计提\[2023年3月IDC费用支付明细表-华北WM.xlsx]3月带宽'!#REF!&lt;&gt;"")*('C:\Users\wangruyi02\Documents\计提\2023.3计提\[2023年3月IDC费用支付明细表-华北WM.xlsx]3月带宽'!#REF!&lt;&gt;"")</formula>
    </cfRule>
  </conditionalFormatting>
  <conditionalFormatting sqref="T6803">
    <cfRule type="expression" dxfId="4" priority="121">
      <formula>('C:\Users\wangruyi02\Documents\计提\2023.3计提\[2023年3月IDC费用支付明细表-华北WM.xlsx]3月带宽'!#REF!&lt;&gt;"")*('C:\Users\wangruyi02\Documents\计提\2023.3计提\[2023年3月IDC费用支付明细表-华北WM.xlsx]3月带宽'!#REF!&lt;&gt;"")</formula>
    </cfRule>
  </conditionalFormatting>
  <conditionalFormatting sqref="H6804">
    <cfRule type="expression" dxfId="1" priority="115">
      <formula>(#REF!&lt;&gt;"")*(H$1&lt;&gt;"")</formula>
    </cfRule>
  </conditionalFormatting>
  <conditionalFormatting sqref="K6804">
    <cfRule type="expression" dxfId="4" priority="116">
      <formula>('C:\Users\wangruyi02\Documents\计提\2023.3计提\[2023年3月IDC费用支付明细表-华北WM.xlsx]3月带宽'!#REF!&lt;&gt;"")*('C:\Users\wangruyi02\Documents\计提\2023.3计提\[2023年3月IDC费用支付明细表-华北WM.xlsx]3月带宽'!#REF!&lt;&gt;"")</formula>
    </cfRule>
  </conditionalFormatting>
  <conditionalFormatting sqref="M6804">
    <cfRule type="expression" dxfId="4" priority="118">
      <formula>('C:\Users\wangruyi02\Documents\计提\2023.3计提\[2023年3月IDC费用支付明细表-华北WM.xlsx]3月带宽'!#REF!&lt;&gt;"")*('C:\Users\wangruyi02\Documents\计提\2023.3计提\[2023年3月IDC费用支付明细表-华北WM.xlsx]3月带宽'!#REF!&lt;&gt;"")</formula>
    </cfRule>
  </conditionalFormatting>
  <conditionalFormatting sqref="T6804">
    <cfRule type="expression" dxfId="4" priority="117">
      <formula>('C:\Users\wangruyi02\Documents\计提\2023.3计提\[2023年3月IDC费用支付明细表-华北WM.xlsx]3月带宽'!#REF!&lt;&gt;"")*('C:\Users\wangruyi02\Documents\计提\2023.3计提\[2023年3月IDC费用支付明细表-华北WM.xlsx]3月带宽'!#REF!&lt;&gt;"")</formula>
    </cfRule>
  </conditionalFormatting>
  <conditionalFormatting sqref="H6805">
    <cfRule type="expression" dxfId="1" priority="107">
      <formula>(#REF!&lt;&gt;"")*(H$1&lt;&gt;"")</formula>
    </cfRule>
  </conditionalFormatting>
  <conditionalFormatting sqref="K6805">
    <cfRule type="expression" dxfId="4" priority="108">
      <formula>('C:\Users\wangruyi02\Documents\计提\2023.3计提\[2023年3月IDC费用支付明细表-华北WM.xlsx]3月带宽'!#REF!&lt;&gt;"")*('C:\Users\wangruyi02\Documents\计提\2023.3计提\[2023年3月IDC费用支付明细表-华北WM.xlsx]3月带宽'!#REF!&lt;&gt;"")</formula>
    </cfRule>
  </conditionalFormatting>
  <conditionalFormatting sqref="M6805">
    <cfRule type="expression" dxfId="4" priority="109">
      <formula>('C:\Users\wangruyi02\Documents\计提\2023.3计提\[2023年3月IDC费用支付明细表-华北WM.xlsx]3月带宽'!#REF!&lt;&gt;"")*('C:\Users\wangruyi02\Documents\计提\2023.3计提\[2023年3月IDC费用支付明细表-华北WM.xlsx]3月带宽'!#REF!&lt;&gt;"")</formula>
    </cfRule>
  </conditionalFormatting>
  <conditionalFormatting sqref="T6805">
    <cfRule type="expression" dxfId="4" priority="106">
      <formula>('C:\Users\wangruyi02\Documents\计提\2023.3计提\[2023年3月IDC费用支付明细表-华北WM.xlsx]3月带宽'!#REF!&lt;&gt;"")*('C:\Users\wangruyi02\Documents\计提\2023.3计提\[2023年3月IDC费用支付明细表-华北WM.xlsx]3月带宽'!#REF!&lt;&gt;"")</formula>
    </cfRule>
  </conditionalFormatting>
  <conditionalFormatting sqref="M6811">
    <cfRule type="expression" dxfId="0" priority="348">
      <formula>(#REF!&lt;&gt;"")*(#REF!&lt;&gt;"")</formula>
    </cfRule>
  </conditionalFormatting>
  <conditionalFormatting sqref="M6812">
    <cfRule type="expression" dxfId="0" priority="347">
      <formula>(#REF!&lt;&gt;"")*(#REF!&lt;&gt;"")</formula>
    </cfRule>
  </conditionalFormatting>
  <conditionalFormatting sqref="M6813">
    <cfRule type="expression" dxfId="0" priority="334">
      <formula>(#REF!&lt;&gt;"")*(#REF!&lt;&gt;"")</formula>
    </cfRule>
  </conditionalFormatting>
  <conditionalFormatting sqref="M6814">
    <cfRule type="expression" dxfId="0" priority="305">
      <formula>(#REF!&lt;&gt;"")*(#REF!&lt;&gt;"")</formula>
    </cfRule>
  </conditionalFormatting>
  <conditionalFormatting sqref="M6815">
    <cfRule type="expression" dxfId="0" priority="335">
      <formula>(#REF!&lt;&gt;"")*(#REF!&lt;&gt;"")</formula>
    </cfRule>
  </conditionalFormatting>
  <conditionalFormatting sqref="M6816">
    <cfRule type="expression" dxfId="0" priority="346">
      <formula>(#REF!&lt;&gt;"")*(#REF!&lt;&gt;"")</formula>
    </cfRule>
  </conditionalFormatting>
  <conditionalFormatting sqref="M6818">
    <cfRule type="expression" dxfId="0" priority="499">
      <formula>(#REF!&lt;&gt;"")*(#REF!&lt;&gt;"")</formula>
    </cfRule>
  </conditionalFormatting>
  <conditionalFormatting sqref="M6819">
    <cfRule type="expression" dxfId="0" priority="479">
      <formula>(#REF!&lt;&gt;"")*(#REF!&lt;&gt;"")</formula>
    </cfRule>
  </conditionalFormatting>
  <conditionalFormatting sqref="M6823">
    <cfRule type="expression" dxfId="0" priority="357">
      <formula>(#REF!&lt;&gt;"")*(#REF!&lt;&gt;"")</formula>
    </cfRule>
  </conditionalFormatting>
  <conditionalFormatting sqref="M6825">
    <cfRule type="expression" dxfId="0" priority="356">
      <formula>(#REF!&lt;&gt;"")*(#REF!&lt;&gt;"")</formula>
    </cfRule>
  </conditionalFormatting>
  <conditionalFormatting sqref="M6830">
    <cfRule type="expression" dxfId="0" priority="326">
      <formula>(#REF!&lt;&gt;"")*(#REF!&lt;&gt;"")</formula>
    </cfRule>
  </conditionalFormatting>
  <conditionalFormatting sqref="M6832">
    <cfRule type="expression" dxfId="0" priority="323">
      <formula>(#REF!&lt;&gt;"")*(#REF!&lt;&gt;"")</formula>
    </cfRule>
  </conditionalFormatting>
  <conditionalFormatting sqref="M6833">
    <cfRule type="expression" dxfId="0" priority="389">
      <formula>(#REF!&lt;&gt;"")*(#REF!&lt;&gt;"")</formula>
    </cfRule>
  </conditionalFormatting>
  <conditionalFormatting sqref="M6838">
    <cfRule type="expression" dxfId="0" priority="325">
      <formula>(#REF!&lt;&gt;"")*(#REF!&lt;&gt;"")</formula>
    </cfRule>
  </conditionalFormatting>
  <conditionalFormatting sqref="M6839">
    <cfRule type="expression" dxfId="0" priority="322">
      <formula>(#REF!&lt;&gt;"")*(#REF!&lt;&gt;"")</formula>
    </cfRule>
  </conditionalFormatting>
  <conditionalFormatting sqref="E6841">
    <cfRule type="expression" dxfId="0" priority="438">
      <formula>(#REF!&lt;&gt;"")*(E$1&lt;&gt;"")</formula>
    </cfRule>
  </conditionalFormatting>
  <conditionalFormatting sqref="E6847">
    <cfRule type="expression" dxfId="0" priority="399">
      <formula>(#REF!&lt;&gt;"")*(E$1&lt;&gt;"")</formula>
    </cfRule>
  </conditionalFormatting>
  <conditionalFormatting sqref="M6847">
    <cfRule type="expression" dxfId="0" priority="400">
      <formula>(#REF!&lt;&gt;"")*(#REF!&lt;&gt;"")</formula>
    </cfRule>
  </conditionalFormatting>
  <conditionalFormatting sqref="M6848">
    <cfRule type="expression" dxfId="0" priority="474">
      <formula>(#REF!&lt;&gt;"")*(#REF!&lt;&gt;"")</formula>
    </cfRule>
  </conditionalFormatting>
  <conditionalFormatting sqref="M6849">
    <cfRule type="expression" dxfId="0" priority="473">
      <formula>(#REF!&lt;&gt;"")*(#REF!&lt;&gt;"")</formula>
    </cfRule>
  </conditionalFormatting>
  <conditionalFormatting sqref="M6850">
    <cfRule type="expression" dxfId="0" priority="468">
      <formula>(#REF!&lt;&gt;"")*(#REF!&lt;&gt;"")</formula>
    </cfRule>
  </conditionalFormatting>
  <conditionalFormatting sqref="M6851">
    <cfRule type="expression" dxfId="0" priority="467">
      <formula>(#REF!&lt;&gt;"")*(#REF!&lt;&gt;"")</formula>
    </cfRule>
  </conditionalFormatting>
  <conditionalFormatting sqref="M6852">
    <cfRule type="expression" dxfId="0" priority="472">
      <formula>(#REF!&lt;&gt;"")*(#REF!&lt;&gt;"")</formula>
    </cfRule>
  </conditionalFormatting>
  <conditionalFormatting sqref="M6860">
    <cfRule type="expression" dxfId="0" priority="489">
      <formula>(#REF!&lt;&gt;"")*(#REF!&lt;&gt;"")</formula>
    </cfRule>
  </conditionalFormatting>
  <conditionalFormatting sqref="M6862">
    <cfRule type="expression" dxfId="0" priority="281">
      <formula>(#REF!&lt;&gt;"")*(#REF!&lt;&gt;"")</formula>
    </cfRule>
  </conditionalFormatting>
  <conditionalFormatting sqref="M6867">
    <cfRule type="expression" dxfId="0" priority="398">
      <formula>(#REF!&lt;&gt;"")*(#REF!&lt;&gt;"")</formula>
    </cfRule>
  </conditionalFormatting>
  <conditionalFormatting sqref="M6869">
    <cfRule type="expression" dxfId="0" priority="353">
      <formula>(#REF!&lt;&gt;"")*(#REF!&lt;&gt;"")</formula>
    </cfRule>
  </conditionalFormatting>
  <conditionalFormatting sqref="T6869">
    <cfRule type="expression" dxfId="1" priority="352">
      <formula>(#REF!&lt;&gt;"")*(#REF!&lt;&gt;"")</formula>
    </cfRule>
  </conditionalFormatting>
  <conditionalFormatting sqref="M6870">
    <cfRule type="expression" dxfId="0" priority="355">
      <formula>(#REF!&lt;&gt;"")*(#REF!&lt;&gt;"")</formula>
    </cfRule>
  </conditionalFormatting>
  <conditionalFormatting sqref="T6870">
    <cfRule type="expression" dxfId="1" priority="354">
      <formula>(#REF!&lt;&gt;"")*(#REF!&lt;&gt;"")</formula>
    </cfRule>
  </conditionalFormatting>
  <conditionalFormatting sqref="M6875">
    <cfRule type="expression" dxfId="0" priority="351">
      <formula>(#REF!&lt;&gt;"")*(#REF!&lt;&gt;"")</formula>
    </cfRule>
  </conditionalFormatting>
  <conditionalFormatting sqref="M6876">
    <cfRule type="expression" dxfId="0" priority="350">
      <formula>(#REF!&lt;&gt;"")*(#REF!&lt;&gt;"")</formula>
    </cfRule>
  </conditionalFormatting>
  <conditionalFormatting sqref="M6877">
    <cfRule type="expression" dxfId="0" priority="349">
      <formula>(#REF!&lt;&gt;"")*(#REF!&lt;&gt;"")</formula>
    </cfRule>
  </conditionalFormatting>
  <conditionalFormatting sqref="M6878">
    <cfRule type="expression" dxfId="0" priority="263">
      <formula>(#REF!&lt;&gt;"")*(#REF!&lt;&gt;"")</formula>
    </cfRule>
  </conditionalFormatting>
  <conditionalFormatting sqref="M6879">
    <cfRule type="expression" dxfId="0" priority="262">
      <formula>(#REF!&lt;&gt;"")*(#REF!&lt;&gt;"")</formula>
    </cfRule>
  </conditionalFormatting>
  <conditionalFormatting sqref="M6880">
    <cfRule type="expression" dxfId="0" priority="303">
      <formula>(#REF!&lt;&gt;"")*(#REF!&lt;&gt;"")</formula>
    </cfRule>
  </conditionalFormatting>
  <conditionalFormatting sqref="M6881">
    <cfRule type="expression" dxfId="0" priority="261">
      <formula>(#REF!&lt;&gt;"")*(#REF!&lt;&gt;"")</formula>
    </cfRule>
  </conditionalFormatting>
  <conditionalFormatting sqref="M6882">
    <cfRule type="expression" dxfId="0" priority="264">
      <formula>(#REF!&lt;&gt;"")*(#REF!&lt;&gt;"")</formula>
    </cfRule>
  </conditionalFormatting>
  <conditionalFormatting sqref="M6885">
    <cfRule type="expression" dxfId="0" priority="418">
      <formula>(#REF!&lt;&gt;"")*(#REF!&lt;&gt;"")</formula>
    </cfRule>
  </conditionalFormatting>
  <conditionalFormatting sqref="M6886">
    <cfRule type="expression" dxfId="0" priority="417">
      <formula>(#REF!&lt;&gt;"")*(#REF!&lt;&gt;"")</formula>
    </cfRule>
  </conditionalFormatting>
  <conditionalFormatting sqref="M6887">
    <cfRule type="expression" dxfId="0" priority="376">
      <formula>(#REF!&lt;&gt;"")*(#REF!&lt;&gt;"")</formula>
    </cfRule>
  </conditionalFormatting>
  <conditionalFormatting sqref="M6888">
    <cfRule type="expression" dxfId="0" priority="416">
      <formula>(#REF!&lt;&gt;"")*(#REF!&lt;&gt;"")</formula>
    </cfRule>
  </conditionalFormatting>
  <conditionalFormatting sqref="M6889">
    <cfRule type="expression" dxfId="0" priority="375">
      <formula>(#REF!&lt;&gt;"")*(#REF!&lt;&gt;"")</formula>
    </cfRule>
  </conditionalFormatting>
  <conditionalFormatting sqref="L6891">
    <cfRule type="expression" dxfId="1" priority="572">
      <formula>(#REF!&lt;&gt;"")*(L$1&lt;&gt;"")</formula>
    </cfRule>
  </conditionalFormatting>
  <conditionalFormatting sqref="M6895">
    <cfRule type="expression" dxfId="0" priority="297">
      <formula>(#REF!&lt;&gt;"")*(#REF!&lt;&gt;"")</formula>
    </cfRule>
  </conditionalFormatting>
  <conditionalFormatting sqref="M6896">
    <cfRule type="expression" dxfId="0" priority="296">
      <formula>(#REF!&lt;&gt;"")*(#REF!&lt;&gt;"")</formula>
    </cfRule>
  </conditionalFormatting>
  <conditionalFormatting sqref="M6899">
    <cfRule type="expression" dxfId="0" priority="331">
      <formula>(#REF!&lt;&gt;"")*(#REF!&lt;&gt;"")</formula>
    </cfRule>
  </conditionalFormatting>
  <conditionalFormatting sqref="M6901">
    <cfRule type="expression" dxfId="0" priority="328">
      <formula>(#REF!&lt;&gt;"")*(#REF!&lt;&gt;"")</formula>
    </cfRule>
  </conditionalFormatting>
  <conditionalFormatting sqref="L6902">
    <cfRule type="expression" dxfId="1" priority="229">
      <formula>(#REF!&lt;&gt;"")*(L$1&lt;&gt;"")</formula>
    </cfRule>
  </conditionalFormatting>
  <conditionalFormatting sqref="M6902">
    <cfRule type="expression" dxfId="0" priority="228">
      <formula>(#REF!&lt;&gt;"")*(#REF!&lt;&gt;"")</formula>
    </cfRule>
  </conditionalFormatting>
  <conditionalFormatting sqref="L6903">
    <cfRule type="expression" dxfId="1" priority="227">
      <formula>(#REF!&lt;&gt;"")*(L$1&lt;&gt;"")</formula>
    </cfRule>
  </conditionalFormatting>
  <conditionalFormatting sqref="M6903">
    <cfRule type="expression" dxfId="0" priority="226">
      <formula>(#REF!&lt;&gt;"")*(#REF!&lt;&gt;"")</formula>
    </cfRule>
  </conditionalFormatting>
  <conditionalFormatting sqref="M6907">
    <cfRule type="expression" dxfId="0" priority="329">
      <formula>(#REF!&lt;&gt;"")*(#REF!&lt;&gt;"")</formula>
    </cfRule>
  </conditionalFormatting>
  <conditionalFormatting sqref="M6916">
    <cfRule type="expression" dxfId="0" priority="330">
      <formula>(#REF!&lt;&gt;"")*(#REF!&lt;&gt;"")</formula>
    </cfRule>
  </conditionalFormatting>
  <conditionalFormatting sqref="M6919">
    <cfRule type="expression" dxfId="0" priority="495">
      <formula>(#REF!&lt;&gt;"")*(#REF!&lt;&gt;"")</formula>
    </cfRule>
  </conditionalFormatting>
  <conditionalFormatting sqref="M6922">
    <cfRule type="expression" dxfId="0" priority="496">
      <formula>(#REF!&lt;&gt;"")*(#REF!&lt;&gt;"")</formula>
    </cfRule>
  </conditionalFormatting>
  <conditionalFormatting sqref="M6923">
    <cfRule type="expression" dxfId="0" priority="160">
      <formula>(#REF!&lt;&gt;"")*(#REF!&lt;&gt;"")</formula>
    </cfRule>
  </conditionalFormatting>
  <conditionalFormatting sqref="M6924">
    <cfRule type="expression" dxfId="0" priority="159">
      <formula>(#REF!&lt;&gt;"")*(#REF!&lt;&gt;"")</formula>
    </cfRule>
  </conditionalFormatting>
  <conditionalFormatting sqref="M6925">
    <cfRule type="expression" dxfId="0" priority="157">
      <formula>(#REF!&lt;&gt;"")*(#REF!&lt;&gt;"")</formula>
    </cfRule>
  </conditionalFormatting>
  <conditionalFormatting sqref="M6926">
    <cfRule type="expression" dxfId="0" priority="158">
      <formula>(#REF!&lt;&gt;"")*(#REF!&lt;&gt;"")</formula>
    </cfRule>
  </conditionalFormatting>
  <conditionalFormatting sqref="M6927">
    <cfRule type="expression" dxfId="0" priority="487">
      <formula>(#REF!&lt;&gt;"")*(#REF!&lt;&gt;"")</formula>
    </cfRule>
  </conditionalFormatting>
  <conditionalFormatting sqref="M6929">
    <cfRule type="expression" dxfId="0" priority="488">
      <formula>(#REF!&lt;&gt;"")*(#REF!&lt;&gt;"")</formula>
    </cfRule>
  </conditionalFormatting>
  <conditionalFormatting sqref="M6933">
    <cfRule type="expression" dxfId="0" priority="395">
      <formula>(#REF!&lt;&gt;"")*(#REF!&lt;&gt;"")</formula>
    </cfRule>
  </conditionalFormatting>
  <conditionalFormatting sqref="M6934">
    <cfRule type="expression" dxfId="0" priority="394">
      <formula>(#REF!&lt;&gt;"")*(#REF!&lt;&gt;"")</formula>
    </cfRule>
  </conditionalFormatting>
  <conditionalFormatting sqref="M6935">
    <cfRule type="expression" dxfId="0" priority="95">
      <formula>(#REF!&lt;&gt;"")*(#REF!&lt;&gt;"")</formula>
    </cfRule>
  </conditionalFormatting>
  <conditionalFormatting sqref="M6944">
    <cfRule type="expression" dxfId="0" priority="471">
      <formula>(#REF!&lt;&gt;"")*(#REF!&lt;&gt;"")</formula>
    </cfRule>
  </conditionalFormatting>
  <conditionalFormatting sqref="M6945">
    <cfRule type="expression" dxfId="0" priority="124">
      <formula>(#REF!&lt;&gt;"")*(#REF!&lt;&gt;"")</formula>
    </cfRule>
  </conditionalFormatting>
  <conditionalFormatting sqref="M6946">
    <cfRule type="expression" dxfId="0" priority="486">
      <formula>(#REF!&lt;&gt;"")*(#REF!&lt;&gt;"")</formula>
    </cfRule>
  </conditionalFormatting>
  <conditionalFormatting sqref="M6947">
    <cfRule type="expression" dxfId="0" priority="455">
      <formula>(#REF!&lt;&gt;"")*(#REF!&lt;&gt;"")</formula>
    </cfRule>
  </conditionalFormatting>
  <conditionalFormatting sqref="M6948">
    <cfRule type="expression" dxfId="0" priority="415">
      <formula>(#REF!&lt;&gt;"")*(#REF!&lt;&gt;"")</formula>
    </cfRule>
  </conditionalFormatting>
  <conditionalFormatting sqref="M6949">
    <cfRule type="expression" dxfId="0" priority="145">
      <formula>(#REF!&lt;&gt;"")*(#REF!&lt;&gt;"")</formula>
    </cfRule>
  </conditionalFormatting>
  <conditionalFormatting sqref="M6950">
    <cfRule type="expression" dxfId="0" priority="414">
      <formula>(#REF!&lt;&gt;"")*(#REF!&lt;&gt;"")</formula>
    </cfRule>
  </conditionalFormatting>
  <conditionalFormatting sqref="M6951">
    <cfRule type="expression" dxfId="0" priority="470">
      <formula>(#REF!&lt;&gt;"")*(#REF!&lt;&gt;"")</formula>
    </cfRule>
  </conditionalFormatting>
  <conditionalFormatting sqref="M6952">
    <cfRule type="expression" dxfId="0" priority="413">
      <formula>(#REF!&lt;&gt;"")*(#REF!&lt;&gt;"")</formula>
    </cfRule>
  </conditionalFormatting>
  <conditionalFormatting sqref="M6953">
    <cfRule type="expression" dxfId="0" priority="144">
      <formula>(#REF!&lt;&gt;"")*(#REF!&lt;&gt;"")</formula>
    </cfRule>
  </conditionalFormatting>
  <conditionalFormatting sqref="M6954">
    <cfRule type="expression" dxfId="0" priority="374">
      <formula>(#REF!&lt;&gt;"")*(#REF!&lt;&gt;"")</formula>
    </cfRule>
  </conditionalFormatting>
  <conditionalFormatting sqref="M6955">
    <cfRule type="expression" dxfId="0" priority="280">
      <formula>(#REF!&lt;&gt;"")*(#REF!&lt;&gt;"")</formula>
    </cfRule>
  </conditionalFormatting>
  <conditionalFormatting sqref="M6956">
    <cfRule type="expression" dxfId="0" priority="188">
      <formula>(#REF!&lt;&gt;"")*(#REF!&lt;&gt;"")</formula>
    </cfRule>
  </conditionalFormatting>
  <conditionalFormatting sqref="M6957">
    <cfRule type="expression" dxfId="0" priority="186">
      <formula>(#REF!&lt;&gt;"")*(#REF!&lt;&gt;"")</formula>
    </cfRule>
  </conditionalFormatting>
  <conditionalFormatting sqref="M6958">
    <cfRule type="expression" dxfId="0" priority="187">
      <formula>(#REF!&lt;&gt;"")*(#REF!&lt;&gt;"")</formula>
    </cfRule>
  </conditionalFormatting>
  <conditionalFormatting sqref="M6961">
    <cfRule type="expression" dxfId="0" priority="412">
      <formula>(#REF!&lt;&gt;"")*(#REF!&lt;&gt;"")</formula>
    </cfRule>
  </conditionalFormatting>
  <conditionalFormatting sqref="M6962">
    <cfRule type="expression" dxfId="0" priority="332">
      <formula>(#REF!&lt;&gt;"")*(#REF!&lt;&gt;"")</formula>
    </cfRule>
  </conditionalFormatting>
  <conditionalFormatting sqref="M6965">
    <cfRule type="expression" dxfId="0" priority="333">
      <formula>(#REF!&lt;&gt;"")*(#REF!&lt;&gt;"")</formula>
    </cfRule>
  </conditionalFormatting>
  <conditionalFormatting sqref="M6968">
    <cfRule type="expression" dxfId="0" priority="254">
      <formula>(#REF!&lt;&gt;"")*(#REF!&lt;&gt;"")</formula>
    </cfRule>
  </conditionalFormatting>
  <conditionalFormatting sqref="M6969">
    <cfRule type="expression" dxfId="0" priority="255">
      <formula>(#REF!&lt;&gt;"")*(#REF!&lt;&gt;"")</formula>
    </cfRule>
  </conditionalFormatting>
  <conditionalFormatting sqref="M6971">
    <cfRule type="expression" dxfId="0" priority="260">
      <formula>(#REF!&lt;&gt;"")*(#REF!&lt;&gt;"")</formula>
    </cfRule>
  </conditionalFormatting>
  <conditionalFormatting sqref="M6973">
    <cfRule type="expression" dxfId="0" priority="359">
      <formula>(#REF!&lt;&gt;"")*(#REF!&lt;&gt;"")</formula>
    </cfRule>
  </conditionalFormatting>
  <conditionalFormatting sqref="M6974">
    <cfRule type="expression" dxfId="0" priority="371">
      <formula>(#REF!&lt;&gt;"")*(#REF!&lt;&gt;"")</formula>
    </cfRule>
  </conditionalFormatting>
  <conditionalFormatting sqref="M6977">
    <cfRule type="expression" dxfId="0" priority="485">
      <formula>(#REF!&lt;&gt;"")*(#REF!&lt;&gt;"")</formula>
    </cfRule>
  </conditionalFormatting>
  <conditionalFormatting sqref="M6978">
    <cfRule type="expression" dxfId="0" priority="327">
      <formula>(#REF!&lt;&gt;"")*(#REF!&lt;&gt;"")</formula>
    </cfRule>
  </conditionalFormatting>
  <conditionalFormatting sqref="M6979">
    <cfRule type="expression" dxfId="0" priority="307">
      <formula>(#REF!&lt;&gt;"")*(#REF!&lt;&gt;"")</formula>
    </cfRule>
  </conditionalFormatting>
  <conditionalFormatting sqref="M6980">
    <cfRule type="expression" dxfId="0" priority="306">
      <formula>(#REF!&lt;&gt;"")*(#REF!&lt;&gt;"")</formula>
    </cfRule>
  </conditionalFormatting>
  <conditionalFormatting sqref="M6981">
    <cfRule type="expression" dxfId="0" priority="259">
      <formula>(#REF!&lt;&gt;"")*(#REF!&lt;&gt;"")</formula>
    </cfRule>
  </conditionalFormatting>
  <conditionalFormatting sqref="M6982">
    <cfRule type="expression" dxfId="0" priority="483">
      <formula>(#REF!&lt;&gt;"")*(#REF!&lt;&gt;"")</formula>
    </cfRule>
  </conditionalFormatting>
  <conditionalFormatting sqref="M6984">
    <cfRule type="expression" dxfId="0" priority="358">
      <formula>(#REF!&lt;&gt;"")*(#REF!&lt;&gt;"")</formula>
    </cfRule>
  </conditionalFormatting>
  <conditionalFormatting sqref="M6986">
    <cfRule type="expression" dxfId="0" priority="114">
      <formula>(#REF!&lt;&gt;"")*(#REF!&lt;&gt;"")</formula>
    </cfRule>
  </conditionalFormatting>
  <conditionalFormatting sqref="M6987">
    <cfRule type="expression" dxfId="0" priority="113">
      <formula>(#REF!&lt;&gt;"")*(#REF!&lt;&gt;"")</formula>
    </cfRule>
  </conditionalFormatting>
  <conditionalFormatting sqref="M6988">
    <cfRule type="expression" dxfId="0" priority="111">
      <formula>(#REF!&lt;&gt;"")*(#REF!&lt;&gt;"")</formula>
    </cfRule>
  </conditionalFormatting>
  <conditionalFormatting sqref="M6989">
    <cfRule type="expression" dxfId="0" priority="112">
      <formula>(#REF!&lt;&gt;"")*(#REF!&lt;&gt;"")</formula>
    </cfRule>
  </conditionalFormatting>
  <conditionalFormatting sqref="M6993">
    <cfRule type="expression" dxfId="0" priority="123">
      <formula>(#REF!&lt;&gt;"")*(#REF!&lt;&gt;"")</formula>
    </cfRule>
  </conditionalFormatting>
  <conditionalFormatting sqref="M6997">
    <cfRule type="expression" dxfId="0" priority="362">
      <formula>(#REF!&lt;&gt;"")*(#REF!&lt;&gt;"")</formula>
    </cfRule>
  </conditionalFormatting>
  <conditionalFormatting sqref="M6998">
    <cfRule type="expression" dxfId="0" priority="363">
      <formula>(#REF!&lt;&gt;"")*(#REF!&lt;&gt;"")</formula>
    </cfRule>
  </conditionalFormatting>
  <conditionalFormatting sqref="M6999">
    <cfRule type="expression" dxfId="0" priority="497">
      <formula>(#REF!&lt;&gt;"")*(#REF!&lt;&gt;"")</formula>
    </cfRule>
  </conditionalFormatting>
  <conditionalFormatting sqref="M7000">
    <cfRule type="expression" dxfId="0" priority="401">
      <formula>(#REF!&lt;&gt;"")*(#REF!&lt;&gt;"")</formula>
    </cfRule>
  </conditionalFormatting>
  <conditionalFormatting sqref="M7002">
    <cfRule type="expression" dxfId="0" priority="308">
      <formula>(#REF!&lt;&gt;"")*(#REF!&lt;&gt;"")</formula>
    </cfRule>
  </conditionalFormatting>
  <conditionalFormatting sqref="M7003">
    <cfRule type="expression" dxfId="0" priority="309">
      <formula>(#REF!&lt;&gt;"")*(#REF!&lt;&gt;"")</formula>
    </cfRule>
  </conditionalFormatting>
  <conditionalFormatting sqref="M7007">
    <cfRule type="expression" dxfId="0" priority="456">
      <formula>(#REF!&lt;&gt;"")*(#REF!&lt;&gt;"")</formula>
    </cfRule>
  </conditionalFormatting>
  <conditionalFormatting sqref="M7009">
    <cfRule type="expression" dxfId="0" priority="442">
      <formula>(#REF!&lt;&gt;"")*(#REF!&lt;&gt;"")</formula>
    </cfRule>
  </conditionalFormatting>
  <conditionalFormatting sqref="M7010">
    <cfRule type="expression" dxfId="0" priority="324">
      <formula>(#REF!&lt;&gt;"")*(#REF!&lt;&gt;"")</formula>
    </cfRule>
  </conditionalFormatting>
  <conditionalFormatting sqref="M7011">
    <cfRule type="expression" dxfId="0" priority="257">
      <formula>(#REF!&lt;&gt;"")*(#REF!&lt;&gt;"")</formula>
    </cfRule>
  </conditionalFormatting>
  <conditionalFormatting sqref="M7012">
    <cfRule type="expression" dxfId="0" priority="239">
      <formula>(#REF!&lt;&gt;"")*(#REF!&lt;&gt;"")</formula>
    </cfRule>
  </conditionalFormatting>
  <conditionalFormatting sqref="M7013">
    <cfRule type="expression" dxfId="0" priority="256">
      <formula>(#REF!&lt;&gt;"")*(#REF!&lt;&gt;"")</formula>
    </cfRule>
  </conditionalFormatting>
  <conditionalFormatting sqref="M7015">
    <cfRule type="expression" dxfId="0" priority="405">
      <formula>(#REF!&lt;&gt;"")*(#REF!&lt;&gt;"")</formula>
    </cfRule>
  </conditionalFormatting>
  <conditionalFormatting sqref="M7016">
    <cfRule type="expression" dxfId="0" priority="372">
      <formula>(#REF!&lt;&gt;"")*(#REF!&lt;&gt;"")</formula>
    </cfRule>
  </conditionalFormatting>
  <conditionalFormatting sqref="M7017">
    <cfRule type="expression" dxfId="0" priority="406">
      <formula>(#REF!&lt;&gt;"")*(#REF!&lt;&gt;"")</formula>
    </cfRule>
  </conditionalFormatting>
  <conditionalFormatting sqref="M7018">
    <cfRule type="expression" dxfId="0" priority="377">
      <formula>(#REF!&lt;&gt;"")*(#REF!&lt;&gt;"")</formula>
    </cfRule>
  </conditionalFormatting>
  <conditionalFormatting sqref="M7020">
    <cfRule type="expression" dxfId="0" priority="498">
      <formula>(#REF!&lt;&gt;"")*(#REF!&lt;&gt;"")</formula>
    </cfRule>
  </conditionalFormatting>
  <conditionalFormatting sqref="M7021">
    <cfRule type="expression" dxfId="0" priority="407">
      <formula>(#REF!&lt;&gt;"")*(#REF!&lt;&gt;"")</formula>
    </cfRule>
  </conditionalFormatting>
  <conditionalFormatting sqref="M7022">
    <cfRule type="expression" dxfId="0" priority="373">
      <formula>(#REF!&lt;&gt;"")*(#REF!&lt;&gt;"")</formula>
    </cfRule>
  </conditionalFormatting>
  <conditionalFormatting sqref="A1142:A1143">
    <cfRule type="expression" dxfId="0" priority="4264">
      <formula>(#REF!&lt;&gt;"")*(#REF!&lt;&gt;"")</formula>
    </cfRule>
  </conditionalFormatting>
  <conditionalFormatting sqref="A4359:A4360">
    <cfRule type="expression" dxfId="3" priority="3372">
      <formula>(#REF!&lt;&gt;"")*(#REF!&lt;&gt;"")</formula>
    </cfRule>
  </conditionalFormatting>
  <conditionalFormatting sqref="A4619:A4640">
    <cfRule type="expression" dxfId="0" priority="3073">
      <formula>(#REF!&lt;&gt;"")*(#REF!&lt;&gt;"")</formula>
    </cfRule>
  </conditionalFormatting>
  <conditionalFormatting sqref="A4674:A4675">
    <cfRule type="expression" dxfId="0" priority="3082">
      <formula>(#REF!&lt;&gt;"")*(#REF!&lt;&gt;"")</formula>
    </cfRule>
  </conditionalFormatting>
  <conditionalFormatting sqref="A4681:A4698">
    <cfRule type="expression" dxfId="0" priority="3141">
      <formula>(#REF!&lt;&gt;"")*(#REF!&lt;&gt;"")</formula>
    </cfRule>
  </conditionalFormatting>
  <conditionalFormatting sqref="A4701:A4703">
    <cfRule type="expression" dxfId="0" priority="2998">
      <formula>(#REF!&lt;&gt;"")*(#REF!&lt;&gt;"")</formula>
    </cfRule>
  </conditionalFormatting>
  <conditionalFormatting sqref="A4704:A4708">
    <cfRule type="expression" dxfId="0" priority="2951">
      <formula>(#REF!&lt;&gt;"")*(#REF!&lt;&gt;"")</formula>
    </cfRule>
  </conditionalFormatting>
  <conditionalFormatting sqref="A4714:A4715">
    <cfRule type="expression" dxfId="0" priority="2763">
      <formula>(#REF!&lt;&gt;"")*(#REF!&lt;&gt;"")</formula>
    </cfRule>
  </conditionalFormatting>
  <conditionalFormatting sqref="A4717:A4724">
    <cfRule type="expression" dxfId="0" priority="2993">
      <formula>(#REF!&lt;&gt;"")*(#REF!&lt;&gt;"")</formula>
    </cfRule>
  </conditionalFormatting>
  <conditionalFormatting sqref="A4725:A4732">
    <cfRule type="expression" dxfId="0" priority="2980">
      <formula>(#REF!&lt;&gt;"")*(#REF!&lt;&gt;"")</formula>
    </cfRule>
  </conditionalFormatting>
  <conditionalFormatting sqref="A4734:A4735">
    <cfRule type="expression" dxfId="0" priority="2961">
      <formula>(#REF!&lt;&gt;"")*(#REF!&lt;&gt;"")</formula>
    </cfRule>
  </conditionalFormatting>
  <conditionalFormatting sqref="A4780:A4781">
    <cfRule type="expression" dxfId="0" priority="2865">
      <formula>(#REF!&lt;&gt;"")*(#REF!&lt;&gt;"")</formula>
    </cfRule>
  </conditionalFormatting>
  <conditionalFormatting sqref="A4789:A4790">
    <cfRule type="expression" dxfId="0" priority="2772">
      <formula>(#REF!&lt;&gt;"")*(#REF!&lt;&gt;"")</formula>
    </cfRule>
  </conditionalFormatting>
  <conditionalFormatting sqref="A4823:A4824">
    <cfRule type="expression" dxfId="0" priority="1980">
      <formula>(#REF!&lt;&gt;"")*(#REF!&lt;&gt;"")</formula>
    </cfRule>
  </conditionalFormatting>
  <conditionalFormatting sqref="A4862:A4863">
    <cfRule type="expression" dxfId="0" priority="1637">
      <formula>(#REF!&lt;&gt;"")*(#REF!&lt;&gt;"")</formula>
    </cfRule>
  </conditionalFormatting>
  <conditionalFormatting sqref="A4910:A4912">
    <cfRule type="expression" dxfId="0" priority="3148">
      <formula>(#REF!&lt;&gt;"")*(#REF!&lt;&gt;"")</formula>
    </cfRule>
  </conditionalFormatting>
  <conditionalFormatting sqref="A5108:A5109">
    <cfRule type="expression" dxfId="0" priority="3049">
      <formula>(#REF!&lt;&gt;"")*(#REF!&lt;&gt;"")</formula>
    </cfRule>
  </conditionalFormatting>
  <conditionalFormatting sqref="A5110:A5111">
    <cfRule type="expression" dxfId="0" priority="2974">
      <formula>(#REF!&lt;&gt;"")*(#REF!&lt;&gt;"")</formula>
    </cfRule>
  </conditionalFormatting>
  <conditionalFormatting sqref="A5295:A5296">
    <cfRule type="expression" dxfId="1" priority="1965">
      <formula>(#REF!&lt;&gt;"")*(A$1&lt;&gt;"")</formula>
    </cfRule>
  </conditionalFormatting>
  <conditionalFormatting sqref="A5525:A5527">
    <cfRule type="expression" dxfId="0" priority="1939">
      <formula>(#REF!&lt;&gt;"")*(#REF!&lt;&gt;"")</formula>
    </cfRule>
  </conditionalFormatting>
  <conditionalFormatting sqref="A5528:A5529">
    <cfRule type="expression" dxfId="0" priority="1935">
      <formula>(#REF!&lt;&gt;"")*(#REF!&lt;&gt;"")</formula>
    </cfRule>
  </conditionalFormatting>
  <conditionalFormatting sqref="C5464:C5465">
    <cfRule type="expression" dxfId="0" priority="1950">
      <formula>(#REF!&lt;&gt;"")*(#REF!&lt;&gt;"")</formula>
    </cfRule>
  </conditionalFormatting>
  <conditionalFormatting sqref="C5476:C5478">
    <cfRule type="expression" dxfId="0" priority="1942">
      <formula>(#REF!&lt;&gt;"")*(#REF!&lt;&gt;"")</formula>
    </cfRule>
  </conditionalFormatting>
  <conditionalFormatting sqref="C5528:C5529">
    <cfRule type="expression" dxfId="0" priority="1934">
      <formula>(#REF!&lt;&gt;"")*(#REF!&lt;&gt;"")</formula>
    </cfRule>
  </conditionalFormatting>
  <conditionalFormatting sqref="E5205:E5207">
    <cfRule type="expression" dxfId="0" priority="2027">
      <formula>(#REF!&lt;&gt;"")*(#REF!&lt;&gt;"")</formula>
    </cfRule>
    <cfRule type="expression" dxfId="0" priority="2028">
      <formula>(#REF!&lt;&gt;"")*(E$1&lt;&gt;"")</formula>
    </cfRule>
  </conditionalFormatting>
  <conditionalFormatting sqref="E6738:E6747">
    <cfRule type="expression" dxfId="1" priority="129">
      <formula>(#REF!&lt;&gt;"")*(E$1&lt;&gt;"")</formula>
    </cfRule>
  </conditionalFormatting>
  <conditionalFormatting sqref="E6748:E6758">
    <cfRule type="expression" dxfId="1" priority="128">
      <formula>(#REF!&lt;&gt;"")*(E$1&lt;&gt;"")</formula>
    </cfRule>
  </conditionalFormatting>
  <conditionalFormatting sqref="E6759:E6764">
    <cfRule type="expression" dxfId="1" priority="127">
      <formula>(#REF!&lt;&gt;"")*(E$1&lt;&gt;"")</formula>
    </cfRule>
  </conditionalFormatting>
  <conditionalFormatting sqref="F1993:F1994">
    <cfRule type="expression" dxfId="0" priority="3679">
      <formula>(#REF!&lt;&gt;"")*(#REF!&lt;&gt;"")</formula>
    </cfRule>
  </conditionalFormatting>
  <conditionalFormatting sqref="F6549:F6560">
    <cfRule type="expression" dxfId="0" priority="191">
      <formula>(#REF!&lt;&gt;"")*(F$1&lt;&gt;"")</formula>
    </cfRule>
  </conditionalFormatting>
  <conditionalFormatting sqref="F6565:F6566">
    <cfRule type="expression" dxfId="0" priority="189">
      <formula>(#REF!&lt;&gt;"")*(F$1&lt;&gt;"")</formula>
    </cfRule>
  </conditionalFormatting>
  <conditionalFormatting sqref="G5195:G5196">
    <cfRule type="expression" dxfId="0" priority="3007">
      <formula>(#REF!&lt;&gt;"")*(#REF!&lt;&gt;"")</formula>
    </cfRule>
  </conditionalFormatting>
  <conditionalFormatting sqref="G5198:G5199">
    <cfRule type="expression" dxfId="0" priority="2958">
      <formula>(#REF!&lt;&gt;"")*(#REF!&lt;&gt;"")</formula>
    </cfRule>
  </conditionalFormatting>
  <conditionalFormatting sqref="H1599:H1600">
    <cfRule type="expression" dxfId="0" priority="3885">
      <formula>(#REF!&lt;&gt;"")*(#REF!&lt;&gt;"")</formula>
    </cfRule>
  </conditionalFormatting>
  <conditionalFormatting sqref="H1943:H1945">
    <cfRule type="expression" dxfId="0" priority="3747">
      <formula>(#REF!&lt;&gt;"")*(H$1&lt;&gt;"")</formula>
    </cfRule>
  </conditionalFormatting>
  <conditionalFormatting sqref="H4252:H4256">
    <cfRule type="expression" dxfId="1" priority="3159">
      <formula>(#REF!&lt;&gt;"")*(H$1&lt;&gt;"")</formula>
    </cfRule>
  </conditionalFormatting>
  <conditionalFormatting sqref="H4319:H4321">
    <cfRule type="expression" dxfId="3" priority="3392">
      <formula>(#REF!&lt;&gt;"")*(#REF!&lt;&gt;"")</formula>
    </cfRule>
  </conditionalFormatting>
  <conditionalFormatting sqref="H4359:H4360">
    <cfRule type="expression" dxfId="3" priority="3376">
      <formula>(#REF!&lt;&gt;"")*(#REF!&lt;&gt;"")</formula>
    </cfRule>
  </conditionalFormatting>
  <conditionalFormatting sqref="H4493:H4495">
    <cfRule type="expression" dxfId="3" priority="3277">
      <formula>(#REF!&lt;&gt;"")*(#REF!&lt;&gt;"")</formula>
    </cfRule>
  </conditionalFormatting>
  <conditionalFormatting sqref="H4793:H4816">
    <cfRule type="expression" dxfId="0" priority="2095">
      <formula>(#REF!&lt;&gt;"")*(#REF!&lt;&gt;"")</formula>
    </cfRule>
    <cfRule type="expression" dxfId="0" priority="2094">
      <formula>(#REF!&lt;&gt;"")*(#REF!&lt;&gt;"")</formula>
    </cfRule>
    <cfRule type="expression" dxfId="0" priority="2093">
      <formula>(#REF!&lt;&gt;"")*(#REF!&lt;&gt;"")</formula>
    </cfRule>
    <cfRule type="expression" dxfId="0" priority="2092">
      <formula>(#REF!&lt;&gt;"")*(#REF!&lt;&gt;"")</formula>
    </cfRule>
    <cfRule type="expression" dxfId="0" priority="2091">
      <formula>(#REF!&lt;&gt;"")*(#REF!&lt;&gt;"")</formula>
    </cfRule>
  </conditionalFormatting>
  <conditionalFormatting sqref="H4826:H4842">
    <cfRule type="expression" dxfId="0" priority="2190">
      <formula>(#REF!&lt;&gt;"")*(#REF!&lt;&gt;"")</formula>
    </cfRule>
  </conditionalFormatting>
  <conditionalFormatting sqref="H5175:H5176">
    <cfRule type="expression" dxfId="0" priority="2566">
      <formula>(#REF!&lt;&gt;"")*(#REF!&lt;&gt;"")</formula>
    </cfRule>
  </conditionalFormatting>
  <conditionalFormatting sqref="H5179:H5204">
    <cfRule type="expression" dxfId="0" priority="2106">
      <formula>(#REF!&lt;&gt;"")*(#REF!&lt;&gt;"")</formula>
    </cfRule>
    <cfRule type="expression" dxfId="0" priority="2107">
      <formula>(#REF!&lt;&gt;"")*(H$1&lt;&gt;"")</formula>
    </cfRule>
  </conditionalFormatting>
  <conditionalFormatting sqref="H5198:H5199">
    <cfRule type="expression" dxfId="0" priority="2959">
      <formula>(#REF!&lt;&gt;"")*(#REF!&lt;&gt;"")</formula>
    </cfRule>
  </conditionalFormatting>
  <conditionalFormatting sqref="H5205:H5207">
    <cfRule type="expression" dxfId="0" priority="2025">
      <formula>(#REF!&lt;&gt;"")*(#REF!&lt;&gt;"")</formula>
    </cfRule>
    <cfRule type="expression" dxfId="0" priority="2026">
      <formula>(#REF!&lt;&gt;"")*(H$1&lt;&gt;"")</formula>
    </cfRule>
    <cfRule type="expression" dxfId="0" priority="2023">
      <formula>(#REF!&lt;&gt;"")*(#REF!&lt;&gt;"")</formula>
    </cfRule>
    <cfRule type="expression" dxfId="0" priority="2024">
      <formula>(#REF!&lt;&gt;"")*(H$1&lt;&gt;"")</formula>
    </cfRule>
  </conditionalFormatting>
  <conditionalFormatting sqref="H5614:H5645">
    <cfRule type="expression" dxfId="0" priority="1694">
      <formula>(#REF!&lt;&gt;"")*(#REF!&lt;&gt;"")</formula>
    </cfRule>
  </conditionalFormatting>
  <conditionalFormatting sqref="H6427:H6444">
    <cfRule type="expression" dxfId="0" priority="175">
      <formula>(#REF!&lt;&gt;"")*(H$1&lt;&gt;"")</formula>
    </cfRule>
  </conditionalFormatting>
  <conditionalFormatting sqref="H6445:H6457">
    <cfRule type="expression" dxfId="0" priority="174">
      <formula>(#REF!&lt;&gt;"")*(H$1&lt;&gt;"")</formula>
    </cfRule>
  </conditionalFormatting>
  <conditionalFormatting sqref="H6458:H6470">
    <cfRule type="expression" dxfId="0" priority="173">
      <formula>(#REF!&lt;&gt;"")*(H$1&lt;&gt;"")</formula>
    </cfRule>
  </conditionalFormatting>
  <conditionalFormatting sqref="H6579:H6587">
    <cfRule type="expression" dxfId="1" priority="210">
      <formula>(#REF!&lt;&gt;"")*(H$1&lt;&gt;"")</formula>
    </cfRule>
  </conditionalFormatting>
  <conditionalFormatting sqref="H6588:H6597">
    <cfRule type="expression" dxfId="1" priority="209">
      <formula>(#REF!&lt;&gt;"")*(H$1&lt;&gt;"")</formula>
    </cfRule>
  </conditionalFormatting>
  <conditionalFormatting sqref="H6598:H6608">
    <cfRule type="expression" dxfId="1" priority="208">
      <formula>(#REF!&lt;&gt;"")*(H$1&lt;&gt;"")</formula>
    </cfRule>
  </conditionalFormatting>
  <conditionalFormatting sqref="H6609:H6619">
    <cfRule type="expression" dxfId="1" priority="207">
      <formula>(#REF!&lt;&gt;"")*(H$1&lt;&gt;"")</formula>
    </cfRule>
  </conditionalFormatting>
  <conditionalFormatting sqref="H6620:H6628">
    <cfRule type="expression" dxfId="1" priority="206">
      <formula>(#REF!&lt;&gt;"")*(H$1&lt;&gt;"")</formula>
    </cfRule>
  </conditionalFormatting>
  <conditionalFormatting sqref="H6629:H6639">
    <cfRule type="expression" dxfId="1" priority="205">
      <formula>(#REF!&lt;&gt;"")*(H$1&lt;&gt;"")</formula>
    </cfRule>
  </conditionalFormatting>
  <conditionalFormatting sqref="H6662:H6671">
    <cfRule type="expression" dxfId="0" priority="380">
      <formula>(#REF!&lt;&gt;"")*(H$1&lt;&gt;"")</formula>
    </cfRule>
  </conditionalFormatting>
  <conditionalFormatting sqref="H6680:H6695">
    <cfRule type="expression" dxfId="0" priority="225">
      <formula>(#REF!&lt;&gt;"")*(H$1&lt;&gt;"")</formula>
    </cfRule>
  </conditionalFormatting>
  <conditionalFormatting sqref="H6703:H6734">
    <cfRule type="expression" dxfId="0" priority="224">
      <formula>(#REF!&lt;&gt;"")*(#REF!&lt;&gt;"")</formula>
    </cfRule>
    <cfRule type="expression" dxfId="0" priority="223">
      <formula>(#REF!&lt;&gt;"")*(#REF!&lt;&gt;"")</formula>
    </cfRule>
  </conditionalFormatting>
  <conditionalFormatting sqref="H6781:H6782">
    <cfRule type="expression" dxfId="1" priority="311">
      <formula>(#REF!&lt;&gt;"")*(H$1&lt;&gt;"")</formula>
    </cfRule>
  </conditionalFormatting>
  <conditionalFormatting sqref="J1466:J1467">
    <cfRule type="expression" dxfId="1" priority="4004">
      <formula>(#REF!&lt;&gt;"")*(J$1&lt;&gt;"")</formula>
    </cfRule>
  </conditionalFormatting>
  <conditionalFormatting sqref="J1484:J1485">
    <cfRule type="expression" dxfId="1" priority="3953">
      <formula>(#REF!&lt;&gt;"")*(J$1&lt;&gt;"")</formula>
    </cfRule>
  </conditionalFormatting>
  <conditionalFormatting sqref="J1753:J1754">
    <cfRule type="expression" dxfId="1" priority="3806">
      <formula>(#REF!&lt;&gt;"")*(J$1&lt;&gt;"")</formula>
    </cfRule>
  </conditionalFormatting>
  <conditionalFormatting sqref="J1931:J1934">
    <cfRule type="expression" dxfId="1" priority="3749">
      <formula>(#REF!&lt;&gt;"")*(J$1&lt;&gt;"")</formula>
    </cfRule>
  </conditionalFormatting>
  <conditionalFormatting sqref="J2032:J2034">
    <cfRule type="expression" dxfId="1" priority="3662">
      <formula>(#REF!&lt;&gt;"")*(J$1&lt;&gt;"")</formula>
    </cfRule>
  </conditionalFormatting>
  <conditionalFormatting sqref="J2035:J2039">
    <cfRule type="expression" dxfId="1" priority="3661">
      <formula>(#REF!&lt;&gt;"")*(J$1&lt;&gt;"")</formula>
    </cfRule>
  </conditionalFormatting>
  <conditionalFormatting sqref="J2151:J2152">
    <cfRule type="expression" dxfId="1" priority="3502">
      <formula>(#REF!&lt;&gt;"")*(J$1&lt;&gt;"")</formula>
    </cfRule>
  </conditionalFormatting>
  <conditionalFormatting sqref="J4549:J4550">
    <cfRule type="expression" dxfId="0" priority="2671">
      <formula>(#REF!&lt;&gt;"")*(#REF!&lt;&gt;"")</formula>
    </cfRule>
  </conditionalFormatting>
  <conditionalFormatting sqref="J4789:J4790">
    <cfRule type="expression" dxfId="0" priority="2774">
      <formula>(#REF!&lt;&gt;"")*(#REF!&lt;&gt;"")</formula>
    </cfRule>
  </conditionalFormatting>
  <conditionalFormatting sqref="J4862:J4863">
    <cfRule type="expression" dxfId="0" priority="1633">
      <formula>(#REF!&lt;&gt;"")*(#REF!&lt;&gt;"")</formula>
    </cfRule>
  </conditionalFormatting>
  <conditionalFormatting sqref="K4340:K4341">
    <cfRule type="expression" dxfId="3" priority="3181">
      <formula>(#REF!&lt;&gt;"")*(#REF!&lt;&gt;"")</formula>
    </cfRule>
    <cfRule type="expression" dxfId="3" priority="3182">
      <formula>(#REF!&lt;&gt;"")*(#REF!&lt;&gt;"")</formula>
    </cfRule>
  </conditionalFormatting>
  <conditionalFormatting sqref="K4343:K4344">
    <cfRule type="expression" dxfId="3" priority="3179">
      <formula>(#REF!&lt;&gt;"")*(#REF!&lt;&gt;"")</formula>
    </cfRule>
    <cfRule type="expression" dxfId="3" priority="3180">
      <formula>(#REF!&lt;&gt;"")*(#REF!&lt;&gt;"")</formula>
    </cfRule>
  </conditionalFormatting>
  <conditionalFormatting sqref="K4361:K4366">
    <cfRule type="expression" dxfId="3" priority="3176">
      <formula>(#REF!&lt;&gt;"")*(#REF!&lt;&gt;"")</formula>
    </cfRule>
    <cfRule type="expression" dxfId="3" priority="3177">
      <formula>(#REF!&lt;&gt;"")*(#REF!&lt;&gt;"")</formula>
    </cfRule>
    <cfRule type="expression" dxfId="3" priority="3178">
      <formula>(#REF!&lt;&gt;"")*(#REF!&lt;&gt;"")</formula>
    </cfRule>
  </conditionalFormatting>
  <conditionalFormatting sqref="K4549:K4550">
    <cfRule type="expression" dxfId="0" priority="2670">
      <formula>(#REF!&lt;&gt;"")*(#REF!&lt;&gt;"")</formula>
    </cfRule>
  </conditionalFormatting>
  <conditionalFormatting sqref="K4789:K4790">
    <cfRule type="expression" dxfId="0" priority="2773">
      <formula>(#REF!&lt;&gt;"")*(#REF!&lt;&gt;"")</formula>
    </cfRule>
  </conditionalFormatting>
  <conditionalFormatting sqref="K4807:K4815">
    <cfRule type="expression" dxfId="0" priority="2381">
      <formula>(#REF!&lt;&gt;"")*(#REF!&lt;&gt;"")</formula>
    </cfRule>
  </conditionalFormatting>
  <conditionalFormatting sqref="K4816:K4822">
    <cfRule type="expression" dxfId="0" priority="2195">
      <formula>(#REF!&lt;&gt;"")*(#REF!&lt;&gt;"")</formula>
    </cfRule>
  </conditionalFormatting>
  <conditionalFormatting sqref="K4823:K4824">
    <cfRule type="expression" dxfId="0" priority="1981">
      <formula>(#REF!&lt;&gt;"")*(#REF!&lt;&gt;"")</formula>
    </cfRule>
  </conditionalFormatting>
  <conditionalFormatting sqref="K4826:K4828">
    <cfRule type="expression" dxfId="0" priority="2186">
      <formula>(#REF!&lt;&gt;"")*(#REF!&lt;&gt;"")</formula>
    </cfRule>
  </conditionalFormatting>
  <conditionalFormatting sqref="K4829:K4837">
    <cfRule type="expression" dxfId="0" priority="2130">
      <formula>(#REF!&lt;&gt;"")*(#REF!&lt;&gt;"")</formula>
    </cfRule>
  </conditionalFormatting>
  <conditionalFormatting sqref="K4862:K4863">
    <cfRule type="expression" dxfId="0" priority="1635">
      <formula>(#REF!&lt;&gt;"")*(#REF!&lt;&gt;"")</formula>
    </cfRule>
  </conditionalFormatting>
  <conditionalFormatting sqref="K5755:K5757">
    <cfRule type="expression" dxfId="0" priority="1166">
      <formula>(#REF!&lt;&gt;"")*(#REF!&lt;&gt;"")</formula>
    </cfRule>
  </conditionalFormatting>
  <conditionalFormatting sqref="K6741:K6742">
    <cfRule type="expression" dxfId="4" priority="125">
      <formula>('C:\Users\wangruyi02\Documents\计提\2023.3计提\[2023年3月IDC费用支付明细表-华北WM.xlsx]3月带宽'!#REF!&lt;&gt;"")*('C:\Users\wangruyi02\Documents\计提\2023.3计提\[2023年3月IDC费用支付明细表-华北WM.xlsx]3月带宽'!#REF!&lt;&gt;"")</formula>
    </cfRule>
  </conditionalFormatting>
  <conditionalFormatting sqref="K6760:K6761">
    <cfRule type="expression" dxfId="4" priority="504">
      <formula>('C:\Users\wangruyi02\Documents\计提\2023.3计提\[2023年3月IDC费用支付明细表-华北WM.xlsx]3月带宽'!#REF!&lt;&gt;"")*('C:\Users\wangruyi02\Documents\计提\2023.3计提\[2023年3月IDC费用支付明细表-华北WM.xlsx]3月带宽'!#REF!&lt;&gt;"")</formula>
    </cfRule>
  </conditionalFormatting>
  <conditionalFormatting sqref="K6788:K6790">
    <cfRule type="expression" dxfId="4" priority="501">
      <formula>('C:\Users\wangruyi02\Documents\计提\2023.3计提\[2023年3月IDC费用支付明细表-华北WM.xlsx]3月带宽'!#REF!&lt;&gt;"")*('C:\Users\wangruyi02\Documents\计提\2023.3计提\[2023年3月IDC费用支付明细表-华北WM.xlsx]3月带宽'!#REF!&lt;&gt;"")</formula>
    </cfRule>
  </conditionalFormatting>
  <conditionalFormatting sqref="L4352:L4353">
    <cfRule type="expression" dxfId="3" priority="3227">
      <formula>(#REF!&lt;&gt;"")*(#REF!&lt;&gt;"")</formula>
    </cfRule>
  </conditionalFormatting>
  <conditionalFormatting sqref="L4356:L4357">
    <cfRule type="expression" dxfId="3" priority="3228">
      <formula>(#REF!&lt;&gt;"")*(#REF!&lt;&gt;"")</formula>
    </cfRule>
  </conditionalFormatting>
  <conditionalFormatting sqref="L4361:L4366">
    <cfRule type="expression" dxfId="3" priority="3340">
      <formula>(#REF!&lt;&gt;"")*(#REF!&lt;&gt;"")</formula>
    </cfRule>
  </conditionalFormatting>
  <conditionalFormatting sqref="L4785:L4786">
    <cfRule type="expression" dxfId="0" priority="2821">
      <formula>(#REF!&lt;&gt;"")*(#REF!&lt;&gt;"")</formula>
    </cfRule>
  </conditionalFormatting>
  <conditionalFormatting sqref="L4827:L4828">
    <cfRule type="expression" dxfId="0" priority="2177">
      <formula>(#REF!&lt;&gt;"")*(#REF!&lt;&gt;"")</formula>
    </cfRule>
  </conditionalFormatting>
  <conditionalFormatting sqref="L5205:L5207">
    <cfRule type="expression" dxfId="0" priority="2030">
      <formula>(#REF!&lt;&gt;"")*(#REF!&lt;&gt;"")</formula>
    </cfRule>
  </conditionalFormatting>
  <conditionalFormatting sqref="M14:M24">
    <cfRule type="expression" dxfId="0" priority="3626">
      <formula>(#REF!&lt;&gt;"")*(#REF!&lt;&gt;"")</formula>
    </cfRule>
  </conditionalFormatting>
  <conditionalFormatting sqref="M721:M722">
    <cfRule type="expression" dxfId="0" priority="4452">
      <formula>(#REF!&lt;&gt;"")*(#REF!&lt;&gt;"")</formula>
    </cfRule>
  </conditionalFormatting>
  <conditionalFormatting sqref="M796:M797">
    <cfRule type="expression" dxfId="0" priority="4438">
      <formula>(#REF!&lt;&gt;"")*(#REF!&lt;&gt;"")</formula>
    </cfRule>
  </conditionalFormatting>
  <conditionalFormatting sqref="M885:M886">
    <cfRule type="expression" dxfId="0" priority="4384">
      <formula>(#REF!&lt;&gt;"")*(#REF!&lt;&gt;"")</formula>
    </cfRule>
  </conditionalFormatting>
  <conditionalFormatting sqref="M942:M943">
    <cfRule type="expression" dxfId="0" priority="4090">
      <formula>(#REF!&lt;&gt;"")*(#REF!&lt;&gt;"")</formula>
    </cfRule>
  </conditionalFormatting>
  <conditionalFormatting sqref="M963:M964">
    <cfRule type="expression" dxfId="0" priority="4385">
      <formula>(#REF!&lt;&gt;"")*(#REF!&lt;&gt;"")</formula>
    </cfRule>
  </conditionalFormatting>
  <conditionalFormatting sqref="M1026:M1028">
    <cfRule type="expression" dxfId="0" priority="4335">
      <formula>($A1026&lt;&gt;"")*(#REF!&lt;&gt;"")</formula>
    </cfRule>
  </conditionalFormatting>
  <conditionalFormatting sqref="M1151:M1153">
    <cfRule type="expression" dxfId="0" priority="4260">
      <formula>(#REF!&lt;&gt;"")*(#REF!&lt;&gt;"")</formula>
    </cfRule>
  </conditionalFormatting>
  <conditionalFormatting sqref="M1162:M1164">
    <cfRule type="expression" dxfId="0" priority="4258">
      <formula>(#REF!&lt;&gt;"")*(#REF!&lt;&gt;"")</formula>
    </cfRule>
  </conditionalFormatting>
  <conditionalFormatting sqref="M1200:M1201">
    <cfRule type="expression" dxfId="0" priority="4194">
      <formula>(#REF!&lt;&gt;"")*(#REF!&lt;&gt;"")</formula>
    </cfRule>
  </conditionalFormatting>
  <conditionalFormatting sqref="M1331:M1332">
    <cfRule type="expression" dxfId="0" priority="4086">
      <formula>(#REF!&lt;&gt;"")*(#REF!&lt;&gt;"")</formula>
    </cfRule>
  </conditionalFormatting>
  <conditionalFormatting sqref="M1433:M1434">
    <cfRule type="expression" dxfId="0" priority="3621">
      <formula>(#REF!&lt;&gt;"")*(#REF!&lt;&gt;"")</formula>
    </cfRule>
  </conditionalFormatting>
  <conditionalFormatting sqref="M1441:M1442">
    <cfRule type="expression" dxfId="0" priority="4027">
      <formula>($A1441&lt;&gt;"")*(#REF!&lt;&gt;"")</formula>
    </cfRule>
  </conditionalFormatting>
  <conditionalFormatting sqref="M1599:M1600">
    <cfRule type="expression" dxfId="0" priority="3883">
      <formula>(#REF!&lt;&gt;"")*(#REF!&lt;&gt;"")</formula>
    </cfRule>
  </conditionalFormatting>
  <conditionalFormatting sqref="M1943:M1945">
    <cfRule type="expression" dxfId="0" priority="3748">
      <formula>(#REF!&lt;&gt;"")*(#REF!&lt;&gt;"")</formula>
    </cfRule>
  </conditionalFormatting>
  <conditionalFormatting sqref="M2037:M2039">
    <cfRule type="expression" dxfId="0" priority="3659">
      <formula>(#REF!&lt;&gt;"")*(#REF!&lt;&gt;"")</formula>
    </cfRule>
  </conditionalFormatting>
  <conditionalFormatting sqref="M2151:M2152">
    <cfRule type="expression" dxfId="0" priority="3503">
      <formula>(#REF!&lt;&gt;"")*(#REF!&lt;&gt;"")</formula>
    </cfRule>
  </conditionalFormatting>
  <conditionalFormatting sqref="M4313:M4314">
    <cfRule type="expression" dxfId="3" priority="3407">
      <formula>(#REF!&lt;&gt;"")*(#REF!&lt;&gt;"")</formula>
    </cfRule>
  </conditionalFormatting>
  <conditionalFormatting sqref="M4319:M4321">
    <cfRule type="expression" dxfId="3" priority="3205">
      <formula>(#REF!&lt;&gt;"")*(#REF!&lt;&gt;"")</formula>
    </cfRule>
  </conditionalFormatting>
  <conditionalFormatting sqref="M4368:M4369">
    <cfRule type="expression" dxfId="3" priority="3230">
      <formula>(#REF!&lt;&gt;"")*(#REF!&lt;&gt;"")</formula>
    </cfRule>
  </conditionalFormatting>
  <conditionalFormatting sqref="M4386:M4387">
    <cfRule type="expression" dxfId="3" priority="3231">
      <formula>(#REF!&lt;&gt;"")*(#REF!&lt;&gt;"")</formula>
    </cfRule>
  </conditionalFormatting>
  <conditionalFormatting sqref="M4464:M4465">
    <cfRule type="expression" dxfId="3" priority="3162">
      <formula>(#REF!&lt;&gt;"")*(#REF!&lt;&gt;"")</formula>
    </cfRule>
  </conditionalFormatting>
  <conditionalFormatting sqref="M4466:M4467">
    <cfRule type="expression" dxfId="3" priority="3163">
      <formula>(#REF!&lt;&gt;"")*(#REF!&lt;&gt;"")</formula>
    </cfRule>
  </conditionalFormatting>
  <conditionalFormatting sqref="M4468:M4471">
    <cfRule type="expression" dxfId="3" priority="3288">
      <formula>(#REF!&lt;&gt;"")*(#REF!&lt;&gt;"")</formula>
    </cfRule>
  </conditionalFormatting>
  <conditionalFormatting sqref="M4487:M4490">
    <cfRule type="expression" dxfId="3" priority="3233">
      <formula>(#REF!&lt;&gt;"")*(#REF!&lt;&gt;"")</formula>
    </cfRule>
  </conditionalFormatting>
  <conditionalFormatting sqref="M4491:M4492">
    <cfRule type="expression" dxfId="3" priority="3234">
      <formula>(#REF!&lt;&gt;"")*(#REF!&lt;&gt;"")</formula>
    </cfRule>
  </conditionalFormatting>
  <conditionalFormatting sqref="M4493:M4495">
    <cfRule type="expression" dxfId="3" priority="3278">
      <formula>(#REF!&lt;&gt;"")*(#REF!&lt;&gt;"")</formula>
    </cfRule>
  </conditionalFormatting>
  <conditionalFormatting sqref="M4538:M4541">
    <cfRule type="expression" dxfId="0" priority="3130">
      <formula>(#REF!&lt;&gt;"")*(#REF!&lt;&gt;"")</formula>
    </cfRule>
  </conditionalFormatting>
  <conditionalFormatting sqref="M4566:M4572">
    <cfRule type="expression" dxfId="0" priority="3002">
      <formula>(#REF!&lt;&gt;"")*(#REF!&lt;&gt;"")</formula>
    </cfRule>
  </conditionalFormatting>
  <conditionalFormatting sqref="M4619:M4640">
    <cfRule type="expression" dxfId="0" priority="3072">
      <formula>(#REF!&lt;&gt;"")*(#REF!&lt;&gt;"")</formula>
    </cfRule>
  </conditionalFormatting>
  <conditionalFormatting sqref="M4681:M4698">
    <cfRule type="expression" dxfId="0" priority="3094">
      <formula>(#REF!&lt;&gt;"")*(#REF!&lt;&gt;"")</formula>
    </cfRule>
  </conditionalFormatting>
  <conditionalFormatting sqref="M4701:M4703">
    <cfRule type="expression" dxfId="0" priority="2997">
      <formula>(#REF!&lt;&gt;"")*(#REF!&lt;&gt;"")</formula>
    </cfRule>
  </conditionalFormatting>
  <conditionalFormatting sqref="M4704:M4708">
    <cfRule type="expression" dxfId="0" priority="2950">
      <formula>(#REF!&lt;&gt;"")*(#REF!&lt;&gt;"")</formula>
    </cfRule>
  </conditionalFormatting>
  <conditionalFormatting sqref="M4714:M4715">
    <cfRule type="expression" dxfId="0" priority="2761">
      <formula>(#REF!&lt;&gt;"")*(#REF!&lt;&gt;"")</formula>
    </cfRule>
  </conditionalFormatting>
  <conditionalFormatting sqref="M4827:M4828">
    <cfRule type="expression" dxfId="0" priority="2174">
      <formula>(#REF!&lt;&gt;"")*(#REF!&lt;&gt;"")</formula>
    </cfRule>
  </conditionalFormatting>
  <conditionalFormatting sqref="M4965:M4966">
    <cfRule type="expression" dxfId="0" priority="2755">
      <formula>(#REF!&lt;&gt;"")*(#REF!&lt;&gt;"")</formula>
    </cfRule>
  </conditionalFormatting>
  <conditionalFormatting sqref="M5043:M5044">
    <cfRule type="expression" dxfId="0" priority="3126">
      <formula>(#REF!&lt;&gt;"")*(#REF!&lt;&gt;"")</formula>
    </cfRule>
  </conditionalFormatting>
  <conditionalFormatting sqref="M5052:M5055">
    <cfRule type="expression" dxfId="0" priority="2577">
      <formula>(#REF!&lt;&gt;"")*(#REF!&lt;&gt;"")</formula>
    </cfRule>
  </conditionalFormatting>
  <conditionalFormatting sqref="M5061:M5062">
    <cfRule type="expression" dxfId="0" priority="1598">
      <formula>(#REF!&lt;&gt;"")*(#REF!&lt;&gt;"")</formula>
    </cfRule>
  </conditionalFormatting>
  <conditionalFormatting sqref="M5179:M5180">
    <cfRule type="expression" dxfId="0" priority="3147">
      <formula>(#REF!&lt;&gt;"")*(#REF!&lt;&gt;"")</formula>
    </cfRule>
  </conditionalFormatting>
  <conditionalFormatting sqref="M5212:M5213">
    <cfRule type="expression" dxfId="0" priority="2529">
      <formula>(#REF!&lt;&gt;"")*(#REF!&lt;&gt;"")</formula>
    </cfRule>
  </conditionalFormatting>
  <conditionalFormatting sqref="M5336:M5339">
    <cfRule type="expression" dxfId="0" priority="1916">
      <formula>(#REF!&lt;&gt;"")*(#REF!&lt;&gt;"")</formula>
    </cfRule>
  </conditionalFormatting>
  <conditionalFormatting sqref="M5468:M5471">
    <cfRule type="expression" dxfId="0" priority="1810">
      <formula>(#REF!&lt;&gt;"")*(#REF!&lt;&gt;"")</formula>
    </cfRule>
  </conditionalFormatting>
  <conditionalFormatting sqref="M5489:M5490">
    <cfRule type="expression" dxfId="0" priority="1139">
      <formula>(#REF!&lt;&gt;"")*(#REF!&lt;&gt;"")</formula>
    </cfRule>
  </conditionalFormatting>
  <conditionalFormatting sqref="M5492:M5495">
    <cfRule type="expression" dxfId="0" priority="1727">
      <formula>(#REF!&lt;&gt;"")*(#REF!&lt;&gt;"")</formula>
    </cfRule>
  </conditionalFormatting>
  <conditionalFormatting sqref="M5919:M5920">
    <cfRule type="expression" dxfId="0" priority="1692">
      <formula>(#REF!&lt;&gt;"")*(#REF!&lt;&gt;"")</formula>
    </cfRule>
  </conditionalFormatting>
  <conditionalFormatting sqref="M6702:M6704">
    <cfRule type="expression" dxfId="0" priority="551">
      <formula>(#REF!&lt;&gt;"")*(#REF!&lt;&gt;"")</formula>
    </cfRule>
  </conditionalFormatting>
  <conditionalFormatting sqref="M6730:M6731">
    <cfRule type="expression" dxfId="0" priority="439">
      <formula>(#REF!&lt;&gt;"")*(#REF!&lt;&gt;"")</formula>
    </cfRule>
  </conditionalFormatting>
  <conditionalFormatting sqref="M6776:M6777">
    <cfRule type="expression" dxfId="0" priority="244">
      <formula>(#REF!&lt;&gt;"")*(#REF!&lt;&gt;"")</formula>
    </cfRule>
  </conditionalFormatting>
  <conditionalFormatting sqref="M6911:M6912">
    <cfRule type="expression" dxfId="0" priority="265">
      <formula>(#REF!&lt;&gt;"")*(#REF!&lt;&gt;"")</formula>
    </cfRule>
  </conditionalFormatting>
  <conditionalFormatting sqref="M6966:M6967">
    <cfRule type="expression" dxfId="0" priority="411">
      <formula>(#REF!&lt;&gt;"")*(#REF!&lt;&gt;"")</formula>
    </cfRule>
  </conditionalFormatting>
  <conditionalFormatting sqref="N1599:N1600">
    <cfRule type="expression" dxfId="0" priority="3878">
      <formula>(#REF!&lt;&gt;"")*(#REF!&lt;&gt;"")</formula>
    </cfRule>
    <cfRule type="expression" dxfId="0" priority="3877">
      <formula>(#REF!&lt;&gt;"")*(#REF!&lt;&gt;"")</formula>
    </cfRule>
  </conditionalFormatting>
  <conditionalFormatting sqref="N4535:N4537">
    <cfRule type="expression" dxfId="0" priority="2647">
      <formula>(#REF!&lt;&gt;"")*(#REF!&lt;&gt;"")</formula>
    </cfRule>
  </conditionalFormatting>
  <conditionalFormatting sqref="N4714:N4715">
    <cfRule type="expression" dxfId="0" priority="2762">
      <formula>(#REF!&lt;&gt;"")*(#REF!&lt;&gt;"")</formula>
    </cfRule>
  </conditionalFormatting>
  <conditionalFormatting sqref="N4725:N4732">
    <cfRule type="expression" dxfId="0" priority="2982">
      <formula>(#REF!&lt;&gt;"")*(#REF!&lt;&gt;"")</formula>
    </cfRule>
  </conditionalFormatting>
  <conditionalFormatting sqref="N4734:N4735">
    <cfRule type="expression" dxfId="0" priority="2963">
      <formula>(#REF!&lt;&gt;"")*(#REF!&lt;&gt;"")</formula>
    </cfRule>
  </conditionalFormatting>
  <conditionalFormatting sqref="N4743:N4745">
    <cfRule type="expression" dxfId="0" priority="1529">
      <formula>(#REF!&lt;&gt;"")*(#REF!&lt;&gt;"")</formula>
    </cfRule>
  </conditionalFormatting>
  <conditionalFormatting sqref="N4780:N4782">
    <cfRule type="expression" dxfId="0" priority="2845">
      <formula>(#REF!&lt;&gt;"")*(#REF!&lt;&gt;"")</formula>
    </cfRule>
  </conditionalFormatting>
  <conditionalFormatting sqref="N4816:N4817">
    <cfRule type="expression" dxfId="0" priority="2246">
      <formula>(#REF!&lt;&gt;"")*(#REF!&lt;&gt;"")</formula>
    </cfRule>
  </conditionalFormatting>
  <conditionalFormatting sqref="N4827:N4828">
    <cfRule type="expression" dxfId="0" priority="2170">
      <formula>(#REF!&lt;&gt;"")*(#REF!&lt;&gt;"")</formula>
    </cfRule>
  </conditionalFormatting>
  <conditionalFormatting sqref="N4849:N4850">
    <cfRule type="expression" dxfId="0" priority="951">
      <formula>(#REF!&lt;&gt;"")*(#REF!&lt;&gt;"")</formula>
    </cfRule>
  </conditionalFormatting>
  <conditionalFormatting sqref="N4857:N4859">
    <cfRule type="expression" dxfId="0" priority="2011">
      <formula>(#REF!&lt;&gt;"")*(#REF!&lt;&gt;"")</formula>
    </cfRule>
  </conditionalFormatting>
  <conditionalFormatting sqref="N4862:N4863">
    <cfRule type="expression" dxfId="0" priority="1638">
      <formula>(#REF!&lt;&gt;"")*(#REF!&lt;&gt;"")</formula>
    </cfRule>
  </conditionalFormatting>
  <conditionalFormatting sqref="N4868:N4870">
    <cfRule type="expression" dxfId="0" priority="1500">
      <formula>(#REF!&lt;&gt;"")*(#REF!&lt;&gt;"")</formula>
    </cfRule>
  </conditionalFormatting>
  <conditionalFormatting sqref="N4885:N4887">
    <cfRule type="expression" dxfId="0" priority="1202">
      <formula>(#REF!&lt;&gt;"")*(#REF!&lt;&gt;"")</formula>
    </cfRule>
  </conditionalFormatting>
  <conditionalFormatting sqref="N5052:N5055">
    <cfRule type="expression" dxfId="0" priority="2576">
      <formula>(#REF!&lt;&gt;"")*(#REF!&lt;&gt;"")</formula>
    </cfRule>
  </conditionalFormatting>
  <conditionalFormatting sqref="N5056:N5057">
    <cfRule type="expression" dxfId="0" priority="2562">
      <formula>(#REF!&lt;&gt;"")*(#REF!&lt;&gt;"")</formula>
    </cfRule>
  </conditionalFormatting>
  <conditionalFormatting sqref="N5061:N5062">
    <cfRule type="expression" dxfId="0" priority="1603">
      <formula>(#REF!&lt;&gt;"")*(#REF!&lt;&gt;"")</formula>
    </cfRule>
  </conditionalFormatting>
  <conditionalFormatting sqref="N5205:N5207">
    <cfRule type="expression" dxfId="0" priority="2032">
      <formula>(#REF!&lt;&gt;"")*(#REF!&lt;&gt;"")</formula>
    </cfRule>
    <cfRule type="expression" dxfId="0" priority="2033">
      <formula>(#REF!&lt;&gt;"")*(N$1&lt;&gt;"")</formula>
    </cfRule>
  </conditionalFormatting>
  <conditionalFormatting sqref="N5489:N5490">
    <cfRule type="expression" dxfId="0" priority="1137">
      <formula>(#REF!&lt;&gt;"")*(#REF!&lt;&gt;"")</formula>
    </cfRule>
    <cfRule type="expression" dxfId="0" priority="1138">
      <formula>(#REF!&lt;&gt;"")*(#REF!&lt;&gt;"")</formula>
    </cfRule>
  </conditionalFormatting>
  <conditionalFormatting sqref="N5919:N5920">
    <cfRule type="expression" dxfId="0" priority="1317">
      <formula>(#REF!&lt;&gt;"")*(N$1&lt;&gt;"")</formula>
    </cfRule>
  </conditionalFormatting>
  <conditionalFormatting sqref="N6765:N6766">
    <cfRule type="expression" dxfId="0" priority="234">
      <formula>(#REF!&lt;&gt;"")*(N$1&lt;&gt;"")</formula>
    </cfRule>
  </conditionalFormatting>
  <conditionalFormatting sqref="O407:O408">
    <cfRule type="expression" dxfId="1" priority="3949">
      <formula>(#REF!&lt;&gt;"")*(O$1&lt;&gt;"")</formula>
    </cfRule>
  </conditionalFormatting>
  <conditionalFormatting sqref="O719:O720">
    <cfRule type="expression" dxfId="0" priority="4447">
      <formula>(#REF!&lt;&gt;"")*(#REF!&lt;&gt;"")</formula>
    </cfRule>
  </conditionalFormatting>
  <conditionalFormatting sqref="O1599:O1600">
    <cfRule type="expression" dxfId="0" priority="3881">
      <formula>(#REF!&lt;&gt;"")*(#REF!&lt;&gt;"")</formula>
    </cfRule>
    <cfRule type="expression" dxfId="0" priority="3880">
      <formula>(#REF!&lt;&gt;"")*(#REF!&lt;&gt;"")</formula>
    </cfRule>
  </conditionalFormatting>
  <conditionalFormatting sqref="O4714:O4715">
    <cfRule type="expression" dxfId="0" priority="2764">
      <formula>(#REF!&lt;&gt;"")*(#REF!&lt;&gt;"")</formula>
    </cfRule>
  </conditionalFormatting>
  <conditionalFormatting sqref="O4780:O4781">
    <cfRule type="expression" dxfId="0" priority="2843">
      <formula>(#REF!&lt;&gt;"")*(#REF!&lt;&gt;"")</formula>
    </cfRule>
  </conditionalFormatting>
  <conditionalFormatting sqref="O4816:O4817">
    <cfRule type="expression" dxfId="0" priority="2249">
      <formula>(#REF!&lt;&gt;"")*(#REF!&lt;&gt;"")</formula>
    </cfRule>
  </conditionalFormatting>
  <conditionalFormatting sqref="O4826:O4828">
    <cfRule type="expression" dxfId="0" priority="2184">
      <formula>(#REF!&lt;&gt;"")*(#REF!&lt;&gt;"")</formula>
    </cfRule>
  </conditionalFormatting>
  <conditionalFormatting sqref="O4841:O4842">
    <cfRule type="expression" dxfId="0" priority="2081">
      <formula>(#REF!&lt;&gt;"")*(#REF!&lt;&gt;"")</formula>
    </cfRule>
  </conditionalFormatting>
  <conditionalFormatting sqref="O4862:O4863">
    <cfRule type="expression" dxfId="0" priority="1632">
      <formula>(#REF!&lt;&gt;"")*(#REF!&lt;&gt;"")</formula>
    </cfRule>
  </conditionalFormatting>
  <conditionalFormatting sqref="O4872:O4873">
    <cfRule type="expression" dxfId="0" priority="1410">
      <formula>(#REF!&lt;&gt;"")*(#REF!&lt;&gt;"")</formula>
    </cfRule>
  </conditionalFormatting>
  <conditionalFormatting sqref="O4885:O4887">
    <cfRule type="expression" dxfId="0" priority="1199">
      <formula>(#REF!&lt;&gt;"")*(#REF!&lt;&gt;"")</formula>
    </cfRule>
  </conditionalFormatting>
  <conditionalFormatting sqref="O5061:O5062">
    <cfRule type="expression" dxfId="0" priority="1604">
      <formula>(#REF!&lt;&gt;"")*(#REF!&lt;&gt;"")</formula>
    </cfRule>
  </conditionalFormatting>
  <conditionalFormatting sqref="O5302:O5303">
    <cfRule type="expression" dxfId="1" priority="1925">
      <formula>(#REF!&lt;&gt;"")*(O$1&lt;&gt;"")</formula>
    </cfRule>
  </conditionalFormatting>
  <conditionalFormatting sqref="O5477:O5478">
    <cfRule type="expression" dxfId="0" priority="1757">
      <formula>(#REF!&lt;&gt;"")*(#REF!&lt;&gt;"")</formula>
    </cfRule>
    <cfRule type="expression" dxfId="0" priority="1756">
      <formula>(#REF!&lt;&gt;"")*(#REF!&lt;&gt;"")</formula>
    </cfRule>
  </conditionalFormatting>
  <conditionalFormatting sqref="O6554:O6560">
    <cfRule type="expression" dxfId="0" priority="344">
      <formula>(#REF!&lt;&gt;"")*(O$1&lt;&gt;"")</formula>
    </cfRule>
  </conditionalFormatting>
  <conditionalFormatting sqref="P1722:P1725">
    <cfRule type="expression" dxfId="1" priority="3812">
      <formula>(#REF!&lt;&gt;"")*(#REF!&lt;&gt;"")</formula>
    </cfRule>
  </conditionalFormatting>
  <conditionalFormatting sqref="P1729:P1730">
    <cfRule type="expression" dxfId="1" priority="3809">
      <formula>(#REF!&lt;&gt;"")*(#REF!&lt;&gt;"")</formula>
    </cfRule>
  </conditionalFormatting>
  <conditionalFormatting sqref="P1753:P1754">
    <cfRule type="expression" dxfId="1" priority="3805">
      <formula>(#REF!&lt;&gt;"")*(#REF!&lt;&gt;"")</formula>
    </cfRule>
  </conditionalFormatting>
  <conditionalFormatting sqref="P2135:P2136">
    <cfRule type="expression" dxfId="1" priority="3533">
      <formula>(#REF!&lt;&gt;"")*(#REF!&lt;&gt;"")</formula>
    </cfRule>
  </conditionalFormatting>
  <conditionalFormatting sqref="P4704:P4708">
    <cfRule type="expression" dxfId="1" priority="2953">
      <formula>(#REF!&lt;&gt;"")*(#REF!&lt;&gt;"")</formula>
    </cfRule>
  </conditionalFormatting>
  <conditionalFormatting sqref="P4714:P4715">
    <cfRule type="expression" dxfId="1" priority="2765">
      <formula>(#REF!&lt;&gt;"")*(#REF!&lt;&gt;"")</formula>
    </cfRule>
  </conditionalFormatting>
  <conditionalFormatting sqref="P4717:P4724">
    <cfRule type="expression" dxfId="1" priority="2994">
      <formula>(#REF!&lt;&gt;"")*(#REF!&lt;&gt;"")</formula>
    </cfRule>
  </conditionalFormatting>
  <conditionalFormatting sqref="P4725:P4732">
    <cfRule type="expression" dxfId="1" priority="2981">
      <formula>(#REF!&lt;&gt;"")*(#REF!&lt;&gt;"")</formula>
    </cfRule>
  </conditionalFormatting>
  <conditionalFormatting sqref="P4734:P4735">
    <cfRule type="expression" dxfId="1" priority="2962">
      <formula>(#REF!&lt;&gt;"")*(#REF!&lt;&gt;"")</formula>
    </cfRule>
  </conditionalFormatting>
  <conditionalFormatting sqref="P4780:P4781">
    <cfRule type="expression" dxfId="1" priority="2844">
      <formula>(#REF!&lt;&gt;"")*(#REF!&lt;&gt;"")</formula>
    </cfRule>
  </conditionalFormatting>
  <conditionalFormatting sqref="P4789:P4791">
    <cfRule type="expression" dxfId="1" priority="2769">
      <formula>(#REF!&lt;&gt;"")*(#REF!&lt;&gt;"")</formula>
    </cfRule>
  </conditionalFormatting>
  <conditionalFormatting sqref="P4841:P4842">
    <cfRule type="expression" dxfId="1" priority="2080">
      <formula>(#REF!&lt;&gt;"")*(#REF!&lt;&gt;"")</formula>
    </cfRule>
  </conditionalFormatting>
  <conditionalFormatting sqref="P4862:P4863">
    <cfRule type="expression" dxfId="1" priority="1631">
      <formula>(#REF!&lt;&gt;"")*(#REF!&lt;&gt;"")</formula>
    </cfRule>
  </conditionalFormatting>
  <conditionalFormatting sqref="P4872:P4873">
    <cfRule type="expression" dxfId="1" priority="1409">
      <formula>(#REF!&lt;&gt;"")*(#REF!&lt;&gt;"")</formula>
    </cfRule>
  </conditionalFormatting>
  <conditionalFormatting sqref="P4874:P4875">
    <cfRule type="expression" dxfId="1" priority="1399">
      <formula>(#REF!&lt;&gt;"")*(#REF!&lt;&gt;"")</formula>
    </cfRule>
  </conditionalFormatting>
  <conditionalFormatting sqref="P4885:P4887">
    <cfRule type="expression" dxfId="1" priority="1198">
      <formula>(#REF!&lt;&gt;"")*(#REF!&lt;&gt;"")</formula>
    </cfRule>
  </conditionalFormatting>
  <conditionalFormatting sqref="P5489:P5490">
    <cfRule type="expression" dxfId="0" priority="1141">
      <formula>(#REF!&lt;&gt;"")*(#REF!&lt;&gt;"")</formula>
    </cfRule>
    <cfRule type="expression" dxfId="1" priority="1140">
      <formula>(#REF!&lt;&gt;"")*(#REF!&lt;&gt;"")</formula>
    </cfRule>
  </conditionalFormatting>
  <conditionalFormatting sqref="P5898:P5902">
    <cfRule type="expression" dxfId="0" priority="648">
      <formula>(#REF!&lt;&gt;"")*(#REF!&lt;&gt;"")</formula>
    </cfRule>
    <cfRule type="expression" dxfId="1" priority="649">
      <formula>(#REF!&lt;&gt;"")*(#REF!&lt;&gt;"")</formula>
    </cfRule>
  </conditionalFormatting>
  <conditionalFormatting sqref="Q1020:Q1021">
    <cfRule type="expression" dxfId="0" priority="4307">
      <formula>($A1020&lt;&gt;"")*(#REF!&lt;&gt;"")</formula>
    </cfRule>
  </conditionalFormatting>
  <conditionalFormatting sqref="Q1035:Q1036">
    <cfRule type="expression" dxfId="0" priority="4330">
      <formula>($A1035&lt;&gt;"")*(#REF!&lt;&gt;"")</formula>
    </cfRule>
  </conditionalFormatting>
  <conditionalFormatting sqref="Q1142:Q1143">
    <cfRule type="expression" dxfId="0" priority="4266">
      <formula>(#REF!&lt;&gt;"")*(#REF!&lt;&gt;"")</formula>
    </cfRule>
  </conditionalFormatting>
  <conditionalFormatting sqref="Q1599:Q1600">
    <cfRule type="expression" dxfId="0" priority="3879">
      <formula>(#REF!&lt;&gt;"")*(#REF!&lt;&gt;"")</formula>
    </cfRule>
  </conditionalFormatting>
  <conditionalFormatting sqref="Q1664:Q1665">
    <cfRule type="expression" dxfId="0" priority="3819">
      <formula>(#REF!&lt;&gt;"")*(#REF!&lt;&gt;"")</formula>
    </cfRule>
  </conditionalFormatting>
  <conditionalFormatting sqref="Q2125:Q2126">
    <cfRule type="expression" dxfId="0" priority="3545">
      <formula>(#REF!&lt;&gt;"")*(#REF!&lt;&gt;"")</formula>
    </cfRule>
  </conditionalFormatting>
  <conditionalFormatting sqref="Q2135:Q2136">
    <cfRule type="expression" dxfId="1" priority="3534">
      <formula>(#REF!&lt;&gt;"")*(#REF!&lt;&gt;"")</formula>
    </cfRule>
  </conditionalFormatting>
  <conditionalFormatting sqref="Q2147:Q2148">
    <cfRule type="expression" dxfId="0" priority="3528">
      <formula>(#REF!&lt;&gt;"")*(#REF!&lt;&gt;"")</formula>
    </cfRule>
  </conditionalFormatting>
  <conditionalFormatting sqref="Q2160:Q2161">
    <cfRule type="expression" dxfId="0" priority="3438">
      <formula>(#REF!&lt;&gt;"")*(#REF!&lt;&gt;"")</formula>
    </cfRule>
  </conditionalFormatting>
  <conditionalFormatting sqref="Q4359:Q4360">
    <cfRule type="expression" dxfId="3" priority="3374">
      <formula>(#REF!&lt;&gt;"")*(#REF!&lt;&gt;"")</formula>
    </cfRule>
  </conditionalFormatting>
  <conditionalFormatting sqref="Q4378:Q4381">
    <cfRule type="expression" dxfId="3" priority="3312">
      <formula>(#REF!&lt;&gt;"")*(#REF!&lt;&gt;"")</formula>
    </cfRule>
    <cfRule type="expression" dxfId="3" priority="3313">
      <formula>(#REF!&lt;&gt;"")*(#REF!&lt;&gt;"")</formula>
    </cfRule>
  </conditionalFormatting>
  <conditionalFormatting sqref="Q4535:Q4536">
    <cfRule type="expression" dxfId="1" priority="2644">
      <formula>(#REF!&lt;&gt;"")*(#REF!&lt;&gt;"")</formula>
    </cfRule>
  </conditionalFormatting>
  <conditionalFormatting sqref="Q4538:Q4541">
    <cfRule type="expression" dxfId="0" priority="3095">
      <formula>(#REF!&lt;&gt;"")*(#REF!&lt;&gt;"")</formula>
    </cfRule>
  </conditionalFormatting>
  <conditionalFormatting sqref="Q4681:Q4698">
    <cfRule type="expression" dxfId="1" priority="3017">
      <formula>(#REF!&lt;&gt;"")*(#REF!&lt;&gt;"")</formula>
    </cfRule>
  </conditionalFormatting>
  <conditionalFormatting sqref="Q4701:Q4703">
    <cfRule type="expression" dxfId="0" priority="2996">
      <formula>(#REF!&lt;&gt;"")*(#REF!&lt;&gt;"")</formula>
    </cfRule>
    <cfRule type="expression" dxfId="1" priority="2995">
      <formula>(#REF!&lt;&gt;"")*(#REF!&lt;&gt;"")</formula>
    </cfRule>
  </conditionalFormatting>
  <conditionalFormatting sqref="Q4704:Q4708">
    <cfRule type="expression" dxfId="0" priority="2949">
      <formula>(#REF!&lt;&gt;"")*(#REF!&lt;&gt;"")</formula>
    </cfRule>
    <cfRule type="expression" dxfId="1" priority="2948">
      <formula>(#REF!&lt;&gt;"")*(#REF!&lt;&gt;"")</formula>
    </cfRule>
  </conditionalFormatting>
  <conditionalFormatting sqref="Q4714:Q4715">
    <cfRule type="expression" dxfId="0" priority="2767">
      <formula>(#REF!&lt;&gt;"")*(#REF!&lt;&gt;"")</formula>
    </cfRule>
    <cfRule type="expression" dxfId="1" priority="2766">
      <formula>(#REF!&lt;&gt;"")*(#REF!&lt;&gt;"")</formula>
    </cfRule>
  </conditionalFormatting>
  <conditionalFormatting sqref="Q4717:Q4724">
    <cfRule type="expression" dxfId="0" priority="2992">
      <formula>(#REF!&lt;&gt;"")*(#REF!&lt;&gt;"")</formula>
    </cfRule>
    <cfRule type="expression" dxfId="1" priority="2991">
      <formula>(#REF!&lt;&gt;"")*(#REF!&lt;&gt;"")</formula>
    </cfRule>
  </conditionalFormatting>
  <conditionalFormatting sqref="Q4725:Q4732">
    <cfRule type="expression" dxfId="0" priority="2979">
      <formula>(#REF!&lt;&gt;"")*(#REF!&lt;&gt;"")</formula>
    </cfRule>
    <cfRule type="expression" dxfId="1" priority="2978">
      <formula>(#REF!&lt;&gt;"")*(#REF!&lt;&gt;"")</formula>
    </cfRule>
  </conditionalFormatting>
  <conditionalFormatting sqref="Q4734:Q4735">
    <cfRule type="expression" dxfId="0" priority="2960">
      <formula>(#REF!&lt;&gt;"")*(#REF!&lt;&gt;"")</formula>
    </cfRule>
  </conditionalFormatting>
  <conditionalFormatting sqref="Q4737:Q4738">
    <cfRule type="expression" dxfId="1" priority="2940">
      <formula>(#REF!&lt;&gt;"")*(#REF!&lt;&gt;"")</formula>
    </cfRule>
    <cfRule type="expression" dxfId="0" priority="2938">
      <formula>(#REF!&lt;&gt;"")*(#REF!&lt;&gt;"")</formula>
    </cfRule>
  </conditionalFormatting>
  <conditionalFormatting sqref="Q4743:Q4745">
    <cfRule type="expression" dxfId="0" priority="1531">
      <formula>(#REF!&lt;&gt;"")*(#REF!&lt;&gt;"")</formula>
    </cfRule>
    <cfRule type="expression" dxfId="1" priority="1532">
      <formula>(#REF!&lt;&gt;"")*(#REF!&lt;&gt;"")</formula>
    </cfRule>
  </conditionalFormatting>
  <conditionalFormatting sqref="Q4780:Q4781">
    <cfRule type="expression" dxfId="0" priority="2846">
      <formula>(#REF!&lt;&gt;"")*(#REF!&lt;&gt;"")</formula>
    </cfRule>
    <cfRule type="expression" dxfId="1" priority="2847">
      <formula>(#REF!&lt;&gt;"")*(#REF!&lt;&gt;"")</formula>
    </cfRule>
  </conditionalFormatting>
  <conditionalFormatting sqref="Q4789:Q4791">
    <cfRule type="expression" dxfId="0" priority="2770">
      <formula>(#REF!&lt;&gt;"")*(#REF!&lt;&gt;"")</formula>
    </cfRule>
    <cfRule type="expression" dxfId="1" priority="2771">
      <formula>(#REF!&lt;&gt;"")*(#REF!&lt;&gt;"")</formula>
    </cfRule>
  </conditionalFormatting>
  <conditionalFormatting sqref="Q4816:Q4817">
    <cfRule type="expression" dxfId="0" priority="2247">
      <formula>(#REF!&lt;&gt;"")*(#REF!&lt;&gt;"")</formula>
    </cfRule>
    <cfRule type="expression" dxfId="1" priority="2248">
      <formula>(#REF!&lt;&gt;"")*(#REF!&lt;&gt;"")</formula>
    </cfRule>
  </conditionalFormatting>
  <conditionalFormatting sqref="Q4827:Q4828">
    <cfRule type="expression" dxfId="0" priority="2172">
      <formula>(#REF!&lt;&gt;"")*(#REF!&lt;&gt;"")</formula>
    </cfRule>
    <cfRule type="expression" dxfId="1" priority="2173">
      <formula>(#REF!&lt;&gt;"")*(#REF!&lt;&gt;"")</formula>
    </cfRule>
  </conditionalFormatting>
  <conditionalFormatting sqref="Q4849:Q4850">
    <cfRule type="expression" dxfId="0" priority="958">
      <formula>(#REF!&lt;&gt;"")*(#REF!&lt;&gt;"")</formula>
    </cfRule>
    <cfRule type="expression" dxfId="1" priority="957">
      <formula>(#REF!&lt;&gt;"")*(#REF!&lt;&gt;"")</formula>
    </cfRule>
  </conditionalFormatting>
  <conditionalFormatting sqref="Q4853:Q4854">
    <cfRule type="expression" dxfId="0" priority="2071">
      <formula>(#REF!&lt;&gt;"")*(#REF!&lt;&gt;"")</formula>
    </cfRule>
    <cfRule type="expression" dxfId="1" priority="2070">
      <formula>(#REF!&lt;&gt;"")*(#REF!&lt;&gt;"")</formula>
    </cfRule>
  </conditionalFormatting>
  <conditionalFormatting sqref="Q4855:Q4859">
    <cfRule type="expression" dxfId="0" priority="2053">
      <formula>(#REF!&lt;&gt;"")*(#REF!&lt;&gt;"")</formula>
    </cfRule>
    <cfRule type="expression" dxfId="1" priority="2052">
      <formula>(#REF!&lt;&gt;"")*(#REF!&lt;&gt;"")</formula>
    </cfRule>
  </conditionalFormatting>
  <conditionalFormatting sqref="Q4862:Q4863">
    <cfRule type="expression" dxfId="0" priority="1640">
      <formula>(#REF!&lt;&gt;"")*(#REF!&lt;&gt;"")</formula>
    </cfRule>
    <cfRule type="expression" dxfId="1" priority="1639">
      <formula>(#REF!&lt;&gt;"")*(#REF!&lt;&gt;"")</formula>
    </cfRule>
  </conditionalFormatting>
  <conditionalFormatting sqref="Q4868:Q4869">
    <cfRule type="expression" dxfId="0" priority="1502">
      <formula>(#REF!&lt;&gt;"")*(#REF!&lt;&gt;"")</formula>
    </cfRule>
    <cfRule type="expression" dxfId="1" priority="1501">
      <formula>(#REF!&lt;&gt;"")*(#REF!&lt;&gt;"")</formula>
    </cfRule>
  </conditionalFormatting>
  <conditionalFormatting sqref="Q4872:Q4873">
    <cfRule type="expression" dxfId="0" priority="1412">
      <formula>(#REF!&lt;&gt;"")*(#REF!&lt;&gt;"")</formula>
    </cfRule>
    <cfRule type="expression" dxfId="1" priority="1411">
      <formula>(#REF!&lt;&gt;"")*(#REF!&lt;&gt;"")</formula>
    </cfRule>
  </conditionalFormatting>
  <conditionalFormatting sqref="Q4874:Q4875">
    <cfRule type="expression" dxfId="0" priority="1402">
      <formula>(#REF!&lt;&gt;"")*(#REF!&lt;&gt;"")</formula>
    </cfRule>
    <cfRule type="expression" dxfId="1" priority="1401">
      <formula>(#REF!&lt;&gt;"")*(#REF!&lt;&gt;"")</formula>
    </cfRule>
  </conditionalFormatting>
  <conditionalFormatting sqref="Q4885:Q4887">
    <cfRule type="expression" dxfId="0" priority="1201">
      <formula>(#REF!&lt;&gt;"")*(#REF!&lt;&gt;"")</formula>
    </cfRule>
    <cfRule type="expression" dxfId="1" priority="1200">
      <formula>(#REF!&lt;&gt;"")*(#REF!&lt;&gt;"")</formula>
    </cfRule>
  </conditionalFormatting>
  <conditionalFormatting sqref="Q5054:Q5055">
    <cfRule type="expression" dxfId="0" priority="2572">
      <formula>(#REF!&lt;&gt;"")*(#REF!&lt;&gt;"")</formula>
    </cfRule>
  </conditionalFormatting>
  <conditionalFormatting sqref="Q5056:Q5057">
    <cfRule type="expression" dxfId="0" priority="2560">
      <formula>(#REF!&lt;&gt;"")*(#REF!&lt;&gt;"")</formula>
    </cfRule>
  </conditionalFormatting>
  <conditionalFormatting sqref="Q5061:Q5062">
    <cfRule type="expression" dxfId="0" priority="1601">
      <formula>(#REF!&lt;&gt;"")*(#REF!&lt;&gt;"")</formula>
    </cfRule>
  </conditionalFormatting>
  <conditionalFormatting sqref="Q5389:Q5390">
    <cfRule type="expression" dxfId="0" priority="1845">
      <formula>(#REF!&lt;&gt;"")*(#REF!&lt;&gt;"")</formula>
    </cfRule>
  </conditionalFormatting>
  <conditionalFormatting sqref="Q5405:Q5406">
    <cfRule type="expression" dxfId="0" priority="1862">
      <formula>(#REF!&lt;&gt;"")*(#REF!&lt;&gt;"")</formula>
    </cfRule>
  </conditionalFormatting>
  <conditionalFormatting sqref="Q5457:Q5458">
    <cfRule type="expression" dxfId="0" priority="1816">
      <formula>(#REF!&lt;&gt;"")*(#REF!&lt;&gt;"")</formula>
    </cfRule>
  </conditionalFormatting>
  <conditionalFormatting sqref="Q5489:Q5490">
    <cfRule type="expression" dxfId="0" priority="1128">
      <formula>(#REF!&lt;&gt;"")*(#REF!&lt;&gt;"")</formula>
    </cfRule>
    <cfRule type="expression" dxfId="1" priority="1129">
      <formula>(#REF!&lt;&gt;"")*(#REF!&lt;&gt;"")</formula>
    </cfRule>
    <cfRule type="expression" dxfId="0" priority="1127">
      <formula>(#REF!&lt;&gt;"")*(#REF!&lt;&gt;"")</formula>
    </cfRule>
  </conditionalFormatting>
  <conditionalFormatting sqref="Q5755:Q5757">
    <cfRule type="expression" dxfId="0" priority="1169">
      <formula>(#REF!&lt;&gt;"")*(#REF!&lt;&gt;"")</formula>
    </cfRule>
    <cfRule type="expression" dxfId="0" priority="1168">
      <formula>(#REF!&lt;&gt;"")*(#REF!&lt;&gt;"")</formula>
    </cfRule>
    <cfRule type="expression" dxfId="1" priority="1170">
      <formula>(#REF!&lt;&gt;"")*(#REF!&lt;&gt;"")</formula>
    </cfRule>
  </conditionalFormatting>
  <conditionalFormatting sqref="Q6702:Q6705">
    <cfRule type="expression" dxfId="1" priority="554">
      <formula>(#REF!&lt;&gt;"")*(#REF!&lt;&gt;"")</formula>
    </cfRule>
    <cfRule type="expression" dxfId="0" priority="553">
      <formula>(#REF!&lt;&gt;"")*(#REF!&lt;&gt;"")</formula>
    </cfRule>
  </conditionalFormatting>
  <conditionalFormatting sqref="R1599:R1600">
    <cfRule type="expression" dxfId="0" priority="3888">
      <formula>(#REF!&lt;&gt;"")*(#REF!&lt;&gt;"")</formula>
    </cfRule>
  </conditionalFormatting>
  <conditionalFormatting sqref="R4743:R4745">
    <cfRule type="expression" dxfId="0" priority="1526">
      <formula>(#REF!&lt;&gt;"")*(#REF!&lt;&gt;"")</formula>
    </cfRule>
  </conditionalFormatting>
  <conditionalFormatting sqref="R5389:R5390">
    <cfRule type="expression" dxfId="0" priority="1844">
      <formula>(#REF!&lt;&gt;"")*(#REF!&lt;&gt;"")</formula>
    </cfRule>
  </conditionalFormatting>
  <conditionalFormatting sqref="R5457:R5458">
    <cfRule type="expression" dxfId="0" priority="1815">
      <formula>(#REF!&lt;&gt;"")*(#REF!&lt;&gt;"")</formula>
    </cfRule>
  </conditionalFormatting>
  <conditionalFormatting sqref="R5489:R5490">
    <cfRule type="expression" dxfId="0" priority="1126">
      <formula>(#REF!&lt;&gt;"")*(#REF!&lt;&gt;"")</formula>
    </cfRule>
  </conditionalFormatting>
  <conditionalFormatting sqref="R5528:R5529">
    <cfRule type="expression" dxfId="0" priority="1705">
      <formula>(#REF!&lt;&gt;"")*(#REF!&lt;&gt;"")</formula>
    </cfRule>
  </conditionalFormatting>
  <conditionalFormatting sqref="R5755:R5757">
    <cfRule type="expression" dxfId="0" priority="1070">
      <formula>(#REF!&lt;&gt;"")*(#REF!&lt;&gt;"")</formula>
    </cfRule>
  </conditionalFormatting>
  <conditionalFormatting sqref="R6116:R6119">
    <cfRule type="expression" dxfId="0" priority="1685">
      <formula>(#REF!&lt;&gt;"")*(#REF!&lt;&gt;"")</formula>
    </cfRule>
  </conditionalFormatting>
  <conditionalFormatting sqref="R6648:R6649">
    <cfRule type="expression" dxfId="0" priority="185">
      <formula>(#REF!&lt;&gt;"")*(R$1&lt;&gt;"")</formula>
    </cfRule>
  </conditionalFormatting>
  <conditionalFormatting sqref="T801:T802">
    <cfRule type="expression" dxfId="0" priority="4204">
      <formula>(#REF!&lt;&gt;"")*(#REF!&lt;&gt;"")</formula>
    </cfRule>
  </conditionalFormatting>
  <conditionalFormatting sqref="T1598:T1600">
    <cfRule type="expression" dxfId="0" priority="3905">
      <formula>(#REF!&lt;&gt;"")*(#REF!&lt;&gt;"")</formula>
    </cfRule>
  </conditionalFormatting>
  <conditionalFormatting sqref="T3150:T3156">
    <cfRule type="duplicateValues" dxfId="5" priority="3417"/>
  </conditionalFormatting>
  <conditionalFormatting sqref="T3157:T3160">
    <cfRule type="duplicateValues" dxfId="5" priority="3186"/>
  </conditionalFormatting>
  <conditionalFormatting sqref="T4497:T4498">
    <cfRule type="expression" dxfId="3" priority="3412">
      <formula>(#REF!&lt;&gt;"")*(#REF!&lt;&gt;"")</formula>
    </cfRule>
  </conditionalFormatting>
  <conditionalFormatting sqref="T4535:T4536">
    <cfRule type="expression" dxfId="0" priority="2643">
      <formula>(#REF!&lt;&gt;"")*(#REF!&lt;&gt;"")</formula>
    </cfRule>
  </conditionalFormatting>
  <conditionalFormatting sqref="T4714:T4715">
    <cfRule type="expression" dxfId="0" priority="2768">
      <formula>(#REF!&lt;&gt;"")*(#REF!&lt;&gt;"")</formula>
    </cfRule>
  </conditionalFormatting>
  <conditionalFormatting sqref="T4734:T4735">
    <cfRule type="expression" dxfId="0" priority="2990">
      <formula>(#REF!&lt;&gt;"")*(#REF!&lt;&gt;"")</formula>
    </cfRule>
  </conditionalFormatting>
  <conditionalFormatting sqref="T4737:T4741">
    <cfRule type="expression" dxfId="0" priority="2939">
      <formula>(#REF!&lt;&gt;"")*(#REF!&lt;&gt;"")</formula>
    </cfRule>
  </conditionalFormatting>
  <conditionalFormatting sqref="T4743:T4745">
    <cfRule type="expression" dxfId="0" priority="1538">
      <formula>(#REF!&lt;&gt;"")*(#REF!&lt;&gt;"")</formula>
    </cfRule>
  </conditionalFormatting>
  <conditionalFormatting sqref="T4822:T4825">
    <cfRule type="expression" dxfId="0" priority="2194">
      <formula>(#REF!&lt;&gt;"")*(#REF!&lt;&gt;"")</formula>
    </cfRule>
  </conditionalFormatting>
  <conditionalFormatting sqref="T4837:T4838">
    <cfRule type="expression" dxfId="0" priority="2131">
      <formula>(#REF!&lt;&gt;"")*(#REF!&lt;&gt;"")</formula>
    </cfRule>
  </conditionalFormatting>
  <conditionalFormatting sqref="T4842:T4850">
    <cfRule type="expression" dxfId="0" priority="2085">
      <formula>(#REF!&lt;&gt;"")*(#REF!&lt;&gt;"")</formula>
    </cfRule>
  </conditionalFormatting>
  <conditionalFormatting sqref="T4902:T4906">
    <cfRule type="expression" dxfId="0" priority="736">
      <formula>(#REF!&lt;&gt;"")*(#REF!&lt;&gt;"")</formula>
    </cfRule>
  </conditionalFormatting>
  <conditionalFormatting sqref="T4965:T4966">
    <cfRule type="expression" dxfId="0" priority="2757">
      <formula>(#REF!&lt;&gt;"")*(#REF!&lt;&gt;"")</formula>
    </cfRule>
  </conditionalFormatting>
  <conditionalFormatting sqref="T5056:T5066">
    <cfRule type="expression" dxfId="0" priority="2565">
      <formula>(#REF!&lt;&gt;"")*(#REF!&lt;&gt;"")</formula>
    </cfRule>
  </conditionalFormatting>
  <conditionalFormatting sqref="T5193:T5194">
    <cfRule type="expression" dxfId="0" priority="2989">
      <formula>(#REF!&lt;&gt;"")*(#REF!&lt;&gt;"")</formula>
    </cfRule>
  </conditionalFormatting>
  <conditionalFormatting sqref="T5329:T5331">
    <cfRule type="expression" dxfId="0" priority="1922">
      <formula>(#REF!&lt;&gt;"")*(Y$1&lt;&gt;"")</formula>
    </cfRule>
  </conditionalFormatting>
  <conditionalFormatting sqref="T5403:T5404">
    <cfRule type="expression" dxfId="0" priority="1863">
      <formula>(#REF!&lt;&gt;"")*(#REF!&lt;&gt;"")</formula>
    </cfRule>
  </conditionalFormatting>
  <conditionalFormatting sqref="T5405:T5406">
    <cfRule type="expression" dxfId="0" priority="1861">
      <formula>(#REF!&lt;&gt;"")*(#REF!&lt;&gt;"")</formula>
    </cfRule>
  </conditionalFormatting>
  <conditionalFormatting sqref="T5465:T5466">
    <cfRule type="expression" dxfId="0" priority="1812">
      <formula>(#REF!&lt;&gt;"")*(#REF!&lt;&gt;"")</formula>
    </cfRule>
  </conditionalFormatting>
  <conditionalFormatting sqref="T5477:T5478">
    <cfRule type="expression" dxfId="0" priority="1755">
      <formula>(#REF!&lt;&gt;"")*(#REF!&lt;&gt;"")</formula>
    </cfRule>
  </conditionalFormatting>
  <conditionalFormatting sqref="T5528:T5529">
    <cfRule type="expression" dxfId="0" priority="1709">
      <formula>(#REF!&lt;&gt;"")*(#REF!&lt;&gt;"")</formula>
    </cfRule>
  </conditionalFormatting>
  <conditionalFormatting sqref="T5770:T5776">
    <cfRule type="expression" dxfId="0" priority="1699">
      <formula>(#REF!&lt;&gt;"")*(#REF!&lt;&gt;"")</formula>
    </cfRule>
  </conditionalFormatting>
  <conditionalFormatting sqref="T5898:T5900">
    <cfRule type="expression" dxfId="0" priority="657">
      <formula>(#REF!&lt;&gt;"")*(#REF!&lt;&gt;"")</formula>
    </cfRule>
  </conditionalFormatting>
  <conditionalFormatting sqref="T5901:T5903">
    <cfRule type="expression" dxfId="0" priority="633">
      <formula>(#REF!&lt;&gt;"")*(#REF!&lt;&gt;"")</formula>
    </cfRule>
  </conditionalFormatting>
  <conditionalFormatting sqref="T5904:T5905">
    <cfRule type="expression" dxfId="0" priority="609">
      <formula>(#REF!&lt;&gt;"")*(#REF!&lt;&gt;"")</formula>
    </cfRule>
  </conditionalFormatting>
  <conditionalFormatting sqref="T5919:T5920">
    <cfRule type="expression" dxfId="0" priority="1316">
      <formula>(#REF!&lt;&gt;"")*(#REF!&lt;&gt;"")</formula>
    </cfRule>
  </conditionalFormatting>
  <conditionalFormatting sqref="T6116:T6126">
    <cfRule type="expression" dxfId="0" priority="1477">
      <formula>(#REF!&lt;&gt;"")*(#REF!&lt;&gt;"")</formula>
    </cfRule>
  </conditionalFormatting>
  <conditionalFormatting sqref="T6714:T6715">
    <cfRule type="expression" dxfId="0" priority="559">
      <formula>(#REF!&lt;&gt;"")*(#REF!&lt;&gt;"")</formula>
    </cfRule>
  </conditionalFormatting>
  <conditionalFormatting sqref="U5329:U5331">
    <cfRule type="expression" dxfId="0" priority="1702">
      <formula>(#REF!&lt;&gt;"")*(X$1&lt;&gt;"")</formula>
    </cfRule>
  </conditionalFormatting>
  <conditionalFormatting sqref="U5918:U5920">
    <cfRule type="expression" dxfId="1" priority="1691">
      <formula>(#REF!&lt;&gt;"")*(W$1&lt;&gt;"")</formula>
    </cfRule>
  </conditionalFormatting>
  <conditionalFormatting sqref="U6707:U6708">
    <cfRule type="expression" dxfId="0" priority="557">
      <formula>(#REF!&lt;&gt;"")*(#REF!&lt;&gt;"")</formula>
    </cfRule>
  </conditionalFormatting>
  <conditionalFormatting sqref="X6765:X6766">
    <cfRule type="expression" dxfId="0" priority="237">
      <formula>(#REF!&lt;&gt;"")*(X$1&lt;&gt;"")</formula>
    </cfRule>
  </conditionalFormatting>
  <conditionalFormatting sqref="Y6391:Y6396">
    <cfRule type="expression" dxfId="1" priority="222">
      <formula>(#REF!&lt;&gt;"")*(#REF!&lt;&gt;"")</formula>
    </cfRule>
  </conditionalFormatting>
  <conditionalFormatting sqref="Y6397:Y6398">
    <cfRule type="expression" dxfId="1" priority="218">
      <formula>(#REF!&lt;&gt;"")*(#REF!&lt;&gt;"")</formula>
    </cfRule>
  </conditionalFormatting>
  <conditionalFormatting sqref="Y6399:Y6405">
    <cfRule type="expression" dxfId="1" priority="221">
      <formula>(#REF!&lt;&gt;"")*(#REF!&lt;&gt;"")</formula>
    </cfRule>
  </conditionalFormatting>
  <conditionalFormatting sqref="Y6406:Y6411">
    <cfRule type="expression" dxfId="1" priority="217">
      <formula>(#REF!&lt;&gt;"")*(#REF!&lt;&gt;"")</formula>
    </cfRule>
  </conditionalFormatting>
  <conditionalFormatting sqref="Y6412:Y6414">
    <cfRule type="expression" dxfId="1" priority="220">
      <formula>(#REF!&lt;&gt;"")*(#REF!&lt;&gt;"")</formula>
    </cfRule>
  </conditionalFormatting>
  <conditionalFormatting sqref="Y6423:Y6424">
    <cfRule type="expression" dxfId="1" priority="219">
      <formula>(#REF!&lt;&gt;"")*(#REF!&lt;&gt;"")</formula>
    </cfRule>
  </conditionalFormatting>
  <conditionalFormatting sqref="Y6699:Y6700">
    <cfRule type="expression" dxfId="1" priority="215">
      <formula>(#REF!&lt;&gt;"")*(#REF!&lt;&gt;"")</formula>
    </cfRule>
  </conditionalFormatting>
  <conditionalFormatting sqref="M2:M3 M6:M13">
    <cfRule type="expression" dxfId="0" priority="4513">
      <formula>(#REF!&lt;&gt;"")*(#REF!&lt;&gt;"")</formula>
    </cfRule>
  </conditionalFormatting>
  <conditionalFormatting sqref="M824:M825 M829 Q1322 T121:T125 U121:U129 Q123:Q129 K123:K125 E123:F127 A123:A127 Q1326:Q1329 M1314 Q1314:R1314 Q1019 M1176:M1179 M1478:M1481 M1266:M1288 Q1265 M1222:M1230 M1154:M1155 M1039:M1040 M1634:M1635 M1649:M1650 M1637 M1333:M1341 M1310 Q1310 M1306:M1308 P1301:Q1301 M1298:M1301 A1290:A1292 C1290:C1291 E1290:H1290 M4:M5 M1586 M1290:R1290 M123:O125 T983:T990 T1147 T977 T979 T981 T1133 T1139:T1140 T1135 T1137 T1142:T1145 T1157 T1155 T1290:T1297 T1436:T1437 T1439 T1603:T1605 T1594 T1596 T1613:T1615 T1623 T1995:T1996 T1958:T1959 T1961 T1954 T1972:T1979 Q1760 M1544:M1550 Q1436:Q1437 E1436:H1437 M1436:O1437 M1435 M1429:M1432 Q859:Q860 Q446 M446 M2153 V1961:W1961 T1000:T1003 J1436:K1437 J1290:K1290">
    <cfRule type="expression" dxfId="0" priority="4509">
      <formula>(#REF!&lt;&gt;"")*(#REF!&lt;&gt;"")</formula>
    </cfRule>
  </conditionalFormatting>
  <conditionalFormatting sqref="N991:Q993 A979 M809 T809:U809 A981 Q1148:Q1150 M1148:M1149 P1148:P1149 Q1139 E1139:G1139 A1010 C1010 E1010:G1010 A983 C983 E983:G983 M979 K801 U801:U802 Q801 M800:M801 A1139:A1143 E986:G992 Q986:R988 C986:C992 A986:A994 E1015:H1015 J1010:K1010 A996 A998:A1000 A1015 Q1015 A1145 J983:K983 J986:K992 Q1631 A1147 C1147 Q855 M1139:O1139 M983:R983 M986:O988 M1010:R1010 M1015:O1015 J1139:K1139 T991:T994 T996:T999 T1010:T1013 M32:M36 Q32:Q36 Q30 M30 Q2036:Q2039 Q2041:Q2044 Q857:Q858 Q2093 Q2083:Q2086 T1004:T1006 M2159:M2161 T1994:U1994 J1015:K1015">
    <cfRule type="expression" dxfId="0" priority="4510">
      <formula>(#REF!&lt;&gt;"")*(#REF!&lt;&gt;"")</formula>
    </cfRule>
  </conditionalFormatting>
  <conditionalFormatting sqref="Q31 M31">
    <cfRule type="expression" dxfId="0" priority="3643">
      <formula>(#REF!&lt;&gt;"")*(#REF!&lt;&gt;"")</formula>
    </cfRule>
  </conditionalFormatting>
  <conditionalFormatting sqref="Q37 M37">
    <cfRule type="expression" dxfId="0" priority="3782">
      <formula>(#REF!&lt;&gt;"")*(#REF!&lt;&gt;"")</formula>
    </cfRule>
  </conditionalFormatting>
  <conditionalFormatting sqref="Q38 M38">
    <cfRule type="expression" dxfId="0" priority="4203">
      <formula>(#REF!&lt;&gt;"")*(#REF!&lt;&gt;"")</formula>
    </cfRule>
  </conditionalFormatting>
  <conditionalFormatting sqref="Q39 M39">
    <cfRule type="expression" dxfId="0" priority="4201">
      <formula>(#REF!&lt;&gt;"")*(#REF!&lt;&gt;"")</formula>
    </cfRule>
  </conditionalFormatting>
  <conditionalFormatting sqref="C1006:C1007 M1006:R1007 T1007 M888:M894 M870:M883 M474:M477 M944:M962 P1017:Q1018 M1001:O1005 E1001:H1001 A1001:A1007 Q1001:Q1005 P1001:P1004 R1001:R1004 C1001:C1004 M914:M941 M899 A1436:A1439 M726 M758:M778 Q1016 M1016:M1018 M40:M43 Q40:Q43 M901:M906 E1002:G1007 Q842:Q850 M728:M732 Q852 Q854 M745:M748 M734:M743 M750:M756 H1006:H1011 J1001:K1007">
    <cfRule type="expression" dxfId="0" priority="4511">
      <formula>(#REF!&lt;&gt;"")*(#REF!&lt;&gt;"")</formula>
    </cfRule>
  </conditionalFormatting>
  <conditionalFormatting sqref="O87:P88 P92:Q96">
    <cfRule type="expression" dxfId="1" priority="4504">
      <formula>(#REF!&lt;&gt;"")*(O$1&lt;&gt;"")</formula>
    </cfRule>
  </conditionalFormatting>
  <conditionalFormatting sqref="E845:G845 M845 J845:K845 A845 O845:P845 A803 J803:K803 M803 E803:G803 J455 P91 O842:P842 J842:K842 E842:G842 M842 A842 O804:R807 O834:P834 J834:K834 E834:G834 M834 A834 O803:P803 R803">
    <cfRule type="expression" dxfId="1" priority="4505">
      <formula>(#REF!&lt;&gt;"")*(A$1&lt;&gt;"")</formula>
    </cfRule>
  </conditionalFormatting>
  <conditionalFormatting sqref="P103:Q103 P115:Q116 Q834 P119:Q119 Q1242:Q1247 Q1631 P2131:Q2132">
    <cfRule type="expression" dxfId="1" priority="4503">
      <formula>(#REF!&lt;&gt;"")*(#REF!&lt;&gt;"")</formula>
    </cfRule>
  </conditionalFormatting>
  <conditionalFormatting sqref="P105:Q105 P110:Q110 P114:Q114">
    <cfRule type="expression" dxfId="1" priority="4496">
      <formula>(#REF!&lt;&gt;"")*(#REF!&lt;&gt;"")</formula>
    </cfRule>
  </conditionalFormatting>
  <conditionalFormatting sqref="M452 M457:M469 M399 Q399 N128:O129 T399:U399 M454 M471:M472 A121 E121:F121 K121 Q121 K126:K127 O126 T127:T129 M126 M127:O127 M121:O121 Q435:Q441">
    <cfRule type="expression" dxfId="0" priority="4508">
      <formula>(#REF!&lt;&gt;"")*(#REF!&lt;&gt;"")</formula>
    </cfRule>
  </conditionalFormatting>
  <conditionalFormatting sqref="P399:Q399 P991:Q994 P121:Q121 P538:Q538 P123:Q129 P1010:Q1010 P983:Q983 P527:Q528 Q1314 P1139:Q1143 P986:Q988 Q1019 P996:Q996 P1017:Q1018 P1015:Q1015 P1145:Q1145 Q1310 P1301:Q1301 P1290:Q1292 P1147:Q1150 P185:Q185 Q1760 P1436:Q1439 J1016 Q1016 P1752:P1754 P263:Q265 P998:Q1007 Q842:Q850 Q857:Q858 Q852 Q854:Q855 V1961:W1961">
    <cfRule type="expression" dxfId="1" priority="4507">
      <formula>(#REF!&lt;&gt;"")*(#REF!&lt;&gt;"")</formula>
    </cfRule>
  </conditionalFormatting>
  <conditionalFormatting sqref="A122 E122:F122 K122 O122 M122">
    <cfRule type="expression" dxfId="0" priority="4088">
      <formula>(#REF!&lt;&gt;"")*(#REF!&lt;&gt;"")</formula>
    </cfRule>
  </conditionalFormatting>
  <conditionalFormatting sqref="P186:Q190">
    <cfRule type="expression" dxfId="1" priority="4495">
      <formula>(#REF!&lt;&gt;"")*(#REF!&lt;&gt;"")</formula>
    </cfRule>
  </conditionalFormatting>
  <conditionalFormatting sqref="J452 J457:J469 O401 A809 J809 M809 E809:G809 O809:R809 J454 J471:J472 J474:J477 O801:P801 A801 J801:K801 E801:G801 A1242:A1247 M1242:M1247 E1242:G1247 J1242:K1247 O1242:P1247 J1222:J1230 A1631 M1631 E1631:G1631 J1468:J1473 A1760 J1760 M1760 E1760:G1760 J726 J758:J778 J1752:J1754 M1750:M1755 O1716:P1718 J1716:K1716 E1716:G1717 J1572 J601:J609 J263:J265 J1574:J1576 J1578:J1579 M1739:M1744 J728:J732 M1716:M1736 J2153 J745:J748 J734:J743 J750:J756 M1746 J2187:J2189 J613:J641">
    <cfRule type="expression" dxfId="1" priority="4506">
      <formula>(#REF!&lt;&gt;"")*(A$1&lt;&gt;"")</formula>
    </cfRule>
  </conditionalFormatting>
  <conditionalFormatting sqref="P532:Q535">
    <cfRule type="expression" dxfId="1" priority="4459">
      <formula>(#REF!&lt;&gt;"")*(#REF!&lt;&gt;"")</formula>
    </cfRule>
  </conditionalFormatting>
  <conditionalFormatting sqref="P540:Q546">
    <cfRule type="expression" dxfId="1" priority="4466">
      <formula>(#REF!&lt;&gt;"")*(#REF!&lt;&gt;"")</formula>
    </cfRule>
  </conditionalFormatting>
  <conditionalFormatting sqref="P547:Q552">
    <cfRule type="expression" dxfId="1" priority="4465">
      <formula>(#REF!&lt;&gt;"")*(#REF!&lt;&gt;"")</formula>
    </cfRule>
  </conditionalFormatting>
  <conditionalFormatting sqref="O792:R792 C791 A791 C786:C789 A786:A789 E786:H791 A781:A784 C781:C784 E779:H784 C779 A779 E1322:F1322 E1326:F1329 A1101:A1103 C1101:C1103 H1238:H1247 C1234:C1237 A1234:A1237 E1234:H1237 J1102:K1103 H1631 M1102:Q1102 M1234:R1237 M1103:R1103 M779:R784 M786:R791 H795:H797 H656 H799:H801 H803:H816 H819:H834 H841 H1394:H1428 H1433 J1234:K1237 J779:K784 J786:K791">
    <cfRule type="expression" dxfId="0" priority="4446">
      <formula>(#REF!&lt;&gt;"")*(A$1&lt;&gt;"")</formula>
    </cfRule>
  </conditionalFormatting>
  <conditionalFormatting sqref="K719:K720 Q719:Q720 A719:A720 E719:F720 T719:U720 M719:N720">
    <cfRule type="expression" dxfId="0" priority="4449">
      <formula>(#REF!&lt;&gt;"")*(#REF!&lt;&gt;"")</formula>
    </cfRule>
  </conditionalFormatting>
  <conditionalFormatting sqref="P719:Q720">
    <cfRule type="expression" dxfId="1" priority="4448">
      <formula>(#REF!&lt;&gt;"")*(#REF!&lt;&gt;"")</formula>
    </cfRule>
  </conditionalFormatting>
  <conditionalFormatting sqref="M803 H723:H724">
    <cfRule type="expression" dxfId="0" priority="4451">
      <formula>(#REF!&lt;&gt;"")*(#REF!&lt;&gt;"")</formula>
    </cfRule>
  </conditionalFormatting>
  <conditionalFormatting sqref="O723 J725">
    <cfRule type="expression" dxfId="1" priority="4453">
      <formula>(#REF!&lt;&gt;"")*(J$1&lt;&gt;"")</formula>
    </cfRule>
  </conditionalFormatting>
  <conditionalFormatting sqref="M723 Q723 K803">
    <cfRule type="expression" dxfId="0" priority="4450">
      <formula>(#REF!&lt;&gt;"")*(#REF!&lt;&gt;"")</formula>
    </cfRule>
  </conditionalFormatting>
  <conditionalFormatting sqref="Q724 M724:M725 K842 M842 U803 M965:M966 K834 Q834 M808 M912 M896 M1322 P1322:Q1322 H1322 H1326:H1329 P1326:Q1329 M1326:M1329 M862:M868 M827:M834 M2036:M2039 M2041:M2044 Q2122:Q2123 M2093 M2083:M2086 M1398:M1399 M2187:M2189">
    <cfRule type="expression" dxfId="0" priority="4454">
      <formula>(#REF!&lt;&gt;"")*(#REF!&lt;&gt;"")</formula>
    </cfRule>
  </conditionalFormatting>
  <conditionalFormatting sqref="A780 C780">
    <cfRule type="expression" dxfId="0" priority="4445">
      <formula>(#REF!&lt;&gt;"")*(A$1&lt;&gt;"")</formula>
    </cfRule>
  </conditionalFormatting>
  <conditionalFormatting sqref="A785 C785 E785:H785 M785:Q785 J785:K785">
    <cfRule type="expression" dxfId="0" priority="4396">
      <formula>(#REF!&lt;&gt;"")*(A$1&lt;&gt;"")</formula>
    </cfRule>
  </conditionalFormatting>
  <conditionalFormatting sqref="A790 C790">
    <cfRule type="expression" dxfId="0" priority="4444">
      <formula>(#REF!&lt;&gt;"")*(A$1&lt;&gt;"")</formula>
    </cfRule>
  </conditionalFormatting>
  <conditionalFormatting sqref="E792:G792 C792 A792 J792:K792 M792">
    <cfRule type="expression" dxfId="0" priority="4388">
      <formula>(#REF!&lt;&gt;"")*(A$1&lt;&gt;"")</formula>
    </cfRule>
  </conditionalFormatting>
  <conditionalFormatting sqref="E793:G793 C793 A793 J793:K793 M793">
    <cfRule type="expression" dxfId="0" priority="3630">
      <formula>(#REF!&lt;&gt;"")*(A$1&lt;&gt;"")</formula>
    </cfRule>
  </conditionalFormatting>
  <conditionalFormatting sqref="E794:G794 C794 A794 J794:K794 M794">
    <cfRule type="expression" dxfId="0" priority="3597">
      <formula>(#REF!&lt;&gt;"")*(A$1&lt;&gt;"")</formula>
    </cfRule>
  </conditionalFormatting>
  <conditionalFormatting sqref="Q799:Q800 M799 M810">
    <cfRule type="expression" dxfId="0" priority="4443">
      <formula>(#REF!&lt;&gt;"")*(#REF!&lt;&gt;"")</formula>
    </cfRule>
  </conditionalFormatting>
  <conditionalFormatting sqref="O802:P802 A802 J802:K802 E802:G802">
    <cfRule type="expression" dxfId="1" priority="3590">
      <formula>(#REF!&lt;&gt;"")*(A$1&lt;&gt;"")</formula>
    </cfRule>
  </conditionalFormatting>
  <conditionalFormatting sqref="K802 Q802 M802">
    <cfRule type="expression" dxfId="0" priority="3591">
      <formula>(#REF!&lt;&gt;"")*(#REF!&lt;&gt;"")</formula>
    </cfRule>
  </conditionalFormatting>
  <conditionalFormatting sqref="A804 J804:K804 M804 E804:G804 E806:G806 M806 J806 A806 K805:K816 K819">
    <cfRule type="expression" dxfId="1" priority="4436">
      <formula>(#REF!&lt;&gt;"")*(A$1&lt;&gt;"")</formula>
    </cfRule>
  </conditionalFormatting>
  <conditionalFormatting sqref="T804 M804 U804:U807 M806 T806 K804:K816 K819">
    <cfRule type="expression" dxfId="0" priority="4435">
      <formula>(#REF!&lt;&gt;"")*(#REF!&lt;&gt;"")</formula>
    </cfRule>
  </conditionalFormatting>
  <conditionalFormatting sqref="A805 J805 M805 E805:G805">
    <cfRule type="expression" dxfId="1" priority="4395">
      <formula>(#REF!&lt;&gt;"")*(A$1&lt;&gt;"")</formula>
    </cfRule>
  </conditionalFormatting>
  <conditionalFormatting sqref="T805 M805">
    <cfRule type="expression" dxfId="0" priority="4394">
      <formula>(#REF!&lt;&gt;"")*(#REF!&lt;&gt;"")</formula>
    </cfRule>
  </conditionalFormatting>
  <conditionalFormatting sqref="E807:G807 M807 J807 A807">
    <cfRule type="expression" dxfId="1" priority="4393">
      <formula>(#REF!&lt;&gt;"")*(A$1&lt;&gt;"")</formula>
    </cfRule>
  </conditionalFormatting>
  <conditionalFormatting sqref="M807 T807">
    <cfRule type="expression" dxfId="0" priority="4392">
      <formula>(#REF!&lt;&gt;"")*(#REF!&lt;&gt;"")</formula>
    </cfRule>
  </conditionalFormatting>
  <conditionalFormatting sqref="J834:K834 A834 E834:G834">
    <cfRule type="expression" dxfId="1" priority="4414">
      <formula>(#REF!&lt;&gt;"")*(A$1&lt;&gt;"")</formula>
    </cfRule>
  </conditionalFormatting>
  <conditionalFormatting sqref="Q834 K834">
    <cfRule type="expression" dxfId="0" priority="4412">
      <formula>(#REF!&lt;&gt;"")*(#REF!&lt;&gt;"")</formula>
    </cfRule>
  </conditionalFormatting>
  <conditionalFormatting sqref="J835:K835 E835:G835 M835 A835">
    <cfRule type="expression" dxfId="1" priority="3579">
      <formula>(#REF!&lt;&gt;"")*(A$1&lt;&gt;"")</formula>
    </cfRule>
  </conditionalFormatting>
  <conditionalFormatting sqref="J835:K835 A835 E835:G835">
    <cfRule type="expression" dxfId="1" priority="3575">
      <formula>(#REF!&lt;&gt;"")*(A$1&lt;&gt;"")</formula>
    </cfRule>
  </conditionalFormatting>
  <conditionalFormatting sqref="K835 Q835 M835">
    <cfRule type="expression" dxfId="0" priority="3577">
      <formula>(#REF!&lt;&gt;"")*(#REF!&lt;&gt;"")</formula>
    </cfRule>
  </conditionalFormatting>
  <conditionalFormatting sqref="Q835 K835">
    <cfRule type="expression" dxfId="0" priority="3573">
      <formula>(#REF!&lt;&gt;"")*(#REF!&lt;&gt;"")</formula>
    </cfRule>
  </conditionalFormatting>
  <conditionalFormatting sqref="J836:K836 E836:G836 M836 A836">
    <cfRule type="expression" dxfId="1" priority="3570">
      <formula>(#REF!&lt;&gt;"")*(A$1&lt;&gt;"")</formula>
    </cfRule>
  </conditionalFormatting>
  <conditionalFormatting sqref="J836:K836 A836 E836:G836">
    <cfRule type="expression" dxfId="1" priority="3567">
      <formula>(#REF!&lt;&gt;"")*(A$1&lt;&gt;"")</formula>
    </cfRule>
  </conditionalFormatting>
  <conditionalFormatting sqref="K836 M836">
    <cfRule type="expression" dxfId="0" priority="3569">
      <formula>(#REF!&lt;&gt;"")*(#REF!&lt;&gt;"")</formula>
    </cfRule>
  </conditionalFormatting>
  <conditionalFormatting sqref="J837:K837 E837:G837 M837 A837">
    <cfRule type="expression" dxfId="1" priority="3563">
      <formula>(#REF!&lt;&gt;"")*(A$1&lt;&gt;"")</formula>
    </cfRule>
  </conditionalFormatting>
  <conditionalFormatting sqref="J837:K837 A837 E837:G837">
    <cfRule type="expression" dxfId="1" priority="3560">
      <formula>(#REF!&lt;&gt;"")*(A$1&lt;&gt;"")</formula>
    </cfRule>
  </conditionalFormatting>
  <conditionalFormatting sqref="K837 M837">
    <cfRule type="expression" dxfId="0" priority="3562">
      <formula>(#REF!&lt;&gt;"")*(#REF!&lt;&gt;"")</formula>
    </cfRule>
  </conditionalFormatting>
  <conditionalFormatting sqref="J838:K838 E838:G838 M838 A838">
    <cfRule type="expression" dxfId="1" priority="3523">
      <formula>(#REF!&lt;&gt;"")*(A$1&lt;&gt;"")</formula>
    </cfRule>
  </conditionalFormatting>
  <conditionalFormatting sqref="J838:K838 A838 E838:G838">
    <cfRule type="expression" dxfId="1" priority="3520">
      <formula>(#REF!&lt;&gt;"")*(A$1&lt;&gt;"")</formula>
    </cfRule>
  </conditionalFormatting>
  <conditionalFormatting sqref="K838 M838">
    <cfRule type="expression" dxfId="0" priority="3522">
      <formula>(#REF!&lt;&gt;"")*(#REF!&lt;&gt;"")</formula>
    </cfRule>
  </conditionalFormatting>
  <conditionalFormatting sqref="J839 E839:G839 M839 A839">
    <cfRule type="expression" dxfId="1" priority="3516">
      <formula>(#REF!&lt;&gt;"")*(A$1&lt;&gt;"")</formula>
    </cfRule>
  </conditionalFormatting>
  <conditionalFormatting sqref="J839 A839 E839:G839">
    <cfRule type="expression" dxfId="1" priority="3513">
      <formula>(#REF!&lt;&gt;"")*(A$1&lt;&gt;"")</formula>
    </cfRule>
  </conditionalFormatting>
  <conditionalFormatting sqref="J840 E840:G840 M840 A840">
    <cfRule type="expression" dxfId="1" priority="3431">
      <formula>(#REF!&lt;&gt;"")*(A$1&lt;&gt;"")</formula>
    </cfRule>
  </conditionalFormatting>
  <conditionalFormatting sqref="J840 A840 E840:G840">
    <cfRule type="expression" dxfId="1" priority="3428">
      <formula>(#REF!&lt;&gt;"")*(A$1&lt;&gt;"")</formula>
    </cfRule>
  </conditionalFormatting>
  <conditionalFormatting sqref="A841 M841 E841:G841 J841:K841 O841:P841">
    <cfRule type="expression" dxfId="1" priority="4408">
      <formula>(#REF!&lt;&gt;"")*(A$1&lt;&gt;"")</formula>
    </cfRule>
  </conditionalFormatting>
  <conditionalFormatting sqref="K841 A841 E841:F841">
    <cfRule type="expression" dxfId="1" priority="4405">
      <formula>(#REF!&lt;&gt;"")*(A$1&lt;&gt;"")</formula>
    </cfRule>
  </conditionalFormatting>
  <conditionalFormatting sqref="G841 J841">
    <cfRule type="expression" dxfId="1" priority="4399">
      <formula>(#REF!&lt;&gt;"")*(G$1&lt;&gt;"")</formula>
    </cfRule>
  </conditionalFormatting>
  <conditionalFormatting sqref="Q841 M841 K841">
    <cfRule type="expression" dxfId="0" priority="4406">
      <formula>(#REF!&lt;&gt;"")*(#REF!&lt;&gt;"")</formula>
    </cfRule>
  </conditionalFormatting>
  <conditionalFormatting sqref="Q841 K841">
    <cfRule type="expression" dxfId="0" priority="4403">
      <formula>(#REF!&lt;&gt;"")*(#REF!&lt;&gt;"")</formula>
    </cfRule>
  </conditionalFormatting>
  <conditionalFormatting sqref="O843:P844 A843:A844 J843:K844 M843:M844 E843:G844">
    <cfRule type="expression" dxfId="1" priority="4415">
      <formula>(#REF!&lt;&gt;"")*(A$1&lt;&gt;"")</formula>
    </cfRule>
  </conditionalFormatting>
  <conditionalFormatting sqref="M908 M910">
    <cfRule type="expression" dxfId="0" priority="4212">
      <formula>(#REF!&lt;&gt;"")*(#REF!&lt;&gt;"")</formula>
    </cfRule>
  </conditionalFormatting>
  <conditionalFormatting sqref="N987:Q988 R1000 H1015 O1005:Q1005 Q977:Q978 R991:R992 A977:A979 C979 P979:R979 K979 K981 P981:R981 E981:G981 C981 A981 E977:G979 O978 T978 J977:K978 M977:O977 M978">
    <cfRule type="expression" dxfId="0" priority="4376">
      <formula>(#REF!&lt;&gt;"")*(#REF!&lt;&gt;"")</formula>
    </cfRule>
  </conditionalFormatting>
  <conditionalFormatting sqref="P977:Q978">
    <cfRule type="expression" dxfId="1" priority="4377">
      <formula>(#REF!&lt;&gt;"")*(#REF!&lt;&gt;"")</formula>
    </cfRule>
  </conditionalFormatting>
  <conditionalFormatting sqref="M978 N994:O994 E993:G994 Q994 Q996 E996:G996 Q998:Q1000 E998:H1000 J996:K996 J993:K994 M991:M994 M996:O996 M998:O1000 H1002:H1005 J998:K1000">
    <cfRule type="expression" dxfId="0" priority="4375">
      <formula>(#REF!&lt;&gt;"")*(#REF!&lt;&gt;"")</formula>
    </cfRule>
  </conditionalFormatting>
  <conditionalFormatting sqref="Q979 E979:G979 E981:G981 Q981 J981:K981 J979:K979 M979:O979 M981:O981">
    <cfRule type="expression" dxfId="0" priority="4372">
      <formula>(#REF!&lt;&gt;"")*(#REF!&lt;&gt;"")</formula>
    </cfRule>
  </conditionalFormatting>
  <conditionalFormatting sqref="O986 N979:O979 N981:O981">
    <cfRule type="expression" dxfId="0" priority="4369">
      <formula>(#REF!&lt;&gt;"")*(#REF!&lt;&gt;"")</formula>
    </cfRule>
  </conditionalFormatting>
  <conditionalFormatting sqref="P979:Q979 P981:Q981">
    <cfRule type="expression" dxfId="1" priority="4373">
      <formula>(#REF!&lt;&gt;"")*(#REF!&lt;&gt;"")</formula>
    </cfRule>
  </conditionalFormatting>
  <conditionalFormatting sqref="A980 C980 E980:G980 P980:R980 K980">
    <cfRule type="expression" dxfId="0" priority="4133">
      <formula>(#REF!&lt;&gt;"")*(#REF!&lt;&gt;"")</formula>
    </cfRule>
  </conditionalFormatting>
  <conditionalFormatting sqref="Q980 E980:G980 O980 J980:K980 M980">
    <cfRule type="expression" dxfId="0" priority="4130">
      <formula>(#REF!&lt;&gt;"")*(#REF!&lt;&gt;"")</formula>
    </cfRule>
  </conditionalFormatting>
  <conditionalFormatting sqref="T1015 K1015 F1015:H1015 M981 T980 T982 M1015:R1015">
    <cfRule type="expression" dxfId="0" priority="4374">
      <formula>(#REF!&lt;&gt;"")*(#REF!&lt;&gt;"")</formula>
    </cfRule>
  </conditionalFormatting>
  <conditionalFormatting sqref="K982 P982:R982 E982:G982 C982 A982">
    <cfRule type="expression" dxfId="0" priority="4125">
      <formula>(#REF!&lt;&gt;"")*(#REF!&lt;&gt;"")</formula>
    </cfRule>
  </conditionalFormatting>
  <conditionalFormatting sqref="E982:G982 Q982 O982 J982:K982 M982">
    <cfRule type="expression" dxfId="0" priority="4122">
      <formula>(#REF!&lt;&gt;"")*(#REF!&lt;&gt;"")</formula>
    </cfRule>
  </conditionalFormatting>
  <conditionalFormatting sqref="K984 P984:R984 E984:G984 C984 A984">
    <cfRule type="expression" dxfId="0" priority="3995">
      <formula>(#REF!&lt;&gt;"")*(#REF!&lt;&gt;"")</formula>
    </cfRule>
  </conditionalFormatting>
  <conditionalFormatting sqref="E984:G984 Q984 O984 J984:K984 M984">
    <cfRule type="expression" dxfId="0" priority="3992">
      <formula>(#REF!&lt;&gt;"")*(#REF!&lt;&gt;"")</formula>
    </cfRule>
  </conditionalFormatting>
  <conditionalFormatting sqref="A985 C985 E985:G985 O985:R985 J985:K985 M985">
    <cfRule type="expression" dxfId="0" priority="3998">
      <formula>(#REF!&lt;&gt;"")*(#REF!&lt;&gt;"")</formula>
    </cfRule>
  </conditionalFormatting>
  <conditionalFormatting sqref="Q989 M989:N989">
    <cfRule type="expression" dxfId="0" priority="4326">
      <formula>(#REF!&lt;&gt;"")*(#REF!&lt;&gt;"")</formula>
    </cfRule>
  </conditionalFormatting>
  <conditionalFormatting sqref="Q990 M990:O990">
    <cfRule type="expression" dxfId="0" priority="4320">
      <formula>(#REF!&lt;&gt;"")*(#REF!&lt;&gt;"")</formula>
    </cfRule>
  </conditionalFormatting>
  <conditionalFormatting sqref="A1000 C1000 K1000 E1000:H1000 A992 M1000:Q1000">
    <cfRule type="expression" dxfId="0" priority="4371">
      <formula>(#REF!&lt;&gt;"")*(#REF!&lt;&gt;"")</formula>
    </cfRule>
  </conditionalFormatting>
  <conditionalFormatting sqref="C993 A993 G994 E993:G993 G996 G998:G999">
    <cfRule type="expression" dxfId="0" priority="4363">
      <formula>(#REF!&lt;&gt;"")*(#REF!&lt;&gt;"")</formula>
    </cfRule>
  </conditionalFormatting>
  <conditionalFormatting sqref="R993:R994 R996 R998:R999">
    <cfRule type="expression" dxfId="0" priority="4352">
      <formula>(#REF!&lt;&gt;"")*(#REF!&lt;&gt;"")</formula>
    </cfRule>
  </conditionalFormatting>
  <conditionalFormatting sqref="A994 E994:G994">
    <cfRule type="expression" dxfId="0" priority="4364">
      <formula>(#REF!&lt;&gt;"")*(#REF!&lt;&gt;"")</formula>
    </cfRule>
  </conditionalFormatting>
  <conditionalFormatting sqref="N994 N996 N998:O999">
    <cfRule type="expression" dxfId="0" priority="4370">
      <formula>(#REF!&lt;&gt;"")*(#REF!&lt;&gt;"")</formula>
    </cfRule>
  </conditionalFormatting>
  <conditionalFormatting sqref="P998:Q999 Q994 Q996 P1002:P1005">
    <cfRule type="expression" dxfId="0" priority="4368">
      <formula>(#REF!&lt;&gt;"")*(#REF!&lt;&gt;"")</formula>
    </cfRule>
  </conditionalFormatting>
  <conditionalFormatting sqref="T995 A995">
    <cfRule type="expression" dxfId="0" priority="3976">
      <formula>(#REF!&lt;&gt;"")*(#REF!&lt;&gt;"")</formula>
    </cfRule>
  </conditionalFormatting>
  <conditionalFormatting sqref="A995 E995:G995">
    <cfRule type="expression" dxfId="0" priority="3971">
      <formula>(#REF!&lt;&gt;"")*(#REF!&lt;&gt;"")</formula>
    </cfRule>
  </conditionalFormatting>
  <conditionalFormatting sqref="E995:G995 Q995 J995:K995 M995:O995">
    <cfRule type="expression" dxfId="0" priority="3974">
      <formula>(#REF!&lt;&gt;"")*(#REF!&lt;&gt;"")</formula>
    </cfRule>
  </conditionalFormatting>
  <conditionalFormatting sqref="C998 A996 E996:G996 E998:G999 A998:A999">
    <cfRule type="expression" dxfId="0" priority="4361">
      <formula>(#REF!&lt;&gt;"")*(#REF!&lt;&gt;"")</formula>
    </cfRule>
  </conditionalFormatting>
  <conditionalFormatting sqref="A997 E997:G997">
    <cfRule type="expression" dxfId="0" priority="3959">
      <formula>(#REF!&lt;&gt;"")*(#REF!&lt;&gt;"")</formula>
    </cfRule>
  </conditionalFormatting>
  <conditionalFormatting sqref="Q997 E997:H997 M997:O997 J997:K997">
    <cfRule type="expression" dxfId="0" priority="3963">
      <formula>(#REF!&lt;&gt;"")*(#REF!&lt;&gt;"")</formula>
    </cfRule>
  </conditionalFormatting>
  <conditionalFormatting sqref="H999 H1002:H1005">
    <cfRule type="expression" dxfId="0" priority="4360">
      <formula>(#REF!&lt;&gt;"")*(#REF!&lt;&gt;"")</formula>
    </cfRule>
  </conditionalFormatting>
  <conditionalFormatting sqref="K1008 N1008:R1008 E1008:G1008 A1008 C1008">
    <cfRule type="expression" dxfId="0" priority="4314">
      <formula>(#REF!&lt;&gt;"")*(#REF!&lt;&gt;"")</formula>
    </cfRule>
  </conditionalFormatting>
  <conditionalFormatting sqref="E1008:G1008 Q1008 A1008 J1008:K1008 M1008:O1008">
    <cfRule type="expression" dxfId="0" priority="4313">
      <formula>(#REF!&lt;&gt;"")*(#REF!&lt;&gt;"")</formula>
    </cfRule>
  </conditionalFormatting>
  <conditionalFormatting sqref="T1008:T1009 M1008">
    <cfRule type="expression" dxfId="0" priority="4311">
      <formula>(#REF!&lt;&gt;"")*(#REF!&lt;&gt;"")</formula>
    </cfRule>
  </conditionalFormatting>
  <conditionalFormatting sqref="K1009 N1009:R1009 E1009:G1009 A1009 C1009">
    <cfRule type="expression" dxfId="0" priority="3984">
      <formula>(#REF!&lt;&gt;"")*(#REF!&lt;&gt;"")</formula>
    </cfRule>
  </conditionalFormatting>
  <conditionalFormatting sqref="E1009:G1009 Q1009 A1009 J1009:K1009 M1009:O1009">
    <cfRule type="expression" dxfId="0" priority="3983">
      <formula>(#REF!&lt;&gt;"")*(#REF!&lt;&gt;"")</formula>
    </cfRule>
  </conditionalFormatting>
  <conditionalFormatting sqref="A1011 C1011 E1011:G1011 O1011:R1011 J1011:K1011 M1011">
    <cfRule type="expression" dxfId="0" priority="3980">
      <formula>(#REF!&lt;&gt;"")*(#REF!&lt;&gt;"")</formula>
    </cfRule>
  </conditionalFormatting>
  <conditionalFormatting sqref="A1012 C1012 E1012:G1012 O1012:R1012 J1012:K1012 M1012">
    <cfRule type="expression" dxfId="0" priority="3635">
      <formula>(#REF!&lt;&gt;"")*(#REF!&lt;&gt;"")</formula>
    </cfRule>
  </conditionalFormatting>
  <conditionalFormatting sqref="A1013 C1013 E1013:G1013 O1013:Q1013 J1013:K1013 M1013">
    <cfRule type="expression" dxfId="0" priority="3614">
      <formula>(#REF!&lt;&gt;"")*(#REF!&lt;&gt;"")</formula>
    </cfRule>
  </conditionalFormatting>
  <conditionalFormatting sqref="A1014 C1014 E1014:G1014 O1014:Q1014 J1014:K1014 M1014">
    <cfRule type="expression" dxfId="0" priority="3607">
      <formula>(#REF!&lt;&gt;"")*(#REF!&lt;&gt;"")</formula>
    </cfRule>
  </conditionalFormatting>
  <conditionalFormatting sqref="C1015 E1015">
    <cfRule type="expression" dxfId="0" priority="4365">
      <formula>(#REF!&lt;&gt;"")*(#REF!&lt;&gt;"")</formula>
    </cfRule>
  </conditionalFormatting>
  <conditionalFormatting sqref="P1032:Q1032 M1032 P1030:R1030 Q1031 Q1022:Q1029 P1022:P1028 R1022:R1028 P1019 M1019 C1169:C1175 E1169:G1171 A1169:A1175 M1029:M1030 M1171:O1171 M1169:R1170 J1169:K1171 T1169:T1170 T1172:T1175 T1315:T1317 T1442 T1445 T1622 P1450:P1491">
    <cfRule type="expression" dxfId="0" priority="4344">
      <formula>($A1019&lt;&gt;"")*(#REF!&lt;&gt;"")</formula>
    </cfRule>
  </conditionalFormatting>
  <conditionalFormatting sqref="P1019 P1169:Q1170 P1022:Q1032 P1450:P1491">
    <cfRule type="expression" dxfId="1" priority="4345">
      <formula>($A1019&lt;&gt;"")*(#REF!&lt;&gt;"")</formula>
    </cfRule>
  </conditionalFormatting>
  <conditionalFormatting sqref="Q1019 T1171 T1444">
    <cfRule type="expression" dxfId="0" priority="4340">
      <formula>(#REF!&lt;&gt;"")*(#REF!&lt;&gt;"")</formula>
    </cfRule>
  </conditionalFormatting>
  <conditionalFormatting sqref="P1020:Q1021">
    <cfRule type="expression" dxfId="0" priority="4306">
      <formula>($A1020&lt;&gt;"")*(#REF!&lt;&gt;"")</formula>
    </cfRule>
    <cfRule type="expression" dxfId="1" priority="4308">
      <formula>($A1020&lt;&gt;"")*(#REF!&lt;&gt;"")</formula>
    </cfRule>
  </conditionalFormatting>
  <conditionalFormatting sqref="R1032 R1021">
    <cfRule type="expression" dxfId="0" priority="4343">
      <formula>($A1021&lt;&gt;"")*(#REF!&lt;&gt;"")</formula>
    </cfRule>
  </conditionalFormatting>
  <conditionalFormatting sqref="P1033:Q1033 M1033">
    <cfRule type="expression" dxfId="0" priority="3455">
      <formula>($A1033&lt;&gt;"")*(#REF!&lt;&gt;"")</formula>
    </cfRule>
  </conditionalFormatting>
  <conditionalFormatting sqref="P1034:Q1034 M1034">
    <cfRule type="expression" dxfId="0" priority="4118">
      <formula>($A1034&lt;&gt;"")*(#REF!&lt;&gt;"")</formula>
    </cfRule>
  </conditionalFormatting>
  <conditionalFormatting sqref="P1035:R1036 M1035:M1036">
    <cfRule type="expression" dxfId="0" priority="4329">
      <formula>($A1035&lt;&gt;"")*(#REF!&lt;&gt;"")</formula>
    </cfRule>
  </conditionalFormatting>
  <conditionalFormatting sqref="P1035:Q1036">
    <cfRule type="expression" dxfId="1" priority="4331">
      <formula>($A1035&lt;&gt;"")*(#REF!&lt;&gt;"")</formula>
    </cfRule>
  </conditionalFormatting>
  <conditionalFormatting sqref="M1167:M1168 Q1160 M1160 O1158 Q1158 C1145 C1133 A1133 Q1133 E1133:G1133 M1106 U1105 M1100 Q1052:Q1053 T1052:U1053 E1147:G1147 Q1135 A1135 E1135:G1135 C1135 A1137 E1137:G1137 Q1137 C1140:C1141 O1141:R1141 T1134 T1138 T1141 Q1142:Q1143 E1145:G1145 Q1145 E1140:G1143 M1137:O1137 M1140:R1140 M1145:O1145 M1142:O1143 M1135:O1135 M1133:O1133 M1141 M1147:R1147 J1140:K1143 J1145:K1145 J1137:K1137 J1135:K1135 J1147:K1147 J1133:K1133">
    <cfRule type="expression" dxfId="0" priority="4301">
      <formula>(#REF!&lt;&gt;"")*(#REF!&lt;&gt;"")</formula>
    </cfRule>
  </conditionalFormatting>
  <conditionalFormatting sqref="Q1074:Q1075 K1052:K1053 E1052:F1053 A1052:A1053 M1052:N1053">
    <cfRule type="expression" dxfId="0" priority="4299">
      <formula>(#REF!&lt;&gt;"")*(#REF!&lt;&gt;"")</formula>
    </cfRule>
  </conditionalFormatting>
  <conditionalFormatting sqref="J1160 P1133:Q1133 P1052:Q1053 P1135:Q1135 P1137:Q1137">
    <cfRule type="expression" dxfId="1" priority="4298">
      <formula>(#REF!&lt;&gt;"")*(#REF!&lt;&gt;"")</formula>
    </cfRule>
  </conditionalFormatting>
  <conditionalFormatting sqref="P1059:Q1060">
    <cfRule type="expression" dxfId="1" priority="4295">
      <formula>(#REF!&lt;&gt;"")*(#REF!&lt;&gt;"")</formula>
    </cfRule>
  </conditionalFormatting>
  <conditionalFormatting sqref="Q1072 M1072:M1075">
    <cfRule type="expression" dxfId="0" priority="4300">
      <formula>(#REF!&lt;&gt;"")*(#REF!&lt;&gt;"")</formula>
    </cfRule>
  </conditionalFormatting>
  <conditionalFormatting sqref="Q1080 M1080">
    <cfRule type="expression" dxfId="0" priority="4278">
      <formula>(#REF!&lt;&gt;"")*(#REF!&lt;&gt;"")</formula>
    </cfRule>
  </conditionalFormatting>
  <conditionalFormatting sqref="A1122 O1105:R1105 J1100 J1084">
    <cfRule type="expression" dxfId="1" priority="4297">
      <formula>(#REF!&lt;&gt;"")*(A$1&lt;&gt;"")</formula>
    </cfRule>
  </conditionalFormatting>
  <conditionalFormatting sqref="E1101:G1102 M1101:R1101 J1101:K1101">
    <cfRule type="expression" dxfId="0" priority="4290">
      <formula>(#REF!&lt;&gt;"")*(E$1&lt;&gt;"")</formula>
    </cfRule>
  </conditionalFormatting>
  <conditionalFormatting sqref="A1104 E1104:G1104 J1104:K1104 M1104 O1104:Q1104">
    <cfRule type="expression" dxfId="1" priority="4285">
      <formula>(#REF!&lt;&gt;"")*(A$1&lt;&gt;"")</formula>
    </cfRule>
  </conditionalFormatting>
  <conditionalFormatting sqref="A1105 J1105:K1105 M1105 E1105:G1105">
    <cfRule type="expression" dxfId="1" priority="4288">
      <formula>(#REF!&lt;&gt;"")*(A$1&lt;&gt;"")</formula>
    </cfRule>
  </conditionalFormatting>
  <conditionalFormatting sqref="T1105 M1105 K1105">
    <cfRule type="expression" dxfId="0" priority="4287">
      <formula>(#REF!&lt;&gt;"")*(#REF!&lt;&gt;"")</formula>
    </cfRule>
  </conditionalFormatting>
  <conditionalFormatting sqref="A1107:A1109 J1107:K1109 M1107:M1109 E1107:G1109 O1107:R1109">
    <cfRule type="expression" dxfId="1" priority="4296">
      <formula>(#REF!&lt;&gt;"")*(A$1&lt;&gt;"")</formula>
    </cfRule>
  </conditionalFormatting>
  <conditionalFormatting sqref="M1107:M1109 K1107:K1109 T1107:U1109">
    <cfRule type="expression" dxfId="0" priority="4291">
      <formula>(#REF!&lt;&gt;"")*(#REF!&lt;&gt;"")</formula>
    </cfRule>
  </conditionalFormatting>
  <conditionalFormatting sqref="K1122 E1122:G1122 M1122">
    <cfRule type="expression" dxfId="1" priority="4281">
      <formula>(#REF!&lt;&gt;"")*(E$1&lt;&gt;"")</formula>
    </cfRule>
  </conditionalFormatting>
  <conditionalFormatting sqref="Q1156 A1133 K1133 Q1162:Q1164 K1135 A1135 M1135:R1135 M1133:R1133">
    <cfRule type="expression" dxfId="0" priority="4272">
      <formula>(#REF!&lt;&gt;"")*(#REF!&lt;&gt;"")</formula>
    </cfRule>
  </conditionalFormatting>
  <conditionalFormatting sqref="C1134 A1134 Q1134 E1134:G1134 M1134:O1134 J1134:K1134">
    <cfRule type="expression" dxfId="0" priority="4115">
      <formula>(#REF!&lt;&gt;"")*(#REF!&lt;&gt;"")</formula>
    </cfRule>
  </conditionalFormatting>
  <conditionalFormatting sqref="A1134 K1134 M1134:R1134">
    <cfRule type="expression" dxfId="0" priority="4113">
      <formula>(#REF!&lt;&gt;"")*(#REF!&lt;&gt;"")</formula>
    </cfRule>
  </conditionalFormatting>
  <conditionalFormatting sqref="Q1168 C1139 A1139 K1139 E1139:G1139 M1137 T1136 M1139:R1139">
    <cfRule type="expression" dxfId="0" priority="4275">
      <formula>(#REF!&lt;&gt;"")*(#REF!&lt;&gt;"")</formula>
    </cfRule>
  </conditionalFormatting>
  <conditionalFormatting sqref="Q1136 E1136:G1136 A1136 O1136 M1136 J1136:K1136">
    <cfRule type="expression" dxfId="0" priority="4107">
      <formula>(#REF!&lt;&gt;"")*(#REF!&lt;&gt;"")</formula>
    </cfRule>
  </conditionalFormatting>
  <conditionalFormatting sqref="O1136:R1136 A1136 C1136 E1136:G1136 K1136">
    <cfRule type="expression" dxfId="0" priority="4105">
      <formula>(#REF!&lt;&gt;"")*(#REF!&lt;&gt;"")</formula>
    </cfRule>
  </conditionalFormatting>
  <conditionalFormatting sqref="N1145:R1145 K1137 E1137:G1137 C1137 A1137 N1137:R1137">
    <cfRule type="expression" dxfId="0" priority="4277">
      <formula>(#REF!&lt;&gt;"")*(#REF!&lt;&gt;"")</formula>
    </cfRule>
  </conditionalFormatting>
  <conditionalFormatting sqref="Q1138 E1138:G1138 A1138 M1138:O1138 J1138:K1138">
    <cfRule type="expression" dxfId="0" priority="4111">
      <formula>(#REF!&lt;&gt;"")*(#REF!&lt;&gt;"")</formula>
    </cfRule>
  </conditionalFormatting>
  <conditionalFormatting sqref="A1138 K1138 E1138:G1138 M1138:R1138">
    <cfRule type="expression" dxfId="0" priority="4109">
      <formula>(#REF!&lt;&gt;"")*(#REF!&lt;&gt;"")</formula>
    </cfRule>
  </conditionalFormatting>
  <conditionalFormatting sqref="C1142:C1143 E1142:E1143">
    <cfRule type="expression" dxfId="0" priority="4271">
      <formula>(#REF!&lt;&gt;"")*(#REF!&lt;&gt;"")</formula>
    </cfRule>
  </conditionalFormatting>
  <conditionalFormatting sqref="N1142:Q1143 F1142:G1143">
    <cfRule type="expression" dxfId="0" priority="4265">
      <formula>(#REF!&lt;&gt;"")*(#REF!&lt;&gt;"")</formula>
    </cfRule>
  </conditionalFormatting>
  <conditionalFormatting sqref="K1142:K1143 M1142:M1143">
    <cfRule type="expression" dxfId="0" priority="4267">
      <formula>(#REF!&lt;&gt;"")*(#REF!&lt;&gt;"")</formula>
    </cfRule>
  </conditionalFormatting>
  <conditionalFormatting sqref="C1144 E1144">
    <cfRule type="expression" dxfId="0" priority="3937">
      <formula>(#REF!&lt;&gt;"")*(#REF!&lt;&gt;"")</formula>
    </cfRule>
  </conditionalFormatting>
  <conditionalFormatting sqref="Q1144 E1144:G1144 J1144:K1144 O1144 M1144">
    <cfRule type="expression" dxfId="0" priority="3938">
      <formula>(#REF!&lt;&gt;"")*(#REF!&lt;&gt;"")</formula>
    </cfRule>
  </conditionalFormatting>
  <conditionalFormatting sqref="F1144:G1144 O1144:Q1144">
    <cfRule type="expression" dxfId="0" priority="3934">
      <formula>(#REF!&lt;&gt;"")*(#REF!&lt;&gt;"")</formula>
    </cfRule>
  </conditionalFormatting>
  <conditionalFormatting sqref="K1144 M1144">
    <cfRule type="expression" dxfId="0" priority="3936">
      <formula>(#REF!&lt;&gt;"")*(#REF!&lt;&gt;"")</formula>
    </cfRule>
  </conditionalFormatting>
  <conditionalFormatting sqref="C1146 Q1146 E1146:G1146 A1146 M1146:O1146 J1146:K1146">
    <cfRule type="expression" dxfId="0" priority="4101">
      <formula>(#REF!&lt;&gt;"")*(#REF!&lt;&gt;"")</formula>
    </cfRule>
  </conditionalFormatting>
  <conditionalFormatting sqref="O1154:O1155 O1157 O1159 O1162 O1164">
    <cfRule type="expression" dxfId="0" priority="4273">
      <formula>(#REF!&lt;&gt;"")*(#REF!&lt;&gt;"")</formula>
    </cfRule>
  </conditionalFormatting>
  <conditionalFormatting sqref="M1159 M1157">
    <cfRule type="expression" dxfId="0" priority="4256">
      <formula>(#REF!&lt;&gt;"")*(#REF!&lt;&gt;"")</formula>
    </cfRule>
  </conditionalFormatting>
  <conditionalFormatting sqref="Q1162:Q1164 M1158">
    <cfRule type="expression" dxfId="0" priority="4270">
      <formula>(#REF!&lt;&gt;"")*(#REF!&lt;&gt;"")</formula>
    </cfRule>
  </conditionalFormatting>
  <conditionalFormatting sqref="J1162 J1167">
    <cfRule type="expression" dxfId="1" priority="4274">
      <formula>(#REF!&lt;&gt;"")*(#REF!&lt;&gt;"")</formula>
    </cfRule>
  </conditionalFormatting>
  <conditionalFormatting sqref="K1174:K1175 A1172 K1171 M1171:P1171 M1174:M1175">
    <cfRule type="expression" dxfId="0" priority="4248">
      <formula>($A1171&lt;&gt;"")*(#REF!&lt;&gt;"")</formula>
    </cfRule>
  </conditionalFormatting>
  <conditionalFormatting sqref="P1171 P1172:Q1175">
    <cfRule type="expression" dxfId="1" priority="4250">
      <formula>($A1171&lt;&gt;"")*(#REF!&lt;&gt;"")</formula>
    </cfRule>
  </conditionalFormatting>
  <conditionalFormatting sqref="Q1174:Q1175 E1172:G1175 M1172:R1173 M1174:O1175 J1172:K1175">
    <cfRule type="expression" dxfId="0" priority="4249">
      <formula>($A1172&lt;&gt;"")*(#REF!&lt;&gt;"")</formula>
    </cfRule>
  </conditionalFormatting>
  <conditionalFormatting sqref="N1174:O1175">
    <cfRule type="expression" dxfId="0" priority="4240">
      <formula>($A1174&lt;&gt;"")*(#REF!&lt;&gt;"")</formula>
    </cfRule>
  </conditionalFormatting>
  <conditionalFormatting sqref="P1174:R1175">
    <cfRule type="expression" dxfId="0" priority="4239">
      <formula>($A1174&lt;&gt;"")*(#REF!&lt;&gt;"")</formula>
    </cfRule>
  </conditionalFormatting>
  <conditionalFormatting sqref="Q1307 C1294:C1297 Q1297:Q1300 A1294:A1297 E1294:H1297 E1292:H1292 T1257:U1258 Q1258 N1258:O1258 Q1248:Q1249 M1182 Q1182 M1240:M1241 M1292:R1292 M1294:O1297 J1292:K1292 J1294:K1297">
    <cfRule type="expression" dxfId="0" priority="4197">
      <formula>(#REF!&lt;&gt;"")*(#REF!&lt;&gt;"")</formula>
    </cfRule>
  </conditionalFormatting>
  <conditionalFormatting sqref="M1183 Q1183">
    <cfRule type="expression" dxfId="0" priority="4085">
      <formula>(#REF!&lt;&gt;"")*(#REF!&lt;&gt;"")</formula>
    </cfRule>
  </conditionalFormatting>
  <conditionalFormatting sqref="M1184:M1185 Q1184:Q1185">
    <cfRule type="expression" dxfId="0" priority="4053">
      <formula>(#REF!&lt;&gt;"")*(#REF!&lt;&gt;"")</formula>
    </cfRule>
  </conditionalFormatting>
  <conditionalFormatting sqref="J1200:J1201 A1239 E1239:G1239 J1239:K1239 M1239 O1239:Q1239 J1260:J1261">
    <cfRule type="expression" dxfId="1" priority="4192">
      <formula>(#REF!&lt;&gt;"")*(A$1&lt;&gt;"")</formula>
    </cfRule>
  </conditionalFormatting>
  <conditionalFormatting sqref="M1232 H1231 E1231:F1231 A1231 Q1231:Q1232 K1231 T1231:U1231 M1231:O1231">
    <cfRule type="expression" dxfId="0" priority="4190">
      <formula>(#REF!&lt;&gt;"")*(#REF!&lt;&gt;"")</formula>
    </cfRule>
  </conditionalFormatting>
  <conditionalFormatting sqref="C1233 A1233">
    <cfRule type="expression" dxfId="0" priority="4187">
      <formula>(#REF!&lt;&gt;"")*(A$1&lt;&gt;"")</formula>
    </cfRule>
  </conditionalFormatting>
  <conditionalFormatting sqref="E1233:H1233 K1233 M1233:R1233">
    <cfRule type="expression" dxfId="0" priority="4188">
      <formula>(#REF!&lt;&gt;"")*(E$1&lt;&gt;"")</formula>
    </cfRule>
  </conditionalFormatting>
  <conditionalFormatting sqref="Q1238 M1238">
    <cfRule type="expression" dxfId="0" priority="4186">
      <formula>(#REF!&lt;&gt;"")*(#REF!&lt;&gt;"")</formula>
    </cfRule>
  </conditionalFormatting>
  <conditionalFormatting sqref="M1305 Q1305 P1294:R1295 E1291:H1291 T1239:U1239 M1239 K1239 P1296:Q1296 M1291:R1291 J1291:K1291">
    <cfRule type="expression" dxfId="0" priority="4196">
      <formula>(#REF!&lt;&gt;"")*(#REF!&lt;&gt;"")</formula>
    </cfRule>
  </conditionalFormatting>
  <conditionalFormatting sqref="J1308 Q1298:Q1300 J1298:J1299 P1294:Q1297 P1258:Q1258 Q1248:Q1249">
    <cfRule type="expression" dxfId="1" priority="4193">
      <formula>(#REF!&lt;&gt;"")*(#REF!&lt;&gt;"")</formula>
    </cfRule>
  </conditionalFormatting>
  <conditionalFormatting sqref="A1257 E1257:F1257 K1257 Q1257 M1257:O1257">
    <cfRule type="expression" dxfId="0" priority="4185">
      <formula>(#REF!&lt;&gt;"")*(#REF!&lt;&gt;"")</formula>
    </cfRule>
  </conditionalFormatting>
  <conditionalFormatting sqref="M1265 M1289">
    <cfRule type="expression" dxfId="0" priority="4191">
      <formula>(#REF!&lt;&gt;"")*(#REF!&lt;&gt;"")</formula>
    </cfRule>
  </conditionalFormatting>
  <conditionalFormatting sqref="R1303 E1291:H1291 N1297:R1297">
    <cfRule type="expression" dxfId="0" priority="4182">
      <formula>(#REF!&lt;&gt;"")*(#REF!&lt;&gt;"")</formula>
    </cfRule>
  </conditionalFormatting>
  <conditionalFormatting sqref="C1292 E1292">
    <cfRule type="expression" dxfId="0" priority="4177">
      <formula>(#REF!&lt;&gt;"")*(#REF!&lt;&gt;"")</formula>
    </cfRule>
  </conditionalFormatting>
  <conditionalFormatting sqref="A1293 C1293 N1293:R1293 E1293:H1293 K1293">
    <cfRule type="expression" dxfId="0" priority="4152">
      <formula>(#REF!&lt;&gt;"")*(#REF!&lt;&gt;"")</formula>
    </cfRule>
  </conditionalFormatting>
  <conditionalFormatting sqref="A1293 Q1293 E1293:H1293 M1293:O1293 J1293:K1293">
    <cfRule type="expression" dxfId="0" priority="4151">
      <formula>(#REF!&lt;&gt;"")*(#REF!&lt;&gt;"")</formula>
    </cfRule>
  </conditionalFormatting>
  <conditionalFormatting sqref="O1300 O1304 Q1303 H1315 O1306">
    <cfRule type="expression" dxfId="0" priority="4179">
      <formula>(#REF!&lt;&gt;"")*(#REF!&lt;&gt;"")</formula>
    </cfRule>
  </conditionalFormatting>
  <conditionalFormatting sqref="P1300 P1303:Q1303">
    <cfRule type="expression" dxfId="1" priority="4180">
      <formula>(#REF!&lt;&gt;"")*(#REF!&lt;&gt;"")</formula>
    </cfRule>
  </conditionalFormatting>
  <conditionalFormatting sqref="R1308 H1315">
    <cfRule type="expression" dxfId="0" priority="4178">
      <formula>(#REF!&lt;&gt;"")*(#REF!&lt;&gt;"")</formula>
    </cfRule>
  </conditionalFormatting>
  <conditionalFormatting sqref="E1316:H1317 E1315:G1315 C1315:C1317 A1315:A1317 Q1315:Q1316 M1315:O1316 M1317:R1317 J1315:K1317">
    <cfRule type="expression" dxfId="0" priority="4161">
      <formula>($A1315&lt;&gt;"")*(#REF!&lt;&gt;"")</formula>
    </cfRule>
  </conditionalFormatting>
  <conditionalFormatting sqref="P1315:Q1317">
    <cfRule type="expression" dxfId="1" priority="4162">
      <formula>($A1315&lt;&gt;"")*(#REF!&lt;&gt;"")</formula>
    </cfRule>
  </conditionalFormatting>
  <conditionalFormatting sqref="C1318:C1321 A1318:A1321 E1318:H1321 J1318:J1321">
    <cfRule type="expression" dxfId="0" priority="4091">
      <formula>(#REF!&lt;&gt;"")*(A$1&lt;&gt;"")</formula>
    </cfRule>
  </conditionalFormatting>
  <conditionalFormatting sqref="K1318:K1321 M1318:R1321">
    <cfRule type="expression" dxfId="0" priority="4092">
      <formula>(#REF!&lt;&gt;"")*(K$1&lt;&gt;"")</formula>
    </cfRule>
  </conditionalFormatting>
  <conditionalFormatting sqref="P1322:Q1322 P1326:Q1329">
    <cfRule type="expression" dxfId="1" priority="4502">
      <formula>(#REF!&lt;&gt;"")*(#REF!&lt;&gt;"")</formula>
    </cfRule>
  </conditionalFormatting>
  <conditionalFormatting sqref="M1323 P1323:Q1323 H1323">
    <cfRule type="expression" dxfId="0" priority="4082">
      <formula>(#REF!&lt;&gt;"")*(#REF!&lt;&gt;"")</formula>
    </cfRule>
  </conditionalFormatting>
  <conditionalFormatting sqref="M1324 P1324:Q1324 H1324">
    <cfRule type="expression" dxfId="0" priority="4078">
      <formula>(#REF!&lt;&gt;"")*(#REF!&lt;&gt;"")</formula>
    </cfRule>
  </conditionalFormatting>
  <conditionalFormatting sqref="M1325 P1325:Q1325 H1325">
    <cfRule type="expression" dxfId="0" priority="4074">
      <formula>(#REF!&lt;&gt;"")*(#REF!&lt;&gt;"")</formula>
    </cfRule>
  </conditionalFormatting>
  <conditionalFormatting sqref="H1330 Q1330 M1330">
    <cfRule type="expression" dxfId="0" priority="4070">
      <formula>(#REF!&lt;&gt;"")*(#REF!&lt;&gt;"")</formula>
    </cfRule>
  </conditionalFormatting>
  <conditionalFormatting sqref="E1438:H1438 M1476 M1460:M1461 M1451 R1440 M1440 Q1409 Q1342 M1342 M1438:R1438 H1439:H1445 J1438:K1438">
    <cfRule type="expression" dxfId="0" priority="4051">
      <formula>(#REF!&lt;&gt;"")*(#REF!&lt;&gt;"")</formula>
    </cfRule>
  </conditionalFormatting>
  <conditionalFormatting sqref="Q1343 M1343">
    <cfRule type="expression" dxfId="0" priority="3947">
      <formula>(#REF!&lt;&gt;"")*(#REF!&lt;&gt;"")</formula>
    </cfRule>
  </conditionalFormatting>
  <conditionalFormatting sqref="Q1344 M1344">
    <cfRule type="expression" dxfId="0" priority="3948">
      <formula>(#REF!&lt;&gt;"")*(#REF!&lt;&gt;"")</formula>
    </cfRule>
  </conditionalFormatting>
  <conditionalFormatting sqref="Q1345 M1345">
    <cfRule type="expression" dxfId="0" priority="3929">
      <formula>(#REF!&lt;&gt;"")*(#REF!&lt;&gt;"")</formula>
    </cfRule>
  </conditionalFormatting>
  <conditionalFormatting sqref="Q1346 M1346">
    <cfRule type="expression" dxfId="0" priority="3946">
      <formula>(#REF!&lt;&gt;"")*(#REF!&lt;&gt;"")</formula>
    </cfRule>
  </conditionalFormatting>
  <conditionalFormatting sqref="Q1347 M1347">
    <cfRule type="expression" dxfId="0" priority="3945">
      <formula>(#REF!&lt;&gt;"")*(#REF!&lt;&gt;"")</formula>
    </cfRule>
  </conditionalFormatting>
  <conditionalFormatting sqref="Q1348 M1348">
    <cfRule type="expression" dxfId="0" priority="3944">
      <formula>(#REF!&lt;&gt;"")*(#REF!&lt;&gt;"")</formula>
    </cfRule>
  </conditionalFormatting>
  <conditionalFormatting sqref="Q1349:Q1350 M1349:M1350">
    <cfRule type="expression" dxfId="0" priority="3943">
      <formula>(#REF!&lt;&gt;"")*(#REF!&lt;&gt;"")</formula>
    </cfRule>
  </conditionalFormatting>
  <conditionalFormatting sqref="Q1351 M1351">
    <cfRule type="expression" dxfId="0" priority="3928">
      <formula>(#REF!&lt;&gt;"")*(#REF!&lt;&gt;"")</formula>
    </cfRule>
  </conditionalFormatting>
  <conditionalFormatting sqref="Q1352 M1352">
    <cfRule type="expression" dxfId="0" priority="3927">
      <formula>(#REF!&lt;&gt;"")*(#REF!&lt;&gt;"")</formula>
    </cfRule>
  </conditionalFormatting>
  <conditionalFormatting sqref="J1426:J1427 J1460:J1461 J1378:J1380">
    <cfRule type="expression" dxfId="1" priority="4049">
      <formula>(#REF!&lt;&gt;"")*(J$1&lt;&gt;"")</formula>
    </cfRule>
  </conditionalFormatting>
  <conditionalFormatting sqref="Q1453 P1440 Q1401:Q1409 P1386:Q1386 P1378:Q1380">
    <cfRule type="expression" dxfId="1" priority="4050">
      <formula>(#REF!&lt;&gt;"")*(#REF!&lt;&gt;"")</formula>
    </cfRule>
  </conditionalFormatting>
  <conditionalFormatting sqref="A1400 M1400 E1400:G1400 J1400:K1400 O1400:P1400">
    <cfRule type="expression" dxfId="1" priority="4045">
      <formula>(#REF!&lt;&gt;"")*(A$1&lt;&gt;"")</formula>
    </cfRule>
  </conditionalFormatting>
  <conditionalFormatting sqref="Q1400 M1400 K1400">
    <cfRule type="expression" dxfId="0" priority="4043">
      <formula>(#REF!&lt;&gt;"")*(#REF!&lt;&gt;"")</formula>
    </cfRule>
  </conditionalFormatting>
  <conditionalFormatting sqref="C1438:C1439 T1438 E1439:G1439 Q1401:Q1408 M1439:R1439 J1439:K1439">
    <cfRule type="expression" dxfId="0" priority="4052">
      <formula>(#REF!&lt;&gt;"")*(#REF!&lt;&gt;"")</formula>
    </cfRule>
  </conditionalFormatting>
  <conditionalFormatting sqref="N1436:R1436 A1436 K1436 C1436 E1436:H1436">
    <cfRule type="expression" dxfId="0" priority="4039">
      <formula>(#REF!&lt;&gt;"")*(#REF!&lt;&gt;"")</formula>
    </cfRule>
  </conditionalFormatting>
  <conditionalFormatting sqref="O1437:R1437 A1437 C1437 E1437:H1437 K1437">
    <cfRule type="expression" dxfId="0" priority="4042">
      <formula>(#REF!&lt;&gt;"")*(#REF!&lt;&gt;"")</formula>
    </cfRule>
  </conditionalFormatting>
  <conditionalFormatting sqref="P1446 T1443 T1441 M1449:M1450 P1448:R1449 Q1445 M1445:M1447 E1444:G1444 Q1441:Q1443 C1441:C1444 A1441:A1445 M1444:O1444 J1444:K1444 Q1450:R1450">
    <cfRule type="expression" dxfId="0" priority="4032">
      <formula>($A1441&lt;&gt;"")*(#REF!&lt;&gt;"")</formula>
    </cfRule>
  </conditionalFormatting>
  <conditionalFormatting sqref="R1445 N1442:O1442 A1441:A1443 K1441:K1443 P1444 E1441:G1443 M1443">
    <cfRule type="expression" dxfId="0" priority="4031">
      <formula>($A1441&lt;&gt;"")*(#REF!&lt;&gt;"")</formula>
    </cfRule>
  </conditionalFormatting>
  <conditionalFormatting sqref="E1445:G1445 J1445:K1445 E1441:G1443 M1445:O1445 M1441:O1443 J1441:K1443">
    <cfRule type="expression" dxfId="0" priority="4033">
      <formula>($A1441&lt;&gt;"")*(#REF!&lt;&gt;"")</formula>
    </cfRule>
  </conditionalFormatting>
  <conditionalFormatting sqref="P1446:P1447 P1444 P1448:Q1449 P1445:Q1445 P1441:Q1443 Q1450">
    <cfRule type="expression" dxfId="1" priority="4034">
      <formula>($A1441&lt;&gt;"")*(#REF!&lt;&gt;"")</formula>
    </cfRule>
  </conditionalFormatting>
  <conditionalFormatting sqref="N1475 E1475:F1475 E1462:G1462 A1462 C1462 M1462:O1462 J1462:K1462 Q1462:R1462">
    <cfRule type="expression" dxfId="0" priority="4047">
      <formula>(#REF!&lt;&gt;"")*(A$1&lt;&gt;"")</formula>
    </cfRule>
  </conditionalFormatting>
  <conditionalFormatting sqref="M1475 Q1475">
    <cfRule type="expression" dxfId="0" priority="4003">
      <formula>(#REF!&lt;&gt;"")*(#REF!&lt;&gt;"")</formula>
    </cfRule>
  </conditionalFormatting>
  <conditionalFormatting sqref="P1598:Q1598 P1584:Q1584 P1613:Q1616 P1607:Q1607 J1606 Q1606 P1601:Q1605 P1594:Q1596 P1581:Q1582 P1562:Q1562">
    <cfRule type="expression" dxfId="1" priority="3922">
      <formula>(#REF!&lt;&gt;"")*(#REF!&lt;&gt;"")</formula>
    </cfRule>
  </conditionalFormatting>
  <conditionalFormatting sqref="E1604:H1604 A1601 E1601:H1601 C1601 Q1584 N1584:O1584 P1607:Q1607 Q1606 M1606:M1607 C1604 A1603:A1605 H1602 M1587:M1593 T1581:U1584 Q1581:Q1582 M1601:R1601 M1604:R1604 J1601:K1601 J1604:K1604">
    <cfRule type="expression" dxfId="0" priority="3925">
      <formula>(#REF!&lt;&gt;"")*(#REF!&lt;&gt;"")</formula>
    </cfRule>
  </conditionalFormatting>
  <conditionalFormatting sqref="N1581:O1582">
    <cfRule type="expression" dxfId="0" priority="3917">
      <formula>(#REF!&lt;&gt;"")*(#REF!&lt;&gt;"")</formula>
    </cfRule>
  </conditionalFormatting>
  <conditionalFormatting sqref="N1583:O1583 Q1583">
    <cfRule type="expression" dxfId="0" priority="3914">
      <formula>(#REF!&lt;&gt;"")*(#REF!&lt;&gt;"")</formula>
    </cfRule>
  </conditionalFormatting>
  <conditionalFormatting sqref="Q1598 A1598 C1598 E1598:H1598 Q1603 E1603:H1603 E1616:H1616 C1602 A1602 E1602:G1602 M1664:M1665 A1613:A1616 C1605 E1605:H1605 T1602 A1594:A1596 M1605:R1605 M1602:R1602 M1616:R1616 M1603:O1603 M1598:O1598 J1605:K1605 J1616:K1616 J1602:K1603 J1598:K1598">
    <cfRule type="expression" dxfId="0" priority="3924">
      <formula>(#REF!&lt;&gt;"")*(#REF!&lt;&gt;"")</formula>
    </cfRule>
  </conditionalFormatting>
  <conditionalFormatting sqref="A1594 C1594 K1594 E1594:G1594 M1594:Q1594">
    <cfRule type="expression" dxfId="0" priority="3903">
      <formula>(#REF!&lt;&gt;"")*(#REF!&lt;&gt;"")</formula>
    </cfRule>
  </conditionalFormatting>
  <conditionalFormatting sqref="M1618:M1619 T1617 M1612 Q1594:Q1596 E1594:H1596 T1595 M1594:O1596 J1594:K1596">
    <cfRule type="expression" dxfId="0" priority="3923">
      <formula>(#REF!&lt;&gt;"")*(#REF!&lt;&gt;"")</formula>
    </cfRule>
  </conditionalFormatting>
  <conditionalFormatting sqref="R1598 R1595:R1596 C1603 K1603 A1603 N1603:R1603 E1603:H1603">
    <cfRule type="expression" dxfId="0" priority="3912">
      <formula>(#REF!&lt;&gt;"")*(#REF!&lt;&gt;"")</formula>
    </cfRule>
  </conditionalFormatting>
  <conditionalFormatting sqref="K1598 C1595:C1596 E1595:H1596 A1595:A1596 K1595:K1596 M1595:Q1596">
    <cfRule type="expression" dxfId="0" priority="3910">
      <formula>(#REF!&lt;&gt;"")*(#REF!&lt;&gt;"")</formula>
    </cfRule>
  </conditionalFormatting>
  <conditionalFormatting sqref="M1603 H1596 T1601">
    <cfRule type="expression" dxfId="0" priority="3911">
      <formula>(#REF!&lt;&gt;"")*(#REF!&lt;&gt;"")</formula>
    </cfRule>
  </conditionalFormatting>
  <conditionalFormatting sqref="A1597 E1597:H1597 Q1597 M1597:O1597 J1597:K1597">
    <cfRule type="expression" dxfId="0" priority="3892">
      <formula>(#REF!&lt;&gt;"")*(#REF!&lt;&gt;"")</formula>
    </cfRule>
  </conditionalFormatting>
  <conditionalFormatting sqref="C1597 E1597:H1597 A1597 K1597 M1597:Q1597">
    <cfRule type="expression" dxfId="0" priority="3889">
      <formula>(#REF!&lt;&gt;"")*(#REF!&lt;&gt;"")</formula>
    </cfRule>
  </conditionalFormatting>
  <conditionalFormatting sqref="H1597 T1597">
    <cfRule type="expression" dxfId="0" priority="3890">
      <formula>(#REF!&lt;&gt;"")*(#REF!&lt;&gt;"")</formula>
    </cfRule>
  </conditionalFormatting>
  <conditionalFormatting sqref="Q1599:Q1600 E1599:H1600 A1599:A1600 O1599:O1600 M1599:M1600 J1599:K1600">
    <cfRule type="expression" dxfId="0" priority="3887">
      <formula>(#REF!&lt;&gt;"")*(#REF!&lt;&gt;"")</formula>
    </cfRule>
  </conditionalFormatting>
  <conditionalFormatting sqref="K1599:K1600 A1599:A1600 C1599:C1600 E1599:G1600">
    <cfRule type="expression" dxfId="0" priority="3884">
      <formula>(#REF!&lt;&gt;"")*(#REF!&lt;&gt;"")</formula>
    </cfRule>
  </conditionalFormatting>
  <conditionalFormatting sqref="P1599:Q1600">
    <cfRule type="expression" dxfId="1" priority="3886">
      <formula>(#REF!&lt;&gt;"")*(#REF!&lt;&gt;"")</formula>
    </cfRule>
    <cfRule type="expression" dxfId="0" priority="3882">
      <formula>(#REF!&lt;&gt;"")*(#REF!&lt;&gt;"")</formula>
    </cfRule>
  </conditionalFormatting>
  <conditionalFormatting sqref="Q1608 M1608">
    <cfRule type="expression" dxfId="0" priority="3835">
      <formula>($A1608&lt;&gt;"")*(#REF!&lt;&gt;"")</formula>
    </cfRule>
  </conditionalFormatting>
  <conditionalFormatting sqref="P1610 R1610 Q1609:Q1610 P1611:R1611 K1623 C1622 E1622:H1622 A1622 M1609:M1611 M1622:R1622 J1622:K1622">
    <cfRule type="expression" dxfId="0" priority="3898">
      <formula>($A1609&lt;&gt;"")*(#REF!&lt;&gt;"")</formula>
    </cfRule>
  </conditionalFormatting>
  <conditionalFormatting sqref="J1611 P1622:Q1622 P1609:Q1611">
    <cfRule type="expression" dxfId="1" priority="3899">
      <formula>($A1609&lt;&gt;"")*(#REF!&lt;&gt;"")</formula>
    </cfRule>
  </conditionalFormatting>
  <conditionalFormatting sqref="A1615 C1615 E1615:G1615 E1613:G1613">
    <cfRule type="expression" dxfId="0" priority="3871">
      <formula>(#REF!&lt;&gt;"")*(#REF!&lt;&gt;"")</formula>
    </cfRule>
  </conditionalFormatting>
  <conditionalFormatting sqref="Q1613:Q1615 E1613:H1615 M1613:O1615 J1613:K1615">
    <cfRule type="expression" dxfId="0" priority="3874">
      <formula>(#REF!&lt;&gt;"")*(#REF!&lt;&gt;"")</formula>
    </cfRule>
  </conditionalFormatting>
  <conditionalFormatting sqref="H1613:H1615 T1616">
    <cfRule type="expression" dxfId="0" priority="3873">
      <formula>(#REF!&lt;&gt;"")*(#REF!&lt;&gt;"")</formula>
    </cfRule>
  </conditionalFormatting>
  <conditionalFormatting sqref="K1613 K1615">
    <cfRule type="expression" dxfId="0" priority="3868">
      <formula>(#REF!&lt;&gt;"")*(#REF!&lt;&gt;"")</formula>
    </cfRule>
  </conditionalFormatting>
  <conditionalFormatting sqref="M1613 M1615">
    <cfRule type="expression" dxfId="0" priority="3866">
      <formula>(#REF!&lt;&gt;"")*(#REF!&lt;&gt;"")</formula>
    </cfRule>
  </conditionalFormatting>
  <conditionalFormatting sqref="R1613 R1615">
    <cfRule type="expression" dxfId="0" priority="3869">
      <formula>(#REF!&lt;&gt;"")*(#REF!&lt;&gt;"")</formula>
    </cfRule>
  </conditionalFormatting>
  <conditionalFormatting sqref="A1614 E1614:G1614">
    <cfRule type="expression" dxfId="0" priority="3862">
      <formula>(#REF!&lt;&gt;"")*(#REF!&lt;&gt;"")</formula>
    </cfRule>
  </conditionalFormatting>
  <conditionalFormatting sqref="M1620 C1616">
    <cfRule type="expression" dxfId="0" priority="3876">
      <formula>(#REF!&lt;&gt;"")*(#REF!&lt;&gt;"")</formula>
    </cfRule>
  </conditionalFormatting>
  <conditionalFormatting sqref="Q1617 E1617:H1617 A1617 O1617 M1617 J1617:K1617">
    <cfRule type="expression" dxfId="0" priority="3833">
      <formula>(#REF!&lt;&gt;"")*(#REF!&lt;&gt;"")</formula>
    </cfRule>
  </conditionalFormatting>
  <conditionalFormatting sqref="O1617:R1617 A1617 C1617 E1617:H1617 K1617">
    <cfRule type="expression" dxfId="0" priority="3831">
      <formula>(#REF!&lt;&gt;"")*(#REF!&lt;&gt;"")</formula>
    </cfRule>
  </conditionalFormatting>
  <conditionalFormatting sqref="A1623 C1623 M1623:R1623 E1623:H1623">
    <cfRule type="expression" dxfId="0" priority="3850">
      <formula>(#REF!&lt;&gt;"")*(#REF!&lt;&gt;"")</formula>
    </cfRule>
  </conditionalFormatting>
  <conditionalFormatting sqref="A1623 Q1623 E1623:H1623 M1623:O1623 J1623">
    <cfRule type="expression" dxfId="0" priority="3848">
      <formula>(#REF!&lt;&gt;"")*(#REF!&lt;&gt;"")</formula>
    </cfRule>
  </conditionalFormatting>
  <conditionalFormatting sqref="M1624 Q1624">
    <cfRule type="expression" dxfId="0" priority="3827">
      <formula>(#REF!&lt;&gt;"")*(#REF!&lt;&gt;"")</formula>
    </cfRule>
  </conditionalFormatting>
  <conditionalFormatting sqref="M1625 Q1625">
    <cfRule type="expression" dxfId="0" priority="3826">
      <formula>(#REF!&lt;&gt;"")*(#REF!&lt;&gt;"")</formula>
    </cfRule>
  </conditionalFormatting>
  <conditionalFormatting sqref="C1630 A1630 E1630:H1630 M1630:Q1630 J1630:K1630">
    <cfRule type="expression" dxfId="0" priority="3918">
      <formula>(#REF!&lt;&gt;"")*(A$1&lt;&gt;"")</formula>
    </cfRule>
  </conditionalFormatting>
  <conditionalFormatting sqref="J1631:K1631 O1631:P1631">
    <cfRule type="expression" dxfId="1" priority="3846">
      <formula>(#REF!&lt;&gt;"")*(J$1&lt;&gt;"")</formula>
    </cfRule>
  </conditionalFormatting>
  <conditionalFormatting sqref="M1631 K1631 M1633:O1633">
    <cfRule type="expression" dxfId="0" priority="3845">
      <formula>(#REF!&lt;&gt;"")*(#REF!&lt;&gt;"")</formula>
    </cfRule>
  </conditionalFormatting>
  <conditionalFormatting sqref="E1633:G1633 J1633">
    <cfRule type="expression" dxfId="0" priority="3842">
      <formula>(#REF!&lt;&gt;"")*(#REF!&lt;&gt;"")</formula>
    </cfRule>
  </conditionalFormatting>
  <conditionalFormatting sqref="A1642 M1642 E1642:G1642">
    <cfRule type="expression" dxfId="1" priority="3779">
      <formula>(#REF!&lt;&gt;"")*(A$1&lt;&gt;"")</formula>
    </cfRule>
  </conditionalFormatting>
  <conditionalFormatting sqref="J1642:K1642 O1642:P1642">
    <cfRule type="expression" dxfId="1" priority="3775">
      <formula>(#REF!&lt;&gt;"")*(J$1&lt;&gt;"")</formula>
    </cfRule>
  </conditionalFormatting>
  <conditionalFormatting sqref="A1643 M1643 E1643:G1643">
    <cfRule type="expression" dxfId="1" priority="3774">
      <formula>(#REF!&lt;&gt;"")*(A$1&lt;&gt;"")</formula>
    </cfRule>
  </conditionalFormatting>
  <conditionalFormatting sqref="J1643:K1643 O1643:P1643">
    <cfRule type="expression" dxfId="1" priority="3772">
      <formula>(#REF!&lt;&gt;"")*(J$1&lt;&gt;"")</formula>
    </cfRule>
  </conditionalFormatting>
  <conditionalFormatting sqref="Q1643 M1643 K1643">
    <cfRule type="expression" dxfId="0" priority="3770">
      <formula>(#REF!&lt;&gt;"")*(#REF!&lt;&gt;"")</formula>
    </cfRule>
  </conditionalFormatting>
  <conditionalFormatting sqref="E1652:F1652 A1652 K1652 M1652">
    <cfRule type="expression" dxfId="1" priority="3823">
      <formula>(#REF!&lt;&gt;"")*(A$1&lt;&gt;"")</formula>
    </cfRule>
  </conditionalFormatting>
  <conditionalFormatting sqref="O1652:Q1652 G1652:H1652">
    <cfRule type="expression" dxfId="1" priority="3822">
      <formula>(#REF!&lt;&gt;"")*(G$1&lt;&gt;"")</formula>
    </cfRule>
  </conditionalFormatting>
  <conditionalFormatting sqref="Q1653:Q1655 M1653:M1655">
    <cfRule type="expression" dxfId="0" priority="3821">
      <formula>(#REF!&lt;&gt;"")*(#REF!&lt;&gt;"")</formula>
    </cfRule>
  </conditionalFormatting>
  <conditionalFormatting sqref="Q1660 E1660:H1660 A1660 O1660 M1660 J1660:K1660">
    <cfRule type="expression" dxfId="0" priority="3493">
      <formula>(#REF!&lt;&gt;"")*(#REF!&lt;&gt;"")</formula>
    </cfRule>
  </conditionalFormatting>
  <conditionalFormatting sqref="O1660:Q1660 A1660 C1660 E1660:H1660 K1660">
    <cfRule type="expression" dxfId="0" priority="3491">
      <formula>(#REF!&lt;&gt;"")*(#REF!&lt;&gt;"")</formula>
    </cfRule>
  </conditionalFormatting>
  <conditionalFormatting sqref="Q1661 E1661:H1661 A1661 O1661 M1661 J1661:K1661">
    <cfRule type="expression" dxfId="0" priority="3487">
      <formula>(#REF!&lt;&gt;"")*(#REF!&lt;&gt;"")</formula>
    </cfRule>
  </conditionalFormatting>
  <conditionalFormatting sqref="O1661:Q1661 A1661 C1661 E1661:H1661 K1661">
    <cfRule type="expression" dxfId="0" priority="3485">
      <formula>(#REF!&lt;&gt;"")*(#REF!&lt;&gt;"")</formula>
    </cfRule>
  </conditionalFormatting>
  <conditionalFormatting sqref="Q1663 J1663">
    <cfRule type="expression" dxfId="1" priority="3451">
      <formula>(#REF!&lt;&gt;"")*(#REF!&lt;&gt;"")</formula>
    </cfRule>
  </conditionalFormatting>
  <conditionalFormatting sqref="Q1664 J1664">
    <cfRule type="expression" dxfId="1" priority="3818">
      <formula>(#REF!&lt;&gt;"")*(#REF!&lt;&gt;"")</formula>
    </cfRule>
  </conditionalFormatting>
  <conditionalFormatting sqref="J1750 M1758:M1759 J1718:K1718">
    <cfRule type="expression" dxfId="1" priority="3816">
      <formula>(#REF!&lt;&gt;"")*(J$1&lt;&gt;"")</formula>
    </cfRule>
  </conditionalFormatting>
  <conditionalFormatting sqref="P1750 P1728">
    <cfRule type="expression" dxfId="1" priority="3813">
      <formula>(#REF!&lt;&gt;"")*(#REF!&lt;&gt;"")</formula>
    </cfRule>
  </conditionalFormatting>
  <conditionalFormatting sqref="M2024:M2026 J2001 J1923:J1930 O1760:P1760 M2031:M2032">
    <cfRule type="expression" dxfId="1" priority="3753">
      <formula>(#REF!&lt;&gt;"")*(J$1&lt;&gt;"")</formula>
    </cfRule>
  </conditionalFormatting>
  <conditionalFormatting sqref="M1761 Q1761">
    <cfRule type="expression" dxfId="0" priority="3669">
      <formula>(#REF!&lt;&gt;"")*(#REF!&lt;&gt;"")</formula>
    </cfRule>
  </conditionalFormatting>
  <conditionalFormatting sqref="Q1769 M1769 Q1762:Q1767 M1762:M1767 A1957:A1958 Q1946:Q1949">
    <cfRule type="expression" dxfId="0" priority="3758">
      <formula>(#REF!&lt;&gt;"")*(#REF!&lt;&gt;"")</formula>
    </cfRule>
  </conditionalFormatting>
  <conditionalFormatting sqref="M1768 Q1768">
    <cfRule type="expression" dxfId="0" priority="3680">
      <formula>(#REF!&lt;&gt;"")*(#REF!&lt;&gt;"")</formula>
    </cfRule>
  </conditionalFormatting>
  <conditionalFormatting sqref="Q1905 M1905 M1783:M1790 Q1783:Q1790 A1961 E1961:H1961 Q1961 C1961 Q1950 Q1771:Q1781 M1771:M1781 Q1957:Q1958 E1957:H1958 M1957:O1958 M1961:O1961 J1957:J1958 J1961">
    <cfRule type="expression" dxfId="0" priority="3757">
      <formula>(#REF!&lt;&gt;"")*(#REF!&lt;&gt;"")</formula>
    </cfRule>
  </conditionalFormatting>
  <conditionalFormatting sqref="Q1782 M1782">
    <cfRule type="expression" dxfId="0" priority="3737">
      <formula>(#REF!&lt;&gt;"")*(#REF!&lt;&gt;"")</formula>
    </cfRule>
  </conditionalFormatting>
  <conditionalFormatting sqref="P1821:Q1826">
    <cfRule type="expression" dxfId="1" priority="3752">
      <formula>(#REF!&lt;&gt;"")*(#REF!&lt;&gt;"")</formula>
    </cfRule>
  </conditionalFormatting>
  <conditionalFormatting sqref="E1827:E1828 A1827:A1828 G1827:H1828 M1827:Q1828">
    <cfRule type="expression" dxfId="1" priority="3751">
      <formula>(#REF!&lt;&gt;"")*(A$1&lt;&gt;"")</formula>
    </cfRule>
  </conditionalFormatting>
  <conditionalFormatting sqref="P1961:Q1961 P2002:Q2002 P1995:Q1995 P1957:Q1959 Q1946:Q1950 P1852:Q1852">
    <cfRule type="expression" dxfId="1" priority="3754">
      <formula>(#REF!&lt;&gt;"")*(#REF!&lt;&gt;"")</formula>
    </cfRule>
  </conditionalFormatting>
  <conditionalFormatting sqref="M1899 Q1899">
    <cfRule type="expression" dxfId="0" priority="3755">
      <formula>(#REF!&lt;&gt;"")*(#REF!&lt;&gt;"")</formula>
    </cfRule>
  </conditionalFormatting>
  <conditionalFormatting sqref="M2022:M2023 M2017:M2018 M1997:M1998 C1995 A1995 E1995:G1995 M1991 M1984:M1985 Q1981 M1980:M1981 A1959 E1959:H1959 Q1959 A1954 E1954:H1954 C1954 M1901:M1904 Q1901:Q1904 M1959:O1959 M1995:R1995 J1995 J1959">
    <cfRule type="expression" dxfId="0" priority="3756">
      <formula>(#REF!&lt;&gt;"")*(#REF!&lt;&gt;"")</formula>
    </cfRule>
  </conditionalFormatting>
  <conditionalFormatting sqref="Q1954 M1954:O1954">
    <cfRule type="expression" dxfId="0" priority="3725">
      <formula>(#REF!&lt;&gt;"")*(#REF!&lt;&gt;"")</formula>
    </cfRule>
  </conditionalFormatting>
  <conditionalFormatting sqref="M1954 T1955:T1956">
    <cfRule type="expression" dxfId="0" priority="3723">
      <formula>(#REF!&lt;&gt;"")*(#REF!&lt;&gt;"")</formula>
    </cfRule>
  </conditionalFormatting>
  <conditionalFormatting sqref="E1955:H1956 Q1955 A1955:A1956 C1955:C1956 O1955 M1955 J1955:J1956">
    <cfRule type="expression" dxfId="0" priority="3705">
      <formula>(#REF!&lt;&gt;"")*(#REF!&lt;&gt;"")</formula>
    </cfRule>
  </conditionalFormatting>
  <conditionalFormatting sqref="A1955 O1955:R1955 M1955">
    <cfRule type="expression" dxfId="0" priority="3702">
      <formula>(#REF!&lt;&gt;"")*(#REF!&lt;&gt;"")</formula>
    </cfRule>
  </conditionalFormatting>
  <conditionalFormatting sqref="Q1956 M1956 O1956">
    <cfRule type="expression" dxfId="0" priority="3698">
      <formula>(#REF!&lt;&gt;"")*(#REF!&lt;&gt;"")</formula>
    </cfRule>
  </conditionalFormatting>
  <conditionalFormatting sqref="A1957 C1957 N1957:R1957 E1957:H1957">
    <cfRule type="expression" dxfId="0" priority="3730">
      <formula>(#REF!&lt;&gt;"")*(#REF!&lt;&gt;"")</formula>
    </cfRule>
  </conditionalFormatting>
  <conditionalFormatting sqref="N1958:R1958 A1958 H1959 C1958 E1958:H1958 P1961:R1961">
    <cfRule type="expression" dxfId="0" priority="3735">
      <formula>(#REF!&lt;&gt;"")*(#REF!&lt;&gt;"")</formula>
    </cfRule>
  </conditionalFormatting>
  <conditionalFormatting sqref="A1959 E1959:G1959 M1959:R1959">
    <cfRule type="expression" dxfId="0" priority="3731">
      <formula>(#REF!&lt;&gt;"")*(#REF!&lt;&gt;"")</formula>
    </cfRule>
  </conditionalFormatting>
  <conditionalFormatting sqref="C1960 Q1960 E1960:H1960 A1960 M1960:O1960 J1960">
    <cfRule type="expression" dxfId="0" priority="3690">
      <formula>(#REF!&lt;&gt;"")*(#REF!&lt;&gt;"")</formula>
    </cfRule>
  </conditionalFormatting>
  <conditionalFormatting sqref="M1964 Q1964">
    <cfRule type="expression" dxfId="0" priority="3684">
      <formula>(#REF!&lt;&gt;"")*(#REF!&lt;&gt;"")</formula>
    </cfRule>
  </conditionalFormatting>
  <conditionalFormatting sqref="M1965 Q1965">
    <cfRule type="expression" dxfId="0" priority="3683">
      <formula>(#REF!&lt;&gt;"")*(#REF!&lt;&gt;"")</formula>
    </cfRule>
  </conditionalFormatting>
  <conditionalFormatting sqref="M1966 Q1966">
    <cfRule type="expression" dxfId="0" priority="3603">
      <formula>(#REF!&lt;&gt;"")*(#REF!&lt;&gt;"")</formula>
    </cfRule>
  </conditionalFormatting>
  <conditionalFormatting sqref="M1967 Q1967">
    <cfRule type="expression" dxfId="0" priority="3584">
      <formula>(#REF!&lt;&gt;"")*(#REF!&lt;&gt;"")</formula>
    </cfRule>
  </conditionalFormatting>
  <conditionalFormatting sqref="M1968 Q1968">
    <cfRule type="expression" dxfId="0" priority="3546">
      <formula>(#REF!&lt;&gt;"")*(#REF!&lt;&gt;"")</formula>
    </cfRule>
  </conditionalFormatting>
  <conditionalFormatting sqref="M1969 Q1969">
    <cfRule type="expression" dxfId="0" priority="3682">
      <formula>(#REF!&lt;&gt;"")*(#REF!&lt;&gt;"")</formula>
    </cfRule>
  </conditionalFormatting>
  <conditionalFormatting sqref="M1970 Q1970">
    <cfRule type="expression" dxfId="0" priority="3681">
      <formula>(#REF!&lt;&gt;"")*(#REF!&lt;&gt;"")</formula>
    </cfRule>
  </conditionalFormatting>
  <conditionalFormatting sqref="Q1983 P1980:Q1980 A1972:A1979 C1972:C1979 E1974:H1974 M1972:R1979 E1975:G1979 H1975:H1995 E1972:G1973 J1972:J1979">
    <cfRule type="expression" dxfId="0" priority="3719">
      <formula>(#REF!&lt;&gt;"")*(#REF!&lt;&gt;"")</formula>
    </cfRule>
  </conditionalFormatting>
  <conditionalFormatting sqref="Q1983 P1972:Q1980">
    <cfRule type="expression" dxfId="1" priority="3718">
      <formula>(#REF!&lt;&gt;"")*(#REF!&lt;&gt;"")</formula>
    </cfRule>
  </conditionalFormatting>
  <conditionalFormatting sqref="A1976 C1976 N1976:Q1976 E1976:G1976">
    <cfRule type="expression" dxfId="0" priority="3712">
      <formula>(#REF!&lt;&gt;"")*(#REF!&lt;&gt;"")</formula>
    </cfRule>
  </conditionalFormatting>
  <conditionalFormatting sqref="J1981 Q1983">
    <cfRule type="expression" dxfId="1" priority="3716">
      <formula>(#REF!&lt;&gt;"")*(#REF!&lt;&gt;"")</formula>
    </cfRule>
  </conditionalFormatting>
  <conditionalFormatting sqref="Q1987 M1987">
    <cfRule type="expression" dxfId="0" priority="3668">
      <formula>(#REF!&lt;&gt;"")*(#REF!&lt;&gt;"")</formula>
    </cfRule>
  </conditionalFormatting>
  <conditionalFormatting sqref="Q1988 M1988">
    <cfRule type="expression" dxfId="0" priority="3670">
      <formula>(#REF!&lt;&gt;"")*(#REF!&lt;&gt;"")</formula>
    </cfRule>
  </conditionalFormatting>
  <conditionalFormatting sqref="G1994 N1994:O1994 A1994 E1994 Q1993:Q1994 M1993:M1994 T1993:U1993 J1994">
    <cfRule type="expression" dxfId="0" priority="3677">
      <formula>(#REF!&lt;&gt;"")*(#REF!&lt;&gt;"")</formula>
    </cfRule>
  </conditionalFormatting>
  <conditionalFormatting sqref="E1993 J1993 M1993:O1993">
    <cfRule type="expression" dxfId="0" priority="3676">
      <formula>(#REF!&lt;&gt;"")*(#REF!&lt;&gt;"")</formula>
    </cfRule>
  </conditionalFormatting>
  <conditionalFormatting sqref="P1993:Q1994">
    <cfRule type="expression" dxfId="1" priority="3678">
      <formula>(#REF!&lt;&gt;"")*(#REF!&lt;&gt;"")</formula>
    </cfRule>
  </conditionalFormatting>
  <conditionalFormatting sqref="C1996 A1996 E1996:H1996 O1996:R1996 M1996 H1997:H2018 J1996">
    <cfRule type="expression" dxfId="0" priority="3651">
      <formula>(#REF!&lt;&gt;"")*(#REF!&lt;&gt;"")</formula>
    </cfRule>
  </conditionalFormatting>
  <conditionalFormatting sqref="M2002 P2002:Q2002 Q1999 M1999">
    <cfRule type="expression" dxfId="0" priority="3673">
      <formula>(#REF!&lt;&gt;"")*(#REF!&lt;&gt;"")</formula>
    </cfRule>
  </conditionalFormatting>
  <conditionalFormatting sqref="J2024:J2025 J2028:J2031">
    <cfRule type="expression" dxfId="1" priority="3665">
      <formula>(#REF!&lt;&gt;"")*(J$1&lt;&gt;"")</formula>
    </cfRule>
  </conditionalFormatting>
  <conditionalFormatting sqref="M2087 M2090:M2091">
    <cfRule type="expression" dxfId="0" priority="3531">
      <formula>(#REF!&lt;&gt;"")*(#REF!&lt;&gt;"")</formula>
    </cfRule>
  </conditionalFormatting>
  <conditionalFormatting sqref="Q2087 Q2090:Q2091">
    <cfRule type="expression" dxfId="0" priority="3532">
      <formula>(#REF!&lt;&gt;"")*(#REF!&lt;&gt;"")</formula>
    </cfRule>
  </conditionalFormatting>
  <conditionalFormatting sqref="Q2128 Q2130">
    <cfRule type="expression" dxfId="0" priority="3544">
      <formula>(#REF!&lt;&gt;"")*(#REF!&lt;&gt;"")</formula>
    </cfRule>
  </conditionalFormatting>
  <conditionalFormatting sqref="J4252:J4256 H4252:H4253">
    <cfRule type="expression" dxfId="1" priority="3158">
      <formula>(#REF!&lt;&gt;"")*(H$1&lt;&gt;"")</formula>
    </cfRule>
  </conditionalFormatting>
  <conditionalFormatting sqref="M4265 M4257">
    <cfRule type="expression" dxfId="3" priority="3416">
      <formula>(#REF!&lt;&gt;"")*(#REF!&lt;&gt;"")</formula>
    </cfRule>
  </conditionalFormatting>
  <conditionalFormatting sqref="L4339 M4304:M4305 Q4305 H4304:H4305 N4500:Q4501 O4497:Q4497 M4388:Q4388 O4361:Q4361 N4362:Q4363 O4353:Q4353 M4355:Q4357 K4351:Q4351 N4359:Q4360 M4352:Q4352 M4350:Q4350 N4354:Q4354 O4358:Q4358 M4498:Q4498 O4311:P4311 M4442:M4443 M4376:M4379 M4333:M4334 H4323:H4334 M4312:M4317">
    <cfRule type="expression" dxfId="3" priority="3208">
      <formula>(#REF!&lt;&gt;"")*(#REF!&lt;&gt;"")</formula>
    </cfRule>
  </conditionalFormatting>
  <conditionalFormatting sqref="M4444:M4446 M4472:M4476 M4478 H4308 H4311">
    <cfRule type="expression" dxfId="3" priority="3414">
      <formula>(#REF!&lt;&gt;"")*(#REF!&lt;&gt;"")</formula>
    </cfRule>
  </conditionalFormatting>
  <conditionalFormatting sqref="Q4310 M4310">
    <cfRule type="expression" dxfId="3" priority="3165">
      <formula>(#REF!&lt;&gt;"")*(#REF!&lt;&gt;"")</formula>
    </cfRule>
  </conditionalFormatting>
  <conditionalFormatting sqref="A4311 E4311:G4311 J4311:K4311 P4498:Q4498">
    <cfRule type="expression" dxfId="3" priority="3413">
      <formula>(#REF!&lt;&gt;"")*(#REF!&lt;&gt;"")</formula>
    </cfRule>
  </conditionalFormatting>
  <conditionalFormatting sqref="K4311 U4311 Q4311 M4311">
    <cfRule type="expression" dxfId="3" priority="3415">
      <formula>(#REF!&lt;&gt;"")*(#REF!&lt;&gt;"")</formula>
    </cfRule>
  </conditionalFormatting>
  <conditionalFormatting sqref="P4319:Q4321 E4319:G4321 J4319:K4320 A4321 J4321">
    <cfRule type="expression" dxfId="3" priority="3391">
      <formula>(#REF!&lt;&gt;"")*(#REF!&lt;&gt;"")</formula>
    </cfRule>
  </conditionalFormatting>
  <conditionalFormatting sqref="T4319 K4319 U4319:U4321 T4321">
    <cfRule type="expression" dxfId="3" priority="3389">
      <formula>(#REF!&lt;&gt;"")*(#REF!&lt;&gt;"")</formula>
    </cfRule>
  </conditionalFormatting>
  <conditionalFormatting sqref="T4320 K4320">
    <cfRule type="expression" dxfId="3" priority="3387">
      <formula>(#REF!&lt;&gt;"")*(#REF!&lt;&gt;"")</formula>
    </cfRule>
  </conditionalFormatting>
  <conditionalFormatting sqref="E4322:G4322 J4322 A4322">
    <cfRule type="expression" dxfId="1" priority="3200">
      <formula>(#REF!&lt;&gt;"")*(#REF!&lt;&gt;"")</formula>
    </cfRule>
  </conditionalFormatting>
  <conditionalFormatting sqref="M4340:M4341 H4338:H4343">
    <cfRule type="expression" dxfId="3" priority="3333">
      <formula>(#REF!&lt;&gt;"")*(#REF!&lt;&gt;"")</formula>
    </cfRule>
  </conditionalFormatting>
  <conditionalFormatting sqref="L4342 T4499 C4499 A4499 E4499:H4499 M4497:M4498 J4499:Q4499">
    <cfRule type="expression" dxfId="3" priority="3206">
      <formula>(#REF!&lt;&gt;"")*(#REF!&lt;&gt;"")</formula>
    </cfRule>
  </conditionalFormatting>
  <conditionalFormatting sqref="A4350 K4350 K4352 A4352">
    <cfRule type="expression" dxfId="3" priority="3380">
      <formula>(#REF!&lt;&gt;"")*(#REF!&lt;&gt;"")</formula>
    </cfRule>
  </conditionalFormatting>
  <conditionalFormatting sqref="C4362 C4350 A4350 Q4350 E4350:H4350 Q4352 A4352 E4352:H4352 C4352 A4354 E4354:H4354 Q4354 C4357:C4358 T4350:T4352 T4355:T4358 Q4359:Q4360 E4362:H4362 Q4362 E4357:H4360 M4359:O4360 M4352:O4352 M4350:O4350 L4362:O4362 J4359:K4360 J4362 J4358:M4358 J4357:K4357 J4354:O4354 J4352:K4352 J4350:K4350">
    <cfRule type="expression" dxfId="3" priority="3384">
      <formula>(#REF!&lt;&gt;"")*(#REF!&lt;&gt;"")</formula>
    </cfRule>
  </conditionalFormatting>
  <conditionalFormatting sqref="P4350:Q4350 P4352:Q4352 P4354:Q4354">
    <cfRule type="expression" dxfId="3" priority="3383">
      <formula>(#REF!&lt;&gt;"")*(#REF!&lt;&gt;"")</formula>
    </cfRule>
  </conditionalFormatting>
  <conditionalFormatting sqref="C4351 A4351 Q4351 E4351:H4351 J4351:O4351">
    <cfRule type="expression" dxfId="3" priority="3370">
      <formula>(#REF!&lt;&gt;"")*(#REF!&lt;&gt;"")</formula>
    </cfRule>
  </conditionalFormatting>
  <conditionalFormatting sqref="A4353 C4353 E4353:H4353 K4353">
    <cfRule type="expression" dxfId="3" priority="3359">
      <formula>(#REF!&lt;&gt;"")*(#REF!&lt;&gt;"")</formula>
    </cfRule>
  </conditionalFormatting>
  <conditionalFormatting sqref="Q4353 E4353:H4353 A4353 O4353 M4353 J4353:K4353">
    <cfRule type="expression" dxfId="3" priority="3361">
      <formula>(#REF!&lt;&gt;"")*(#REF!&lt;&gt;"")</formula>
    </cfRule>
  </conditionalFormatting>
  <conditionalFormatting sqref="C4356 A4356 K4356 E4356:G4356 M4354 T4353:T4354 T4359:T4361 H4359:H4360">
    <cfRule type="expression" dxfId="3" priority="3381">
      <formula>(#REF!&lt;&gt;"")*(#REF!&lt;&gt;"")</formula>
    </cfRule>
  </conditionalFormatting>
  <conditionalFormatting sqref="H4356 K4354:L4354 E4354:H4354 C4354 A4354">
    <cfRule type="expression" dxfId="3" priority="3382">
      <formula>(#REF!&lt;&gt;"")*(#REF!&lt;&gt;"")</formula>
    </cfRule>
  </conditionalFormatting>
  <conditionalFormatting sqref="A4355 K4355 E4355:G4355">
    <cfRule type="expression" dxfId="3" priority="3363">
      <formula>(#REF!&lt;&gt;"")*(#REF!&lt;&gt;"")</formula>
    </cfRule>
  </conditionalFormatting>
  <conditionalFormatting sqref="Q4355 E4355:H4355 A4355 M4355:O4355 J4355:K4355">
    <cfRule type="expression" dxfId="3" priority="3366">
      <formula>(#REF!&lt;&gt;"")*(#REF!&lt;&gt;"")</formula>
    </cfRule>
  </conditionalFormatting>
  <conditionalFormatting sqref="Q4356 E4356:H4356 A4356:A4360 A4362 M4356:O4356 J4356:K4356">
    <cfRule type="expression" dxfId="3" priority="3386">
      <formula>(#REF!&lt;&gt;"")*(#REF!&lt;&gt;"")</formula>
    </cfRule>
  </conditionalFormatting>
  <conditionalFormatting sqref="P4356:Q4360 P4362:Q4362">
    <cfRule type="expression" dxfId="3" priority="3385">
      <formula>(#REF!&lt;&gt;"")*(#REF!&lt;&gt;"")</formula>
    </cfRule>
  </conditionalFormatting>
  <conditionalFormatting sqref="C4359:C4360 E4359:E4360">
    <cfRule type="expression" dxfId="3" priority="3379">
      <formula>(#REF!&lt;&gt;"")*(#REF!&lt;&gt;"")</formula>
    </cfRule>
  </conditionalFormatting>
  <conditionalFormatting sqref="F4359:H4360">
    <cfRule type="expression" dxfId="3" priority="3373">
      <formula>(#REF!&lt;&gt;"")*(#REF!&lt;&gt;"")</formula>
    </cfRule>
  </conditionalFormatting>
  <conditionalFormatting sqref="K4359:K4360 M4359:M4360">
    <cfRule type="expression" dxfId="3" priority="3375">
      <formula>(#REF!&lt;&gt;"")*(#REF!&lt;&gt;"")</formula>
    </cfRule>
  </conditionalFormatting>
  <conditionalFormatting sqref="C4361 E4361">
    <cfRule type="expression" dxfId="3" priority="3345">
      <formula>(#REF!&lt;&gt;"")*(#REF!&lt;&gt;"")</formula>
    </cfRule>
  </conditionalFormatting>
  <conditionalFormatting sqref="Q4361 E4361:G4361 J4361 O4361 L4362:L4366 L4361:M4361">
    <cfRule type="expression" dxfId="3" priority="3346">
      <formula>(#REF!&lt;&gt;"")*(#REF!&lt;&gt;"")</formula>
    </cfRule>
  </conditionalFormatting>
  <conditionalFormatting sqref="L4361:M4361 L4362:L4366">
    <cfRule type="expression" dxfId="3" priority="3344">
      <formula>(#REF!&lt;&gt;"")*(#REF!&lt;&gt;"")</formula>
    </cfRule>
  </conditionalFormatting>
  <conditionalFormatting sqref="C4363 Q4363 E4363:H4363 A4363 L4363:O4363 J4363">
    <cfRule type="expression" dxfId="3" priority="3355">
      <formula>(#REF!&lt;&gt;"")*(#REF!&lt;&gt;"")</formula>
    </cfRule>
  </conditionalFormatting>
  <conditionalFormatting sqref="M4364:M4365 Q4364:Q4365">
    <cfRule type="expression" dxfId="3" priority="3349">
      <formula>(#REF!&lt;&gt;"")*(#REF!&lt;&gt;"")</formula>
    </cfRule>
  </conditionalFormatting>
  <conditionalFormatting sqref="P4371:Q4371 M4371 M4381">
    <cfRule type="expression" dxfId="3" priority="3329">
      <formula>(#REF!&lt;&gt;"")*(#REF!&lt;&gt;"")</formula>
    </cfRule>
  </conditionalFormatting>
  <conditionalFormatting sqref="O4374 Q4373 O4376">
    <cfRule type="expression" dxfId="3" priority="3323">
      <formula>(#REF!&lt;&gt;"")*(#REF!&lt;&gt;"")</formula>
    </cfRule>
  </conditionalFormatting>
  <conditionalFormatting sqref="M4375 Q4375">
    <cfRule type="expression" dxfId="3" priority="3326">
      <formula>(#REF!&lt;&gt;"")*(#REF!&lt;&gt;"")</formula>
    </cfRule>
  </conditionalFormatting>
  <conditionalFormatting sqref="E4388:H4388 A4388 C4388 J4388:K4388">
    <cfRule type="expression" dxfId="3" priority="3300">
      <formula>(#REF!&lt;&gt;"")*(#REF!&lt;&gt;"")</formula>
    </cfRule>
  </conditionalFormatting>
  <conditionalFormatting sqref="J4395 J4399:J4400">
    <cfRule type="expression" dxfId="3" priority="3301">
      <formula>(#REF!&lt;&gt;"")*(#REF!&lt;&gt;"")</formula>
    </cfRule>
  </conditionalFormatting>
  <conditionalFormatting sqref="M4440:M4441 M4480:M4482">
    <cfRule type="expression" dxfId="3" priority="3297">
      <formula>(#REF!&lt;&gt;"")*(#REF!&lt;&gt;"")</formula>
    </cfRule>
  </conditionalFormatting>
  <conditionalFormatting sqref="M4518 Q4518 M4514:M4515 A4500 E4500:H4500 Q4500 A4496 E4496:H4496 C4496 N4500:O4500 J4500:K4500">
    <cfRule type="expression" dxfId="3" priority="3286">
      <formula>(#REF!&lt;&gt;"")*(#REF!&lt;&gt;"")</formula>
    </cfRule>
  </conditionalFormatting>
  <conditionalFormatting sqref="T4500 J4496 T4502">
    <cfRule type="expression" dxfId="3" priority="3276">
      <formula>(#REF!&lt;&gt;"")*(#REF!&lt;&gt;"")</formula>
    </cfRule>
  </conditionalFormatting>
  <conditionalFormatting sqref="M4496 T4496">
    <cfRule type="expression" dxfId="3" priority="3268">
      <formula>(#REF!&lt;&gt;"")*(#REF!&lt;&gt;"")</formula>
    </cfRule>
  </conditionalFormatting>
  <conditionalFormatting sqref="Q4496 M4496:O4496">
    <cfRule type="expression" dxfId="3" priority="3270">
      <formula>(#REF!&lt;&gt;"")*(#REF!&lt;&gt;"")</formula>
    </cfRule>
  </conditionalFormatting>
  <conditionalFormatting sqref="K4497 A4497 M4497">
    <cfRule type="expression" dxfId="3" priority="3263">
      <formula>(#REF!&lt;&gt;"")*(#REF!&lt;&gt;"")</formula>
    </cfRule>
  </conditionalFormatting>
  <conditionalFormatting sqref="Q4497 A4497 E4497:H4497 C4497 O4497 M4497 J4497:K4497">
    <cfRule type="expression" dxfId="3" priority="3265">
      <formula>(#REF!&lt;&gt;"")*(#REF!&lt;&gt;"")</formula>
    </cfRule>
  </conditionalFormatting>
  <conditionalFormatting sqref="A4498 E4498:H4498 C4498">
    <cfRule type="expression" dxfId="3" priority="3248">
      <formula>(#REF!&lt;&gt;"")*(#REF!&lt;&gt;"")</formula>
    </cfRule>
  </conditionalFormatting>
  <conditionalFormatting sqref="A4500 K4500 E4500:G4500">
    <cfRule type="expression" dxfId="3" priority="3273">
      <formula>(#REF!&lt;&gt;"")*(#REF!&lt;&gt;"")</formula>
    </cfRule>
  </conditionalFormatting>
  <conditionalFormatting sqref="H4500 P4502:Q4502">
    <cfRule type="expression" dxfId="3" priority="3275">
      <formula>(#REF!&lt;&gt;"")*(#REF!&lt;&gt;"")</formula>
    </cfRule>
  </conditionalFormatting>
  <conditionalFormatting sqref="C4501 Q4501 E4501:H4501 A4501 N4501:O4501 J4501:K4501">
    <cfRule type="expression" dxfId="3" priority="3258">
      <formula>(#REF!&lt;&gt;"")*(#REF!&lt;&gt;"")</formula>
    </cfRule>
  </conditionalFormatting>
  <conditionalFormatting sqref="A4502 E4502:H4502 Q4502 C4502 N4502:O4502 J4502:K4502">
    <cfRule type="expression" dxfId="3" priority="3287">
      <formula>(#REF!&lt;&gt;"")*(#REF!&lt;&gt;"")</formula>
    </cfRule>
  </conditionalFormatting>
  <conditionalFormatting sqref="P4502:Q4502 P4505:Q4505">
    <cfRule type="expression" dxfId="3" priority="3285">
      <formula>(#REF!&lt;&gt;"")*(#REF!&lt;&gt;"")</formula>
    </cfRule>
  </conditionalFormatting>
  <conditionalFormatting sqref="M4505 P4505:Q4505">
    <cfRule type="expression" dxfId="3" priority="3253">
      <formula>(#REF!&lt;&gt;"")*(#REF!&lt;&gt;"")</formula>
    </cfRule>
  </conditionalFormatting>
  <conditionalFormatting sqref="K4642:O4642 Q4618 T4642 Q4642 H5104 L5105:N5105 Q5080:Q5103 E5080:H5103 A5080:A5103 T5177 E5177:H5177 A5177 Q5177 A5106:A5107 E5106:H5107 Q4681:Q4698 G4681:G4698 H5174 E4554:H4565 A4554:A4565 Q4554:Q4565 T4554:T4565 K4618:O4618 T4618 L5108:N5109 C5210 A5210 K5210:L5210 Q5070 E5070:H5070 A5070 A5117:A5161 Q5116:Q5161 Q4991:Q5042 A4991:A4992 T5070:T5103 T5116:T5173 A5173 E4994:H5042 E4992:G4992 F4535:G4535 E4529:G4529 A4529 Q4529 E4527:G4527 A4527 Q4527 Q4531:Q4534 A4531:A4534 E4531:G4534 F4537:G4537 O4535:O4537 Q4537 T4537 J4537:M4537 J4531:O4534 J4527:O4527 J4529:O4529 J4535:M4535 E4523:G4525 H4523:H4537 E5173:H5173 T4991:T5042 T4967 Q4522:Q4525 T4522:T4534 A4522:A4525 E4522:H4522 A4994:A5042 N4993:O4993 E5117:H5161 E5210:G5210 E5163:H5168 Q5163:Q5169 A5163:A5168 E4991:H4991 N5169:O5169 O5172 Q5172:Q5173 A5072:A5078 E5072:H5078 Q5072:Q5078 H4992:H4993 J5072:O5078 J4991:O4992 J5163:O5168 J5116:O5161 J4522:O4525 J5173:O5173 J4994:O5042 J5070:O5070 J4554:O4565 J5106:N5107 J5177:O5177 J5080:O5103 J5104:N5104">
    <cfRule type="expression" dxfId="0" priority="3154">
      <formula>(#REF!&lt;&gt;"")*(#REF!&lt;&gt;"")</formula>
    </cfRule>
  </conditionalFormatting>
  <conditionalFormatting sqref="M4642 M5080:M5105 M5177 M4672:M4676 Q4674:Q4676 T4674:T4676 L4674:L4676 N4674:O4676 T4681:T4698 H4681:H4698 M4554:M4565 M4618 M5070 M5116:M5161 C5200 A5200 K5200:Q5200 E4752:G4755 A4752:A4755 L4750:O4753 Q4750:Q4770 L4763:O4770 L4771:N4771 L4772:M4776 Q4772:Q4776 L4777:L4781 L4783 M5173 J4752:K4755 T4746:T4791 M4522:M4525 M4529 M4527 M4531:M4535 M4537 L4755:O4755 L4754:N4754 L5201 T5198:T5208 A4982:A4986 E4982:F4986 E4968:F4972 A4968:A4972 A4974:A4978 E4974:F4978 E4980:F4980 A4980 T5921 E5921:H5921 A5962:A5975 C5962:C5975 C5777:C5889 A5777:A5889 E5200:H5200 M5163:M5168 A5919 C5919 J5984:Q5984 C6083:C6092 A6083:A6092 E6083:H6092 E6050:H6079 A6046 C6046 E6046:H6046 T5977:T6079 E6048:H6048 C6048 A6048 M5072:M5078 A5957:A5960 C5957:C5960 J6094:R6096 E6094:H6115 J6098:R6098 J6097:M6097 O6097:R6097 J6099:M6099 O6099:R6099 T6083:T6115 C5908:C5917 A5908:A5917 A6094:A6115 C6094:C6115 C6050:C6079 A6050:A6079 C5977:C6044 A5977:A6044 C5940:C5955 A5940:A5955 A5921:A5938 C5921:C5938 E5977:H6044 J5985:R6044 J6048:R6048 J6046:R6046 J6100:R6115 J6050:R6079 J6083:R6092 J5977:R5983 J5921:R5921 J4681:O4698">
    <cfRule type="expression" dxfId="0" priority="3153">
      <formula>(#REF!&lt;&gt;"")*(#REF!&lt;&gt;"")</formula>
    </cfRule>
  </conditionalFormatting>
  <conditionalFormatting sqref="P4618:Q4618 P4642:Q4642 P5080:Q5103 P5177:Q5177 P4674:Q4676 P4681:P4698 P5070:Q5070 P5116:Q5161 Q4953:Q4957 P4750:Q4770 Q4772:Q4776 P4991:Q5042 P4532:Q4532 Q4531 P4534:Q4534 Q4533 P4543:Q4549 P4529:Q4529 P4527:Q4527 P4554:Q4565 Q4550 P4537:Q4541 P4535:P4536 P4967:Q4967 P4522:Q4525 P5921:Q5921 P6050:Q6079 P6083:Q6092 P5163:Q5169 P5977:Q6044 P5172:Q5173 P6046:Q6046 P6048:Q6048 P5072:Q5078 P6094:Q6115">
    <cfRule type="expression" dxfId="1" priority="3155">
      <formula>(#REF!&lt;&gt;"")*(#REF!&lt;&gt;"")</formula>
    </cfRule>
  </conditionalFormatting>
  <conditionalFormatting sqref="M5179:M5185 E4988:G4989 Q4699 A4699:A4700 A4716 T4716:T4732 K5191:R5192 K5188:M5190 K5187 T5195:T5197 N4701:O4703 M5209:M5210 L4747:L4748 Q4746:Q4748 M4746:O4748 L4756:L4757 L4789:O4791 T5049:T5055 A5049 T4792 A4792 Q4792 E4792:H4792 T4538:T4553 A4551 E4551:H4551 Q4551:R4551 A4988:A4989 J5182:L5182 J5183:K5183 A5184 L4759:N4762 A4756:A4757 M4756:O4756 Q4783:Q4785 M4783:O4783 C5201 A5201 K5201 M5201:Q5201 E5209:H5209 A4914 O4924 J4927:O4927 N4925:O4925 E4681:F4698 Q4967 Q5043:Q5044 Q5069 T5067:T5069 Q5067 E4538:H4538 Q4543:Q4550 L4548:L4550 H4539:H4550 T4910:T4935 E4939:H4939 T4937 A4946 T4946 A4948 A4950 T4948 T4950 T4952:T4964 Q5175:Q5176 A4642 L4672:O4672 A4646:A4662 L4644:O4644 A4664:A4671 Q4643:Q4673 T4643:T4673 N4645:O4671 T4582:T4617 E4582:H4617 Q4576:Q4617 A5069 E5116:F5116 H5116 E5104:G5104 E5105:H5105 C5182:C5186 G5067:H5067 G4642:H4642 G5069:H5069 E5079:H5079 Q5079 A5174:A5176 E5174:G5176 T4677:T4680 E4643:H4680 E5067:F5068 H5068 G5191:G5192 N4567:O4573 A4566:A4618 Q4566:Q4573 T4566:T4580 E4573:H4580 L5193:R5194 K5195:R5197 L4739 E4737:H4738 A4737:A4738 C5188:C5199 A5187:A5199 K5198:Q5199 T4619:T4641 Q4619:Q4641 E4619:H4641 N4711 N4710:O4710 T4713 M4710:M4711 Q4710:Q4711 Q4713 J4747:K4751 O4757:O4762 E4756:G4762 E5178:H5178 A5178 Q5178 E4699:H4735 O4713 T4699:T4711 O4771 H4747:H4790 J4756:K4778 A4759:A4779 Q4777:Q4779 M4780:M4781 J4779:J4784 A4952:A4959 J4965:O4965 J4966 E4780:G4791 A5043:A5045 T5043:T5047 A4916:A4925 E4911:G4927 O4926 A4927:A4935 O4928 J4928:M4928 E4930:H4937 O4936 A4937:A4939 O4938 O4945 Q4923:Q4939 O4947 O4949 Q4950:Q4957 O4951 A4538:A4547 E4539:G4547 M4539:O4550 J4539:L4547 A4528 E4528:G4528 O4528 J4528:M4528 A4526 E4526:G4526 O4526 J4526:M4526 A4530 E4530:G4530 O4530 J4530:M4530 E4548:E4550 J4536:M4536 E4535:E4537 Q4535:Q4536 E4742:G4742 O5046:O5048 Q5046:Q5053 E5045:H5052 L5055:M5055 T5209:T5211 Q4910:Q4921 E4910:H4910 N4910:O4923 O5050:O5057 E5053:G5056 E5108:H5113 L4552:O4553 H4552:H4553 E4552:E4553 N5202:Q5203 O5204:Q5204 Q5210:R5210 P5205:Q5207 E4967:H4967 A5609:A5659 C5609:C5659 F5191:F5199 F5201:G5201 F5182:G5186 J5184:L5184 N5182:R5190 F5188:G5190 T5174:T5176 J5174:O5176 P5954:R5955 A5530:A5601 C5530:C5601 C5604 E5604:H5604 A5604 E5922:H5922 E5940:G5952 E5530:H5601 J5940:R5952 E5923:G5938 H5923:H5953 O5394:O5395 T5383:U5384 L5602:R5602 A5464:A5473 Q5467:Q5473 H5210:H5211 H4911:H4928 H4965:H4966 E5777:H5889 P5758:R5769 Q5211:Q5215 A4941 E4941:H4941 Q4941 Q4943:Q4948 E4943:H4960 A4943:A4944 T4939:T4944 P5957:Q5975 R5957:R5976 C5663 A5663 C5661 A5661 A5665:A5751 C5665:C5751 T5940:T5976 T5530:T5769 T5467:T5474 T5777:T5897 T5922:T5938 P5918 K5918 M5918 T5906:T5918 Q5918:Q5920 A5758:A5774 C5758:C5774 M5441:M5442 Q5441:Q5443 M5413 M5385:M5397 Q5385:Q5386 T5179:T5192 E5179:E5204 H5179:H5204 A4965:A4967 Q4959:Q4965 J4943:O4944 J4941:O4941 J5777:R5889 J5530:R5601 J5922:R5938 J5604:R5604 J4967:O4967 J4952:O4961 J5108:K5113 J4910:M4926 J5050:M5054 J5046:M5048 J4951:M4951 J4949:M4949 J4947:M4947 J4945:M4945 J4936:M4936 J5045:O5045 J4701:L4715 J5178:O5178 J4619:O4641 J4737:O4738 J4716:O4735 J4573:L4573 J4677:O4679 J5079:O5079 J4642 J5067:O5069 J4672:K4676 J5105:K5105 J4574:O4580 J4582:O4617 J4646:M4671 J4644:K4645 J4643:O4643 J4950:O4950 J4948:O4948 J4946:O4946 J4939:O4939 J4937:O4937 J4929:O4935 J4538:O4538 J4551:O4551 J4792:O4792 J5049:O5049 J4699:O4700">
    <cfRule type="expression" dxfId="0" priority="3151">
      <formula>(#REF!&lt;&gt;"")*(#REF!&lt;&gt;"")</formula>
    </cfRule>
  </conditionalFormatting>
  <conditionalFormatting sqref="F4549:G4550">
    <cfRule type="expression" dxfId="0" priority="2674">
      <formula>(#REF!&lt;&gt;"")*(#REF!&lt;&gt;"")</formula>
    </cfRule>
  </conditionalFormatting>
  <conditionalFormatting sqref="P4699:Q4699 P4700:P4703 P4716 P4746:Q4748 P4783:Q4783 Q4784:Q4785 P4959:Q4959 P5049:Q5049 P4792:Q4792 P4551:Q4551 P5069:Q5069 P5067:Q5067 P4953:P4957 P4923:Q4925 P4927:Q4927 P4929:Q4935 P4937:Q4937 P4939:Q4939 P4946:Q4946 P4948:Q4948 P4950:Q4950 P4952:Q4952 P4643:Q4662 P4664:Q4672 P4576:Q4580 P4582:Q4617 Q4734:Q4735 P4737:P4738 P4710 Q4710:Q4711 P4713:Q4713 P5777:Q5889 P5954:Q5955 P5530:Q5602 P5922:Q5938 P5940:Q5952 P5604:Q5604 P5758:Q5769 P4941:Q4941 P4943:Q4944 P5957:Q5975 Y6080:Y6082 P5918 Q5918:Q5920 Q5444:Q5446 P5387:Q5390 J5385:J5386 Q5385:Q5386">
    <cfRule type="expression" dxfId="1" priority="3152">
      <formula>(#REF!&lt;&gt;"")*(#REF!&lt;&gt;"")</formula>
    </cfRule>
  </conditionalFormatting>
  <conditionalFormatting sqref="E4566:H4566 J4566:O4566">
    <cfRule type="expression" dxfId="0" priority="2999">
      <formula>(#REF!&lt;&gt;"")*(#REF!&lt;&gt;"")</formula>
    </cfRule>
  </conditionalFormatting>
  <conditionalFormatting sqref="P4566:Q4573">
    <cfRule type="expression" dxfId="1" priority="3004">
      <formula>(#REF!&lt;&gt;"")*(#REF!&lt;&gt;"")</formula>
    </cfRule>
  </conditionalFormatting>
  <conditionalFormatting sqref="E4567:H4572 J4567:M4572">
    <cfRule type="expression" dxfId="0" priority="3003">
      <formula>(#REF!&lt;&gt;"")*(#REF!&lt;&gt;"")</formula>
    </cfRule>
  </conditionalFormatting>
  <conditionalFormatting sqref="E4581:H4581 J4581:O4581">
    <cfRule type="expression" dxfId="0" priority="3064">
      <formula>(#REF!&lt;&gt;"")*(#REF!&lt;&gt;"")</formula>
    </cfRule>
  </conditionalFormatting>
  <conditionalFormatting sqref="E4618:H4618 J4618">
    <cfRule type="expression" dxfId="0" priority="3089">
      <formula>(#REF!&lt;&gt;"")*(#REF!&lt;&gt;"")</formula>
    </cfRule>
  </conditionalFormatting>
  <conditionalFormatting sqref="P4619:Q4640">
    <cfRule type="expression" dxfId="1" priority="3074">
      <formula>(#REF!&lt;&gt;"")*(#REF!&lt;&gt;"")</formula>
    </cfRule>
  </conditionalFormatting>
  <conditionalFormatting sqref="N4704:O4708">
    <cfRule type="expression" dxfId="0" priority="2952">
      <formula>(#REF!&lt;&gt;"")*(#REF!&lt;&gt;"")</formula>
    </cfRule>
  </conditionalFormatting>
  <conditionalFormatting sqref="E4736:H4736 J4736:O4736">
    <cfRule type="expression" dxfId="0" priority="2945">
      <formula>(#REF!&lt;&gt;"")*(#REF!&lt;&gt;"")</formula>
    </cfRule>
  </conditionalFormatting>
  <conditionalFormatting sqref="E4739:H4739 J4739:K4739">
    <cfRule type="expression" dxfId="0" priority="2894">
      <formula>(#REF!&lt;&gt;"")*(#REF!&lt;&gt;"")</formula>
    </cfRule>
  </conditionalFormatting>
  <conditionalFormatting sqref="E4740:H4740 J4740:K4740">
    <cfRule type="expression" dxfId="0" priority="2735">
      <formula>(#REF!&lt;&gt;"")*(#REF!&lt;&gt;"")</formula>
    </cfRule>
  </conditionalFormatting>
  <conditionalFormatting sqref="E4741:H4741 J4741:K4741">
    <cfRule type="expression" dxfId="0" priority="2727">
      <formula>(#REF!&lt;&gt;"")*(#REF!&lt;&gt;"")</formula>
    </cfRule>
  </conditionalFormatting>
  <conditionalFormatting sqref="E4746:H4746 J4746:L4746">
    <cfRule type="expression" dxfId="0" priority="2937">
      <formula>(#REF!&lt;&gt;"")*(#REF!&lt;&gt;"")</formula>
    </cfRule>
  </conditionalFormatting>
  <conditionalFormatting sqref="E4763:G4764">
    <cfRule type="expression" dxfId="0" priority="2915">
      <formula>(#REF!&lt;&gt;"")*(#REF!&lt;&gt;"")</formula>
    </cfRule>
  </conditionalFormatting>
  <conditionalFormatting sqref="E4771:G4774">
    <cfRule type="expression" dxfId="0" priority="2886">
      <formula>(#REF!&lt;&gt;"")*(#REF!&lt;&gt;"")</formula>
    </cfRule>
  </conditionalFormatting>
  <conditionalFormatting sqref="Q4822:Q4823 L4822:O4822 L4817:M4817 T4806:T4821 A4793 Q4793 L4793:O4793 E4793:H4822 N4823:O4823 J4793 J4822">
    <cfRule type="expression" dxfId="0" priority="2508">
      <formula>(#REF!&lt;&gt;"")*(#REF!&lt;&gt;"")</formula>
    </cfRule>
  </conditionalFormatting>
  <conditionalFormatting sqref="T4798:T4804 T4793:T4795">
    <cfRule type="expression" dxfId="0" priority="2510">
      <formula>(#REF!&lt;&gt;"")*(#REF!&lt;&gt;"")</formula>
    </cfRule>
  </conditionalFormatting>
  <conditionalFormatting sqref="H4794 J4794">
    <cfRule type="expression" dxfId="0" priority="2506">
      <formula>(#REF!&lt;&gt;"")*(#REF!&lt;&gt;"")</formula>
    </cfRule>
  </conditionalFormatting>
  <conditionalFormatting sqref="H4795 J4795">
    <cfRule type="expression" dxfId="0" priority="2497">
      <formula>(#REF!&lt;&gt;"")*(#REF!&lt;&gt;"")</formula>
    </cfRule>
  </conditionalFormatting>
  <conditionalFormatting sqref="H4796 J4796">
    <cfRule type="expression" dxfId="0" priority="2488">
      <formula>(#REF!&lt;&gt;"")*(#REF!&lt;&gt;"")</formula>
    </cfRule>
  </conditionalFormatting>
  <conditionalFormatting sqref="H4797 J4797">
    <cfRule type="expression" dxfId="0" priority="2481">
      <formula>(#REF!&lt;&gt;"")*(#REF!&lt;&gt;"")</formula>
    </cfRule>
  </conditionalFormatting>
  <conditionalFormatting sqref="H4798 J4798">
    <cfRule type="expression" dxfId="0" priority="2474">
      <formula>(#REF!&lt;&gt;"")*(#REF!&lt;&gt;"")</formula>
    </cfRule>
  </conditionalFormatting>
  <conditionalFormatting sqref="H4799 J4799">
    <cfRule type="expression" dxfId="0" priority="2465">
      <formula>(#REF!&lt;&gt;"")*(#REF!&lt;&gt;"")</formula>
    </cfRule>
  </conditionalFormatting>
  <conditionalFormatting sqref="H4800 J4800">
    <cfRule type="expression" dxfId="0" priority="2456">
      <formula>(#REF!&lt;&gt;"")*(#REF!&lt;&gt;"")</formula>
    </cfRule>
  </conditionalFormatting>
  <conditionalFormatting sqref="H4801 J4801">
    <cfRule type="expression" dxfId="0" priority="2447">
      <formula>(#REF!&lt;&gt;"")*(#REF!&lt;&gt;"")</formula>
    </cfRule>
  </conditionalFormatting>
  <conditionalFormatting sqref="H4802 J4802">
    <cfRule type="expression" dxfId="0" priority="2438">
      <formula>(#REF!&lt;&gt;"")*(#REF!&lt;&gt;"")</formula>
    </cfRule>
  </conditionalFormatting>
  <conditionalFormatting sqref="H4803 J4803">
    <cfRule type="expression" dxfId="0" priority="2429">
      <formula>(#REF!&lt;&gt;"")*(#REF!&lt;&gt;"")</formula>
    </cfRule>
  </conditionalFormatting>
  <conditionalFormatting sqref="H4804 J4804">
    <cfRule type="expression" dxfId="0" priority="2420">
      <formula>(#REF!&lt;&gt;"")*(#REF!&lt;&gt;"")</formula>
    </cfRule>
  </conditionalFormatting>
  <conditionalFormatting sqref="P4822:Q4823">
    <cfRule type="expression" dxfId="1" priority="2193">
      <formula>(#REF!&lt;&gt;"")*(#REF!&lt;&gt;"")</formula>
    </cfRule>
  </conditionalFormatting>
  <conditionalFormatting sqref="E4823:H4824 L4823:M4823 L4824 J4823:J4824">
    <cfRule type="expression" dxfId="0" priority="1982">
      <formula>(#REF!&lt;&gt;"")*(#REF!&lt;&gt;"")</formula>
    </cfRule>
  </conditionalFormatting>
  <conditionalFormatting sqref="Q4824 N4824:O4824">
    <cfRule type="expression" dxfId="0" priority="1458">
      <formula>(#REF!&lt;&gt;"")*(#REF!&lt;&gt;"")</formula>
    </cfRule>
  </conditionalFormatting>
  <conditionalFormatting sqref="E4825:H4825 L4825 J4825">
    <cfRule type="expression" dxfId="0" priority="1455">
      <formula>(#REF!&lt;&gt;"")*(#REF!&lt;&gt;"")</formula>
    </cfRule>
  </conditionalFormatting>
  <conditionalFormatting sqref="Q4825 N4825:O4825">
    <cfRule type="expression" dxfId="0" priority="1453">
      <formula>(#REF!&lt;&gt;"")*(#REF!&lt;&gt;"")</formula>
    </cfRule>
  </conditionalFormatting>
  <conditionalFormatting sqref="A4831 A4835 Q4831:Q4838 E4831:H4837 L4831:O4837 T4826:T4836 E4826:G4830 N4838 J4831:J4837">
    <cfRule type="expression" dxfId="0" priority="2191">
      <formula>(#REF!&lt;&gt;"")*(#REF!&lt;&gt;"")</formula>
    </cfRule>
  </conditionalFormatting>
  <conditionalFormatting sqref="P4831:Q4831 P4835:Q4835">
    <cfRule type="expression" dxfId="1" priority="2162">
      <formula>(#REF!&lt;&gt;"")*(#REF!&lt;&gt;"")</formula>
    </cfRule>
  </conditionalFormatting>
  <conditionalFormatting sqref="A4837:A4839 A4851">
    <cfRule type="expression" dxfId="0" priority="2132">
      <formula>(#REF!&lt;&gt;"")*(#REF!&lt;&gt;"")</formula>
    </cfRule>
  </conditionalFormatting>
  <conditionalFormatting sqref="P4837:Q4837 Q4838">
    <cfRule type="expression" dxfId="1" priority="2133">
      <formula>(#REF!&lt;&gt;"")*(#REF!&lt;&gt;"")</formula>
    </cfRule>
  </conditionalFormatting>
  <conditionalFormatting sqref="E4838:H4838 L4838:M4838 J4838">
    <cfRule type="expression" dxfId="0" priority="2129">
      <formula>(#REF!&lt;&gt;"")*(#REF!&lt;&gt;"")</formula>
    </cfRule>
  </conditionalFormatting>
  <conditionalFormatting sqref="O4838:O4839 O4851">
    <cfRule type="expression" dxfId="0" priority="2122">
      <formula>(#REF!&lt;&gt;"")*(#REF!&lt;&gt;"")</formula>
    </cfRule>
  </conditionalFormatting>
  <conditionalFormatting sqref="P4838:P4839 P4851">
    <cfRule type="expression" dxfId="1" priority="2121">
      <formula>(#REF!&lt;&gt;"")*(#REF!&lt;&gt;"")</formula>
    </cfRule>
  </conditionalFormatting>
  <conditionalFormatting sqref="E4839:H4839 L4839:M4839 L4851:M4851 H4851:H4886 J4839">
    <cfRule type="expression" dxfId="0" priority="2124">
      <formula>(#REF!&lt;&gt;"")*(#REF!&lt;&gt;"")</formula>
    </cfRule>
  </conditionalFormatting>
  <conditionalFormatting sqref="K4839 K4851">
    <cfRule type="expression" dxfId="0" priority="2123">
      <formula>(#REF!&lt;&gt;"")*(#REF!&lt;&gt;"")</formula>
    </cfRule>
  </conditionalFormatting>
  <conditionalFormatting sqref="Q4839 N4839 N4851 Q4851:Q4852 N4841 Q4841">
    <cfRule type="expression" dxfId="0" priority="2127">
      <formula>(#REF!&lt;&gt;"")*(#REF!&lt;&gt;"")</formula>
    </cfRule>
  </conditionalFormatting>
  <conditionalFormatting sqref="Q4839 Q4851:Q4852 Q4841">
    <cfRule type="expression" dxfId="1" priority="2126">
      <formula>(#REF!&lt;&gt;"")*(#REF!&lt;&gt;"")</formula>
    </cfRule>
  </conditionalFormatting>
  <conditionalFormatting sqref="T4839 T4851:T4865 T4841">
    <cfRule type="expression" dxfId="0" priority="2125">
      <formula>(#REF!&lt;&gt;"")*(#REF!&lt;&gt;"")</formula>
    </cfRule>
  </conditionalFormatting>
  <conditionalFormatting sqref="E4840:H4840 L4840:M4840 J4840">
    <cfRule type="expression" dxfId="0" priority="1997">
      <formula>(#REF!&lt;&gt;"")*(#REF!&lt;&gt;"")</formula>
    </cfRule>
  </conditionalFormatting>
  <conditionalFormatting sqref="E4841:H4841 L4841:M4841 J4841">
    <cfRule type="expression" dxfId="0" priority="2089">
      <formula>(#REF!&lt;&gt;"")*(#REF!&lt;&gt;"")</formula>
    </cfRule>
  </conditionalFormatting>
  <conditionalFormatting sqref="E4842:H4842 L4842:M4842 J4842">
    <cfRule type="expression" dxfId="0" priority="2083">
      <formula>(#REF!&lt;&gt;"")*(#REF!&lt;&gt;"")</formula>
    </cfRule>
  </conditionalFormatting>
  <conditionalFormatting sqref="Q4842 N4842">
    <cfRule type="expression" dxfId="0" priority="2087">
      <formula>(#REF!&lt;&gt;"")*(#REF!&lt;&gt;"")</formula>
    </cfRule>
  </conditionalFormatting>
  <conditionalFormatting sqref="E4843:H4843 L4843:M4843 J4843">
    <cfRule type="expression" dxfId="0" priority="1680">
      <formula>(#REF!&lt;&gt;"")*(#REF!&lt;&gt;"")</formula>
    </cfRule>
  </conditionalFormatting>
  <conditionalFormatting sqref="Q4843 N4843">
    <cfRule type="expression" dxfId="0" priority="1683">
      <formula>(#REF!&lt;&gt;"")*(#REF!&lt;&gt;"")</formula>
    </cfRule>
  </conditionalFormatting>
  <conditionalFormatting sqref="E4844:H4844 L4844:M4844 J4844">
    <cfRule type="expression" dxfId="0" priority="1590">
      <formula>(#REF!&lt;&gt;"")*(#REF!&lt;&gt;"")</formula>
    </cfRule>
  </conditionalFormatting>
  <conditionalFormatting sqref="Q4844 N4844">
    <cfRule type="expression" dxfId="0" priority="1593">
      <formula>(#REF!&lt;&gt;"")*(#REF!&lt;&gt;"")</formula>
    </cfRule>
  </conditionalFormatting>
  <conditionalFormatting sqref="E4845:H4845 L4845:M4845 J4845">
    <cfRule type="expression" dxfId="0" priority="1582">
      <formula>(#REF!&lt;&gt;"")*(#REF!&lt;&gt;"")</formula>
    </cfRule>
  </conditionalFormatting>
  <conditionalFormatting sqref="Q4845 N4845">
    <cfRule type="expression" dxfId="0" priority="1585">
      <formula>(#REF!&lt;&gt;"")*(#REF!&lt;&gt;"")</formula>
    </cfRule>
  </conditionalFormatting>
  <conditionalFormatting sqref="E4846:H4846 L4846:M4846 J4846">
    <cfRule type="expression" dxfId="0" priority="1445">
      <formula>(#REF!&lt;&gt;"")*(#REF!&lt;&gt;"")</formula>
    </cfRule>
  </conditionalFormatting>
  <conditionalFormatting sqref="E4847:H4847 L4847:M4847 J4847">
    <cfRule type="expression" dxfId="0" priority="1298">
      <formula>(#REF!&lt;&gt;"")*(#REF!&lt;&gt;"")</formula>
    </cfRule>
  </conditionalFormatting>
  <conditionalFormatting sqref="E4848:H4848 L4848:M4848 J4848">
    <cfRule type="expression" dxfId="0" priority="1019">
      <formula>(#REF!&lt;&gt;"")*(#REF!&lt;&gt;"")</formula>
    </cfRule>
  </conditionalFormatting>
  <conditionalFormatting sqref="E4849:H4849 L4849:M4850 J4849">
    <cfRule type="expression" dxfId="0" priority="955">
      <formula>(#REF!&lt;&gt;"")*(#REF!&lt;&gt;"")</formula>
    </cfRule>
  </conditionalFormatting>
  <conditionalFormatting sqref="E4850:H4850 J4850">
    <cfRule type="expression" dxfId="0" priority="774">
      <formula>(#REF!&lt;&gt;"")*(#REF!&lt;&gt;"")</formula>
    </cfRule>
  </conditionalFormatting>
  <conditionalFormatting sqref="E4862:G4863">
    <cfRule type="expression" dxfId="0" priority="1634">
      <formula>(#REF!&lt;&gt;"")*(#REF!&lt;&gt;"")</formula>
    </cfRule>
  </conditionalFormatting>
  <conditionalFormatting sqref="L4862:M4863">
    <cfRule type="expression" dxfId="0" priority="1636">
      <formula>(#REF!&lt;&gt;"")*(#REF!&lt;&gt;"")</formula>
    </cfRule>
  </conditionalFormatting>
  <conditionalFormatting sqref="L4868:M4872">
    <cfRule type="expression" dxfId="0" priority="1498">
      <formula>(#REF!&lt;&gt;"")*(#REF!&lt;&gt;"")</formula>
    </cfRule>
  </conditionalFormatting>
  <conditionalFormatting sqref="T4868:T4901 T4907:T4909">
    <cfRule type="expression" dxfId="0" priority="1503">
      <formula>(#REF!&lt;&gt;"")*(#REF!&lt;&gt;"")</formula>
    </cfRule>
  </conditionalFormatting>
  <conditionalFormatting sqref="Q4902 Q4904 Q4906">
    <cfRule type="expression" dxfId="0" priority="735">
      <formula>(#REF!&lt;&gt;"")*(#REF!&lt;&gt;"")</formula>
    </cfRule>
    <cfRule type="expression" dxfId="1" priority="734">
      <formula>(#REF!&lt;&gt;"")*(#REF!&lt;&gt;"")</formula>
    </cfRule>
  </conditionalFormatting>
  <conditionalFormatting sqref="P4910:Q4921">
    <cfRule type="expression" dxfId="1" priority="3093">
      <formula>(#REF!&lt;&gt;"")*(#REF!&lt;&gt;"")</formula>
    </cfRule>
  </conditionalFormatting>
  <conditionalFormatting sqref="H4929 H4968:H4986">
    <cfRule type="expression" dxfId="0" priority="3041">
      <formula>(#REF!&lt;&gt;"")*(#REF!&lt;&gt;"")</formula>
    </cfRule>
  </conditionalFormatting>
  <conditionalFormatting sqref="E4938:H4938 J4938:M4938">
    <cfRule type="expression" dxfId="0" priority="2703">
      <formula>(#REF!&lt;&gt;"")*(#REF!&lt;&gt;"")</formula>
    </cfRule>
  </conditionalFormatting>
  <conditionalFormatting sqref="E4940:H4940 A4940 J4940:M4940">
    <cfRule type="expression" dxfId="0" priority="965">
      <formula>(#REF!&lt;&gt;"")*(#REF!&lt;&gt;"")</formula>
    </cfRule>
  </conditionalFormatting>
  <conditionalFormatting sqref="N4940:O4940 Q4940">
    <cfRule type="expression" dxfId="0" priority="963">
      <formula>(#REF!&lt;&gt;"")*(#REF!&lt;&gt;"")</formula>
    </cfRule>
  </conditionalFormatting>
  <conditionalFormatting sqref="A4942 E4942:H4942 Q4942 J4942:M4942">
    <cfRule type="expression" dxfId="0" priority="961">
      <formula>(#REF!&lt;&gt;"")*(#REF!&lt;&gt;"")</formula>
    </cfRule>
  </conditionalFormatting>
  <conditionalFormatting sqref="P4960:Q4964">
    <cfRule type="expression" dxfId="1" priority="2554">
      <formula>(#REF!&lt;&gt;"")*(#REF!&lt;&gt;"")</formula>
    </cfRule>
  </conditionalFormatting>
  <conditionalFormatting sqref="J4964:M4964 O4964">
    <cfRule type="expression" dxfId="0" priority="2535">
      <formula>(#REF!&lt;&gt;"")*(#REF!&lt;&gt;"")</formula>
    </cfRule>
  </conditionalFormatting>
  <conditionalFormatting sqref="T4986:T4989 O4986:O4989 Q4982:Q4989 Q4968:Q4972 Q4974:Q4980">
    <cfRule type="expression" dxfId="0" priority="3150">
      <formula>(#REF!&lt;&gt;"")*(#REF!&lt;&gt;"")</formula>
    </cfRule>
  </conditionalFormatting>
  <conditionalFormatting sqref="T4968:T4969 O4968:O4969">
    <cfRule type="expression" dxfId="0" priority="3124">
      <formula>(#REF!&lt;&gt;"")*(#REF!&lt;&gt;"")</formula>
    </cfRule>
  </conditionalFormatting>
  <conditionalFormatting sqref="Q4970:Q4972 Q4982:Q4989 P4968:Q4969 Q4974:Q4980">
    <cfRule type="expression" dxfId="1" priority="3125">
      <formula>(#REF!&lt;&gt;"")*(#REF!&lt;&gt;"")</formula>
    </cfRule>
  </conditionalFormatting>
  <conditionalFormatting sqref="Q4970 T4970 O4970">
    <cfRule type="expression" dxfId="0" priority="3122">
      <formula>(#REF!&lt;&gt;"")*(#REF!&lt;&gt;"")</formula>
    </cfRule>
  </conditionalFormatting>
  <conditionalFormatting sqref="P4970:Q4970 P4982:Q4982">
    <cfRule type="expression" dxfId="1" priority="3123">
      <formula>(#REF!&lt;&gt;"")*(#REF!&lt;&gt;"")</formula>
    </cfRule>
  </conditionalFormatting>
  <conditionalFormatting sqref="Q4971 T4971 O4971 Q4982 O4982 T4982">
    <cfRule type="expression" dxfId="0" priority="3120">
      <formula>(#REF!&lt;&gt;"")*(#REF!&lt;&gt;"")</formula>
    </cfRule>
  </conditionalFormatting>
  <conditionalFormatting sqref="Q4972 T4972 O4972">
    <cfRule type="expression" dxfId="0" priority="3118">
      <formula>(#REF!&lt;&gt;"")*(#REF!&lt;&gt;"")</formula>
    </cfRule>
  </conditionalFormatting>
  <conditionalFormatting sqref="E4973:F4973 A4973">
    <cfRule type="expression" dxfId="0" priority="2017">
      <formula>(#REF!&lt;&gt;"")*(#REF!&lt;&gt;"")</formula>
    </cfRule>
  </conditionalFormatting>
  <conditionalFormatting sqref="Q4973 T4973 O4973">
    <cfRule type="expression" dxfId="0" priority="2013">
      <formula>(#REF!&lt;&gt;"")*(#REF!&lt;&gt;"")</formula>
    </cfRule>
  </conditionalFormatting>
  <conditionalFormatting sqref="Q4974 T4974 O4974">
    <cfRule type="expression" dxfId="0" priority="3116">
      <formula>(#REF!&lt;&gt;"")*(#REF!&lt;&gt;"")</formula>
    </cfRule>
  </conditionalFormatting>
  <conditionalFormatting sqref="Q4975 T4975 O4975">
    <cfRule type="expression" dxfId="0" priority="3114">
      <formula>(#REF!&lt;&gt;"")*(#REF!&lt;&gt;"")</formula>
    </cfRule>
  </conditionalFormatting>
  <conditionalFormatting sqref="Q4978:Q4979 T4978:T4979 O4978">
    <cfRule type="expression" dxfId="0" priority="3110">
      <formula>(#REF!&lt;&gt;"")*(#REF!&lt;&gt;"")</formula>
    </cfRule>
  </conditionalFormatting>
  <conditionalFormatting sqref="P4978:Q4978 Q4979">
    <cfRule type="expression" dxfId="1" priority="3111">
      <formula>(#REF!&lt;&gt;"")*(#REF!&lt;&gt;"")</formula>
    </cfRule>
  </conditionalFormatting>
  <conditionalFormatting sqref="A4979 E4979:F4979">
    <cfRule type="expression" dxfId="0" priority="1985">
      <formula>(#REF!&lt;&gt;"")*(#REF!&lt;&gt;"")</formula>
    </cfRule>
  </conditionalFormatting>
  <conditionalFormatting sqref="Q4980 T4980 O4980">
    <cfRule type="expression" dxfId="0" priority="3108">
      <formula>(#REF!&lt;&gt;"")*(#REF!&lt;&gt;"")</formula>
    </cfRule>
  </conditionalFormatting>
  <conditionalFormatting sqref="E4981:F4981 A4981">
    <cfRule type="expression" dxfId="0" priority="2022">
      <formula>(#REF!&lt;&gt;"")*(#REF!&lt;&gt;"")</formula>
    </cfRule>
  </conditionalFormatting>
  <conditionalFormatting sqref="Q4981 T4981 O4981">
    <cfRule type="expression" dxfId="0" priority="2018">
      <formula>(#REF!&lt;&gt;"")*(#REF!&lt;&gt;"")</formula>
    </cfRule>
  </conditionalFormatting>
  <conditionalFormatting sqref="Q4983 T4983">
    <cfRule type="expression" dxfId="0" priority="3106">
      <formula>(#REF!&lt;&gt;"")*(#REF!&lt;&gt;"")</formula>
    </cfRule>
  </conditionalFormatting>
  <conditionalFormatting sqref="Q4984:Q4985 T4984:T4985 O4984:O4985">
    <cfRule type="expression" dxfId="0" priority="3104">
      <formula>(#REF!&lt;&gt;"")*(#REF!&lt;&gt;"")</formula>
    </cfRule>
  </conditionalFormatting>
  <conditionalFormatting sqref="P4984:Q4985">
    <cfRule type="expression" dxfId="1" priority="3105">
      <formula>(#REF!&lt;&gt;"")*(#REF!&lt;&gt;"")</formula>
    </cfRule>
  </conditionalFormatting>
  <conditionalFormatting sqref="Q4986 P4987:Q4989">
    <cfRule type="expression" dxfId="1" priority="3103">
      <formula>(#REF!&lt;&gt;"")*(#REF!&lt;&gt;"")</formula>
    </cfRule>
  </conditionalFormatting>
  <conditionalFormatting sqref="E4990 Q4990">
    <cfRule type="expression" dxfId="0" priority="1992">
      <formula>(#REF!&lt;&gt;"")*(#REF!&lt;&gt;"")</formula>
    </cfRule>
  </conditionalFormatting>
  <conditionalFormatting sqref="G4990:H4990 J4990:O4990">
    <cfRule type="expression" dxfId="0" priority="1988">
      <formula>(#REF!&lt;&gt;"")*(#REF!&lt;&gt;"")</formula>
    </cfRule>
  </conditionalFormatting>
  <conditionalFormatting sqref="A4993 E4993:H4993 J4993:M4993">
    <cfRule type="expression" dxfId="0" priority="2523">
      <formula>(#REF!&lt;&gt;"")*(#REF!&lt;&gt;"")</formula>
    </cfRule>
  </conditionalFormatting>
  <conditionalFormatting sqref="E5043:H5044 J5043:O5044">
    <cfRule type="expression" dxfId="0" priority="3127">
      <formula>(#REF!&lt;&gt;"")*(#REF!&lt;&gt;"")</formula>
    </cfRule>
  </conditionalFormatting>
  <conditionalFormatting sqref="P5043:Q5044">
    <cfRule type="expression" dxfId="1" priority="3128">
      <formula>(#REF!&lt;&gt;"")*(#REF!&lt;&gt;"")</formula>
    </cfRule>
  </conditionalFormatting>
  <conditionalFormatting sqref="P5052:Q5053">
    <cfRule type="expression" dxfId="1" priority="2579">
      <formula>(#REF!&lt;&gt;"")*(#REF!&lt;&gt;"")</formula>
    </cfRule>
  </conditionalFormatting>
  <conditionalFormatting sqref="P5054:Q5055">
    <cfRule type="expression" dxfId="1" priority="2573">
      <formula>(#REF!&lt;&gt;"")*(#REF!&lt;&gt;"")</formula>
    </cfRule>
  </conditionalFormatting>
  <conditionalFormatting sqref="P5056:Q5057">
    <cfRule type="expression" dxfId="1" priority="2561">
      <formula>(#REF!&lt;&gt;"")*(#REF!&lt;&gt;"")</formula>
    </cfRule>
  </conditionalFormatting>
  <conditionalFormatting sqref="L5061:M5062">
    <cfRule type="expression" dxfId="0" priority="1599">
      <formula>(#REF!&lt;&gt;"")*(#REF!&lt;&gt;"")</formula>
    </cfRule>
  </conditionalFormatting>
  <conditionalFormatting sqref="P5061:Q5062">
    <cfRule type="expression" dxfId="1" priority="1602">
      <formula>(#REF!&lt;&gt;"")*(#REF!&lt;&gt;"")</formula>
    </cfRule>
  </conditionalFormatting>
  <conditionalFormatting sqref="A5064 A5066">
    <cfRule type="expression" dxfId="0" priority="1363">
      <formula>(#REF!&lt;&gt;"")*(#REF!&lt;&gt;"")</formula>
    </cfRule>
  </conditionalFormatting>
  <conditionalFormatting sqref="E5071:H5071 A5071 J5071:M5071">
    <cfRule type="expression" dxfId="0" priority="968">
      <formula>(#REF!&lt;&gt;"")*(#REF!&lt;&gt;"")</formula>
    </cfRule>
  </conditionalFormatting>
  <conditionalFormatting sqref="Q5071 N5071:O5071">
    <cfRule type="expression" dxfId="0" priority="966">
      <formula>(#REF!&lt;&gt;"")*(#REF!&lt;&gt;"")</formula>
    </cfRule>
  </conditionalFormatting>
  <conditionalFormatting sqref="L5110:N5111">
    <cfRule type="expression" dxfId="0" priority="2975">
      <formula>(#REF!&lt;&gt;"")*(#REF!&lt;&gt;"")</formula>
    </cfRule>
  </conditionalFormatting>
  <conditionalFormatting sqref="L5113:N5113 L5115:N5115 N5114">
    <cfRule type="expression" dxfId="0" priority="2556">
      <formula>(#REF!&lt;&gt;"")*(#REF!&lt;&gt;"")</formula>
    </cfRule>
  </conditionalFormatting>
  <conditionalFormatting sqref="E5114:H5114 J5114:K5114">
    <cfRule type="expression" dxfId="0" priority="756">
      <formula>(#REF!&lt;&gt;"")*(#REF!&lt;&gt;"")</formula>
    </cfRule>
  </conditionalFormatting>
  <conditionalFormatting sqref="E5115:H5115 J5115:K5115">
    <cfRule type="expression" dxfId="0" priority="759">
      <formula>(#REF!&lt;&gt;"")*(#REF!&lt;&gt;"")</formula>
    </cfRule>
  </conditionalFormatting>
  <conditionalFormatting sqref="A5162 E5162:H5162 J5162:N5162">
    <cfRule type="expression" dxfId="0" priority="1491">
      <formula>(#REF!&lt;&gt;"")*(#REF!&lt;&gt;"")</formula>
    </cfRule>
  </conditionalFormatting>
  <conditionalFormatting sqref="E5169:G5169 A5169 J5169:M5169">
    <cfRule type="expression" dxfId="0" priority="1012">
      <formula>(#REF!&lt;&gt;"")*(#REF!&lt;&gt;"")</formula>
    </cfRule>
  </conditionalFormatting>
  <conditionalFormatting sqref="E5170:H5170 A5170 J5170:M5170">
    <cfRule type="expression" dxfId="0" priority="1010">
      <formula>(#REF!&lt;&gt;"")*(#REF!&lt;&gt;"")</formula>
    </cfRule>
  </conditionalFormatting>
  <conditionalFormatting sqref="Q5170 N5170:N5171">
    <cfRule type="expression" dxfId="0" priority="1006">
      <formula>(#REF!&lt;&gt;"")*(#REF!&lt;&gt;"")</formula>
    </cfRule>
  </conditionalFormatting>
  <conditionalFormatting sqref="E5171:H5171 A5171 J5171:M5171">
    <cfRule type="expression" dxfId="0" priority="1003">
      <formula>(#REF!&lt;&gt;"")*(#REF!&lt;&gt;"")</formula>
    </cfRule>
  </conditionalFormatting>
  <conditionalFormatting sqref="E5172:H5172 A5172 J5172:M5172">
    <cfRule type="expression" dxfId="0" priority="1014">
      <formula>(#REF!&lt;&gt;"")*(#REF!&lt;&gt;"")</formula>
    </cfRule>
  </conditionalFormatting>
  <conditionalFormatting sqref="P5175:Q5176">
    <cfRule type="expression" dxfId="1" priority="3092">
      <formula>(#REF!&lt;&gt;"")*(#REF!&lt;&gt;"")</formula>
    </cfRule>
  </conditionalFormatting>
  <conditionalFormatting sqref="C5179:C5180 Q5182:Q5207 P5185:P5195 Q5209:R5209 C5209 Q5210:Q5211 A5209:A5210 N5202:O5203 O5204:P5204 Q5179:R5181 P5197:P5203 P5205:P5207 E5209:H5209 E5210:G5210 H5210:H5211 N5918 A5179:A5201 E5202:E5204 E5179:H5201 H5202:H5204 J5179:P5183 J5209:O5210 J5184:O5201">
    <cfRule type="expression" dxfId="0" priority="3156">
      <formula>(#REF!&lt;&gt;"")*(A$1&lt;&gt;"")</formula>
    </cfRule>
  </conditionalFormatting>
  <conditionalFormatting sqref="Q5211 P5179:Q5207 P5209:Q5210 H5918 O5918 J5918:M5918">
    <cfRule type="expression" dxfId="1" priority="3157">
      <formula>(#REF!&lt;&gt;"")*(H$1&lt;&gt;"")</formula>
    </cfRule>
  </conditionalFormatting>
  <conditionalFormatting sqref="C5187 E5187:G5187">
    <cfRule type="expression" dxfId="0" priority="3010">
      <formula>(#REF!&lt;&gt;"")*(#REF!&lt;&gt;"")</formula>
    </cfRule>
  </conditionalFormatting>
  <conditionalFormatting sqref="C5202 A5202 K5202 M5202 E5202:H5202">
    <cfRule type="expression" dxfId="0" priority="2514">
      <formula>(#REF!&lt;&gt;"")*(#REF!&lt;&gt;"")</formula>
    </cfRule>
  </conditionalFormatting>
  <conditionalFormatting sqref="E5202:H5202 A5202 J5202:M5202">
    <cfRule type="expression" dxfId="0" priority="2516">
      <formula>(#REF!&lt;&gt;"")*(A$1&lt;&gt;"")</formula>
    </cfRule>
  </conditionalFormatting>
  <conditionalFormatting sqref="C5203 A5203 K5203 M5203 E5203:H5203">
    <cfRule type="expression" dxfId="0" priority="2511">
      <formula>(#REF!&lt;&gt;"")*(#REF!&lt;&gt;"")</formula>
    </cfRule>
  </conditionalFormatting>
  <conditionalFormatting sqref="E5203:H5203 A5203 J5203:M5203">
    <cfRule type="expression" dxfId="0" priority="2513">
      <formula>(#REF!&lt;&gt;"")*(A$1&lt;&gt;"")</formula>
    </cfRule>
  </conditionalFormatting>
  <conditionalFormatting sqref="C5204 A5204 K5204 M5204 E5204:H5204">
    <cfRule type="expression" dxfId="0" priority="2108">
      <formula>(#REF!&lt;&gt;"")*(#REF!&lt;&gt;"")</formula>
    </cfRule>
  </conditionalFormatting>
  <conditionalFormatting sqref="E5204:H5204 A5204 J5204:M5204">
    <cfRule type="expression" dxfId="0" priority="2110">
      <formula>(#REF!&lt;&gt;"")*(A$1&lt;&gt;"")</formula>
    </cfRule>
  </conditionalFormatting>
  <conditionalFormatting sqref="C5205:C5207 A5205:A5207 K5205:K5207 M5205:M5207 E5205:H5207">
    <cfRule type="expression" dxfId="0" priority="2029">
      <formula>(#REF!&lt;&gt;"")*(#REF!&lt;&gt;"")</formula>
    </cfRule>
  </conditionalFormatting>
  <conditionalFormatting sqref="E5205:H5207 A5205:A5207 J5205:M5207">
    <cfRule type="expression" dxfId="0" priority="2031">
      <formula>(#REF!&lt;&gt;"")*(A$1&lt;&gt;"")</formula>
    </cfRule>
  </conditionalFormatting>
  <conditionalFormatting sqref="O5205:O5207 E5205:E5207 H5205:H5207">
    <cfRule type="expression" dxfId="0" priority="2034">
      <formula>(#REF!&lt;&gt;"")*(#REF!&lt;&gt;"")</formula>
    </cfRule>
    <cfRule type="expression" dxfId="0" priority="2035">
      <formula>(#REF!&lt;&gt;"")*(E$1&lt;&gt;"")</formula>
    </cfRule>
  </conditionalFormatting>
  <conditionalFormatting sqref="C5208 A5208 K5208 M5208 E5208:H5208">
    <cfRule type="expression" dxfId="0" priority="842">
      <formula>(#REF!&lt;&gt;"")*(#REF!&lt;&gt;"")</formula>
    </cfRule>
  </conditionalFormatting>
  <conditionalFormatting sqref="E5208:H5208 A5208 J5208:M5208">
    <cfRule type="expression" dxfId="0" priority="844">
      <formula>(#REF!&lt;&gt;"")*(A$1&lt;&gt;"")</formula>
    </cfRule>
  </conditionalFormatting>
  <conditionalFormatting sqref="O5208 E5208 H5208">
    <cfRule type="expression" dxfId="0" priority="847">
      <formula>(#REF!&lt;&gt;"")*(#REF!&lt;&gt;"")</formula>
    </cfRule>
    <cfRule type="expression" dxfId="0" priority="848">
      <formula>(#REF!&lt;&gt;"")*(E$1&lt;&gt;"")</formula>
    </cfRule>
  </conditionalFormatting>
  <conditionalFormatting sqref="C5211 A5211 K5211:L5211 E5211:G5211">
    <cfRule type="expression" dxfId="0" priority="2116">
      <formula>(#REF!&lt;&gt;"")*(#REF!&lt;&gt;"")</formula>
    </cfRule>
  </conditionalFormatting>
  <conditionalFormatting sqref="E5211:G5211 A5211 J5211:O5211">
    <cfRule type="expression" dxfId="0" priority="2117">
      <formula>(#REF!&lt;&gt;"")*(A$1&lt;&gt;"")</formula>
    </cfRule>
  </conditionalFormatting>
  <conditionalFormatting sqref="A5212 T5212:T5213 F5214:F5215 A5215 E5215 T5214:U5215 H5214 C5457:C5462 A5457:A5462 A5476:A5478 Q5480:R5480 M5479:M5480 P5484:R5484 M5484:N5484 T5457:T5461 K5472:R5473 N5471:P5471 R5471 T5464 E5457:G5462 E5464:G5465 K5467:R5467 J5466:M5466 O5466:R5466 T5476:T5478 E5476:G5478 P5477:P5483 P5487 E5467:G5473 C5467:C5473 J5477:N5478 J5476:P5476 Q5476:R5478 N5468:O5470 K5468:M5471 J5467:J5473 J5464:R5465 J5457:Q5460 R5459 J5461:R5462 E5212:H5212 L5213:O5213 J5212:O5212 J5214:O5215">
    <cfRule type="expression" dxfId="0" priority="2530">
      <formula>(#REF!&lt;&gt;"")*(#REF!&lt;&gt;"")</formula>
    </cfRule>
  </conditionalFormatting>
  <conditionalFormatting sqref="P5212:Q5213 P5484:Q5484 P5464:Q5465 P5457:Q5462 P5467:Q5473">
    <cfRule type="expression" dxfId="1" priority="2531">
      <formula>(#REF!&lt;&gt;"")*(#REF!&lt;&gt;"")</formula>
    </cfRule>
  </conditionalFormatting>
  <conditionalFormatting sqref="A5213 E5213:H5213 J5213:K5213">
    <cfRule type="expression" dxfId="0" priority="770">
      <formula>(#REF!&lt;&gt;"")*(#REF!&lt;&gt;"")</formula>
    </cfRule>
  </conditionalFormatting>
  <conditionalFormatting sqref="P5214:Q5215">
    <cfRule type="expression" dxfId="1" priority="2528">
      <formula>(#REF!&lt;&gt;"")*(#REF!&lt;&gt;"")</formula>
    </cfRule>
  </conditionalFormatting>
  <conditionalFormatting sqref="A5333 A5219:A5221">
    <cfRule type="expression" dxfId="1" priority="1964">
      <formula>(#REF!&lt;&gt;"")*(A$1&lt;&gt;"")</formula>
    </cfRule>
  </conditionalFormatting>
  <conditionalFormatting sqref="O5296:Q5296 K5296:M5296 E5296:G5296 O5219:Q5220 J5243:J5253">
    <cfRule type="expression" dxfId="1" priority="1933">
      <formula>(#REF!&lt;&gt;"")*(E$1&lt;&gt;"")</formula>
    </cfRule>
  </conditionalFormatting>
  <conditionalFormatting sqref="O5333:Q5333 J5333:K5333 M5333 E5333:G5333 E5219:F5221 K5219:M5221 G5219:G5220">
    <cfRule type="expression" dxfId="1" priority="1932">
      <formula>(#REF!&lt;&gt;"")*(E$1&lt;&gt;"")</formula>
    </cfRule>
  </conditionalFormatting>
  <conditionalFormatting sqref="O5221:Q5221 G5221:H5221">
    <cfRule type="expression" dxfId="1" priority="1931">
      <formula>(#REF!&lt;&gt;"")*(G$1&lt;&gt;"")</formula>
    </cfRule>
  </conditionalFormatting>
  <conditionalFormatting sqref="M5444 Q5444 Q5436 M5429 Q5424 Q5388:Q5392 P5387:Q5387 E5380:H5381 E5373:H5374 T5373:T5374 T5380:T5381 M5362:M5370 M5352:M5360 M5333:M5335 T5332 E5332:G5332 J5332:O5332 Q5332:Q5333 Q5255:Q5256 N5255:O5256 T5255:T5256 Q5427:Q5429 Q5432 M5432 J5373:R5374 J5380:R5381">
    <cfRule type="expression" dxfId="0" priority="1930">
      <formula>(#REF!&lt;&gt;"")*(#REF!&lt;&gt;"")</formula>
    </cfRule>
  </conditionalFormatting>
  <conditionalFormatting sqref="J5445 Q5449 J5435:J5436 Q5451:Q5453 Q5455 P5376:Q5381 P5373:Q5374 P5332:Q5332 P5255:P5257 Q5255:Q5256">
    <cfRule type="expression" dxfId="1" priority="1929">
      <formula>(#REF!&lt;&gt;"")*(#REF!&lt;&gt;"")</formula>
    </cfRule>
  </conditionalFormatting>
  <conditionalFormatting sqref="U5332 U5255:U5256">
    <cfRule type="expression" dxfId="0" priority="1704">
      <formula>(#REF!&lt;&gt;"")*(#REF!&lt;&gt;"")</formula>
    </cfRule>
  </conditionalFormatting>
  <conditionalFormatting sqref="K5292 K5295:Q5295 E5295 G5295">
    <cfRule type="expression" dxfId="1" priority="1928">
      <formula>(#REF!&lt;&gt;"")*(E$1&lt;&gt;"")</formula>
    </cfRule>
  </conditionalFormatting>
  <conditionalFormatting sqref="P5329:Q5329 N5329 K5329:L5329 E5329:G5329">
    <cfRule type="expression" dxfId="0" priority="1920">
      <formula>(#REF!&lt;&gt;"")*(E$1&lt;&gt;"")</formula>
    </cfRule>
  </conditionalFormatting>
  <conditionalFormatting sqref="P5330:Q5330 N5330 K5330:L5330 E5330:G5330">
    <cfRule type="expression" dxfId="0" priority="1907">
      <formula>(#REF!&lt;&gt;"")*(E$1&lt;&gt;"")</formula>
    </cfRule>
  </conditionalFormatting>
  <conditionalFormatting sqref="P5331:Q5331 N5331 K5331:L5331 E5331:G5331">
    <cfRule type="expression" dxfId="0" priority="1903">
      <formula>(#REF!&lt;&gt;"")*(E$1&lt;&gt;"")</formula>
    </cfRule>
  </conditionalFormatting>
  <conditionalFormatting sqref="C5380:C5381 A5376:A5381 C5373:C5374 A5373:A5374 A5332">
    <cfRule type="expression" dxfId="0" priority="1963">
      <formula>(#REF!&lt;&gt;"")*(#REF!&lt;&gt;"")</formula>
    </cfRule>
  </conditionalFormatting>
  <conditionalFormatting sqref="T5333 K5333 M5345 M5348:M5349">
    <cfRule type="expression" dxfId="0" priority="1923">
      <formula>(#REF!&lt;&gt;"")*(#REF!&lt;&gt;"")</formula>
    </cfRule>
  </conditionalFormatting>
  <conditionalFormatting sqref="A5375 C5375">
    <cfRule type="expression" dxfId="0" priority="1953">
      <formula>(#REF!&lt;&gt;"")*(#REF!&lt;&gt;"")</formula>
    </cfRule>
  </conditionalFormatting>
  <conditionalFormatting sqref="N5375:O5375 E5375:H5375 K5375:L5375 Q5375:R5375">
    <cfRule type="expression" dxfId="0" priority="1883">
      <formula>(#REF!&lt;&gt;"")*(#REF!&lt;&gt;"")</formula>
    </cfRule>
  </conditionalFormatting>
  <conditionalFormatting sqref="E5375:H5375 Q5375 J5375:O5375">
    <cfRule type="expression" dxfId="0" priority="1882">
      <formula>(#REF!&lt;&gt;"")*(#REF!&lt;&gt;"")</formula>
    </cfRule>
  </conditionalFormatting>
  <conditionalFormatting sqref="T5375 M5375">
    <cfRule type="expression" dxfId="0" priority="1880">
      <formula>(#REF!&lt;&gt;"")*(#REF!&lt;&gt;"")</formula>
    </cfRule>
  </conditionalFormatting>
  <conditionalFormatting sqref="C5376 A5376">
    <cfRule type="expression" dxfId="0" priority="1958">
      <formula>(#REF!&lt;&gt;"")*(#REF!&lt;&gt;"")</formula>
    </cfRule>
  </conditionalFormatting>
  <conditionalFormatting sqref="M5400 M5445:M5446 Q5445:Q5446 O5409:O5410 Q5409:Q5410 M5402 M5383 K5383 Q5376:Q5379 E5376:H5379 T5377:T5378 E5383:G5383 J5376:O5379">
    <cfRule type="expression" dxfId="0" priority="1899">
      <formula>(#REF!&lt;&gt;"")*(#REF!&lt;&gt;"")</formula>
    </cfRule>
  </conditionalFormatting>
  <conditionalFormatting sqref="R5456 E5381:G5381 K5376:L5376 E5376:H5376 N5376:R5376">
    <cfRule type="expression" dxfId="0" priority="1898">
      <formula>(#REF!&lt;&gt;"")*(#REF!&lt;&gt;"")</formula>
    </cfRule>
  </conditionalFormatting>
  <conditionalFormatting sqref="M5443 Q5452:Q5453 Q5449 Q5447 Q5451:R5451 Q5455 M5376">
    <cfRule type="expression" dxfId="0" priority="1897">
      <formula>(#REF!&lt;&gt;"")*(#REF!&lt;&gt;"")</formula>
    </cfRule>
  </conditionalFormatting>
  <conditionalFormatting sqref="C5377 A5377">
    <cfRule type="expression" dxfId="0" priority="1954">
      <formula>(#REF!&lt;&gt;"")*(#REF!&lt;&gt;"")</formula>
    </cfRule>
  </conditionalFormatting>
  <conditionalFormatting sqref="K5377:R5377 E5377:G5377">
    <cfRule type="expression" dxfId="0" priority="1885">
      <formula>(#REF!&lt;&gt;"")*(#REF!&lt;&gt;"")</formula>
    </cfRule>
  </conditionalFormatting>
  <conditionalFormatting sqref="C5378 A5378">
    <cfRule type="expression" dxfId="0" priority="1955">
      <formula>(#REF!&lt;&gt;"")*(#REF!&lt;&gt;"")</formula>
    </cfRule>
  </conditionalFormatting>
  <conditionalFormatting sqref="K5378 O5378:Q5378 E5378:G5378">
    <cfRule type="expression" dxfId="0" priority="1891">
      <formula>(#REF!&lt;&gt;"")*(#REF!&lt;&gt;"")</formula>
    </cfRule>
  </conditionalFormatting>
  <conditionalFormatting sqref="E5379:G5379 K5379:L5379">
    <cfRule type="expression" dxfId="0" priority="1896">
      <formula>(#REF!&lt;&gt;"")*(#REF!&lt;&gt;"")</formula>
    </cfRule>
  </conditionalFormatting>
  <conditionalFormatting sqref="E5382:H5382 H5383 J5382:N5382">
    <cfRule type="expression" dxfId="0" priority="1876">
      <formula>(#REF!&lt;&gt;"")*(#REF!&lt;&gt;"")</formula>
    </cfRule>
  </conditionalFormatting>
  <conditionalFormatting sqref="O5391:O5392 R5391 O5400 O5405:O5406 O5420 O5428:O5429 O5422 O5433:O5434 O5440 O5442 O5424 J5383:N5383">
    <cfRule type="expression" dxfId="0" priority="1877">
      <formula>(#REF!&lt;&gt;"")*(#REF!&lt;&gt;"")</formula>
    </cfRule>
  </conditionalFormatting>
  <conditionalFormatting sqref="M5384 K5384 E5384:G5384">
    <cfRule type="expression" dxfId="0" priority="979">
      <formula>(#REF!&lt;&gt;"")*(#REF!&lt;&gt;"")</formula>
    </cfRule>
  </conditionalFormatting>
  <conditionalFormatting sqref="Q5392 P5388:Q5388 Q5424 M5424 Q5421 M5420:M5421 Q5435 Q5437:Q5439 M5437:M5439 M5427 Q5427">
    <cfRule type="expression" dxfId="0" priority="1869">
      <formula>(#REF!&lt;&gt;"")*(#REF!&lt;&gt;"")</formula>
    </cfRule>
  </conditionalFormatting>
  <conditionalFormatting sqref="P5389:Q5390">
    <cfRule type="expression" dxfId="0" priority="1848">
      <formula>(#REF!&lt;&gt;"")*(#REF!&lt;&gt;"")</formula>
    </cfRule>
  </conditionalFormatting>
  <conditionalFormatting sqref="P5456 Q5391:Q5392 J5421:J5422 J5443 J5424 J5438:J5439 J5432">
    <cfRule type="expression" dxfId="1" priority="1870">
      <formula>(#REF!&lt;&gt;"")*(#REF!&lt;&gt;"")</formula>
    </cfRule>
  </conditionalFormatting>
  <conditionalFormatting sqref="M5403:M5404 Q5403 Q5407">
    <cfRule type="expression" dxfId="0" priority="1864">
      <formula>(#REF!&lt;&gt;"")*(#REF!&lt;&gt;"")</formula>
    </cfRule>
  </conditionalFormatting>
  <conditionalFormatting sqref="M5409:M5410 M5405:M5406">
    <cfRule type="expression" dxfId="0" priority="1850">
      <formula>(#REF!&lt;&gt;"")*(#REF!&lt;&gt;"")</formula>
    </cfRule>
  </conditionalFormatting>
  <conditionalFormatting sqref="O5411 Q5411">
    <cfRule type="expression" dxfId="0" priority="1551">
      <formula>(#REF!&lt;&gt;"")*(#REF!&lt;&gt;"")</formula>
    </cfRule>
  </conditionalFormatting>
  <conditionalFormatting sqref="O5412 Q5412">
    <cfRule type="expression" dxfId="0" priority="1089">
      <formula>(#REF!&lt;&gt;"")*(#REF!&lt;&gt;"")</formula>
    </cfRule>
  </conditionalFormatting>
  <conditionalFormatting sqref="Q5440 Q5422 Q5433 M5433 Q5435">
    <cfRule type="expression" dxfId="0" priority="1868">
      <formula>(#REF!&lt;&gt;"")*(#REF!&lt;&gt;"")</formula>
    </cfRule>
  </conditionalFormatting>
  <conditionalFormatting sqref="Q5422 M5422">
    <cfRule type="expression" dxfId="0" priority="1840">
      <formula>(#REF!&lt;&gt;"")*(#REF!&lt;&gt;"")</formula>
    </cfRule>
  </conditionalFormatting>
  <conditionalFormatting sqref="Q5423 M5423">
    <cfRule type="expression" dxfId="0" priority="1796">
      <formula>(#REF!&lt;&gt;"")*(#REF!&lt;&gt;"")</formula>
    </cfRule>
  </conditionalFormatting>
  <conditionalFormatting sqref="Q5425 M5425">
    <cfRule type="expression" dxfId="0" priority="1120">
      <formula>(#REF!&lt;&gt;"")*(#REF!&lt;&gt;"")</formula>
    </cfRule>
  </conditionalFormatting>
  <conditionalFormatting sqref="Q5426 M5426">
    <cfRule type="expression" dxfId="0" priority="993">
      <formula>(#REF!&lt;&gt;"")*(#REF!&lt;&gt;"")</formula>
    </cfRule>
  </conditionalFormatting>
  <conditionalFormatting sqref="M5430 Q5430">
    <cfRule type="expression" dxfId="0" priority="1117">
      <formula>(#REF!&lt;&gt;"")*(#REF!&lt;&gt;"")</formula>
    </cfRule>
  </conditionalFormatting>
  <conditionalFormatting sqref="M5431 Q5431">
    <cfRule type="expression" dxfId="0" priority="1119">
      <formula>(#REF!&lt;&gt;"")*(#REF!&lt;&gt;"")</formula>
    </cfRule>
  </conditionalFormatting>
  <conditionalFormatting sqref="M5436 R5436">
    <cfRule type="expression" dxfId="0" priority="1842">
      <formula>(#REF!&lt;&gt;"")*(#REF!&lt;&gt;"")</formula>
    </cfRule>
  </conditionalFormatting>
  <conditionalFormatting sqref="M5451:M5453 M5455">
    <cfRule type="expression" dxfId="0" priority="1872">
      <formula>(#REF!&lt;&gt;"")*(#REF!&lt;&gt;"")</formula>
    </cfRule>
  </conditionalFormatting>
  <conditionalFormatting sqref="R5453 R5455">
    <cfRule type="expression" dxfId="0" priority="1866">
      <formula>(#REF!&lt;&gt;"")*(#REF!&lt;&gt;"")</formula>
    </cfRule>
  </conditionalFormatting>
  <conditionalFormatting sqref="A5463 C5463">
    <cfRule type="expression" dxfId="0" priority="1945">
      <formula>(#REF!&lt;&gt;"")*(#REF!&lt;&gt;"")</formula>
    </cfRule>
  </conditionalFormatting>
  <conditionalFormatting sqref="Q5463 E5463:G5463 J5463:O5463">
    <cfRule type="expression" dxfId="0" priority="1805">
      <formula>(#REF!&lt;&gt;"")*(#REF!&lt;&gt;"")</formula>
    </cfRule>
  </conditionalFormatting>
  <conditionalFormatting sqref="K5463:L5463 N5463:R5463 E5463:G5463">
    <cfRule type="expression" dxfId="0" priority="1803">
      <formula>(#REF!&lt;&gt;"")*(#REF!&lt;&gt;"")</formula>
    </cfRule>
  </conditionalFormatting>
  <conditionalFormatting sqref="N5468:R5470">
    <cfRule type="expression" dxfId="0" priority="1808">
      <formula>(#REF!&lt;&gt;"")*(#REF!&lt;&gt;"")</formula>
    </cfRule>
  </conditionalFormatting>
  <conditionalFormatting sqref="Q5474 A5474">
    <cfRule type="expression" dxfId="0" priority="1115">
      <formula>(#REF!&lt;&gt;"")*(#REF!&lt;&gt;"")</formula>
    </cfRule>
  </conditionalFormatting>
  <conditionalFormatting sqref="C5474 E5474:H5474 M5474:R5474 J5474:K5474">
    <cfRule type="expression" dxfId="0" priority="1113">
      <formula>(#REF!&lt;&gt;"")*(#REF!&lt;&gt;"")</formula>
    </cfRule>
  </conditionalFormatting>
  <conditionalFormatting sqref="A5475 C5475">
    <cfRule type="expression" dxfId="0" priority="1941">
      <formula>(#REF!&lt;&gt;"")*(#REF!&lt;&gt;"")</formula>
    </cfRule>
  </conditionalFormatting>
  <conditionalFormatting sqref="M5475:R5475 E5475:H5475 T5475 H5476:H5485 H5487:H5490">
    <cfRule type="expression" dxfId="0" priority="1762">
      <formula>(#REF!&lt;&gt;"")*(#REF!&lt;&gt;"")</formula>
    </cfRule>
  </conditionalFormatting>
  <conditionalFormatting sqref="Q5475 E5475:H5475 M5475:O5475 H5476:H5485 H5487:H5490 J5475">
    <cfRule type="expression" dxfId="0" priority="1760">
      <formula>(#REF!&lt;&gt;"")*(#REF!&lt;&gt;"")</formula>
    </cfRule>
  </conditionalFormatting>
  <conditionalFormatting sqref="E5476:G5478">
    <cfRule type="expression" dxfId="0" priority="1764">
      <formula>(#REF!&lt;&gt;"")*(#REF!&lt;&gt;"")</formula>
    </cfRule>
  </conditionalFormatting>
  <conditionalFormatting sqref="P5476:Q5480">
    <cfRule type="expression" dxfId="1" priority="1819">
      <formula>(#REF!&lt;&gt;"")*(#REF!&lt;&gt;"")</formula>
    </cfRule>
  </conditionalFormatting>
  <conditionalFormatting sqref="P5485:R5485 M5485:N5485">
    <cfRule type="expression" dxfId="0" priority="1124">
      <formula>(#REF!&lt;&gt;"")*(#REF!&lt;&gt;"")</formula>
    </cfRule>
  </conditionalFormatting>
  <conditionalFormatting sqref="P5486:Q5486 M5486:N5486">
    <cfRule type="expression" dxfId="0" priority="1110">
      <formula>(#REF!&lt;&gt;"")*(#REF!&lt;&gt;"")</formula>
    </cfRule>
  </conditionalFormatting>
  <conditionalFormatting sqref="P5523:Q5523 P5500:Q5500">
    <cfRule type="expression" dxfId="1" priority="1726">
      <formula>(#REF!&lt;&gt;"")*(#REF!&lt;&gt;"")</formula>
    </cfRule>
  </conditionalFormatting>
  <conditionalFormatting sqref="A5525 C5525">
    <cfRule type="expression" dxfId="0" priority="1937">
      <formula>(#REF!&lt;&gt;"")*(#REF!&lt;&gt;"")</formula>
    </cfRule>
  </conditionalFormatting>
  <conditionalFormatting sqref="T5525:T5526 E5525:H5527 Q5525:Q5527 J5525:O5527">
    <cfRule type="expression" dxfId="0" priority="1719">
      <formula>(#REF!&lt;&gt;"")*(#REF!&lt;&gt;"")</formula>
    </cfRule>
  </conditionalFormatting>
  <conditionalFormatting sqref="K5525:L5525 E5525:H5525">
    <cfRule type="expression" dxfId="0" priority="1716">
      <formula>(#REF!&lt;&gt;"")*(#REF!&lt;&gt;"")</formula>
    </cfRule>
  </conditionalFormatting>
  <conditionalFormatting sqref="P5525:Q5527">
    <cfRule type="expression" dxfId="1" priority="1720">
      <formula>(#REF!&lt;&gt;"")*(#REF!&lt;&gt;"")</formula>
    </cfRule>
  </conditionalFormatting>
  <conditionalFormatting sqref="C5526 A5526">
    <cfRule type="expression" dxfId="0" priority="1938">
      <formula>(#REF!&lt;&gt;"")*(#REF!&lt;&gt;"")</formula>
    </cfRule>
  </conditionalFormatting>
  <conditionalFormatting sqref="N5526:R5526 E5526:H5526 K5526:L5526 L5527">
    <cfRule type="expression" dxfId="0" priority="1718">
      <formula>(#REF!&lt;&gt;"")*(#REF!&lt;&gt;"")</formula>
    </cfRule>
  </conditionalFormatting>
  <conditionalFormatting sqref="A5527 C5527">
    <cfRule type="expression" dxfId="0" priority="1936">
      <formula>(#REF!&lt;&gt;"")*(#REF!&lt;&gt;"")</formula>
    </cfRule>
  </conditionalFormatting>
  <conditionalFormatting sqref="K5527:L5527 E5527:H5527">
    <cfRule type="expression" dxfId="0" priority="1715">
      <formula>(#REF!&lt;&gt;"")*(#REF!&lt;&gt;"")</formula>
    </cfRule>
  </conditionalFormatting>
  <conditionalFormatting sqref="Q5528:Q5529 E5528:H5529 J5528:O5529">
    <cfRule type="expression" dxfId="0" priority="1707">
      <formula>(#REF!&lt;&gt;"")*(#REF!&lt;&gt;"")</formula>
    </cfRule>
  </conditionalFormatting>
  <conditionalFormatting sqref="P5528:Q5529">
    <cfRule type="expression" dxfId="1" priority="1708">
      <formula>(#REF!&lt;&gt;"")*(#REF!&lt;&gt;"")</formula>
    </cfRule>
    <cfRule type="expression" dxfId="0" priority="1706">
      <formula>(#REF!&lt;&gt;"")*(#REF!&lt;&gt;"")</formula>
    </cfRule>
  </conditionalFormatting>
  <conditionalFormatting sqref="A5602 E5602:H5602 C5602 J5602:K5602">
    <cfRule type="expression" dxfId="0" priority="1333">
      <formula>(#REF!&lt;&gt;"")*(#REF!&lt;&gt;"")</formula>
    </cfRule>
  </conditionalFormatting>
  <conditionalFormatting sqref="A5603 E5603:H5603 C5603 J5603:K5603">
    <cfRule type="expression" dxfId="0" priority="1158">
      <formula>(#REF!&lt;&gt;"")*(#REF!&lt;&gt;"")</formula>
    </cfRule>
  </conditionalFormatting>
  <conditionalFormatting sqref="Q5605 E5605:H5605 J5605:O5605">
    <cfRule type="expression" dxfId="0" priority="1543">
      <formula>(#REF!&lt;&gt;"")*(#REF!&lt;&gt;"")</formula>
    </cfRule>
  </conditionalFormatting>
  <conditionalFormatting sqref="A5775:A5776 A5606:A5608">
    <cfRule type="expression" dxfId="0" priority="1701">
      <formula>(#REF!&lt;&gt;"")*(#REF!&lt;&gt;"")</formula>
    </cfRule>
  </conditionalFormatting>
  <conditionalFormatting sqref="C5775:C5776 C5606:C5608">
    <cfRule type="expression" dxfId="0" priority="1700">
      <formula>(#REF!&lt;&gt;"")*(#REF!&lt;&gt;"")</formula>
    </cfRule>
  </conditionalFormatting>
  <conditionalFormatting sqref="Q5770:Q5776 Q5908:Q5917 E5908:H5917 E5614:G5645 E5646:H5659 E5954:H5955 L5961:O5961 E5962:H5975 Q5606:Q5661 Q5953 E5953:G5953 E5663:H5663 E5661:G5661 J5661:O5661 L5752:O5752 L5753:N5753 Q5754 E5606:H5613 E5957:H5960 Q5663 Q5665:Q5752 E5665:H5751 E5758:H5776 J5758:O5776 J5665:O5751 J5957:O5960 J5663:O5663 J5962:O5975 J5953:O5955 J5606:O5659 J5908:O5917">
    <cfRule type="expression" dxfId="0" priority="1697">
      <formula>(#REF!&lt;&gt;"")*(#REF!&lt;&gt;"")</formula>
    </cfRule>
  </conditionalFormatting>
  <conditionalFormatting sqref="P5770:Q5776 P5908:Q5917 P5953:Q5953 Q5754 P5606:Q5661 P5663:Q5663 P5665:Q5752">
    <cfRule type="expression" dxfId="0" priority="1696">
      <formula>(#REF!&lt;&gt;"")*(#REF!&lt;&gt;"")</formula>
    </cfRule>
    <cfRule type="expression" dxfId="1" priority="1698">
      <formula>(#REF!&lt;&gt;"")*(#REF!&lt;&gt;"")</formula>
    </cfRule>
  </conditionalFormatting>
  <conditionalFormatting sqref="R5770:R5776 R5908:R5917 R5953 R5663 R5606:R5661 R5665:R5752">
    <cfRule type="expression" dxfId="0" priority="1695">
      <formula>(#REF!&lt;&gt;"")*(#REF!&lt;&gt;"")</formula>
    </cfRule>
  </conditionalFormatting>
  <conditionalFormatting sqref="C5660 A5660">
    <cfRule type="expression" dxfId="0" priority="784">
      <formula>(#REF!&lt;&gt;"")*(#REF!&lt;&gt;"")</formula>
    </cfRule>
  </conditionalFormatting>
  <conditionalFormatting sqref="E5660:G5660 J5660:O5660">
    <cfRule type="expression" dxfId="0" priority="783">
      <formula>(#REF!&lt;&gt;"")*(#REF!&lt;&gt;"")</formula>
    </cfRule>
  </conditionalFormatting>
  <conditionalFormatting sqref="A5662 C5662">
    <cfRule type="expression" dxfId="0" priority="790">
      <formula>(#REF!&lt;&gt;"")*(#REF!&lt;&gt;"")</formula>
    </cfRule>
  </conditionalFormatting>
  <conditionalFormatting sqref="Q5662 E5662:G5662 J5662:O5662">
    <cfRule type="expression" dxfId="0" priority="788">
      <formula>(#REF!&lt;&gt;"")*(#REF!&lt;&gt;"")</formula>
    </cfRule>
  </conditionalFormatting>
  <conditionalFormatting sqref="C5664 A5664">
    <cfRule type="expression" dxfId="0" priority="781">
      <formula>(#REF!&lt;&gt;"")*(#REF!&lt;&gt;"")</formula>
    </cfRule>
  </conditionalFormatting>
  <conditionalFormatting sqref="E5664:H5664 Q5664 J5664:O5664">
    <cfRule type="expression" dxfId="0" priority="779">
      <formula>(#REF!&lt;&gt;"")*(#REF!&lt;&gt;"")</formula>
    </cfRule>
  </conditionalFormatting>
  <conditionalFormatting sqref="A5752 C5752">
    <cfRule type="expression" dxfId="0" priority="1486">
      <formula>(#REF!&lt;&gt;"")*(#REF!&lt;&gt;"")</formula>
    </cfRule>
  </conditionalFormatting>
  <conditionalFormatting sqref="E5752:H5752 K5753 J5752:K5752">
    <cfRule type="expression" dxfId="0" priority="1485">
      <formula>(#REF!&lt;&gt;"")*(#REF!&lt;&gt;"")</formula>
    </cfRule>
  </conditionalFormatting>
  <conditionalFormatting sqref="A5753 C5753">
    <cfRule type="expression" dxfId="0" priority="1345">
      <formula>(#REF!&lt;&gt;"")*(#REF!&lt;&gt;"")</formula>
    </cfRule>
  </conditionalFormatting>
  <conditionalFormatting sqref="E5753:H5753 J5753">
    <cfRule type="expression" dxfId="0" priority="1344">
      <formula>(#REF!&lt;&gt;"")*(#REF!&lt;&gt;"")</formula>
    </cfRule>
  </conditionalFormatting>
  <conditionalFormatting sqref="A5754 C5754">
    <cfRule type="expression" dxfId="0" priority="1338">
      <formula>(#REF!&lt;&gt;"")*(#REF!&lt;&gt;"")</formula>
    </cfRule>
  </conditionalFormatting>
  <conditionalFormatting sqref="E5754:H5754 J5754">
    <cfRule type="expression" dxfId="0" priority="1337">
      <formula>(#REF!&lt;&gt;"")*(#REF!&lt;&gt;"")</formula>
    </cfRule>
  </conditionalFormatting>
  <conditionalFormatting sqref="A5755 C5755">
    <cfRule type="expression" dxfId="0" priority="1165">
      <formula>(#REF!&lt;&gt;"")*(#REF!&lt;&gt;"")</formula>
    </cfRule>
  </conditionalFormatting>
  <conditionalFormatting sqref="E5755:H5755 J5755">
    <cfRule type="expression" dxfId="0" priority="1164">
      <formula>(#REF!&lt;&gt;"")*(#REF!&lt;&gt;"")</formula>
    </cfRule>
  </conditionalFormatting>
  <conditionalFormatting sqref="L5755:N5757">
    <cfRule type="expression" dxfId="0" priority="1167">
      <formula>(#REF!&lt;&gt;"")*(#REF!&lt;&gt;"")</formula>
    </cfRule>
  </conditionalFormatting>
  <conditionalFormatting sqref="A5756 C5756">
    <cfRule type="expression" dxfId="0" priority="769">
      <formula>(#REF!&lt;&gt;"")*(#REF!&lt;&gt;"")</formula>
    </cfRule>
  </conditionalFormatting>
  <conditionalFormatting sqref="E5756:H5756 J5756">
    <cfRule type="expression" dxfId="0" priority="768">
      <formula>(#REF!&lt;&gt;"")*(#REF!&lt;&gt;"")</formula>
    </cfRule>
  </conditionalFormatting>
  <conditionalFormatting sqref="A5757 C5757">
    <cfRule type="expression" dxfId="0" priority="767">
      <formula>(#REF!&lt;&gt;"")*(#REF!&lt;&gt;"")</formula>
    </cfRule>
  </conditionalFormatting>
  <conditionalFormatting sqref="E5757:H5757 J5757">
    <cfRule type="expression" dxfId="0" priority="766">
      <formula>(#REF!&lt;&gt;"")*(#REF!&lt;&gt;"")</formula>
    </cfRule>
  </conditionalFormatting>
  <conditionalFormatting sqref="C5890 A5890">
    <cfRule type="expression" dxfId="0" priority="1646">
      <formula>(#REF!&lt;&gt;"")*(#REF!&lt;&gt;"")</formula>
    </cfRule>
  </conditionalFormatting>
  <conditionalFormatting sqref="E5890:H5890 Q5890 O5890 J5890:M5890">
    <cfRule type="expression" dxfId="0" priority="1644">
      <formula>(#REF!&lt;&gt;"")*(#REF!&lt;&gt;"")</formula>
    </cfRule>
  </conditionalFormatting>
  <conditionalFormatting sqref="C5891 A5891">
    <cfRule type="expression" dxfId="0" priority="1620">
      <formula>(#REF!&lt;&gt;"")*(#REF!&lt;&gt;"")</formula>
    </cfRule>
  </conditionalFormatting>
  <conditionalFormatting sqref="E5891:H5891 O5891 J5891:M5891">
    <cfRule type="expression" dxfId="0" priority="1618">
      <formula>(#REF!&lt;&gt;"")*(#REF!&lt;&gt;"")</formula>
    </cfRule>
  </conditionalFormatting>
  <conditionalFormatting sqref="C5892 A5892">
    <cfRule type="expression" dxfId="0" priority="1361">
      <formula>(#REF!&lt;&gt;"")*(#REF!&lt;&gt;"")</formula>
    </cfRule>
  </conditionalFormatting>
  <conditionalFormatting sqref="E5892:H5892 O5892 J5892:M5892">
    <cfRule type="expression" dxfId="0" priority="1359">
      <formula>(#REF!&lt;&gt;"")*(#REF!&lt;&gt;"")</formula>
    </cfRule>
  </conditionalFormatting>
  <conditionalFormatting sqref="C5893 A5893">
    <cfRule type="expression" dxfId="0" priority="1353">
      <formula>(#REF!&lt;&gt;"")*(#REF!&lt;&gt;"")</formula>
    </cfRule>
  </conditionalFormatting>
  <conditionalFormatting sqref="E5893:H5893 O5893 J5893:M5893">
    <cfRule type="expression" dxfId="0" priority="1351">
      <formula>(#REF!&lt;&gt;"")*(#REF!&lt;&gt;"")</formula>
    </cfRule>
  </conditionalFormatting>
  <conditionalFormatting sqref="C5894 A5894">
    <cfRule type="expression" dxfId="0" priority="1178">
      <formula>(#REF!&lt;&gt;"")*(#REF!&lt;&gt;"")</formula>
    </cfRule>
  </conditionalFormatting>
  <conditionalFormatting sqref="E5894:H5894 O5894 J5894:M5894">
    <cfRule type="expression" dxfId="0" priority="1176">
      <formula>(#REF!&lt;&gt;"")*(#REF!&lt;&gt;"")</formula>
    </cfRule>
  </conditionalFormatting>
  <conditionalFormatting sqref="C5895 A5895">
    <cfRule type="expression" dxfId="0" priority="835">
      <formula>(#REF!&lt;&gt;"")*(#REF!&lt;&gt;"")</formula>
    </cfRule>
  </conditionalFormatting>
  <conditionalFormatting sqref="E5895:H5895 J5895:M5895">
    <cfRule type="expression" dxfId="0" priority="834">
      <formula>(#REF!&lt;&gt;"")*(#REF!&lt;&gt;"")</formula>
    </cfRule>
  </conditionalFormatting>
  <conditionalFormatting sqref="C5896 A5896">
    <cfRule type="expression" dxfId="0" priority="669">
      <formula>(#REF!&lt;&gt;"")*(#REF!&lt;&gt;"")</formula>
    </cfRule>
  </conditionalFormatting>
  <conditionalFormatting sqref="E5896:H5896 J5896:M5896">
    <cfRule type="expression" dxfId="0" priority="668">
      <formula>(#REF!&lt;&gt;"")*(#REF!&lt;&gt;"")</formula>
    </cfRule>
  </conditionalFormatting>
  <conditionalFormatting sqref="C5897 A5897">
    <cfRule type="expression" dxfId="0" priority="665">
      <formula>(#REF!&lt;&gt;"")*(#REF!&lt;&gt;"")</formula>
    </cfRule>
  </conditionalFormatting>
  <conditionalFormatting sqref="E5897:H5897 J5897:M5897">
    <cfRule type="expression" dxfId="0" priority="664">
      <formula>(#REF!&lt;&gt;"")*(#REF!&lt;&gt;"")</formula>
    </cfRule>
  </conditionalFormatting>
  <conditionalFormatting sqref="C5898 A5898">
    <cfRule type="expression" dxfId="0" priority="656">
      <formula>(#REF!&lt;&gt;"")*(#REF!&lt;&gt;"")</formula>
    </cfRule>
  </conditionalFormatting>
  <conditionalFormatting sqref="E5898:H5898 K5899:K5903 H5899:H5903 J5898:M5898">
    <cfRule type="expression" dxfId="0" priority="655">
      <formula>(#REF!&lt;&gt;"")*(#REF!&lt;&gt;"")</formula>
    </cfRule>
  </conditionalFormatting>
  <conditionalFormatting sqref="C5899 A5899">
    <cfRule type="expression" dxfId="0" priority="647">
      <formula>(#REF!&lt;&gt;"")*(#REF!&lt;&gt;"")</formula>
    </cfRule>
  </conditionalFormatting>
  <conditionalFormatting sqref="E5899:G5899 L5899:M5899 J5899">
    <cfRule type="expression" dxfId="0" priority="646">
      <formula>(#REF!&lt;&gt;"")*(#REF!&lt;&gt;"")</formula>
    </cfRule>
  </conditionalFormatting>
  <conditionalFormatting sqref="C5900 A5900">
    <cfRule type="expression" dxfId="0" priority="640">
      <formula>(#REF!&lt;&gt;"")*(#REF!&lt;&gt;"")</formula>
    </cfRule>
  </conditionalFormatting>
  <conditionalFormatting sqref="E5900:G5900 L5900:M5900 J5900">
    <cfRule type="expression" dxfId="0" priority="639">
      <formula>(#REF!&lt;&gt;"")*(#REF!&lt;&gt;"")</formula>
    </cfRule>
  </conditionalFormatting>
  <conditionalFormatting sqref="C5901 A5901">
    <cfRule type="expression" dxfId="0" priority="632">
      <formula>(#REF!&lt;&gt;"")*(#REF!&lt;&gt;"")</formula>
    </cfRule>
  </conditionalFormatting>
  <conditionalFormatting sqref="E5901:G5901 L5901:M5901 J5901">
    <cfRule type="expression" dxfId="0" priority="631">
      <formula>(#REF!&lt;&gt;"")*(#REF!&lt;&gt;"")</formula>
    </cfRule>
  </conditionalFormatting>
  <conditionalFormatting sqref="C5902 A5902">
    <cfRule type="expression" dxfId="0" priority="616">
      <formula>(#REF!&lt;&gt;"")*(#REF!&lt;&gt;"")</formula>
    </cfRule>
  </conditionalFormatting>
  <conditionalFormatting sqref="E5902:G5902 L5902:M5902 J5902">
    <cfRule type="expression" dxfId="0" priority="615">
      <formula>(#REF!&lt;&gt;"")*(#REF!&lt;&gt;"")</formula>
    </cfRule>
  </conditionalFormatting>
  <conditionalFormatting sqref="C5903 A5903">
    <cfRule type="expression" dxfId="0" priority="625">
      <formula>(#REF!&lt;&gt;"")*(#REF!&lt;&gt;"")</formula>
    </cfRule>
  </conditionalFormatting>
  <conditionalFormatting sqref="E5903:G5903 L5903:M5903 J5903">
    <cfRule type="expression" dxfId="0" priority="624">
      <formula>(#REF!&lt;&gt;"")*(#REF!&lt;&gt;"")</formula>
    </cfRule>
  </conditionalFormatting>
  <conditionalFormatting sqref="A5904 C5904">
    <cfRule type="expression" dxfId="0" priority="608">
      <formula>(#REF!&lt;&gt;"")*(#REF!&lt;&gt;"")</formula>
    </cfRule>
  </conditionalFormatting>
  <conditionalFormatting sqref="E5904:H5904 J5904:M5904">
    <cfRule type="expression" dxfId="0" priority="607">
      <formula>(#REF!&lt;&gt;"")*(#REF!&lt;&gt;"")</formula>
    </cfRule>
  </conditionalFormatting>
  <conditionalFormatting sqref="A5905 C5905">
    <cfRule type="expression" dxfId="0" priority="599">
      <formula>(#REF!&lt;&gt;"")*(#REF!&lt;&gt;"")</formula>
    </cfRule>
  </conditionalFormatting>
  <conditionalFormatting sqref="E5905:H5905 J5905:M5905">
    <cfRule type="expression" dxfId="0" priority="598">
      <formula>(#REF!&lt;&gt;"")*(#REF!&lt;&gt;"")</formula>
    </cfRule>
  </conditionalFormatting>
  <conditionalFormatting sqref="A5906 C5906">
    <cfRule type="expression" dxfId="0" priority="590">
      <formula>(#REF!&lt;&gt;"")*(#REF!&lt;&gt;"")</formula>
    </cfRule>
  </conditionalFormatting>
  <conditionalFormatting sqref="E5906:H5906 J5906:M5906">
    <cfRule type="expression" dxfId="0" priority="589">
      <formula>(#REF!&lt;&gt;"")*(#REF!&lt;&gt;"")</formula>
    </cfRule>
  </conditionalFormatting>
  <conditionalFormatting sqref="A5907 C5907">
    <cfRule type="expression" dxfId="0" priority="581">
      <formula>(#REF!&lt;&gt;"")*(#REF!&lt;&gt;"")</formula>
    </cfRule>
  </conditionalFormatting>
  <conditionalFormatting sqref="E5907:H5907 J5907:M5907">
    <cfRule type="expression" dxfId="0" priority="580">
      <formula>(#REF!&lt;&gt;"")*(#REF!&lt;&gt;"")</formula>
    </cfRule>
  </conditionalFormatting>
  <conditionalFormatting sqref="A5918 C5918">
    <cfRule type="expression" dxfId="0" priority="1549">
      <formula>(#REF!&lt;&gt;"")*(#REF!&lt;&gt;"")</formula>
    </cfRule>
  </conditionalFormatting>
  <conditionalFormatting sqref="O5919:P5920 L5919:M5920 E5919:G5919">
    <cfRule type="expression" dxfId="1" priority="1693">
      <formula>(#REF!&lt;&gt;"")*(E$1&lt;&gt;"")</formula>
    </cfRule>
  </conditionalFormatting>
  <conditionalFormatting sqref="A5920 C5920">
    <cfRule type="expression" dxfId="0" priority="1315">
      <formula>(#REF!&lt;&gt;"")*(#REF!&lt;&gt;"")</formula>
    </cfRule>
  </conditionalFormatting>
  <conditionalFormatting sqref="A5939 C5939">
    <cfRule type="expression" dxfId="0" priority="1324">
      <formula>(#REF!&lt;&gt;"")*(#REF!&lt;&gt;"")</formula>
    </cfRule>
  </conditionalFormatting>
  <conditionalFormatting sqref="T5939 E5939:G5939 J5939:Q5939">
    <cfRule type="expression" dxfId="0" priority="1322">
      <formula>(#REF!&lt;&gt;"")*(#REF!&lt;&gt;"")</formula>
    </cfRule>
  </conditionalFormatting>
  <conditionalFormatting sqref="C5956 A5956">
    <cfRule type="expression" dxfId="0" priority="802">
      <formula>(#REF!&lt;&gt;"")*(#REF!&lt;&gt;"")</formula>
    </cfRule>
  </conditionalFormatting>
  <conditionalFormatting sqref="E5956:H5956 J5956:O5956">
    <cfRule type="expression" dxfId="0" priority="799">
      <formula>(#REF!&lt;&gt;"")*(#REF!&lt;&gt;"")</formula>
    </cfRule>
  </conditionalFormatting>
  <conditionalFormatting sqref="C5961 A5961">
    <cfRule type="expression" dxfId="0" priority="1558">
      <formula>(#REF!&lt;&gt;"")*(#REF!&lt;&gt;"")</formula>
    </cfRule>
  </conditionalFormatting>
  <conditionalFormatting sqref="E5961:H5961 K5961">
    <cfRule type="expression" dxfId="0" priority="1557">
      <formula>(#REF!&lt;&gt;"")*(#REF!&lt;&gt;"")</formula>
    </cfRule>
  </conditionalFormatting>
  <conditionalFormatting sqref="A5976 C5976">
    <cfRule type="expression" dxfId="0" priority="1555">
      <formula>(#REF!&lt;&gt;"")*(#REF!&lt;&gt;"")</formula>
    </cfRule>
  </conditionalFormatting>
  <conditionalFormatting sqref="Q5976 E5976:F5976 H5976 J5976:O5976">
    <cfRule type="expression" dxfId="0" priority="1553">
      <formula>(#REF!&lt;&gt;"")*(#REF!&lt;&gt;"")</formula>
    </cfRule>
  </conditionalFormatting>
  <conditionalFormatting sqref="E6045:H6045 C6045 A6045 J6045:R6045">
    <cfRule type="expression" dxfId="0" priority="975">
      <formula>(#REF!&lt;&gt;"")*(#REF!&lt;&gt;"")</formula>
    </cfRule>
  </conditionalFormatting>
  <conditionalFormatting sqref="A6047 C6047 E6047:H6047 O6047:R6047 J6047:M6047">
    <cfRule type="expression" dxfId="0" priority="973">
      <formula>(#REF!&lt;&gt;"")*(#REF!&lt;&gt;"")</formula>
    </cfRule>
  </conditionalFormatting>
  <conditionalFormatting sqref="E6049:H6049 C6049 A6049 O6049:R6049 J6049:M6049">
    <cfRule type="expression" dxfId="0" priority="970">
      <formula>(#REF!&lt;&gt;"")*(#REF!&lt;&gt;"")</formula>
    </cfRule>
  </conditionalFormatting>
  <conditionalFormatting sqref="C6080 A6080">
    <cfRule type="expression" dxfId="0" priority="1102">
      <formula>(#REF!&lt;&gt;"")*(#REF!&lt;&gt;"")</formula>
    </cfRule>
  </conditionalFormatting>
  <conditionalFormatting sqref="N6080 J6080:L6080">
    <cfRule type="expression" dxfId="1" priority="1690">
      <formula>(#REF!&lt;&gt;"")*(K$1&lt;&gt;"")</formula>
    </cfRule>
  </conditionalFormatting>
  <conditionalFormatting sqref="C6081 A6081">
    <cfRule type="expression" dxfId="0" priority="1095">
      <formula>(#REF!&lt;&gt;"")*(#REF!&lt;&gt;"")</formula>
    </cfRule>
  </conditionalFormatting>
  <conditionalFormatting sqref="J6081:L6081 P6081">
    <cfRule type="expression" dxfId="1" priority="1097">
      <formula>(#REF!&lt;&gt;"")*(K$1&lt;&gt;"")</formula>
    </cfRule>
  </conditionalFormatting>
  <conditionalFormatting sqref="C6082 A6082">
    <cfRule type="expression" dxfId="0" priority="1100">
      <formula>(#REF!&lt;&gt;"")*(#REF!&lt;&gt;"")</formula>
    </cfRule>
  </conditionalFormatting>
  <conditionalFormatting sqref="J6082:L6082 P6082 N6082">
    <cfRule type="expression" dxfId="1" priority="1687">
      <formula>(#REF!&lt;&gt;"")*(K$1&lt;&gt;"")</formula>
    </cfRule>
  </conditionalFormatting>
  <conditionalFormatting sqref="C6093 A6093 E6093:H6093 J6093:Q6093">
    <cfRule type="expression" dxfId="0" priority="797">
      <formula>(#REF!&lt;&gt;"")*(#REF!&lt;&gt;"")</formula>
    </cfRule>
  </conditionalFormatting>
  <conditionalFormatting sqref="A6116:A6120 C6116:C6120 C6122 A6122 A6124 C6124 C6126 A6126">
    <cfRule type="expression" dxfId="0" priority="1480">
      <formula>(#REF!&lt;&gt;"")*(#REF!&lt;&gt;"")</formula>
    </cfRule>
  </conditionalFormatting>
  <conditionalFormatting sqref="E6122:H6122 E6124:H6124 E6126:H6126 E6116:H6120 R6121:R6127 J6116:Q6119 J6126:Q6126 J6124:Q6124 J6122:Q6122 J6120:R6120">
    <cfRule type="expression" dxfId="0" priority="1478">
      <formula>(#REF!&lt;&gt;"")*(#REF!&lt;&gt;"")</formula>
    </cfRule>
  </conditionalFormatting>
  <conditionalFormatting sqref="P6116:Q6120 P6122:Q6122 P6124:Q6124 P6126:Q6126">
    <cfRule type="expression" dxfId="1" priority="1479">
      <formula>(#REF!&lt;&gt;"")*(#REF!&lt;&gt;"")</formula>
    </cfRule>
  </conditionalFormatting>
  <conditionalFormatting sqref="A6121 C6121">
    <cfRule type="expression" dxfId="0" priority="820">
      <formula>(#REF!&lt;&gt;"")*(#REF!&lt;&gt;"")</formula>
    </cfRule>
  </conditionalFormatting>
  <conditionalFormatting sqref="E6121:H6121 J6121:Q6121">
    <cfRule type="expression" dxfId="0" priority="818">
      <formula>(#REF!&lt;&gt;"")*(#REF!&lt;&gt;"")</formula>
    </cfRule>
  </conditionalFormatting>
  <conditionalFormatting sqref="C6123 A6123">
    <cfRule type="expression" dxfId="0" priority="817">
      <formula>(#REF!&lt;&gt;"")*(#REF!&lt;&gt;"")</formula>
    </cfRule>
  </conditionalFormatting>
  <conditionalFormatting sqref="E6123:H6123 O6123:P6123 J6123:M6123">
    <cfRule type="expression" dxfId="0" priority="815">
      <formula>(#REF!&lt;&gt;"")*(#REF!&lt;&gt;"")</formula>
    </cfRule>
  </conditionalFormatting>
  <conditionalFormatting sqref="A6125 C6125">
    <cfRule type="expression" dxfId="0" priority="814">
      <formula>(#REF!&lt;&gt;"")*(#REF!&lt;&gt;"")</formula>
    </cfRule>
  </conditionalFormatting>
  <conditionalFormatting sqref="E6125:H6125 O6125:P6125 J6125:M6125">
    <cfRule type="expression" dxfId="0" priority="812">
      <formula>(#REF!&lt;&gt;"")*(#REF!&lt;&gt;"")</formula>
    </cfRule>
  </conditionalFormatting>
  <conditionalFormatting sqref="C6127 A6127">
    <cfRule type="expression" dxfId="0" priority="811">
      <formula>(#REF!&lt;&gt;"")*(#REF!&lt;&gt;"")</formula>
    </cfRule>
  </conditionalFormatting>
  <conditionalFormatting sqref="E6127:H6127 O6127:P6127 J6127:M6127">
    <cfRule type="expression" dxfId="0" priority="809">
      <formula>(#REF!&lt;&gt;"")*(#REF!&lt;&gt;"")</formula>
    </cfRule>
  </conditionalFormatting>
  <conditionalFormatting sqref="J6299:J6300 L6432:M6432 L6437:M6437 A6435 E6435:G6435 J6435:R6435 L6444:M6444 A6438 E6438:G6438 J6438:R6438 J6445:R6445 J6441:R6443 K6440:R6440 A6423 E6426:G6430 O6457 A6456 E6456:G6456 J6452:R6453 J6456:O6456 O6462:O6466 L6457:M6457 L6433:N6433 J6567:K6568 E6567:G6568 G6575 J6575 E6575 P6578 F6661:G6661 F6586:G6601 A6586:A6601 C6423 F6423:G6423 C6650:C6651 A6650:A6651 F6650:G6651 J6600:O6600 F6425:G6425 A6699:A6700 G6699:G6700 C6699:C6700 J6680:R6695 E6680:E6695 A6680:A6695 G6680:G6695 C6680:C6695 K6423:R6423 E6471:H6478 J6566:R6566 M6567:R6568 K6651:R6651 R6696:R6697 J6650:R6650 C6471:C6478 G6480 J6586:L6599 N6590:R6591 J6601:L6601 N6601:O6601 N6606:R6606 J6603:L6637 C6603:C6637 A6603:A6637 F6603:G6637 E6440:G6443 A6440:A6443 J6426:R6430 G6486 C6480 C6486 A6480 A6486 K6486:O6486 C6455:C6457 A6566:A6568 C6566:C6568 R6454 A6471:A6478 C6661:C6670 G6662:G6670 A6661:A6670 E6662:E6670 J6661:R6670 E6445:G6445 A6445 C6440:C6445 P6554:R6556 L6455:M6455 M6450 C6460 L6460:M6460 R6638:R6647 L6462:M6466 C6462:C6466 C6450 A6450 E6450:G6450 E6452:G6453 A6452:A6453 C6452:C6453 K6425:R6425 C6425:C6430 A6425:A6430 R6657:R6660 C6575 A6489:A6556 C6489:C6556 C6578:C6601 E6578 G6578 C6437:C6438 L6480:R6480 J6554:N6556 J6489:R6553 J6480 N6586:O6589 Q6586:R6589 N6592:O6599 Q6592:R6601 N6603:O6605 Q6603:R6605 N6607:O6637 Q6607:R6637 Q6486:R6486 R6671:R6673 C6432:C6433 C6435 G6489:G6556 E6566 G6566 R6557:R6563 J6699:R6700 J6471:R6478">
    <cfRule type="expression" dxfId="0" priority="571">
      <formula>(#REF!&lt;&gt;"")*(A$1&lt;&gt;"")</formula>
    </cfRule>
  </conditionalFormatting>
  <conditionalFormatting sqref="A6424 C6424 F6424:G6424 K6424:R6424">
    <cfRule type="expression" dxfId="0" priority="310">
      <formula>(#REF!&lt;&gt;"")*(A$1&lt;&gt;"")</formula>
    </cfRule>
  </conditionalFormatting>
  <conditionalFormatting sqref="Y6697 Y6425">
    <cfRule type="expression" dxfId="1" priority="216">
      <formula>(#REF!&lt;&gt;"")*(#REF!&lt;&gt;"")</formula>
    </cfRule>
  </conditionalFormatting>
  <conditionalFormatting sqref="E6431:G6431 J6431:R6431 C6431 A6431">
    <cfRule type="expression" dxfId="0" priority="197">
      <formula>(#REF!&lt;&gt;"")*(A$1&lt;&gt;"")</formula>
    </cfRule>
  </conditionalFormatting>
  <conditionalFormatting sqref="L6434:M6434 C6434">
    <cfRule type="expression" dxfId="0" priority="196">
      <formula>(#REF!&lt;&gt;"")*(C$1&lt;&gt;"")</formula>
    </cfRule>
  </conditionalFormatting>
  <conditionalFormatting sqref="A6436 E6436:G6436 J6436:R6436 C6436">
    <cfRule type="expression" dxfId="0" priority="251">
      <formula>(#REF!&lt;&gt;"")*(A$1&lt;&gt;"")</formula>
    </cfRule>
  </conditionalFormatting>
  <conditionalFormatting sqref="A6439 E6439:G6439 C6439 J6439:R6439">
    <cfRule type="expression" dxfId="0" priority="420">
      <formula>(#REF!&lt;&gt;"")*(A$1&lt;&gt;"")</formula>
    </cfRule>
  </conditionalFormatting>
  <conditionalFormatting sqref="J6446:R6446 E6446:G6446 A6446 C6446 R6447:R6449">
    <cfRule type="expression" dxfId="0" priority="321">
      <formula>(#REF!&lt;&gt;"")*(A$1&lt;&gt;"")</formula>
    </cfRule>
  </conditionalFormatting>
  <conditionalFormatting sqref="J6447:M6447 E6447:G6447 A6447 C6447 O6447:Q6447">
    <cfRule type="expression" dxfId="0" priority="194">
      <formula>(#REF!&lt;&gt;"")*(A$1&lt;&gt;"")</formula>
    </cfRule>
  </conditionalFormatting>
  <conditionalFormatting sqref="J6448:Q6448 E6448:G6448 A6448 C6448">
    <cfRule type="expression" dxfId="0" priority="193">
      <formula>(#REF!&lt;&gt;"")*(A$1&lt;&gt;"")</formula>
    </cfRule>
  </conditionalFormatting>
  <conditionalFormatting sqref="J6449:Q6449 E6449:G6449 A6449 C6449">
    <cfRule type="expression" dxfId="0" priority="192">
      <formula>(#REF!&lt;&gt;"")*(A$1&lt;&gt;"")</formula>
    </cfRule>
  </conditionalFormatting>
  <conditionalFormatting sqref="M6451 C6451 A6451 E6451:G6451">
    <cfRule type="expression" dxfId="0" priority="320">
      <formula>(#REF!&lt;&gt;"")*(A$1&lt;&gt;"")</formula>
    </cfRule>
  </conditionalFormatting>
  <conditionalFormatting sqref="E6454:G6454 A6454 J6454:Q6454 C6454">
    <cfRule type="expression" dxfId="0" priority="393">
      <formula>(#REF!&lt;&gt;"")*(A$1&lt;&gt;"")</formula>
    </cfRule>
  </conditionalFormatting>
  <conditionalFormatting sqref="O6458 L6458:M6458 C6458">
    <cfRule type="expression" dxfId="0" priority="341">
      <formula>(#REF!&lt;&gt;"")*(C$1&lt;&gt;"")</formula>
    </cfRule>
  </conditionalFormatting>
  <conditionalFormatting sqref="O6459 L6459:M6459 C6459">
    <cfRule type="expression" dxfId="0" priority="337">
      <formula>(#REF!&lt;&gt;"")*(C$1&lt;&gt;"")</formula>
    </cfRule>
  </conditionalFormatting>
  <conditionalFormatting sqref="C6461 L6461:M6461">
    <cfRule type="expression" dxfId="0" priority="336">
      <formula>(#REF!&lt;&gt;"")*(C$1&lt;&gt;"")</formula>
    </cfRule>
  </conditionalFormatting>
  <conditionalFormatting sqref="C6467 L6467:M6467 O6467">
    <cfRule type="expression" dxfId="0" priority="433">
      <formula>(#REF!&lt;&gt;"")*(C$1&lt;&gt;"")</formula>
    </cfRule>
  </conditionalFormatting>
  <conditionalFormatting sqref="O6468 L6468:M6468 C6468">
    <cfRule type="expression" dxfId="0" priority="295">
      <formula>(#REF!&lt;&gt;"")*(C$1&lt;&gt;"")</formula>
    </cfRule>
  </conditionalFormatting>
  <conditionalFormatting sqref="C6469 L6469:M6469 O6469">
    <cfRule type="expression" dxfId="0" priority="294">
      <formula>(#REF!&lt;&gt;"")*(C$1&lt;&gt;"")</formula>
    </cfRule>
  </conditionalFormatting>
  <conditionalFormatting sqref="C6470 L6470:M6470 O6470">
    <cfRule type="expression" dxfId="0" priority="432">
      <formula>(#REF!&lt;&gt;"")*(C$1&lt;&gt;"")</formula>
    </cfRule>
  </conditionalFormatting>
  <conditionalFormatting sqref="E6479:H6479 C6479 A6479 J6479:R6479">
    <cfRule type="expression" dxfId="0" priority="428">
      <formula>(#REF!&lt;&gt;"")*(A$1&lt;&gt;"")</formula>
    </cfRule>
  </conditionalFormatting>
  <conditionalFormatting sqref="F6480:F6481 F6483:F6487 F6489:F6548">
    <cfRule type="expression" dxfId="0" priority="190">
      <formula>(#REF!&lt;&gt;"")*(F$1&lt;&gt;"")</formula>
    </cfRule>
  </conditionalFormatting>
  <conditionalFormatting sqref="H6480:H6481 H6483:H6487 H6489:H6561">
    <cfRule type="expression" dxfId="1" priority="233">
      <formula>(#REF!&lt;&gt;"")*(H$1&lt;&gt;"")</formula>
    </cfRule>
  </conditionalFormatting>
  <conditionalFormatting sqref="A6481 C6481 J6481:L6481 N6481 P6481:Q6481">
    <cfRule type="expression" dxfId="0" priority="291">
      <formula>(#REF!&lt;&gt;"")*(A$1&lt;&gt;"")</formula>
    </cfRule>
  </conditionalFormatting>
  <conditionalFormatting sqref="A6482 C6482 J6482:L6482 N6482 P6482:Q6482">
    <cfRule type="expression" dxfId="0" priority="155">
      <formula>(#REF!&lt;&gt;"")*(A$1&lt;&gt;"")</formula>
    </cfRule>
  </conditionalFormatting>
  <conditionalFormatting sqref="K6483:K6484 G6483:G6484 C6483:C6484 A6483:A6484 M6483:R6484">
    <cfRule type="expression" dxfId="0" priority="345">
      <formula>(#REF!&lt;&gt;"")*(A$1&lt;&gt;"")</formula>
    </cfRule>
  </conditionalFormatting>
  <conditionalFormatting sqref="K6485:R6485 G6485 C6485 A6485">
    <cfRule type="expression" dxfId="0" priority="409">
      <formula>(#REF!&lt;&gt;"")*(A$1&lt;&gt;"")</formula>
    </cfRule>
  </conditionalFormatting>
  <conditionalFormatting sqref="G6487 C6487 A6487 K6487:O6487 Q6487:R6487">
    <cfRule type="expression" dxfId="0" priority="293">
      <formula>(#REF!&lt;&gt;"")*(A$1&lt;&gt;"")</formula>
    </cfRule>
  </conditionalFormatting>
  <conditionalFormatting sqref="G6488 C6488 A6488 K6488:M6488 Q6488:R6488 O6488">
    <cfRule type="expression" dxfId="0" priority="150">
      <formula>(#REF!&lt;&gt;"")*(A$1&lt;&gt;"")</formula>
    </cfRule>
  </conditionalFormatting>
  <conditionalFormatting sqref="A6557 C6557 J6557:L6557 N6557 P6557:Q6557">
    <cfRule type="expression" dxfId="0" priority="392">
      <formula>(#REF!&lt;&gt;"")*(A$1&lt;&gt;"")</formula>
    </cfRule>
  </conditionalFormatting>
  <conditionalFormatting sqref="A6558 C6558 J6558:L6558 N6558 P6558:Q6558">
    <cfRule type="expression" dxfId="0" priority="386">
      <formula>(#REF!&lt;&gt;"")*(A$1&lt;&gt;"")</formula>
    </cfRule>
  </conditionalFormatting>
  <conditionalFormatting sqref="A6559 C6559 J6559:L6559 N6559 P6559:Q6559">
    <cfRule type="expression" dxfId="0" priority="384">
      <formula>(#REF!&lt;&gt;"")*(A$1&lt;&gt;"")</formula>
    </cfRule>
  </conditionalFormatting>
  <conditionalFormatting sqref="A6560 C6560 J6560:L6560 N6560 P6560:Q6560">
    <cfRule type="expression" dxfId="0" priority="388">
      <formula>(#REF!&lt;&gt;"")*(A$1&lt;&gt;"")</formula>
    </cfRule>
  </conditionalFormatting>
  <conditionalFormatting sqref="A6561 C6561 J6561:L6561 N6561 P6561:Q6561">
    <cfRule type="expression" dxfId="0" priority="340">
      <formula>(#REF!&lt;&gt;"")*(A$1&lt;&gt;"")</formula>
    </cfRule>
  </conditionalFormatting>
  <conditionalFormatting sqref="A6562 C6562 J6562:Q6562 G6562">
    <cfRule type="expression" dxfId="0" priority="182">
      <formula>(#REF!&lt;&gt;"")*(A$1&lt;&gt;"")</formula>
    </cfRule>
  </conditionalFormatting>
  <conditionalFormatting sqref="A6563 C6563 J6563:L6563 N6563 P6563:Q6563">
    <cfRule type="expression" dxfId="0" priority="179">
      <formula>(#REF!&lt;&gt;"")*(A$1&lt;&gt;"")</formula>
    </cfRule>
  </conditionalFormatting>
  <conditionalFormatting sqref="E6564:G6564 J6564:R6565 A6564:A6565 C6564:C6565 E6565 G6565">
    <cfRule type="expression" dxfId="0" priority="390">
      <formula>(#REF!&lt;&gt;"")*(A$1&lt;&gt;"")</formula>
    </cfRule>
  </conditionalFormatting>
  <conditionalFormatting sqref="J6569:K6569 E6569:G6569 M6569:R6569 A6569 C6569">
    <cfRule type="expression" dxfId="0" priority="302">
      <formula>(#REF!&lt;&gt;"")*(A$1&lt;&gt;"")</formula>
    </cfRule>
  </conditionalFormatting>
  <conditionalFormatting sqref="K6570 C6570 A6570 M6570:R6570 E6570:G6570">
    <cfRule type="expression" dxfId="0" priority="279">
      <formula>(#REF!&lt;&gt;"")*(A$1&lt;&gt;"")</formula>
    </cfRule>
  </conditionalFormatting>
  <conditionalFormatting sqref="K6571 C6571 A6571 M6571 E6571:G6571 O6571:R6571">
    <cfRule type="expression" dxfId="0" priority="278">
      <formula>(#REF!&lt;&gt;"")*(A$1&lt;&gt;"")</formula>
    </cfRule>
  </conditionalFormatting>
  <conditionalFormatting sqref="J6572:K6572 E6572:G6572 M6572:R6572 A6572 C6572">
    <cfRule type="expression" dxfId="0" priority="139">
      <formula>(#REF!&lt;&gt;"")*(A$1&lt;&gt;"")</formula>
    </cfRule>
  </conditionalFormatting>
  <conditionalFormatting sqref="K6573 C6573 A6573 M6573 E6573:G6573 O6573:R6573 R6574">
    <cfRule type="expression" dxfId="0" priority="138">
      <formula>(#REF!&lt;&gt;"")*(A$1&lt;&gt;"")</formula>
    </cfRule>
  </conditionalFormatting>
  <conditionalFormatting sqref="J6574 F6574:G6574 A6574 C6574 O6574:Q6574">
    <cfRule type="expression" dxfId="0" priority="136">
      <formula>(#REF!&lt;&gt;"")*(A$1&lt;&gt;"")</formula>
    </cfRule>
  </conditionalFormatting>
  <conditionalFormatting sqref="P6576 C6576 E6576 G6576">
    <cfRule type="expression" dxfId="0" priority="275">
      <formula>(#REF!&lt;&gt;"")*(C$1&lt;&gt;"")</formula>
    </cfRule>
  </conditionalFormatting>
  <conditionalFormatting sqref="G6577 J6577 E6577 C6577">
    <cfRule type="expression" dxfId="0" priority="276">
      <formula>(#REF!&lt;&gt;"")*(C$1&lt;&gt;"")</formula>
    </cfRule>
  </conditionalFormatting>
  <conditionalFormatting sqref="F6602:G6602 A6602 C6602 J6602:L6602 N6602:O6602 Q6602:R6602">
    <cfRule type="expression" dxfId="0" priority="421">
      <formula>(#REF!&lt;&gt;"")*(A$1&lt;&gt;"")</formula>
    </cfRule>
  </conditionalFormatting>
  <conditionalFormatting sqref="F6638:G6638 A6638 C6638 J6638:L6638 N6638:O6638 Q6638">
    <cfRule type="expression" dxfId="0" priority="482">
      <formula>(#REF!&lt;&gt;"")*(A$1&lt;&gt;"")</formula>
    </cfRule>
  </conditionalFormatting>
  <conditionalFormatting sqref="F6639:G6639 A6639 C6639 J6639:L6639 N6639:O6639 Q6639">
    <cfRule type="expression" dxfId="0" priority="477">
      <formula>(#REF!&lt;&gt;"")*(A$1&lt;&gt;"")</formula>
    </cfRule>
  </conditionalFormatting>
  <conditionalFormatting sqref="F6640:G6640 A6640 C6640 J6640:L6640 N6640:O6640 Q6640">
    <cfRule type="expression" dxfId="0" priority="476">
      <formula>(#REF!&lt;&gt;"")*(A$1&lt;&gt;"")</formula>
    </cfRule>
  </conditionalFormatting>
  <conditionalFormatting sqref="H6640:H6647 H6649:H6650">
    <cfRule type="expression" dxfId="1" priority="204">
      <formula>(#REF!&lt;&gt;"")*(H$1&lt;&gt;"")</formula>
    </cfRule>
  </conditionalFormatting>
  <conditionalFormatting sqref="F6641:G6641 A6641 C6641 J6641:L6641 N6641:O6641 Q6641">
    <cfRule type="expression" dxfId="0" priority="450">
      <formula>(#REF!&lt;&gt;"")*(A$1&lt;&gt;"")</formula>
    </cfRule>
  </conditionalFormatting>
  <conditionalFormatting sqref="F6642:G6642 A6642 C6642 J6642:L6642 N6642:O6642 Q6642">
    <cfRule type="expression" dxfId="0" priority="449">
      <formula>(#REF!&lt;&gt;"")*(A$1&lt;&gt;"")</formula>
    </cfRule>
  </conditionalFormatting>
  <conditionalFormatting sqref="F6643:G6644 A6643:A6644 C6643:C6644 J6643:L6644 N6643:O6644 Q6643:Q6644">
    <cfRule type="expression" dxfId="0" priority="441">
      <formula>(#REF!&lt;&gt;"")*(A$1&lt;&gt;"")</formula>
    </cfRule>
  </conditionalFormatting>
  <conditionalFormatting sqref="F6645:G6645 A6645 C6645 J6645:L6645 N6645:O6645 Q6645">
    <cfRule type="expression" dxfId="0" priority="404">
      <formula>(#REF!&lt;&gt;"")*(A$1&lt;&gt;"")</formula>
    </cfRule>
  </conditionalFormatting>
  <conditionalFormatting sqref="F6646:G6646 A6646 C6646 J6646:L6646 N6646:O6646 Q6646">
    <cfRule type="expression" dxfId="0" priority="381">
      <formula>(#REF!&lt;&gt;"")*(A$1&lt;&gt;"")</formula>
    </cfRule>
  </conditionalFormatting>
  <conditionalFormatting sqref="F6647:G6647 A6647 C6647 J6647:L6647 N6647:O6647 Q6647">
    <cfRule type="expression" dxfId="0" priority="366">
      <formula>(#REF!&lt;&gt;"")*(A$1&lt;&gt;"")</formula>
    </cfRule>
  </conditionalFormatting>
  <conditionalFormatting sqref="F6648:G6648 A6648 C6648 J6648:L6648 N6648:O6648 Q6648">
    <cfRule type="expression" dxfId="0" priority="184">
      <formula>(#REF!&lt;&gt;"")*(A$1&lt;&gt;"")</formula>
    </cfRule>
  </conditionalFormatting>
  <conditionalFormatting sqref="F6649:G6649 A6649 C6649 J6649:L6649 N6649:O6649 Q6649">
    <cfRule type="expression" dxfId="0" priority="304">
      <formula>(#REF!&lt;&gt;"")*(A$1&lt;&gt;"")</formula>
    </cfRule>
  </conditionalFormatting>
  <conditionalFormatting sqref="C6652 A6652 F6652:G6652 K6652:R6652">
    <cfRule type="expression" dxfId="0" priority="365">
      <formula>(#REF!&lt;&gt;"")*(A$1&lt;&gt;"")</formula>
    </cfRule>
  </conditionalFormatting>
  <conditionalFormatting sqref="C6653 A6653 F6653:G6653 K6653:R6653">
    <cfRule type="expression" dxfId="0" priority="402">
      <formula>(#REF!&lt;&gt;"")*(A$1&lt;&gt;"")</formula>
    </cfRule>
  </conditionalFormatting>
  <conditionalFormatting sqref="C6654:C6655 A6654:A6655 F6654:G6655 K6654:R6655">
    <cfRule type="expression" dxfId="0" priority="403">
      <formula>(#REF!&lt;&gt;"")*(A$1&lt;&gt;"")</formula>
    </cfRule>
  </conditionalFormatting>
  <conditionalFormatting sqref="J6801 J6803:M6804 K6805:M6805 K6788:M6802 Q6788:Q6805 O6788:O6805 A6788:A6805 E6788:G6805 K6781:M6783 A6780:A6782 Q6780:Q6783 O6780:O6783 E6780:G6782 A6776:A6778 Q6776:Q6778 O6776:O6778 E6776:G6778 A6764 F6764:G6764 K6764:M6764 O6764 Q6764 Q6760:Q6762 O6760:O6762 K6760:M6762 F6760:G6762 A6760:A6762 A6766 Q6766 O6766 G6766 F6749 F6743:G6748 O6743:O6752 Q6743:Q6752 A6743:A6752 F6750:G6752 A6771:A6774 Q6771:Q6774 O6771:O6774 E6771:G6774 K6771:M6774 K6743:M6752 K6741:K6742 O6656:O6660 G6656:G6660 C6656:C6660 K6656:M6660">
    <cfRule type="expression" dxfId="6" priority="568">
      <formula>('C:\Users\wangruyi02\Documents\计提\2023.3计提\[2023年3月IDC费用支付明细表-华北WM.xlsx]3月带宽'!#REF!&lt;&gt;"")*('C:\Users\wangruyi02\Documents\计提\2023.3计提\[2023年3月IDC费用支付明细表-华北WM.xlsx]3月带宽'!#REF!&lt;&gt;"")</formula>
    </cfRule>
  </conditionalFormatting>
  <conditionalFormatting sqref="N6788:N6805 N6781:N6783 N6776:N6778 N6771 N6764 N6760:N6762 N6743:N6745 N6747:N6752 N6773 E6656:E6660">
    <cfRule type="expression" dxfId="4" priority="569">
      <formula>('C:\Users\wangruyi02\Documents\计提\2023.3计提\[2023年3月IDC费用支付明细表-华北WM.xlsx]3月带宽'!#REF!&lt;&gt;"")*('C:\Users\wangruyi02\Documents\计提\2023.3计提\[2023年3月IDC费用支付明细表-华北WM.xlsx]3月带宽'!#REF!&lt;&gt;"")</formula>
    </cfRule>
  </conditionalFormatting>
  <conditionalFormatting sqref="P6656 R6656">
    <cfRule type="expression" dxfId="0" priority="410">
      <formula>(#REF!&lt;&gt;"")*(P$1&lt;&gt;"")</formula>
    </cfRule>
  </conditionalFormatting>
  <conditionalFormatting sqref="C6671 G6671 A6671 E6671 J6671:Q6671">
    <cfRule type="expression" dxfId="0" priority="475">
      <formula>(#REF!&lt;&gt;"")*(A$1&lt;&gt;"")</formula>
    </cfRule>
  </conditionalFormatting>
  <conditionalFormatting sqref="C6672 G6672 A6672 E6672 J6672:Q6672">
    <cfRule type="expression" dxfId="0" priority="469">
      <formula>(#REF!&lt;&gt;"")*(A$1&lt;&gt;"")</formula>
    </cfRule>
  </conditionalFormatting>
  <conditionalFormatting sqref="H6672 H6674:H6675">
    <cfRule type="expression" dxfId="0" priority="379">
      <formula>(#REF!&lt;&gt;"")*(H$1&lt;&gt;"")</formula>
    </cfRule>
  </conditionalFormatting>
  <conditionalFormatting sqref="C6673 G6673 A6673 E6673 J6673:Q6673">
    <cfRule type="expression" dxfId="0" priority="212">
      <formula>(#REF!&lt;&gt;"")*(A$1&lt;&gt;"")</formula>
    </cfRule>
  </conditionalFormatting>
  <conditionalFormatting sqref="J6674:R6674 E6674 A6674 G6674 C6674">
    <cfRule type="expression" dxfId="0" priority="466">
      <formula>(#REF!&lt;&gt;"")*(A$1&lt;&gt;"")</formula>
    </cfRule>
  </conditionalFormatting>
  <conditionalFormatting sqref="J6675:K6675 E6675 A6675 G6675 C6675 M6675:R6675">
    <cfRule type="expression" dxfId="0" priority="408">
      <formula>(#REF!&lt;&gt;"")*(A$1&lt;&gt;"")</formula>
    </cfRule>
  </conditionalFormatting>
  <conditionalFormatting sqref="J6676:K6676 E6676 A6676 G6676 C6676 M6676:R6676">
    <cfRule type="expression" dxfId="0" priority="369">
      <formula>(#REF!&lt;&gt;"")*(A$1&lt;&gt;"")</formula>
    </cfRule>
  </conditionalFormatting>
  <conditionalFormatting sqref="J6677:K6677 E6677 A6677 G6677 C6677 M6677:R6677">
    <cfRule type="expression" dxfId="0" priority="460">
      <formula>(#REF!&lt;&gt;"")*(A$1&lt;&gt;"")</formula>
    </cfRule>
  </conditionalFormatting>
  <conditionalFormatting sqref="J6678:N6678 E6678 A6678 G6678 C6678 P6678:R6678">
    <cfRule type="expression" dxfId="0" priority="458">
      <formula>(#REF!&lt;&gt;"")*(A$1&lt;&gt;"")</formula>
    </cfRule>
  </conditionalFormatting>
  <conditionalFormatting sqref="J6679 A6679 C6679 L6679:N6679 P6679:R6679">
    <cfRule type="expression" dxfId="0" priority="459">
      <formula>(#REF!&lt;&gt;"")*(A$1&lt;&gt;"")</formula>
    </cfRule>
  </conditionalFormatting>
  <conditionalFormatting sqref="A6696:A6697 C6696:C6697 L6696:Q6697 F6696:H6696 F6697:G6697">
    <cfRule type="expression" dxfId="0" priority="478">
      <formula>(#REF!&lt;&gt;"")*(A$1&lt;&gt;"")</formula>
    </cfRule>
  </conditionalFormatting>
  <conditionalFormatting sqref="K6698:Q6698 A6698 C6698 G6698">
    <cfRule type="expression" dxfId="0" priority="435">
      <formula>(#REF!&lt;&gt;"")*(A$1&lt;&gt;"")</formula>
    </cfRule>
  </conditionalFormatting>
  <conditionalFormatting sqref="C6704 A6702:A6709 F6702:H6702 A6714:A6715 J6702:O6702">
    <cfRule type="expression" dxfId="0" priority="560">
      <formula>(#REF!&lt;&gt;"")*(#REF!&lt;&gt;"")</formula>
    </cfRule>
  </conditionalFormatting>
  <conditionalFormatting sqref="N6715:P6715 M6706:M6709 C6715 R6715 Q6714:R6714 A6702:A6703 P6704 A6714:A6715 F6715:G6715 F6703:G6703 K6703:P6703 M6714:M6715 J6715:L6715">
    <cfRule type="expression" dxfId="0" priority="552">
      <formula>(#REF!&lt;&gt;"")*(#REF!&lt;&gt;"")</formula>
    </cfRule>
  </conditionalFormatting>
  <conditionalFormatting sqref="R6702:R6704 C6702:C6703 F6702:H6702 T6702:T6711 J6702:P6702">
    <cfRule type="expression" dxfId="0" priority="558">
      <formula>(#REF!&lt;&gt;"")*(#REF!&lt;&gt;"")</formula>
    </cfRule>
  </conditionalFormatting>
  <conditionalFormatting sqref="P6706:Q6706 P6714:Q6714 P6707:P6709 P6715 P6702:P6705">
    <cfRule type="expression" dxfId="1" priority="555">
      <formula>(#REF!&lt;&gt;"")*(#REF!&lt;&gt;"")</formula>
    </cfRule>
  </conditionalFormatting>
  <conditionalFormatting sqref="Q6714 C6707:C6709 R6707 K6703:O6703 F6703:G6709 K6707:P6707 K6706:Q6706 F6714:G6715 C6714 J6714:O6715 J6704:O6705 J6709:O6709 J6708:P6708">
    <cfRule type="expression" dxfId="0" priority="556">
      <formula>(#REF!&lt;&gt;"")*(#REF!&lt;&gt;"")</formula>
    </cfRule>
  </conditionalFormatting>
  <conditionalFormatting sqref="M6705:M6708 R6705 F6709:G6709 N6709 P6709 K6709:L6709 K6714:L6714 N6714:P6714 F6714:G6714">
    <cfRule type="expression" dxfId="0" priority="549">
      <formula>(#REF!&lt;&gt;"")*(#REF!&lt;&gt;"")</formula>
    </cfRule>
  </conditionalFormatting>
  <conditionalFormatting sqref="C6710 F6710:G6710 J6710:O6710">
    <cfRule type="expression" dxfId="0" priority="539">
      <formula>(#REF!&lt;&gt;"")*(#REF!&lt;&gt;"")</formula>
    </cfRule>
  </conditionalFormatting>
  <conditionalFormatting sqref="F6710:G6710 N6710 P6710 K6710:L6710">
    <cfRule type="expression" dxfId="0" priority="536">
      <formula>(#REF!&lt;&gt;"")*(#REF!&lt;&gt;"")</formula>
    </cfRule>
  </conditionalFormatting>
  <conditionalFormatting sqref="C6711 F6711:G6711 J6711:O6711">
    <cfRule type="expression" dxfId="0" priority="532">
      <formula>(#REF!&lt;&gt;"")*(#REF!&lt;&gt;"")</formula>
    </cfRule>
  </conditionalFormatting>
  <conditionalFormatting sqref="F6711:G6711 N6711 P6711 K6711:L6711">
    <cfRule type="expression" dxfId="0" priority="529">
      <formula>(#REF!&lt;&gt;"")*(#REF!&lt;&gt;"")</formula>
    </cfRule>
  </conditionalFormatting>
  <conditionalFormatting sqref="C6712 F6712:G6712 J6712:O6712">
    <cfRule type="expression" dxfId="0" priority="524">
      <formula>(#REF!&lt;&gt;"")*(#REF!&lt;&gt;"")</formula>
    </cfRule>
  </conditionalFormatting>
  <conditionalFormatting sqref="F6712:G6712 N6712 P6712 K6712:L6712">
    <cfRule type="expression" dxfId="0" priority="521">
      <formula>(#REF!&lt;&gt;"")*(#REF!&lt;&gt;"")</formula>
    </cfRule>
  </conditionalFormatting>
  <conditionalFormatting sqref="C6713 F6713:G6713 J6713:O6713">
    <cfRule type="expression" dxfId="0" priority="516">
      <formula>(#REF!&lt;&gt;"")*(#REF!&lt;&gt;"")</formula>
    </cfRule>
  </conditionalFormatting>
  <conditionalFormatting sqref="F6713:G6713 N6713 P6713 K6713:L6713">
    <cfRule type="expression" dxfId="0" priority="513">
      <formula>(#REF!&lt;&gt;"")*(#REF!&lt;&gt;"")</formula>
    </cfRule>
  </conditionalFormatting>
  <conditionalFormatting sqref="M6716:M6721 M6735:M6736">
    <cfRule type="expression" dxfId="0" priority="561">
      <formula>(#REF!&lt;&gt;"")*(#REF!&lt;&gt;"")</formula>
    </cfRule>
  </conditionalFormatting>
  <conditionalFormatting sqref="M6767:M6769 M6784:M6786 M6737:M6738 M6740">
    <cfRule type="expression" dxfId="0" priority="509">
      <formula>(#REF!&lt;&gt;"")*(#REF!&lt;&gt;"")</formula>
    </cfRule>
  </conditionalFormatting>
  <conditionalFormatting sqref="K6743 T6798">
    <cfRule type="expression" dxfId="4" priority="493">
      <formula>('C:\Users\wangruyi02\Documents\计提\2023.3计提\[2023年3月IDC费用支付明细表-华北WM.xlsx]3月带宽'!#REF!&lt;&gt;"")*('C:\Users\wangruyi02\Documents\计提\2023.3计提\[2023年3月IDC费用支付明细表-华北WM.xlsx]3月带宽'!#REF!&lt;&gt;"")</formula>
    </cfRule>
  </conditionalFormatting>
  <conditionalFormatting sqref="T6743 M6743:M6745 T6745">
    <cfRule type="expression" dxfId="4" priority="565">
      <formula>('C:\Users\wangruyi02\Documents\计提\2023.3计提\[2023年3月IDC费用支付明细表-华北WM.xlsx]3月带宽'!#REF!&lt;&gt;"")*('C:\Users\wangruyi02\Documents\计提\2023.3计提\[2023年3月IDC费用支付明细表-华北WM.xlsx]3月带宽'!#REF!&lt;&gt;"")</formula>
    </cfRule>
  </conditionalFormatting>
  <conditionalFormatting sqref="U6788:U6805 U6780:U6783 U6776:U6778 U6764 U6760:U6762 U6766 U6743:U6752 U6771:U6774">
    <cfRule type="expression" dxfId="6" priority="570">
      <formula>('C:\Users\wangruyi02\Documents\计提\2023.3计提\[2023年3月IDC费用支付明细表-华北WM.xlsx]3月带宽'!#REF!&lt;&gt;"")*('C:\Users\wangruyi02\Documents\计提\2023.3计提\[2023年3月IDC费用支付明细表-华北WM.xlsx]3月带宽'!#REF!&lt;&gt;"")</formula>
    </cfRule>
  </conditionalFormatting>
  <conditionalFormatting sqref="T6744 M6747 M6752">
    <cfRule type="expression" dxfId="4" priority="563">
      <formula>('C:\Users\wangruyi02\Documents\计提\2023.3计提\[2023年3月IDC费用支付明细表-华北WM.xlsx]3月带宽'!#REF!&lt;&gt;"")*('C:\Users\wangruyi02\Documents\计提\2023.3计提\[2023年3月IDC费用支付明细表-华北WM.xlsx]3月带宽'!#REF!&lt;&gt;"")</formula>
    </cfRule>
  </conditionalFormatting>
  <conditionalFormatting sqref="M6753 M6755 M6757:M6758">
    <cfRule type="expression" dxfId="0" priority="506">
      <formula>(#REF!&lt;&gt;"")*(#REF!&lt;&gt;"")</formula>
    </cfRule>
  </conditionalFormatting>
  <conditionalFormatting sqref="M6789 T6789 M6760:M6761 T6760:T6761 M6771 T6771 T6783 M6783">
    <cfRule type="expression" dxfId="4" priority="567">
      <formula>('C:\Users\wangruyi02\Documents\计提\2023.3计提\[2023年3月IDC费用支付明细表-华北WM.xlsx]3月带宽'!#REF!&lt;&gt;"")*('C:\Users\wangruyi02\Documents\计提\2023.3计提\[2023年3月IDC费用支付明细表-华北WM.xlsx]3月带宽'!#REF!&lt;&gt;"")</formula>
    </cfRule>
  </conditionalFormatting>
  <conditionalFormatting sqref="T6762 M6762">
    <cfRule type="expression" dxfId="4" priority="301">
      <formula>('C:\Users\wangruyi02\Documents\计提\2023.3计提\[2023年3月IDC费用支付明细表-华北WM.xlsx]3月带宽'!#REF!&lt;&gt;"")*('C:\Users\wangruyi02\Documents\计提\2023.3计提\[2023年3月IDC费用支付明细表-华北WM.xlsx]3月带宽'!#REF!&lt;&gt;"")</formula>
    </cfRule>
  </conditionalFormatting>
  <conditionalFormatting sqref="T6764 M6764">
    <cfRule type="expression" dxfId="4" priority="299">
      <formula>('C:\Users\wangruyi02\Documents\计提\2023.3计提\[2023年3月IDC费用支付明细表-华北WM.xlsx]3月带宽'!#REF!&lt;&gt;"")*('C:\Users\wangruyi02\Documents\计提\2023.3计提\[2023年3月IDC费用支付明细表-华北WM.xlsx]3月带宽'!#REF!&lt;&gt;"")</formula>
    </cfRule>
  </conditionalFormatting>
  <conditionalFormatting sqref="M6772 T6772">
    <cfRule type="expression" dxfId="4" priority="199">
      <formula>('C:\Users\wangruyi02\Documents\计提\2023.3计提\[2023年3月IDC费用支付明细表-华北WM.xlsx]3月带宽'!#REF!&lt;&gt;"")*('C:\Users\wangruyi02\Documents\计提\2023.3计提\[2023年3月IDC费用支付明细表-华北WM.xlsx]3月带宽'!#REF!&lt;&gt;"")</formula>
    </cfRule>
  </conditionalFormatting>
  <conditionalFormatting sqref="T6773 M6773">
    <cfRule type="expression" dxfId="4" priority="250">
      <formula>('C:\Users\wangruyi02\Documents\计提\2023.3计提\[2023年3月IDC费用支付明细表-华北WM.xlsx]3月带宽'!#REF!&lt;&gt;"")*('C:\Users\wangruyi02\Documents\计提\2023.3计提\[2023年3月IDC费用支付明细表-华北WM.xlsx]3月带宽'!#REF!&lt;&gt;"")</formula>
    </cfRule>
  </conditionalFormatting>
  <conditionalFormatting sqref="T6774 M6774">
    <cfRule type="expression" dxfId="4" priority="201">
      <formula>('C:\Users\wangruyi02\Documents\计提\2023.3计提\[2023年3月IDC费用支付明细表-华北WM.xlsx]3月带宽'!#REF!&lt;&gt;"")*('C:\Users\wangruyi02\Documents\计提\2023.3计提\[2023年3月IDC费用支付明细表-华北WM.xlsx]3月带宽'!#REF!&lt;&gt;"")</formula>
    </cfRule>
  </conditionalFormatting>
  <conditionalFormatting sqref="T6781 M6781">
    <cfRule type="expression" dxfId="4" priority="317">
      <formula>('C:\Users\wangruyi02\Documents\计提\2023.3计提\[2023年3月IDC费用支付明细表-华北WM.xlsx]3月带宽'!#REF!&lt;&gt;"")*('C:\Users\wangruyi02\Documents\计提\2023.3计提\[2023年3月IDC费用支付明细表-华北WM.xlsx]3月带宽'!#REF!&lt;&gt;"")</formula>
    </cfRule>
  </conditionalFormatting>
  <conditionalFormatting sqref="T6782 M6782">
    <cfRule type="expression" dxfId="4" priority="313">
      <formula>('C:\Users\wangruyi02\Documents\计提\2023.3计提\[2023年3月IDC费用支付明细表-华北WM.xlsx]3月带宽'!#REF!&lt;&gt;"")*('C:\Users\wangruyi02\Documents\计提\2023.3计提\[2023年3月IDC费用支付明细表-华北WM.xlsx]3月带宽'!#REF!&lt;&gt;"")</formula>
    </cfRule>
  </conditionalFormatting>
  <conditionalFormatting sqref="A6783 E6783:G6783">
    <cfRule type="expression" dxfId="1" priority="315">
      <formula>(#REF!&lt;&gt;"")*(A$1&lt;&gt;"")</formula>
    </cfRule>
  </conditionalFormatting>
  <conditionalFormatting sqref="H6785:H6792 H6795 H6797">
    <cfRule type="expression" dxfId="1" priority="171">
      <formula>(#REF!&lt;&gt;"")*(H$1&lt;&gt;"")</formula>
    </cfRule>
  </conditionalFormatting>
  <conditionalFormatting sqref="M6788 T6788">
    <cfRule type="expression" dxfId="4" priority="562">
      <formula>('C:\Users\wangruyi02\Documents\计提\2023.3计提\[2023年3月IDC费用支付明细表-华北WM.xlsx]3月带宽'!#REF!&lt;&gt;"")*('C:\Users\wangruyi02\Documents\计提\2023.3计提\[2023年3月IDC费用支付明细表-华北WM.xlsx]3月带宽'!#REF!&lt;&gt;"")</formula>
    </cfRule>
  </conditionalFormatting>
  <conditionalFormatting sqref="M6790 T6790 T6792">
    <cfRule type="expression" dxfId="4" priority="564">
      <formula>('C:\Users\wangruyi02\Documents\计提\2023.3计提\[2023年3月IDC费用支付明细表-华北WM.xlsx]3月带宽'!#REF!&lt;&gt;"")*('C:\Users\wangruyi02\Documents\计提\2023.3计提\[2023年3月IDC费用支付明细表-华北WM.xlsx]3月带宽'!#REF!&lt;&gt;"")</formula>
    </cfRule>
  </conditionalFormatting>
  <conditionalFormatting sqref="H6799 H6801">
    <cfRule type="expression" dxfId="1" priority="170">
      <formula>(#REF!&lt;&gt;"")*(H$1&lt;&gt;"")</formula>
    </cfRule>
  </conditionalFormatting>
  <conditionalFormatting sqref="M6806:M6810 M6817">
    <cfRule type="expression" dxfId="0" priority="500">
      <formula>(#REF!&lt;&gt;"")*(#REF!&lt;&gt;"")</formula>
    </cfRule>
  </conditionalFormatting>
  <conditionalFormatting sqref="M7001 M6920:M6921 M6928 M6820:M6822 M6861 M6959:M6960 M6853:M6859 M7008 M6983 M6994:M6996 M7014 M6890:M6894 M6930:M6932 M6963:M6964 M6970 M7019 M6872:M6874 M6834:M6837 M6975:M6976 M6985 M6824 M6826:M6829 M6883:M6884 M6900 M6917:M6918 M6908:M6910 M6831 M6840:M6846 M7004:M7006 M6897:M6898 M6863:M6866 M6913:M6915 M6972 M6904:M6906 M6990:M6992 M6936:M6943">
    <cfRule type="expression" dxfId="0" priority="510">
      <formula>(#REF!&lt;&gt;"")*(#REF!&lt;&gt;"")</formula>
    </cfRule>
  </conditionalFormatting>
  <conditionalFormatting sqref="E6842:E6846 E6848:E6852">
    <cfRule type="expression" dxfId="0" priority="437">
      <formula>(#REF!&lt;&gt;"")*(E$1&lt;&gt;"")</formula>
    </cfRule>
  </conditionalFormatting>
  <conditionalFormatting sqref="M6868 M6871">
    <cfRule type="expression" dxfId="0" priority="397">
      <formula>(#REF!&lt;&gt;"")*(#REF!&lt;&gt;"")</formula>
    </cfRule>
  </conditionalFormatting>
  <conditionalFormatting sqref="T6868 T6871">
    <cfRule type="expression" dxfId="1" priority="396">
      <formula>(#REF!&lt;&gt;"")*(#REF!&lt;&gt;"")</formula>
    </cfRule>
  </conditionalFormatting>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AK50"/>
  <sheetViews>
    <sheetView workbookViewId="0">
      <selection activeCell="D66" sqref="D66"/>
    </sheetView>
  </sheetViews>
  <sheetFormatPr defaultColWidth="9" defaultRowHeight="14"/>
  <cols>
    <col min="1" max="1" width="19.5833333333333" style="75" customWidth="1"/>
    <col min="2" max="2" width="29.5833333333333" style="75" customWidth="1"/>
    <col min="3" max="3" width="19.5833333333333" style="75" customWidth="1"/>
    <col min="4" max="4" width="40.5" style="75" customWidth="1"/>
    <col min="5" max="5" width="26.9166666666667" style="75" customWidth="1"/>
    <col min="6" max="6" width="255" style="75" customWidth="1"/>
    <col min="7" max="8" width="5.25" style="75" customWidth="1"/>
    <col min="9" max="9" width="10.5833333333333" style="75" customWidth="1"/>
    <col min="10" max="10" width="5.25" style="75" customWidth="1"/>
    <col min="11" max="11" width="6.58333333333333" style="75" customWidth="1"/>
    <col min="12" max="12" width="26.5833333333333" style="75" customWidth="1"/>
    <col min="13" max="15" width="12.4166666666667" style="75" customWidth="1"/>
    <col min="16" max="16" width="8" style="75" customWidth="1"/>
    <col min="17" max="17" width="6.58333333333333" style="75" customWidth="1"/>
    <col min="18" max="19" width="9.33333333333333" style="75" customWidth="1"/>
    <col min="20" max="21" width="12.4166666666667" style="75" customWidth="1"/>
    <col min="22" max="22" width="50.5833333333333" style="75" customWidth="1"/>
    <col min="23" max="23" width="16.25" style="75" customWidth="1"/>
    <col min="24" max="24" width="6.41666666666667" style="75" customWidth="1"/>
    <col min="25" max="25" width="6.58333333333333" style="75" customWidth="1"/>
    <col min="26" max="26" width="30.5833333333333" style="75" customWidth="1"/>
    <col min="27" max="27" width="24.3333333333333" style="75" customWidth="1"/>
    <col min="28" max="29" width="16.1666666666667" style="75" customWidth="1"/>
    <col min="30" max="30" width="24.3333333333333" style="75" customWidth="1"/>
    <col min="31" max="32" width="6.58333333333333" style="75" customWidth="1"/>
    <col min="33" max="33" width="7.91666666666667" style="75" customWidth="1"/>
    <col min="34" max="34" width="6.58333333333333" style="75" customWidth="1"/>
    <col min="35" max="35" width="7.91666666666667" style="75" customWidth="1"/>
    <col min="36" max="36" width="17.5" style="75" customWidth="1"/>
    <col min="37" max="37" width="6.58333333333333" style="75" customWidth="1"/>
    <col min="38" max="16384" width="8.66666666666667" style="75"/>
  </cols>
  <sheetData>
    <row r="1" spans="1:37">
      <c r="A1" s="76" t="s">
        <v>9413</v>
      </c>
      <c r="B1" s="76" t="s">
        <v>9414</v>
      </c>
      <c r="C1" s="76" t="s">
        <v>9415</v>
      </c>
      <c r="D1" s="76" t="s">
        <v>9416</v>
      </c>
      <c r="E1" s="76" t="s">
        <v>9417</v>
      </c>
      <c r="F1" s="76" t="s">
        <v>9418</v>
      </c>
      <c r="G1" s="76" t="s">
        <v>9419</v>
      </c>
      <c r="H1" s="76" t="s">
        <v>9420</v>
      </c>
      <c r="I1" s="76" t="s">
        <v>9421</v>
      </c>
      <c r="J1" s="76" t="s">
        <v>9422</v>
      </c>
      <c r="K1" s="76" t="s">
        <v>9423</v>
      </c>
      <c r="L1" s="76" t="s">
        <v>9424</v>
      </c>
      <c r="M1" s="76" t="s">
        <v>9425</v>
      </c>
      <c r="N1" s="76" t="s">
        <v>9426</v>
      </c>
      <c r="O1" s="76" t="s">
        <v>24</v>
      </c>
      <c r="P1" s="76" t="s">
        <v>9427</v>
      </c>
      <c r="Q1" s="76" t="s">
        <v>9428</v>
      </c>
      <c r="R1" s="76" t="s">
        <v>9429</v>
      </c>
      <c r="S1" s="76" t="s">
        <v>9430</v>
      </c>
      <c r="T1" s="76" t="s">
        <v>9431</v>
      </c>
      <c r="U1" s="76" t="s">
        <v>9432</v>
      </c>
      <c r="V1" s="76" t="s">
        <v>9433</v>
      </c>
      <c r="W1" s="76" t="s">
        <v>9434</v>
      </c>
      <c r="X1" s="76" t="s">
        <v>9435</v>
      </c>
      <c r="Y1" s="76" t="s">
        <v>9436</v>
      </c>
      <c r="Z1" s="76" t="s">
        <v>9437</v>
      </c>
      <c r="AA1" s="76" t="s">
        <v>9438</v>
      </c>
      <c r="AB1" s="76" t="s">
        <v>9439</v>
      </c>
      <c r="AC1" s="76" t="s">
        <v>9440</v>
      </c>
      <c r="AD1" s="76" t="s">
        <v>9438</v>
      </c>
      <c r="AE1" s="76" t="s">
        <v>9441</v>
      </c>
      <c r="AF1" s="76" t="s">
        <v>9442</v>
      </c>
      <c r="AG1" s="76" t="s">
        <v>9443</v>
      </c>
      <c r="AH1" s="76" t="s">
        <v>9444</v>
      </c>
      <c r="AI1" s="76" t="s">
        <v>9441</v>
      </c>
      <c r="AJ1" s="76" t="s">
        <v>9442</v>
      </c>
      <c r="AK1" s="76" t="s">
        <v>9445</v>
      </c>
    </row>
    <row r="2" s="74" customFormat="1" hidden="1" spans="1:37">
      <c r="A2" s="74" t="s">
        <v>2820</v>
      </c>
      <c r="B2" s="77" t="str">
        <f>VLOOKUP(A2,'202303-非带宽'!H:H,1,FALSE)</f>
        <v>182315IDC00105</v>
      </c>
      <c r="D2" s="74" t="s">
        <v>9446</v>
      </c>
      <c r="E2" s="74" t="s">
        <v>9447</v>
      </c>
      <c r="F2" s="74" t="s">
        <v>9448</v>
      </c>
      <c r="G2" s="74" t="s">
        <v>9449</v>
      </c>
      <c r="H2" s="74" t="s">
        <v>28</v>
      </c>
      <c r="I2" s="74" t="s">
        <v>9450</v>
      </c>
      <c r="J2" s="74" t="s">
        <v>1251</v>
      </c>
      <c r="K2" s="74" t="s">
        <v>9451</v>
      </c>
      <c r="L2" s="74" t="s">
        <v>9452</v>
      </c>
      <c r="M2" s="74" t="s">
        <v>9453</v>
      </c>
      <c r="N2" s="74" t="s">
        <v>9454</v>
      </c>
      <c r="O2" s="74" t="s">
        <v>9455</v>
      </c>
      <c r="P2" s="74" t="s">
        <v>9456</v>
      </c>
      <c r="Q2" s="74" t="s">
        <v>9456</v>
      </c>
      <c r="R2" s="74" t="s">
        <v>1251</v>
      </c>
      <c r="S2" s="74" t="s">
        <v>9457</v>
      </c>
      <c r="T2" s="74" t="s">
        <v>9458</v>
      </c>
      <c r="U2" s="74" t="s">
        <v>9458</v>
      </c>
      <c r="V2" s="74" t="s">
        <v>1251</v>
      </c>
      <c r="W2" s="74" t="s">
        <v>9457</v>
      </c>
      <c r="X2" s="74" t="s">
        <v>9459</v>
      </c>
      <c r="Y2" s="74" t="s">
        <v>9457</v>
      </c>
      <c r="Z2" s="74" t="s">
        <v>1251</v>
      </c>
      <c r="AA2" s="74" t="s">
        <v>9460</v>
      </c>
      <c r="AB2" s="74" t="s">
        <v>9461</v>
      </c>
      <c r="AC2" s="74" t="s">
        <v>9462</v>
      </c>
      <c r="AD2" s="74" t="s">
        <v>9460</v>
      </c>
      <c r="AE2" s="74" t="s">
        <v>9457</v>
      </c>
      <c r="AF2" s="74" t="s">
        <v>1251</v>
      </c>
      <c r="AG2" s="74" t="s">
        <v>6802</v>
      </c>
      <c r="AH2" s="74" t="s">
        <v>9457</v>
      </c>
      <c r="AI2" s="74" t="s">
        <v>9463</v>
      </c>
      <c r="AJ2" s="74" t="s">
        <v>1251</v>
      </c>
      <c r="AK2" s="74" t="s">
        <v>1251</v>
      </c>
    </row>
    <row r="3" s="74" customFormat="1" hidden="1" spans="1:37">
      <c r="A3" s="74" t="s">
        <v>4298</v>
      </c>
      <c r="B3" s="77" t="str">
        <f>VLOOKUP(A3,'202303-非带宽'!H:H,1,FALSE)</f>
        <v>182315IDC00101</v>
      </c>
      <c r="D3" s="74" t="s">
        <v>9464</v>
      </c>
      <c r="E3" s="74" t="s">
        <v>9447</v>
      </c>
      <c r="F3" s="74" t="s">
        <v>9465</v>
      </c>
      <c r="G3" s="74" t="s">
        <v>9466</v>
      </c>
      <c r="H3" s="74" t="s">
        <v>28</v>
      </c>
      <c r="I3" s="74" t="s">
        <v>9450</v>
      </c>
      <c r="J3" s="74" t="s">
        <v>1251</v>
      </c>
      <c r="K3" s="74" t="s">
        <v>9451</v>
      </c>
      <c r="L3" s="74" t="s">
        <v>9467</v>
      </c>
      <c r="M3" s="74" t="s">
        <v>9468</v>
      </c>
      <c r="N3" s="74" t="s">
        <v>9469</v>
      </c>
      <c r="O3" s="74" t="s">
        <v>9470</v>
      </c>
      <c r="P3" s="74" t="s">
        <v>9456</v>
      </c>
      <c r="Q3" s="74" t="s">
        <v>9456</v>
      </c>
      <c r="R3" s="74" t="s">
        <v>1251</v>
      </c>
      <c r="S3" s="74" t="s">
        <v>9457</v>
      </c>
      <c r="T3" s="74" t="s">
        <v>9453</v>
      </c>
      <c r="U3" s="74" t="s">
        <v>9453</v>
      </c>
      <c r="V3" s="74" t="s">
        <v>9471</v>
      </c>
      <c r="W3" s="74" t="s">
        <v>9457</v>
      </c>
      <c r="X3" s="74" t="s">
        <v>9459</v>
      </c>
      <c r="Y3" s="74" t="s">
        <v>9457</v>
      </c>
      <c r="Z3" s="74" t="s">
        <v>1251</v>
      </c>
      <c r="AA3" s="74" t="s">
        <v>9460</v>
      </c>
      <c r="AB3" s="74" t="s">
        <v>9461</v>
      </c>
      <c r="AC3" s="74" t="s">
        <v>9462</v>
      </c>
      <c r="AD3" s="74" t="s">
        <v>9460</v>
      </c>
      <c r="AE3" s="74" t="s">
        <v>9457</v>
      </c>
      <c r="AF3" s="74" t="s">
        <v>1251</v>
      </c>
      <c r="AG3" s="74" t="s">
        <v>9472</v>
      </c>
      <c r="AH3" s="74" t="s">
        <v>9457</v>
      </c>
      <c r="AI3" s="74" t="s">
        <v>9463</v>
      </c>
      <c r="AJ3" s="74" t="s">
        <v>1251</v>
      </c>
      <c r="AK3" s="74" t="s">
        <v>1251</v>
      </c>
    </row>
    <row r="4" spans="1:37">
      <c r="A4" s="75" t="s">
        <v>9473</v>
      </c>
      <c r="B4" s="78" t="e">
        <f>VLOOKUP(A4,'202303-非带宽'!H:H,1,FALSE)</f>
        <v>#N/A</v>
      </c>
      <c r="C4" s="75" t="s">
        <v>9474</v>
      </c>
      <c r="D4" s="75" t="s">
        <v>9475</v>
      </c>
      <c r="E4" s="75" t="s">
        <v>9476</v>
      </c>
      <c r="F4" s="75" t="s">
        <v>9477</v>
      </c>
      <c r="G4" s="75" t="s">
        <v>9478</v>
      </c>
      <c r="H4" s="75" t="s">
        <v>9478</v>
      </c>
      <c r="I4" s="75" t="s">
        <v>9479</v>
      </c>
      <c r="J4" s="75" t="s">
        <v>1251</v>
      </c>
      <c r="K4" s="75" t="s">
        <v>9451</v>
      </c>
      <c r="L4" s="75" t="s">
        <v>9480</v>
      </c>
      <c r="M4" s="75" t="s">
        <v>9468</v>
      </c>
      <c r="N4" s="75" t="s">
        <v>9468</v>
      </c>
      <c r="O4" s="75" t="s">
        <v>9481</v>
      </c>
      <c r="P4" s="75" t="s">
        <v>9456</v>
      </c>
      <c r="Q4" s="75" t="s">
        <v>9456</v>
      </c>
      <c r="R4" s="75" t="s">
        <v>1251</v>
      </c>
      <c r="S4" s="75" t="s">
        <v>9457</v>
      </c>
      <c r="T4" s="75" t="s">
        <v>9453</v>
      </c>
      <c r="U4" s="75" t="s">
        <v>9453</v>
      </c>
      <c r="V4" s="75" t="s">
        <v>1251</v>
      </c>
      <c r="W4" s="75" t="s">
        <v>9482</v>
      </c>
      <c r="X4" s="75" t="s">
        <v>9459</v>
      </c>
      <c r="Y4" s="75" t="s">
        <v>9457</v>
      </c>
      <c r="Z4" s="75" t="s">
        <v>1251</v>
      </c>
      <c r="AA4" s="75" t="s">
        <v>9483</v>
      </c>
      <c r="AB4" s="75" t="s">
        <v>9484</v>
      </c>
      <c r="AC4" s="75" t="s">
        <v>9484</v>
      </c>
      <c r="AD4" s="75" t="s">
        <v>9483</v>
      </c>
      <c r="AE4" s="75" t="s">
        <v>9457</v>
      </c>
      <c r="AF4" s="75" t="s">
        <v>1251</v>
      </c>
      <c r="AG4" s="75" t="s">
        <v>6802</v>
      </c>
      <c r="AH4" s="75" t="s">
        <v>9457</v>
      </c>
      <c r="AI4" s="75" t="s">
        <v>9463</v>
      </c>
      <c r="AJ4" s="75" t="s">
        <v>1251</v>
      </c>
      <c r="AK4" s="75" t="s">
        <v>1251</v>
      </c>
    </row>
    <row r="5" spans="1:37">
      <c r="A5" s="75" t="s">
        <v>9485</v>
      </c>
      <c r="B5" s="78" t="e">
        <f>VLOOKUP(A5,'202303-非带宽'!H:H,1,FALSE)</f>
        <v>#N/A</v>
      </c>
      <c r="C5" s="75" t="s">
        <v>9486</v>
      </c>
      <c r="D5" s="75" t="s">
        <v>9487</v>
      </c>
      <c r="E5" s="75" t="s">
        <v>9447</v>
      </c>
      <c r="F5" s="75" t="s">
        <v>9488</v>
      </c>
      <c r="G5" s="75" t="s">
        <v>9449</v>
      </c>
      <c r="H5" s="75" t="s">
        <v>9489</v>
      </c>
      <c r="I5" s="75" t="s">
        <v>9450</v>
      </c>
      <c r="J5" s="75" t="s">
        <v>1251</v>
      </c>
      <c r="K5" s="75" t="s">
        <v>9451</v>
      </c>
      <c r="L5" s="75" t="s">
        <v>9490</v>
      </c>
      <c r="M5" s="75" t="s">
        <v>9491</v>
      </c>
      <c r="N5" s="75" t="s">
        <v>9454</v>
      </c>
      <c r="O5" s="75" t="s">
        <v>9455</v>
      </c>
      <c r="P5" s="75" t="s">
        <v>9456</v>
      </c>
      <c r="Q5" s="75" t="s">
        <v>9456</v>
      </c>
      <c r="R5" s="75" t="s">
        <v>1251</v>
      </c>
      <c r="S5" s="75" t="s">
        <v>9457</v>
      </c>
      <c r="T5" s="75" t="s">
        <v>9492</v>
      </c>
      <c r="U5" s="75" t="s">
        <v>9492</v>
      </c>
      <c r="V5" s="75" t="s">
        <v>1251</v>
      </c>
      <c r="W5" s="75" t="s">
        <v>9457</v>
      </c>
      <c r="X5" s="75" t="s">
        <v>9459</v>
      </c>
      <c r="Y5" s="75" t="s">
        <v>9457</v>
      </c>
      <c r="Z5" s="75" t="s">
        <v>1251</v>
      </c>
      <c r="AA5" s="75" t="s">
        <v>9460</v>
      </c>
      <c r="AB5" s="75" t="s">
        <v>9461</v>
      </c>
      <c r="AC5" s="75" t="s">
        <v>9462</v>
      </c>
      <c r="AD5" s="75" t="s">
        <v>9460</v>
      </c>
      <c r="AE5" s="75" t="s">
        <v>9457</v>
      </c>
      <c r="AF5" s="75" t="s">
        <v>1251</v>
      </c>
      <c r="AG5" s="75" t="s">
        <v>6802</v>
      </c>
      <c r="AH5" s="75" t="s">
        <v>9457</v>
      </c>
      <c r="AI5" s="75" t="s">
        <v>9463</v>
      </c>
      <c r="AJ5" s="75" t="s">
        <v>1251</v>
      </c>
      <c r="AK5" s="75" t="s">
        <v>1251</v>
      </c>
    </row>
    <row r="6" spans="1:37">
      <c r="A6" s="75" t="s">
        <v>9493</v>
      </c>
      <c r="B6" s="78" t="e">
        <f>VLOOKUP(A6,'202303-非带宽'!H:H,1,FALSE)</f>
        <v>#N/A</v>
      </c>
      <c r="C6" s="75" t="s">
        <v>9494</v>
      </c>
      <c r="D6" s="75" t="s">
        <v>9495</v>
      </c>
      <c r="E6" s="75" t="s">
        <v>9447</v>
      </c>
      <c r="F6" s="75" t="s">
        <v>9496</v>
      </c>
      <c r="G6" s="75" t="s">
        <v>9466</v>
      </c>
      <c r="H6" s="75" t="s">
        <v>4178</v>
      </c>
      <c r="I6" s="75" t="s">
        <v>9450</v>
      </c>
      <c r="J6" s="75" t="s">
        <v>1251</v>
      </c>
      <c r="K6" s="75" t="s">
        <v>3529</v>
      </c>
      <c r="L6" s="75" t="s">
        <v>1251</v>
      </c>
      <c r="M6" s="75" t="s">
        <v>9491</v>
      </c>
      <c r="N6" s="75" t="s">
        <v>9497</v>
      </c>
      <c r="O6" s="75" t="s">
        <v>9498</v>
      </c>
      <c r="P6" s="75" t="s">
        <v>9456</v>
      </c>
      <c r="Q6" s="75" t="s">
        <v>9456</v>
      </c>
      <c r="R6" s="75" t="s">
        <v>1251</v>
      </c>
      <c r="S6" s="75" t="s">
        <v>9457</v>
      </c>
      <c r="T6" s="75" t="s">
        <v>9499</v>
      </c>
      <c r="U6" s="75" t="s">
        <v>9499</v>
      </c>
      <c r="V6" s="75" t="s">
        <v>1251</v>
      </c>
      <c r="W6" s="75" t="s">
        <v>9457</v>
      </c>
      <c r="X6" s="75" t="s">
        <v>9459</v>
      </c>
      <c r="Y6" s="75" t="s">
        <v>9457</v>
      </c>
      <c r="Z6" s="75" t="s">
        <v>1251</v>
      </c>
      <c r="AA6" s="75" t="s">
        <v>9460</v>
      </c>
      <c r="AB6" s="75" t="s">
        <v>9461</v>
      </c>
      <c r="AC6" s="75" t="s">
        <v>9462</v>
      </c>
      <c r="AD6" s="75" t="s">
        <v>9460</v>
      </c>
      <c r="AE6" s="75" t="s">
        <v>9482</v>
      </c>
      <c r="AF6" s="75" t="s">
        <v>1251</v>
      </c>
      <c r="AG6" s="75" t="s">
        <v>6802</v>
      </c>
      <c r="AH6" s="75" t="s">
        <v>9457</v>
      </c>
      <c r="AI6" s="75" t="s">
        <v>9500</v>
      </c>
      <c r="AJ6" s="75" t="s">
        <v>9501</v>
      </c>
      <c r="AK6" s="75" t="s">
        <v>1251</v>
      </c>
    </row>
    <row r="7" s="74" customFormat="1" hidden="1" spans="1:37">
      <c r="A7" s="74" t="s">
        <v>5672</v>
      </c>
      <c r="B7" s="77" t="str">
        <f>VLOOKUP(A7,'202303-非带宽'!H:H,1,FALSE)</f>
        <v>182315IDC00095</v>
      </c>
      <c r="D7" s="74" t="s">
        <v>9502</v>
      </c>
      <c r="E7" s="74" t="s">
        <v>9447</v>
      </c>
      <c r="F7" s="74" t="s">
        <v>9503</v>
      </c>
      <c r="G7" s="74" t="s">
        <v>9466</v>
      </c>
      <c r="H7" s="74" t="s">
        <v>4178</v>
      </c>
      <c r="I7" s="74" t="s">
        <v>9450</v>
      </c>
      <c r="J7" s="74" t="s">
        <v>1251</v>
      </c>
      <c r="K7" s="74" t="s">
        <v>9451</v>
      </c>
      <c r="L7" s="74" t="s">
        <v>9504</v>
      </c>
      <c r="M7" s="74" t="s">
        <v>9505</v>
      </c>
      <c r="N7" s="74" t="s">
        <v>9469</v>
      </c>
      <c r="O7" s="74" t="s">
        <v>9470</v>
      </c>
      <c r="P7" s="74" t="s">
        <v>9456</v>
      </c>
      <c r="Q7" s="74" t="s">
        <v>9456</v>
      </c>
      <c r="R7" s="74" t="s">
        <v>1251</v>
      </c>
      <c r="S7" s="74" t="s">
        <v>9457</v>
      </c>
      <c r="T7" s="74" t="s">
        <v>9499</v>
      </c>
      <c r="U7" s="74" t="s">
        <v>9499</v>
      </c>
      <c r="V7" s="74" t="s">
        <v>9506</v>
      </c>
      <c r="W7" s="74" t="s">
        <v>9457</v>
      </c>
      <c r="X7" s="74" t="s">
        <v>9459</v>
      </c>
      <c r="Y7" s="74" t="s">
        <v>9457</v>
      </c>
      <c r="Z7" s="74" t="s">
        <v>1251</v>
      </c>
      <c r="AA7" s="74" t="s">
        <v>9460</v>
      </c>
      <c r="AB7" s="74" t="s">
        <v>9461</v>
      </c>
      <c r="AC7" s="74" t="s">
        <v>9462</v>
      </c>
      <c r="AD7" s="74" t="s">
        <v>9460</v>
      </c>
      <c r="AE7" s="74" t="s">
        <v>9457</v>
      </c>
      <c r="AF7" s="74" t="s">
        <v>1251</v>
      </c>
      <c r="AG7" s="74" t="s">
        <v>9472</v>
      </c>
      <c r="AH7" s="74" t="s">
        <v>9457</v>
      </c>
      <c r="AI7" s="74" t="s">
        <v>9463</v>
      </c>
      <c r="AJ7" s="74" t="s">
        <v>1251</v>
      </c>
      <c r="AK7" s="74" t="s">
        <v>1251</v>
      </c>
    </row>
    <row r="8" s="74" customFormat="1" hidden="1" spans="1:37">
      <c r="A8" s="74" t="s">
        <v>4897</v>
      </c>
      <c r="B8" s="77" t="str">
        <f>VLOOKUP(A8,'202303-非带宽'!H:H,1,FALSE)</f>
        <v>182315IDC00096</v>
      </c>
      <c r="D8" s="74" t="s">
        <v>9507</v>
      </c>
      <c r="E8" s="74" t="s">
        <v>9447</v>
      </c>
      <c r="F8" s="74" t="s">
        <v>9508</v>
      </c>
      <c r="G8" s="74" t="s">
        <v>9466</v>
      </c>
      <c r="H8" s="74" t="s">
        <v>4178</v>
      </c>
      <c r="I8" s="74" t="s">
        <v>9450</v>
      </c>
      <c r="J8" s="74" t="s">
        <v>1251</v>
      </c>
      <c r="K8" s="74" t="s">
        <v>9451</v>
      </c>
      <c r="L8" s="74" t="s">
        <v>9509</v>
      </c>
      <c r="M8" s="74" t="s">
        <v>9505</v>
      </c>
      <c r="N8" s="74" t="s">
        <v>9454</v>
      </c>
      <c r="O8" s="74" t="s">
        <v>9510</v>
      </c>
      <c r="P8" s="74" t="s">
        <v>9456</v>
      </c>
      <c r="Q8" s="74" t="s">
        <v>9456</v>
      </c>
      <c r="R8" s="74" t="s">
        <v>1251</v>
      </c>
      <c r="S8" s="74" t="s">
        <v>9457</v>
      </c>
      <c r="T8" s="74" t="s">
        <v>9453</v>
      </c>
      <c r="U8" s="74" t="s">
        <v>9453</v>
      </c>
      <c r="V8" s="74" t="s">
        <v>9511</v>
      </c>
      <c r="W8" s="74" t="s">
        <v>9457</v>
      </c>
      <c r="X8" s="74" t="s">
        <v>9459</v>
      </c>
      <c r="Y8" s="74" t="s">
        <v>9457</v>
      </c>
      <c r="Z8" s="74" t="s">
        <v>1251</v>
      </c>
      <c r="AA8" s="74" t="s">
        <v>9460</v>
      </c>
      <c r="AB8" s="74" t="s">
        <v>9461</v>
      </c>
      <c r="AC8" s="74" t="s">
        <v>9462</v>
      </c>
      <c r="AD8" s="74" t="s">
        <v>9460</v>
      </c>
      <c r="AE8" s="74" t="s">
        <v>9457</v>
      </c>
      <c r="AF8" s="74" t="s">
        <v>1251</v>
      </c>
      <c r="AG8" s="74" t="s">
        <v>9472</v>
      </c>
      <c r="AH8" s="74" t="s">
        <v>9457</v>
      </c>
      <c r="AI8" s="74" t="s">
        <v>9463</v>
      </c>
      <c r="AJ8" s="74" t="s">
        <v>1251</v>
      </c>
      <c r="AK8" s="74" t="s">
        <v>1251</v>
      </c>
    </row>
    <row r="9" s="74" customFormat="1" hidden="1" spans="1:37">
      <c r="A9" s="74" t="s">
        <v>5719</v>
      </c>
      <c r="B9" s="77" t="str">
        <f>VLOOKUP(A9,'202303-非带宽'!H:H,1,FALSE)</f>
        <v>182315IDC00092</v>
      </c>
      <c r="D9" s="74" t="s">
        <v>9512</v>
      </c>
      <c r="E9" s="74" t="s">
        <v>9447</v>
      </c>
      <c r="F9" s="74" t="s">
        <v>9513</v>
      </c>
      <c r="G9" s="74" t="s">
        <v>9466</v>
      </c>
      <c r="H9" s="74" t="s">
        <v>4178</v>
      </c>
      <c r="I9" s="74" t="s">
        <v>9450</v>
      </c>
      <c r="J9" s="74" t="s">
        <v>1251</v>
      </c>
      <c r="K9" s="74" t="s">
        <v>9451</v>
      </c>
      <c r="L9" s="74" t="s">
        <v>9514</v>
      </c>
      <c r="M9" s="74" t="s">
        <v>9515</v>
      </c>
      <c r="N9" s="74" t="s">
        <v>9516</v>
      </c>
      <c r="O9" s="74" t="s">
        <v>9517</v>
      </c>
      <c r="P9" s="74" t="s">
        <v>9456</v>
      </c>
      <c r="Q9" s="74" t="s">
        <v>9456</v>
      </c>
      <c r="R9" s="74" t="s">
        <v>1251</v>
      </c>
      <c r="S9" s="74" t="s">
        <v>9457</v>
      </c>
      <c r="T9" s="74" t="s">
        <v>9468</v>
      </c>
      <c r="U9" s="74" t="s">
        <v>9468</v>
      </c>
      <c r="V9" s="74" t="s">
        <v>9518</v>
      </c>
      <c r="W9" s="74" t="s">
        <v>9457</v>
      </c>
      <c r="X9" s="74" t="s">
        <v>9459</v>
      </c>
      <c r="Y9" s="74" t="s">
        <v>9457</v>
      </c>
      <c r="Z9" s="74" t="s">
        <v>1251</v>
      </c>
      <c r="AA9" s="74" t="s">
        <v>9460</v>
      </c>
      <c r="AB9" s="74" t="s">
        <v>9461</v>
      </c>
      <c r="AC9" s="74" t="s">
        <v>9462</v>
      </c>
      <c r="AD9" s="74" t="s">
        <v>9460</v>
      </c>
      <c r="AE9" s="74" t="s">
        <v>9457</v>
      </c>
      <c r="AF9" s="74" t="s">
        <v>1251</v>
      </c>
      <c r="AG9" s="74" t="s">
        <v>9472</v>
      </c>
      <c r="AH9" s="74" t="s">
        <v>9457</v>
      </c>
      <c r="AI9" s="74" t="s">
        <v>9463</v>
      </c>
      <c r="AJ9" s="74" t="s">
        <v>1251</v>
      </c>
      <c r="AK9" s="74" t="s">
        <v>1251</v>
      </c>
    </row>
    <row r="10" spans="1:37">
      <c r="A10" s="75" t="s">
        <v>9519</v>
      </c>
      <c r="B10" s="78" t="e">
        <f>VLOOKUP(A10,'202303-非带宽'!H:H,1,FALSE)</f>
        <v>#N/A</v>
      </c>
      <c r="C10" s="75" t="s">
        <v>9486</v>
      </c>
      <c r="D10" s="75" t="s">
        <v>9520</v>
      </c>
      <c r="E10" s="75" t="s">
        <v>9447</v>
      </c>
      <c r="F10" s="75" t="s">
        <v>9521</v>
      </c>
      <c r="G10" s="75" t="s">
        <v>9449</v>
      </c>
      <c r="H10" s="75" t="s">
        <v>28</v>
      </c>
      <c r="I10" s="75" t="s">
        <v>9450</v>
      </c>
      <c r="J10" s="75" t="s">
        <v>1251</v>
      </c>
      <c r="K10" s="75" t="s">
        <v>9451</v>
      </c>
      <c r="L10" s="75" t="s">
        <v>9522</v>
      </c>
      <c r="M10" s="75" t="s">
        <v>9515</v>
      </c>
      <c r="N10" s="75" t="s">
        <v>9523</v>
      </c>
      <c r="O10" s="75" t="s">
        <v>9524</v>
      </c>
      <c r="P10" s="75" t="s">
        <v>9456</v>
      </c>
      <c r="Q10" s="75" t="s">
        <v>9456</v>
      </c>
      <c r="R10" s="75" t="s">
        <v>1251</v>
      </c>
      <c r="S10" s="75" t="s">
        <v>9457</v>
      </c>
      <c r="T10" s="75" t="s">
        <v>9525</v>
      </c>
      <c r="U10" s="75" t="s">
        <v>9525</v>
      </c>
      <c r="V10" s="75" t="s">
        <v>1251</v>
      </c>
      <c r="W10" s="75" t="s">
        <v>9457</v>
      </c>
      <c r="X10" s="75" t="s">
        <v>9459</v>
      </c>
      <c r="Y10" s="75" t="s">
        <v>9457</v>
      </c>
      <c r="Z10" s="75" t="s">
        <v>1251</v>
      </c>
      <c r="AA10" s="75" t="s">
        <v>9460</v>
      </c>
      <c r="AB10" s="75" t="s">
        <v>9461</v>
      </c>
      <c r="AC10" s="75" t="s">
        <v>9462</v>
      </c>
      <c r="AD10" s="75" t="s">
        <v>9460</v>
      </c>
      <c r="AE10" s="75" t="s">
        <v>9457</v>
      </c>
      <c r="AF10" s="75" t="s">
        <v>1251</v>
      </c>
      <c r="AG10" s="75" t="s">
        <v>6802</v>
      </c>
      <c r="AH10" s="75" t="s">
        <v>9457</v>
      </c>
      <c r="AI10" s="75" t="s">
        <v>9463</v>
      </c>
      <c r="AJ10" s="75" t="s">
        <v>1251</v>
      </c>
      <c r="AK10" s="75" t="s">
        <v>1251</v>
      </c>
    </row>
    <row r="11" spans="1:37">
      <c r="A11" s="75" t="s">
        <v>9526</v>
      </c>
      <c r="B11" s="78" t="e">
        <f>VLOOKUP(A11,'202303-非带宽'!H:H,1,FALSE)</f>
        <v>#N/A</v>
      </c>
      <c r="C11" s="75" t="s">
        <v>9474</v>
      </c>
      <c r="D11" s="75" t="s">
        <v>9475</v>
      </c>
      <c r="E11" s="75" t="s">
        <v>9527</v>
      </c>
      <c r="F11" s="75" t="s">
        <v>9528</v>
      </c>
      <c r="G11" s="75" t="s">
        <v>9529</v>
      </c>
      <c r="H11" s="75" t="s">
        <v>9529</v>
      </c>
      <c r="I11" s="75" t="s">
        <v>9479</v>
      </c>
      <c r="J11" s="75" t="s">
        <v>1251</v>
      </c>
      <c r="K11" s="75" t="s">
        <v>9451</v>
      </c>
      <c r="L11" s="75" t="s">
        <v>9530</v>
      </c>
      <c r="M11" s="75" t="s">
        <v>9515</v>
      </c>
      <c r="N11" s="75" t="s">
        <v>9505</v>
      </c>
      <c r="O11" s="75" t="s">
        <v>9531</v>
      </c>
      <c r="P11" s="75" t="s">
        <v>9456</v>
      </c>
      <c r="Q11" s="75" t="s">
        <v>9456</v>
      </c>
      <c r="R11" s="75" t="s">
        <v>1251</v>
      </c>
      <c r="S11" s="75" t="s">
        <v>9457</v>
      </c>
      <c r="T11" s="75" t="s">
        <v>9492</v>
      </c>
      <c r="U11" s="75" t="s">
        <v>9492</v>
      </c>
      <c r="V11" s="75" t="s">
        <v>1251</v>
      </c>
      <c r="W11" s="75" t="s">
        <v>9457</v>
      </c>
      <c r="X11" s="75" t="s">
        <v>9459</v>
      </c>
      <c r="Y11" s="75" t="s">
        <v>9457</v>
      </c>
      <c r="Z11" s="75" t="s">
        <v>1251</v>
      </c>
      <c r="AA11" s="75" t="s">
        <v>9532</v>
      </c>
      <c r="AB11" s="75" t="s">
        <v>9533</v>
      </c>
      <c r="AC11" s="75" t="s">
        <v>9533</v>
      </c>
      <c r="AD11" s="75" t="s">
        <v>9532</v>
      </c>
      <c r="AE11" s="75" t="s">
        <v>9457</v>
      </c>
      <c r="AF11" s="75" t="s">
        <v>1251</v>
      </c>
      <c r="AG11" s="75" t="s">
        <v>6802</v>
      </c>
      <c r="AH11" s="75" t="s">
        <v>9457</v>
      </c>
      <c r="AI11" s="75" t="s">
        <v>9463</v>
      </c>
      <c r="AJ11" s="75" t="s">
        <v>1251</v>
      </c>
      <c r="AK11" s="75" t="s">
        <v>1251</v>
      </c>
    </row>
    <row r="12" s="74" customFormat="1" hidden="1" spans="1:37">
      <c r="A12" s="74" t="s">
        <v>6146</v>
      </c>
      <c r="B12" s="77" t="str">
        <f>VLOOKUP(A12,'202303-非带宽'!H:H,1,FALSE)</f>
        <v>182315IDC00087</v>
      </c>
      <c r="D12" s="74" t="s">
        <v>9534</v>
      </c>
      <c r="E12" s="74" t="s">
        <v>9447</v>
      </c>
      <c r="F12" s="74" t="s">
        <v>9535</v>
      </c>
      <c r="G12" s="74" t="s">
        <v>9466</v>
      </c>
      <c r="H12" s="74" t="s">
        <v>85</v>
      </c>
      <c r="I12" s="74" t="s">
        <v>9450</v>
      </c>
      <c r="J12" s="74" t="s">
        <v>1251</v>
      </c>
      <c r="K12" s="74" t="s">
        <v>9451</v>
      </c>
      <c r="L12" s="74" t="s">
        <v>9536</v>
      </c>
      <c r="M12" s="74" t="s">
        <v>9537</v>
      </c>
      <c r="N12" s="74" t="s">
        <v>9454</v>
      </c>
      <c r="O12" s="74" t="s">
        <v>9531</v>
      </c>
      <c r="P12" s="74" t="s">
        <v>9456</v>
      </c>
      <c r="Q12" s="74" t="s">
        <v>9456</v>
      </c>
      <c r="R12" s="74" t="s">
        <v>1251</v>
      </c>
      <c r="S12" s="74" t="s">
        <v>9457</v>
      </c>
      <c r="T12" s="74" t="s">
        <v>9468</v>
      </c>
      <c r="U12" s="74" t="s">
        <v>9468</v>
      </c>
      <c r="V12" s="74" t="s">
        <v>9538</v>
      </c>
      <c r="W12" s="74" t="s">
        <v>9457</v>
      </c>
      <c r="X12" s="74" t="s">
        <v>9459</v>
      </c>
      <c r="Y12" s="74" t="s">
        <v>9457</v>
      </c>
      <c r="Z12" s="74" t="s">
        <v>1251</v>
      </c>
      <c r="AA12" s="74" t="s">
        <v>9460</v>
      </c>
      <c r="AB12" s="74" t="s">
        <v>9461</v>
      </c>
      <c r="AC12" s="74" t="s">
        <v>9462</v>
      </c>
      <c r="AD12" s="74" t="s">
        <v>9460</v>
      </c>
      <c r="AE12" s="74" t="s">
        <v>9457</v>
      </c>
      <c r="AF12" s="74" t="s">
        <v>1251</v>
      </c>
      <c r="AG12" s="74" t="s">
        <v>9472</v>
      </c>
      <c r="AH12" s="74" t="s">
        <v>9457</v>
      </c>
      <c r="AI12" s="74" t="s">
        <v>9463</v>
      </c>
      <c r="AJ12" s="74" t="s">
        <v>1251</v>
      </c>
      <c r="AK12" s="74" t="s">
        <v>1251</v>
      </c>
    </row>
    <row r="13" spans="1:37">
      <c r="A13" s="75" t="s">
        <v>9539</v>
      </c>
      <c r="B13" s="78" t="e">
        <f>VLOOKUP(A13,'202303-非带宽'!H:H,1,FALSE)</f>
        <v>#N/A</v>
      </c>
      <c r="C13" s="75" t="s">
        <v>9486</v>
      </c>
      <c r="D13" s="75" t="s">
        <v>9540</v>
      </c>
      <c r="E13" s="75" t="s">
        <v>9447</v>
      </c>
      <c r="F13" s="75" t="s">
        <v>9541</v>
      </c>
      <c r="G13" s="75" t="s">
        <v>9449</v>
      </c>
      <c r="H13" s="75" t="s">
        <v>28</v>
      </c>
      <c r="I13" s="75" t="s">
        <v>9450</v>
      </c>
      <c r="J13" s="75" t="s">
        <v>1251</v>
      </c>
      <c r="K13" s="75" t="s">
        <v>9451</v>
      </c>
      <c r="L13" s="75" t="s">
        <v>9542</v>
      </c>
      <c r="M13" s="75" t="s">
        <v>9537</v>
      </c>
      <c r="N13" s="75" t="s">
        <v>9469</v>
      </c>
      <c r="O13" s="75" t="s">
        <v>9470</v>
      </c>
      <c r="P13" s="75" t="s">
        <v>9456</v>
      </c>
      <c r="Q13" s="75" t="s">
        <v>9456</v>
      </c>
      <c r="R13" s="75" t="s">
        <v>1251</v>
      </c>
      <c r="S13" s="75" t="s">
        <v>9457</v>
      </c>
      <c r="T13" s="75" t="s">
        <v>9505</v>
      </c>
      <c r="U13" s="75" t="s">
        <v>9505</v>
      </c>
      <c r="V13" s="75" t="s">
        <v>9543</v>
      </c>
      <c r="W13" s="75" t="s">
        <v>9457</v>
      </c>
      <c r="X13" s="75" t="s">
        <v>9459</v>
      </c>
      <c r="Y13" s="75" t="s">
        <v>9482</v>
      </c>
      <c r="Z13" s="75" t="s">
        <v>9544</v>
      </c>
      <c r="AA13" s="75" t="s">
        <v>9460</v>
      </c>
      <c r="AB13" s="75" t="s">
        <v>9461</v>
      </c>
      <c r="AC13" s="75" t="s">
        <v>9462</v>
      </c>
      <c r="AD13" s="75" t="s">
        <v>9460</v>
      </c>
      <c r="AE13" s="75" t="s">
        <v>9457</v>
      </c>
      <c r="AF13" s="75" t="s">
        <v>1251</v>
      </c>
      <c r="AG13" s="75" t="s">
        <v>6802</v>
      </c>
      <c r="AH13" s="75" t="s">
        <v>9457</v>
      </c>
      <c r="AI13" s="75" t="s">
        <v>9463</v>
      </c>
      <c r="AJ13" s="75" t="s">
        <v>1251</v>
      </c>
      <c r="AK13" s="75" t="s">
        <v>1251</v>
      </c>
    </row>
    <row r="14" spans="1:37">
      <c r="A14" s="75" t="s">
        <v>9545</v>
      </c>
      <c r="B14" s="78" t="e">
        <f>VLOOKUP(A14,'202303-非带宽'!H:H,1,FALSE)</f>
        <v>#N/A</v>
      </c>
      <c r="C14" s="75" t="s">
        <v>9486</v>
      </c>
      <c r="D14" s="75" t="s">
        <v>9546</v>
      </c>
      <c r="E14" s="75" t="s">
        <v>9447</v>
      </c>
      <c r="F14" s="75" t="s">
        <v>9547</v>
      </c>
      <c r="G14" s="75" t="s">
        <v>9449</v>
      </c>
      <c r="H14" s="75" t="s">
        <v>28</v>
      </c>
      <c r="I14" s="75" t="s">
        <v>9450</v>
      </c>
      <c r="J14" s="75" t="s">
        <v>1251</v>
      </c>
      <c r="K14" s="75" t="s">
        <v>9451</v>
      </c>
      <c r="L14" s="75" t="s">
        <v>9548</v>
      </c>
      <c r="M14" s="75" t="s">
        <v>9537</v>
      </c>
      <c r="N14" s="75" t="s">
        <v>9523</v>
      </c>
      <c r="O14" s="75" t="s">
        <v>9524</v>
      </c>
      <c r="P14" s="75" t="s">
        <v>9456</v>
      </c>
      <c r="Q14" s="75" t="s">
        <v>9456</v>
      </c>
      <c r="R14" s="75" t="s">
        <v>1251</v>
      </c>
      <c r="S14" s="75" t="s">
        <v>9457</v>
      </c>
      <c r="T14" s="75" t="s">
        <v>9453</v>
      </c>
      <c r="U14" s="75" t="s">
        <v>9453</v>
      </c>
      <c r="V14" s="75" t="s">
        <v>1251</v>
      </c>
      <c r="W14" s="75" t="s">
        <v>9457</v>
      </c>
      <c r="X14" s="75" t="s">
        <v>9459</v>
      </c>
      <c r="Y14" s="75" t="s">
        <v>9457</v>
      </c>
      <c r="Z14" s="75" t="s">
        <v>1251</v>
      </c>
      <c r="AA14" s="75" t="s">
        <v>9460</v>
      </c>
      <c r="AB14" s="75" t="s">
        <v>9461</v>
      </c>
      <c r="AC14" s="75" t="s">
        <v>9462</v>
      </c>
      <c r="AD14" s="75" t="s">
        <v>9460</v>
      </c>
      <c r="AE14" s="75" t="s">
        <v>9457</v>
      </c>
      <c r="AF14" s="75" t="s">
        <v>1251</v>
      </c>
      <c r="AG14" s="75" t="s">
        <v>6802</v>
      </c>
      <c r="AH14" s="75" t="s">
        <v>9457</v>
      </c>
      <c r="AI14" s="75" t="s">
        <v>9463</v>
      </c>
      <c r="AJ14" s="75" t="s">
        <v>1251</v>
      </c>
      <c r="AK14" s="75" t="s">
        <v>1251</v>
      </c>
    </row>
    <row r="15" s="74" customFormat="1" hidden="1" spans="1:37">
      <c r="A15" s="74" t="s">
        <v>3589</v>
      </c>
      <c r="B15" s="77" t="str">
        <f>VLOOKUP(A15,'202303-非带宽'!H:H,1,FALSE)</f>
        <v>182315IDC00080</v>
      </c>
      <c r="D15" s="74" t="s">
        <v>9549</v>
      </c>
      <c r="E15" s="74" t="s">
        <v>9447</v>
      </c>
      <c r="F15" s="74" t="s">
        <v>9550</v>
      </c>
      <c r="G15" s="74" t="s">
        <v>9466</v>
      </c>
      <c r="H15" s="74" t="s">
        <v>2951</v>
      </c>
      <c r="I15" s="74" t="s">
        <v>9450</v>
      </c>
      <c r="J15" s="74" t="s">
        <v>1251</v>
      </c>
      <c r="K15" s="74" t="s">
        <v>9451</v>
      </c>
      <c r="L15" s="74" t="s">
        <v>9551</v>
      </c>
      <c r="M15" s="74" t="s">
        <v>9552</v>
      </c>
      <c r="N15" s="74" t="s">
        <v>9553</v>
      </c>
      <c r="O15" s="74" t="s">
        <v>9554</v>
      </c>
      <c r="P15" s="74" t="s">
        <v>9456</v>
      </c>
      <c r="Q15" s="74" t="s">
        <v>9555</v>
      </c>
      <c r="R15" s="74" t="s">
        <v>1251</v>
      </c>
      <c r="S15" s="74" t="s">
        <v>9457</v>
      </c>
      <c r="T15" s="74" t="s">
        <v>9556</v>
      </c>
      <c r="U15" s="74" t="s">
        <v>9556</v>
      </c>
      <c r="V15" s="74" t="s">
        <v>9557</v>
      </c>
      <c r="W15" s="74" t="s">
        <v>9457</v>
      </c>
      <c r="X15" s="74" t="s">
        <v>9459</v>
      </c>
      <c r="Y15" s="74" t="s">
        <v>9482</v>
      </c>
      <c r="Z15" s="74" t="s">
        <v>9558</v>
      </c>
      <c r="AA15" s="74" t="s">
        <v>9559</v>
      </c>
      <c r="AB15" s="74" t="s">
        <v>9461</v>
      </c>
      <c r="AC15" s="74" t="s">
        <v>9462</v>
      </c>
      <c r="AD15" s="74" t="s">
        <v>9559</v>
      </c>
      <c r="AE15" s="74" t="s">
        <v>9457</v>
      </c>
      <c r="AF15" s="74" t="s">
        <v>1251</v>
      </c>
      <c r="AG15" s="74" t="s">
        <v>6802</v>
      </c>
      <c r="AH15" s="74" t="s">
        <v>9457</v>
      </c>
      <c r="AI15" s="74" t="s">
        <v>9463</v>
      </c>
      <c r="AJ15" s="74" t="s">
        <v>1251</v>
      </c>
      <c r="AK15" s="74" t="s">
        <v>1251</v>
      </c>
    </row>
    <row r="16" s="74" customFormat="1" hidden="1" spans="1:37">
      <c r="A16" s="74" t="s">
        <v>2001</v>
      </c>
      <c r="B16" s="77" t="str">
        <f>VLOOKUP(A16,'202303-非带宽'!H:H,1,FALSE)</f>
        <v>182315IDC00086</v>
      </c>
      <c r="D16" s="74" t="s">
        <v>9560</v>
      </c>
      <c r="E16" s="74" t="s">
        <v>9447</v>
      </c>
      <c r="F16" s="74" t="s">
        <v>9561</v>
      </c>
      <c r="G16" s="74" t="s">
        <v>9449</v>
      </c>
      <c r="H16" s="74" t="s">
        <v>566</v>
      </c>
      <c r="I16" s="74" t="s">
        <v>9450</v>
      </c>
      <c r="J16" s="74" t="s">
        <v>1251</v>
      </c>
      <c r="K16" s="74" t="s">
        <v>9451</v>
      </c>
      <c r="L16" s="74" t="s">
        <v>9562</v>
      </c>
      <c r="M16" s="74" t="s">
        <v>9552</v>
      </c>
      <c r="N16" s="74" t="s">
        <v>9563</v>
      </c>
      <c r="O16" s="74" t="s">
        <v>9564</v>
      </c>
      <c r="P16" s="74" t="s">
        <v>9456</v>
      </c>
      <c r="Q16" s="74" t="s">
        <v>9456</v>
      </c>
      <c r="R16" s="74" t="s">
        <v>1251</v>
      </c>
      <c r="S16" s="74" t="s">
        <v>9457</v>
      </c>
      <c r="T16" s="74" t="s">
        <v>9515</v>
      </c>
      <c r="U16" s="74" t="s">
        <v>9515</v>
      </c>
      <c r="V16" s="74" t="s">
        <v>9565</v>
      </c>
      <c r="W16" s="74" t="s">
        <v>9457</v>
      </c>
      <c r="X16" s="74" t="s">
        <v>9459</v>
      </c>
      <c r="Y16" s="74" t="s">
        <v>9482</v>
      </c>
      <c r="Z16" s="74" t="s">
        <v>9566</v>
      </c>
      <c r="AA16" s="74" t="s">
        <v>9559</v>
      </c>
      <c r="AB16" s="74" t="s">
        <v>9461</v>
      </c>
      <c r="AC16" s="74" t="s">
        <v>9462</v>
      </c>
      <c r="AD16" s="74" t="s">
        <v>9559</v>
      </c>
      <c r="AE16" s="74" t="s">
        <v>9457</v>
      </c>
      <c r="AF16" s="74" t="s">
        <v>1251</v>
      </c>
      <c r="AG16" s="74" t="s">
        <v>6802</v>
      </c>
      <c r="AH16" s="74" t="s">
        <v>9457</v>
      </c>
      <c r="AI16" s="74" t="s">
        <v>9463</v>
      </c>
      <c r="AJ16" s="74" t="s">
        <v>1251</v>
      </c>
      <c r="AK16" s="74" t="s">
        <v>1251</v>
      </c>
    </row>
    <row r="17" s="74" customFormat="1" hidden="1" spans="1:37">
      <c r="A17" s="74" t="s">
        <v>3855</v>
      </c>
      <c r="B17" s="77" t="str">
        <f>VLOOKUP(A17,'202303-非带宽'!H:H,1,FALSE)</f>
        <v>182315IDC00083</v>
      </c>
      <c r="D17" s="74" t="s">
        <v>9567</v>
      </c>
      <c r="E17" s="74" t="s">
        <v>9447</v>
      </c>
      <c r="F17" s="74" t="s">
        <v>9568</v>
      </c>
      <c r="G17" s="74" t="s">
        <v>9466</v>
      </c>
      <c r="H17" s="74" t="s">
        <v>2951</v>
      </c>
      <c r="I17" s="74" t="s">
        <v>9450</v>
      </c>
      <c r="J17" s="74" t="s">
        <v>1251</v>
      </c>
      <c r="K17" s="74" t="s">
        <v>9451</v>
      </c>
      <c r="L17" s="74" t="s">
        <v>9569</v>
      </c>
      <c r="M17" s="74" t="s">
        <v>9552</v>
      </c>
      <c r="N17" s="74" t="s">
        <v>9454</v>
      </c>
      <c r="O17" s="74" t="s">
        <v>9531</v>
      </c>
      <c r="P17" s="74" t="s">
        <v>9456</v>
      </c>
      <c r="Q17" s="74" t="s">
        <v>9456</v>
      </c>
      <c r="R17" s="74" t="s">
        <v>1251</v>
      </c>
      <c r="S17" s="74" t="s">
        <v>9457</v>
      </c>
      <c r="T17" s="74" t="s">
        <v>9491</v>
      </c>
      <c r="U17" s="74" t="s">
        <v>9491</v>
      </c>
      <c r="V17" s="74" t="s">
        <v>9570</v>
      </c>
      <c r="W17" s="74" t="s">
        <v>9457</v>
      </c>
      <c r="X17" s="74" t="s">
        <v>9459</v>
      </c>
      <c r="Y17" s="74" t="s">
        <v>9457</v>
      </c>
      <c r="Z17" s="74" t="s">
        <v>1251</v>
      </c>
      <c r="AA17" s="74" t="s">
        <v>9460</v>
      </c>
      <c r="AB17" s="74" t="s">
        <v>9461</v>
      </c>
      <c r="AC17" s="74" t="s">
        <v>9462</v>
      </c>
      <c r="AD17" s="74" t="s">
        <v>9460</v>
      </c>
      <c r="AE17" s="74" t="s">
        <v>9457</v>
      </c>
      <c r="AF17" s="74" t="s">
        <v>1251</v>
      </c>
      <c r="AG17" s="74" t="s">
        <v>9472</v>
      </c>
      <c r="AH17" s="74" t="s">
        <v>9457</v>
      </c>
      <c r="AI17" s="74" t="s">
        <v>9463</v>
      </c>
      <c r="AJ17" s="74" t="s">
        <v>1251</v>
      </c>
      <c r="AK17" s="74" t="s">
        <v>1251</v>
      </c>
    </row>
    <row r="18" hidden="1" spans="1:37">
      <c r="A18" s="75" t="s">
        <v>3957</v>
      </c>
      <c r="B18" s="78" t="str">
        <f>VLOOKUP(A18,'202303-非带宽'!H:H,1,FALSE)</f>
        <v>182315IDC00082 </v>
      </c>
      <c r="D18" s="75" t="s">
        <v>9571</v>
      </c>
      <c r="E18" s="75" t="s">
        <v>9447</v>
      </c>
      <c r="F18" s="75" t="s">
        <v>9572</v>
      </c>
      <c r="G18" s="75" t="s">
        <v>9466</v>
      </c>
      <c r="H18" s="75" t="s">
        <v>2951</v>
      </c>
      <c r="I18" s="75" t="s">
        <v>9450</v>
      </c>
      <c r="J18" s="75" t="s">
        <v>1251</v>
      </c>
      <c r="K18" s="75" t="s">
        <v>9451</v>
      </c>
      <c r="L18" s="75" t="s">
        <v>9573</v>
      </c>
      <c r="M18" s="75" t="s">
        <v>9552</v>
      </c>
      <c r="N18" s="75" t="s">
        <v>9454</v>
      </c>
      <c r="O18" s="75" t="s">
        <v>9531</v>
      </c>
      <c r="P18" s="75" t="s">
        <v>9456</v>
      </c>
      <c r="Q18" s="75" t="s">
        <v>9456</v>
      </c>
      <c r="R18" s="75" t="s">
        <v>1251</v>
      </c>
      <c r="S18" s="75" t="s">
        <v>9457</v>
      </c>
      <c r="T18" s="75" t="s">
        <v>9491</v>
      </c>
      <c r="U18" s="75" t="s">
        <v>9491</v>
      </c>
      <c r="V18" s="75" t="s">
        <v>9570</v>
      </c>
      <c r="W18" s="75" t="s">
        <v>9457</v>
      </c>
      <c r="X18" s="75" t="s">
        <v>9459</v>
      </c>
      <c r="Y18" s="75" t="s">
        <v>9457</v>
      </c>
      <c r="Z18" s="75" t="s">
        <v>1251</v>
      </c>
      <c r="AA18" s="75" t="s">
        <v>9460</v>
      </c>
      <c r="AB18" s="75" t="s">
        <v>9461</v>
      </c>
      <c r="AC18" s="75" t="s">
        <v>9462</v>
      </c>
      <c r="AD18" s="75" t="s">
        <v>9460</v>
      </c>
      <c r="AE18" s="75" t="s">
        <v>9457</v>
      </c>
      <c r="AF18" s="75" t="s">
        <v>1251</v>
      </c>
      <c r="AG18" s="75" t="s">
        <v>9472</v>
      </c>
      <c r="AH18" s="75" t="s">
        <v>9457</v>
      </c>
      <c r="AI18" s="75" t="s">
        <v>9463</v>
      </c>
      <c r="AJ18" s="75" t="s">
        <v>1251</v>
      </c>
      <c r="AK18" s="75" t="s">
        <v>1251</v>
      </c>
    </row>
    <row r="19" s="74" customFormat="1" hidden="1" spans="1:37">
      <c r="A19" s="74" t="s">
        <v>3969</v>
      </c>
      <c r="B19" s="77" t="str">
        <f>VLOOKUP(A19,'202303-非带宽'!H:H,1,FALSE)</f>
        <v>182315IDC00081</v>
      </c>
      <c r="D19" s="74" t="s">
        <v>9574</v>
      </c>
      <c r="E19" s="74" t="s">
        <v>9447</v>
      </c>
      <c r="F19" s="74" t="s">
        <v>9575</v>
      </c>
      <c r="G19" s="74" t="s">
        <v>9466</v>
      </c>
      <c r="H19" s="74" t="s">
        <v>2951</v>
      </c>
      <c r="I19" s="74" t="s">
        <v>9450</v>
      </c>
      <c r="J19" s="74" t="s">
        <v>1251</v>
      </c>
      <c r="K19" s="74" t="s">
        <v>9451</v>
      </c>
      <c r="L19" s="74" t="s">
        <v>9576</v>
      </c>
      <c r="M19" s="74" t="s">
        <v>9552</v>
      </c>
      <c r="N19" s="74" t="s">
        <v>9454</v>
      </c>
      <c r="O19" s="74" t="s">
        <v>9531</v>
      </c>
      <c r="P19" s="74" t="s">
        <v>9456</v>
      </c>
      <c r="Q19" s="74" t="s">
        <v>9456</v>
      </c>
      <c r="R19" s="74" t="s">
        <v>1251</v>
      </c>
      <c r="S19" s="74" t="s">
        <v>9457</v>
      </c>
      <c r="T19" s="74" t="s">
        <v>9491</v>
      </c>
      <c r="U19" s="74" t="s">
        <v>9491</v>
      </c>
      <c r="V19" s="74" t="s">
        <v>9570</v>
      </c>
      <c r="W19" s="74" t="s">
        <v>9457</v>
      </c>
      <c r="X19" s="74" t="s">
        <v>9459</v>
      </c>
      <c r="Y19" s="74" t="s">
        <v>9457</v>
      </c>
      <c r="Z19" s="74" t="s">
        <v>1251</v>
      </c>
      <c r="AA19" s="74" t="s">
        <v>9460</v>
      </c>
      <c r="AB19" s="74" t="s">
        <v>9461</v>
      </c>
      <c r="AC19" s="74" t="s">
        <v>9462</v>
      </c>
      <c r="AD19" s="74" t="s">
        <v>9460</v>
      </c>
      <c r="AE19" s="74" t="s">
        <v>9457</v>
      </c>
      <c r="AF19" s="74" t="s">
        <v>1251</v>
      </c>
      <c r="AG19" s="74" t="s">
        <v>9472</v>
      </c>
      <c r="AH19" s="74" t="s">
        <v>9457</v>
      </c>
      <c r="AI19" s="74" t="s">
        <v>9463</v>
      </c>
      <c r="AJ19" s="74" t="s">
        <v>1251</v>
      </c>
      <c r="AK19" s="74" t="s">
        <v>1251</v>
      </c>
    </row>
    <row r="20" s="74" customFormat="1" hidden="1" spans="1:37">
      <c r="A20" s="74" t="s">
        <v>2712</v>
      </c>
      <c r="B20" s="77" t="str">
        <f>VLOOKUP(A20,'202303-非带宽'!H:H,1,FALSE)</f>
        <v>182315IDC00074</v>
      </c>
      <c r="D20" s="74" t="s">
        <v>9577</v>
      </c>
      <c r="E20" s="74" t="s">
        <v>9447</v>
      </c>
      <c r="F20" s="74" t="s">
        <v>9578</v>
      </c>
      <c r="G20" s="74" t="s">
        <v>9449</v>
      </c>
      <c r="H20" s="74" t="s">
        <v>85</v>
      </c>
      <c r="I20" s="74" t="s">
        <v>9450</v>
      </c>
      <c r="J20" s="74" t="s">
        <v>1251</v>
      </c>
      <c r="K20" s="74" t="s">
        <v>9451</v>
      </c>
      <c r="L20" s="74" t="s">
        <v>9579</v>
      </c>
      <c r="M20" s="74" t="s">
        <v>9580</v>
      </c>
      <c r="N20" s="74" t="s">
        <v>9581</v>
      </c>
      <c r="O20" s="74" t="s">
        <v>9582</v>
      </c>
      <c r="P20" s="74" t="s">
        <v>9456</v>
      </c>
      <c r="Q20" s="74" t="s">
        <v>9456</v>
      </c>
      <c r="R20" s="74" t="s">
        <v>1251</v>
      </c>
      <c r="S20" s="74" t="s">
        <v>9457</v>
      </c>
      <c r="T20" s="74" t="s">
        <v>9556</v>
      </c>
      <c r="U20" s="74" t="s">
        <v>9556</v>
      </c>
      <c r="V20" s="74" t="s">
        <v>1251</v>
      </c>
      <c r="W20" s="74" t="s">
        <v>9457</v>
      </c>
      <c r="X20" s="74" t="s">
        <v>9459</v>
      </c>
      <c r="Y20" s="74" t="s">
        <v>9457</v>
      </c>
      <c r="Z20" s="74" t="s">
        <v>1251</v>
      </c>
      <c r="AA20" s="74" t="s">
        <v>9583</v>
      </c>
      <c r="AB20" s="74" t="s">
        <v>9461</v>
      </c>
      <c r="AC20" s="74" t="s">
        <v>9462</v>
      </c>
      <c r="AD20" s="74" t="s">
        <v>9583</v>
      </c>
      <c r="AE20" s="74" t="s">
        <v>9457</v>
      </c>
      <c r="AF20" s="74" t="s">
        <v>1251</v>
      </c>
      <c r="AG20" s="74" t="s">
        <v>6802</v>
      </c>
      <c r="AH20" s="74" t="s">
        <v>9457</v>
      </c>
      <c r="AI20" s="74" t="s">
        <v>9463</v>
      </c>
      <c r="AJ20" s="74" t="s">
        <v>1251</v>
      </c>
      <c r="AK20" s="74" t="s">
        <v>1251</v>
      </c>
    </row>
    <row r="21" s="74" customFormat="1" hidden="1" spans="1:37">
      <c r="A21" s="74" t="s">
        <v>2285</v>
      </c>
      <c r="B21" s="77" t="str">
        <f>VLOOKUP(A21,'202303-非带宽'!H:H,1,FALSE)</f>
        <v>182315IDC00079</v>
      </c>
      <c r="D21" s="74" t="s">
        <v>9584</v>
      </c>
      <c r="E21" s="74" t="s">
        <v>9447</v>
      </c>
      <c r="F21" s="74" t="s">
        <v>9585</v>
      </c>
      <c r="G21" s="74" t="s">
        <v>9449</v>
      </c>
      <c r="H21" s="74" t="s">
        <v>85</v>
      </c>
      <c r="I21" s="74" t="s">
        <v>9450</v>
      </c>
      <c r="J21" s="74" t="s">
        <v>1251</v>
      </c>
      <c r="K21" s="74" t="s">
        <v>9451</v>
      </c>
      <c r="L21" s="74" t="s">
        <v>9586</v>
      </c>
      <c r="M21" s="74" t="s">
        <v>9580</v>
      </c>
      <c r="N21" s="74" t="s">
        <v>9454</v>
      </c>
      <c r="O21" s="74" t="s">
        <v>9531</v>
      </c>
      <c r="P21" s="74" t="s">
        <v>9456</v>
      </c>
      <c r="Q21" s="74" t="s">
        <v>9456</v>
      </c>
      <c r="R21" s="74" t="s">
        <v>1251</v>
      </c>
      <c r="S21" s="74" t="s">
        <v>9457</v>
      </c>
      <c r="T21" s="74" t="s">
        <v>9556</v>
      </c>
      <c r="U21" s="74" t="s">
        <v>9556</v>
      </c>
      <c r="V21" s="74" t="s">
        <v>9570</v>
      </c>
      <c r="W21" s="74" t="s">
        <v>9457</v>
      </c>
      <c r="X21" s="74" t="s">
        <v>9459</v>
      </c>
      <c r="Y21" s="74" t="s">
        <v>9457</v>
      </c>
      <c r="Z21" s="74" t="s">
        <v>1251</v>
      </c>
      <c r="AA21" s="74" t="s">
        <v>9460</v>
      </c>
      <c r="AB21" s="74" t="s">
        <v>9461</v>
      </c>
      <c r="AC21" s="74" t="s">
        <v>9462</v>
      </c>
      <c r="AD21" s="74" t="s">
        <v>9460</v>
      </c>
      <c r="AE21" s="74" t="s">
        <v>9457</v>
      </c>
      <c r="AF21" s="74" t="s">
        <v>1251</v>
      </c>
      <c r="AG21" s="74" t="s">
        <v>9472</v>
      </c>
      <c r="AH21" s="74" t="s">
        <v>9457</v>
      </c>
      <c r="AI21" s="74" t="s">
        <v>9463</v>
      </c>
      <c r="AJ21" s="74" t="s">
        <v>1251</v>
      </c>
      <c r="AK21" s="74" t="s">
        <v>1251</v>
      </c>
    </row>
    <row r="22" s="74" customFormat="1" hidden="1" spans="1:37">
      <c r="A22" s="74" t="s">
        <v>2255</v>
      </c>
      <c r="B22" s="77" t="str">
        <f>VLOOKUP(A22,'202303-非带宽'!H:H,1,FALSE)</f>
        <v>182315IDC00078</v>
      </c>
      <c r="D22" s="74" t="s">
        <v>9587</v>
      </c>
      <c r="E22" s="74" t="s">
        <v>9447</v>
      </c>
      <c r="F22" s="74" t="s">
        <v>9588</v>
      </c>
      <c r="G22" s="74" t="s">
        <v>9449</v>
      </c>
      <c r="H22" s="74" t="s">
        <v>85</v>
      </c>
      <c r="I22" s="74" t="s">
        <v>9450</v>
      </c>
      <c r="J22" s="74" t="s">
        <v>1251</v>
      </c>
      <c r="K22" s="74" t="s">
        <v>9451</v>
      </c>
      <c r="L22" s="74" t="s">
        <v>9589</v>
      </c>
      <c r="M22" s="74" t="s">
        <v>9580</v>
      </c>
      <c r="N22" s="74" t="s">
        <v>9454</v>
      </c>
      <c r="O22" s="74" t="s">
        <v>9531</v>
      </c>
      <c r="P22" s="74" t="s">
        <v>9456</v>
      </c>
      <c r="Q22" s="74" t="s">
        <v>9456</v>
      </c>
      <c r="R22" s="74" t="s">
        <v>1251</v>
      </c>
      <c r="S22" s="74" t="s">
        <v>9457</v>
      </c>
      <c r="T22" s="74" t="s">
        <v>9515</v>
      </c>
      <c r="U22" s="74" t="s">
        <v>9515</v>
      </c>
      <c r="V22" s="74" t="s">
        <v>9570</v>
      </c>
      <c r="W22" s="74" t="s">
        <v>9457</v>
      </c>
      <c r="X22" s="74" t="s">
        <v>9459</v>
      </c>
      <c r="Y22" s="74" t="s">
        <v>9457</v>
      </c>
      <c r="Z22" s="74" t="s">
        <v>1251</v>
      </c>
      <c r="AA22" s="74" t="s">
        <v>9460</v>
      </c>
      <c r="AB22" s="74" t="s">
        <v>9461</v>
      </c>
      <c r="AC22" s="74" t="s">
        <v>9462</v>
      </c>
      <c r="AD22" s="74" t="s">
        <v>9460</v>
      </c>
      <c r="AE22" s="74" t="s">
        <v>9457</v>
      </c>
      <c r="AF22" s="74" t="s">
        <v>1251</v>
      </c>
      <c r="AG22" s="74" t="s">
        <v>9472</v>
      </c>
      <c r="AH22" s="74" t="s">
        <v>9457</v>
      </c>
      <c r="AI22" s="74" t="s">
        <v>9463</v>
      </c>
      <c r="AJ22" s="74" t="s">
        <v>1251</v>
      </c>
      <c r="AK22" s="74" t="s">
        <v>1251</v>
      </c>
    </row>
    <row r="23" s="74" customFormat="1" hidden="1" spans="1:37">
      <c r="A23" s="74" t="s">
        <v>6091</v>
      </c>
      <c r="B23" s="77" t="str">
        <f>VLOOKUP(A23,'202303-非带宽'!H:H,1,FALSE)</f>
        <v>182315IDC00070</v>
      </c>
      <c r="D23" s="74" t="s">
        <v>9590</v>
      </c>
      <c r="E23" s="74" t="s">
        <v>9447</v>
      </c>
      <c r="F23" s="74" t="s">
        <v>9591</v>
      </c>
      <c r="G23" s="74" t="s">
        <v>9466</v>
      </c>
      <c r="H23" s="74" t="s">
        <v>85</v>
      </c>
      <c r="I23" s="74" t="s">
        <v>9450</v>
      </c>
      <c r="J23" s="74" t="s">
        <v>1251</v>
      </c>
      <c r="K23" s="74" t="s">
        <v>9451</v>
      </c>
      <c r="L23" s="74" t="s">
        <v>9592</v>
      </c>
      <c r="M23" s="74" t="s">
        <v>9593</v>
      </c>
      <c r="N23" s="74" t="s">
        <v>9454</v>
      </c>
      <c r="O23" s="74" t="s">
        <v>9531</v>
      </c>
      <c r="P23" s="74" t="s">
        <v>9456</v>
      </c>
      <c r="Q23" s="74" t="s">
        <v>9456</v>
      </c>
      <c r="R23" s="74" t="s">
        <v>1251</v>
      </c>
      <c r="S23" s="74" t="s">
        <v>9457</v>
      </c>
      <c r="T23" s="74" t="s">
        <v>9525</v>
      </c>
      <c r="U23" s="74" t="s">
        <v>9525</v>
      </c>
      <c r="V23" s="74" t="s">
        <v>9570</v>
      </c>
      <c r="W23" s="74" t="s">
        <v>9457</v>
      </c>
      <c r="X23" s="74" t="s">
        <v>9459</v>
      </c>
      <c r="Y23" s="74" t="s">
        <v>9457</v>
      </c>
      <c r="Z23" s="74" t="s">
        <v>1251</v>
      </c>
      <c r="AA23" s="74" t="s">
        <v>9460</v>
      </c>
      <c r="AB23" s="74" t="s">
        <v>9461</v>
      </c>
      <c r="AC23" s="74" t="s">
        <v>9462</v>
      </c>
      <c r="AD23" s="74" t="s">
        <v>9460</v>
      </c>
      <c r="AE23" s="74" t="s">
        <v>9457</v>
      </c>
      <c r="AF23" s="74" t="s">
        <v>1251</v>
      </c>
      <c r="AG23" s="74" t="s">
        <v>9472</v>
      </c>
      <c r="AH23" s="74" t="s">
        <v>9457</v>
      </c>
      <c r="AI23" s="74" t="s">
        <v>9463</v>
      </c>
      <c r="AJ23" s="74" t="s">
        <v>1251</v>
      </c>
      <c r="AK23" s="74" t="s">
        <v>1251</v>
      </c>
    </row>
    <row r="24" s="74" customFormat="1" hidden="1" spans="1:37">
      <c r="A24" s="74" t="s">
        <v>1350</v>
      </c>
      <c r="B24" s="77" t="str">
        <f>VLOOKUP(A24,'202303-非带宽'!H:H,1,FALSE)</f>
        <v>182315IDC00068</v>
      </c>
      <c r="D24" s="74" t="s">
        <v>9594</v>
      </c>
      <c r="E24" s="74" t="s">
        <v>9447</v>
      </c>
      <c r="F24" s="74" t="s">
        <v>9595</v>
      </c>
      <c r="G24" s="74" t="s">
        <v>9449</v>
      </c>
      <c r="H24" s="74" t="s">
        <v>566</v>
      </c>
      <c r="I24" s="74" t="s">
        <v>9450</v>
      </c>
      <c r="J24" s="74" t="s">
        <v>1251</v>
      </c>
      <c r="K24" s="74" t="s">
        <v>9451</v>
      </c>
      <c r="L24" s="74" t="s">
        <v>9596</v>
      </c>
      <c r="M24" s="74" t="s">
        <v>9593</v>
      </c>
      <c r="N24" s="74" t="s">
        <v>9597</v>
      </c>
      <c r="O24" s="74" t="s">
        <v>9498</v>
      </c>
      <c r="P24" s="74" t="s">
        <v>9456</v>
      </c>
      <c r="Q24" s="74" t="s">
        <v>9456</v>
      </c>
      <c r="R24" s="74" t="s">
        <v>1251</v>
      </c>
      <c r="S24" s="74" t="s">
        <v>9457</v>
      </c>
      <c r="T24" s="74" t="s">
        <v>9598</v>
      </c>
      <c r="U24" s="74" t="s">
        <v>9598</v>
      </c>
      <c r="V24" s="74" t="s">
        <v>1251</v>
      </c>
      <c r="W24" s="74" t="s">
        <v>9457</v>
      </c>
      <c r="X24" s="74" t="s">
        <v>9459</v>
      </c>
      <c r="Y24" s="74" t="s">
        <v>9457</v>
      </c>
      <c r="Z24" s="74" t="s">
        <v>1251</v>
      </c>
      <c r="AA24" s="74" t="s">
        <v>9559</v>
      </c>
      <c r="AB24" s="74" t="s">
        <v>9461</v>
      </c>
      <c r="AC24" s="74" t="s">
        <v>9462</v>
      </c>
      <c r="AD24" s="74" t="s">
        <v>9559</v>
      </c>
      <c r="AE24" s="74" t="s">
        <v>9457</v>
      </c>
      <c r="AF24" s="74" t="s">
        <v>1251</v>
      </c>
      <c r="AG24" s="74" t="s">
        <v>6802</v>
      </c>
      <c r="AH24" s="74" t="s">
        <v>9457</v>
      </c>
      <c r="AI24" s="74" t="s">
        <v>9463</v>
      </c>
      <c r="AJ24" s="74" t="s">
        <v>1251</v>
      </c>
      <c r="AK24" s="74" t="s">
        <v>1251</v>
      </c>
    </row>
    <row r="25" spans="1:37">
      <c r="A25" s="75" t="s">
        <v>9599</v>
      </c>
      <c r="B25" s="78" t="e">
        <f>VLOOKUP(A25,'202303-非带宽'!H:H,1,FALSE)</f>
        <v>#N/A</v>
      </c>
      <c r="C25" s="75" t="s">
        <v>9600</v>
      </c>
      <c r="D25" s="75" t="s">
        <v>9601</v>
      </c>
      <c r="E25" s="75" t="s">
        <v>9602</v>
      </c>
      <c r="F25" s="75" t="s">
        <v>9603</v>
      </c>
      <c r="G25" s="75" t="s">
        <v>9604</v>
      </c>
      <c r="H25" s="75" t="s">
        <v>9604</v>
      </c>
      <c r="I25" s="75" t="s">
        <v>9450</v>
      </c>
      <c r="J25" s="75" t="s">
        <v>1251</v>
      </c>
      <c r="K25" s="75" t="s">
        <v>9451</v>
      </c>
      <c r="L25" s="75" t="s">
        <v>9605</v>
      </c>
      <c r="M25" s="75" t="s">
        <v>9593</v>
      </c>
      <c r="N25" s="75" t="s">
        <v>9454</v>
      </c>
      <c r="O25" s="75" t="s">
        <v>9510</v>
      </c>
      <c r="P25" s="75" t="s">
        <v>9456</v>
      </c>
      <c r="Q25" s="75" t="s">
        <v>9456</v>
      </c>
      <c r="R25" s="75" t="s">
        <v>1251</v>
      </c>
      <c r="S25" s="75" t="s">
        <v>9457</v>
      </c>
      <c r="T25" s="75" t="s">
        <v>9499</v>
      </c>
      <c r="U25" s="75" t="s">
        <v>9499</v>
      </c>
      <c r="V25" s="75" t="s">
        <v>9606</v>
      </c>
      <c r="W25" s="75" t="s">
        <v>9457</v>
      </c>
      <c r="X25" s="75" t="s">
        <v>9459</v>
      </c>
      <c r="Y25" s="75" t="s">
        <v>9457</v>
      </c>
      <c r="Z25" s="75" t="s">
        <v>1251</v>
      </c>
      <c r="AA25" s="75" t="s">
        <v>9607</v>
      </c>
      <c r="AB25" s="75" t="s">
        <v>9462</v>
      </c>
      <c r="AC25" s="75" t="s">
        <v>9462</v>
      </c>
      <c r="AD25" s="75" t="s">
        <v>9607</v>
      </c>
      <c r="AE25" s="75" t="s">
        <v>9457</v>
      </c>
      <c r="AF25" s="75" t="s">
        <v>1251</v>
      </c>
      <c r="AG25" s="75" t="s">
        <v>9608</v>
      </c>
      <c r="AH25" s="75" t="s">
        <v>9457</v>
      </c>
      <c r="AI25" s="75" t="s">
        <v>9463</v>
      </c>
      <c r="AJ25" s="75" t="s">
        <v>1251</v>
      </c>
      <c r="AK25" s="75" t="s">
        <v>1251</v>
      </c>
    </row>
    <row r="26" s="74" customFormat="1" hidden="1" spans="1:37">
      <c r="A26" s="74" t="s">
        <v>5376</v>
      </c>
      <c r="B26" s="77" t="str">
        <f>VLOOKUP(A26,'202303-非带宽'!H:H,1,FALSE)</f>
        <v>182315IDC00066</v>
      </c>
      <c r="D26" s="74" t="s">
        <v>9609</v>
      </c>
      <c r="E26" s="74" t="s">
        <v>9447</v>
      </c>
      <c r="F26" s="74" t="s">
        <v>9610</v>
      </c>
      <c r="G26" s="74" t="s">
        <v>9466</v>
      </c>
      <c r="H26" s="74" t="s">
        <v>28</v>
      </c>
      <c r="I26" s="74" t="s">
        <v>9450</v>
      </c>
      <c r="J26" s="74" t="s">
        <v>1251</v>
      </c>
      <c r="K26" s="74" t="s">
        <v>9451</v>
      </c>
      <c r="L26" s="74" t="s">
        <v>9611</v>
      </c>
      <c r="M26" s="74" t="s">
        <v>9612</v>
      </c>
      <c r="N26" s="74" t="s">
        <v>9613</v>
      </c>
      <c r="O26" s="74" t="s">
        <v>9510</v>
      </c>
      <c r="P26" s="74" t="s">
        <v>9456</v>
      </c>
      <c r="Q26" s="74" t="s">
        <v>9456</v>
      </c>
      <c r="R26" s="74" t="s">
        <v>1251</v>
      </c>
      <c r="S26" s="74" t="s">
        <v>9457</v>
      </c>
      <c r="T26" s="74" t="s">
        <v>9515</v>
      </c>
      <c r="U26" s="74" t="s">
        <v>9515</v>
      </c>
      <c r="V26" s="74" t="s">
        <v>9614</v>
      </c>
      <c r="W26" s="74" t="s">
        <v>9457</v>
      </c>
      <c r="X26" s="74" t="s">
        <v>9459</v>
      </c>
      <c r="Y26" s="74" t="s">
        <v>9457</v>
      </c>
      <c r="Z26" s="74" t="s">
        <v>1251</v>
      </c>
      <c r="AA26" s="74" t="s">
        <v>9460</v>
      </c>
      <c r="AB26" s="74" t="s">
        <v>9461</v>
      </c>
      <c r="AC26" s="74" t="s">
        <v>9462</v>
      </c>
      <c r="AD26" s="74" t="s">
        <v>9460</v>
      </c>
      <c r="AE26" s="74" t="s">
        <v>9457</v>
      </c>
      <c r="AF26" s="74" t="s">
        <v>1251</v>
      </c>
      <c r="AG26" s="74" t="s">
        <v>9472</v>
      </c>
      <c r="AH26" s="74" t="s">
        <v>9457</v>
      </c>
      <c r="AI26" s="74" t="s">
        <v>9463</v>
      </c>
      <c r="AJ26" s="74" t="s">
        <v>1251</v>
      </c>
      <c r="AK26" s="74" t="s">
        <v>1251</v>
      </c>
    </row>
    <row r="27" s="74" customFormat="1" hidden="1" spans="1:37">
      <c r="A27" s="74" t="s">
        <v>5365</v>
      </c>
      <c r="B27" s="77" t="str">
        <f>VLOOKUP(A27,'202303-非带宽'!H:H,1,FALSE)</f>
        <v>182315IDC00067</v>
      </c>
      <c r="D27" s="74" t="s">
        <v>9609</v>
      </c>
      <c r="E27" s="74" t="s">
        <v>9447</v>
      </c>
      <c r="F27" s="74" t="s">
        <v>9615</v>
      </c>
      <c r="G27" s="74" t="s">
        <v>9466</v>
      </c>
      <c r="H27" s="74" t="s">
        <v>4178</v>
      </c>
      <c r="I27" s="74" t="s">
        <v>9450</v>
      </c>
      <c r="J27" s="74" t="s">
        <v>1251</v>
      </c>
      <c r="K27" s="74" t="s">
        <v>9451</v>
      </c>
      <c r="L27" s="74" t="s">
        <v>9616</v>
      </c>
      <c r="M27" s="74" t="s">
        <v>9612</v>
      </c>
      <c r="N27" s="74" t="s">
        <v>9617</v>
      </c>
      <c r="O27" s="74" t="s">
        <v>9618</v>
      </c>
      <c r="P27" s="74" t="s">
        <v>9456</v>
      </c>
      <c r="Q27" s="74" t="s">
        <v>9456</v>
      </c>
      <c r="R27" s="74" t="s">
        <v>1251</v>
      </c>
      <c r="S27" s="74" t="s">
        <v>9457</v>
      </c>
      <c r="T27" s="74" t="s">
        <v>9515</v>
      </c>
      <c r="U27" s="74" t="s">
        <v>9515</v>
      </c>
      <c r="V27" s="74" t="s">
        <v>9614</v>
      </c>
      <c r="W27" s="74" t="s">
        <v>9457</v>
      </c>
      <c r="X27" s="74" t="s">
        <v>9459</v>
      </c>
      <c r="Y27" s="74" t="s">
        <v>9457</v>
      </c>
      <c r="Z27" s="74" t="s">
        <v>1251</v>
      </c>
      <c r="AA27" s="74" t="s">
        <v>9460</v>
      </c>
      <c r="AB27" s="74" t="s">
        <v>9461</v>
      </c>
      <c r="AC27" s="74" t="s">
        <v>9462</v>
      </c>
      <c r="AD27" s="74" t="s">
        <v>9460</v>
      </c>
      <c r="AE27" s="74" t="s">
        <v>9457</v>
      </c>
      <c r="AF27" s="74" t="s">
        <v>1251</v>
      </c>
      <c r="AG27" s="74" t="s">
        <v>9472</v>
      </c>
      <c r="AH27" s="74" t="s">
        <v>9457</v>
      </c>
      <c r="AI27" s="74" t="s">
        <v>9463</v>
      </c>
      <c r="AJ27" s="74" t="s">
        <v>1251</v>
      </c>
      <c r="AK27" s="74" t="s">
        <v>1251</v>
      </c>
    </row>
    <row r="28" spans="1:37">
      <c r="A28" s="75" t="s">
        <v>9619</v>
      </c>
      <c r="B28" s="78" t="e">
        <f>VLOOKUP(A28,'202303-非带宽'!H:H,1,FALSE)</f>
        <v>#N/A</v>
      </c>
      <c r="C28" s="75" t="s">
        <v>9600</v>
      </c>
      <c r="D28" s="75" t="s">
        <v>9620</v>
      </c>
      <c r="E28" s="75" t="s">
        <v>9447</v>
      </c>
      <c r="F28" s="75" t="s">
        <v>9621</v>
      </c>
      <c r="G28" s="75" t="s">
        <v>9604</v>
      </c>
      <c r="H28" s="75" t="s">
        <v>9604</v>
      </c>
      <c r="I28" s="75" t="s">
        <v>9450</v>
      </c>
      <c r="J28" s="75" t="s">
        <v>1251</v>
      </c>
      <c r="K28" s="75" t="s">
        <v>9451</v>
      </c>
      <c r="L28" s="75" t="s">
        <v>9622</v>
      </c>
      <c r="M28" s="75" t="s">
        <v>9623</v>
      </c>
      <c r="N28" s="75" t="s">
        <v>9598</v>
      </c>
      <c r="O28" s="75" t="s">
        <v>9624</v>
      </c>
      <c r="P28" s="75" t="s">
        <v>9456</v>
      </c>
      <c r="Q28" s="75" t="s">
        <v>9456</v>
      </c>
      <c r="R28" s="75" t="s">
        <v>1251</v>
      </c>
      <c r="S28" s="75" t="s">
        <v>9457</v>
      </c>
      <c r="T28" s="75" t="s">
        <v>9552</v>
      </c>
      <c r="U28" s="75" t="s">
        <v>9552</v>
      </c>
      <c r="V28" s="75" t="s">
        <v>1251</v>
      </c>
      <c r="W28" s="75" t="s">
        <v>9457</v>
      </c>
      <c r="X28" s="75" t="s">
        <v>9459</v>
      </c>
      <c r="Y28" s="75" t="s">
        <v>9457</v>
      </c>
      <c r="Z28" s="75" t="s">
        <v>1251</v>
      </c>
      <c r="AA28" s="75" t="s">
        <v>9607</v>
      </c>
      <c r="AB28" s="75" t="s">
        <v>9462</v>
      </c>
      <c r="AC28" s="75" t="s">
        <v>9462</v>
      </c>
      <c r="AD28" s="75" t="s">
        <v>9607</v>
      </c>
      <c r="AE28" s="75" t="s">
        <v>9482</v>
      </c>
      <c r="AF28" s="75" t="s">
        <v>1251</v>
      </c>
      <c r="AG28" s="75" t="s">
        <v>6802</v>
      </c>
      <c r="AH28" s="75" t="s">
        <v>9457</v>
      </c>
      <c r="AI28" s="75" t="s">
        <v>9500</v>
      </c>
      <c r="AJ28" s="75" t="s">
        <v>9625</v>
      </c>
      <c r="AK28" s="75" t="s">
        <v>1251</v>
      </c>
    </row>
    <row r="29" spans="1:37">
      <c r="A29" s="75" t="s">
        <v>9626</v>
      </c>
      <c r="B29" s="78" t="e">
        <f>VLOOKUP(A29,'202303-非带宽'!H:H,1,FALSE)</f>
        <v>#N/A</v>
      </c>
      <c r="C29" s="75" t="s">
        <v>9486</v>
      </c>
      <c r="D29" s="75" t="s">
        <v>9627</v>
      </c>
      <c r="E29" s="75" t="s">
        <v>9447</v>
      </c>
      <c r="F29" s="75" t="s">
        <v>9628</v>
      </c>
      <c r="G29" s="75" t="s">
        <v>9449</v>
      </c>
      <c r="H29" s="75" t="s">
        <v>9489</v>
      </c>
      <c r="I29" s="75" t="s">
        <v>9450</v>
      </c>
      <c r="J29" s="75" t="s">
        <v>1251</v>
      </c>
      <c r="K29" s="75" t="s">
        <v>9451</v>
      </c>
      <c r="L29" s="75" t="s">
        <v>9629</v>
      </c>
      <c r="M29" s="75" t="s">
        <v>9630</v>
      </c>
      <c r="N29" s="75" t="s">
        <v>9497</v>
      </c>
      <c r="O29" s="75" t="s">
        <v>9498</v>
      </c>
      <c r="P29" s="75" t="s">
        <v>9456</v>
      </c>
      <c r="Q29" s="75" t="s">
        <v>9456</v>
      </c>
      <c r="R29" s="75" t="s">
        <v>1251</v>
      </c>
      <c r="S29" s="75" t="s">
        <v>9457</v>
      </c>
      <c r="T29" s="75" t="s">
        <v>9537</v>
      </c>
      <c r="U29" s="75" t="s">
        <v>9537</v>
      </c>
      <c r="V29" s="75" t="s">
        <v>1251</v>
      </c>
      <c r="W29" s="75" t="s">
        <v>9457</v>
      </c>
      <c r="X29" s="75" t="s">
        <v>9459</v>
      </c>
      <c r="Y29" s="75" t="s">
        <v>9457</v>
      </c>
      <c r="Z29" s="75" t="s">
        <v>1251</v>
      </c>
      <c r="AA29" s="75" t="s">
        <v>9460</v>
      </c>
      <c r="AB29" s="75" t="s">
        <v>9461</v>
      </c>
      <c r="AC29" s="75" t="s">
        <v>9462</v>
      </c>
      <c r="AD29" s="75" t="s">
        <v>9460</v>
      </c>
      <c r="AE29" s="75" t="s">
        <v>9457</v>
      </c>
      <c r="AF29" s="75" t="s">
        <v>1251</v>
      </c>
      <c r="AG29" s="75" t="s">
        <v>6802</v>
      </c>
      <c r="AH29" s="75" t="s">
        <v>9457</v>
      </c>
      <c r="AI29" s="75" t="s">
        <v>9463</v>
      </c>
      <c r="AJ29" s="75" t="s">
        <v>1251</v>
      </c>
      <c r="AK29" s="75" t="s">
        <v>1251</v>
      </c>
    </row>
    <row r="30" s="74" customFormat="1" hidden="1" spans="1:37">
      <c r="A30" s="74" t="s">
        <v>5011</v>
      </c>
      <c r="B30" s="77" t="str">
        <f>VLOOKUP(A30,'202303-非带宽'!H:H,1,FALSE)</f>
        <v>182315IDC00062</v>
      </c>
      <c r="D30" s="74" t="s">
        <v>9631</v>
      </c>
      <c r="E30" s="74" t="s">
        <v>9447</v>
      </c>
      <c r="F30" s="74" t="s">
        <v>9632</v>
      </c>
      <c r="G30" s="74" t="s">
        <v>9466</v>
      </c>
      <c r="H30" s="74" t="s">
        <v>4178</v>
      </c>
      <c r="I30" s="74" t="s">
        <v>9450</v>
      </c>
      <c r="J30" s="74" t="s">
        <v>1251</v>
      </c>
      <c r="K30" s="74" t="s">
        <v>9451</v>
      </c>
      <c r="L30" s="74" t="s">
        <v>9633</v>
      </c>
      <c r="M30" s="74" t="s">
        <v>9630</v>
      </c>
      <c r="N30" s="74" t="s">
        <v>9454</v>
      </c>
      <c r="O30" s="74" t="s">
        <v>9510</v>
      </c>
      <c r="P30" s="74" t="s">
        <v>9456</v>
      </c>
      <c r="Q30" s="74" t="s">
        <v>9456</v>
      </c>
      <c r="R30" s="74" t="s">
        <v>1251</v>
      </c>
      <c r="S30" s="74" t="s">
        <v>9457</v>
      </c>
      <c r="T30" s="74" t="s">
        <v>9634</v>
      </c>
      <c r="U30" s="74" t="s">
        <v>9634</v>
      </c>
      <c r="V30" s="74" t="s">
        <v>9635</v>
      </c>
      <c r="W30" s="74" t="s">
        <v>9457</v>
      </c>
      <c r="X30" s="74" t="s">
        <v>9459</v>
      </c>
      <c r="Y30" s="74" t="s">
        <v>9457</v>
      </c>
      <c r="Z30" s="74" t="s">
        <v>1251</v>
      </c>
      <c r="AA30" s="74" t="s">
        <v>9460</v>
      </c>
      <c r="AB30" s="74" t="s">
        <v>9461</v>
      </c>
      <c r="AC30" s="74" t="s">
        <v>9462</v>
      </c>
      <c r="AD30" s="74" t="s">
        <v>9460</v>
      </c>
      <c r="AE30" s="74" t="s">
        <v>9457</v>
      </c>
      <c r="AF30" s="74" t="s">
        <v>1251</v>
      </c>
      <c r="AG30" s="74" t="s">
        <v>9472</v>
      </c>
      <c r="AH30" s="74" t="s">
        <v>9457</v>
      </c>
      <c r="AI30" s="74" t="s">
        <v>9463</v>
      </c>
      <c r="AJ30" s="74" t="s">
        <v>1251</v>
      </c>
      <c r="AK30" s="74" t="s">
        <v>1251</v>
      </c>
    </row>
    <row r="31" s="74" customFormat="1" hidden="1" spans="1:37">
      <c r="A31" s="74" t="s">
        <v>4130</v>
      </c>
      <c r="B31" s="77" t="str">
        <f>VLOOKUP(A31,'202303-非带宽'!H:H,1,FALSE)</f>
        <v>182315IDC00057</v>
      </c>
      <c r="D31" s="74" t="s">
        <v>9636</v>
      </c>
      <c r="E31" s="74" t="s">
        <v>9447</v>
      </c>
      <c r="F31" s="74" t="s">
        <v>9637</v>
      </c>
      <c r="G31" s="74" t="s">
        <v>9466</v>
      </c>
      <c r="H31" s="74" t="s">
        <v>85</v>
      </c>
      <c r="I31" s="74" t="s">
        <v>9450</v>
      </c>
      <c r="J31" s="74" t="s">
        <v>1251</v>
      </c>
      <c r="K31" s="74" t="s">
        <v>9451</v>
      </c>
      <c r="L31" s="74" t="s">
        <v>9638</v>
      </c>
      <c r="M31" s="74" t="s">
        <v>9630</v>
      </c>
      <c r="N31" s="74" t="s">
        <v>9639</v>
      </c>
      <c r="O31" s="74" t="s">
        <v>9640</v>
      </c>
      <c r="P31" s="74" t="s">
        <v>9456</v>
      </c>
      <c r="Q31" s="74" t="s">
        <v>9456</v>
      </c>
      <c r="R31" s="74" t="s">
        <v>1251</v>
      </c>
      <c r="S31" s="74" t="s">
        <v>9457</v>
      </c>
      <c r="T31" s="74" t="s">
        <v>9612</v>
      </c>
      <c r="U31" s="74" t="s">
        <v>9612</v>
      </c>
      <c r="V31" s="74" t="s">
        <v>1251</v>
      </c>
      <c r="W31" s="74" t="s">
        <v>9457</v>
      </c>
      <c r="X31" s="74" t="s">
        <v>9459</v>
      </c>
      <c r="Y31" s="74" t="s">
        <v>9457</v>
      </c>
      <c r="Z31" s="74" t="s">
        <v>1251</v>
      </c>
      <c r="AA31" s="74" t="s">
        <v>9583</v>
      </c>
      <c r="AB31" s="74" t="s">
        <v>9461</v>
      </c>
      <c r="AC31" s="74" t="s">
        <v>9462</v>
      </c>
      <c r="AD31" s="74" t="s">
        <v>9583</v>
      </c>
      <c r="AE31" s="74" t="s">
        <v>9457</v>
      </c>
      <c r="AF31" s="74" t="s">
        <v>1251</v>
      </c>
      <c r="AG31" s="74" t="s">
        <v>6802</v>
      </c>
      <c r="AH31" s="74" t="s">
        <v>9457</v>
      </c>
      <c r="AI31" s="74" t="s">
        <v>9463</v>
      </c>
      <c r="AJ31" s="74" t="s">
        <v>1251</v>
      </c>
      <c r="AK31" s="74" t="s">
        <v>1251</v>
      </c>
    </row>
    <row r="32" s="74" customFormat="1" hidden="1" spans="1:37">
      <c r="A32" s="74" t="s">
        <v>5664</v>
      </c>
      <c r="B32" s="77" t="str">
        <f>VLOOKUP(A32,'202303-非带宽'!H:H,1,FALSE)</f>
        <v>182315IDC00060</v>
      </c>
      <c r="D32" s="74" t="s">
        <v>9641</v>
      </c>
      <c r="E32" s="74" t="s">
        <v>9447</v>
      </c>
      <c r="F32" s="74" t="s">
        <v>9642</v>
      </c>
      <c r="G32" s="74" t="s">
        <v>9466</v>
      </c>
      <c r="H32" s="74" t="s">
        <v>4178</v>
      </c>
      <c r="I32" s="74" t="s">
        <v>9450</v>
      </c>
      <c r="J32" s="74" t="s">
        <v>1251</v>
      </c>
      <c r="K32" s="74" t="s">
        <v>9451</v>
      </c>
      <c r="L32" s="74" t="s">
        <v>9643</v>
      </c>
      <c r="M32" s="74" t="s">
        <v>9630</v>
      </c>
      <c r="N32" s="74" t="s">
        <v>9469</v>
      </c>
      <c r="O32" s="74" t="s">
        <v>9470</v>
      </c>
      <c r="P32" s="74" t="s">
        <v>9456</v>
      </c>
      <c r="Q32" s="74" t="s">
        <v>9456</v>
      </c>
      <c r="R32" s="74" t="s">
        <v>1251</v>
      </c>
      <c r="S32" s="74" t="s">
        <v>9457</v>
      </c>
      <c r="T32" s="74" t="s">
        <v>9634</v>
      </c>
      <c r="U32" s="74" t="s">
        <v>9634</v>
      </c>
      <c r="V32" s="74" t="s">
        <v>9644</v>
      </c>
      <c r="W32" s="74" t="s">
        <v>9457</v>
      </c>
      <c r="X32" s="74" t="s">
        <v>9459</v>
      </c>
      <c r="Y32" s="74" t="s">
        <v>9457</v>
      </c>
      <c r="Z32" s="74" t="s">
        <v>1251</v>
      </c>
      <c r="AA32" s="74" t="s">
        <v>9460</v>
      </c>
      <c r="AB32" s="74" t="s">
        <v>9461</v>
      </c>
      <c r="AC32" s="74" t="s">
        <v>9462</v>
      </c>
      <c r="AD32" s="74" t="s">
        <v>9460</v>
      </c>
      <c r="AE32" s="74" t="s">
        <v>9457</v>
      </c>
      <c r="AF32" s="74" t="s">
        <v>1251</v>
      </c>
      <c r="AG32" s="74" t="s">
        <v>9472</v>
      </c>
      <c r="AH32" s="74" t="s">
        <v>9457</v>
      </c>
      <c r="AI32" s="74" t="s">
        <v>9463</v>
      </c>
      <c r="AJ32" s="74" t="s">
        <v>1251</v>
      </c>
      <c r="AK32" s="74" t="s">
        <v>1251</v>
      </c>
    </row>
    <row r="33" spans="1:37">
      <c r="A33" s="75" t="s">
        <v>9645</v>
      </c>
      <c r="B33" s="78" t="e">
        <f>VLOOKUP(A33,'202303-非带宽'!H:H,1,FALSE)</f>
        <v>#N/A</v>
      </c>
      <c r="C33" s="75" t="s">
        <v>9486</v>
      </c>
      <c r="D33" s="75" t="s">
        <v>9646</v>
      </c>
      <c r="E33" s="75" t="s">
        <v>9447</v>
      </c>
      <c r="F33" s="75" t="s">
        <v>9647</v>
      </c>
      <c r="G33" s="75" t="s">
        <v>9449</v>
      </c>
      <c r="H33" s="75" t="s">
        <v>28</v>
      </c>
      <c r="I33" s="75" t="s">
        <v>9450</v>
      </c>
      <c r="J33" s="75" t="s">
        <v>1251</v>
      </c>
      <c r="K33" s="75" t="s">
        <v>9451</v>
      </c>
      <c r="L33" s="75" t="s">
        <v>9648</v>
      </c>
      <c r="M33" s="75" t="s">
        <v>9630</v>
      </c>
      <c r="N33" s="75" t="s">
        <v>9649</v>
      </c>
      <c r="O33" s="75" t="s">
        <v>9650</v>
      </c>
      <c r="P33" s="75" t="s">
        <v>9456</v>
      </c>
      <c r="Q33" s="75" t="s">
        <v>9456</v>
      </c>
      <c r="R33" s="75" t="s">
        <v>1251</v>
      </c>
      <c r="S33" s="75" t="s">
        <v>9457</v>
      </c>
      <c r="T33" s="75" t="s">
        <v>9537</v>
      </c>
      <c r="U33" s="75" t="s">
        <v>9537</v>
      </c>
      <c r="V33" s="75" t="s">
        <v>9651</v>
      </c>
      <c r="W33" s="75" t="s">
        <v>9457</v>
      </c>
      <c r="X33" s="75" t="s">
        <v>9459</v>
      </c>
      <c r="Y33" s="75" t="s">
        <v>9482</v>
      </c>
      <c r="Z33" s="75" t="s">
        <v>9544</v>
      </c>
      <c r="AA33" s="75" t="s">
        <v>9460</v>
      </c>
      <c r="AB33" s="75" t="s">
        <v>9461</v>
      </c>
      <c r="AC33" s="75" t="s">
        <v>9462</v>
      </c>
      <c r="AD33" s="75" t="s">
        <v>9460</v>
      </c>
      <c r="AE33" s="75" t="s">
        <v>9457</v>
      </c>
      <c r="AF33" s="75" t="s">
        <v>1251</v>
      </c>
      <c r="AG33" s="75" t="s">
        <v>6802</v>
      </c>
      <c r="AH33" s="75" t="s">
        <v>9457</v>
      </c>
      <c r="AI33" s="75" t="s">
        <v>9463</v>
      </c>
      <c r="AJ33" s="75" t="s">
        <v>1251</v>
      </c>
      <c r="AK33" s="75" t="s">
        <v>1251</v>
      </c>
    </row>
    <row r="34" s="74" customFormat="1" hidden="1" spans="1:37">
      <c r="A34" s="74" t="s">
        <v>5113</v>
      </c>
      <c r="B34" s="77" t="str">
        <f>VLOOKUP(A34,'202303-非带宽'!H:H,1,FALSE)</f>
        <v>182315IDC00058</v>
      </c>
      <c r="D34" s="74" t="s">
        <v>9652</v>
      </c>
      <c r="E34" s="74" t="s">
        <v>9447</v>
      </c>
      <c r="F34" s="74" t="s">
        <v>9653</v>
      </c>
      <c r="G34" s="74" t="s">
        <v>9466</v>
      </c>
      <c r="H34" s="74" t="s">
        <v>4178</v>
      </c>
      <c r="I34" s="74" t="s">
        <v>9450</v>
      </c>
      <c r="J34" s="74" t="s">
        <v>1251</v>
      </c>
      <c r="K34" s="74" t="s">
        <v>9451</v>
      </c>
      <c r="L34" s="74" t="s">
        <v>9654</v>
      </c>
      <c r="M34" s="74" t="s">
        <v>9630</v>
      </c>
      <c r="N34" s="74" t="s">
        <v>9454</v>
      </c>
      <c r="O34" s="74" t="s">
        <v>9510</v>
      </c>
      <c r="P34" s="74" t="s">
        <v>9456</v>
      </c>
      <c r="Q34" s="74" t="s">
        <v>9456</v>
      </c>
      <c r="R34" s="74" t="s">
        <v>1251</v>
      </c>
      <c r="S34" s="74" t="s">
        <v>9457</v>
      </c>
      <c r="T34" s="74" t="s">
        <v>9612</v>
      </c>
      <c r="U34" s="74" t="s">
        <v>9612</v>
      </c>
      <c r="V34" s="74" t="s">
        <v>9655</v>
      </c>
      <c r="W34" s="74" t="s">
        <v>9457</v>
      </c>
      <c r="X34" s="74" t="s">
        <v>9459</v>
      </c>
      <c r="Y34" s="74" t="s">
        <v>9457</v>
      </c>
      <c r="Z34" s="74" t="s">
        <v>1251</v>
      </c>
      <c r="AA34" s="74" t="s">
        <v>9460</v>
      </c>
      <c r="AB34" s="74" t="s">
        <v>9461</v>
      </c>
      <c r="AC34" s="74" t="s">
        <v>9462</v>
      </c>
      <c r="AD34" s="74" t="s">
        <v>9460</v>
      </c>
      <c r="AE34" s="74" t="s">
        <v>9457</v>
      </c>
      <c r="AF34" s="74" t="s">
        <v>1251</v>
      </c>
      <c r="AG34" s="74" t="s">
        <v>9472</v>
      </c>
      <c r="AH34" s="74" t="s">
        <v>9457</v>
      </c>
      <c r="AI34" s="74" t="s">
        <v>9463</v>
      </c>
      <c r="AJ34" s="74" t="s">
        <v>1251</v>
      </c>
      <c r="AK34" s="74" t="s">
        <v>1251</v>
      </c>
    </row>
    <row r="35" s="74" customFormat="1" hidden="1" spans="1:37">
      <c r="A35" s="74" t="s">
        <v>4564</v>
      </c>
      <c r="B35" s="77" t="str">
        <f>VLOOKUP(A35,'202303-非带宽'!H:H,1,FALSE)</f>
        <v>182315IDC00059</v>
      </c>
      <c r="D35" s="74" t="s">
        <v>9656</v>
      </c>
      <c r="E35" s="74" t="s">
        <v>9447</v>
      </c>
      <c r="F35" s="74" t="s">
        <v>9657</v>
      </c>
      <c r="G35" s="74" t="s">
        <v>9466</v>
      </c>
      <c r="H35" s="74" t="s">
        <v>4178</v>
      </c>
      <c r="I35" s="74" t="s">
        <v>9450</v>
      </c>
      <c r="J35" s="74" t="s">
        <v>1251</v>
      </c>
      <c r="K35" s="74" t="s">
        <v>9451</v>
      </c>
      <c r="L35" s="74" t="s">
        <v>9658</v>
      </c>
      <c r="M35" s="74" t="s">
        <v>9630</v>
      </c>
      <c r="N35" s="74" t="s">
        <v>9454</v>
      </c>
      <c r="O35" s="74" t="s">
        <v>9510</v>
      </c>
      <c r="P35" s="74" t="s">
        <v>9456</v>
      </c>
      <c r="Q35" s="74" t="s">
        <v>9456</v>
      </c>
      <c r="R35" s="74" t="s">
        <v>1251</v>
      </c>
      <c r="S35" s="74" t="s">
        <v>9457</v>
      </c>
      <c r="T35" s="74" t="s">
        <v>9515</v>
      </c>
      <c r="U35" s="74" t="s">
        <v>9515</v>
      </c>
      <c r="V35" s="74" t="s">
        <v>9659</v>
      </c>
      <c r="W35" s="74" t="s">
        <v>9457</v>
      </c>
      <c r="X35" s="74" t="s">
        <v>9459</v>
      </c>
      <c r="Y35" s="74" t="s">
        <v>9457</v>
      </c>
      <c r="Z35" s="74" t="s">
        <v>1251</v>
      </c>
      <c r="AA35" s="74" t="s">
        <v>9460</v>
      </c>
      <c r="AB35" s="74" t="s">
        <v>9461</v>
      </c>
      <c r="AC35" s="74" t="s">
        <v>9462</v>
      </c>
      <c r="AD35" s="74" t="s">
        <v>9460</v>
      </c>
      <c r="AE35" s="74" t="s">
        <v>9457</v>
      </c>
      <c r="AF35" s="74" t="s">
        <v>1251</v>
      </c>
      <c r="AG35" s="74" t="s">
        <v>9472</v>
      </c>
      <c r="AH35" s="74" t="s">
        <v>9457</v>
      </c>
      <c r="AI35" s="74" t="s">
        <v>9463</v>
      </c>
      <c r="AJ35" s="74" t="s">
        <v>1251</v>
      </c>
      <c r="AK35" s="74" t="s">
        <v>1251</v>
      </c>
    </row>
    <row r="36" s="74" customFormat="1" hidden="1" spans="1:37">
      <c r="A36" s="74" t="s">
        <v>5382</v>
      </c>
      <c r="B36" s="77" t="str">
        <f>VLOOKUP(A36,'202303-非带宽'!H:H,1,FALSE)</f>
        <v>182315IDC00050</v>
      </c>
      <c r="D36" s="74" t="s">
        <v>9609</v>
      </c>
      <c r="E36" s="74" t="s">
        <v>9447</v>
      </c>
      <c r="F36" s="74" t="s">
        <v>9660</v>
      </c>
      <c r="G36" s="74" t="s">
        <v>9466</v>
      </c>
      <c r="H36" s="74" t="s">
        <v>4178</v>
      </c>
      <c r="I36" s="74" t="s">
        <v>9450</v>
      </c>
      <c r="J36" s="74" t="s">
        <v>1251</v>
      </c>
      <c r="K36" s="74" t="s">
        <v>9451</v>
      </c>
      <c r="L36" s="74" t="s">
        <v>9661</v>
      </c>
      <c r="M36" s="74" t="s">
        <v>9662</v>
      </c>
      <c r="N36" s="74" t="s">
        <v>9454</v>
      </c>
      <c r="O36" s="74" t="s">
        <v>9510</v>
      </c>
      <c r="P36" s="74" t="s">
        <v>9456</v>
      </c>
      <c r="Q36" s="74" t="s">
        <v>9456</v>
      </c>
      <c r="R36" s="74" t="s">
        <v>1251</v>
      </c>
      <c r="S36" s="74" t="s">
        <v>9457</v>
      </c>
      <c r="T36" s="74" t="s">
        <v>9515</v>
      </c>
      <c r="U36" s="74" t="s">
        <v>9515</v>
      </c>
      <c r="V36" s="74" t="s">
        <v>9614</v>
      </c>
      <c r="W36" s="74" t="s">
        <v>9457</v>
      </c>
      <c r="X36" s="74" t="s">
        <v>9459</v>
      </c>
      <c r="Y36" s="74" t="s">
        <v>9457</v>
      </c>
      <c r="Z36" s="74" t="s">
        <v>1251</v>
      </c>
      <c r="AA36" s="74" t="s">
        <v>9460</v>
      </c>
      <c r="AB36" s="74" t="s">
        <v>9461</v>
      </c>
      <c r="AC36" s="74" t="s">
        <v>9462</v>
      </c>
      <c r="AD36" s="74" t="s">
        <v>9460</v>
      </c>
      <c r="AE36" s="74" t="s">
        <v>9457</v>
      </c>
      <c r="AF36" s="74" t="s">
        <v>1251</v>
      </c>
      <c r="AG36" s="74" t="s">
        <v>9472</v>
      </c>
      <c r="AH36" s="74" t="s">
        <v>9457</v>
      </c>
      <c r="AI36" s="74" t="s">
        <v>9463</v>
      </c>
      <c r="AJ36" s="74" t="s">
        <v>1251</v>
      </c>
      <c r="AK36" s="74" t="s">
        <v>1251</v>
      </c>
    </row>
    <row r="37" s="74" customFormat="1" hidden="1" spans="1:37">
      <c r="A37" s="74" t="s">
        <v>4728</v>
      </c>
      <c r="B37" s="77" t="str">
        <f>VLOOKUP(A37,'202303-非带宽'!H:H,1,FALSE)</f>
        <v>182315IDC00049</v>
      </c>
      <c r="D37" s="74" t="s">
        <v>9663</v>
      </c>
      <c r="E37" s="74" t="s">
        <v>9447</v>
      </c>
      <c r="F37" s="74" t="s">
        <v>9664</v>
      </c>
      <c r="G37" s="74" t="s">
        <v>9466</v>
      </c>
      <c r="H37" s="74" t="s">
        <v>4178</v>
      </c>
      <c r="I37" s="74" t="s">
        <v>9450</v>
      </c>
      <c r="J37" s="74" t="s">
        <v>1251</v>
      </c>
      <c r="K37" s="74" t="s">
        <v>9451</v>
      </c>
      <c r="L37" s="74" t="s">
        <v>9665</v>
      </c>
      <c r="M37" s="74" t="s">
        <v>9662</v>
      </c>
      <c r="N37" s="74" t="s">
        <v>9469</v>
      </c>
      <c r="O37" s="74" t="s">
        <v>9470</v>
      </c>
      <c r="P37" s="74" t="s">
        <v>9456</v>
      </c>
      <c r="Q37" s="74" t="s">
        <v>9456</v>
      </c>
      <c r="R37" s="74" t="s">
        <v>1251</v>
      </c>
      <c r="S37" s="74" t="s">
        <v>9457</v>
      </c>
      <c r="T37" s="74" t="s">
        <v>9634</v>
      </c>
      <c r="U37" s="74" t="s">
        <v>9634</v>
      </c>
      <c r="V37" s="74" t="s">
        <v>9666</v>
      </c>
      <c r="W37" s="74" t="s">
        <v>9457</v>
      </c>
      <c r="X37" s="74" t="s">
        <v>9459</v>
      </c>
      <c r="Y37" s="74" t="s">
        <v>9457</v>
      </c>
      <c r="Z37" s="74" t="s">
        <v>1251</v>
      </c>
      <c r="AA37" s="74" t="s">
        <v>9460</v>
      </c>
      <c r="AB37" s="74" t="s">
        <v>9461</v>
      </c>
      <c r="AC37" s="74" t="s">
        <v>9462</v>
      </c>
      <c r="AD37" s="74" t="s">
        <v>9460</v>
      </c>
      <c r="AE37" s="74" t="s">
        <v>9457</v>
      </c>
      <c r="AF37" s="74" t="s">
        <v>1251</v>
      </c>
      <c r="AG37" s="74" t="s">
        <v>9472</v>
      </c>
      <c r="AH37" s="74" t="s">
        <v>9457</v>
      </c>
      <c r="AI37" s="74" t="s">
        <v>9463</v>
      </c>
      <c r="AJ37" s="74" t="s">
        <v>1251</v>
      </c>
      <c r="AK37" s="74" t="s">
        <v>1251</v>
      </c>
    </row>
    <row r="38" s="74" customFormat="1" hidden="1" spans="1:37">
      <c r="A38" s="74" t="s">
        <v>5057</v>
      </c>
      <c r="B38" s="77" t="str">
        <f>VLOOKUP(A38,'202303-非带宽'!H:H,1,FALSE)</f>
        <v>182315IDC00054</v>
      </c>
      <c r="D38" s="74" t="s">
        <v>9667</v>
      </c>
      <c r="E38" s="74" t="s">
        <v>9447</v>
      </c>
      <c r="F38" s="74" t="s">
        <v>9668</v>
      </c>
      <c r="G38" s="74" t="s">
        <v>9466</v>
      </c>
      <c r="H38" s="74" t="s">
        <v>4178</v>
      </c>
      <c r="I38" s="74" t="s">
        <v>9450</v>
      </c>
      <c r="J38" s="74" t="s">
        <v>1251</v>
      </c>
      <c r="K38" s="74" t="s">
        <v>9451</v>
      </c>
      <c r="L38" s="74" t="s">
        <v>9669</v>
      </c>
      <c r="M38" s="74" t="s">
        <v>9662</v>
      </c>
      <c r="N38" s="74" t="s">
        <v>9454</v>
      </c>
      <c r="O38" s="74" t="s">
        <v>9510</v>
      </c>
      <c r="P38" s="74" t="s">
        <v>9456</v>
      </c>
      <c r="Q38" s="74" t="s">
        <v>9456</v>
      </c>
      <c r="R38" s="74" t="s">
        <v>1251</v>
      </c>
      <c r="S38" s="74" t="s">
        <v>9457</v>
      </c>
      <c r="T38" s="74" t="s">
        <v>9515</v>
      </c>
      <c r="U38" s="74" t="s">
        <v>9515</v>
      </c>
      <c r="V38" s="74" t="s">
        <v>9670</v>
      </c>
      <c r="W38" s="74" t="s">
        <v>9457</v>
      </c>
      <c r="X38" s="74" t="s">
        <v>9459</v>
      </c>
      <c r="Y38" s="74" t="s">
        <v>9457</v>
      </c>
      <c r="Z38" s="74" t="s">
        <v>1251</v>
      </c>
      <c r="AA38" s="74" t="s">
        <v>9460</v>
      </c>
      <c r="AB38" s="74" t="s">
        <v>9461</v>
      </c>
      <c r="AC38" s="74" t="s">
        <v>9462</v>
      </c>
      <c r="AD38" s="74" t="s">
        <v>9460</v>
      </c>
      <c r="AE38" s="74" t="s">
        <v>9457</v>
      </c>
      <c r="AF38" s="74" t="s">
        <v>1251</v>
      </c>
      <c r="AG38" s="74" t="s">
        <v>9472</v>
      </c>
      <c r="AH38" s="74" t="s">
        <v>9457</v>
      </c>
      <c r="AI38" s="74" t="s">
        <v>9463</v>
      </c>
      <c r="AJ38" s="74" t="s">
        <v>1251</v>
      </c>
      <c r="AK38" s="74" t="s">
        <v>1251</v>
      </c>
    </row>
    <row r="39" s="74" customFormat="1" hidden="1" spans="1:37">
      <c r="A39" s="74" t="s">
        <v>4767</v>
      </c>
      <c r="B39" s="77" t="str">
        <f>VLOOKUP(A39,'202303-非带宽'!H:H,1,FALSE)</f>
        <v>182315IDC00046</v>
      </c>
      <c r="D39" s="74" t="s">
        <v>9671</v>
      </c>
      <c r="E39" s="74" t="s">
        <v>9447</v>
      </c>
      <c r="F39" s="74" t="s">
        <v>9672</v>
      </c>
      <c r="G39" s="74" t="s">
        <v>9466</v>
      </c>
      <c r="H39" s="74" t="s">
        <v>4178</v>
      </c>
      <c r="I39" s="74" t="s">
        <v>9450</v>
      </c>
      <c r="J39" s="74" t="s">
        <v>1251</v>
      </c>
      <c r="K39" s="74" t="s">
        <v>9451</v>
      </c>
      <c r="L39" s="74" t="s">
        <v>9673</v>
      </c>
      <c r="M39" s="74" t="s">
        <v>9662</v>
      </c>
      <c r="N39" s="74" t="s">
        <v>9454</v>
      </c>
      <c r="O39" s="74" t="s">
        <v>9510</v>
      </c>
      <c r="P39" s="74" t="s">
        <v>9456</v>
      </c>
      <c r="Q39" s="74" t="s">
        <v>9456</v>
      </c>
      <c r="R39" s="74" t="s">
        <v>1251</v>
      </c>
      <c r="S39" s="74" t="s">
        <v>9457</v>
      </c>
      <c r="T39" s="74" t="s">
        <v>9634</v>
      </c>
      <c r="U39" s="74" t="s">
        <v>9634</v>
      </c>
      <c r="V39" s="74" t="s">
        <v>9674</v>
      </c>
      <c r="W39" s="74" t="s">
        <v>9457</v>
      </c>
      <c r="X39" s="74" t="s">
        <v>9459</v>
      </c>
      <c r="Y39" s="74" t="s">
        <v>9457</v>
      </c>
      <c r="Z39" s="74" t="s">
        <v>1251</v>
      </c>
      <c r="AA39" s="74" t="s">
        <v>9460</v>
      </c>
      <c r="AB39" s="74" t="s">
        <v>9461</v>
      </c>
      <c r="AC39" s="74" t="s">
        <v>9462</v>
      </c>
      <c r="AD39" s="74" t="s">
        <v>9460</v>
      </c>
      <c r="AE39" s="74" t="s">
        <v>9457</v>
      </c>
      <c r="AF39" s="74" t="s">
        <v>1251</v>
      </c>
      <c r="AG39" s="74" t="s">
        <v>9472</v>
      </c>
      <c r="AH39" s="74" t="s">
        <v>9457</v>
      </c>
      <c r="AI39" s="74" t="s">
        <v>9463</v>
      </c>
      <c r="AJ39" s="74" t="s">
        <v>1251</v>
      </c>
      <c r="AK39" s="74" t="s">
        <v>1251</v>
      </c>
    </row>
    <row r="40" s="74" customFormat="1" hidden="1" spans="1:37">
      <c r="A40" s="74" t="s">
        <v>5037</v>
      </c>
      <c r="B40" s="77" t="str">
        <f>VLOOKUP(A40,'202303-非带宽'!H:H,1,FALSE)</f>
        <v>182315IDC00056</v>
      </c>
      <c r="D40" s="74" t="s">
        <v>9631</v>
      </c>
      <c r="E40" s="74" t="s">
        <v>9447</v>
      </c>
      <c r="F40" s="74" t="s">
        <v>9675</v>
      </c>
      <c r="G40" s="74" t="s">
        <v>9466</v>
      </c>
      <c r="H40" s="74" t="s">
        <v>4178</v>
      </c>
      <c r="I40" s="74" t="s">
        <v>9450</v>
      </c>
      <c r="J40" s="74" t="s">
        <v>1251</v>
      </c>
      <c r="K40" s="74" t="s">
        <v>9451</v>
      </c>
      <c r="L40" s="74" t="s">
        <v>9676</v>
      </c>
      <c r="M40" s="74" t="s">
        <v>9662</v>
      </c>
      <c r="N40" s="74" t="s">
        <v>9454</v>
      </c>
      <c r="O40" s="74" t="s">
        <v>9510</v>
      </c>
      <c r="P40" s="74" t="s">
        <v>9456</v>
      </c>
      <c r="Q40" s="74" t="s">
        <v>9456</v>
      </c>
      <c r="R40" s="74" t="s">
        <v>1251</v>
      </c>
      <c r="S40" s="74" t="s">
        <v>9457</v>
      </c>
      <c r="T40" s="74" t="s">
        <v>9612</v>
      </c>
      <c r="U40" s="74" t="s">
        <v>9612</v>
      </c>
      <c r="V40" s="74" t="s">
        <v>9635</v>
      </c>
      <c r="W40" s="74" t="s">
        <v>9457</v>
      </c>
      <c r="X40" s="74" t="s">
        <v>9459</v>
      </c>
      <c r="Y40" s="74" t="s">
        <v>9457</v>
      </c>
      <c r="Z40" s="74" t="s">
        <v>1251</v>
      </c>
      <c r="AA40" s="74" t="s">
        <v>9460</v>
      </c>
      <c r="AB40" s="74" t="s">
        <v>9461</v>
      </c>
      <c r="AC40" s="74" t="s">
        <v>9462</v>
      </c>
      <c r="AD40" s="74" t="s">
        <v>9460</v>
      </c>
      <c r="AE40" s="74" t="s">
        <v>9457</v>
      </c>
      <c r="AF40" s="74" t="s">
        <v>1251</v>
      </c>
      <c r="AG40" s="74" t="s">
        <v>9472</v>
      </c>
      <c r="AH40" s="74" t="s">
        <v>9457</v>
      </c>
      <c r="AI40" s="74" t="s">
        <v>9463</v>
      </c>
      <c r="AJ40" s="74" t="s">
        <v>1251</v>
      </c>
      <c r="AK40" s="74" t="s">
        <v>1251</v>
      </c>
    </row>
    <row r="41" s="74" customFormat="1" hidden="1" spans="1:37">
      <c r="A41" s="74" t="s">
        <v>4744</v>
      </c>
      <c r="B41" s="77" t="str">
        <f>VLOOKUP(A41,'202303-非带宽'!H:H,1,FALSE)</f>
        <v>182315IDC00052</v>
      </c>
      <c r="D41" s="74" t="s">
        <v>9671</v>
      </c>
      <c r="E41" s="74" t="s">
        <v>9447</v>
      </c>
      <c r="F41" s="74" t="s">
        <v>9677</v>
      </c>
      <c r="G41" s="74" t="s">
        <v>9466</v>
      </c>
      <c r="H41" s="74" t="s">
        <v>28</v>
      </c>
      <c r="I41" s="74" t="s">
        <v>9450</v>
      </c>
      <c r="J41" s="74" t="s">
        <v>1251</v>
      </c>
      <c r="K41" s="74" t="s">
        <v>9451</v>
      </c>
      <c r="L41" s="74" t="s">
        <v>9678</v>
      </c>
      <c r="M41" s="74" t="s">
        <v>9662</v>
      </c>
      <c r="N41" s="74" t="s">
        <v>9454</v>
      </c>
      <c r="O41" s="74" t="s">
        <v>9510</v>
      </c>
      <c r="P41" s="74" t="s">
        <v>9456</v>
      </c>
      <c r="Q41" s="74" t="s">
        <v>9456</v>
      </c>
      <c r="R41" s="74" t="s">
        <v>1251</v>
      </c>
      <c r="S41" s="74" t="s">
        <v>9457</v>
      </c>
      <c r="T41" s="74" t="s">
        <v>9634</v>
      </c>
      <c r="U41" s="74" t="s">
        <v>9634</v>
      </c>
      <c r="V41" s="74" t="s">
        <v>9674</v>
      </c>
      <c r="W41" s="74" t="s">
        <v>9457</v>
      </c>
      <c r="X41" s="74" t="s">
        <v>9459</v>
      </c>
      <c r="Y41" s="74" t="s">
        <v>9457</v>
      </c>
      <c r="Z41" s="74" t="s">
        <v>1251</v>
      </c>
      <c r="AA41" s="74" t="s">
        <v>9460</v>
      </c>
      <c r="AB41" s="74" t="s">
        <v>9461</v>
      </c>
      <c r="AC41" s="74" t="s">
        <v>9462</v>
      </c>
      <c r="AD41" s="74" t="s">
        <v>9460</v>
      </c>
      <c r="AE41" s="74" t="s">
        <v>9457</v>
      </c>
      <c r="AF41" s="74" t="s">
        <v>1251</v>
      </c>
      <c r="AG41" s="74" t="s">
        <v>9472</v>
      </c>
      <c r="AH41" s="74" t="s">
        <v>9457</v>
      </c>
      <c r="AI41" s="74" t="s">
        <v>9463</v>
      </c>
      <c r="AJ41" s="74" t="s">
        <v>1251</v>
      </c>
      <c r="AK41" s="74" t="s">
        <v>1251</v>
      </c>
    </row>
    <row r="42" s="74" customFormat="1" hidden="1" spans="1:37">
      <c r="A42" s="74" t="s">
        <v>5031</v>
      </c>
      <c r="B42" s="77" t="str">
        <f>VLOOKUP(A42,'202303-非带宽'!H:H,1,FALSE)</f>
        <v>182315IDC00047</v>
      </c>
      <c r="D42" s="74" t="s">
        <v>9631</v>
      </c>
      <c r="E42" s="74" t="s">
        <v>9447</v>
      </c>
      <c r="F42" s="74" t="s">
        <v>9679</v>
      </c>
      <c r="G42" s="74" t="s">
        <v>9466</v>
      </c>
      <c r="H42" s="74" t="s">
        <v>4178</v>
      </c>
      <c r="I42" s="74" t="s">
        <v>9450</v>
      </c>
      <c r="J42" s="74" t="s">
        <v>1251</v>
      </c>
      <c r="K42" s="74" t="s">
        <v>9451</v>
      </c>
      <c r="L42" s="74" t="s">
        <v>9680</v>
      </c>
      <c r="M42" s="74" t="s">
        <v>9662</v>
      </c>
      <c r="N42" s="74" t="s">
        <v>9469</v>
      </c>
      <c r="O42" s="74" t="s">
        <v>9470</v>
      </c>
      <c r="P42" s="74" t="s">
        <v>9456</v>
      </c>
      <c r="Q42" s="74" t="s">
        <v>9456</v>
      </c>
      <c r="R42" s="74" t="s">
        <v>1251</v>
      </c>
      <c r="S42" s="74" t="s">
        <v>9457</v>
      </c>
      <c r="T42" s="74" t="s">
        <v>9612</v>
      </c>
      <c r="U42" s="74" t="s">
        <v>9612</v>
      </c>
      <c r="V42" s="74" t="s">
        <v>9635</v>
      </c>
      <c r="W42" s="74" t="s">
        <v>9457</v>
      </c>
      <c r="X42" s="74" t="s">
        <v>9459</v>
      </c>
      <c r="Y42" s="74" t="s">
        <v>9457</v>
      </c>
      <c r="Z42" s="74" t="s">
        <v>1251</v>
      </c>
      <c r="AA42" s="74" t="s">
        <v>9460</v>
      </c>
      <c r="AB42" s="74" t="s">
        <v>9461</v>
      </c>
      <c r="AC42" s="74" t="s">
        <v>9462</v>
      </c>
      <c r="AD42" s="74" t="s">
        <v>9460</v>
      </c>
      <c r="AE42" s="74" t="s">
        <v>9457</v>
      </c>
      <c r="AF42" s="74" t="s">
        <v>1251</v>
      </c>
      <c r="AG42" s="74" t="s">
        <v>9472</v>
      </c>
      <c r="AH42" s="74" t="s">
        <v>9457</v>
      </c>
      <c r="AI42" s="74" t="s">
        <v>9463</v>
      </c>
      <c r="AJ42" s="74" t="s">
        <v>1251</v>
      </c>
      <c r="AK42" s="74" t="s">
        <v>1251</v>
      </c>
    </row>
    <row r="43" s="74" customFormat="1" hidden="1" spans="1:37">
      <c r="A43" s="74" t="s">
        <v>5121</v>
      </c>
      <c r="B43" s="77" t="str">
        <f>VLOOKUP(A43,'202303-非带宽'!H:H,1,FALSE)</f>
        <v>182315IDC00055</v>
      </c>
      <c r="D43" s="74" t="s">
        <v>9681</v>
      </c>
      <c r="E43" s="74" t="s">
        <v>9447</v>
      </c>
      <c r="F43" s="74" t="s">
        <v>9682</v>
      </c>
      <c r="G43" s="74" t="s">
        <v>9466</v>
      </c>
      <c r="H43" s="74" t="s">
        <v>28</v>
      </c>
      <c r="I43" s="74" t="s">
        <v>9450</v>
      </c>
      <c r="J43" s="74" t="s">
        <v>1251</v>
      </c>
      <c r="K43" s="74" t="s">
        <v>9451</v>
      </c>
      <c r="L43" s="74" t="s">
        <v>9683</v>
      </c>
      <c r="M43" s="74" t="s">
        <v>9662</v>
      </c>
      <c r="N43" s="74" t="s">
        <v>9454</v>
      </c>
      <c r="O43" s="74" t="s">
        <v>9510</v>
      </c>
      <c r="P43" s="74" t="s">
        <v>9456</v>
      </c>
      <c r="Q43" s="74" t="s">
        <v>9456</v>
      </c>
      <c r="R43" s="74" t="s">
        <v>1251</v>
      </c>
      <c r="S43" s="74" t="s">
        <v>9457</v>
      </c>
      <c r="T43" s="74" t="s">
        <v>9612</v>
      </c>
      <c r="U43" s="74" t="s">
        <v>9612</v>
      </c>
      <c r="V43" s="74" t="s">
        <v>9684</v>
      </c>
      <c r="W43" s="74" t="s">
        <v>9457</v>
      </c>
      <c r="X43" s="74" t="s">
        <v>9459</v>
      </c>
      <c r="Y43" s="74" t="s">
        <v>9457</v>
      </c>
      <c r="Z43" s="74" t="s">
        <v>1251</v>
      </c>
      <c r="AA43" s="74" t="s">
        <v>9460</v>
      </c>
      <c r="AB43" s="74" t="s">
        <v>9461</v>
      </c>
      <c r="AC43" s="74" t="s">
        <v>9462</v>
      </c>
      <c r="AD43" s="74" t="s">
        <v>9460</v>
      </c>
      <c r="AE43" s="74" t="s">
        <v>9457</v>
      </c>
      <c r="AF43" s="74" t="s">
        <v>1251</v>
      </c>
      <c r="AG43" s="74" t="s">
        <v>9472</v>
      </c>
      <c r="AH43" s="74" t="s">
        <v>9457</v>
      </c>
      <c r="AI43" s="74" t="s">
        <v>9463</v>
      </c>
      <c r="AJ43" s="74" t="s">
        <v>1251</v>
      </c>
      <c r="AK43" s="74" t="s">
        <v>1251</v>
      </c>
    </row>
    <row r="44" s="74" customFormat="1" hidden="1" spans="1:37">
      <c r="A44" s="74" t="s">
        <v>5072</v>
      </c>
      <c r="B44" s="77" t="str">
        <f>VLOOKUP(A44,'202303-非带宽'!H:H,1,FALSE)</f>
        <v>182315IDC00051</v>
      </c>
      <c r="D44" s="74" t="s">
        <v>9667</v>
      </c>
      <c r="E44" s="74" t="s">
        <v>9447</v>
      </c>
      <c r="F44" s="74" t="s">
        <v>9685</v>
      </c>
      <c r="G44" s="74" t="s">
        <v>9466</v>
      </c>
      <c r="H44" s="74" t="s">
        <v>4178</v>
      </c>
      <c r="I44" s="74" t="s">
        <v>9450</v>
      </c>
      <c r="J44" s="74" t="s">
        <v>1251</v>
      </c>
      <c r="K44" s="74" t="s">
        <v>9451</v>
      </c>
      <c r="L44" s="74" t="s">
        <v>9686</v>
      </c>
      <c r="M44" s="74" t="s">
        <v>9662</v>
      </c>
      <c r="N44" s="74" t="s">
        <v>9454</v>
      </c>
      <c r="O44" s="74" t="s">
        <v>9510</v>
      </c>
      <c r="P44" s="74" t="s">
        <v>9456</v>
      </c>
      <c r="Q44" s="74" t="s">
        <v>9456</v>
      </c>
      <c r="R44" s="74" t="s">
        <v>1251</v>
      </c>
      <c r="S44" s="74" t="s">
        <v>9457</v>
      </c>
      <c r="T44" s="74" t="s">
        <v>9515</v>
      </c>
      <c r="U44" s="74" t="s">
        <v>9515</v>
      </c>
      <c r="V44" s="74" t="s">
        <v>9670</v>
      </c>
      <c r="W44" s="74" t="s">
        <v>9457</v>
      </c>
      <c r="X44" s="74" t="s">
        <v>9459</v>
      </c>
      <c r="Y44" s="74" t="s">
        <v>9457</v>
      </c>
      <c r="Z44" s="74" t="s">
        <v>1251</v>
      </c>
      <c r="AA44" s="74" t="s">
        <v>9460</v>
      </c>
      <c r="AB44" s="74" t="s">
        <v>9461</v>
      </c>
      <c r="AC44" s="74" t="s">
        <v>9462</v>
      </c>
      <c r="AD44" s="74" t="s">
        <v>9460</v>
      </c>
      <c r="AE44" s="74" t="s">
        <v>9457</v>
      </c>
      <c r="AF44" s="74" t="s">
        <v>1251</v>
      </c>
      <c r="AG44" s="74" t="s">
        <v>9472</v>
      </c>
      <c r="AH44" s="74" t="s">
        <v>9457</v>
      </c>
      <c r="AI44" s="74" t="s">
        <v>9463</v>
      </c>
      <c r="AJ44" s="74" t="s">
        <v>1251</v>
      </c>
      <c r="AK44" s="74" t="s">
        <v>1251</v>
      </c>
    </row>
    <row r="45" s="74" customFormat="1" hidden="1" spans="1:37">
      <c r="A45" s="74" t="s">
        <v>5161</v>
      </c>
      <c r="B45" s="77" t="str">
        <f>VLOOKUP(A45,'202303-非带宽'!H:H,1,FALSE)</f>
        <v>182315IDC00048</v>
      </c>
      <c r="D45" s="74" t="s">
        <v>9687</v>
      </c>
      <c r="E45" s="74" t="s">
        <v>9447</v>
      </c>
      <c r="F45" s="74" t="s">
        <v>9688</v>
      </c>
      <c r="G45" s="74" t="s">
        <v>9466</v>
      </c>
      <c r="H45" s="74" t="s">
        <v>4178</v>
      </c>
      <c r="I45" s="74" t="s">
        <v>9450</v>
      </c>
      <c r="J45" s="74" t="s">
        <v>1251</v>
      </c>
      <c r="K45" s="74" t="s">
        <v>9451</v>
      </c>
      <c r="L45" s="74" t="s">
        <v>9689</v>
      </c>
      <c r="M45" s="74" t="s">
        <v>9662</v>
      </c>
      <c r="N45" s="74" t="s">
        <v>9469</v>
      </c>
      <c r="O45" s="74" t="s">
        <v>9470</v>
      </c>
      <c r="P45" s="74" t="s">
        <v>9456</v>
      </c>
      <c r="Q45" s="74" t="s">
        <v>9456</v>
      </c>
      <c r="R45" s="74" t="s">
        <v>1251</v>
      </c>
      <c r="S45" s="74" t="s">
        <v>9457</v>
      </c>
      <c r="T45" s="74" t="s">
        <v>9612</v>
      </c>
      <c r="U45" s="74" t="s">
        <v>9612</v>
      </c>
      <c r="V45" s="74" t="s">
        <v>9690</v>
      </c>
      <c r="W45" s="74" t="s">
        <v>9457</v>
      </c>
      <c r="X45" s="74" t="s">
        <v>9459</v>
      </c>
      <c r="Y45" s="74" t="s">
        <v>9457</v>
      </c>
      <c r="Z45" s="74" t="s">
        <v>1251</v>
      </c>
      <c r="AA45" s="74" t="s">
        <v>9460</v>
      </c>
      <c r="AB45" s="74" t="s">
        <v>9461</v>
      </c>
      <c r="AC45" s="74" t="s">
        <v>9462</v>
      </c>
      <c r="AD45" s="74" t="s">
        <v>9460</v>
      </c>
      <c r="AE45" s="74" t="s">
        <v>9457</v>
      </c>
      <c r="AF45" s="74" t="s">
        <v>1251</v>
      </c>
      <c r="AG45" s="74" t="s">
        <v>9472</v>
      </c>
      <c r="AH45" s="74" t="s">
        <v>9457</v>
      </c>
      <c r="AI45" s="74" t="s">
        <v>9463</v>
      </c>
      <c r="AJ45" s="74" t="s">
        <v>1251</v>
      </c>
      <c r="AK45" s="74" t="s">
        <v>1251</v>
      </c>
    </row>
    <row r="46" s="74" customFormat="1" hidden="1" spans="1:37">
      <c r="A46" s="74" t="s">
        <v>2758</v>
      </c>
      <c r="B46" s="77" t="str">
        <f>VLOOKUP(A46,'202303-非带宽'!H:H,1,FALSE)</f>
        <v>182315IDC00043</v>
      </c>
      <c r="D46" s="74" t="s">
        <v>9691</v>
      </c>
      <c r="E46" s="74" t="s">
        <v>9447</v>
      </c>
      <c r="F46" s="74" t="s">
        <v>9692</v>
      </c>
      <c r="G46" s="74" t="s">
        <v>9449</v>
      </c>
      <c r="H46" s="74" t="s">
        <v>75</v>
      </c>
      <c r="I46" s="74" t="s">
        <v>9450</v>
      </c>
      <c r="J46" s="74" t="s">
        <v>1251</v>
      </c>
      <c r="K46" s="74" t="s">
        <v>9451</v>
      </c>
      <c r="L46" s="74" t="s">
        <v>9693</v>
      </c>
      <c r="M46" s="74" t="s">
        <v>9694</v>
      </c>
      <c r="N46" s="74" t="s">
        <v>9695</v>
      </c>
      <c r="O46" s="74" t="s">
        <v>9696</v>
      </c>
      <c r="P46" s="74" t="s">
        <v>9456</v>
      </c>
      <c r="Q46" s="74" t="s">
        <v>9456</v>
      </c>
      <c r="R46" s="74" t="s">
        <v>1251</v>
      </c>
      <c r="S46" s="74" t="s">
        <v>9457</v>
      </c>
      <c r="T46" s="74" t="s">
        <v>9697</v>
      </c>
      <c r="U46" s="74" t="s">
        <v>9697</v>
      </c>
      <c r="V46" s="74" t="s">
        <v>9698</v>
      </c>
      <c r="W46" s="74" t="s">
        <v>9457</v>
      </c>
      <c r="X46" s="74" t="s">
        <v>9459</v>
      </c>
      <c r="Y46" s="74" t="s">
        <v>9482</v>
      </c>
      <c r="Z46" s="74" t="s">
        <v>9699</v>
      </c>
      <c r="AA46" s="74" t="s">
        <v>9559</v>
      </c>
      <c r="AB46" s="74" t="s">
        <v>9461</v>
      </c>
      <c r="AC46" s="74" t="s">
        <v>9462</v>
      </c>
      <c r="AD46" s="74" t="s">
        <v>9559</v>
      </c>
      <c r="AE46" s="74" t="s">
        <v>9457</v>
      </c>
      <c r="AF46" s="74" t="s">
        <v>1251</v>
      </c>
      <c r="AG46" s="74" t="s">
        <v>6802</v>
      </c>
      <c r="AH46" s="74" t="s">
        <v>9457</v>
      </c>
      <c r="AI46" s="74" t="s">
        <v>9463</v>
      </c>
      <c r="AJ46" s="74" t="s">
        <v>1251</v>
      </c>
      <c r="AK46" s="74" t="s">
        <v>1251</v>
      </c>
    </row>
    <row r="47" spans="1:37">
      <c r="A47" s="75" t="s">
        <v>9700</v>
      </c>
      <c r="B47" s="78" t="e">
        <f>VLOOKUP(A47,'202303-非带宽'!H:H,1,FALSE)</f>
        <v>#N/A</v>
      </c>
      <c r="C47" s="75" t="s">
        <v>9701</v>
      </c>
      <c r="D47" s="75" t="s">
        <v>9702</v>
      </c>
      <c r="E47" s="75" t="s">
        <v>9447</v>
      </c>
      <c r="F47" s="75" t="s">
        <v>9703</v>
      </c>
      <c r="G47" s="75" t="s">
        <v>9466</v>
      </c>
      <c r="H47" s="75" t="s">
        <v>4178</v>
      </c>
      <c r="I47" s="75" t="s">
        <v>9450</v>
      </c>
      <c r="J47" s="75" t="s">
        <v>1251</v>
      </c>
      <c r="K47" s="75" t="s">
        <v>3529</v>
      </c>
      <c r="L47" s="75" t="s">
        <v>1251</v>
      </c>
      <c r="M47" s="75" t="s">
        <v>9704</v>
      </c>
      <c r="N47" s="75" t="s">
        <v>9469</v>
      </c>
      <c r="O47" s="75" t="s">
        <v>9469</v>
      </c>
      <c r="P47" s="75" t="s">
        <v>9456</v>
      </c>
      <c r="Q47" s="75" t="s">
        <v>9555</v>
      </c>
      <c r="R47" s="75" t="s">
        <v>1251</v>
      </c>
      <c r="S47" s="75" t="s">
        <v>9457</v>
      </c>
      <c r="T47" s="75" t="s">
        <v>9612</v>
      </c>
      <c r="U47" s="75" t="s">
        <v>9612</v>
      </c>
      <c r="V47" s="75" t="s">
        <v>9705</v>
      </c>
      <c r="W47" s="75" t="s">
        <v>9457</v>
      </c>
      <c r="X47" s="75" t="s">
        <v>9459</v>
      </c>
      <c r="Y47" s="75" t="s">
        <v>9482</v>
      </c>
      <c r="Z47" s="75" t="s">
        <v>9706</v>
      </c>
      <c r="AA47" s="75" t="s">
        <v>9460</v>
      </c>
      <c r="AB47" s="75" t="s">
        <v>9461</v>
      </c>
      <c r="AC47" s="75" t="s">
        <v>9462</v>
      </c>
      <c r="AD47" s="75" t="s">
        <v>9460</v>
      </c>
      <c r="AE47" s="75" t="s">
        <v>9457</v>
      </c>
      <c r="AF47" s="75" t="s">
        <v>1251</v>
      </c>
      <c r="AG47" s="75" t="s">
        <v>6802</v>
      </c>
      <c r="AH47" s="75" t="s">
        <v>9457</v>
      </c>
      <c r="AI47" s="75" t="s">
        <v>9463</v>
      </c>
      <c r="AJ47" s="75" t="s">
        <v>1251</v>
      </c>
      <c r="AK47" s="75" t="s">
        <v>1251</v>
      </c>
    </row>
    <row r="48" spans="1:37">
      <c r="A48" s="75" t="s">
        <v>9707</v>
      </c>
      <c r="B48" s="78" t="e">
        <f>VLOOKUP(A48,'202303-非带宽'!H:H,1,FALSE)</f>
        <v>#N/A</v>
      </c>
      <c r="C48" s="75" t="s">
        <v>9600</v>
      </c>
      <c r="D48" s="75" t="s">
        <v>9708</v>
      </c>
      <c r="E48" s="75" t="s">
        <v>9447</v>
      </c>
      <c r="F48" s="75" t="s">
        <v>9709</v>
      </c>
      <c r="G48" s="75" t="s">
        <v>9604</v>
      </c>
      <c r="H48" s="75" t="s">
        <v>9604</v>
      </c>
      <c r="I48" s="75" t="s">
        <v>9450</v>
      </c>
      <c r="J48" s="75" t="s">
        <v>1251</v>
      </c>
      <c r="K48" s="75" t="s">
        <v>9451</v>
      </c>
      <c r="L48" s="75" t="s">
        <v>9622</v>
      </c>
      <c r="M48" s="75" t="s">
        <v>9710</v>
      </c>
      <c r="N48" s="75" t="s">
        <v>7271</v>
      </c>
      <c r="O48" s="75" t="s">
        <v>9711</v>
      </c>
      <c r="P48" s="75" t="s">
        <v>9456</v>
      </c>
      <c r="Q48" s="75" t="s">
        <v>9456</v>
      </c>
      <c r="R48" s="75" t="s">
        <v>1251</v>
      </c>
      <c r="S48" s="75" t="s">
        <v>9457</v>
      </c>
      <c r="T48" s="75" t="s">
        <v>9552</v>
      </c>
      <c r="U48" s="75" t="s">
        <v>9552</v>
      </c>
      <c r="V48" s="75" t="s">
        <v>1251</v>
      </c>
      <c r="W48" s="75" t="s">
        <v>9457</v>
      </c>
      <c r="X48" s="75" t="s">
        <v>9459</v>
      </c>
      <c r="Y48" s="75" t="s">
        <v>9457</v>
      </c>
      <c r="Z48" s="75" t="s">
        <v>1251</v>
      </c>
      <c r="AA48" s="75" t="s">
        <v>9607</v>
      </c>
      <c r="AB48" s="75" t="s">
        <v>9462</v>
      </c>
      <c r="AC48" s="75" t="s">
        <v>9462</v>
      </c>
      <c r="AD48" s="75" t="s">
        <v>9607</v>
      </c>
      <c r="AE48" s="75" t="s">
        <v>9457</v>
      </c>
      <c r="AF48" s="75" t="s">
        <v>1251</v>
      </c>
      <c r="AG48" s="75" t="s">
        <v>6802</v>
      </c>
      <c r="AH48" s="75" t="s">
        <v>9457</v>
      </c>
      <c r="AI48" s="75" t="s">
        <v>9463</v>
      </c>
      <c r="AJ48" s="75" t="s">
        <v>1251</v>
      </c>
      <c r="AK48" s="75" t="s">
        <v>1251</v>
      </c>
    </row>
    <row r="49" spans="1:37">
      <c r="A49" s="75" t="s">
        <v>9712</v>
      </c>
      <c r="B49" s="78" t="e">
        <f>VLOOKUP(A49,'202303-非带宽'!H:H,1,FALSE)</f>
        <v>#N/A</v>
      </c>
      <c r="C49" s="75" t="s">
        <v>9600</v>
      </c>
      <c r="D49" s="75" t="s">
        <v>9713</v>
      </c>
      <c r="E49" s="75" t="s">
        <v>9447</v>
      </c>
      <c r="F49" s="75" t="s">
        <v>9714</v>
      </c>
      <c r="G49" s="75" t="s">
        <v>9604</v>
      </c>
      <c r="H49" s="75" t="s">
        <v>9604</v>
      </c>
      <c r="I49" s="75" t="s">
        <v>9450</v>
      </c>
      <c r="J49" s="75" t="s">
        <v>1251</v>
      </c>
      <c r="K49" s="75" t="s">
        <v>9451</v>
      </c>
      <c r="L49" s="75" t="s">
        <v>9622</v>
      </c>
      <c r="M49" s="75" t="s">
        <v>9715</v>
      </c>
      <c r="N49" s="75" t="s">
        <v>9716</v>
      </c>
      <c r="O49" s="75" t="s">
        <v>9717</v>
      </c>
      <c r="P49" s="75" t="s">
        <v>9456</v>
      </c>
      <c r="Q49" s="75" t="s">
        <v>9456</v>
      </c>
      <c r="R49" s="75" t="s">
        <v>1251</v>
      </c>
      <c r="S49" s="75" t="s">
        <v>9457</v>
      </c>
      <c r="T49" s="75" t="s">
        <v>9718</v>
      </c>
      <c r="U49" s="75" t="s">
        <v>9718</v>
      </c>
      <c r="V49" s="75" t="s">
        <v>1251</v>
      </c>
      <c r="W49" s="75" t="s">
        <v>9457</v>
      </c>
      <c r="X49" s="75" t="s">
        <v>9459</v>
      </c>
      <c r="Y49" s="75" t="s">
        <v>9457</v>
      </c>
      <c r="Z49" s="75" t="s">
        <v>1251</v>
      </c>
      <c r="AA49" s="75" t="s">
        <v>9607</v>
      </c>
      <c r="AB49" s="75" t="s">
        <v>9462</v>
      </c>
      <c r="AC49" s="75" t="s">
        <v>9462</v>
      </c>
      <c r="AD49" s="75" t="s">
        <v>9607</v>
      </c>
      <c r="AE49" s="75" t="s">
        <v>9482</v>
      </c>
      <c r="AF49" s="75" t="s">
        <v>1251</v>
      </c>
      <c r="AG49" s="75" t="s">
        <v>6802</v>
      </c>
      <c r="AH49" s="75" t="s">
        <v>9457</v>
      </c>
      <c r="AI49" s="75" t="s">
        <v>9500</v>
      </c>
      <c r="AJ49" s="75" t="s">
        <v>9719</v>
      </c>
      <c r="AK49" s="75" t="s">
        <v>1251</v>
      </c>
    </row>
    <row r="50" s="74" customFormat="1" hidden="1" spans="1:37">
      <c r="A50" s="74" t="s">
        <v>2755</v>
      </c>
      <c r="B50" s="77" t="str">
        <f>VLOOKUP(A50,'202303-非带宽'!H:H,1,FALSE)</f>
        <v>182315IDC00031</v>
      </c>
      <c r="D50" s="74" t="s">
        <v>9691</v>
      </c>
      <c r="E50" s="74" t="s">
        <v>9447</v>
      </c>
      <c r="F50" s="74" t="s">
        <v>9720</v>
      </c>
      <c r="G50" s="74" t="s">
        <v>9449</v>
      </c>
      <c r="H50" s="74" t="s">
        <v>75</v>
      </c>
      <c r="I50" s="74" t="s">
        <v>9450</v>
      </c>
      <c r="J50" s="74" t="s">
        <v>1251</v>
      </c>
      <c r="K50" s="74" t="s">
        <v>9451</v>
      </c>
      <c r="L50" s="74" t="s">
        <v>9721</v>
      </c>
      <c r="M50" s="74" t="s">
        <v>9722</v>
      </c>
      <c r="N50" s="74" t="s">
        <v>9723</v>
      </c>
      <c r="O50" s="74" t="s">
        <v>9510</v>
      </c>
      <c r="P50" s="74" t="s">
        <v>9456</v>
      </c>
      <c r="Q50" s="74" t="s">
        <v>9456</v>
      </c>
      <c r="R50" s="74" t="s">
        <v>1251</v>
      </c>
      <c r="S50" s="74" t="s">
        <v>9457</v>
      </c>
      <c r="T50" s="74" t="s">
        <v>9697</v>
      </c>
      <c r="U50" s="74" t="s">
        <v>9697</v>
      </c>
      <c r="V50" s="74" t="s">
        <v>1251</v>
      </c>
      <c r="W50" s="74" t="s">
        <v>9457</v>
      </c>
      <c r="X50" s="74" t="s">
        <v>9459</v>
      </c>
      <c r="Y50" s="74" t="s">
        <v>9457</v>
      </c>
      <c r="Z50" s="74" t="s">
        <v>1251</v>
      </c>
      <c r="AA50" s="74" t="s">
        <v>9559</v>
      </c>
      <c r="AB50" s="74" t="s">
        <v>9461</v>
      </c>
      <c r="AC50" s="74" t="s">
        <v>9462</v>
      </c>
      <c r="AD50" s="74" t="s">
        <v>9559</v>
      </c>
      <c r="AE50" s="74" t="s">
        <v>9457</v>
      </c>
      <c r="AF50" s="74" t="s">
        <v>1251</v>
      </c>
      <c r="AG50" s="74" t="s">
        <v>6802</v>
      </c>
      <c r="AH50" s="74" t="s">
        <v>9457</v>
      </c>
      <c r="AI50" s="74" t="s">
        <v>9463</v>
      </c>
      <c r="AJ50" s="74" t="s">
        <v>1251</v>
      </c>
      <c r="AK50" s="74" t="s">
        <v>1251</v>
      </c>
    </row>
  </sheetData>
  <autoFilter ref="A1:AK50">
    <filterColumn colId="1">
      <customFilters>
        <customFilter operator="equal" val="#N/A"/>
      </customFilters>
    </filterColumn>
    <extLst/>
  </autoFilter>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158"/>
  <sheetViews>
    <sheetView workbookViewId="0">
      <selection activeCell="G145" sqref="G145"/>
    </sheetView>
  </sheetViews>
  <sheetFormatPr defaultColWidth="9" defaultRowHeight="14"/>
  <cols>
    <col min="7" max="7" width="10.5833333333333" customWidth="1"/>
    <col min="14" max="14" width="10.0833333333333" customWidth="1"/>
    <col min="18" max="18" width="15.0833333333333" customWidth="1"/>
  </cols>
  <sheetData>
    <row r="1" spans="1:3">
      <c r="A1" t="s">
        <v>9724</v>
      </c>
      <c r="B1" s="2" t="s">
        <v>9725</v>
      </c>
      <c r="C1" s="2" t="s">
        <v>9726</v>
      </c>
    </row>
    <row r="2" spans="2:3">
      <c r="B2" s="2" t="s">
        <v>9727</v>
      </c>
      <c r="C2" s="2" t="s">
        <v>9728</v>
      </c>
    </row>
    <row r="3" spans="2:3">
      <c r="B3" s="11"/>
      <c r="C3" s="11"/>
    </row>
    <row r="4" spans="2:3">
      <c r="B4" s="11"/>
      <c r="C4" s="11"/>
    </row>
    <row r="5" spans="2:3">
      <c r="B5" s="11"/>
      <c r="C5" s="11"/>
    </row>
    <row r="6" spans="2:3">
      <c r="B6" s="11"/>
      <c r="C6" s="11"/>
    </row>
    <row r="7" spans="2:3">
      <c r="B7" s="11"/>
      <c r="C7" s="11"/>
    </row>
    <row r="8" spans="2:3">
      <c r="B8" s="11"/>
      <c r="C8" s="11"/>
    </row>
    <row r="9" spans="2:3">
      <c r="B9" s="11"/>
      <c r="C9" s="11"/>
    </row>
    <row r="10" spans="2:3">
      <c r="B10" s="11"/>
      <c r="C10" s="11"/>
    </row>
    <row r="11" spans="2:3">
      <c r="B11" s="11"/>
      <c r="C11" s="11"/>
    </row>
    <row r="12" spans="2:3">
      <c r="B12" s="11"/>
      <c r="C12" s="11"/>
    </row>
    <row r="13" spans="2:3">
      <c r="B13" s="11"/>
      <c r="C13" s="11"/>
    </row>
    <row r="14" spans="2:3">
      <c r="B14" s="11"/>
      <c r="C14" s="11"/>
    </row>
    <row r="15" spans="2:3">
      <c r="B15" s="11"/>
      <c r="C15" s="11"/>
    </row>
    <row r="16" spans="2:3">
      <c r="B16" s="11"/>
      <c r="C16" s="11"/>
    </row>
    <row r="17" spans="2:3">
      <c r="B17" s="11"/>
      <c r="C17" s="11"/>
    </row>
    <row r="18" spans="2:3">
      <c r="B18" s="11"/>
      <c r="C18" s="11"/>
    </row>
    <row r="19" spans="2:3">
      <c r="B19" s="11"/>
      <c r="C19" s="11"/>
    </row>
    <row r="20" spans="2:3">
      <c r="B20" s="11"/>
      <c r="C20" s="11"/>
    </row>
    <row r="21" spans="2:3">
      <c r="B21" s="11"/>
      <c r="C21" s="11"/>
    </row>
    <row r="22" spans="2:3">
      <c r="B22" s="11"/>
      <c r="C22" s="11"/>
    </row>
    <row r="23" spans="2:3">
      <c r="B23" s="11"/>
      <c r="C23" s="11"/>
    </row>
    <row r="24" spans="2:3">
      <c r="B24" s="11"/>
      <c r="C24" s="11"/>
    </row>
    <row r="25" spans="2:3">
      <c r="B25" s="11"/>
      <c r="C25" s="11"/>
    </row>
    <row r="26" spans="2:3">
      <c r="B26" s="11"/>
      <c r="C26" s="11"/>
    </row>
    <row r="27" spans="2:3">
      <c r="B27" s="11"/>
      <c r="C27" s="11"/>
    </row>
    <row r="28" spans="2:3">
      <c r="B28" s="11"/>
      <c r="C28" s="11"/>
    </row>
    <row r="29" spans="2:3">
      <c r="B29" s="11"/>
      <c r="C29" s="11"/>
    </row>
    <row r="30" spans="2:3">
      <c r="B30" s="11"/>
      <c r="C30" s="11"/>
    </row>
    <row r="31" spans="1:2">
      <c r="A31" t="s">
        <v>9729</v>
      </c>
      <c r="B31" t="s">
        <v>8054</v>
      </c>
    </row>
    <row r="32" s="8" customFormat="1" ht="15" customHeight="1" spans="1:25">
      <c r="A32" s="12" t="s">
        <v>0</v>
      </c>
      <c r="B32" s="12" t="s">
        <v>1</v>
      </c>
      <c r="C32" s="12" t="s">
        <v>2</v>
      </c>
      <c r="D32" s="13" t="s">
        <v>3</v>
      </c>
      <c r="E32" s="14" t="s">
        <v>4</v>
      </c>
      <c r="F32" s="12" t="s">
        <v>5</v>
      </c>
      <c r="G32" s="12" t="s">
        <v>6</v>
      </c>
      <c r="H32" s="15" t="s">
        <v>7</v>
      </c>
      <c r="I32" s="15" t="s">
        <v>8</v>
      </c>
      <c r="J32" s="20" t="s">
        <v>9</v>
      </c>
      <c r="K32" s="20" t="s">
        <v>10</v>
      </c>
      <c r="L32" s="20" t="s">
        <v>11</v>
      </c>
      <c r="M32" s="20" t="s">
        <v>12</v>
      </c>
      <c r="N32" s="21" t="s">
        <v>13</v>
      </c>
      <c r="O32" s="20" t="s">
        <v>14</v>
      </c>
      <c r="P32" s="22" t="s">
        <v>15</v>
      </c>
      <c r="Q32" s="22" t="s">
        <v>16</v>
      </c>
      <c r="R32" s="22" t="s">
        <v>17</v>
      </c>
      <c r="S32" s="30" t="s">
        <v>18</v>
      </c>
      <c r="T32" s="31" t="s">
        <v>19</v>
      </c>
      <c r="U32" s="32" t="s">
        <v>20</v>
      </c>
      <c r="V32" s="33" t="s">
        <v>21</v>
      </c>
      <c r="W32" s="34" t="s">
        <v>22</v>
      </c>
      <c r="X32" s="21" t="s">
        <v>23</v>
      </c>
      <c r="Y32" s="21" t="s">
        <v>24</v>
      </c>
    </row>
    <row r="33" s="9" customFormat="1" ht="15" customHeight="1" spans="1:25">
      <c r="A33" s="16" t="s">
        <v>401</v>
      </c>
      <c r="B33" s="17" t="s">
        <v>6971</v>
      </c>
      <c r="C33" s="17" t="s">
        <v>7971</v>
      </c>
      <c r="D33" s="17" t="s">
        <v>881</v>
      </c>
      <c r="E33" s="18" t="s">
        <v>8054</v>
      </c>
      <c r="F33" s="16" t="s">
        <v>8055</v>
      </c>
      <c r="G33" s="16" t="s">
        <v>88</v>
      </c>
      <c r="H33" s="19" t="s">
        <v>8056</v>
      </c>
      <c r="I33" s="23" t="e">
        <v>#N/A</v>
      </c>
      <c r="J33" s="24" t="s">
        <v>126</v>
      </c>
      <c r="K33" s="16" t="s">
        <v>8057</v>
      </c>
      <c r="L33" s="25"/>
      <c r="M33" s="26" t="s">
        <v>8058</v>
      </c>
      <c r="N33" s="27">
        <v>43306</v>
      </c>
      <c r="O33" s="28" t="s">
        <v>92</v>
      </c>
      <c r="P33" s="29">
        <v>4700</v>
      </c>
      <c r="Q33" s="35">
        <v>3</v>
      </c>
      <c r="R33" s="36">
        <v>14100</v>
      </c>
      <c r="S33" s="37">
        <v>202303</v>
      </c>
      <c r="T33" s="38" t="s">
        <v>8059</v>
      </c>
      <c r="U33" s="39"/>
      <c r="V33" s="40"/>
      <c r="W33" s="41"/>
      <c r="X33" s="28">
        <v>44409</v>
      </c>
      <c r="Y33" s="28">
        <v>45138</v>
      </c>
    </row>
    <row r="35" spans="2:2">
      <c r="B35" t="s">
        <v>9730</v>
      </c>
    </row>
    <row r="53" spans="2:2">
      <c r="B53" t="s">
        <v>9731</v>
      </c>
    </row>
    <row r="69" spans="1:2">
      <c r="A69" s="576" t="s">
        <v>9732</v>
      </c>
      <c r="B69" t="s">
        <v>9733</v>
      </c>
    </row>
    <row r="71" s="8" customFormat="1" ht="15" customHeight="1" spans="1:25">
      <c r="A71" s="12" t="s">
        <v>0</v>
      </c>
      <c r="B71" s="12" t="s">
        <v>1</v>
      </c>
      <c r="C71" s="12" t="s">
        <v>2</v>
      </c>
      <c r="D71" s="13" t="s">
        <v>3</v>
      </c>
      <c r="E71" s="14" t="s">
        <v>4</v>
      </c>
      <c r="F71" s="12" t="s">
        <v>5</v>
      </c>
      <c r="G71" s="12" t="s">
        <v>6</v>
      </c>
      <c r="H71" s="15" t="s">
        <v>7</v>
      </c>
      <c r="I71" s="46" t="s">
        <v>8</v>
      </c>
      <c r="J71" s="20" t="s">
        <v>9</v>
      </c>
      <c r="K71" s="20" t="s">
        <v>10</v>
      </c>
      <c r="L71" s="20" t="s">
        <v>11</v>
      </c>
      <c r="M71" s="20" t="s">
        <v>12</v>
      </c>
      <c r="N71" s="21" t="s">
        <v>13</v>
      </c>
      <c r="O71" s="20" t="s">
        <v>14</v>
      </c>
      <c r="P71" s="22" t="s">
        <v>15</v>
      </c>
      <c r="Q71" s="22" t="s">
        <v>16</v>
      </c>
      <c r="R71" s="22" t="s">
        <v>17</v>
      </c>
      <c r="S71" s="30" t="s">
        <v>18</v>
      </c>
      <c r="T71" s="31" t="s">
        <v>19</v>
      </c>
      <c r="U71" s="32" t="s">
        <v>20</v>
      </c>
      <c r="V71" s="33" t="s">
        <v>21</v>
      </c>
      <c r="W71" s="34" t="s">
        <v>22</v>
      </c>
      <c r="X71" s="21" t="s">
        <v>23</v>
      </c>
      <c r="Y71" s="21" t="s">
        <v>24</v>
      </c>
    </row>
    <row r="72" s="10" customFormat="1" ht="15" customHeight="1" spans="1:25">
      <c r="A72" s="42" t="s">
        <v>399</v>
      </c>
      <c r="B72" s="43" t="s">
        <v>7432</v>
      </c>
      <c r="C72" s="43" t="s">
        <v>2833</v>
      </c>
      <c r="D72" s="43" t="s">
        <v>6905</v>
      </c>
      <c r="E72" s="44" t="s">
        <v>7735</v>
      </c>
      <c r="F72" s="42" t="s">
        <v>7736</v>
      </c>
      <c r="G72" s="42" t="s">
        <v>88</v>
      </c>
      <c r="H72" s="45" t="s">
        <v>7737</v>
      </c>
      <c r="I72" s="47" t="e">
        <v>#N/A</v>
      </c>
      <c r="J72" s="48" t="s">
        <v>2256</v>
      </c>
      <c r="K72" s="42" t="s">
        <v>5480</v>
      </c>
      <c r="L72" s="49"/>
      <c r="M72" s="50" t="s">
        <v>7738</v>
      </c>
      <c r="N72" s="27">
        <v>42320</v>
      </c>
      <c r="O72" s="51" t="s">
        <v>127</v>
      </c>
      <c r="P72" s="52">
        <v>5000</v>
      </c>
      <c r="Q72" s="53">
        <v>5</v>
      </c>
      <c r="R72" s="54">
        <v>25000</v>
      </c>
      <c r="S72" s="55">
        <v>202303</v>
      </c>
      <c r="T72" s="56"/>
      <c r="U72" s="57"/>
      <c r="V72" s="58"/>
      <c r="W72" s="59"/>
      <c r="X72" s="51"/>
      <c r="Y72" s="51"/>
    </row>
    <row r="73" s="10" customFormat="1" ht="15" customHeight="1" spans="1:25">
      <c r="A73" s="42" t="s">
        <v>399</v>
      </c>
      <c r="B73" s="43" t="s">
        <v>7432</v>
      </c>
      <c r="C73" s="43" t="s">
        <v>2833</v>
      </c>
      <c r="D73" s="43" t="s">
        <v>6905</v>
      </c>
      <c r="E73" s="44" t="s">
        <v>7735</v>
      </c>
      <c r="F73" s="42" t="s">
        <v>7736</v>
      </c>
      <c r="G73" s="42" t="s">
        <v>88</v>
      </c>
      <c r="H73" s="45" t="s">
        <v>7737</v>
      </c>
      <c r="I73" s="47" t="e">
        <v>#N/A</v>
      </c>
      <c r="J73" s="48" t="s">
        <v>2256</v>
      </c>
      <c r="K73" s="42" t="s">
        <v>5480</v>
      </c>
      <c r="L73" s="49"/>
      <c r="M73" s="50" t="s">
        <v>7738</v>
      </c>
      <c r="N73" s="27">
        <v>44773</v>
      </c>
      <c r="O73" s="51" t="s">
        <v>127</v>
      </c>
      <c r="P73" s="52">
        <v>5000</v>
      </c>
      <c r="Q73" s="53">
        <v>-5</v>
      </c>
      <c r="R73" s="54">
        <v>-25000</v>
      </c>
      <c r="S73" s="55">
        <v>202303</v>
      </c>
      <c r="T73" s="56" t="s">
        <v>7739</v>
      </c>
      <c r="U73" s="57"/>
      <c r="V73" s="58"/>
      <c r="W73" s="59"/>
      <c r="X73" s="51"/>
      <c r="Y73" s="51"/>
    </row>
    <row r="74" s="10" customFormat="1" ht="15" customHeight="1" spans="1:25">
      <c r="A74" s="42" t="s">
        <v>399</v>
      </c>
      <c r="B74" s="43" t="s">
        <v>7432</v>
      </c>
      <c r="C74" s="43" t="s">
        <v>2833</v>
      </c>
      <c r="D74" s="43" t="s">
        <v>6905</v>
      </c>
      <c r="E74" s="44" t="s">
        <v>7735</v>
      </c>
      <c r="F74" s="42" t="s">
        <v>7736</v>
      </c>
      <c r="G74" s="42" t="s">
        <v>88</v>
      </c>
      <c r="H74" s="45" t="s">
        <v>7737</v>
      </c>
      <c r="I74" s="47" t="e">
        <v>#N/A</v>
      </c>
      <c r="J74" s="48" t="s">
        <v>2256</v>
      </c>
      <c r="K74" s="42" t="s">
        <v>2834</v>
      </c>
      <c r="L74" s="49" t="s">
        <v>7740</v>
      </c>
      <c r="M74" s="50" t="s">
        <v>7741</v>
      </c>
      <c r="N74" s="27">
        <v>43459</v>
      </c>
      <c r="O74" s="51" t="s">
        <v>127</v>
      </c>
      <c r="P74" s="52">
        <v>5000</v>
      </c>
      <c r="Q74" s="53">
        <v>6</v>
      </c>
      <c r="R74" s="54">
        <v>30000</v>
      </c>
      <c r="S74" s="55">
        <v>202303</v>
      </c>
      <c r="T74" s="56"/>
      <c r="U74" s="57"/>
      <c r="V74" s="58"/>
      <c r="W74" s="59"/>
      <c r="X74" s="51"/>
      <c r="Y74" s="51"/>
    </row>
    <row r="75" s="10" customFormat="1" ht="15" customHeight="1" spans="1:25">
      <c r="A75" s="42" t="s">
        <v>399</v>
      </c>
      <c r="B75" s="43" t="s">
        <v>7432</v>
      </c>
      <c r="C75" s="43" t="s">
        <v>2833</v>
      </c>
      <c r="D75" s="43" t="s">
        <v>6905</v>
      </c>
      <c r="E75" s="44" t="s">
        <v>7735</v>
      </c>
      <c r="F75" s="42" t="s">
        <v>7736</v>
      </c>
      <c r="G75" s="42" t="s">
        <v>88</v>
      </c>
      <c r="H75" s="45" t="s">
        <v>7737</v>
      </c>
      <c r="I75" s="47" t="e">
        <v>#N/A</v>
      </c>
      <c r="J75" s="48" t="s">
        <v>2256</v>
      </c>
      <c r="K75" s="42" t="s">
        <v>2834</v>
      </c>
      <c r="L75" s="49" t="s">
        <v>7742</v>
      </c>
      <c r="M75" s="50" t="s">
        <v>7741</v>
      </c>
      <c r="N75" s="27">
        <v>43499</v>
      </c>
      <c r="O75" s="51" t="s">
        <v>127</v>
      </c>
      <c r="P75" s="52">
        <v>5000</v>
      </c>
      <c r="Q75" s="53">
        <v>6</v>
      </c>
      <c r="R75" s="54">
        <v>30000</v>
      </c>
      <c r="S75" s="55">
        <v>202303</v>
      </c>
      <c r="T75" s="56"/>
      <c r="U75" s="57"/>
      <c r="V75" s="58"/>
      <c r="W75" s="59"/>
      <c r="X75" s="51"/>
      <c r="Y75" s="51"/>
    </row>
    <row r="76" s="10" customFormat="1" ht="15" customHeight="1" spans="1:25">
      <c r="A76" s="42" t="s">
        <v>399</v>
      </c>
      <c r="B76" s="43" t="s">
        <v>7432</v>
      </c>
      <c r="C76" s="43" t="s">
        <v>2833</v>
      </c>
      <c r="D76" s="43" t="s">
        <v>6905</v>
      </c>
      <c r="E76" s="44" t="s">
        <v>7735</v>
      </c>
      <c r="F76" s="42" t="s">
        <v>7736</v>
      </c>
      <c r="G76" s="42" t="s">
        <v>88</v>
      </c>
      <c r="H76" s="45" t="s">
        <v>7737</v>
      </c>
      <c r="I76" s="47" t="e">
        <v>#N/A</v>
      </c>
      <c r="J76" s="48" t="s">
        <v>2256</v>
      </c>
      <c r="K76" s="42" t="s">
        <v>2834</v>
      </c>
      <c r="L76" s="49" t="s">
        <v>7742</v>
      </c>
      <c r="M76" s="50" t="s">
        <v>7741</v>
      </c>
      <c r="N76" s="27">
        <v>43767</v>
      </c>
      <c r="O76" s="51" t="s">
        <v>127</v>
      </c>
      <c r="P76" s="52">
        <v>5000</v>
      </c>
      <c r="Q76" s="53">
        <v>2</v>
      </c>
      <c r="R76" s="54">
        <v>10000</v>
      </c>
      <c r="S76" s="55">
        <v>202303</v>
      </c>
      <c r="T76" s="56" t="s">
        <v>7743</v>
      </c>
      <c r="U76" s="57"/>
      <c r="V76" s="58"/>
      <c r="W76" s="59"/>
      <c r="X76" s="51"/>
      <c r="Y76" s="51"/>
    </row>
    <row r="77" s="10" customFormat="1" ht="15" customHeight="1" spans="1:25">
      <c r="A77" s="42" t="s">
        <v>399</v>
      </c>
      <c r="B77" s="43" t="s">
        <v>7432</v>
      </c>
      <c r="C77" s="43" t="s">
        <v>2833</v>
      </c>
      <c r="D77" s="43" t="s">
        <v>6905</v>
      </c>
      <c r="E77" s="44" t="s">
        <v>7735</v>
      </c>
      <c r="F77" s="42" t="s">
        <v>7736</v>
      </c>
      <c r="G77" s="42" t="s">
        <v>88</v>
      </c>
      <c r="H77" s="45" t="s">
        <v>7737</v>
      </c>
      <c r="I77" s="47" t="e">
        <v>#N/A</v>
      </c>
      <c r="J77" s="48" t="s">
        <v>2256</v>
      </c>
      <c r="K77" s="42" t="s">
        <v>2834</v>
      </c>
      <c r="L77" s="49" t="s">
        <v>7742</v>
      </c>
      <c r="M77" s="50" t="s">
        <v>7741</v>
      </c>
      <c r="N77" s="27">
        <v>44698</v>
      </c>
      <c r="O77" s="51" t="s">
        <v>127</v>
      </c>
      <c r="P77" s="52">
        <v>5000</v>
      </c>
      <c r="Q77" s="53">
        <v>-2</v>
      </c>
      <c r="R77" s="54">
        <v>-10000</v>
      </c>
      <c r="S77" s="55">
        <v>202303</v>
      </c>
      <c r="T77" s="56" t="s">
        <v>7744</v>
      </c>
      <c r="U77" s="57"/>
      <c r="V77" s="58"/>
      <c r="W77" s="59"/>
      <c r="X77" s="51"/>
      <c r="Y77" s="51"/>
    </row>
    <row r="78" s="10" customFormat="1" ht="15" customHeight="1" spans="1:25">
      <c r="A78" s="42" t="s">
        <v>399</v>
      </c>
      <c r="B78" s="43" t="s">
        <v>7432</v>
      </c>
      <c r="C78" s="43" t="s">
        <v>2833</v>
      </c>
      <c r="D78" s="43" t="s">
        <v>6905</v>
      </c>
      <c r="E78" s="44" t="s">
        <v>7735</v>
      </c>
      <c r="F78" s="42" t="s">
        <v>7736</v>
      </c>
      <c r="G78" s="42" t="s">
        <v>88</v>
      </c>
      <c r="H78" s="45" t="s">
        <v>7737</v>
      </c>
      <c r="I78" s="47" t="e">
        <v>#N/A</v>
      </c>
      <c r="J78" s="48" t="s">
        <v>2256</v>
      </c>
      <c r="K78" s="42" t="s">
        <v>2834</v>
      </c>
      <c r="L78" s="49" t="s">
        <v>7740</v>
      </c>
      <c r="M78" s="50" t="s">
        <v>7741</v>
      </c>
      <c r="N78" s="27">
        <v>44700</v>
      </c>
      <c r="O78" s="51" t="s">
        <v>127</v>
      </c>
      <c r="P78" s="52">
        <v>5000</v>
      </c>
      <c r="Q78" s="53">
        <v>2</v>
      </c>
      <c r="R78" s="54">
        <v>10000</v>
      </c>
      <c r="S78" s="55">
        <v>202303</v>
      </c>
      <c r="T78" s="56" t="s">
        <v>7745</v>
      </c>
      <c r="U78" s="57"/>
      <c r="V78" s="58"/>
      <c r="W78" s="59"/>
      <c r="X78" s="51"/>
      <c r="Y78" s="51"/>
    </row>
    <row r="81" spans="2:2">
      <c r="B81" t="s">
        <v>9730</v>
      </c>
    </row>
    <row r="98" spans="1:2">
      <c r="A98" s="576" t="s">
        <v>9734</v>
      </c>
      <c r="B98" t="s">
        <v>7944</v>
      </c>
    </row>
    <row r="100" spans="2:2">
      <c r="B100" t="s">
        <v>9730</v>
      </c>
    </row>
    <row r="119" spans="1:2">
      <c r="A119" s="3">
        <v>2</v>
      </c>
      <c r="B119" s="3" t="s">
        <v>9735</v>
      </c>
    </row>
    <row r="121" spans="2:2">
      <c r="B121" t="s">
        <v>9736</v>
      </c>
    </row>
    <row r="138" s="8" customFormat="1" ht="15" customHeight="1" spans="1:25">
      <c r="A138" s="12" t="s">
        <v>0</v>
      </c>
      <c r="B138" s="12" t="s">
        <v>1</v>
      </c>
      <c r="C138" s="12" t="s">
        <v>2</v>
      </c>
      <c r="D138" s="13" t="s">
        <v>3</v>
      </c>
      <c r="E138" s="14" t="s">
        <v>4</v>
      </c>
      <c r="F138" s="12" t="s">
        <v>5</v>
      </c>
      <c r="G138" s="12" t="s">
        <v>6</v>
      </c>
      <c r="H138" s="15" t="s">
        <v>7</v>
      </c>
      <c r="I138" s="46" t="s">
        <v>8</v>
      </c>
      <c r="J138" s="20" t="s">
        <v>9</v>
      </c>
      <c r="K138" s="20" t="s">
        <v>10</v>
      </c>
      <c r="L138" s="20" t="s">
        <v>11</v>
      </c>
      <c r="M138" s="20" t="s">
        <v>12</v>
      </c>
      <c r="N138" s="21" t="s">
        <v>13</v>
      </c>
      <c r="O138" s="20" t="s">
        <v>14</v>
      </c>
      <c r="P138" s="22" t="s">
        <v>15</v>
      </c>
      <c r="Q138" s="22" t="s">
        <v>16</v>
      </c>
      <c r="R138" s="22" t="s">
        <v>17</v>
      </c>
      <c r="S138" s="30" t="s">
        <v>18</v>
      </c>
      <c r="T138" s="31" t="s">
        <v>19</v>
      </c>
      <c r="U138" s="32" t="s">
        <v>20</v>
      </c>
      <c r="V138" s="33" t="s">
        <v>21</v>
      </c>
      <c r="W138" s="34" t="s">
        <v>22</v>
      </c>
      <c r="X138" s="21" t="s">
        <v>23</v>
      </c>
      <c r="Y138" s="21" t="s">
        <v>24</v>
      </c>
    </row>
    <row r="139" s="10" customFormat="1" ht="15" customHeight="1" spans="1:25">
      <c r="A139" s="60" t="s">
        <v>399</v>
      </c>
      <c r="B139" s="61" t="s">
        <v>62</v>
      </c>
      <c r="C139" s="62" t="s">
        <v>217</v>
      </c>
      <c r="D139" s="60" t="s">
        <v>566</v>
      </c>
      <c r="E139" s="63" t="s">
        <v>2079</v>
      </c>
      <c r="F139" s="60" t="s">
        <v>2080</v>
      </c>
      <c r="G139" s="60" t="s">
        <v>88</v>
      </c>
      <c r="H139" s="45" t="s">
        <v>2165</v>
      </c>
      <c r="I139" s="47" t="e">
        <v>#N/A</v>
      </c>
      <c r="J139" s="65" t="s">
        <v>126</v>
      </c>
      <c r="K139" s="62" t="s">
        <v>2174</v>
      </c>
      <c r="L139" s="66" t="s">
        <v>2175</v>
      </c>
      <c r="M139" s="50" t="s">
        <v>2167</v>
      </c>
      <c r="N139" s="51">
        <v>44013</v>
      </c>
      <c r="O139" s="51" t="s">
        <v>127</v>
      </c>
      <c r="P139" s="67">
        <v>5000</v>
      </c>
      <c r="Q139" s="68">
        <v>3</v>
      </c>
      <c r="R139" s="69">
        <v>15000</v>
      </c>
      <c r="S139" s="70">
        <v>202303</v>
      </c>
      <c r="T139" s="71" t="s">
        <v>2176</v>
      </c>
      <c r="U139" s="72"/>
      <c r="V139" s="58"/>
      <c r="W139" s="58"/>
      <c r="X139" s="73"/>
      <c r="Y139" s="73"/>
    </row>
    <row r="158" spans="7:7">
      <c r="G158" s="64"/>
    </row>
  </sheetData>
  <conditionalFormatting sqref="P33:Q33">
    <cfRule type="expression" dxfId="1" priority="31">
      <formula>(#REF!&lt;&gt;"")*(#REF!&lt;&gt;"")</formula>
    </cfRule>
  </conditionalFormatting>
  <conditionalFormatting sqref="T33 C33 A33 E33:H33 J33:R33">
    <cfRule type="expression" dxfId="0" priority="30">
      <formula>(#REF!&lt;&gt;"")*(#REF!&lt;&gt;"")</formula>
    </cfRule>
  </conditionalFormatting>
  <conditionalFormatting sqref="C72:C78 A72:A78">
    <cfRule type="expression" dxfId="0" priority="18">
      <formula>(#REF!&lt;&gt;"")*(#REF!&lt;&gt;"")</formula>
    </cfRule>
  </conditionalFormatting>
  <conditionalFormatting sqref="E72:H78 T72:T78 J72:R78">
    <cfRule type="expression" dxfId="0" priority="16">
      <formula>(#REF!&lt;&gt;"")*(#REF!&lt;&gt;"")</formula>
    </cfRule>
  </conditionalFormatting>
  <conditionalFormatting sqref="P72:Q78">
    <cfRule type="expression" dxfId="1" priority="17">
      <formula>(#REF!&lt;&gt;"")*(#REF!&lt;&gt;"")</formula>
    </cfRule>
  </conditionalFormatting>
  <pageMargins left="0.7" right="0.7" top="0.75" bottom="0.75" header="0.3" footer="0.3"/>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C22:F27"/>
  <sheetViews>
    <sheetView zoomScale="85" zoomScaleNormal="85" workbookViewId="0">
      <selection activeCell="F35" sqref="F35"/>
    </sheetView>
  </sheetViews>
  <sheetFormatPr defaultColWidth="9" defaultRowHeight="14" outlineLevelCol="5"/>
  <cols>
    <col min="3" max="3" width="13" customWidth="1"/>
    <col min="4" max="4" width="15" customWidth="1"/>
    <col min="5" max="5" width="14.75" customWidth="1"/>
    <col min="6" max="6" width="14" customWidth="1"/>
  </cols>
  <sheetData>
    <row r="22" spans="3:4">
      <c r="C22" s="1"/>
      <c r="D22" s="2" t="s">
        <v>9737</v>
      </c>
    </row>
    <row r="23" spans="3:6">
      <c r="C23" s="3" t="s">
        <v>9738</v>
      </c>
      <c r="D23" s="4">
        <v>340341846.88</v>
      </c>
      <c r="F23" s="5"/>
    </row>
    <row r="24" spans="3:6">
      <c r="C24" s="1" t="s">
        <v>9739</v>
      </c>
      <c r="D24" s="6">
        <f>SUM('202303-非带宽'!R:R)</f>
        <v>340233672.54</v>
      </c>
      <c r="E24" s="7"/>
      <c r="F24" s="5"/>
    </row>
    <row r="25" spans="3:4">
      <c r="C25" s="1" t="s">
        <v>9740</v>
      </c>
      <c r="D25" s="6">
        <v>108174.34</v>
      </c>
    </row>
    <row r="26" spans="3:4">
      <c r="C26" s="3" t="s">
        <v>9741</v>
      </c>
      <c r="D26" s="4">
        <f>SUM(D24:D25)</f>
        <v>340341846.88</v>
      </c>
    </row>
    <row r="27" spans="3:4">
      <c r="C27" s="3" t="s">
        <v>9742</v>
      </c>
      <c r="D27" s="4">
        <f>D23-D26</f>
        <v>0</v>
      </c>
    </row>
  </sheetData>
  <pageMargins left="0.7" right="0.7" top="0.75" bottom="0.75" header="0.3" footer="0.3"/>
  <pageSetup paperSize="9" orientation="portrait"/>
  <headerFooter/>
  <drawing r:id="rId1"/>
</worksheet>
</file>

<file path=docProps/app.xml><?xml version="1.0" encoding="utf-8"?>
<Properties xmlns="http://schemas.openxmlformats.org/officeDocument/2006/extended-properties" xmlns:vt="http://schemas.openxmlformats.org/officeDocument/2006/docPropsVTypes">
  <Company>BAIDU</Company>
  <Application>Microsoft Excel</Application>
  <HeadingPairs>
    <vt:vector size="2" baseType="variant">
      <vt:variant>
        <vt:lpstr>工作表</vt:lpstr>
      </vt:variant>
      <vt:variant>
        <vt:i4>4</vt:i4>
      </vt:variant>
    </vt:vector>
  </HeadingPairs>
  <TitlesOfParts>
    <vt:vector size="4" baseType="lpstr">
      <vt:lpstr>202303-非带宽</vt:lpstr>
      <vt:lpstr>合同综合查询数据（3月返）</vt:lpstr>
      <vt:lpstr>备注</vt:lpstr>
      <vt:lpstr>非带宽金额核对</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Wu,Rui</dc:creator>
  <cp:lastModifiedBy>姜旭</cp:lastModifiedBy>
  <dcterms:created xsi:type="dcterms:W3CDTF">2023-03-28T15:24:00Z</dcterms:created>
  <dcterms:modified xsi:type="dcterms:W3CDTF">2023-04-03T06:13:25Z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79EB6880B5694FC4B34C26015D718C23_12</vt:lpwstr>
  </property>
  <property fmtid="{D5CDD505-2E9C-101B-9397-08002B2CF9AE}" pid="3" name="KSOProductBuildVer">
    <vt:lpwstr>2052-11.1.0.14036</vt:lpwstr>
  </property>
</Properties>
</file>